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Jesse\Desktop\Wild West\"/>
    </mc:Choice>
  </mc:AlternateContent>
  <xr:revisionPtr revIDLastSave="0" documentId="13_ncr:1_{A4FE8A60-E3C9-4109-B8F7-48FE0A073A0E}" xr6:coauthVersionLast="41" xr6:coauthVersionMax="41" xr10:uidLastSave="{00000000-0000-0000-0000-000000000000}"/>
  <bookViews>
    <workbookView xWindow="3030" yWindow="3030" windowWidth="15375" windowHeight="7875" tabRatio="833" firstSheet="6" activeTab="10" xr2:uid="{ECEFCCB7-82F9-4C20-96E9-C3BE8693DEA0}"/>
  </bookViews>
  <sheets>
    <sheet name="Character Sheet" sheetId="1" r:id="rId1"/>
    <sheet name="Items" sheetId="9" r:id="rId2"/>
    <sheet name="Armour" sheetId="10" r:id="rId3"/>
    <sheet name="Character Creation" sheetId="4" r:id="rId4"/>
    <sheet name="Races" sheetId="6" r:id="rId5"/>
    <sheet name="Charts" sheetId="5" r:id="rId6"/>
    <sheet name="Skills" sheetId="3" r:id="rId7"/>
    <sheet name="Profession" sheetId="8" r:id="rId8"/>
    <sheet name="Level-up" sheetId="7" r:id="rId9"/>
    <sheet name="Sheet1" sheetId="12" r:id="rId10"/>
    <sheet name="Calculations" sheetId="2" r:id="rId11"/>
  </sheets>
  <externalReferences>
    <externalReference r:id="rId12"/>
    <externalReference r:id="rId13"/>
    <externalReference r:id="rId14"/>
  </externalReferences>
  <definedNames>
    <definedName name="Ag">'Character Sheet'!$AZ$13</definedName>
    <definedName name="ATChart">Armour!$B$4:$C$99</definedName>
    <definedName name="BaseBard">Charts!$CC$30:$CD$35</definedName>
    <definedName name="BaseCleric">Charts!$BY$27:$BZ$32</definedName>
    <definedName name="BaseDabbler">Charts!$CC$38:$CD$43</definedName>
    <definedName name="BaseDruid">Charts!$BY$35:$BZ$40</definedName>
    <definedName name="BaseFatale">Charts!$CC$62:$CD$67</definedName>
    <definedName name="BaseHealer">Charts!$CK$3:$CL$8</definedName>
    <definedName name="BaseIllusionist">Charts!$CC$46:$CD$51</definedName>
    <definedName name="BaseLayHealer">Charts!$CG$27:$CH$32</definedName>
    <definedName name="BaseMagent">Charts!$CG$35:$CH$40</definedName>
    <definedName name="BaseMagician">Charts!$CC$54:$CD$59</definedName>
    <definedName name="BaseMentalist">Charts!$CG$43:$CH$48</definedName>
    <definedName name="BaseMonk">Charts!$CG$51:$CH$56</definedName>
    <definedName name="BaseMystic">Charts!$CK$11:$CL$16</definedName>
    <definedName name="BasePaladin">Charts!$BY$43:$BZ$48</definedName>
    <definedName name="BaseRanger">Charts!$BY$51:$BZ$56</definedName>
    <definedName name="BaseSorcerer">Charts!$CK$19:$CL$24</definedName>
    <definedName name="BonusChart">Charts!$AF$2:$AG$101</definedName>
    <definedName name="Channeling">Charts!$AD$2</definedName>
    <definedName name="ChannelingEssence">Charts!$AD$8</definedName>
    <definedName name="ChannelingEssenceMentalism">Charts!$AD$11</definedName>
    <definedName name="ChannelingMentalism">Charts!$AD$9</definedName>
    <definedName name="Choice">Charts!$AD$5:$AD$7</definedName>
    <definedName name="ClosedChanneling">Charts!$BY$15:$BZ$24</definedName>
    <definedName name="ClosedEssence">Charts!$CC$15:$CD$27</definedName>
    <definedName name="ClosedMentalism">Charts!$CG$15:$CH$24</definedName>
    <definedName name="ClothesList">Items!$B$731:$B$838</definedName>
    <definedName name="Co">'Character Sheet'!$AZ$14</definedName>
    <definedName name="Em">'Character Sheet'!$AZ$15</definedName>
    <definedName name="Essence">Charts!$AD$3</definedName>
    <definedName name="EssenceMentalism">Charts!$AD$10</definedName>
    <definedName name="EvilChanneling">Charts!$BY$59:$BZ$64</definedName>
    <definedName name="EvilEssence">Charts!$CC$70:$CD$75</definedName>
    <definedName name="EvilMentalism">Charts!$CG$59:$CH$64</definedName>
    <definedName name="FlawsList">Charts!$V$381:$V$518</definedName>
    <definedName name="HorseBreed">Charts!$BL$3:$BL$11</definedName>
    <definedName name="HorseEquipment">Items!$B$1460:$B$1476</definedName>
    <definedName name="In">'Character Sheet'!$AZ$16</definedName>
    <definedName name="ItemChart">Items!$B$2:$AA$1048576</definedName>
    <definedName name="ItemList">Items!$B$63:$B$987</definedName>
    <definedName name="MaterialChart">Charts!$BD$3:$BI$38</definedName>
    <definedName name="Me">'Character Sheet'!$AZ$17</definedName>
    <definedName name="Mentalism">Charts!$AD$4</definedName>
    <definedName name="OpenChanneling">Charts!$BY$3:$BZ$12</definedName>
    <definedName name="OpenEssence">Charts!$CC$3:$CD$12</definedName>
    <definedName name="OpenMentalism">Charts!$CG$3:$CH$12</definedName>
    <definedName name="PowerLevel">Charts!$B$2:$B$6</definedName>
    <definedName name="Pr">'Character Sheet'!$AZ$18</definedName>
    <definedName name="Qu">'Character Sheet'!$AZ$19</definedName>
    <definedName name="RaceChart">Races!$B$3:$AM$16</definedName>
    <definedName name="Re">'Character Sheet'!$AZ$20</definedName>
    <definedName name="RealmStat">Calculations!$J$10</definedName>
    <definedName name="RecoveryChart">Charts!$S$2:$T$12</definedName>
    <definedName name="RecoveryGrades">Charts!$S$2:$S$12</definedName>
    <definedName name="SD">'Character Sheet'!$AZ$21</definedName>
    <definedName name="Sex">'Character Sheet'!$AA$6</definedName>
    <definedName name="St">'Character Sheet'!$AZ$22</definedName>
    <definedName name="Stride">Charts!$AT$2:$AU$1001</definedName>
    <definedName name="TalentFlaw">Charts!$DT$81</definedName>
    <definedName name="TalentsFlawsList">Charts!$V$2:$Z$518</definedName>
    <definedName name="TalentsList">Charts!$V$2:$V$380</definedName>
    <definedName name="WeaponsAmmunition">Items!$B$989:$B$1154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S620" i="3" l="1"/>
  <c r="AR620" i="3"/>
  <c r="AQ620" i="3"/>
  <c r="AP620" i="3"/>
  <c r="AO620" i="3"/>
  <c r="AN620" i="3"/>
  <c r="AM620" i="3"/>
  <c r="AL620" i="3"/>
  <c r="AK620" i="3"/>
  <c r="AJ620" i="3"/>
  <c r="AS619" i="3"/>
  <c r="AR619" i="3"/>
  <c r="AQ619" i="3"/>
  <c r="AP619" i="3"/>
  <c r="AO619" i="3"/>
  <c r="AN619" i="3"/>
  <c r="AM619" i="3"/>
  <c r="AL619" i="3"/>
  <c r="AK619" i="3"/>
  <c r="AJ619" i="3"/>
  <c r="AS618" i="3"/>
  <c r="AR618" i="3"/>
  <c r="AQ618" i="3"/>
  <c r="AP618" i="3"/>
  <c r="AO618" i="3"/>
  <c r="AN618" i="3"/>
  <c r="AM618" i="3"/>
  <c r="AL618" i="3"/>
  <c r="AK618" i="3"/>
  <c r="AJ618" i="3"/>
  <c r="AS617" i="3"/>
  <c r="AR617" i="3"/>
  <c r="AQ617" i="3"/>
  <c r="AP617" i="3"/>
  <c r="AO617" i="3"/>
  <c r="AN617" i="3"/>
  <c r="AM617" i="3"/>
  <c r="AL617" i="3"/>
  <c r="AK617" i="3"/>
  <c r="AJ617" i="3"/>
  <c r="AS616" i="3"/>
  <c r="AR616" i="3"/>
  <c r="AQ616" i="3"/>
  <c r="AP616" i="3"/>
  <c r="AO616" i="3"/>
  <c r="AN616" i="3"/>
  <c r="AM616" i="3"/>
  <c r="AL616" i="3"/>
  <c r="AK616" i="3"/>
  <c r="AJ616" i="3"/>
  <c r="AS615" i="3"/>
  <c r="AR615" i="3"/>
  <c r="AQ615" i="3"/>
  <c r="AP615" i="3"/>
  <c r="AO615" i="3"/>
  <c r="AN615" i="3"/>
  <c r="AM615" i="3"/>
  <c r="AL615" i="3"/>
  <c r="AK615" i="3"/>
  <c r="AJ615" i="3"/>
  <c r="AS614" i="3"/>
  <c r="AR614" i="3"/>
  <c r="AQ614" i="3"/>
  <c r="AP614" i="3"/>
  <c r="AO614" i="3"/>
  <c r="AN614" i="3"/>
  <c r="AM614" i="3"/>
  <c r="AL614" i="3"/>
  <c r="AK614" i="3"/>
  <c r="AJ614" i="3"/>
  <c r="AS613" i="3"/>
  <c r="AR613" i="3"/>
  <c r="AQ613" i="3"/>
  <c r="AP613" i="3"/>
  <c r="AO613" i="3"/>
  <c r="AN613" i="3"/>
  <c r="AM613" i="3"/>
  <c r="AL613" i="3"/>
  <c r="AK613" i="3"/>
  <c r="AJ613" i="3"/>
  <c r="AS612" i="3"/>
  <c r="AR612" i="3"/>
  <c r="AQ612" i="3"/>
  <c r="AP612" i="3"/>
  <c r="AO612" i="3"/>
  <c r="AN612" i="3"/>
  <c r="AM612" i="3"/>
  <c r="AL612" i="3"/>
  <c r="AK612" i="3"/>
  <c r="AJ612" i="3"/>
  <c r="AS611" i="3"/>
  <c r="AR611" i="3"/>
  <c r="AQ611" i="3"/>
  <c r="AP611" i="3"/>
  <c r="AO611" i="3"/>
  <c r="AN611" i="3"/>
  <c r="AM611" i="3"/>
  <c r="AL611" i="3"/>
  <c r="AK611" i="3"/>
  <c r="AJ611" i="3"/>
  <c r="AS610" i="3"/>
  <c r="AR610" i="3"/>
  <c r="AQ610" i="3"/>
  <c r="AP610" i="3"/>
  <c r="AO610" i="3"/>
  <c r="AN610" i="3"/>
  <c r="AM610" i="3"/>
  <c r="AL610" i="3"/>
  <c r="AK610" i="3"/>
  <c r="AJ610" i="3"/>
  <c r="AS609" i="3"/>
  <c r="AR609" i="3"/>
  <c r="AQ609" i="3"/>
  <c r="AP609" i="3"/>
  <c r="AO609" i="3"/>
  <c r="AN609" i="3"/>
  <c r="AM609" i="3"/>
  <c r="AL609" i="3"/>
  <c r="AK609" i="3"/>
  <c r="AJ609" i="3"/>
  <c r="AS608" i="3"/>
  <c r="AR608" i="3"/>
  <c r="AQ608" i="3"/>
  <c r="AP608" i="3"/>
  <c r="AO608" i="3"/>
  <c r="AN608" i="3"/>
  <c r="AM608" i="3"/>
  <c r="AL608" i="3"/>
  <c r="AK608" i="3"/>
  <c r="AJ608" i="3"/>
  <c r="AS607" i="3"/>
  <c r="AR607" i="3"/>
  <c r="AQ607" i="3"/>
  <c r="AP607" i="3"/>
  <c r="AO607" i="3"/>
  <c r="AN607" i="3"/>
  <c r="AM607" i="3"/>
  <c r="AL607" i="3"/>
  <c r="AK607" i="3"/>
  <c r="AJ607" i="3"/>
  <c r="AS606" i="3"/>
  <c r="AR606" i="3"/>
  <c r="AQ606" i="3"/>
  <c r="AP606" i="3"/>
  <c r="AO606" i="3"/>
  <c r="AN606" i="3"/>
  <c r="AM606" i="3"/>
  <c r="AL606" i="3"/>
  <c r="AK606" i="3"/>
  <c r="AJ606" i="3"/>
  <c r="AS605" i="3"/>
  <c r="AR605" i="3"/>
  <c r="AQ605" i="3"/>
  <c r="AP605" i="3"/>
  <c r="AO605" i="3"/>
  <c r="AN605" i="3"/>
  <c r="AM605" i="3"/>
  <c r="AL605" i="3"/>
  <c r="AK605" i="3"/>
  <c r="AJ605" i="3"/>
  <c r="AS604" i="3"/>
  <c r="AR604" i="3"/>
  <c r="AQ604" i="3"/>
  <c r="AP604" i="3"/>
  <c r="AO604" i="3"/>
  <c r="AN604" i="3"/>
  <c r="AM604" i="3"/>
  <c r="AL604" i="3"/>
  <c r="AK604" i="3"/>
  <c r="AJ604" i="3"/>
  <c r="AS603" i="3"/>
  <c r="AR603" i="3"/>
  <c r="AQ603" i="3"/>
  <c r="AP603" i="3"/>
  <c r="AO603" i="3"/>
  <c r="AN603" i="3"/>
  <c r="AM603" i="3"/>
  <c r="AL603" i="3"/>
  <c r="AK603" i="3"/>
  <c r="AJ603" i="3"/>
  <c r="AS602" i="3"/>
  <c r="AR602" i="3"/>
  <c r="AQ602" i="3"/>
  <c r="AP602" i="3"/>
  <c r="AO602" i="3"/>
  <c r="AN602" i="3"/>
  <c r="AM602" i="3"/>
  <c r="AL602" i="3"/>
  <c r="AK602" i="3"/>
  <c r="AJ602" i="3"/>
  <c r="AS601" i="3"/>
  <c r="AR601" i="3"/>
  <c r="AQ601" i="3"/>
  <c r="AP601" i="3"/>
  <c r="AO601" i="3"/>
  <c r="AN601" i="3"/>
  <c r="AM601" i="3"/>
  <c r="AL601" i="3"/>
  <c r="AK601" i="3"/>
  <c r="AJ601" i="3"/>
  <c r="AS600" i="3"/>
  <c r="AR600" i="3"/>
  <c r="AQ600" i="3"/>
  <c r="AP600" i="3"/>
  <c r="AO600" i="3"/>
  <c r="AN600" i="3"/>
  <c r="AM600" i="3"/>
  <c r="AL600" i="3"/>
  <c r="AK600" i="3"/>
  <c r="AJ600" i="3"/>
  <c r="AS599" i="3"/>
  <c r="AR599" i="3"/>
  <c r="AQ599" i="3"/>
  <c r="AP599" i="3"/>
  <c r="AO599" i="3"/>
  <c r="AN599" i="3"/>
  <c r="AM599" i="3"/>
  <c r="AL599" i="3"/>
  <c r="AK599" i="3"/>
  <c r="AJ599" i="3"/>
  <c r="AS598" i="3"/>
  <c r="AR598" i="3"/>
  <c r="AQ598" i="3"/>
  <c r="AP598" i="3"/>
  <c r="AO598" i="3"/>
  <c r="AN598" i="3"/>
  <c r="AM598" i="3"/>
  <c r="AL598" i="3"/>
  <c r="AK598" i="3"/>
  <c r="AJ598" i="3"/>
  <c r="AS597" i="3"/>
  <c r="AR597" i="3"/>
  <c r="AQ597" i="3"/>
  <c r="AP597" i="3"/>
  <c r="AO597" i="3"/>
  <c r="AN597" i="3"/>
  <c r="AM597" i="3"/>
  <c r="AL597" i="3"/>
  <c r="AK597" i="3"/>
  <c r="AJ597" i="3"/>
  <c r="AS596" i="3"/>
  <c r="AR596" i="3"/>
  <c r="AQ596" i="3"/>
  <c r="AP596" i="3"/>
  <c r="AO596" i="3"/>
  <c r="AN596" i="3"/>
  <c r="AM596" i="3"/>
  <c r="AL596" i="3"/>
  <c r="AK596" i="3"/>
  <c r="AJ596" i="3"/>
  <c r="AS595" i="3"/>
  <c r="AR595" i="3"/>
  <c r="AQ595" i="3"/>
  <c r="AP595" i="3"/>
  <c r="AO595" i="3"/>
  <c r="AN595" i="3"/>
  <c r="AM595" i="3"/>
  <c r="AL595" i="3"/>
  <c r="AK595" i="3"/>
  <c r="AJ595" i="3"/>
  <c r="AS594" i="3"/>
  <c r="AR594" i="3"/>
  <c r="AQ594" i="3"/>
  <c r="AP594" i="3"/>
  <c r="AO594" i="3"/>
  <c r="AN594" i="3"/>
  <c r="AM594" i="3"/>
  <c r="AL594" i="3"/>
  <c r="AK594" i="3"/>
  <c r="AJ594" i="3"/>
  <c r="AS593" i="3"/>
  <c r="AR593" i="3"/>
  <c r="AQ593" i="3"/>
  <c r="AP593" i="3"/>
  <c r="AO593" i="3"/>
  <c r="AN593" i="3"/>
  <c r="AM593" i="3"/>
  <c r="AL593" i="3"/>
  <c r="AK593" i="3"/>
  <c r="AJ593" i="3"/>
  <c r="AS592" i="3"/>
  <c r="AR592" i="3"/>
  <c r="AQ592" i="3"/>
  <c r="AP592" i="3"/>
  <c r="AO592" i="3"/>
  <c r="AN592" i="3"/>
  <c r="AM592" i="3"/>
  <c r="AL592" i="3"/>
  <c r="AK592" i="3"/>
  <c r="AJ592" i="3"/>
  <c r="AS591" i="3"/>
  <c r="AR591" i="3"/>
  <c r="AQ591" i="3"/>
  <c r="AP591" i="3"/>
  <c r="AO591" i="3"/>
  <c r="AN591" i="3"/>
  <c r="AM591" i="3"/>
  <c r="AL591" i="3"/>
  <c r="AK591" i="3"/>
  <c r="AJ591" i="3"/>
  <c r="AS590" i="3"/>
  <c r="AR590" i="3"/>
  <c r="AQ590" i="3"/>
  <c r="AP590" i="3"/>
  <c r="AO590" i="3"/>
  <c r="AN590" i="3"/>
  <c r="AM590" i="3"/>
  <c r="AL590" i="3"/>
  <c r="AK590" i="3"/>
  <c r="AJ590" i="3"/>
  <c r="AS589" i="3"/>
  <c r="AR589" i="3"/>
  <c r="AQ589" i="3"/>
  <c r="AP589" i="3"/>
  <c r="AO589" i="3"/>
  <c r="AN589" i="3"/>
  <c r="AM589" i="3"/>
  <c r="AL589" i="3"/>
  <c r="AK589" i="3"/>
  <c r="AJ589" i="3"/>
  <c r="AS588" i="3"/>
  <c r="AR588" i="3"/>
  <c r="AQ588" i="3"/>
  <c r="AP588" i="3"/>
  <c r="AO588" i="3"/>
  <c r="AN588" i="3"/>
  <c r="AM588" i="3"/>
  <c r="AL588" i="3"/>
  <c r="AK588" i="3"/>
  <c r="AJ588" i="3"/>
  <c r="AS587" i="3"/>
  <c r="AR587" i="3"/>
  <c r="AQ587" i="3"/>
  <c r="AP587" i="3"/>
  <c r="AO587" i="3"/>
  <c r="AN587" i="3"/>
  <c r="AM587" i="3"/>
  <c r="AL587" i="3"/>
  <c r="AK587" i="3"/>
  <c r="AJ587" i="3"/>
  <c r="AS586" i="3"/>
  <c r="AR586" i="3"/>
  <c r="AQ586" i="3"/>
  <c r="AP586" i="3"/>
  <c r="AO586" i="3"/>
  <c r="AN586" i="3"/>
  <c r="AM586" i="3"/>
  <c r="AL586" i="3"/>
  <c r="AK586" i="3"/>
  <c r="AJ586" i="3"/>
  <c r="AS585" i="3"/>
  <c r="AR585" i="3"/>
  <c r="AQ585" i="3"/>
  <c r="AP585" i="3"/>
  <c r="AO585" i="3"/>
  <c r="AN585" i="3"/>
  <c r="AM585" i="3"/>
  <c r="AL585" i="3"/>
  <c r="AK585" i="3"/>
  <c r="AJ585" i="3"/>
  <c r="AS584" i="3"/>
  <c r="AR584" i="3"/>
  <c r="AQ584" i="3"/>
  <c r="AP584" i="3"/>
  <c r="AO584" i="3"/>
  <c r="AN584" i="3"/>
  <c r="AM584" i="3"/>
  <c r="AL584" i="3"/>
  <c r="AK584" i="3"/>
  <c r="AJ584" i="3"/>
  <c r="AS583" i="3"/>
  <c r="AR583" i="3"/>
  <c r="AQ583" i="3"/>
  <c r="AP583" i="3"/>
  <c r="AO583" i="3"/>
  <c r="AN583" i="3"/>
  <c r="AM583" i="3"/>
  <c r="AL583" i="3"/>
  <c r="AK583" i="3"/>
  <c r="AJ583" i="3"/>
  <c r="AS582" i="3"/>
  <c r="AR582" i="3"/>
  <c r="AQ582" i="3"/>
  <c r="AP582" i="3"/>
  <c r="AO582" i="3"/>
  <c r="AN582" i="3"/>
  <c r="AM582" i="3"/>
  <c r="AL582" i="3"/>
  <c r="AK582" i="3"/>
  <c r="AJ582" i="3"/>
  <c r="AS581" i="3"/>
  <c r="AR581" i="3"/>
  <c r="AQ581" i="3"/>
  <c r="AP581" i="3"/>
  <c r="AO581" i="3"/>
  <c r="AN581" i="3"/>
  <c r="AM581" i="3"/>
  <c r="AL581" i="3"/>
  <c r="AK581" i="3"/>
  <c r="AJ581" i="3"/>
  <c r="AS580" i="3"/>
  <c r="AR580" i="3"/>
  <c r="AQ580" i="3"/>
  <c r="AP580" i="3"/>
  <c r="AO580" i="3"/>
  <c r="AN580" i="3"/>
  <c r="AM580" i="3"/>
  <c r="AL580" i="3"/>
  <c r="AK580" i="3"/>
  <c r="AJ580" i="3"/>
  <c r="AS579" i="3"/>
  <c r="AR579" i="3"/>
  <c r="AQ579" i="3"/>
  <c r="AP579" i="3"/>
  <c r="AO579" i="3"/>
  <c r="AN579" i="3"/>
  <c r="AM579" i="3"/>
  <c r="AL579" i="3"/>
  <c r="AK579" i="3"/>
  <c r="AJ579" i="3"/>
  <c r="AS578" i="3"/>
  <c r="AR578" i="3"/>
  <c r="AQ578" i="3"/>
  <c r="AP578" i="3"/>
  <c r="AO578" i="3"/>
  <c r="AN578" i="3"/>
  <c r="AM578" i="3"/>
  <c r="AL578" i="3"/>
  <c r="AK578" i="3"/>
  <c r="AJ578" i="3"/>
  <c r="AS577" i="3"/>
  <c r="AR577" i="3"/>
  <c r="AQ577" i="3"/>
  <c r="AP577" i="3"/>
  <c r="AO577" i="3"/>
  <c r="AN577" i="3"/>
  <c r="AM577" i="3"/>
  <c r="AL577" i="3"/>
  <c r="AK577" i="3"/>
  <c r="AJ577" i="3"/>
  <c r="AS576" i="3"/>
  <c r="AR576" i="3"/>
  <c r="AQ576" i="3"/>
  <c r="AP576" i="3"/>
  <c r="AO576" i="3"/>
  <c r="AN576" i="3"/>
  <c r="AM576" i="3"/>
  <c r="AL576" i="3"/>
  <c r="AK576" i="3"/>
  <c r="AJ576" i="3"/>
  <c r="AS575" i="3"/>
  <c r="AR575" i="3"/>
  <c r="AQ575" i="3"/>
  <c r="AP575" i="3"/>
  <c r="AO575" i="3"/>
  <c r="AN575" i="3"/>
  <c r="AM575" i="3"/>
  <c r="AL575" i="3"/>
  <c r="AK575" i="3"/>
  <c r="AJ575" i="3"/>
  <c r="AS574" i="3"/>
  <c r="AR574" i="3"/>
  <c r="AQ574" i="3"/>
  <c r="AP574" i="3"/>
  <c r="AO574" i="3"/>
  <c r="AN574" i="3"/>
  <c r="AM574" i="3"/>
  <c r="AL574" i="3"/>
  <c r="AK574" i="3"/>
  <c r="AJ574" i="3"/>
  <c r="AS573" i="3"/>
  <c r="AR573" i="3"/>
  <c r="AQ573" i="3"/>
  <c r="AP573" i="3"/>
  <c r="AO573" i="3"/>
  <c r="AN573" i="3"/>
  <c r="AM573" i="3"/>
  <c r="AL573" i="3"/>
  <c r="AK573" i="3"/>
  <c r="AJ573" i="3"/>
  <c r="AS572" i="3"/>
  <c r="AR572" i="3"/>
  <c r="AQ572" i="3"/>
  <c r="AP572" i="3"/>
  <c r="AO572" i="3"/>
  <c r="AN572" i="3"/>
  <c r="AM572" i="3"/>
  <c r="AL572" i="3"/>
  <c r="AK572" i="3"/>
  <c r="AJ572" i="3"/>
  <c r="AS571" i="3"/>
  <c r="AR571" i="3"/>
  <c r="AQ571" i="3"/>
  <c r="AP571" i="3"/>
  <c r="AO571" i="3"/>
  <c r="AN571" i="3"/>
  <c r="AM571" i="3"/>
  <c r="AL571" i="3"/>
  <c r="AK571" i="3"/>
  <c r="AJ571" i="3"/>
  <c r="AS570" i="3"/>
  <c r="AR570" i="3"/>
  <c r="AQ570" i="3"/>
  <c r="AP570" i="3"/>
  <c r="AO570" i="3"/>
  <c r="AN570" i="3"/>
  <c r="AM570" i="3"/>
  <c r="AL570" i="3"/>
  <c r="AK570" i="3"/>
  <c r="AJ570" i="3"/>
  <c r="AS569" i="3"/>
  <c r="AR569" i="3"/>
  <c r="AQ569" i="3"/>
  <c r="AP569" i="3"/>
  <c r="AO569" i="3"/>
  <c r="AN569" i="3"/>
  <c r="AM569" i="3"/>
  <c r="AL569" i="3"/>
  <c r="AK569" i="3"/>
  <c r="AJ569" i="3"/>
  <c r="AS568" i="3"/>
  <c r="AR568" i="3"/>
  <c r="AQ568" i="3"/>
  <c r="AP568" i="3"/>
  <c r="AO568" i="3"/>
  <c r="AN568" i="3"/>
  <c r="AM568" i="3"/>
  <c r="AL568" i="3"/>
  <c r="AK568" i="3"/>
  <c r="AJ568" i="3"/>
  <c r="AS567" i="3"/>
  <c r="AR567" i="3"/>
  <c r="AQ567" i="3"/>
  <c r="AP567" i="3"/>
  <c r="AO567" i="3"/>
  <c r="AN567" i="3"/>
  <c r="AM567" i="3"/>
  <c r="AL567" i="3"/>
  <c r="AK567" i="3"/>
  <c r="AJ567" i="3"/>
  <c r="AS566" i="3"/>
  <c r="AR566" i="3"/>
  <c r="AQ566" i="3"/>
  <c r="AP566" i="3"/>
  <c r="AO566" i="3"/>
  <c r="AN566" i="3"/>
  <c r="AM566" i="3"/>
  <c r="AL566" i="3"/>
  <c r="AK566" i="3"/>
  <c r="AJ566" i="3"/>
  <c r="AS565" i="3"/>
  <c r="AR565" i="3"/>
  <c r="AQ565" i="3"/>
  <c r="AP565" i="3"/>
  <c r="AO565" i="3"/>
  <c r="AN565" i="3"/>
  <c r="AM565" i="3"/>
  <c r="AL565" i="3"/>
  <c r="AK565" i="3"/>
  <c r="AJ565" i="3"/>
  <c r="AS564" i="3"/>
  <c r="AR564" i="3"/>
  <c r="AQ564" i="3"/>
  <c r="AP564" i="3"/>
  <c r="AO564" i="3"/>
  <c r="AN564" i="3"/>
  <c r="AM564" i="3"/>
  <c r="AL564" i="3"/>
  <c r="AK564" i="3"/>
  <c r="AJ564" i="3"/>
  <c r="AS563" i="3"/>
  <c r="AR563" i="3"/>
  <c r="AQ563" i="3"/>
  <c r="AP563" i="3"/>
  <c r="AO563" i="3"/>
  <c r="AN563" i="3"/>
  <c r="AM563" i="3"/>
  <c r="AL563" i="3"/>
  <c r="AK563" i="3"/>
  <c r="AJ563" i="3"/>
  <c r="AS562" i="3"/>
  <c r="AR562" i="3"/>
  <c r="AQ562" i="3"/>
  <c r="AP562" i="3"/>
  <c r="AO562" i="3"/>
  <c r="AN562" i="3"/>
  <c r="AM562" i="3"/>
  <c r="AL562" i="3"/>
  <c r="AK562" i="3"/>
  <c r="AJ562" i="3"/>
  <c r="AS561" i="3"/>
  <c r="AR561" i="3"/>
  <c r="AQ561" i="3"/>
  <c r="AP561" i="3"/>
  <c r="AO561" i="3"/>
  <c r="AN561" i="3"/>
  <c r="AM561" i="3"/>
  <c r="AL561" i="3"/>
  <c r="AK561" i="3"/>
  <c r="AJ561" i="3"/>
  <c r="AS560" i="3"/>
  <c r="AR560" i="3"/>
  <c r="AQ560" i="3"/>
  <c r="AP560" i="3"/>
  <c r="AO560" i="3"/>
  <c r="AN560" i="3"/>
  <c r="AM560" i="3"/>
  <c r="AL560" i="3"/>
  <c r="AK560" i="3"/>
  <c r="AJ560" i="3"/>
  <c r="AS559" i="3"/>
  <c r="AR559" i="3"/>
  <c r="AQ559" i="3"/>
  <c r="AP559" i="3"/>
  <c r="AO559" i="3"/>
  <c r="AN559" i="3"/>
  <c r="AM559" i="3"/>
  <c r="AL559" i="3"/>
  <c r="AK559" i="3"/>
  <c r="AJ559" i="3"/>
  <c r="AS558" i="3"/>
  <c r="AR558" i="3"/>
  <c r="AQ558" i="3"/>
  <c r="AP558" i="3"/>
  <c r="AO558" i="3"/>
  <c r="AN558" i="3"/>
  <c r="AM558" i="3"/>
  <c r="AL558" i="3"/>
  <c r="AK558" i="3"/>
  <c r="AJ558" i="3"/>
  <c r="AS557" i="3"/>
  <c r="AR557" i="3"/>
  <c r="AQ557" i="3"/>
  <c r="AP557" i="3"/>
  <c r="AO557" i="3"/>
  <c r="AN557" i="3"/>
  <c r="AM557" i="3"/>
  <c r="AL557" i="3"/>
  <c r="AK557" i="3"/>
  <c r="AJ557" i="3"/>
  <c r="AS556" i="3"/>
  <c r="AR556" i="3"/>
  <c r="AQ556" i="3"/>
  <c r="AP556" i="3"/>
  <c r="AO556" i="3"/>
  <c r="AN556" i="3"/>
  <c r="AM556" i="3"/>
  <c r="AL556" i="3"/>
  <c r="AK556" i="3"/>
  <c r="AJ556" i="3"/>
  <c r="AS555" i="3"/>
  <c r="AR555" i="3"/>
  <c r="AQ555" i="3"/>
  <c r="AP555" i="3"/>
  <c r="AO555" i="3"/>
  <c r="AN555" i="3"/>
  <c r="AM555" i="3"/>
  <c r="AL555" i="3"/>
  <c r="AK555" i="3"/>
  <c r="AJ555" i="3"/>
  <c r="AS554" i="3"/>
  <c r="AR554" i="3"/>
  <c r="AQ554" i="3"/>
  <c r="AP554" i="3"/>
  <c r="AO554" i="3"/>
  <c r="AN554" i="3"/>
  <c r="AM554" i="3"/>
  <c r="AL554" i="3"/>
  <c r="AK554" i="3"/>
  <c r="AJ554" i="3"/>
  <c r="AS553" i="3"/>
  <c r="AR553" i="3"/>
  <c r="AQ553" i="3"/>
  <c r="AP553" i="3"/>
  <c r="AO553" i="3"/>
  <c r="AN553" i="3"/>
  <c r="AM553" i="3"/>
  <c r="AL553" i="3"/>
  <c r="AK553" i="3"/>
  <c r="AJ553" i="3"/>
  <c r="AS552" i="3"/>
  <c r="AR552" i="3"/>
  <c r="AQ552" i="3"/>
  <c r="AP552" i="3"/>
  <c r="AO552" i="3"/>
  <c r="AN552" i="3"/>
  <c r="AM552" i="3"/>
  <c r="AL552" i="3"/>
  <c r="AK552" i="3"/>
  <c r="AJ552" i="3"/>
  <c r="AS551" i="3"/>
  <c r="AR551" i="3"/>
  <c r="AQ551" i="3"/>
  <c r="AP551" i="3"/>
  <c r="AO551" i="3"/>
  <c r="AN551" i="3"/>
  <c r="AM551" i="3"/>
  <c r="AL551" i="3"/>
  <c r="AK551" i="3"/>
  <c r="AJ551" i="3"/>
  <c r="AS550" i="3"/>
  <c r="AR550" i="3"/>
  <c r="AQ550" i="3"/>
  <c r="AP550" i="3"/>
  <c r="AO550" i="3"/>
  <c r="AN550" i="3"/>
  <c r="AM550" i="3"/>
  <c r="AL550" i="3"/>
  <c r="AK550" i="3"/>
  <c r="AJ550" i="3"/>
  <c r="AS549" i="3"/>
  <c r="AR549" i="3"/>
  <c r="AQ549" i="3"/>
  <c r="AP549" i="3"/>
  <c r="AO549" i="3"/>
  <c r="AN549" i="3"/>
  <c r="AM549" i="3"/>
  <c r="AL549" i="3"/>
  <c r="AK549" i="3"/>
  <c r="AJ549" i="3"/>
  <c r="AS548" i="3"/>
  <c r="AR548" i="3"/>
  <c r="AQ548" i="3"/>
  <c r="AP548" i="3"/>
  <c r="AO548" i="3"/>
  <c r="AN548" i="3"/>
  <c r="AM548" i="3"/>
  <c r="AL548" i="3"/>
  <c r="AK548" i="3"/>
  <c r="AJ548" i="3"/>
  <c r="AS547" i="3"/>
  <c r="AR547" i="3"/>
  <c r="AQ547" i="3"/>
  <c r="AP547" i="3"/>
  <c r="AO547" i="3"/>
  <c r="AN547" i="3"/>
  <c r="AM547" i="3"/>
  <c r="AL547" i="3"/>
  <c r="AK547" i="3"/>
  <c r="AJ547" i="3"/>
  <c r="AS546" i="3"/>
  <c r="AR546" i="3"/>
  <c r="AQ546" i="3"/>
  <c r="AP546" i="3"/>
  <c r="AO546" i="3"/>
  <c r="AN546" i="3"/>
  <c r="AM546" i="3"/>
  <c r="AL546" i="3"/>
  <c r="AK546" i="3"/>
  <c r="AJ546" i="3"/>
  <c r="AS545" i="3"/>
  <c r="AR545" i="3"/>
  <c r="AQ545" i="3"/>
  <c r="AP545" i="3"/>
  <c r="AO545" i="3"/>
  <c r="AN545" i="3"/>
  <c r="AM545" i="3"/>
  <c r="AL545" i="3"/>
  <c r="AK545" i="3"/>
  <c r="AJ545" i="3"/>
  <c r="AS544" i="3"/>
  <c r="AR544" i="3"/>
  <c r="AQ544" i="3"/>
  <c r="AP544" i="3"/>
  <c r="AO544" i="3"/>
  <c r="AN544" i="3"/>
  <c r="AM544" i="3"/>
  <c r="AL544" i="3"/>
  <c r="AK544" i="3"/>
  <c r="AJ544" i="3"/>
  <c r="AS543" i="3"/>
  <c r="AR543" i="3"/>
  <c r="AQ543" i="3"/>
  <c r="AP543" i="3"/>
  <c r="AO543" i="3"/>
  <c r="AN543" i="3"/>
  <c r="AM543" i="3"/>
  <c r="AL543" i="3"/>
  <c r="AK543" i="3"/>
  <c r="AJ543" i="3"/>
  <c r="AS542" i="3"/>
  <c r="AR542" i="3"/>
  <c r="AQ542" i="3"/>
  <c r="AP542" i="3"/>
  <c r="AO542" i="3"/>
  <c r="AN542" i="3"/>
  <c r="AM542" i="3"/>
  <c r="AL542" i="3"/>
  <c r="AK542" i="3"/>
  <c r="AJ542" i="3"/>
  <c r="AS541" i="3"/>
  <c r="AR541" i="3"/>
  <c r="AQ541" i="3"/>
  <c r="AP541" i="3"/>
  <c r="AO541" i="3"/>
  <c r="AN541" i="3"/>
  <c r="AM541" i="3"/>
  <c r="AL541" i="3"/>
  <c r="AK541" i="3"/>
  <c r="AJ541" i="3"/>
  <c r="AS540" i="3"/>
  <c r="AR540" i="3"/>
  <c r="AQ540" i="3"/>
  <c r="AP540" i="3"/>
  <c r="AO540" i="3"/>
  <c r="AN540" i="3"/>
  <c r="AM540" i="3"/>
  <c r="AL540" i="3"/>
  <c r="AK540" i="3"/>
  <c r="AJ540" i="3"/>
  <c r="AS539" i="3"/>
  <c r="AR539" i="3"/>
  <c r="AQ539" i="3"/>
  <c r="AP539" i="3"/>
  <c r="AO539" i="3"/>
  <c r="AN539" i="3"/>
  <c r="AM539" i="3"/>
  <c r="AL539" i="3"/>
  <c r="AK539" i="3"/>
  <c r="AJ539" i="3"/>
  <c r="AS538" i="3"/>
  <c r="AR538" i="3"/>
  <c r="AQ538" i="3"/>
  <c r="AP538" i="3"/>
  <c r="AO538" i="3"/>
  <c r="AN538" i="3"/>
  <c r="AM538" i="3"/>
  <c r="AL538" i="3"/>
  <c r="AK538" i="3"/>
  <c r="AJ538" i="3"/>
  <c r="AS537" i="3"/>
  <c r="AR537" i="3"/>
  <c r="AQ537" i="3"/>
  <c r="AP537" i="3"/>
  <c r="AO537" i="3"/>
  <c r="AN537" i="3"/>
  <c r="AM537" i="3"/>
  <c r="AL537" i="3"/>
  <c r="AK537" i="3"/>
  <c r="AJ537" i="3"/>
  <c r="AS536" i="3"/>
  <c r="AR536" i="3"/>
  <c r="AQ536" i="3"/>
  <c r="AP536" i="3"/>
  <c r="AO536" i="3"/>
  <c r="AN536" i="3"/>
  <c r="AM536" i="3"/>
  <c r="AL536" i="3"/>
  <c r="AK536" i="3"/>
  <c r="AJ536" i="3"/>
  <c r="AS535" i="3"/>
  <c r="AR535" i="3"/>
  <c r="AQ535" i="3"/>
  <c r="AP535" i="3"/>
  <c r="AO535" i="3"/>
  <c r="AN535" i="3"/>
  <c r="AM535" i="3"/>
  <c r="AL535" i="3"/>
  <c r="AK535" i="3"/>
  <c r="AJ535" i="3"/>
  <c r="AS534" i="3"/>
  <c r="AR534" i="3"/>
  <c r="AQ534" i="3"/>
  <c r="AP534" i="3"/>
  <c r="AO534" i="3"/>
  <c r="AN534" i="3"/>
  <c r="AM534" i="3"/>
  <c r="AL534" i="3"/>
  <c r="AK534" i="3"/>
  <c r="AJ534" i="3"/>
  <c r="AS533" i="3"/>
  <c r="AR533" i="3"/>
  <c r="AQ533" i="3"/>
  <c r="AP533" i="3"/>
  <c r="AO533" i="3"/>
  <c r="AN533" i="3"/>
  <c r="AM533" i="3"/>
  <c r="AL533" i="3"/>
  <c r="AK533" i="3"/>
  <c r="AJ533" i="3"/>
  <c r="AS532" i="3"/>
  <c r="AR532" i="3"/>
  <c r="AQ532" i="3"/>
  <c r="AP532" i="3"/>
  <c r="AO532" i="3"/>
  <c r="AN532" i="3"/>
  <c r="AM532" i="3"/>
  <c r="AL532" i="3"/>
  <c r="AK532" i="3"/>
  <c r="AJ532" i="3"/>
  <c r="AS531" i="3"/>
  <c r="AR531" i="3"/>
  <c r="AQ531" i="3"/>
  <c r="AP531" i="3"/>
  <c r="AO531" i="3"/>
  <c r="AN531" i="3"/>
  <c r="AM531" i="3"/>
  <c r="AL531" i="3"/>
  <c r="AK531" i="3"/>
  <c r="AJ531" i="3"/>
  <c r="AS530" i="3"/>
  <c r="AR530" i="3"/>
  <c r="AQ530" i="3"/>
  <c r="AP530" i="3"/>
  <c r="AO530" i="3"/>
  <c r="AN530" i="3"/>
  <c r="AM530" i="3"/>
  <c r="AL530" i="3"/>
  <c r="AK530" i="3"/>
  <c r="AJ530" i="3"/>
  <c r="AS529" i="3"/>
  <c r="AR529" i="3"/>
  <c r="AQ529" i="3"/>
  <c r="AP529" i="3"/>
  <c r="AO529" i="3"/>
  <c r="AN529" i="3"/>
  <c r="AM529" i="3"/>
  <c r="AL529" i="3"/>
  <c r="AK529" i="3"/>
  <c r="AJ529" i="3"/>
  <c r="AS528" i="3"/>
  <c r="AR528" i="3"/>
  <c r="AQ528" i="3"/>
  <c r="AP528" i="3"/>
  <c r="AO528" i="3"/>
  <c r="AN528" i="3"/>
  <c r="AM528" i="3"/>
  <c r="AL528" i="3"/>
  <c r="AK528" i="3"/>
  <c r="AJ528" i="3"/>
  <c r="AS527" i="3"/>
  <c r="AR527" i="3"/>
  <c r="AQ527" i="3"/>
  <c r="AP527" i="3"/>
  <c r="AO527" i="3"/>
  <c r="AN527" i="3"/>
  <c r="AM527" i="3"/>
  <c r="AL527" i="3"/>
  <c r="AK527" i="3"/>
  <c r="AJ527" i="3"/>
  <c r="AS526" i="3"/>
  <c r="AR526" i="3"/>
  <c r="AQ526" i="3"/>
  <c r="AP526" i="3"/>
  <c r="AO526" i="3"/>
  <c r="AN526" i="3"/>
  <c r="AM526" i="3"/>
  <c r="AL526" i="3"/>
  <c r="AK526" i="3"/>
  <c r="AJ526" i="3"/>
  <c r="AS525" i="3"/>
  <c r="AR525" i="3"/>
  <c r="AQ525" i="3"/>
  <c r="AP525" i="3"/>
  <c r="AO525" i="3"/>
  <c r="AN525" i="3"/>
  <c r="AM525" i="3"/>
  <c r="AL525" i="3"/>
  <c r="AK525" i="3"/>
  <c r="AJ525" i="3"/>
  <c r="AS524" i="3"/>
  <c r="AR524" i="3"/>
  <c r="AQ524" i="3"/>
  <c r="AP524" i="3"/>
  <c r="AO524" i="3"/>
  <c r="AN524" i="3"/>
  <c r="AM524" i="3"/>
  <c r="AL524" i="3"/>
  <c r="AK524" i="3"/>
  <c r="AJ524" i="3"/>
  <c r="AS523" i="3"/>
  <c r="AR523" i="3"/>
  <c r="AQ523" i="3"/>
  <c r="AP523" i="3"/>
  <c r="AO523" i="3"/>
  <c r="AN523" i="3"/>
  <c r="AM523" i="3"/>
  <c r="AL523" i="3"/>
  <c r="AK523" i="3"/>
  <c r="AJ523" i="3"/>
  <c r="AS522" i="3"/>
  <c r="AR522" i="3"/>
  <c r="AQ522" i="3"/>
  <c r="AP522" i="3"/>
  <c r="AO522" i="3"/>
  <c r="AN522" i="3"/>
  <c r="AM522" i="3"/>
  <c r="AL522" i="3"/>
  <c r="AK522" i="3"/>
  <c r="AJ522" i="3"/>
  <c r="AS521" i="3"/>
  <c r="AR521" i="3"/>
  <c r="AQ521" i="3"/>
  <c r="AP521" i="3"/>
  <c r="AO521" i="3"/>
  <c r="AN521" i="3"/>
  <c r="AM521" i="3"/>
  <c r="AL521" i="3"/>
  <c r="AK521" i="3"/>
  <c r="AJ521" i="3"/>
  <c r="AS520" i="3"/>
  <c r="AR520" i="3"/>
  <c r="AQ520" i="3"/>
  <c r="AP520" i="3"/>
  <c r="AO520" i="3"/>
  <c r="AN520" i="3"/>
  <c r="AM520" i="3"/>
  <c r="AL520" i="3"/>
  <c r="AK520" i="3"/>
  <c r="AJ520" i="3"/>
  <c r="AS519" i="3"/>
  <c r="AR519" i="3"/>
  <c r="AQ519" i="3"/>
  <c r="AP519" i="3"/>
  <c r="AO519" i="3"/>
  <c r="AN519" i="3"/>
  <c r="AM519" i="3"/>
  <c r="AL519" i="3"/>
  <c r="AK519" i="3"/>
  <c r="AJ519" i="3"/>
  <c r="AS518" i="3"/>
  <c r="AR518" i="3"/>
  <c r="AQ518" i="3"/>
  <c r="AP518" i="3"/>
  <c r="AO518" i="3"/>
  <c r="AN518" i="3"/>
  <c r="AM518" i="3"/>
  <c r="AL518" i="3"/>
  <c r="AK518" i="3"/>
  <c r="AJ518" i="3"/>
  <c r="AS517" i="3"/>
  <c r="AR517" i="3"/>
  <c r="AQ517" i="3"/>
  <c r="AP517" i="3"/>
  <c r="AO517" i="3"/>
  <c r="AN517" i="3"/>
  <c r="AM517" i="3"/>
  <c r="AL517" i="3"/>
  <c r="AK517" i="3"/>
  <c r="AJ517" i="3"/>
  <c r="AS516" i="3"/>
  <c r="AR516" i="3"/>
  <c r="AQ516" i="3"/>
  <c r="AP516" i="3"/>
  <c r="AO516" i="3"/>
  <c r="AN516" i="3"/>
  <c r="AM516" i="3"/>
  <c r="AL516" i="3"/>
  <c r="AK516" i="3"/>
  <c r="AJ516" i="3"/>
  <c r="AS515" i="3"/>
  <c r="AR515" i="3"/>
  <c r="AQ515" i="3"/>
  <c r="AP515" i="3"/>
  <c r="AO515" i="3"/>
  <c r="AN515" i="3"/>
  <c r="AM515" i="3"/>
  <c r="AL515" i="3"/>
  <c r="AK515" i="3"/>
  <c r="AJ515" i="3"/>
  <c r="AS514" i="3"/>
  <c r="AR514" i="3"/>
  <c r="AQ514" i="3"/>
  <c r="AP514" i="3"/>
  <c r="AO514" i="3"/>
  <c r="AN514" i="3"/>
  <c r="AM514" i="3"/>
  <c r="AL514" i="3"/>
  <c r="AK514" i="3"/>
  <c r="AJ514" i="3"/>
  <c r="AS513" i="3"/>
  <c r="AR513" i="3"/>
  <c r="AQ513" i="3"/>
  <c r="AP513" i="3"/>
  <c r="AO513" i="3"/>
  <c r="AN513" i="3"/>
  <c r="AM513" i="3"/>
  <c r="AL513" i="3"/>
  <c r="AK513" i="3"/>
  <c r="AJ513" i="3"/>
  <c r="AS512" i="3"/>
  <c r="AR512" i="3"/>
  <c r="AQ512" i="3"/>
  <c r="AP512" i="3"/>
  <c r="AO512" i="3"/>
  <c r="AN512" i="3"/>
  <c r="AM512" i="3"/>
  <c r="AL512" i="3"/>
  <c r="AK512" i="3"/>
  <c r="AJ512" i="3"/>
  <c r="AS511" i="3"/>
  <c r="AR511" i="3"/>
  <c r="AQ511" i="3"/>
  <c r="AP511" i="3"/>
  <c r="AO511" i="3"/>
  <c r="AN511" i="3"/>
  <c r="AM511" i="3"/>
  <c r="AL511" i="3"/>
  <c r="AK511" i="3"/>
  <c r="AJ511" i="3"/>
  <c r="AS510" i="3"/>
  <c r="AR510" i="3"/>
  <c r="AQ510" i="3"/>
  <c r="AP510" i="3"/>
  <c r="AO510" i="3"/>
  <c r="AN510" i="3"/>
  <c r="AM510" i="3"/>
  <c r="AL510" i="3"/>
  <c r="AK510" i="3"/>
  <c r="AJ510" i="3"/>
  <c r="AS509" i="3"/>
  <c r="AR509" i="3"/>
  <c r="AQ509" i="3"/>
  <c r="AP509" i="3"/>
  <c r="AO509" i="3"/>
  <c r="AN509" i="3"/>
  <c r="AM509" i="3"/>
  <c r="AL509" i="3"/>
  <c r="AK509" i="3"/>
  <c r="AJ509" i="3"/>
  <c r="AS508" i="3"/>
  <c r="AR508" i="3"/>
  <c r="AQ508" i="3"/>
  <c r="AP508" i="3"/>
  <c r="AO508" i="3"/>
  <c r="AN508" i="3"/>
  <c r="AM508" i="3"/>
  <c r="AL508" i="3"/>
  <c r="AK508" i="3"/>
  <c r="AJ508" i="3"/>
  <c r="AS507" i="3"/>
  <c r="AR507" i="3"/>
  <c r="AQ507" i="3"/>
  <c r="AP507" i="3"/>
  <c r="AO507" i="3"/>
  <c r="AN507" i="3"/>
  <c r="AM507" i="3"/>
  <c r="AL507" i="3"/>
  <c r="AK507" i="3"/>
  <c r="AJ507" i="3"/>
  <c r="AS506" i="3"/>
  <c r="AR506" i="3"/>
  <c r="AQ506" i="3"/>
  <c r="AP506" i="3"/>
  <c r="AO506" i="3"/>
  <c r="AN506" i="3"/>
  <c r="AM506" i="3"/>
  <c r="AL506" i="3"/>
  <c r="AK506" i="3"/>
  <c r="AJ506" i="3"/>
  <c r="AS505" i="3"/>
  <c r="AR505" i="3"/>
  <c r="AQ505" i="3"/>
  <c r="AP505" i="3"/>
  <c r="AO505" i="3"/>
  <c r="AN505" i="3"/>
  <c r="AM505" i="3"/>
  <c r="AL505" i="3"/>
  <c r="AK505" i="3"/>
  <c r="AJ505" i="3"/>
  <c r="AS504" i="3"/>
  <c r="AR504" i="3"/>
  <c r="AQ504" i="3"/>
  <c r="AP504" i="3"/>
  <c r="AO504" i="3"/>
  <c r="AN504" i="3"/>
  <c r="AM504" i="3"/>
  <c r="AL504" i="3"/>
  <c r="AK504" i="3"/>
  <c r="AJ504" i="3"/>
  <c r="AS503" i="3"/>
  <c r="AR503" i="3"/>
  <c r="AQ503" i="3"/>
  <c r="AP503" i="3"/>
  <c r="AO503" i="3"/>
  <c r="AN503" i="3"/>
  <c r="AM503" i="3"/>
  <c r="AL503" i="3"/>
  <c r="AK503" i="3"/>
  <c r="AJ503" i="3"/>
  <c r="AS502" i="3"/>
  <c r="AR502" i="3"/>
  <c r="AQ502" i="3"/>
  <c r="AP502" i="3"/>
  <c r="AO502" i="3"/>
  <c r="AN502" i="3"/>
  <c r="AM502" i="3"/>
  <c r="AL502" i="3"/>
  <c r="AK502" i="3"/>
  <c r="AJ502" i="3"/>
  <c r="AS501" i="3"/>
  <c r="AR501" i="3"/>
  <c r="AQ501" i="3"/>
  <c r="AP501" i="3"/>
  <c r="AO501" i="3"/>
  <c r="AN501" i="3"/>
  <c r="AM501" i="3"/>
  <c r="AL501" i="3"/>
  <c r="AK501" i="3"/>
  <c r="AJ501" i="3"/>
  <c r="AS500" i="3"/>
  <c r="AR500" i="3"/>
  <c r="AQ500" i="3"/>
  <c r="AP500" i="3"/>
  <c r="AO500" i="3"/>
  <c r="AN500" i="3"/>
  <c r="AM500" i="3"/>
  <c r="AL500" i="3"/>
  <c r="AK500" i="3"/>
  <c r="AJ500" i="3"/>
  <c r="AS499" i="3"/>
  <c r="AR499" i="3"/>
  <c r="AQ499" i="3"/>
  <c r="AP499" i="3"/>
  <c r="AO499" i="3"/>
  <c r="AN499" i="3"/>
  <c r="AM499" i="3"/>
  <c r="AL499" i="3"/>
  <c r="AK499" i="3"/>
  <c r="AJ499" i="3"/>
  <c r="AS498" i="3"/>
  <c r="AR498" i="3"/>
  <c r="AQ498" i="3"/>
  <c r="AP498" i="3"/>
  <c r="AO498" i="3"/>
  <c r="AN498" i="3"/>
  <c r="AM498" i="3"/>
  <c r="AL498" i="3"/>
  <c r="AK498" i="3"/>
  <c r="AJ498" i="3"/>
  <c r="AS497" i="3"/>
  <c r="AR497" i="3"/>
  <c r="AQ497" i="3"/>
  <c r="AP497" i="3"/>
  <c r="AO497" i="3"/>
  <c r="AN497" i="3"/>
  <c r="AM497" i="3"/>
  <c r="AL497" i="3"/>
  <c r="AK497" i="3"/>
  <c r="AJ497" i="3"/>
  <c r="AS496" i="3"/>
  <c r="AR496" i="3"/>
  <c r="AQ496" i="3"/>
  <c r="AP496" i="3"/>
  <c r="AO496" i="3"/>
  <c r="AN496" i="3"/>
  <c r="AM496" i="3"/>
  <c r="AL496" i="3"/>
  <c r="AK496" i="3"/>
  <c r="AJ496" i="3"/>
  <c r="AS495" i="3"/>
  <c r="AR495" i="3"/>
  <c r="AQ495" i="3"/>
  <c r="AP495" i="3"/>
  <c r="AO495" i="3"/>
  <c r="AN495" i="3"/>
  <c r="AM495" i="3"/>
  <c r="AL495" i="3"/>
  <c r="AK495" i="3"/>
  <c r="AJ495" i="3"/>
  <c r="AS494" i="3"/>
  <c r="AR494" i="3"/>
  <c r="AQ494" i="3"/>
  <c r="AP494" i="3"/>
  <c r="AO494" i="3"/>
  <c r="AN494" i="3"/>
  <c r="AM494" i="3"/>
  <c r="AL494" i="3"/>
  <c r="AK494" i="3"/>
  <c r="AJ494" i="3"/>
  <c r="AS493" i="3"/>
  <c r="AR493" i="3"/>
  <c r="AQ493" i="3"/>
  <c r="AP493" i="3"/>
  <c r="AO493" i="3"/>
  <c r="AN493" i="3"/>
  <c r="AM493" i="3"/>
  <c r="AL493" i="3"/>
  <c r="AK493" i="3"/>
  <c r="AJ493" i="3"/>
  <c r="AS492" i="3"/>
  <c r="AR492" i="3"/>
  <c r="AQ492" i="3"/>
  <c r="AP492" i="3"/>
  <c r="AO492" i="3"/>
  <c r="AN492" i="3"/>
  <c r="AM492" i="3"/>
  <c r="AL492" i="3"/>
  <c r="AK492" i="3"/>
  <c r="AJ492" i="3"/>
  <c r="AS491" i="3"/>
  <c r="AR491" i="3"/>
  <c r="AQ491" i="3"/>
  <c r="AP491" i="3"/>
  <c r="AO491" i="3"/>
  <c r="AN491" i="3"/>
  <c r="AM491" i="3"/>
  <c r="AL491" i="3"/>
  <c r="AK491" i="3"/>
  <c r="AJ491" i="3"/>
  <c r="AS490" i="3"/>
  <c r="AR490" i="3"/>
  <c r="AQ490" i="3"/>
  <c r="AP490" i="3"/>
  <c r="AO490" i="3"/>
  <c r="AN490" i="3"/>
  <c r="AM490" i="3"/>
  <c r="AL490" i="3"/>
  <c r="AK490" i="3"/>
  <c r="AJ490" i="3"/>
  <c r="AS489" i="3"/>
  <c r="AR489" i="3"/>
  <c r="AQ489" i="3"/>
  <c r="AP489" i="3"/>
  <c r="AO489" i="3"/>
  <c r="AN489" i="3"/>
  <c r="AM489" i="3"/>
  <c r="AL489" i="3"/>
  <c r="AK489" i="3"/>
  <c r="AJ489" i="3"/>
  <c r="AS488" i="3"/>
  <c r="AR488" i="3"/>
  <c r="AQ488" i="3"/>
  <c r="AP488" i="3"/>
  <c r="AO488" i="3"/>
  <c r="AN488" i="3"/>
  <c r="AM488" i="3"/>
  <c r="AL488" i="3"/>
  <c r="AK488" i="3"/>
  <c r="AJ488" i="3"/>
  <c r="AS487" i="3"/>
  <c r="AR487" i="3"/>
  <c r="AQ487" i="3"/>
  <c r="AP487" i="3"/>
  <c r="AO487" i="3"/>
  <c r="AN487" i="3"/>
  <c r="AM487" i="3"/>
  <c r="AL487" i="3"/>
  <c r="AK487" i="3"/>
  <c r="AJ487" i="3"/>
  <c r="AS486" i="3"/>
  <c r="AR486" i="3"/>
  <c r="AQ486" i="3"/>
  <c r="AP486" i="3"/>
  <c r="AO486" i="3"/>
  <c r="AN486" i="3"/>
  <c r="AM486" i="3"/>
  <c r="AL486" i="3"/>
  <c r="AK486" i="3"/>
  <c r="AJ486" i="3"/>
  <c r="AS485" i="3"/>
  <c r="AR485" i="3"/>
  <c r="AQ485" i="3"/>
  <c r="AP485" i="3"/>
  <c r="AO485" i="3"/>
  <c r="AN485" i="3"/>
  <c r="AM485" i="3"/>
  <c r="AL485" i="3"/>
  <c r="AK485" i="3"/>
  <c r="AJ485" i="3"/>
  <c r="AS484" i="3"/>
  <c r="AR484" i="3"/>
  <c r="AQ484" i="3"/>
  <c r="AP484" i="3"/>
  <c r="AO484" i="3"/>
  <c r="AN484" i="3"/>
  <c r="AM484" i="3"/>
  <c r="AL484" i="3"/>
  <c r="AK484" i="3"/>
  <c r="AJ484" i="3"/>
  <c r="AS483" i="3"/>
  <c r="AR483" i="3"/>
  <c r="AQ483" i="3"/>
  <c r="AP483" i="3"/>
  <c r="AO483" i="3"/>
  <c r="AN483" i="3"/>
  <c r="AM483" i="3"/>
  <c r="AL483" i="3"/>
  <c r="AK483" i="3"/>
  <c r="AJ483" i="3"/>
  <c r="AS482" i="3"/>
  <c r="AR482" i="3"/>
  <c r="AQ482" i="3"/>
  <c r="AP482" i="3"/>
  <c r="AO482" i="3"/>
  <c r="AN482" i="3"/>
  <c r="AM482" i="3"/>
  <c r="AL482" i="3"/>
  <c r="AK482" i="3"/>
  <c r="AJ482" i="3"/>
  <c r="AS481" i="3"/>
  <c r="AR481" i="3"/>
  <c r="AQ481" i="3"/>
  <c r="AP481" i="3"/>
  <c r="AO481" i="3"/>
  <c r="AN481" i="3"/>
  <c r="AM481" i="3"/>
  <c r="AL481" i="3"/>
  <c r="AK481" i="3"/>
  <c r="AJ481" i="3"/>
  <c r="AS480" i="3"/>
  <c r="AR480" i="3"/>
  <c r="AQ480" i="3"/>
  <c r="AP480" i="3"/>
  <c r="AO480" i="3"/>
  <c r="AN480" i="3"/>
  <c r="AM480" i="3"/>
  <c r="AL480" i="3"/>
  <c r="AK480" i="3"/>
  <c r="AJ480" i="3"/>
  <c r="AS479" i="3"/>
  <c r="AR479" i="3"/>
  <c r="AQ479" i="3"/>
  <c r="AP479" i="3"/>
  <c r="AO479" i="3"/>
  <c r="AN479" i="3"/>
  <c r="AM479" i="3"/>
  <c r="AL479" i="3"/>
  <c r="AK479" i="3"/>
  <c r="AJ479" i="3"/>
  <c r="AS478" i="3"/>
  <c r="AR478" i="3"/>
  <c r="AQ478" i="3"/>
  <c r="AP478" i="3"/>
  <c r="AO478" i="3"/>
  <c r="AN478" i="3"/>
  <c r="AM478" i="3"/>
  <c r="AL478" i="3"/>
  <c r="AK478" i="3"/>
  <c r="AJ478" i="3"/>
  <c r="AS477" i="3"/>
  <c r="AR477" i="3"/>
  <c r="AQ477" i="3"/>
  <c r="AP477" i="3"/>
  <c r="AO477" i="3"/>
  <c r="AN477" i="3"/>
  <c r="AM477" i="3"/>
  <c r="AL477" i="3"/>
  <c r="AK477" i="3"/>
  <c r="AJ477" i="3"/>
  <c r="AS476" i="3"/>
  <c r="AR476" i="3"/>
  <c r="AQ476" i="3"/>
  <c r="AP476" i="3"/>
  <c r="AO476" i="3"/>
  <c r="AN476" i="3"/>
  <c r="AM476" i="3"/>
  <c r="AL476" i="3"/>
  <c r="AK476" i="3"/>
  <c r="AJ476" i="3"/>
  <c r="AS475" i="3"/>
  <c r="AR475" i="3"/>
  <c r="AQ475" i="3"/>
  <c r="AP475" i="3"/>
  <c r="AO475" i="3"/>
  <c r="AN475" i="3"/>
  <c r="AM475" i="3"/>
  <c r="AL475" i="3"/>
  <c r="AK475" i="3"/>
  <c r="AJ475" i="3"/>
  <c r="AS474" i="3"/>
  <c r="AR474" i="3"/>
  <c r="AQ474" i="3"/>
  <c r="AP474" i="3"/>
  <c r="AO474" i="3"/>
  <c r="AN474" i="3"/>
  <c r="AM474" i="3"/>
  <c r="AL474" i="3"/>
  <c r="AK474" i="3"/>
  <c r="AJ474" i="3"/>
  <c r="AS473" i="3"/>
  <c r="AR473" i="3"/>
  <c r="AQ473" i="3"/>
  <c r="AP473" i="3"/>
  <c r="AO473" i="3"/>
  <c r="AN473" i="3"/>
  <c r="AM473" i="3"/>
  <c r="AL473" i="3"/>
  <c r="AK473" i="3"/>
  <c r="AJ473" i="3"/>
  <c r="AS472" i="3"/>
  <c r="AR472" i="3"/>
  <c r="AQ472" i="3"/>
  <c r="AP472" i="3"/>
  <c r="AO472" i="3"/>
  <c r="AN472" i="3"/>
  <c r="AM472" i="3"/>
  <c r="AL472" i="3"/>
  <c r="AK472" i="3"/>
  <c r="AJ472" i="3"/>
  <c r="AS471" i="3"/>
  <c r="AR471" i="3"/>
  <c r="AQ471" i="3"/>
  <c r="AP471" i="3"/>
  <c r="AO471" i="3"/>
  <c r="AN471" i="3"/>
  <c r="AM471" i="3"/>
  <c r="AL471" i="3"/>
  <c r="AK471" i="3"/>
  <c r="AJ471" i="3"/>
  <c r="AS470" i="3"/>
  <c r="AR470" i="3"/>
  <c r="AQ470" i="3"/>
  <c r="AP470" i="3"/>
  <c r="AO470" i="3"/>
  <c r="AN470" i="3"/>
  <c r="AM470" i="3"/>
  <c r="AL470" i="3"/>
  <c r="AK470" i="3"/>
  <c r="AJ470" i="3"/>
  <c r="AS469" i="3"/>
  <c r="AR469" i="3"/>
  <c r="AQ469" i="3"/>
  <c r="AP469" i="3"/>
  <c r="AO469" i="3"/>
  <c r="AN469" i="3"/>
  <c r="AM469" i="3"/>
  <c r="AL469" i="3"/>
  <c r="AK469" i="3"/>
  <c r="AJ469" i="3"/>
  <c r="AS468" i="3"/>
  <c r="AR468" i="3"/>
  <c r="AQ468" i="3"/>
  <c r="AP468" i="3"/>
  <c r="AO468" i="3"/>
  <c r="AN468" i="3"/>
  <c r="AM468" i="3"/>
  <c r="AL468" i="3"/>
  <c r="AK468" i="3"/>
  <c r="AJ468" i="3"/>
  <c r="AS467" i="3"/>
  <c r="AR467" i="3"/>
  <c r="AQ467" i="3"/>
  <c r="AP467" i="3"/>
  <c r="AO467" i="3"/>
  <c r="AN467" i="3"/>
  <c r="AM467" i="3"/>
  <c r="AL467" i="3"/>
  <c r="AK467" i="3"/>
  <c r="AJ467" i="3"/>
  <c r="AS466" i="3"/>
  <c r="AR466" i="3"/>
  <c r="AQ466" i="3"/>
  <c r="AP466" i="3"/>
  <c r="AO466" i="3"/>
  <c r="AN466" i="3"/>
  <c r="AM466" i="3"/>
  <c r="AL466" i="3"/>
  <c r="AK466" i="3"/>
  <c r="AJ466" i="3"/>
  <c r="AS465" i="3"/>
  <c r="AR465" i="3"/>
  <c r="AQ465" i="3"/>
  <c r="AP465" i="3"/>
  <c r="AO465" i="3"/>
  <c r="AN465" i="3"/>
  <c r="AM465" i="3"/>
  <c r="AL465" i="3"/>
  <c r="AK465" i="3"/>
  <c r="AJ465" i="3"/>
  <c r="AS464" i="3"/>
  <c r="AR464" i="3"/>
  <c r="AQ464" i="3"/>
  <c r="AP464" i="3"/>
  <c r="AO464" i="3"/>
  <c r="AN464" i="3"/>
  <c r="AM464" i="3"/>
  <c r="AL464" i="3"/>
  <c r="AK464" i="3"/>
  <c r="AJ464" i="3"/>
  <c r="AS463" i="3"/>
  <c r="AR463" i="3"/>
  <c r="AQ463" i="3"/>
  <c r="AP463" i="3"/>
  <c r="AO463" i="3"/>
  <c r="AN463" i="3"/>
  <c r="AM463" i="3"/>
  <c r="AL463" i="3"/>
  <c r="AK463" i="3"/>
  <c r="AJ463" i="3"/>
  <c r="AS462" i="3"/>
  <c r="AR462" i="3"/>
  <c r="AQ462" i="3"/>
  <c r="AP462" i="3"/>
  <c r="AO462" i="3"/>
  <c r="AN462" i="3"/>
  <c r="AM462" i="3"/>
  <c r="AL462" i="3"/>
  <c r="AK462" i="3"/>
  <c r="AJ462" i="3"/>
  <c r="AS461" i="3"/>
  <c r="AR461" i="3"/>
  <c r="AQ461" i="3"/>
  <c r="AP461" i="3"/>
  <c r="AO461" i="3"/>
  <c r="AN461" i="3"/>
  <c r="AM461" i="3"/>
  <c r="AL461" i="3"/>
  <c r="AK461" i="3"/>
  <c r="AJ461" i="3"/>
  <c r="AS460" i="3"/>
  <c r="AR460" i="3"/>
  <c r="AQ460" i="3"/>
  <c r="AP460" i="3"/>
  <c r="AO460" i="3"/>
  <c r="AN460" i="3"/>
  <c r="AM460" i="3"/>
  <c r="AL460" i="3"/>
  <c r="AK460" i="3"/>
  <c r="AJ460" i="3"/>
  <c r="AS459" i="3"/>
  <c r="AR459" i="3"/>
  <c r="AQ459" i="3"/>
  <c r="AP459" i="3"/>
  <c r="AO459" i="3"/>
  <c r="AN459" i="3"/>
  <c r="AM459" i="3"/>
  <c r="AL459" i="3"/>
  <c r="AK459" i="3"/>
  <c r="AJ459" i="3"/>
  <c r="AS458" i="3"/>
  <c r="AR458" i="3"/>
  <c r="AQ458" i="3"/>
  <c r="AP458" i="3"/>
  <c r="AO458" i="3"/>
  <c r="AN458" i="3"/>
  <c r="AM458" i="3"/>
  <c r="AL458" i="3"/>
  <c r="AK458" i="3"/>
  <c r="AJ458" i="3"/>
  <c r="AS457" i="3"/>
  <c r="AR457" i="3"/>
  <c r="AQ457" i="3"/>
  <c r="AP457" i="3"/>
  <c r="AO457" i="3"/>
  <c r="AN457" i="3"/>
  <c r="AM457" i="3"/>
  <c r="AL457" i="3"/>
  <c r="AK457" i="3"/>
  <c r="AJ457" i="3"/>
  <c r="AS456" i="3"/>
  <c r="AR456" i="3"/>
  <c r="AQ456" i="3"/>
  <c r="AP456" i="3"/>
  <c r="AO456" i="3"/>
  <c r="AN456" i="3"/>
  <c r="AM456" i="3"/>
  <c r="AL456" i="3"/>
  <c r="AK456" i="3"/>
  <c r="AJ456" i="3"/>
  <c r="AS455" i="3"/>
  <c r="AR455" i="3"/>
  <c r="AQ455" i="3"/>
  <c r="AP455" i="3"/>
  <c r="AO455" i="3"/>
  <c r="AN455" i="3"/>
  <c r="AM455" i="3"/>
  <c r="AL455" i="3"/>
  <c r="AK455" i="3"/>
  <c r="AJ455" i="3"/>
  <c r="AS454" i="3"/>
  <c r="AR454" i="3"/>
  <c r="AQ454" i="3"/>
  <c r="AP454" i="3"/>
  <c r="AO454" i="3"/>
  <c r="AN454" i="3"/>
  <c r="AM454" i="3"/>
  <c r="AL454" i="3"/>
  <c r="AK454" i="3"/>
  <c r="AJ454" i="3"/>
  <c r="AS453" i="3"/>
  <c r="AR453" i="3"/>
  <c r="AQ453" i="3"/>
  <c r="AP453" i="3"/>
  <c r="AO453" i="3"/>
  <c r="AN453" i="3"/>
  <c r="AM453" i="3"/>
  <c r="AL453" i="3"/>
  <c r="AK453" i="3"/>
  <c r="AJ453" i="3"/>
  <c r="AS452" i="3"/>
  <c r="AR452" i="3"/>
  <c r="AQ452" i="3"/>
  <c r="AP452" i="3"/>
  <c r="AO452" i="3"/>
  <c r="AN452" i="3"/>
  <c r="AM452" i="3"/>
  <c r="AL452" i="3"/>
  <c r="AK452" i="3"/>
  <c r="AJ452" i="3"/>
  <c r="AS451" i="3"/>
  <c r="AR451" i="3"/>
  <c r="AQ451" i="3"/>
  <c r="AP451" i="3"/>
  <c r="AO451" i="3"/>
  <c r="AN451" i="3"/>
  <c r="AM451" i="3"/>
  <c r="AL451" i="3"/>
  <c r="AK451" i="3"/>
  <c r="AJ451" i="3"/>
  <c r="AS450" i="3"/>
  <c r="AR450" i="3"/>
  <c r="AQ450" i="3"/>
  <c r="AP450" i="3"/>
  <c r="AO450" i="3"/>
  <c r="AN450" i="3"/>
  <c r="AM450" i="3"/>
  <c r="AL450" i="3"/>
  <c r="AK450" i="3"/>
  <c r="AJ450" i="3"/>
  <c r="AS449" i="3"/>
  <c r="AR449" i="3"/>
  <c r="AQ449" i="3"/>
  <c r="AP449" i="3"/>
  <c r="AO449" i="3"/>
  <c r="AN449" i="3"/>
  <c r="AM449" i="3"/>
  <c r="AL449" i="3"/>
  <c r="AK449" i="3"/>
  <c r="AJ449" i="3"/>
  <c r="AS448" i="3"/>
  <c r="AR448" i="3"/>
  <c r="AQ448" i="3"/>
  <c r="AP448" i="3"/>
  <c r="AO448" i="3"/>
  <c r="AN448" i="3"/>
  <c r="AM448" i="3"/>
  <c r="AL448" i="3"/>
  <c r="AK448" i="3"/>
  <c r="AJ448" i="3"/>
  <c r="AS447" i="3"/>
  <c r="AR447" i="3"/>
  <c r="AQ447" i="3"/>
  <c r="AP447" i="3"/>
  <c r="AO447" i="3"/>
  <c r="AN447" i="3"/>
  <c r="AM447" i="3"/>
  <c r="AL447" i="3"/>
  <c r="AK447" i="3"/>
  <c r="AJ447" i="3"/>
  <c r="AS446" i="3"/>
  <c r="AR446" i="3"/>
  <c r="AQ446" i="3"/>
  <c r="AP446" i="3"/>
  <c r="AO446" i="3"/>
  <c r="AN446" i="3"/>
  <c r="AM446" i="3"/>
  <c r="AL446" i="3"/>
  <c r="AK446" i="3"/>
  <c r="AJ446" i="3"/>
  <c r="AS445" i="3"/>
  <c r="AR445" i="3"/>
  <c r="AQ445" i="3"/>
  <c r="AP445" i="3"/>
  <c r="AO445" i="3"/>
  <c r="AN445" i="3"/>
  <c r="AM445" i="3"/>
  <c r="AL445" i="3"/>
  <c r="AK445" i="3"/>
  <c r="AJ445" i="3"/>
  <c r="AS444" i="3"/>
  <c r="AR444" i="3"/>
  <c r="AQ444" i="3"/>
  <c r="AP444" i="3"/>
  <c r="AO444" i="3"/>
  <c r="AN444" i="3"/>
  <c r="AM444" i="3"/>
  <c r="AL444" i="3"/>
  <c r="AK444" i="3"/>
  <c r="AJ444" i="3"/>
  <c r="AS443" i="3"/>
  <c r="AR443" i="3"/>
  <c r="AQ443" i="3"/>
  <c r="AP443" i="3"/>
  <c r="AO443" i="3"/>
  <c r="AN443" i="3"/>
  <c r="AM443" i="3"/>
  <c r="AL443" i="3"/>
  <c r="AK443" i="3"/>
  <c r="AJ443" i="3"/>
  <c r="AS442" i="3"/>
  <c r="AR442" i="3"/>
  <c r="AQ442" i="3"/>
  <c r="AP442" i="3"/>
  <c r="AO442" i="3"/>
  <c r="AN442" i="3"/>
  <c r="AM442" i="3"/>
  <c r="AL442" i="3"/>
  <c r="AK442" i="3"/>
  <c r="AJ442" i="3"/>
  <c r="AS441" i="3"/>
  <c r="AR441" i="3"/>
  <c r="AQ441" i="3"/>
  <c r="AP441" i="3"/>
  <c r="AO441" i="3"/>
  <c r="AN441" i="3"/>
  <c r="AM441" i="3"/>
  <c r="AL441" i="3"/>
  <c r="AK441" i="3"/>
  <c r="AJ441" i="3"/>
  <c r="AS434" i="3"/>
  <c r="AR434" i="3"/>
  <c r="AQ434" i="3"/>
  <c r="AP434" i="3"/>
  <c r="AO434" i="3"/>
  <c r="AN434" i="3"/>
  <c r="AM434" i="3"/>
  <c r="AL434" i="3"/>
  <c r="AK434" i="3"/>
  <c r="AJ434" i="3"/>
  <c r="AS433" i="3"/>
  <c r="AR433" i="3"/>
  <c r="AQ433" i="3"/>
  <c r="AP433" i="3"/>
  <c r="AO433" i="3"/>
  <c r="AN433" i="3"/>
  <c r="AM433" i="3"/>
  <c r="AL433" i="3"/>
  <c r="AK433" i="3"/>
  <c r="AJ433" i="3"/>
  <c r="AS424" i="3"/>
  <c r="AR424" i="3"/>
  <c r="AQ424" i="3"/>
  <c r="AP424" i="3"/>
  <c r="AO424" i="3"/>
  <c r="AN424" i="3"/>
  <c r="AM424" i="3"/>
  <c r="AL424" i="3"/>
  <c r="AK424" i="3"/>
  <c r="AJ424" i="3"/>
  <c r="AS423" i="3"/>
  <c r="AR423" i="3"/>
  <c r="AQ423" i="3"/>
  <c r="AP423" i="3"/>
  <c r="AO423" i="3"/>
  <c r="AN423" i="3"/>
  <c r="AM423" i="3"/>
  <c r="AL423" i="3"/>
  <c r="AK423" i="3"/>
  <c r="AJ423" i="3"/>
  <c r="AS412" i="3"/>
  <c r="AR412" i="3"/>
  <c r="AQ412" i="3"/>
  <c r="AP412" i="3"/>
  <c r="AO412" i="3"/>
  <c r="AN412" i="3"/>
  <c r="AM412" i="3"/>
  <c r="AL412" i="3"/>
  <c r="AK412" i="3"/>
  <c r="AJ412" i="3"/>
  <c r="AS411" i="3"/>
  <c r="AR411" i="3"/>
  <c r="AQ411" i="3"/>
  <c r="AP411" i="3"/>
  <c r="AO411" i="3"/>
  <c r="AN411" i="3"/>
  <c r="AM411" i="3"/>
  <c r="AL411" i="3"/>
  <c r="AK411" i="3"/>
  <c r="AJ411" i="3"/>
  <c r="AS404" i="3"/>
  <c r="AR404" i="3"/>
  <c r="AQ404" i="3"/>
  <c r="AP404" i="3"/>
  <c r="AO404" i="3"/>
  <c r="AN404" i="3"/>
  <c r="AM404" i="3"/>
  <c r="AL404" i="3"/>
  <c r="AK404" i="3"/>
  <c r="AJ404" i="3"/>
  <c r="AS403" i="3"/>
  <c r="AR403" i="3"/>
  <c r="AQ403" i="3"/>
  <c r="AP403" i="3"/>
  <c r="AO403" i="3"/>
  <c r="AN403" i="3"/>
  <c r="AM403" i="3"/>
  <c r="AL403" i="3"/>
  <c r="AK403" i="3"/>
  <c r="AJ403" i="3"/>
  <c r="AS402" i="3"/>
  <c r="AR402" i="3"/>
  <c r="AQ402" i="3"/>
  <c r="AP402" i="3"/>
  <c r="AO402" i="3"/>
  <c r="AN402" i="3"/>
  <c r="AM402" i="3"/>
  <c r="AL402" i="3"/>
  <c r="AK402" i="3"/>
  <c r="AJ402" i="3"/>
  <c r="AS401" i="3"/>
  <c r="AR401" i="3"/>
  <c r="AQ401" i="3"/>
  <c r="AP401" i="3"/>
  <c r="AO401" i="3"/>
  <c r="AN401" i="3"/>
  <c r="AM401" i="3"/>
  <c r="AL401" i="3"/>
  <c r="AK401" i="3"/>
  <c r="AJ401" i="3"/>
  <c r="AS400" i="3"/>
  <c r="AR400" i="3"/>
  <c r="AQ400" i="3"/>
  <c r="AP400" i="3"/>
  <c r="AO400" i="3"/>
  <c r="AN400" i="3"/>
  <c r="AM400" i="3"/>
  <c r="AL400" i="3"/>
  <c r="AK400" i="3"/>
  <c r="AJ400" i="3"/>
  <c r="AS399" i="3"/>
  <c r="AR399" i="3"/>
  <c r="AQ399" i="3"/>
  <c r="AP399" i="3"/>
  <c r="AO399" i="3"/>
  <c r="AN399" i="3"/>
  <c r="AM399" i="3"/>
  <c r="AL399" i="3"/>
  <c r="AK399" i="3"/>
  <c r="AJ399" i="3"/>
  <c r="AS398" i="3"/>
  <c r="AR398" i="3"/>
  <c r="AQ398" i="3"/>
  <c r="AP398" i="3"/>
  <c r="AO398" i="3"/>
  <c r="AN398" i="3"/>
  <c r="AM398" i="3"/>
  <c r="AL398" i="3"/>
  <c r="AK398" i="3"/>
  <c r="AJ398" i="3"/>
  <c r="AS397" i="3"/>
  <c r="AR397" i="3"/>
  <c r="AQ397" i="3"/>
  <c r="AP397" i="3"/>
  <c r="AO397" i="3"/>
  <c r="AN397" i="3"/>
  <c r="AM397" i="3"/>
  <c r="AL397" i="3"/>
  <c r="AK397" i="3"/>
  <c r="AJ397" i="3"/>
  <c r="AS396" i="3"/>
  <c r="AR396" i="3"/>
  <c r="AQ396" i="3"/>
  <c r="AP396" i="3"/>
  <c r="AO396" i="3"/>
  <c r="AN396" i="3"/>
  <c r="AM396" i="3"/>
  <c r="AL396" i="3"/>
  <c r="AK396" i="3"/>
  <c r="AJ396" i="3"/>
  <c r="AS395" i="3"/>
  <c r="AR395" i="3"/>
  <c r="AQ395" i="3"/>
  <c r="AP395" i="3"/>
  <c r="AO395" i="3"/>
  <c r="AN395" i="3"/>
  <c r="AM395" i="3"/>
  <c r="AL395" i="3"/>
  <c r="AK395" i="3"/>
  <c r="AJ395" i="3"/>
  <c r="AS394" i="3"/>
  <c r="AR394" i="3"/>
  <c r="AQ394" i="3"/>
  <c r="AP394" i="3"/>
  <c r="AO394" i="3"/>
  <c r="AN394" i="3"/>
  <c r="AM394" i="3"/>
  <c r="AL394" i="3"/>
  <c r="AK394" i="3"/>
  <c r="AJ394" i="3"/>
  <c r="AS393" i="3"/>
  <c r="AR393" i="3"/>
  <c r="AQ393" i="3"/>
  <c r="AP393" i="3"/>
  <c r="AO393" i="3"/>
  <c r="AN393" i="3"/>
  <c r="AM393" i="3"/>
  <c r="AL393" i="3"/>
  <c r="AK393" i="3"/>
  <c r="AJ393" i="3"/>
  <c r="AS392" i="3"/>
  <c r="AR392" i="3"/>
  <c r="AQ392" i="3"/>
  <c r="AP392" i="3"/>
  <c r="AO392" i="3"/>
  <c r="AN392" i="3"/>
  <c r="AM392" i="3"/>
  <c r="AL392" i="3"/>
  <c r="AK392" i="3"/>
  <c r="AJ392" i="3"/>
  <c r="AS391" i="3"/>
  <c r="AR391" i="3"/>
  <c r="AQ391" i="3"/>
  <c r="AP391" i="3"/>
  <c r="AO391" i="3"/>
  <c r="AN391" i="3"/>
  <c r="AM391" i="3"/>
  <c r="AL391" i="3"/>
  <c r="AK391" i="3"/>
  <c r="AJ391" i="3"/>
  <c r="AS390" i="3"/>
  <c r="AR390" i="3"/>
  <c r="AQ390" i="3"/>
  <c r="AP390" i="3"/>
  <c r="AO390" i="3"/>
  <c r="AN390" i="3"/>
  <c r="AM390" i="3"/>
  <c r="AL390" i="3"/>
  <c r="AK390" i="3"/>
  <c r="AJ390" i="3"/>
  <c r="AS389" i="3"/>
  <c r="AR389" i="3"/>
  <c r="AQ389" i="3"/>
  <c r="AP389" i="3"/>
  <c r="AO389" i="3"/>
  <c r="AN389" i="3"/>
  <c r="AM389" i="3"/>
  <c r="AL389" i="3"/>
  <c r="AK389" i="3"/>
  <c r="AJ389" i="3"/>
  <c r="AS388" i="3"/>
  <c r="AR388" i="3"/>
  <c r="AQ388" i="3"/>
  <c r="AP388" i="3"/>
  <c r="AO388" i="3"/>
  <c r="AN388" i="3"/>
  <c r="AM388" i="3"/>
  <c r="AL388" i="3"/>
  <c r="AK388" i="3"/>
  <c r="AJ388" i="3"/>
  <c r="AS387" i="3"/>
  <c r="AR387" i="3"/>
  <c r="AQ387" i="3"/>
  <c r="AP387" i="3"/>
  <c r="AO387" i="3"/>
  <c r="AN387" i="3"/>
  <c r="AM387" i="3"/>
  <c r="AL387" i="3"/>
  <c r="AK387" i="3"/>
  <c r="AJ387" i="3"/>
  <c r="AS386" i="3"/>
  <c r="AR386" i="3"/>
  <c r="AQ386" i="3"/>
  <c r="AP386" i="3"/>
  <c r="AO386" i="3"/>
  <c r="AN386" i="3"/>
  <c r="AM386" i="3"/>
  <c r="AL386" i="3"/>
  <c r="AK386" i="3"/>
  <c r="AJ386" i="3"/>
  <c r="AS385" i="3"/>
  <c r="AR385" i="3"/>
  <c r="AQ385" i="3"/>
  <c r="AP385" i="3"/>
  <c r="AO385" i="3"/>
  <c r="AN385" i="3"/>
  <c r="AM385" i="3"/>
  <c r="AL385" i="3"/>
  <c r="AK385" i="3"/>
  <c r="AJ385" i="3"/>
  <c r="AS384" i="3"/>
  <c r="AR384" i="3"/>
  <c r="AQ384" i="3"/>
  <c r="AP384" i="3"/>
  <c r="AO384" i="3"/>
  <c r="AN384" i="3"/>
  <c r="AM384" i="3"/>
  <c r="AL384" i="3"/>
  <c r="AK384" i="3"/>
  <c r="AJ384" i="3"/>
  <c r="AS383" i="3"/>
  <c r="AR383" i="3"/>
  <c r="AQ383" i="3"/>
  <c r="AP383" i="3"/>
  <c r="AO383" i="3"/>
  <c r="AN383" i="3"/>
  <c r="AM383" i="3"/>
  <c r="AL383" i="3"/>
  <c r="AK383" i="3"/>
  <c r="AJ383" i="3"/>
  <c r="AS382" i="3"/>
  <c r="AR382" i="3"/>
  <c r="AQ382" i="3"/>
  <c r="AP382" i="3"/>
  <c r="AO382" i="3"/>
  <c r="AN382" i="3"/>
  <c r="AM382" i="3"/>
  <c r="AL382" i="3"/>
  <c r="AK382" i="3"/>
  <c r="AJ382" i="3"/>
  <c r="AS381" i="3"/>
  <c r="AR381" i="3"/>
  <c r="AQ381" i="3"/>
  <c r="AP381" i="3"/>
  <c r="AO381" i="3"/>
  <c r="AN381" i="3"/>
  <c r="AM381" i="3"/>
  <c r="AL381" i="3"/>
  <c r="AK381" i="3"/>
  <c r="AJ381" i="3"/>
  <c r="AS380" i="3"/>
  <c r="AR380" i="3"/>
  <c r="AQ380" i="3"/>
  <c r="AP380" i="3"/>
  <c r="AO380" i="3"/>
  <c r="AN380" i="3"/>
  <c r="AM380" i="3"/>
  <c r="AL380" i="3"/>
  <c r="AK380" i="3"/>
  <c r="AJ380" i="3"/>
  <c r="AS379" i="3"/>
  <c r="AR379" i="3"/>
  <c r="AQ379" i="3"/>
  <c r="AP379" i="3"/>
  <c r="AO379" i="3"/>
  <c r="AN379" i="3"/>
  <c r="AM379" i="3"/>
  <c r="AL379" i="3"/>
  <c r="AK379" i="3"/>
  <c r="AJ379" i="3"/>
  <c r="AS378" i="3"/>
  <c r="AR378" i="3"/>
  <c r="AQ378" i="3"/>
  <c r="AP378" i="3"/>
  <c r="AO378" i="3"/>
  <c r="AN378" i="3"/>
  <c r="AM378" i="3"/>
  <c r="AL378" i="3"/>
  <c r="AK378" i="3"/>
  <c r="AJ378" i="3"/>
  <c r="AS377" i="3"/>
  <c r="AR377" i="3"/>
  <c r="AQ377" i="3"/>
  <c r="AP377" i="3"/>
  <c r="AO377" i="3"/>
  <c r="AN377" i="3"/>
  <c r="AM377" i="3"/>
  <c r="AL377" i="3"/>
  <c r="AK377" i="3"/>
  <c r="AJ377" i="3"/>
  <c r="AS376" i="3"/>
  <c r="AR376" i="3"/>
  <c r="AQ376" i="3"/>
  <c r="AP376" i="3"/>
  <c r="AO376" i="3"/>
  <c r="AN376" i="3"/>
  <c r="AM376" i="3"/>
  <c r="AL376" i="3"/>
  <c r="AK376" i="3"/>
  <c r="AJ376" i="3"/>
  <c r="AS375" i="3"/>
  <c r="AR375" i="3"/>
  <c r="AQ375" i="3"/>
  <c r="AP375" i="3"/>
  <c r="AO375" i="3"/>
  <c r="AN375" i="3"/>
  <c r="AM375" i="3"/>
  <c r="AL375" i="3"/>
  <c r="AK375" i="3"/>
  <c r="AJ375" i="3"/>
  <c r="AS374" i="3"/>
  <c r="AR374" i="3"/>
  <c r="AQ374" i="3"/>
  <c r="AP374" i="3"/>
  <c r="AO374" i="3"/>
  <c r="AN374" i="3"/>
  <c r="AM374" i="3"/>
  <c r="AL374" i="3"/>
  <c r="AK374" i="3"/>
  <c r="AJ374" i="3"/>
  <c r="AS373" i="3"/>
  <c r="AR373" i="3"/>
  <c r="AQ373" i="3"/>
  <c r="AP373" i="3"/>
  <c r="AO373" i="3"/>
  <c r="AN373" i="3"/>
  <c r="AM373" i="3"/>
  <c r="AL373" i="3"/>
  <c r="AK373" i="3"/>
  <c r="AJ373" i="3"/>
  <c r="AS372" i="3"/>
  <c r="AR372" i="3"/>
  <c r="AQ372" i="3"/>
  <c r="AP372" i="3"/>
  <c r="AO372" i="3"/>
  <c r="AN372" i="3"/>
  <c r="AM372" i="3"/>
  <c r="AL372" i="3"/>
  <c r="AK372" i="3"/>
  <c r="AJ372" i="3"/>
  <c r="AS371" i="3"/>
  <c r="AR371" i="3"/>
  <c r="AQ371" i="3"/>
  <c r="AP371" i="3"/>
  <c r="AO371" i="3"/>
  <c r="AN371" i="3"/>
  <c r="AM371" i="3"/>
  <c r="AL371" i="3"/>
  <c r="AK371" i="3"/>
  <c r="AJ371" i="3"/>
  <c r="AS370" i="3"/>
  <c r="AR370" i="3"/>
  <c r="AQ370" i="3"/>
  <c r="AP370" i="3"/>
  <c r="AO370" i="3"/>
  <c r="AN370" i="3"/>
  <c r="AM370" i="3"/>
  <c r="AL370" i="3"/>
  <c r="AK370" i="3"/>
  <c r="AJ370" i="3"/>
  <c r="AS369" i="3"/>
  <c r="AR369" i="3"/>
  <c r="AQ369" i="3"/>
  <c r="AP369" i="3"/>
  <c r="AO369" i="3"/>
  <c r="AN369" i="3"/>
  <c r="AM369" i="3"/>
  <c r="AL369" i="3"/>
  <c r="AK369" i="3"/>
  <c r="AJ369" i="3"/>
  <c r="AS368" i="3"/>
  <c r="AR368" i="3"/>
  <c r="AQ368" i="3"/>
  <c r="AP368" i="3"/>
  <c r="AO368" i="3"/>
  <c r="AN368" i="3"/>
  <c r="AM368" i="3"/>
  <c r="AL368" i="3"/>
  <c r="AK368" i="3"/>
  <c r="AJ368" i="3"/>
  <c r="AS367" i="3"/>
  <c r="AR367" i="3"/>
  <c r="AQ367" i="3"/>
  <c r="AP367" i="3"/>
  <c r="AO367" i="3"/>
  <c r="AN367" i="3"/>
  <c r="AM367" i="3"/>
  <c r="AL367" i="3"/>
  <c r="AK367" i="3"/>
  <c r="AJ367" i="3"/>
  <c r="AS366" i="3"/>
  <c r="AR366" i="3"/>
  <c r="AQ366" i="3"/>
  <c r="AP366" i="3"/>
  <c r="AO366" i="3"/>
  <c r="AN366" i="3"/>
  <c r="AM366" i="3"/>
  <c r="AL366" i="3"/>
  <c r="AK366" i="3"/>
  <c r="AJ366" i="3"/>
  <c r="AS365" i="3"/>
  <c r="AR365" i="3"/>
  <c r="AQ365" i="3"/>
  <c r="AP365" i="3"/>
  <c r="AO365" i="3"/>
  <c r="AN365" i="3"/>
  <c r="AM365" i="3"/>
  <c r="AL365" i="3"/>
  <c r="AK365" i="3"/>
  <c r="AJ365" i="3"/>
  <c r="AS364" i="3"/>
  <c r="AR364" i="3"/>
  <c r="AQ364" i="3"/>
  <c r="AP364" i="3"/>
  <c r="AO364" i="3"/>
  <c r="AN364" i="3"/>
  <c r="AM364" i="3"/>
  <c r="AL364" i="3"/>
  <c r="AK364" i="3"/>
  <c r="AJ364" i="3"/>
  <c r="AS363" i="3"/>
  <c r="AR363" i="3"/>
  <c r="AQ363" i="3"/>
  <c r="AP363" i="3"/>
  <c r="AO363" i="3"/>
  <c r="AN363" i="3"/>
  <c r="AM363" i="3"/>
  <c r="AL363" i="3"/>
  <c r="AK363" i="3"/>
  <c r="AJ363" i="3"/>
  <c r="AS362" i="3"/>
  <c r="AR362" i="3"/>
  <c r="AQ362" i="3"/>
  <c r="AP362" i="3"/>
  <c r="AO362" i="3"/>
  <c r="AN362" i="3"/>
  <c r="AM362" i="3"/>
  <c r="AL362" i="3"/>
  <c r="AK362" i="3"/>
  <c r="AJ362" i="3"/>
  <c r="AS361" i="3"/>
  <c r="AR361" i="3"/>
  <c r="AQ361" i="3"/>
  <c r="AP361" i="3"/>
  <c r="AO361" i="3"/>
  <c r="AN361" i="3"/>
  <c r="AM361" i="3"/>
  <c r="AL361" i="3"/>
  <c r="AK361" i="3"/>
  <c r="AJ361" i="3"/>
  <c r="AS360" i="3"/>
  <c r="AR360" i="3"/>
  <c r="AQ360" i="3"/>
  <c r="AP360" i="3"/>
  <c r="AO360" i="3"/>
  <c r="AN360" i="3"/>
  <c r="AM360" i="3"/>
  <c r="AL360" i="3"/>
  <c r="AK360" i="3"/>
  <c r="AJ360" i="3"/>
  <c r="AS359" i="3"/>
  <c r="AR359" i="3"/>
  <c r="AQ359" i="3"/>
  <c r="AP359" i="3"/>
  <c r="AO359" i="3"/>
  <c r="AN359" i="3"/>
  <c r="AM359" i="3"/>
  <c r="AL359" i="3"/>
  <c r="AK359" i="3"/>
  <c r="AJ359" i="3"/>
  <c r="AS358" i="3"/>
  <c r="AR358" i="3"/>
  <c r="AQ358" i="3"/>
  <c r="AP358" i="3"/>
  <c r="AO358" i="3"/>
  <c r="AN358" i="3"/>
  <c r="AM358" i="3"/>
  <c r="AL358" i="3"/>
  <c r="AK358" i="3"/>
  <c r="AJ358" i="3"/>
  <c r="AS357" i="3"/>
  <c r="AR357" i="3"/>
  <c r="AQ357" i="3"/>
  <c r="AP357" i="3"/>
  <c r="AO357" i="3"/>
  <c r="AN357" i="3"/>
  <c r="AM357" i="3"/>
  <c r="AL357" i="3"/>
  <c r="AK357" i="3"/>
  <c r="AJ357" i="3"/>
  <c r="AS356" i="3"/>
  <c r="AR356" i="3"/>
  <c r="AQ356" i="3"/>
  <c r="AP356" i="3"/>
  <c r="AO356" i="3"/>
  <c r="AN356" i="3"/>
  <c r="AM356" i="3"/>
  <c r="AL356" i="3"/>
  <c r="AK356" i="3"/>
  <c r="AJ356" i="3"/>
  <c r="AS355" i="3"/>
  <c r="AR355" i="3"/>
  <c r="AQ355" i="3"/>
  <c r="AP355" i="3"/>
  <c r="AO355" i="3"/>
  <c r="AN355" i="3"/>
  <c r="AM355" i="3"/>
  <c r="AL355" i="3"/>
  <c r="AK355" i="3"/>
  <c r="AJ355" i="3"/>
  <c r="AS354" i="3"/>
  <c r="AR354" i="3"/>
  <c r="AQ354" i="3"/>
  <c r="AP354" i="3"/>
  <c r="AO354" i="3"/>
  <c r="AN354" i="3"/>
  <c r="AM354" i="3"/>
  <c r="AL354" i="3"/>
  <c r="AK354" i="3"/>
  <c r="AJ354" i="3"/>
  <c r="AS353" i="3"/>
  <c r="AR353" i="3"/>
  <c r="AQ353" i="3"/>
  <c r="AP353" i="3"/>
  <c r="AO353" i="3"/>
  <c r="AN353" i="3"/>
  <c r="AM353" i="3"/>
  <c r="AL353" i="3"/>
  <c r="AK353" i="3"/>
  <c r="AJ353" i="3"/>
  <c r="AS352" i="3"/>
  <c r="AR352" i="3"/>
  <c r="AQ352" i="3"/>
  <c r="AP352" i="3"/>
  <c r="AO352" i="3"/>
  <c r="AN352" i="3"/>
  <c r="AM352" i="3"/>
  <c r="AL352" i="3"/>
  <c r="AK352" i="3"/>
  <c r="AJ352" i="3"/>
  <c r="AS351" i="3"/>
  <c r="AR351" i="3"/>
  <c r="AQ351" i="3"/>
  <c r="AP351" i="3"/>
  <c r="AO351" i="3"/>
  <c r="AN351" i="3"/>
  <c r="AM351" i="3"/>
  <c r="AL351" i="3"/>
  <c r="AK351" i="3"/>
  <c r="AJ351" i="3"/>
  <c r="AS350" i="3"/>
  <c r="AR350" i="3"/>
  <c r="AQ350" i="3"/>
  <c r="AP350" i="3"/>
  <c r="AO350" i="3"/>
  <c r="AN350" i="3"/>
  <c r="AM350" i="3"/>
  <c r="AL350" i="3"/>
  <c r="AK350" i="3"/>
  <c r="AJ350" i="3"/>
  <c r="AS349" i="3"/>
  <c r="AR349" i="3"/>
  <c r="AQ349" i="3"/>
  <c r="AP349" i="3"/>
  <c r="AO349" i="3"/>
  <c r="AN349" i="3"/>
  <c r="AM349" i="3"/>
  <c r="AL349" i="3"/>
  <c r="AK349" i="3"/>
  <c r="AJ349" i="3"/>
  <c r="AS348" i="3"/>
  <c r="AR348" i="3"/>
  <c r="AQ348" i="3"/>
  <c r="AP348" i="3"/>
  <c r="AO348" i="3"/>
  <c r="AN348" i="3"/>
  <c r="AM348" i="3"/>
  <c r="AL348" i="3"/>
  <c r="AK348" i="3"/>
  <c r="AJ348" i="3"/>
  <c r="AS347" i="3"/>
  <c r="AR347" i="3"/>
  <c r="AQ347" i="3"/>
  <c r="AP347" i="3"/>
  <c r="AO347" i="3"/>
  <c r="AN347" i="3"/>
  <c r="AM347" i="3"/>
  <c r="AL347" i="3"/>
  <c r="AK347" i="3"/>
  <c r="AJ347" i="3"/>
  <c r="AS346" i="3"/>
  <c r="AR346" i="3"/>
  <c r="AQ346" i="3"/>
  <c r="AP346" i="3"/>
  <c r="AO346" i="3"/>
  <c r="AN346" i="3"/>
  <c r="AM346" i="3"/>
  <c r="AL346" i="3"/>
  <c r="AK346" i="3"/>
  <c r="AJ346" i="3"/>
  <c r="AS345" i="3"/>
  <c r="AR345" i="3"/>
  <c r="AQ345" i="3"/>
  <c r="AP345" i="3"/>
  <c r="AO345" i="3"/>
  <c r="AN345" i="3"/>
  <c r="AM345" i="3"/>
  <c r="AL345" i="3"/>
  <c r="AK345" i="3"/>
  <c r="AJ345" i="3"/>
  <c r="AS344" i="3"/>
  <c r="AR344" i="3"/>
  <c r="AQ344" i="3"/>
  <c r="AP344" i="3"/>
  <c r="AO344" i="3"/>
  <c r="AN344" i="3"/>
  <c r="AM344" i="3"/>
  <c r="AL344" i="3"/>
  <c r="AK344" i="3"/>
  <c r="AJ344" i="3"/>
  <c r="AS343" i="3"/>
  <c r="AR343" i="3"/>
  <c r="AQ343" i="3"/>
  <c r="AP343" i="3"/>
  <c r="AO343" i="3"/>
  <c r="AN343" i="3"/>
  <c r="AM343" i="3"/>
  <c r="AL343" i="3"/>
  <c r="AK343" i="3"/>
  <c r="AJ343" i="3"/>
  <c r="AS342" i="3"/>
  <c r="AR342" i="3"/>
  <c r="AQ342" i="3"/>
  <c r="AP342" i="3"/>
  <c r="AO342" i="3"/>
  <c r="AN342" i="3"/>
  <c r="AM342" i="3"/>
  <c r="AL342" i="3"/>
  <c r="AK342" i="3"/>
  <c r="AJ342" i="3"/>
  <c r="AS341" i="3"/>
  <c r="AR341" i="3"/>
  <c r="AQ341" i="3"/>
  <c r="AP341" i="3"/>
  <c r="AO341" i="3"/>
  <c r="AN341" i="3"/>
  <c r="AM341" i="3"/>
  <c r="AL341" i="3"/>
  <c r="AK341" i="3"/>
  <c r="AJ341" i="3"/>
  <c r="AS340" i="3"/>
  <c r="AR340" i="3"/>
  <c r="AQ340" i="3"/>
  <c r="AP340" i="3"/>
  <c r="AO340" i="3"/>
  <c r="AN340" i="3"/>
  <c r="AM340" i="3"/>
  <c r="AL340" i="3"/>
  <c r="AK340" i="3"/>
  <c r="AJ340" i="3"/>
  <c r="AS339" i="3"/>
  <c r="AR339" i="3"/>
  <c r="AQ339" i="3"/>
  <c r="AP339" i="3"/>
  <c r="AO339" i="3"/>
  <c r="AN339" i="3"/>
  <c r="AM339" i="3"/>
  <c r="AL339" i="3"/>
  <c r="AK339" i="3"/>
  <c r="AJ339" i="3"/>
  <c r="AS338" i="3"/>
  <c r="AR338" i="3"/>
  <c r="AQ338" i="3"/>
  <c r="AP338" i="3"/>
  <c r="AO338" i="3"/>
  <c r="AN338" i="3"/>
  <c r="AM338" i="3"/>
  <c r="AL338" i="3"/>
  <c r="AK338" i="3"/>
  <c r="AJ338" i="3"/>
  <c r="AS337" i="3"/>
  <c r="AR337" i="3"/>
  <c r="AQ337" i="3"/>
  <c r="AP337" i="3"/>
  <c r="AO337" i="3"/>
  <c r="AN337" i="3"/>
  <c r="AM337" i="3"/>
  <c r="AL337" i="3"/>
  <c r="AK337" i="3"/>
  <c r="AJ337" i="3"/>
  <c r="AS336" i="3"/>
  <c r="AR336" i="3"/>
  <c r="AQ336" i="3"/>
  <c r="AP336" i="3"/>
  <c r="AO336" i="3"/>
  <c r="AN336" i="3"/>
  <c r="AM336" i="3"/>
  <c r="AL336" i="3"/>
  <c r="AK336" i="3"/>
  <c r="AJ336" i="3"/>
  <c r="AS335" i="3"/>
  <c r="AR335" i="3"/>
  <c r="AQ335" i="3"/>
  <c r="AP335" i="3"/>
  <c r="AO335" i="3"/>
  <c r="AN335" i="3"/>
  <c r="AM335" i="3"/>
  <c r="AL335" i="3"/>
  <c r="AK335" i="3"/>
  <c r="AJ335" i="3"/>
  <c r="AS334" i="3"/>
  <c r="AR334" i="3"/>
  <c r="AQ334" i="3"/>
  <c r="AP334" i="3"/>
  <c r="AO334" i="3"/>
  <c r="AN334" i="3"/>
  <c r="AM334" i="3"/>
  <c r="AL334" i="3"/>
  <c r="AK334" i="3"/>
  <c r="AJ334" i="3"/>
  <c r="AS333" i="3"/>
  <c r="AR333" i="3"/>
  <c r="AQ333" i="3"/>
  <c r="AP333" i="3"/>
  <c r="AO333" i="3"/>
  <c r="AN333" i="3"/>
  <c r="AM333" i="3"/>
  <c r="AL333" i="3"/>
  <c r="AK333" i="3"/>
  <c r="AJ333" i="3"/>
  <c r="AS332" i="3"/>
  <c r="AR332" i="3"/>
  <c r="AQ332" i="3"/>
  <c r="AP332" i="3"/>
  <c r="AO332" i="3"/>
  <c r="AN332" i="3"/>
  <c r="AM332" i="3"/>
  <c r="AL332" i="3"/>
  <c r="AK332" i="3"/>
  <c r="AJ332" i="3"/>
  <c r="AS331" i="3"/>
  <c r="AR331" i="3"/>
  <c r="AQ331" i="3"/>
  <c r="AP331" i="3"/>
  <c r="AO331" i="3"/>
  <c r="AN331" i="3"/>
  <c r="AM331" i="3"/>
  <c r="AL331" i="3"/>
  <c r="AK331" i="3"/>
  <c r="AJ331" i="3"/>
  <c r="AS330" i="3"/>
  <c r="AR330" i="3"/>
  <c r="AQ330" i="3"/>
  <c r="AP330" i="3"/>
  <c r="AO330" i="3"/>
  <c r="AN330" i="3"/>
  <c r="AM330" i="3"/>
  <c r="AL330" i="3"/>
  <c r="AK330" i="3"/>
  <c r="AJ330" i="3"/>
  <c r="AS329" i="3"/>
  <c r="AR329" i="3"/>
  <c r="AQ329" i="3"/>
  <c r="AP329" i="3"/>
  <c r="AO329" i="3"/>
  <c r="AN329" i="3"/>
  <c r="AM329" i="3"/>
  <c r="AL329" i="3"/>
  <c r="AK329" i="3"/>
  <c r="AJ329" i="3"/>
  <c r="AS328" i="3"/>
  <c r="AR328" i="3"/>
  <c r="AQ328" i="3"/>
  <c r="AP328" i="3"/>
  <c r="AO328" i="3"/>
  <c r="AN328" i="3"/>
  <c r="AM328" i="3"/>
  <c r="AL328" i="3"/>
  <c r="AK328" i="3"/>
  <c r="AJ328" i="3"/>
  <c r="AS327" i="3"/>
  <c r="AR327" i="3"/>
  <c r="AQ327" i="3"/>
  <c r="AP327" i="3"/>
  <c r="AO327" i="3"/>
  <c r="AN327" i="3"/>
  <c r="AM327" i="3"/>
  <c r="AL327" i="3"/>
  <c r="AK327" i="3"/>
  <c r="AJ327" i="3"/>
  <c r="AS326" i="3"/>
  <c r="AR326" i="3"/>
  <c r="AQ326" i="3"/>
  <c r="AP326" i="3"/>
  <c r="AO326" i="3"/>
  <c r="AN326" i="3"/>
  <c r="AM326" i="3"/>
  <c r="AL326" i="3"/>
  <c r="AK326" i="3"/>
  <c r="AJ326" i="3"/>
  <c r="AS325" i="3"/>
  <c r="AR325" i="3"/>
  <c r="AQ325" i="3"/>
  <c r="AP325" i="3"/>
  <c r="AO325" i="3"/>
  <c r="AN325" i="3"/>
  <c r="AM325" i="3"/>
  <c r="AL325" i="3"/>
  <c r="AK325" i="3"/>
  <c r="AJ325" i="3"/>
  <c r="AS324" i="3"/>
  <c r="AR324" i="3"/>
  <c r="AQ324" i="3"/>
  <c r="AP324" i="3"/>
  <c r="AO324" i="3"/>
  <c r="AN324" i="3"/>
  <c r="AM324" i="3"/>
  <c r="AL324" i="3"/>
  <c r="AK324" i="3"/>
  <c r="AJ324" i="3"/>
  <c r="AS323" i="3"/>
  <c r="AR323" i="3"/>
  <c r="AQ323" i="3"/>
  <c r="AP323" i="3"/>
  <c r="AO323" i="3"/>
  <c r="AN323" i="3"/>
  <c r="AM323" i="3"/>
  <c r="AL323" i="3"/>
  <c r="AK323" i="3"/>
  <c r="AJ323" i="3"/>
  <c r="AS322" i="3"/>
  <c r="AR322" i="3"/>
  <c r="AQ322" i="3"/>
  <c r="AP322" i="3"/>
  <c r="AO322" i="3"/>
  <c r="AN322" i="3"/>
  <c r="AM322" i="3"/>
  <c r="AL322" i="3"/>
  <c r="AK322" i="3"/>
  <c r="AJ322" i="3"/>
  <c r="AS321" i="3"/>
  <c r="AR321" i="3"/>
  <c r="AQ321" i="3"/>
  <c r="AP321" i="3"/>
  <c r="AO321" i="3"/>
  <c r="AN321" i="3"/>
  <c r="AM321" i="3"/>
  <c r="AL321" i="3"/>
  <c r="AK321" i="3"/>
  <c r="AJ321" i="3"/>
  <c r="AS320" i="3"/>
  <c r="AR320" i="3"/>
  <c r="AQ320" i="3"/>
  <c r="AP320" i="3"/>
  <c r="AO320" i="3"/>
  <c r="AN320" i="3"/>
  <c r="AM320" i="3"/>
  <c r="AL320" i="3"/>
  <c r="AK320" i="3"/>
  <c r="AJ320" i="3"/>
  <c r="AS319" i="3"/>
  <c r="AR319" i="3"/>
  <c r="AQ319" i="3"/>
  <c r="AP319" i="3"/>
  <c r="AO319" i="3"/>
  <c r="AN319" i="3"/>
  <c r="AM319" i="3"/>
  <c r="AL319" i="3"/>
  <c r="AK319" i="3"/>
  <c r="AJ319" i="3"/>
  <c r="AS318" i="3"/>
  <c r="AR318" i="3"/>
  <c r="AQ318" i="3"/>
  <c r="AP318" i="3"/>
  <c r="AO318" i="3"/>
  <c r="AN318" i="3"/>
  <c r="AM318" i="3"/>
  <c r="AL318" i="3"/>
  <c r="AK318" i="3"/>
  <c r="AJ318" i="3"/>
  <c r="AS317" i="3"/>
  <c r="AR317" i="3"/>
  <c r="AQ317" i="3"/>
  <c r="AP317" i="3"/>
  <c r="AO317" i="3"/>
  <c r="AN317" i="3"/>
  <c r="AM317" i="3"/>
  <c r="AL317" i="3"/>
  <c r="AK317" i="3"/>
  <c r="AJ317" i="3"/>
  <c r="AS316" i="3"/>
  <c r="AR316" i="3"/>
  <c r="AQ316" i="3"/>
  <c r="AP316" i="3"/>
  <c r="AO316" i="3"/>
  <c r="AN316" i="3"/>
  <c r="AM316" i="3"/>
  <c r="AL316" i="3"/>
  <c r="AK316" i="3"/>
  <c r="AJ316" i="3"/>
  <c r="AS315" i="3"/>
  <c r="AR315" i="3"/>
  <c r="AQ315" i="3"/>
  <c r="AP315" i="3"/>
  <c r="AO315" i="3"/>
  <c r="AN315" i="3"/>
  <c r="AM315" i="3"/>
  <c r="AL315" i="3"/>
  <c r="AK315" i="3"/>
  <c r="AJ315" i="3"/>
  <c r="AS314" i="3"/>
  <c r="AR314" i="3"/>
  <c r="AQ314" i="3"/>
  <c r="AP314" i="3"/>
  <c r="AO314" i="3"/>
  <c r="AN314" i="3"/>
  <c r="AM314" i="3"/>
  <c r="AL314" i="3"/>
  <c r="AK314" i="3"/>
  <c r="AJ314" i="3"/>
  <c r="AS313" i="3"/>
  <c r="AR313" i="3"/>
  <c r="AQ313" i="3"/>
  <c r="AP313" i="3"/>
  <c r="AO313" i="3"/>
  <c r="AN313" i="3"/>
  <c r="AM313" i="3"/>
  <c r="AL313" i="3"/>
  <c r="AK313" i="3"/>
  <c r="AJ313" i="3"/>
  <c r="AS312" i="3"/>
  <c r="AR312" i="3"/>
  <c r="AQ312" i="3"/>
  <c r="AP312" i="3"/>
  <c r="AO312" i="3"/>
  <c r="AN312" i="3"/>
  <c r="AM312" i="3"/>
  <c r="AL312" i="3"/>
  <c r="AK312" i="3"/>
  <c r="AJ312" i="3"/>
  <c r="AS311" i="3"/>
  <c r="AR311" i="3"/>
  <c r="AQ311" i="3"/>
  <c r="AP311" i="3"/>
  <c r="AO311" i="3"/>
  <c r="AN311" i="3"/>
  <c r="AM311" i="3"/>
  <c r="AL311" i="3"/>
  <c r="AK311" i="3"/>
  <c r="AJ311" i="3"/>
  <c r="AS310" i="3"/>
  <c r="AR310" i="3"/>
  <c r="AQ310" i="3"/>
  <c r="AP310" i="3"/>
  <c r="AO310" i="3"/>
  <c r="AN310" i="3"/>
  <c r="AM310" i="3"/>
  <c r="AL310" i="3"/>
  <c r="AK310" i="3"/>
  <c r="AJ310" i="3"/>
  <c r="AS309" i="3"/>
  <c r="AR309" i="3"/>
  <c r="AQ309" i="3"/>
  <c r="AP309" i="3"/>
  <c r="AO309" i="3"/>
  <c r="AN309" i="3"/>
  <c r="AM309" i="3"/>
  <c r="AL309" i="3"/>
  <c r="AK309" i="3"/>
  <c r="AJ309" i="3"/>
  <c r="AS308" i="3"/>
  <c r="AR308" i="3"/>
  <c r="AQ308" i="3"/>
  <c r="AP308" i="3"/>
  <c r="AO308" i="3"/>
  <c r="AN308" i="3"/>
  <c r="AM308" i="3"/>
  <c r="AL308" i="3"/>
  <c r="AK308" i="3"/>
  <c r="AJ308" i="3"/>
  <c r="AS307" i="3"/>
  <c r="AR307" i="3"/>
  <c r="AQ307" i="3"/>
  <c r="AP307" i="3"/>
  <c r="AO307" i="3"/>
  <c r="AN307" i="3"/>
  <c r="AM307" i="3"/>
  <c r="AL307" i="3"/>
  <c r="AK307" i="3"/>
  <c r="AJ307" i="3"/>
  <c r="AS306" i="3"/>
  <c r="AR306" i="3"/>
  <c r="AQ306" i="3"/>
  <c r="AP306" i="3"/>
  <c r="AO306" i="3"/>
  <c r="AN306" i="3"/>
  <c r="AM306" i="3"/>
  <c r="AL306" i="3"/>
  <c r="AK306" i="3"/>
  <c r="AJ306" i="3"/>
  <c r="AS305" i="3"/>
  <c r="AR305" i="3"/>
  <c r="AQ305" i="3"/>
  <c r="AP305" i="3"/>
  <c r="AO305" i="3"/>
  <c r="AN305" i="3"/>
  <c r="AM305" i="3"/>
  <c r="AL305" i="3"/>
  <c r="AK305" i="3"/>
  <c r="AJ305" i="3"/>
  <c r="AS304" i="3"/>
  <c r="AR304" i="3"/>
  <c r="AQ304" i="3"/>
  <c r="AP304" i="3"/>
  <c r="AO304" i="3"/>
  <c r="AN304" i="3"/>
  <c r="AM304" i="3"/>
  <c r="AL304" i="3"/>
  <c r="AK304" i="3"/>
  <c r="AJ304" i="3"/>
  <c r="AS303" i="3"/>
  <c r="AR303" i="3"/>
  <c r="AQ303" i="3"/>
  <c r="AP303" i="3"/>
  <c r="AO303" i="3"/>
  <c r="AN303" i="3"/>
  <c r="AM303" i="3"/>
  <c r="AL303" i="3"/>
  <c r="AK303" i="3"/>
  <c r="AJ303" i="3"/>
  <c r="AS302" i="3"/>
  <c r="AR302" i="3"/>
  <c r="AQ302" i="3"/>
  <c r="AP302" i="3"/>
  <c r="AO302" i="3"/>
  <c r="AN302" i="3"/>
  <c r="AM302" i="3"/>
  <c r="AL302" i="3"/>
  <c r="AK302" i="3"/>
  <c r="AJ302" i="3"/>
  <c r="AS301" i="3"/>
  <c r="AR301" i="3"/>
  <c r="AQ301" i="3"/>
  <c r="AP301" i="3"/>
  <c r="AO301" i="3"/>
  <c r="AN301" i="3"/>
  <c r="AM301" i="3"/>
  <c r="AL301" i="3"/>
  <c r="AK301" i="3"/>
  <c r="AJ301" i="3"/>
  <c r="AS300" i="3"/>
  <c r="AR300" i="3"/>
  <c r="AQ300" i="3"/>
  <c r="AP300" i="3"/>
  <c r="AO300" i="3"/>
  <c r="AN300" i="3"/>
  <c r="AM300" i="3"/>
  <c r="AL300" i="3"/>
  <c r="AK300" i="3"/>
  <c r="AJ300" i="3"/>
  <c r="AS299" i="3"/>
  <c r="AR299" i="3"/>
  <c r="AQ299" i="3"/>
  <c r="AP299" i="3"/>
  <c r="AO299" i="3"/>
  <c r="AN299" i="3"/>
  <c r="AM299" i="3"/>
  <c r="AL299" i="3"/>
  <c r="AK299" i="3"/>
  <c r="AJ299" i="3"/>
  <c r="AS298" i="3"/>
  <c r="AR298" i="3"/>
  <c r="AQ298" i="3"/>
  <c r="AP298" i="3"/>
  <c r="AO298" i="3"/>
  <c r="AN298" i="3"/>
  <c r="AM298" i="3"/>
  <c r="AL298" i="3"/>
  <c r="AK298" i="3"/>
  <c r="AJ298" i="3"/>
  <c r="AS297" i="3"/>
  <c r="AR297" i="3"/>
  <c r="AQ297" i="3"/>
  <c r="AP297" i="3"/>
  <c r="AO297" i="3"/>
  <c r="AN297" i="3"/>
  <c r="AM297" i="3"/>
  <c r="AL297" i="3"/>
  <c r="AK297" i="3"/>
  <c r="AJ297" i="3"/>
  <c r="AS296" i="3"/>
  <c r="AR296" i="3"/>
  <c r="AQ296" i="3"/>
  <c r="AP296" i="3"/>
  <c r="AO296" i="3"/>
  <c r="AN296" i="3"/>
  <c r="AM296" i="3"/>
  <c r="AL296" i="3"/>
  <c r="AK296" i="3"/>
  <c r="AJ296" i="3"/>
  <c r="AS295" i="3"/>
  <c r="AR295" i="3"/>
  <c r="AQ295" i="3"/>
  <c r="AP295" i="3"/>
  <c r="AO295" i="3"/>
  <c r="AN295" i="3"/>
  <c r="AM295" i="3"/>
  <c r="AL295" i="3"/>
  <c r="AK295" i="3"/>
  <c r="AJ295" i="3"/>
  <c r="AS294" i="3"/>
  <c r="AR294" i="3"/>
  <c r="AQ294" i="3"/>
  <c r="AP294" i="3"/>
  <c r="AO294" i="3"/>
  <c r="AN294" i="3"/>
  <c r="AM294" i="3"/>
  <c r="AL294" i="3"/>
  <c r="AK294" i="3"/>
  <c r="AJ294" i="3"/>
  <c r="AS293" i="3"/>
  <c r="AR293" i="3"/>
  <c r="AQ293" i="3"/>
  <c r="AP293" i="3"/>
  <c r="AO293" i="3"/>
  <c r="AN293" i="3"/>
  <c r="AM293" i="3"/>
  <c r="AL293" i="3"/>
  <c r="AK293" i="3"/>
  <c r="AJ293" i="3"/>
  <c r="AS292" i="3"/>
  <c r="AR292" i="3"/>
  <c r="AQ292" i="3"/>
  <c r="AP292" i="3"/>
  <c r="AO292" i="3"/>
  <c r="AN292" i="3"/>
  <c r="AM292" i="3"/>
  <c r="AL292" i="3"/>
  <c r="AK292" i="3"/>
  <c r="AJ292" i="3"/>
  <c r="AS291" i="3"/>
  <c r="AR291" i="3"/>
  <c r="AQ291" i="3"/>
  <c r="AP291" i="3"/>
  <c r="AO291" i="3"/>
  <c r="AN291" i="3"/>
  <c r="AM291" i="3"/>
  <c r="AL291" i="3"/>
  <c r="AK291" i="3"/>
  <c r="AJ291" i="3"/>
  <c r="AS290" i="3"/>
  <c r="AR290" i="3"/>
  <c r="AQ290" i="3"/>
  <c r="AP290" i="3"/>
  <c r="AO290" i="3"/>
  <c r="AN290" i="3"/>
  <c r="AM290" i="3"/>
  <c r="AL290" i="3"/>
  <c r="AK290" i="3"/>
  <c r="AJ290" i="3"/>
  <c r="AS289" i="3"/>
  <c r="AR289" i="3"/>
  <c r="AQ289" i="3"/>
  <c r="AP289" i="3"/>
  <c r="AO289" i="3"/>
  <c r="AN289" i="3"/>
  <c r="AM289" i="3"/>
  <c r="AL289" i="3"/>
  <c r="AK289" i="3"/>
  <c r="AJ289" i="3"/>
  <c r="AS288" i="3"/>
  <c r="AR288" i="3"/>
  <c r="AQ288" i="3"/>
  <c r="AP288" i="3"/>
  <c r="AO288" i="3"/>
  <c r="AN288" i="3"/>
  <c r="AM288" i="3"/>
  <c r="AL288" i="3"/>
  <c r="AK288" i="3"/>
  <c r="AJ288" i="3"/>
  <c r="AS287" i="3"/>
  <c r="AR287" i="3"/>
  <c r="AQ287" i="3"/>
  <c r="AP287" i="3"/>
  <c r="AO287" i="3"/>
  <c r="AN287" i="3"/>
  <c r="AM287" i="3"/>
  <c r="AL287" i="3"/>
  <c r="AK287" i="3"/>
  <c r="AJ287" i="3"/>
  <c r="AS286" i="3"/>
  <c r="AR286" i="3"/>
  <c r="AQ286" i="3"/>
  <c r="AP286" i="3"/>
  <c r="AO286" i="3"/>
  <c r="AN286" i="3"/>
  <c r="AM286" i="3"/>
  <c r="AL286" i="3"/>
  <c r="AK286" i="3"/>
  <c r="AJ286" i="3"/>
  <c r="AS285" i="3"/>
  <c r="AR285" i="3"/>
  <c r="AQ285" i="3"/>
  <c r="AP285" i="3"/>
  <c r="AO285" i="3"/>
  <c r="AN285" i="3"/>
  <c r="AM285" i="3"/>
  <c r="AL285" i="3"/>
  <c r="AK285" i="3"/>
  <c r="AJ285" i="3"/>
  <c r="AS284" i="3"/>
  <c r="AR284" i="3"/>
  <c r="AQ284" i="3"/>
  <c r="AP284" i="3"/>
  <c r="AO284" i="3"/>
  <c r="AN284" i="3"/>
  <c r="AM284" i="3"/>
  <c r="AL284" i="3"/>
  <c r="AK284" i="3"/>
  <c r="AJ284" i="3"/>
  <c r="AS283" i="3"/>
  <c r="AR283" i="3"/>
  <c r="AQ283" i="3"/>
  <c r="AP283" i="3"/>
  <c r="AO283" i="3"/>
  <c r="AN283" i="3"/>
  <c r="AM283" i="3"/>
  <c r="AL283" i="3"/>
  <c r="AK283" i="3"/>
  <c r="AJ283" i="3"/>
  <c r="AS282" i="3"/>
  <c r="AR282" i="3"/>
  <c r="AQ282" i="3"/>
  <c r="AP282" i="3"/>
  <c r="AO282" i="3"/>
  <c r="AN282" i="3"/>
  <c r="AM282" i="3"/>
  <c r="AL282" i="3"/>
  <c r="AK282" i="3"/>
  <c r="AJ282" i="3"/>
  <c r="AS281" i="3"/>
  <c r="AR281" i="3"/>
  <c r="AQ281" i="3"/>
  <c r="AP281" i="3"/>
  <c r="AO281" i="3"/>
  <c r="AN281" i="3"/>
  <c r="AM281" i="3"/>
  <c r="AL281" i="3"/>
  <c r="AK281" i="3"/>
  <c r="AJ281" i="3"/>
  <c r="AS280" i="3"/>
  <c r="AR280" i="3"/>
  <c r="AQ280" i="3"/>
  <c r="AP280" i="3"/>
  <c r="AO280" i="3"/>
  <c r="AN280" i="3"/>
  <c r="AM280" i="3"/>
  <c r="AL280" i="3"/>
  <c r="AK280" i="3"/>
  <c r="AJ280" i="3"/>
  <c r="AS279" i="3"/>
  <c r="AR279" i="3"/>
  <c r="AQ279" i="3"/>
  <c r="AP279" i="3"/>
  <c r="AO279" i="3"/>
  <c r="AN279" i="3"/>
  <c r="AM279" i="3"/>
  <c r="AL279" i="3"/>
  <c r="AK279" i="3"/>
  <c r="AJ279" i="3"/>
  <c r="AS278" i="3"/>
  <c r="AR278" i="3"/>
  <c r="AQ278" i="3"/>
  <c r="AP278" i="3"/>
  <c r="AO278" i="3"/>
  <c r="AN278" i="3"/>
  <c r="AM278" i="3"/>
  <c r="AL278" i="3"/>
  <c r="AK278" i="3"/>
  <c r="AJ278" i="3"/>
  <c r="AS277" i="3"/>
  <c r="AR277" i="3"/>
  <c r="AQ277" i="3"/>
  <c r="AP277" i="3"/>
  <c r="AO277" i="3"/>
  <c r="AN277" i="3"/>
  <c r="AM277" i="3"/>
  <c r="AL277" i="3"/>
  <c r="AK277" i="3"/>
  <c r="AJ277" i="3"/>
  <c r="AS276" i="3"/>
  <c r="AR276" i="3"/>
  <c r="AQ276" i="3"/>
  <c r="AP276" i="3"/>
  <c r="AO276" i="3"/>
  <c r="AN276" i="3"/>
  <c r="AM276" i="3"/>
  <c r="AL276" i="3"/>
  <c r="AK276" i="3"/>
  <c r="AJ276" i="3"/>
  <c r="AS275" i="3"/>
  <c r="AR275" i="3"/>
  <c r="AQ275" i="3"/>
  <c r="AP275" i="3"/>
  <c r="AO275" i="3"/>
  <c r="AN275" i="3"/>
  <c r="AM275" i="3"/>
  <c r="AL275" i="3"/>
  <c r="AK275" i="3"/>
  <c r="AJ275" i="3"/>
  <c r="AS274" i="3"/>
  <c r="AR274" i="3"/>
  <c r="AQ274" i="3"/>
  <c r="AP274" i="3"/>
  <c r="AO274" i="3"/>
  <c r="AN274" i="3"/>
  <c r="AM274" i="3"/>
  <c r="AL274" i="3"/>
  <c r="AK274" i="3"/>
  <c r="AJ274" i="3"/>
  <c r="AS273" i="3"/>
  <c r="AR273" i="3"/>
  <c r="AQ273" i="3"/>
  <c r="AP273" i="3"/>
  <c r="AO273" i="3"/>
  <c r="AN273" i="3"/>
  <c r="AM273" i="3"/>
  <c r="AL273" i="3"/>
  <c r="AK273" i="3"/>
  <c r="AJ273" i="3"/>
  <c r="AS272" i="3"/>
  <c r="AR272" i="3"/>
  <c r="AQ272" i="3"/>
  <c r="AP272" i="3"/>
  <c r="AO272" i="3"/>
  <c r="AN272" i="3"/>
  <c r="AM272" i="3"/>
  <c r="AL272" i="3"/>
  <c r="AK272" i="3"/>
  <c r="AJ272" i="3"/>
  <c r="AS271" i="3"/>
  <c r="AR271" i="3"/>
  <c r="AQ271" i="3"/>
  <c r="AP271" i="3"/>
  <c r="AO271" i="3"/>
  <c r="AN271" i="3"/>
  <c r="AM271" i="3"/>
  <c r="AL271" i="3"/>
  <c r="AK271" i="3"/>
  <c r="AJ271" i="3"/>
  <c r="AS270" i="3"/>
  <c r="AR270" i="3"/>
  <c r="AQ270" i="3"/>
  <c r="AP270" i="3"/>
  <c r="AO270" i="3"/>
  <c r="AN270" i="3"/>
  <c r="AM270" i="3"/>
  <c r="AL270" i="3"/>
  <c r="AK270" i="3"/>
  <c r="AJ270" i="3"/>
  <c r="AS269" i="3"/>
  <c r="AR269" i="3"/>
  <c r="AQ269" i="3"/>
  <c r="AP269" i="3"/>
  <c r="AO269" i="3"/>
  <c r="AN269" i="3"/>
  <c r="AM269" i="3"/>
  <c r="AL269" i="3"/>
  <c r="AK269" i="3"/>
  <c r="AJ269" i="3"/>
  <c r="AS268" i="3"/>
  <c r="AR268" i="3"/>
  <c r="AQ268" i="3"/>
  <c r="AP268" i="3"/>
  <c r="AO268" i="3"/>
  <c r="AN268" i="3"/>
  <c r="AM268" i="3"/>
  <c r="AL268" i="3"/>
  <c r="AK268" i="3"/>
  <c r="AJ268" i="3"/>
  <c r="AS267" i="3"/>
  <c r="AR267" i="3"/>
  <c r="AQ267" i="3"/>
  <c r="AP267" i="3"/>
  <c r="AO267" i="3"/>
  <c r="AN267" i="3"/>
  <c r="AM267" i="3"/>
  <c r="AL267" i="3"/>
  <c r="AK267" i="3"/>
  <c r="AJ267" i="3"/>
  <c r="AS266" i="3"/>
  <c r="AR266" i="3"/>
  <c r="AQ266" i="3"/>
  <c r="AP266" i="3"/>
  <c r="AO266" i="3"/>
  <c r="AN266" i="3"/>
  <c r="AM266" i="3"/>
  <c r="AL266" i="3"/>
  <c r="AK266" i="3"/>
  <c r="AJ266" i="3"/>
  <c r="AS265" i="3"/>
  <c r="AR265" i="3"/>
  <c r="AQ265" i="3"/>
  <c r="AP265" i="3"/>
  <c r="AO265" i="3"/>
  <c r="AN265" i="3"/>
  <c r="AM265" i="3"/>
  <c r="AL265" i="3"/>
  <c r="AK265" i="3"/>
  <c r="AJ265" i="3"/>
  <c r="AS264" i="3"/>
  <c r="AR264" i="3"/>
  <c r="AQ264" i="3"/>
  <c r="AP264" i="3"/>
  <c r="AO264" i="3"/>
  <c r="AN264" i="3"/>
  <c r="AM264" i="3"/>
  <c r="AL264" i="3"/>
  <c r="AK264" i="3"/>
  <c r="AJ264" i="3"/>
  <c r="AS263" i="3"/>
  <c r="AR263" i="3"/>
  <c r="AQ263" i="3"/>
  <c r="AP263" i="3"/>
  <c r="AO263" i="3"/>
  <c r="AN263" i="3"/>
  <c r="AM263" i="3"/>
  <c r="AL263" i="3"/>
  <c r="AK263" i="3"/>
  <c r="AJ263" i="3"/>
  <c r="AS262" i="3"/>
  <c r="AR262" i="3"/>
  <c r="AQ262" i="3"/>
  <c r="AP262" i="3"/>
  <c r="AO262" i="3"/>
  <c r="AN262" i="3"/>
  <c r="AM262" i="3"/>
  <c r="AL262" i="3"/>
  <c r="AK262" i="3"/>
  <c r="AJ262" i="3"/>
  <c r="AS261" i="3"/>
  <c r="AR261" i="3"/>
  <c r="AQ261" i="3"/>
  <c r="AP261" i="3"/>
  <c r="AO261" i="3"/>
  <c r="AN261" i="3"/>
  <c r="AM261" i="3"/>
  <c r="AL261" i="3"/>
  <c r="AK261" i="3"/>
  <c r="AJ261" i="3"/>
  <c r="AS260" i="3"/>
  <c r="AR260" i="3"/>
  <c r="AQ260" i="3"/>
  <c r="AP260" i="3"/>
  <c r="AO260" i="3"/>
  <c r="AN260" i="3"/>
  <c r="AM260" i="3"/>
  <c r="AL260" i="3"/>
  <c r="AK260" i="3"/>
  <c r="AJ260" i="3"/>
  <c r="AS259" i="3"/>
  <c r="AR259" i="3"/>
  <c r="AQ259" i="3"/>
  <c r="AP259" i="3"/>
  <c r="AO259" i="3"/>
  <c r="AN259" i="3"/>
  <c r="AM259" i="3"/>
  <c r="AL259" i="3"/>
  <c r="AK259" i="3"/>
  <c r="AJ259" i="3"/>
  <c r="AS258" i="3"/>
  <c r="AR258" i="3"/>
  <c r="AQ258" i="3"/>
  <c r="AP258" i="3"/>
  <c r="AO258" i="3"/>
  <c r="AN258" i="3"/>
  <c r="AM258" i="3"/>
  <c r="AL258" i="3"/>
  <c r="AK258" i="3"/>
  <c r="AJ258" i="3"/>
  <c r="AS257" i="3"/>
  <c r="AR257" i="3"/>
  <c r="AQ257" i="3"/>
  <c r="AP257" i="3"/>
  <c r="AO257" i="3"/>
  <c r="AN257" i="3"/>
  <c r="AM257" i="3"/>
  <c r="AL257" i="3"/>
  <c r="AK257" i="3"/>
  <c r="AJ257" i="3"/>
  <c r="AS256" i="3"/>
  <c r="AR256" i="3"/>
  <c r="AQ256" i="3"/>
  <c r="AP256" i="3"/>
  <c r="AO256" i="3"/>
  <c r="AN256" i="3"/>
  <c r="AM256" i="3"/>
  <c r="AL256" i="3"/>
  <c r="AK256" i="3"/>
  <c r="AJ256" i="3"/>
  <c r="AS255" i="3"/>
  <c r="AR255" i="3"/>
  <c r="AQ255" i="3"/>
  <c r="AP255" i="3"/>
  <c r="AO255" i="3"/>
  <c r="AN255" i="3"/>
  <c r="AM255" i="3"/>
  <c r="AL255" i="3"/>
  <c r="AK255" i="3"/>
  <c r="AJ255" i="3"/>
  <c r="AS254" i="3"/>
  <c r="AR254" i="3"/>
  <c r="AQ254" i="3"/>
  <c r="AP254" i="3"/>
  <c r="AO254" i="3"/>
  <c r="AN254" i="3"/>
  <c r="AM254" i="3"/>
  <c r="AL254" i="3"/>
  <c r="AK254" i="3"/>
  <c r="AJ254" i="3"/>
  <c r="AS253" i="3"/>
  <c r="AR253" i="3"/>
  <c r="AQ253" i="3"/>
  <c r="AP253" i="3"/>
  <c r="AO253" i="3"/>
  <c r="AN253" i="3"/>
  <c r="AM253" i="3"/>
  <c r="AL253" i="3"/>
  <c r="AK253" i="3"/>
  <c r="AJ253" i="3"/>
  <c r="AS252" i="3"/>
  <c r="AR252" i="3"/>
  <c r="AQ252" i="3"/>
  <c r="AP252" i="3"/>
  <c r="AO252" i="3"/>
  <c r="AN252" i="3"/>
  <c r="AM252" i="3"/>
  <c r="AL252" i="3"/>
  <c r="AK252" i="3"/>
  <c r="AJ252" i="3"/>
  <c r="AS251" i="3"/>
  <c r="AR251" i="3"/>
  <c r="AQ251" i="3"/>
  <c r="AP251" i="3"/>
  <c r="AO251" i="3"/>
  <c r="AN251" i="3"/>
  <c r="AM251" i="3"/>
  <c r="AL251" i="3"/>
  <c r="AK251" i="3"/>
  <c r="AJ251" i="3"/>
  <c r="AS250" i="3"/>
  <c r="AR250" i="3"/>
  <c r="AQ250" i="3"/>
  <c r="AP250" i="3"/>
  <c r="AO250" i="3"/>
  <c r="AN250" i="3"/>
  <c r="AM250" i="3"/>
  <c r="AL250" i="3"/>
  <c r="AK250" i="3"/>
  <c r="AJ250" i="3"/>
  <c r="AS249" i="3"/>
  <c r="AR249" i="3"/>
  <c r="AQ249" i="3"/>
  <c r="AP249" i="3"/>
  <c r="AO249" i="3"/>
  <c r="AN249" i="3"/>
  <c r="AM249" i="3"/>
  <c r="AL249" i="3"/>
  <c r="AK249" i="3"/>
  <c r="AJ249" i="3"/>
  <c r="AS248" i="3"/>
  <c r="AR248" i="3"/>
  <c r="AQ248" i="3"/>
  <c r="AP248" i="3"/>
  <c r="AO248" i="3"/>
  <c r="AN248" i="3"/>
  <c r="AM248" i="3"/>
  <c r="AL248" i="3"/>
  <c r="AK248" i="3"/>
  <c r="AJ248" i="3"/>
  <c r="AS247" i="3"/>
  <c r="AR247" i="3"/>
  <c r="AQ247" i="3"/>
  <c r="AP247" i="3"/>
  <c r="AO247" i="3"/>
  <c r="AN247" i="3"/>
  <c r="AM247" i="3"/>
  <c r="AL247" i="3"/>
  <c r="AK247" i="3"/>
  <c r="AJ247" i="3"/>
  <c r="AS246" i="3"/>
  <c r="AR246" i="3"/>
  <c r="AQ246" i="3"/>
  <c r="AP246" i="3"/>
  <c r="AO246" i="3"/>
  <c r="AN246" i="3"/>
  <c r="AM246" i="3"/>
  <c r="AL246" i="3"/>
  <c r="AK246" i="3"/>
  <c r="AJ246" i="3"/>
  <c r="AS245" i="3"/>
  <c r="AR245" i="3"/>
  <c r="AQ245" i="3"/>
  <c r="AP245" i="3"/>
  <c r="AO245" i="3"/>
  <c r="AN245" i="3"/>
  <c r="AM245" i="3"/>
  <c r="AL245" i="3"/>
  <c r="AK245" i="3"/>
  <c r="AJ245" i="3"/>
  <c r="AS244" i="3"/>
  <c r="AR244" i="3"/>
  <c r="AQ244" i="3"/>
  <c r="AP244" i="3"/>
  <c r="AO244" i="3"/>
  <c r="AN244" i="3"/>
  <c r="AM244" i="3"/>
  <c r="AL244" i="3"/>
  <c r="AK244" i="3"/>
  <c r="AJ244" i="3"/>
  <c r="AS243" i="3"/>
  <c r="AR243" i="3"/>
  <c r="AQ243" i="3"/>
  <c r="AP243" i="3"/>
  <c r="AO243" i="3"/>
  <c r="AN243" i="3"/>
  <c r="AM243" i="3"/>
  <c r="AL243" i="3"/>
  <c r="AK243" i="3"/>
  <c r="AJ243" i="3"/>
  <c r="AS242" i="3"/>
  <c r="AR242" i="3"/>
  <c r="AQ242" i="3"/>
  <c r="AP242" i="3"/>
  <c r="AO242" i="3"/>
  <c r="AN242" i="3"/>
  <c r="AM242" i="3"/>
  <c r="AL242" i="3"/>
  <c r="AK242" i="3"/>
  <c r="AJ242" i="3"/>
  <c r="AS241" i="3"/>
  <c r="AR241" i="3"/>
  <c r="AQ241" i="3"/>
  <c r="AP241" i="3"/>
  <c r="AO241" i="3"/>
  <c r="AN241" i="3"/>
  <c r="AM241" i="3"/>
  <c r="AL241" i="3"/>
  <c r="AK241" i="3"/>
  <c r="AJ241" i="3"/>
  <c r="AS240" i="3"/>
  <c r="AR240" i="3"/>
  <c r="AQ240" i="3"/>
  <c r="AP240" i="3"/>
  <c r="AO240" i="3"/>
  <c r="AN240" i="3"/>
  <c r="AM240" i="3"/>
  <c r="AL240" i="3"/>
  <c r="AK240" i="3"/>
  <c r="AJ240" i="3"/>
  <c r="AS239" i="3"/>
  <c r="AR239" i="3"/>
  <c r="AQ239" i="3"/>
  <c r="AP239" i="3"/>
  <c r="AO239" i="3"/>
  <c r="AN239" i="3"/>
  <c r="AM239" i="3"/>
  <c r="AL239" i="3"/>
  <c r="AK239" i="3"/>
  <c r="AJ239" i="3"/>
  <c r="AS238" i="3"/>
  <c r="AR238" i="3"/>
  <c r="AQ238" i="3"/>
  <c r="AP238" i="3"/>
  <c r="AO238" i="3"/>
  <c r="AN238" i="3"/>
  <c r="AM238" i="3"/>
  <c r="AL238" i="3"/>
  <c r="AK238" i="3"/>
  <c r="AJ238" i="3"/>
  <c r="AS237" i="3"/>
  <c r="AR237" i="3"/>
  <c r="AQ237" i="3"/>
  <c r="AP237" i="3"/>
  <c r="AO237" i="3"/>
  <c r="AN237" i="3"/>
  <c r="AM237" i="3"/>
  <c r="AL237" i="3"/>
  <c r="AK237" i="3"/>
  <c r="AJ237" i="3"/>
  <c r="AS236" i="3"/>
  <c r="AR236" i="3"/>
  <c r="AQ236" i="3"/>
  <c r="AP236" i="3"/>
  <c r="AO236" i="3"/>
  <c r="AN236" i="3"/>
  <c r="AM236" i="3"/>
  <c r="AL236" i="3"/>
  <c r="AK236" i="3"/>
  <c r="AJ236" i="3"/>
  <c r="AS235" i="3"/>
  <c r="AR235" i="3"/>
  <c r="AQ235" i="3"/>
  <c r="AP235" i="3"/>
  <c r="AO235" i="3"/>
  <c r="AN235" i="3"/>
  <c r="AM235" i="3"/>
  <c r="AL235" i="3"/>
  <c r="AK235" i="3"/>
  <c r="AJ235" i="3"/>
  <c r="AS234" i="3"/>
  <c r="AR234" i="3"/>
  <c r="AQ234" i="3"/>
  <c r="AP234" i="3"/>
  <c r="AO234" i="3"/>
  <c r="AN234" i="3"/>
  <c r="AM234" i="3"/>
  <c r="AL234" i="3"/>
  <c r="AK234" i="3"/>
  <c r="AJ234" i="3"/>
  <c r="AS233" i="3"/>
  <c r="AR233" i="3"/>
  <c r="AQ233" i="3"/>
  <c r="AP233" i="3"/>
  <c r="AO233" i="3"/>
  <c r="AN233" i="3"/>
  <c r="AM233" i="3"/>
  <c r="AL233" i="3"/>
  <c r="AK233" i="3"/>
  <c r="AJ233" i="3"/>
  <c r="AS232" i="3"/>
  <c r="AR232" i="3"/>
  <c r="AQ232" i="3"/>
  <c r="AP232" i="3"/>
  <c r="AO232" i="3"/>
  <c r="AN232" i="3"/>
  <c r="AM232" i="3"/>
  <c r="AL232" i="3"/>
  <c r="AK232" i="3"/>
  <c r="AJ232" i="3"/>
  <c r="AS231" i="3"/>
  <c r="AR231" i="3"/>
  <c r="AQ231" i="3"/>
  <c r="AP231" i="3"/>
  <c r="AO231" i="3"/>
  <c r="AN231" i="3"/>
  <c r="AM231" i="3"/>
  <c r="AL231" i="3"/>
  <c r="AK231" i="3"/>
  <c r="AJ231" i="3"/>
  <c r="AS230" i="3"/>
  <c r="AR230" i="3"/>
  <c r="AQ230" i="3"/>
  <c r="AP230" i="3"/>
  <c r="AO230" i="3"/>
  <c r="AN230" i="3"/>
  <c r="AM230" i="3"/>
  <c r="AL230" i="3"/>
  <c r="AK230" i="3"/>
  <c r="AJ230" i="3"/>
  <c r="AS229" i="3"/>
  <c r="AR229" i="3"/>
  <c r="AQ229" i="3"/>
  <c r="AP229" i="3"/>
  <c r="AO229" i="3"/>
  <c r="AN229" i="3"/>
  <c r="AM229" i="3"/>
  <c r="AL229" i="3"/>
  <c r="AK229" i="3"/>
  <c r="AJ229" i="3"/>
  <c r="AS228" i="3"/>
  <c r="AR228" i="3"/>
  <c r="AQ228" i="3"/>
  <c r="AP228" i="3"/>
  <c r="AO228" i="3"/>
  <c r="AN228" i="3"/>
  <c r="AM228" i="3"/>
  <c r="AL228" i="3"/>
  <c r="AK228" i="3"/>
  <c r="AJ228" i="3"/>
  <c r="AS227" i="3"/>
  <c r="AR227" i="3"/>
  <c r="AQ227" i="3"/>
  <c r="AP227" i="3"/>
  <c r="AO227" i="3"/>
  <c r="AN227" i="3"/>
  <c r="AM227" i="3"/>
  <c r="AL227" i="3"/>
  <c r="AK227" i="3"/>
  <c r="AJ227" i="3"/>
  <c r="AS226" i="3"/>
  <c r="AR226" i="3"/>
  <c r="AQ226" i="3"/>
  <c r="AP226" i="3"/>
  <c r="AO226" i="3"/>
  <c r="AN226" i="3"/>
  <c r="AM226" i="3"/>
  <c r="AL226" i="3"/>
  <c r="AK226" i="3"/>
  <c r="AJ226" i="3"/>
  <c r="AS225" i="3"/>
  <c r="AR225" i="3"/>
  <c r="AQ225" i="3"/>
  <c r="AP225" i="3"/>
  <c r="AO225" i="3"/>
  <c r="AN225" i="3"/>
  <c r="AM225" i="3"/>
  <c r="AL225" i="3"/>
  <c r="AK225" i="3"/>
  <c r="AJ225" i="3"/>
  <c r="AS224" i="3"/>
  <c r="AR224" i="3"/>
  <c r="AQ224" i="3"/>
  <c r="AP224" i="3"/>
  <c r="AO224" i="3"/>
  <c r="AN224" i="3"/>
  <c r="AM224" i="3"/>
  <c r="AL224" i="3"/>
  <c r="AK224" i="3"/>
  <c r="AJ224" i="3"/>
  <c r="AS223" i="3"/>
  <c r="AR223" i="3"/>
  <c r="AQ223" i="3"/>
  <c r="AP223" i="3"/>
  <c r="AO223" i="3"/>
  <c r="AN223" i="3"/>
  <c r="AM223" i="3"/>
  <c r="AL223" i="3"/>
  <c r="AK223" i="3"/>
  <c r="AJ223" i="3"/>
  <c r="AS222" i="3"/>
  <c r="AR222" i="3"/>
  <c r="AQ222" i="3"/>
  <c r="AP222" i="3"/>
  <c r="AO222" i="3"/>
  <c r="AN222" i="3"/>
  <c r="AM222" i="3"/>
  <c r="AL222" i="3"/>
  <c r="AK222" i="3"/>
  <c r="AJ222" i="3"/>
  <c r="AS221" i="3"/>
  <c r="AR221" i="3"/>
  <c r="AQ221" i="3"/>
  <c r="AP221" i="3"/>
  <c r="AO221" i="3"/>
  <c r="AN221" i="3"/>
  <c r="AM221" i="3"/>
  <c r="AL221" i="3"/>
  <c r="AK221" i="3"/>
  <c r="AJ221" i="3"/>
  <c r="AS220" i="3"/>
  <c r="AR220" i="3"/>
  <c r="AQ220" i="3"/>
  <c r="AP220" i="3"/>
  <c r="AO220" i="3"/>
  <c r="AN220" i="3"/>
  <c r="AM220" i="3"/>
  <c r="AL220" i="3"/>
  <c r="AK220" i="3"/>
  <c r="AJ220" i="3"/>
  <c r="AS219" i="3"/>
  <c r="AR219" i="3"/>
  <c r="AQ219" i="3"/>
  <c r="AP219" i="3"/>
  <c r="AO219" i="3"/>
  <c r="AN219" i="3"/>
  <c r="AM219" i="3"/>
  <c r="AL219" i="3"/>
  <c r="AK219" i="3"/>
  <c r="AJ219" i="3"/>
  <c r="AS218" i="3"/>
  <c r="AR218" i="3"/>
  <c r="AQ218" i="3"/>
  <c r="AP218" i="3"/>
  <c r="AO218" i="3"/>
  <c r="AN218" i="3"/>
  <c r="AM218" i="3"/>
  <c r="AL218" i="3"/>
  <c r="AK218" i="3"/>
  <c r="AJ218" i="3"/>
  <c r="AS217" i="3"/>
  <c r="AR217" i="3"/>
  <c r="AQ217" i="3"/>
  <c r="AP217" i="3"/>
  <c r="AO217" i="3"/>
  <c r="AN217" i="3"/>
  <c r="AM217" i="3"/>
  <c r="AL217" i="3"/>
  <c r="AK217" i="3"/>
  <c r="AJ217" i="3"/>
  <c r="AS216" i="3"/>
  <c r="AR216" i="3"/>
  <c r="AQ216" i="3"/>
  <c r="AP216" i="3"/>
  <c r="AO216" i="3"/>
  <c r="AN216" i="3"/>
  <c r="AM216" i="3"/>
  <c r="AL216" i="3"/>
  <c r="AK216" i="3"/>
  <c r="AJ216" i="3"/>
  <c r="AS215" i="3"/>
  <c r="AR215" i="3"/>
  <c r="AQ215" i="3"/>
  <c r="AP215" i="3"/>
  <c r="AO215" i="3"/>
  <c r="AN215" i="3"/>
  <c r="AM215" i="3"/>
  <c r="AL215" i="3"/>
  <c r="AK215" i="3"/>
  <c r="AJ215" i="3"/>
  <c r="AS214" i="3"/>
  <c r="AR214" i="3"/>
  <c r="AQ214" i="3"/>
  <c r="AP214" i="3"/>
  <c r="AO214" i="3"/>
  <c r="AN214" i="3"/>
  <c r="AM214" i="3"/>
  <c r="AL214" i="3"/>
  <c r="AK214" i="3"/>
  <c r="AJ214" i="3"/>
  <c r="AS213" i="3"/>
  <c r="AR213" i="3"/>
  <c r="AQ213" i="3"/>
  <c r="AP213" i="3"/>
  <c r="AO213" i="3"/>
  <c r="AN213" i="3"/>
  <c r="AM213" i="3"/>
  <c r="AL213" i="3"/>
  <c r="AK213" i="3"/>
  <c r="AJ213" i="3"/>
  <c r="AS212" i="3"/>
  <c r="AR212" i="3"/>
  <c r="AQ212" i="3"/>
  <c r="AP212" i="3"/>
  <c r="AO212" i="3"/>
  <c r="AN212" i="3"/>
  <c r="AM212" i="3"/>
  <c r="AL212" i="3"/>
  <c r="AK212" i="3"/>
  <c r="AJ212" i="3"/>
  <c r="AS211" i="3"/>
  <c r="AR211" i="3"/>
  <c r="AQ211" i="3"/>
  <c r="AP211" i="3"/>
  <c r="AO211" i="3"/>
  <c r="AN211" i="3"/>
  <c r="AM211" i="3"/>
  <c r="AL211" i="3"/>
  <c r="AK211" i="3"/>
  <c r="AJ211" i="3"/>
  <c r="AS210" i="3"/>
  <c r="AR210" i="3"/>
  <c r="AQ210" i="3"/>
  <c r="AP210" i="3"/>
  <c r="AO210" i="3"/>
  <c r="AN210" i="3"/>
  <c r="AM210" i="3"/>
  <c r="AL210" i="3"/>
  <c r="AK210" i="3"/>
  <c r="AJ210" i="3"/>
  <c r="AS209" i="3"/>
  <c r="AR209" i="3"/>
  <c r="AQ209" i="3"/>
  <c r="AP209" i="3"/>
  <c r="AO209" i="3"/>
  <c r="AN209" i="3"/>
  <c r="AM209" i="3"/>
  <c r="AL209" i="3"/>
  <c r="AK209" i="3"/>
  <c r="AJ209" i="3"/>
  <c r="AS208" i="3"/>
  <c r="AR208" i="3"/>
  <c r="AQ208" i="3"/>
  <c r="AP208" i="3"/>
  <c r="AO208" i="3"/>
  <c r="AN208" i="3"/>
  <c r="AM208" i="3"/>
  <c r="AL208" i="3"/>
  <c r="AK208" i="3"/>
  <c r="AJ208" i="3"/>
  <c r="AS207" i="3"/>
  <c r="AR207" i="3"/>
  <c r="AQ207" i="3"/>
  <c r="AP207" i="3"/>
  <c r="AO207" i="3"/>
  <c r="AN207" i="3"/>
  <c r="AM207" i="3"/>
  <c r="AL207" i="3"/>
  <c r="AK207" i="3"/>
  <c r="AJ207" i="3"/>
  <c r="AS206" i="3"/>
  <c r="AR206" i="3"/>
  <c r="AQ206" i="3"/>
  <c r="AP206" i="3"/>
  <c r="AO206" i="3"/>
  <c r="AN206" i="3"/>
  <c r="AM206" i="3"/>
  <c r="AL206" i="3"/>
  <c r="AK206" i="3"/>
  <c r="AJ206" i="3"/>
  <c r="AS205" i="3"/>
  <c r="AR205" i="3"/>
  <c r="AQ205" i="3"/>
  <c r="AP205" i="3"/>
  <c r="AO205" i="3"/>
  <c r="AN205" i="3"/>
  <c r="AM205" i="3"/>
  <c r="AL205" i="3"/>
  <c r="AK205" i="3"/>
  <c r="AJ205" i="3"/>
  <c r="AS204" i="3"/>
  <c r="AR204" i="3"/>
  <c r="AQ204" i="3"/>
  <c r="AP204" i="3"/>
  <c r="AO204" i="3"/>
  <c r="AN204" i="3"/>
  <c r="AM204" i="3"/>
  <c r="AL204" i="3"/>
  <c r="AK204" i="3"/>
  <c r="AJ204" i="3"/>
  <c r="AS203" i="3"/>
  <c r="AR203" i="3"/>
  <c r="AQ203" i="3"/>
  <c r="AP203" i="3"/>
  <c r="AO203" i="3"/>
  <c r="AN203" i="3"/>
  <c r="AM203" i="3"/>
  <c r="AL203" i="3"/>
  <c r="AK203" i="3"/>
  <c r="AJ203" i="3"/>
  <c r="AS202" i="3"/>
  <c r="AR202" i="3"/>
  <c r="AQ202" i="3"/>
  <c r="AP202" i="3"/>
  <c r="AO202" i="3"/>
  <c r="AN202" i="3"/>
  <c r="AM202" i="3"/>
  <c r="AL202" i="3"/>
  <c r="AK202" i="3"/>
  <c r="AJ202" i="3"/>
  <c r="AS201" i="3"/>
  <c r="AR201" i="3"/>
  <c r="AQ201" i="3"/>
  <c r="AP201" i="3"/>
  <c r="AO201" i="3"/>
  <c r="AN201" i="3"/>
  <c r="AM201" i="3"/>
  <c r="AL201" i="3"/>
  <c r="AK201" i="3"/>
  <c r="AJ201" i="3"/>
  <c r="AS200" i="3"/>
  <c r="AR200" i="3"/>
  <c r="AQ200" i="3"/>
  <c r="AP200" i="3"/>
  <c r="AO200" i="3"/>
  <c r="AN200" i="3"/>
  <c r="AM200" i="3"/>
  <c r="AL200" i="3"/>
  <c r="AK200" i="3"/>
  <c r="AJ200" i="3"/>
  <c r="AS199" i="3"/>
  <c r="AR199" i="3"/>
  <c r="AQ199" i="3"/>
  <c r="AP199" i="3"/>
  <c r="AO199" i="3"/>
  <c r="AN199" i="3"/>
  <c r="AM199" i="3"/>
  <c r="AL199" i="3"/>
  <c r="AK199" i="3"/>
  <c r="AJ199" i="3"/>
  <c r="AS198" i="3"/>
  <c r="AR198" i="3"/>
  <c r="AQ198" i="3"/>
  <c r="AP198" i="3"/>
  <c r="AO198" i="3"/>
  <c r="AN198" i="3"/>
  <c r="AM198" i="3"/>
  <c r="AL198" i="3"/>
  <c r="AK198" i="3"/>
  <c r="AJ198" i="3"/>
  <c r="AS197" i="3"/>
  <c r="AR197" i="3"/>
  <c r="AQ197" i="3"/>
  <c r="AP197" i="3"/>
  <c r="AO197" i="3"/>
  <c r="AN197" i="3"/>
  <c r="AM197" i="3"/>
  <c r="AL197" i="3"/>
  <c r="AK197" i="3"/>
  <c r="AJ197" i="3"/>
  <c r="AS196" i="3"/>
  <c r="AR196" i="3"/>
  <c r="AQ196" i="3"/>
  <c r="AP196" i="3"/>
  <c r="AO196" i="3"/>
  <c r="AN196" i="3"/>
  <c r="AM196" i="3"/>
  <c r="AL196" i="3"/>
  <c r="AK196" i="3"/>
  <c r="AJ196" i="3"/>
  <c r="AS195" i="3"/>
  <c r="AR195" i="3"/>
  <c r="AQ195" i="3"/>
  <c r="AP195" i="3"/>
  <c r="AO195" i="3"/>
  <c r="AN195" i="3"/>
  <c r="AM195" i="3"/>
  <c r="AL195" i="3"/>
  <c r="AK195" i="3"/>
  <c r="AJ195" i="3"/>
  <c r="AS194" i="3"/>
  <c r="AR194" i="3"/>
  <c r="AQ194" i="3"/>
  <c r="AP194" i="3"/>
  <c r="AO194" i="3"/>
  <c r="AN194" i="3"/>
  <c r="AM194" i="3"/>
  <c r="AL194" i="3"/>
  <c r="AK194" i="3"/>
  <c r="AJ194" i="3"/>
  <c r="AS193" i="3"/>
  <c r="AR193" i="3"/>
  <c r="AQ193" i="3"/>
  <c r="AP193" i="3"/>
  <c r="AO193" i="3"/>
  <c r="AN193" i="3"/>
  <c r="AM193" i="3"/>
  <c r="AL193" i="3"/>
  <c r="AK193" i="3"/>
  <c r="AJ193" i="3"/>
  <c r="AS192" i="3"/>
  <c r="AR192" i="3"/>
  <c r="AQ192" i="3"/>
  <c r="AP192" i="3"/>
  <c r="AO192" i="3"/>
  <c r="AN192" i="3"/>
  <c r="AM192" i="3"/>
  <c r="AL192" i="3"/>
  <c r="AK192" i="3"/>
  <c r="AJ192" i="3"/>
  <c r="AS191" i="3"/>
  <c r="AR191" i="3"/>
  <c r="AQ191" i="3"/>
  <c r="AP191" i="3"/>
  <c r="AO191" i="3"/>
  <c r="AN191" i="3"/>
  <c r="AM191" i="3"/>
  <c r="AL191" i="3"/>
  <c r="AK191" i="3"/>
  <c r="AJ191" i="3"/>
  <c r="AS190" i="3"/>
  <c r="AR190" i="3"/>
  <c r="AQ190" i="3"/>
  <c r="AP190" i="3"/>
  <c r="AO190" i="3"/>
  <c r="AN190" i="3"/>
  <c r="AM190" i="3"/>
  <c r="AL190" i="3"/>
  <c r="AK190" i="3"/>
  <c r="AJ190" i="3"/>
  <c r="AS189" i="3"/>
  <c r="AR189" i="3"/>
  <c r="AQ189" i="3"/>
  <c r="AP189" i="3"/>
  <c r="AO189" i="3"/>
  <c r="AN189" i="3"/>
  <c r="AM189" i="3"/>
  <c r="AL189" i="3"/>
  <c r="AK189" i="3"/>
  <c r="AJ189" i="3"/>
  <c r="AS188" i="3"/>
  <c r="AR188" i="3"/>
  <c r="AQ188" i="3"/>
  <c r="AP188" i="3"/>
  <c r="AO188" i="3"/>
  <c r="AN188" i="3"/>
  <c r="AM188" i="3"/>
  <c r="AL188" i="3"/>
  <c r="AK188" i="3"/>
  <c r="AJ188" i="3"/>
  <c r="AS187" i="3"/>
  <c r="AR187" i="3"/>
  <c r="AQ187" i="3"/>
  <c r="AP187" i="3"/>
  <c r="AO187" i="3"/>
  <c r="AN187" i="3"/>
  <c r="AM187" i="3"/>
  <c r="AL187" i="3"/>
  <c r="AK187" i="3"/>
  <c r="AJ187" i="3"/>
  <c r="AS186" i="3"/>
  <c r="AR186" i="3"/>
  <c r="AQ186" i="3"/>
  <c r="AP186" i="3"/>
  <c r="AO186" i="3"/>
  <c r="AN186" i="3"/>
  <c r="AM186" i="3"/>
  <c r="AL186" i="3"/>
  <c r="AK186" i="3"/>
  <c r="AJ186" i="3"/>
  <c r="AS185" i="3"/>
  <c r="AR185" i="3"/>
  <c r="AQ185" i="3"/>
  <c r="AP185" i="3"/>
  <c r="AO185" i="3"/>
  <c r="AN185" i="3"/>
  <c r="AM185" i="3"/>
  <c r="AL185" i="3"/>
  <c r="AK185" i="3"/>
  <c r="AJ185" i="3"/>
  <c r="AS184" i="3"/>
  <c r="AR184" i="3"/>
  <c r="AQ184" i="3"/>
  <c r="AP184" i="3"/>
  <c r="AO184" i="3"/>
  <c r="AN184" i="3"/>
  <c r="AM184" i="3"/>
  <c r="AL184" i="3"/>
  <c r="AK184" i="3"/>
  <c r="AJ184" i="3"/>
  <c r="AS183" i="3"/>
  <c r="AR183" i="3"/>
  <c r="AQ183" i="3"/>
  <c r="AP183" i="3"/>
  <c r="AO183" i="3"/>
  <c r="AN183" i="3"/>
  <c r="AM183" i="3"/>
  <c r="AL183" i="3"/>
  <c r="AK183" i="3"/>
  <c r="AJ183" i="3"/>
  <c r="AS182" i="3"/>
  <c r="AR182" i="3"/>
  <c r="AQ182" i="3"/>
  <c r="AP182" i="3"/>
  <c r="AO182" i="3"/>
  <c r="AN182" i="3"/>
  <c r="AM182" i="3"/>
  <c r="AL182" i="3"/>
  <c r="AK182" i="3"/>
  <c r="AJ182" i="3"/>
  <c r="AS181" i="3"/>
  <c r="AR181" i="3"/>
  <c r="AQ181" i="3"/>
  <c r="AP181" i="3"/>
  <c r="AO181" i="3"/>
  <c r="AN181" i="3"/>
  <c r="AM181" i="3"/>
  <c r="AL181" i="3"/>
  <c r="AK181" i="3"/>
  <c r="AJ181" i="3"/>
  <c r="AS180" i="3"/>
  <c r="AR180" i="3"/>
  <c r="AQ180" i="3"/>
  <c r="AP180" i="3"/>
  <c r="AO180" i="3"/>
  <c r="AN180" i="3"/>
  <c r="AM180" i="3"/>
  <c r="AL180" i="3"/>
  <c r="AK180" i="3"/>
  <c r="AJ180" i="3"/>
  <c r="AS179" i="3"/>
  <c r="AR179" i="3"/>
  <c r="AQ179" i="3"/>
  <c r="AP179" i="3"/>
  <c r="AO179" i="3"/>
  <c r="AN179" i="3"/>
  <c r="AM179" i="3"/>
  <c r="AL179" i="3"/>
  <c r="AK179" i="3"/>
  <c r="AJ179" i="3"/>
  <c r="AS178" i="3"/>
  <c r="AR178" i="3"/>
  <c r="AQ178" i="3"/>
  <c r="AP178" i="3"/>
  <c r="AO178" i="3"/>
  <c r="AN178" i="3"/>
  <c r="AM178" i="3"/>
  <c r="AL178" i="3"/>
  <c r="AK178" i="3"/>
  <c r="AJ178" i="3"/>
  <c r="AS177" i="3"/>
  <c r="AR177" i="3"/>
  <c r="AQ177" i="3"/>
  <c r="AP177" i="3"/>
  <c r="AO177" i="3"/>
  <c r="AN177" i="3"/>
  <c r="AM177" i="3"/>
  <c r="AL177" i="3"/>
  <c r="AK177" i="3"/>
  <c r="AJ177" i="3"/>
  <c r="AS176" i="3"/>
  <c r="AR176" i="3"/>
  <c r="AQ176" i="3"/>
  <c r="AP176" i="3"/>
  <c r="AO176" i="3"/>
  <c r="AN176" i="3"/>
  <c r="AM176" i="3"/>
  <c r="AL176" i="3"/>
  <c r="AK176" i="3"/>
  <c r="AJ176" i="3"/>
  <c r="AS175" i="3"/>
  <c r="AR175" i="3"/>
  <c r="AQ175" i="3"/>
  <c r="AP175" i="3"/>
  <c r="AO175" i="3"/>
  <c r="AN175" i="3"/>
  <c r="AM175" i="3"/>
  <c r="AL175" i="3"/>
  <c r="AK175" i="3"/>
  <c r="AJ175" i="3"/>
  <c r="AS174" i="3"/>
  <c r="AR174" i="3"/>
  <c r="AQ174" i="3"/>
  <c r="AP174" i="3"/>
  <c r="AO174" i="3"/>
  <c r="AN174" i="3"/>
  <c r="AM174" i="3"/>
  <c r="AL174" i="3"/>
  <c r="AK174" i="3"/>
  <c r="AJ174" i="3"/>
  <c r="AS173" i="3"/>
  <c r="AR173" i="3"/>
  <c r="AQ173" i="3"/>
  <c r="AP173" i="3"/>
  <c r="AO173" i="3"/>
  <c r="AN173" i="3"/>
  <c r="AM173" i="3"/>
  <c r="AL173" i="3"/>
  <c r="AK173" i="3"/>
  <c r="AJ173" i="3"/>
  <c r="AS172" i="3"/>
  <c r="AR172" i="3"/>
  <c r="AQ172" i="3"/>
  <c r="AP172" i="3"/>
  <c r="AO172" i="3"/>
  <c r="AN172" i="3"/>
  <c r="AM172" i="3"/>
  <c r="AL172" i="3"/>
  <c r="AK172" i="3"/>
  <c r="AJ172" i="3"/>
  <c r="AS171" i="3"/>
  <c r="AR171" i="3"/>
  <c r="AQ171" i="3"/>
  <c r="AP171" i="3"/>
  <c r="AO171" i="3"/>
  <c r="AN171" i="3"/>
  <c r="AM171" i="3"/>
  <c r="AL171" i="3"/>
  <c r="AK171" i="3"/>
  <c r="AJ171" i="3"/>
  <c r="AS170" i="3"/>
  <c r="AR170" i="3"/>
  <c r="AQ170" i="3"/>
  <c r="AP170" i="3"/>
  <c r="AO170" i="3"/>
  <c r="AN170" i="3"/>
  <c r="AM170" i="3"/>
  <c r="AL170" i="3"/>
  <c r="AK170" i="3"/>
  <c r="AJ170" i="3"/>
  <c r="AS169" i="3"/>
  <c r="AR169" i="3"/>
  <c r="AQ169" i="3"/>
  <c r="AP169" i="3"/>
  <c r="AO169" i="3"/>
  <c r="AN169" i="3"/>
  <c r="AM169" i="3"/>
  <c r="AL169" i="3"/>
  <c r="AK169" i="3"/>
  <c r="AJ169" i="3"/>
  <c r="AS168" i="3"/>
  <c r="AR168" i="3"/>
  <c r="AQ168" i="3"/>
  <c r="AP168" i="3"/>
  <c r="AO168" i="3"/>
  <c r="AN168" i="3"/>
  <c r="AM168" i="3"/>
  <c r="AL168" i="3"/>
  <c r="AK168" i="3"/>
  <c r="AJ168" i="3"/>
  <c r="AS167" i="3"/>
  <c r="AR167" i="3"/>
  <c r="AQ167" i="3"/>
  <c r="AP167" i="3"/>
  <c r="AO167" i="3"/>
  <c r="AN167" i="3"/>
  <c r="AM167" i="3"/>
  <c r="AL167" i="3"/>
  <c r="AK167" i="3"/>
  <c r="AJ167" i="3"/>
  <c r="AS166" i="3"/>
  <c r="AR166" i="3"/>
  <c r="AQ166" i="3"/>
  <c r="AP166" i="3"/>
  <c r="AO166" i="3"/>
  <c r="AN166" i="3"/>
  <c r="AM166" i="3"/>
  <c r="AL166" i="3"/>
  <c r="AK166" i="3"/>
  <c r="AJ166" i="3"/>
  <c r="AS165" i="3"/>
  <c r="AR165" i="3"/>
  <c r="AQ165" i="3"/>
  <c r="AP165" i="3"/>
  <c r="AO165" i="3"/>
  <c r="AN165" i="3"/>
  <c r="AM165" i="3"/>
  <c r="AL165" i="3"/>
  <c r="AK165" i="3"/>
  <c r="AJ165" i="3"/>
  <c r="AS164" i="3"/>
  <c r="AR164" i="3"/>
  <c r="AQ164" i="3"/>
  <c r="AP164" i="3"/>
  <c r="AO164" i="3"/>
  <c r="AN164" i="3"/>
  <c r="AM164" i="3"/>
  <c r="AL164" i="3"/>
  <c r="AK164" i="3"/>
  <c r="AJ164" i="3"/>
  <c r="AS163" i="3"/>
  <c r="AR163" i="3"/>
  <c r="AQ163" i="3"/>
  <c r="AP163" i="3"/>
  <c r="AO163" i="3"/>
  <c r="AN163" i="3"/>
  <c r="AM163" i="3"/>
  <c r="AL163" i="3"/>
  <c r="AK163" i="3"/>
  <c r="AJ163" i="3"/>
  <c r="AS162" i="3"/>
  <c r="AR162" i="3"/>
  <c r="AQ162" i="3"/>
  <c r="AP162" i="3"/>
  <c r="AO162" i="3"/>
  <c r="AN162" i="3"/>
  <c r="AM162" i="3"/>
  <c r="AL162" i="3"/>
  <c r="AK162" i="3"/>
  <c r="AJ162" i="3"/>
  <c r="AS161" i="3"/>
  <c r="AR161" i="3"/>
  <c r="AQ161" i="3"/>
  <c r="AP161" i="3"/>
  <c r="AO161" i="3"/>
  <c r="AN161" i="3"/>
  <c r="AM161" i="3"/>
  <c r="AL161" i="3"/>
  <c r="AK161" i="3"/>
  <c r="AJ161" i="3"/>
  <c r="AS160" i="3"/>
  <c r="AR160" i="3"/>
  <c r="AQ160" i="3"/>
  <c r="AP160" i="3"/>
  <c r="AO160" i="3"/>
  <c r="AN160" i="3"/>
  <c r="AM160" i="3"/>
  <c r="AL160" i="3"/>
  <c r="AK160" i="3"/>
  <c r="AJ160" i="3"/>
  <c r="AS159" i="3"/>
  <c r="AR159" i="3"/>
  <c r="AQ159" i="3"/>
  <c r="AP159" i="3"/>
  <c r="AO159" i="3"/>
  <c r="AN159" i="3"/>
  <c r="AM159" i="3"/>
  <c r="AL159" i="3"/>
  <c r="AK159" i="3"/>
  <c r="AJ159" i="3"/>
  <c r="AS158" i="3"/>
  <c r="AR158" i="3"/>
  <c r="AQ158" i="3"/>
  <c r="AP158" i="3"/>
  <c r="AO158" i="3"/>
  <c r="AN158" i="3"/>
  <c r="AM158" i="3"/>
  <c r="AL158" i="3"/>
  <c r="AK158" i="3"/>
  <c r="AJ158" i="3"/>
  <c r="AS157" i="3"/>
  <c r="AR157" i="3"/>
  <c r="AQ157" i="3"/>
  <c r="AP157" i="3"/>
  <c r="AO157" i="3"/>
  <c r="AN157" i="3"/>
  <c r="AM157" i="3"/>
  <c r="AL157" i="3"/>
  <c r="AK157" i="3"/>
  <c r="AJ157" i="3"/>
  <c r="AS156" i="3"/>
  <c r="AR156" i="3"/>
  <c r="AQ156" i="3"/>
  <c r="AP156" i="3"/>
  <c r="AO156" i="3"/>
  <c r="AN156" i="3"/>
  <c r="AM156" i="3"/>
  <c r="AL156" i="3"/>
  <c r="AK156" i="3"/>
  <c r="AJ156" i="3"/>
  <c r="AS155" i="3"/>
  <c r="AR155" i="3"/>
  <c r="AQ155" i="3"/>
  <c r="AP155" i="3"/>
  <c r="AO155" i="3"/>
  <c r="AN155" i="3"/>
  <c r="AM155" i="3"/>
  <c r="AL155" i="3"/>
  <c r="AK155" i="3"/>
  <c r="AJ155" i="3"/>
  <c r="AS154" i="3"/>
  <c r="AR154" i="3"/>
  <c r="AQ154" i="3"/>
  <c r="AP154" i="3"/>
  <c r="AO154" i="3"/>
  <c r="AN154" i="3"/>
  <c r="AM154" i="3"/>
  <c r="AL154" i="3"/>
  <c r="AK154" i="3"/>
  <c r="AJ154" i="3"/>
  <c r="AS153" i="3"/>
  <c r="AR153" i="3"/>
  <c r="AQ153" i="3"/>
  <c r="AP153" i="3"/>
  <c r="AO153" i="3"/>
  <c r="AN153" i="3"/>
  <c r="AM153" i="3"/>
  <c r="AL153" i="3"/>
  <c r="AK153" i="3"/>
  <c r="AJ153" i="3"/>
  <c r="AS152" i="3"/>
  <c r="AR152" i="3"/>
  <c r="AQ152" i="3"/>
  <c r="AP152" i="3"/>
  <c r="AO152" i="3"/>
  <c r="AN152" i="3"/>
  <c r="AM152" i="3"/>
  <c r="AL152" i="3"/>
  <c r="AK152" i="3"/>
  <c r="AJ152" i="3"/>
  <c r="AS151" i="3"/>
  <c r="AR151" i="3"/>
  <c r="AQ151" i="3"/>
  <c r="AP151" i="3"/>
  <c r="AO151" i="3"/>
  <c r="AN151" i="3"/>
  <c r="AM151" i="3"/>
  <c r="AL151" i="3"/>
  <c r="AK151" i="3"/>
  <c r="AJ151" i="3"/>
  <c r="AS150" i="3"/>
  <c r="AR150" i="3"/>
  <c r="AQ150" i="3"/>
  <c r="AP150" i="3"/>
  <c r="AO150" i="3"/>
  <c r="AN150" i="3"/>
  <c r="AM150" i="3"/>
  <c r="AL150" i="3"/>
  <c r="AK150" i="3"/>
  <c r="AJ150" i="3"/>
  <c r="AS149" i="3"/>
  <c r="AR149" i="3"/>
  <c r="AQ149" i="3"/>
  <c r="AP149" i="3"/>
  <c r="AO149" i="3"/>
  <c r="AN149" i="3"/>
  <c r="AM149" i="3"/>
  <c r="AL149" i="3"/>
  <c r="AK149" i="3"/>
  <c r="AJ149" i="3"/>
  <c r="AS148" i="3"/>
  <c r="AR148" i="3"/>
  <c r="AQ148" i="3"/>
  <c r="AP148" i="3"/>
  <c r="AO148" i="3"/>
  <c r="AN148" i="3"/>
  <c r="AM148" i="3"/>
  <c r="AL148" i="3"/>
  <c r="AK148" i="3"/>
  <c r="AJ148" i="3"/>
  <c r="AS147" i="3"/>
  <c r="AR147" i="3"/>
  <c r="AQ147" i="3"/>
  <c r="AP147" i="3"/>
  <c r="AO147" i="3"/>
  <c r="AN147" i="3"/>
  <c r="AM147" i="3"/>
  <c r="AL147" i="3"/>
  <c r="AK147" i="3"/>
  <c r="AJ147" i="3"/>
  <c r="AS146" i="3"/>
  <c r="AR146" i="3"/>
  <c r="AQ146" i="3"/>
  <c r="AP146" i="3"/>
  <c r="AO146" i="3"/>
  <c r="AN146" i="3"/>
  <c r="AM146" i="3"/>
  <c r="AL146" i="3"/>
  <c r="AK146" i="3"/>
  <c r="AJ146" i="3"/>
  <c r="AS145" i="3"/>
  <c r="AR145" i="3"/>
  <c r="AQ145" i="3"/>
  <c r="AP145" i="3"/>
  <c r="AO145" i="3"/>
  <c r="AN145" i="3"/>
  <c r="AM145" i="3"/>
  <c r="AL145" i="3"/>
  <c r="AK145" i="3"/>
  <c r="AJ145" i="3"/>
  <c r="AS144" i="3"/>
  <c r="AR144" i="3"/>
  <c r="AQ144" i="3"/>
  <c r="AP144" i="3"/>
  <c r="AO144" i="3"/>
  <c r="AN144" i="3"/>
  <c r="AM144" i="3"/>
  <c r="AL144" i="3"/>
  <c r="AK144" i="3"/>
  <c r="AJ144" i="3"/>
  <c r="AS143" i="3"/>
  <c r="AR143" i="3"/>
  <c r="AQ143" i="3"/>
  <c r="AP143" i="3"/>
  <c r="AO143" i="3"/>
  <c r="AN143" i="3"/>
  <c r="AM143" i="3"/>
  <c r="AL143" i="3"/>
  <c r="AK143" i="3"/>
  <c r="AJ143" i="3"/>
  <c r="AS142" i="3"/>
  <c r="AR142" i="3"/>
  <c r="AQ142" i="3"/>
  <c r="AP142" i="3"/>
  <c r="AO142" i="3"/>
  <c r="AN142" i="3"/>
  <c r="AM142" i="3"/>
  <c r="AL142" i="3"/>
  <c r="AK142" i="3"/>
  <c r="AJ142" i="3"/>
  <c r="AS141" i="3"/>
  <c r="AR141" i="3"/>
  <c r="AQ141" i="3"/>
  <c r="AP141" i="3"/>
  <c r="AO141" i="3"/>
  <c r="AN141" i="3"/>
  <c r="AM141" i="3"/>
  <c r="AL141" i="3"/>
  <c r="AK141" i="3"/>
  <c r="AJ141" i="3"/>
  <c r="AS140" i="3"/>
  <c r="AR140" i="3"/>
  <c r="AQ140" i="3"/>
  <c r="AP140" i="3"/>
  <c r="AO140" i="3"/>
  <c r="AN140" i="3"/>
  <c r="AM140" i="3"/>
  <c r="AL140" i="3"/>
  <c r="AK140" i="3"/>
  <c r="AJ140" i="3"/>
  <c r="AS139" i="3"/>
  <c r="AR139" i="3"/>
  <c r="AQ139" i="3"/>
  <c r="AP139" i="3"/>
  <c r="AO139" i="3"/>
  <c r="AN139" i="3"/>
  <c r="AM139" i="3"/>
  <c r="AL139" i="3"/>
  <c r="AK139" i="3"/>
  <c r="AJ139" i="3"/>
  <c r="AS138" i="3"/>
  <c r="AR138" i="3"/>
  <c r="AQ138" i="3"/>
  <c r="AP138" i="3"/>
  <c r="AO138" i="3"/>
  <c r="AN138" i="3"/>
  <c r="AM138" i="3"/>
  <c r="AL138" i="3"/>
  <c r="AK138" i="3"/>
  <c r="AJ138" i="3"/>
  <c r="AS137" i="3"/>
  <c r="AR137" i="3"/>
  <c r="AQ137" i="3"/>
  <c r="AP137" i="3"/>
  <c r="AO137" i="3"/>
  <c r="AN137" i="3"/>
  <c r="AM137" i="3"/>
  <c r="AL137" i="3"/>
  <c r="AK137" i="3"/>
  <c r="AJ137" i="3"/>
  <c r="AS136" i="3"/>
  <c r="AR136" i="3"/>
  <c r="AQ136" i="3"/>
  <c r="AP136" i="3"/>
  <c r="AO136" i="3"/>
  <c r="AN136" i="3"/>
  <c r="AM136" i="3"/>
  <c r="AL136" i="3"/>
  <c r="AK136" i="3"/>
  <c r="AJ136" i="3"/>
  <c r="AS135" i="3"/>
  <c r="AR135" i="3"/>
  <c r="AQ135" i="3"/>
  <c r="AP135" i="3"/>
  <c r="AO135" i="3"/>
  <c r="AN135" i="3"/>
  <c r="AM135" i="3"/>
  <c r="AL135" i="3"/>
  <c r="AK135" i="3"/>
  <c r="AJ135" i="3"/>
  <c r="AS134" i="3"/>
  <c r="AR134" i="3"/>
  <c r="AQ134" i="3"/>
  <c r="AP134" i="3"/>
  <c r="AO134" i="3"/>
  <c r="AN134" i="3"/>
  <c r="AM134" i="3"/>
  <c r="AL134" i="3"/>
  <c r="AK134" i="3"/>
  <c r="AJ134" i="3"/>
  <c r="AS133" i="3"/>
  <c r="AR133" i="3"/>
  <c r="AQ133" i="3"/>
  <c r="AP133" i="3"/>
  <c r="AO133" i="3"/>
  <c r="AN133" i="3"/>
  <c r="AM133" i="3"/>
  <c r="AL133" i="3"/>
  <c r="AK133" i="3"/>
  <c r="AJ133" i="3"/>
  <c r="AS132" i="3"/>
  <c r="AR132" i="3"/>
  <c r="AQ132" i="3"/>
  <c r="AP132" i="3"/>
  <c r="AO132" i="3"/>
  <c r="AN132" i="3"/>
  <c r="AM132" i="3"/>
  <c r="AL132" i="3"/>
  <c r="AK132" i="3"/>
  <c r="AJ132" i="3"/>
  <c r="AS131" i="3"/>
  <c r="AR131" i="3"/>
  <c r="AQ131" i="3"/>
  <c r="AP131" i="3"/>
  <c r="AO131" i="3"/>
  <c r="AN131" i="3"/>
  <c r="AM131" i="3"/>
  <c r="AL131" i="3"/>
  <c r="AK131" i="3"/>
  <c r="AJ131" i="3"/>
  <c r="AS130" i="3"/>
  <c r="AR130" i="3"/>
  <c r="AQ130" i="3"/>
  <c r="AP130" i="3"/>
  <c r="AO130" i="3"/>
  <c r="AN130" i="3"/>
  <c r="AM130" i="3"/>
  <c r="AL130" i="3"/>
  <c r="AK130" i="3"/>
  <c r="AJ130" i="3"/>
  <c r="AS129" i="3"/>
  <c r="AR129" i="3"/>
  <c r="AQ129" i="3"/>
  <c r="AP129" i="3"/>
  <c r="AO129" i="3"/>
  <c r="AN129" i="3"/>
  <c r="AM129" i="3"/>
  <c r="AL129" i="3"/>
  <c r="AK129" i="3"/>
  <c r="AJ129" i="3"/>
  <c r="AS128" i="3"/>
  <c r="AR128" i="3"/>
  <c r="AQ128" i="3"/>
  <c r="AP128" i="3"/>
  <c r="AO128" i="3"/>
  <c r="AN128" i="3"/>
  <c r="AM128" i="3"/>
  <c r="AL128" i="3"/>
  <c r="AK128" i="3"/>
  <c r="AJ128" i="3"/>
  <c r="AS127" i="3"/>
  <c r="AR127" i="3"/>
  <c r="AQ127" i="3"/>
  <c r="AP127" i="3"/>
  <c r="AO127" i="3"/>
  <c r="AN127" i="3"/>
  <c r="AM127" i="3"/>
  <c r="AL127" i="3"/>
  <c r="AK127" i="3"/>
  <c r="AJ127" i="3"/>
  <c r="AS126" i="3"/>
  <c r="AR126" i="3"/>
  <c r="AQ126" i="3"/>
  <c r="AP126" i="3"/>
  <c r="AO126" i="3"/>
  <c r="AN126" i="3"/>
  <c r="AM126" i="3"/>
  <c r="AL126" i="3"/>
  <c r="AK126" i="3"/>
  <c r="AJ126" i="3"/>
  <c r="AS125" i="3"/>
  <c r="AR125" i="3"/>
  <c r="AQ125" i="3"/>
  <c r="AP125" i="3"/>
  <c r="AO125" i="3"/>
  <c r="AN125" i="3"/>
  <c r="AM125" i="3"/>
  <c r="AL125" i="3"/>
  <c r="AK125" i="3"/>
  <c r="AJ125" i="3"/>
  <c r="AS124" i="3"/>
  <c r="AR124" i="3"/>
  <c r="AQ124" i="3"/>
  <c r="AP124" i="3"/>
  <c r="AO124" i="3"/>
  <c r="AN124" i="3"/>
  <c r="AM124" i="3"/>
  <c r="AL124" i="3"/>
  <c r="AK124" i="3"/>
  <c r="AJ124" i="3"/>
  <c r="AS123" i="3"/>
  <c r="AR123" i="3"/>
  <c r="AQ123" i="3"/>
  <c r="AP123" i="3"/>
  <c r="AO123" i="3"/>
  <c r="AN123" i="3"/>
  <c r="AM123" i="3"/>
  <c r="AL123" i="3"/>
  <c r="AK123" i="3"/>
  <c r="AJ123" i="3"/>
  <c r="AS122" i="3"/>
  <c r="AR122" i="3"/>
  <c r="AQ122" i="3"/>
  <c r="AP122" i="3"/>
  <c r="AO122" i="3"/>
  <c r="AN122" i="3"/>
  <c r="AM122" i="3"/>
  <c r="AL122" i="3"/>
  <c r="AK122" i="3"/>
  <c r="AJ122" i="3"/>
  <c r="AS121" i="3"/>
  <c r="AR121" i="3"/>
  <c r="AQ121" i="3"/>
  <c r="AP121" i="3"/>
  <c r="AO121" i="3"/>
  <c r="AN121" i="3"/>
  <c r="AM121" i="3"/>
  <c r="AL121" i="3"/>
  <c r="AK121" i="3"/>
  <c r="AJ121" i="3"/>
  <c r="AS120" i="3"/>
  <c r="AR120" i="3"/>
  <c r="AQ120" i="3"/>
  <c r="AP120" i="3"/>
  <c r="AO120" i="3"/>
  <c r="AN120" i="3"/>
  <c r="AM120" i="3"/>
  <c r="AL120" i="3"/>
  <c r="AK120" i="3"/>
  <c r="AJ120" i="3"/>
  <c r="AS119" i="3"/>
  <c r="AR119" i="3"/>
  <c r="AQ119" i="3"/>
  <c r="AP119" i="3"/>
  <c r="AO119" i="3"/>
  <c r="AN119" i="3"/>
  <c r="AM119" i="3"/>
  <c r="AL119" i="3"/>
  <c r="AK119" i="3"/>
  <c r="AJ119" i="3"/>
  <c r="AS118" i="3"/>
  <c r="AR118" i="3"/>
  <c r="AQ118" i="3"/>
  <c r="AP118" i="3"/>
  <c r="AO118" i="3"/>
  <c r="AN118" i="3"/>
  <c r="AM118" i="3"/>
  <c r="AL118" i="3"/>
  <c r="AK118" i="3"/>
  <c r="AJ118" i="3"/>
  <c r="AS117" i="3"/>
  <c r="AR117" i="3"/>
  <c r="AQ117" i="3"/>
  <c r="AP117" i="3"/>
  <c r="AO117" i="3"/>
  <c r="AN117" i="3"/>
  <c r="AM117" i="3"/>
  <c r="AL117" i="3"/>
  <c r="AK117" i="3"/>
  <c r="AJ117" i="3"/>
  <c r="AS116" i="3"/>
  <c r="AR116" i="3"/>
  <c r="AQ116" i="3"/>
  <c r="AP116" i="3"/>
  <c r="AO116" i="3"/>
  <c r="AN116" i="3"/>
  <c r="AM116" i="3"/>
  <c r="AL116" i="3"/>
  <c r="AK116" i="3"/>
  <c r="AJ116" i="3"/>
  <c r="AS115" i="3"/>
  <c r="AR115" i="3"/>
  <c r="AQ115" i="3"/>
  <c r="AP115" i="3"/>
  <c r="AO115" i="3"/>
  <c r="AN115" i="3"/>
  <c r="AM115" i="3"/>
  <c r="AL115" i="3"/>
  <c r="AK115" i="3"/>
  <c r="AJ115" i="3"/>
  <c r="AS114" i="3"/>
  <c r="AR114" i="3"/>
  <c r="AQ114" i="3"/>
  <c r="AP114" i="3"/>
  <c r="AO114" i="3"/>
  <c r="AN114" i="3"/>
  <c r="AM114" i="3"/>
  <c r="AL114" i="3"/>
  <c r="AK114" i="3"/>
  <c r="AJ114" i="3"/>
  <c r="AS113" i="3"/>
  <c r="AR113" i="3"/>
  <c r="AQ113" i="3"/>
  <c r="AP113" i="3"/>
  <c r="AO113" i="3"/>
  <c r="AN113" i="3"/>
  <c r="AM113" i="3"/>
  <c r="AL113" i="3"/>
  <c r="AK113" i="3"/>
  <c r="AJ113" i="3"/>
  <c r="AS112" i="3"/>
  <c r="AR112" i="3"/>
  <c r="AQ112" i="3"/>
  <c r="AP112" i="3"/>
  <c r="AO112" i="3"/>
  <c r="AN112" i="3"/>
  <c r="AM112" i="3"/>
  <c r="AL112" i="3"/>
  <c r="AK112" i="3"/>
  <c r="AJ112" i="3"/>
  <c r="AS111" i="3"/>
  <c r="AR111" i="3"/>
  <c r="AQ111" i="3"/>
  <c r="AP111" i="3"/>
  <c r="AO111" i="3"/>
  <c r="AN111" i="3"/>
  <c r="AM111" i="3"/>
  <c r="AL111" i="3"/>
  <c r="AK111" i="3"/>
  <c r="AJ111" i="3"/>
  <c r="AS110" i="3"/>
  <c r="AR110" i="3"/>
  <c r="AQ110" i="3"/>
  <c r="AP110" i="3"/>
  <c r="AO110" i="3"/>
  <c r="AN110" i="3"/>
  <c r="AM110" i="3"/>
  <c r="AL110" i="3"/>
  <c r="AK110" i="3"/>
  <c r="AJ110" i="3"/>
  <c r="AS109" i="3"/>
  <c r="AR109" i="3"/>
  <c r="AQ109" i="3"/>
  <c r="AP109" i="3"/>
  <c r="AO109" i="3"/>
  <c r="AN109" i="3"/>
  <c r="AM109" i="3"/>
  <c r="AL109" i="3"/>
  <c r="AK109" i="3"/>
  <c r="AJ109" i="3"/>
  <c r="AS108" i="3"/>
  <c r="AR108" i="3"/>
  <c r="AQ108" i="3"/>
  <c r="AP108" i="3"/>
  <c r="AO108" i="3"/>
  <c r="AN108" i="3"/>
  <c r="AM108" i="3"/>
  <c r="AL108" i="3"/>
  <c r="AK108" i="3"/>
  <c r="AJ108" i="3"/>
  <c r="AS107" i="3"/>
  <c r="AR107" i="3"/>
  <c r="AQ107" i="3"/>
  <c r="AP107" i="3"/>
  <c r="AO107" i="3"/>
  <c r="AN107" i="3"/>
  <c r="AM107" i="3"/>
  <c r="AL107" i="3"/>
  <c r="AK107" i="3"/>
  <c r="AJ107" i="3"/>
  <c r="AS106" i="3"/>
  <c r="AR106" i="3"/>
  <c r="AQ106" i="3"/>
  <c r="AP106" i="3"/>
  <c r="AO106" i="3"/>
  <c r="AN106" i="3"/>
  <c r="AM106" i="3"/>
  <c r="AL106" i="3"/>
  <c r="AK106" i="3"/>
  <c r="AJ106" i="3"/>
  <c r="AS105" i="3"/>
  <c r="AR105" i="3"/>
  <c r="AQ105" i="3"/>
  <c r="AP105" i="3"/>
  <c r="AO105" i="3"/>
  <c r="AN105" i="3"/>
  <c r="AM105" i="3"/>
  <c r="AL105" i="3"/>
  <c r="AK105" i="3"/>
  <c r="AJ105" i="3"/>
  <c r="AS104" i="3"/>
  <c r="AR104" i="3"/>
  <c r="AQ104" i="3"/>
  <c r="AP104" i="3"/>
  <c r="AO104" i="3"/>
  <c r="AN104" i="3"/>
  <c r="AM104" i="3"/>
  <c r="AL104" i="3"/>
  <c r="AK104" i="3"/>
  <c r="AJ104" i="3"/>
  <c r="AS103" i="3"/>
  <c r="AR103" i="3"/>
  <c r="AQ103" i="3"/>
  <c r="AP103" i="3"/>
  <c r="AO103" i="3"/>
  <c r="AN103" i="3"/>
  <c r="AM103" i="3"/>
  <c r="AL103" i="3"/>
  <c r="AK103" i="3"/>
  <c r="AJ103" i="3"/>
  <c r="AS102" i="3"/>
  <c r="AR102" i="3"/>
  <c r="AQ102" i="3"/>
  <c r="AP102" i="3"/>
  <c r="AO102" i="3"/>
  <c r="AN102" i="3"/>
  <c r="AM102" i="3"/>
  <c r="AL102" i="3"/>
  <c r="AK102" i="3"/>
  <c r="AJ102" i="3"/>
  <c r="AS101" i="3"/>
  <c r="AR101" i="3"/>
  <c r="AQ101" i="3"/>
  <c r="AP101" i="3"/>
  <c r="AO101" i="3"/>
  <c r="AN101" i="3"/>
  <c r="AM101" i="3"/>
  <c r="AL101" i="3"/>
  <c r="AK101" i="3"/>
  <c r="AJ101" i="3"/>
  <c r="AS100" i="3"/>
  <c r="AR100" i="3"/>
  <c r="AQ100" i="3"/>
  <c r="AP100" i="3"/>
  <c r="AO100" i="3"/>
  <c r="AN100" i="3"/>
  <c r="AM100" i="3"/>
  <c r="AL100" i="3"/>
  <c r="AK100" i="3"/>
  <c r="AJ100" i="3"/>
  <c r="AS99" i="3"/>
  <c r="AR99" i="3"/>
  <c r="AQ99" i="3"/>
  <c r="AP99" i="3"/>
  <c r="AO99" i="3"/>
  <c r="AN99" i="3"/>
  <c r="AM99" i="3"/>
  <c r="AL99" i="3"/>
  <c r="AK99" i="3"/>
  <c r="AJ99" i="3"/>
  <c r="AS98" i="3"/>
  <c r="AR98" i="3"/>
  <c r="AQ98" i="3"/>
  <c r="AP98" i="3"/>
  <c r="AO98" i="3"/>
  <c r="AN98" i="3"/>
  <c r="AM98" i="3"/>
  <c r="AL98" i="3"/>
  <c r="AK98" i="3"/>
  <c r="AJ98" i="3"/>
  <c r="AS97" i="3"/>
  <c r="AR97" i="3"/>
  <c r="AQ97" i="3"/>
  <c r="AP97" i="3"/>
  <c r="AO97" i="3"/>
  <c r="AN97" i="3"/>
  <c r="AM97" i="3"/>
  <c r="AL97" i="3"/>
  <c r="AK97" i="3"/>
  <c r="AJ97" i="3"/>
  <c r="AS96" i="3"/>
  <c r="AR96" i="3"/>
  <c r="AQ96" i="3"/>
  <c r="AP96" i="3"/>
  <c r="AO96" i="3"/>
  <c r="AN96" i="3"/>
  <c r="AM96" i="3"/>
  <c r="AL96" i="3"/>
  <c r="AK96" i="3"/>
  <c r="AJ96" i="3"/>
  <c r="AS95" i="3"/>
  <c r="AR95" i="3"/>
  <c r="AQ95" i="3"/>
  <c r="AP95" i="3"/>
  <c r="AO95" i="3"/>
  <c r="AN95" i="3"/>
  <c r="AM95" i="3"/>
  <c r="AL95" i="3"/>
  <c r="AK95" i="3"/>
  <c r="AJ95" i="3"/>
  <c r="AS94" i="3"/>
  <c r="AR94" i="3"/>
  <c r="AQ94" i="3"/>
  <c r="AP94" i="3"/>
  <c r="AO94" i="3"/>
  <c r="AN94" i="3"/>
  <c r="AM94" i="3"/>
  <c r="AL94" i="3"/>
  <c r="AK94" i="3"/>
  <c r="AJ94" i="3"/>
  <c r="AS93" i="3"/>
  <c r="AR93" i="3"/>
  <c r="AQ93" i="3"/>
  <c r="AP93" i="3"/>
  <c r="AO93" i="3"/>
  <c r="AN93" i="3"/>
  <c r="AM93" i="3"/>
  <c r="AL93" i="3"/>
  <c r="AK93" i="3"/>
  <c r="AJ93" i="3"/>
  <c r="AS92" i="3"/>
  <c r="AR92" i="3"/>
  <c r="AQ92" i="3"/>
  <c r="AP92" i="3"/>
  <c r="AO92" i="3"/>
  <c r="AN92" i="3"/>
  <c r="AM92" i="3"/>
  <c r="AL92" i="3"/>
  <c r="AK92" i="3"/>
  <c r="AJ92" i="3"/>
  <c r="AS91" i="3"/>
  <c r="AR91" i="3"/>
  <c r="AQ91" i="3"/>
  <c r="AP91" i="3"/>
  <c r="AO91" i="3"/>
  <c r="AN91" i="3"/>
  <c r="AM91" i="3"/>
  <c r="AL91" i="3"/>
  <c r="AK91" i="3"/>
  <c r="AJ91" i="3"/>
  <c r="AS90" i="3"/>
  <c r="AR90" i="3"/>
  <c r="AQ90" i="3"/>
  <c r="AP90" i="3"/>
  <c r="AO90" i="3"/>
  <c r="AN90" i="3"/>
  <c r="AM90" i="3"/>
  <c r="AL90" i="3"/>
  <c r="AK90" i="3"/>
  <c r="AJ90" i="3"/>
  <c r="AS89" i="3"/>
  <c r="AR89" i="3"/>
  <c r="AQ89" i="3"/>
  <c r="AP89" i="3"/>
  <c r="AO89" i="3"/>
  <c r="AN89" i="3"/>
  <c r="AM89" i="3"/>
  <c r="AL89" i="3"/>
  <c r="AK89" i="3"/>
  <c r="AJ89" i="3"/>
  <c r="AS88" i="3"/>
  <c r="AR88" i="3"/>
  <c r="AQ88" i="3"/>
  <c r="AP88" i="3"/>
  <c r="AO88" i="3"/>
  <c r="AN88" i="3"/>
  <c r="AM88" i="3"/>
  <c r="AL88" i="3"/>
  <c r="AK88" i="3"/>
  <c r="AJ88" i="3"/>
  <c r="AS87" i="3"/>
  <c r="AR87" i="3"/>
  <c r="AQ87" i="3"/>
  <c r="AP87" i="3"/>
  <c r="AO87" i="3"/>
  <c r="AN87" i="3"/>
  <c r="AM87" i="3"/>
  <c r="AL87" i="3"/>
  <c r="AK87" i="3"/>
  <c r="AJ87" i="3"/>
  <c r="AS86" i="3"/>
  <c r="AR86" i="3"/>
  <c r="AQ86" i="3"/>
  <c r="AP86" i="3"/>
  <c r="AO86" i="3"/>
  <c r="AN86" i="3"/>
  <c r="AM86" i="3"/>
  <c r="AL86" i="3"/>
  <c r="AK86" i="3"/>
  <c r="AJ86" i="3"/>
  <c r="AS85" i="3"/>
  <c r="AR85" i="3"/>
  <c r="AQ85" i="3"/>
  <c r="AP85" i="3"/>
  <c r="AO85" i="3"/>
  <c r="AN85" i="3"/>
  <c r="AM85" i="3"/>
  <c r="AL85" i="3"/>
  <c r="AK85" i="3"/>
  <c r="AJ85" i="3"/>
  <c r="AS84" i="3"/>
  <c r="AR84" i="3"/>
  <c r="AQ84" i="3"/>
  <c r="AP84" i="3"/>
  <c r="AO84" i="3"/>
  <c r="AN84" i="3"/>
  <c r="AM84" i="3"/>
  <c r="AL84" i="3"/>
  <c r="AK84" i="3"/>
  <c r="AJ84" i="3"/>
  <c r="AS83" i="3"/>
  <c r="AR83" i="3"/>
  <c r="AQ83" i="3"/>
  <c r="AP83" i="3"/>
  <c r="AO83" i="3"/>
  <c r="AN83" i="3"/>
  <c r="AM83" i="3"/>
  <c r="AL83" i="3"/>
  <c r="AK83" i="3"/>
  <c r="AJ83" i="3"/>
  <c r="AS82" i="3"/>
  <c r="AR82" i="3"/>
  <c r="AQ82" i="3"/>
  <c r="AP82" i="3"/>
  <c r="AO82" i="3"/>
  <c r="AN82" i="3"/>
  <c r="AM82" i="3"/>
  <c r="AL82" i="3"/>
  <c r="AK82" i="3"/>
  <c r="AJ82" i="3"/>
  <c r="AS81" i="3"/>
  <c r="AR81" i="3"/>
  <c r="AQ81" i="3"/>
  <c r="AP81" i="3"/>
  <c r="AO81" i="3"/>
  <c r="AN81" i="3"/>
  <c r="AM81" i="3"/>
  <c r="AL81" i="3"/>
  <c r="AK81" i="3"/>
  <c r="AJ81" i="3"/>
  <c r="AS80" i="3"/>
  <c r="AR80" i="3"/>
  <c r="AQ80" i="3"/>
  <c r="AP80" i="3"/>
  <c r="AO80" i="3"/>
  <c r="AN80" i="3"/>
  <c r="AM80" i="3"/>
  <c r="AL80" i="3"/>
  <c r="AK80" i="3"/>
  <c r="AJ80" i="3"/>
  <c r="AS79" i="3"/>
  <c r="AR79" i="3"/>
  <c r="AQ79" i="3"/>
  <c r="AP79" i="3"/>
  <c r="AO79" i="3"/>
  <c r="AN79" i="3"/>
  <c r="AM79" i="3"/>
  <c r="AL79" i="3"/>
  <c r="AK79" i="3"/>
  <c r="AJ79" i="3"/>
  <c r="AS78" i="3"/>
  <c r="AR78" i="3"/>
  <c r="AQ78" i="3"/>
  <c r="AP78" i="3"/>
  <c r="AO78" i="3"/>
  <c r="AN78" i="3"/>
  <c r="AM78" i="3"/>
  <c r="AL78" i="3"/>
  <c r="AK78" i="3"/>
  <c r="AJ78" i="3"/>
  <c r="AS77" i="3"/>
  <c r="AR77" i="3"/>
  <c r="AQ77" i="3"/>
  <c r="AP77" i="3"/>
  <c r="AO77" i="3"/>
  <c r="AN77" i="3"/>
  <c r="AM77" i="3"/>
  <c r="AL77" i="3"/>
  <c r="AK77" i="3"/>
  <c r="AJ77" i="3"/>
  <c r="AS76" i="3"/>
  <c r="AR76" i="3"/>
  <c r="AQ76" i="3"/>
  <c r="AP76" i="3"/>
  <c r="AO76" i="3"/>
  <c r="AN76" i="3"/>
  <c r="AM76" i="3"/>
  <c r="AL76" i="3"/>
  <c r="AK76" i="3"/>
  <c r="AJ76" i="3"/>
  <c r="AS75" i="3"/>
  <c r="AR75" i="3"/>
  <c r="AQ75" i="3"/>
  <c r="AP75" i="3"/>
  <c r="AO75" i="3"/>
  <c r="AN75" i="3"/>
  <c r="AM75" i="3"/>
  <c r="AL75" i="3"/>
  <c r="AK75" i="3"/>
  <c r="AJ75" i="3"/>
  <c r="AS74" i="3"/>
  <c r="AR74" i="3"/>
  <c r="AQ74" i="3"/>
  <c r="AP74" i="3"/>
  <c r="AO74" i="3"/>
  <c r="AN74" i="3"/>
  <c r="AM74" i="3"/>
  <c r="AL74" i="3"/>
  <c r="AK74" i="3"/>
  <c r="AJ74" i="3"/>
  <c r="AS73" i="3"/>
  <c r="AR73" i="3"/>
  <c r="AQ73" i="3"/>
  <c r="AP73" i="3"/>
  <c r="AO73" i="3"/>
  <c r="AN73" i="3"/>
  <c r="AM73" i="3"/>
  <c r="AL73" i="3"/>
  <c r="AK73" i="3"/>
  <c r="AJ73" i="3"/>
  <c r="AS72" i="3"/>
  <c r="AR72" i="3"/>
  <c r="AQ72" i="3"/>
  <c r="AP72" i="3"/>
  <c r="AO72" i="3"/>
  <c r="AN72" i="3"/>
  <c r="AM72" i="3"/>
  <c r="AL72" i="3"/>
  <c r="AK72" i="3"/>
  <c r="AJ72" i="3"/>
  <c r="AS71" i="3"/>
  <c r="AR71" i="3"/>
  <c r="AQ71" i="3"/>
  <c r="AP71" i="3"/>
  <c r="AO71" i="3"/>
  <c r="AN71" i="3"/>
  <c r="AM71" i="3"/>
  <c r="AL71" i="3"/>
  <c r="AK71" i="3"/>
  <c r="AJ71" i="3"/>
  <c r="AS70" i="3"/>
  <c r="AR70" i="3"/>
  <c r="AQ70" i="3"/>
  <c r="AP70" i="3"/>
  <c r="AO70" i="3"/>
  <c r="AN70" i="3"/>
  <c r="AM70" i="3"/>
  <c r="AL70" i="3"/>
  <c r="AK70" i="3"/>
  <c r="AJ70" i="3"/>
  <c r="AS69" i="3"/>
  <c r="AR69" i="3"/>
  <c r="AQ69" i="3"/>
  <c r="AP69" i="3"/>
  <c r="AO69" i="3"/>
  <c r="AN69" i="3"/>
  <c r="AM69" i="3"/>
  <c r="AL69" i="3"/>
  <c r="AK69" i="3"/>
  <c r="AJ69" i="3"/>
  <c r="AS68" i="3"/>
  <c r="AR68" i="3"/>
  <c r="AQ68" i="3"/>
  <c r="AP68" i="3"/>
  <c r="AO68" i="3"/>
  <c r="AN68" i="3"/>
  <c r="AM68" i="3"/>
  <c r="AL68" i="3"/>
  <c r="AK68" i="3"/>
  <c r="AJ68" i="3"/>
  <c r="AS67" i="3"/>
  <c r="AR67" i="3"/>
  <c r="AQ67" i="3"/>
  <c r="AP67" i="3"/>
  <c r="AO67" i="3"/>
  <c r="AN67" i="3"/>
  <c r="AM67" i="3"/>
  <c r="AL67" i="3"/>
  <c r="AK67" i="3"/>
  <c r="AJ67" i="3"/>
  <c r="AS66" i="3"/>
  <c r="AR66" i="3"/>
  <c r="AQ66" i="3"/>
  <c r="AP66" i="3"/>
  <c r="AO66" i="3"/>
  <c r="AN66" i="3"/>
  <c r="AM66" i="3"/>
  <c r="AL66" i="3"/>
  <c r="AK66" i="3"/>
  <c r="AJ66" i="3"/>
  <c r="AS65" i="3"/>
  <c r="AR65" i="3"/>
  <c r="AQ65" i="3"/>
  <c r="AP65" i="3"/>
  <c r="AO65" i="3"/>
  <c r="AN65" i="3"/>
  <c r="AM65" i="3"/>
  <c r="AL65" i="3"/>
  <c r="AK65" i="3"/>
  <c r="AJ65" i="3"/>
  <c r="AS64" i="3"/>
  <c r="AR64" i="3"/>
  <c r="AQ64" i="3"/>
  <c r="AP64" i="3"/>
  <c r="AO64" i="3"/>
  <c r="AN64" i="3"/>
  <c r="AM64" i="3"/>
  <c r="AL64" i="3"/>
  <c r="AK64" i="3"/>
  <c r="AJ64" i="3"/>
  <c r="AS63" i="3"/>
  <c r="AR63" i="3"/>
  <c r="AQ63" i="3"/>
  <c r="AP63" i="3"/>
  <c r="AO63" i="3"/>
  <c r="AN63" i="3"/>
  <c r="AM63" i="3"/>
  <c r="AL63" i="3"/>
  <c r="AK63" i="3"/>
  <c r="AJ63" i="3"/>
  <c r="AS62" i="3"/>
  <c r="AR62" i="3"/>
  <c r="AQ62" i="3"/>
  <c r="AP62" i="3"/>
  <c r="AO62" i="3"/>
  <c r="AN62" i="3"/>
  <c r="AM62" i="3"/>
  <c r="AL62" i="3"/>
  <c r="AK62" i="3"/>
  <c r="AJ62" i="3"/>
  <c r="AS61" i="3"/>
  <c r="AR61" i="3"/>
  <c r="AQ61" i="3"/>
  <c r="AP61" i="3"/>
  <c r="AO61" i="3"/>
  <c r="AN61" i="3"/>
  <c r="AM61" i="3"/>
  <c r="AL61" i="3"/>
  <c r="AK61" i="3"/>
  <c r="AJ61" i="3"/>
  <c r="AS60" i="3"/>
  <c r="AR60" i="3"/>
  <c r="AQ60" i="3"/>
  <c r="AP60" i="3"/>
  <c r="AO60" i="3"/>
  <c r="AN60" i="3"/>
  <c r="AM60" i="3"/>
  <c r="AL60" i="3"/>
  <c r="AK60" i="3"/>
  <c r="AJ60" i="3"/>
  <c r="AS59" i="3"/>
  <c r="AR59" i="3"/>
  <c r="AQ59" i="3"/>
  <c r="AP59" i="3"/>
  <c r="AO59" i="3"/>
  <c r="AN59" i="3"/>
  <c r="AM59" i="3"/>
  <c r="AL59" i="3"/>
  <c r="AK59" i="3"/>
  <c r="AJ59" i="3"/>
  <c r="AS58" i="3"/>
  <c r="AR58" i="3"/>
  <c r="AQ58" i="3"/>
  <c r="AP58" i="3"/>
  <c r="AO58" i="3"/>
  <c r="AN58" i="3"/>
  <c r="AM58" i="3"/>
  <c r="AL58" i="3"/>
  <c r="AK58" i="3"/>
  <c r="AJ58" i="3"/>
  <c r="AS57" i="3"/>
  <c r="AR57" i="3"/>
  <c r="AQ57" i="3"/>
  <c r="AP57" i="3"/>
  <c r="AO57" i="3"/>
  <c r="AN57" i="3"/>
  <c r="AM57" i="3"/>
  <c r="AL57" i="3"/>
  <c r="AK57" i="3"/>
  <c r="AJ57" i="3"/>
  <c r="AS56" i="3"/>
  <c r="AR56" i="3"/>
  <c r="AQ56" i="3"/>
  <c r="AP56" i="3"/>
  <c r="AO56" i="3"/>
  <c r="AN56" i="3"/>
  <c r="AM56" i="3"/>
  <c r="AL56" i="3"/>
  <c r="AK56" i="3"/>
  <c r="AJ56" i="3"/>
  <c r="AS55" i="3"/>
  <c r="AR55" i="3"/>
  <c r="AQ55" i="3"/>
  <c r="AP55" i="3"/>
  <c r="AO55" i="3"/>
  <c r="AN55" i="3"/>
  <c r="AM55" i="3"/>
  <c r="AL55" i="3"/>
  <c r="AK55" i="3"/>
  <c r="AJ55" i="3"/>
  <c r="AS54" i="3"/>
  <c r="AR54" i="3"/>
  <c r="AQ54" i="3"/>
  <c r="AP54" i="3"/>
  <c r="AO54" i="3"/>
  <c r="AN54" i="3"/>
  <c r="AM54" i="3"/>
  <c r="AL54" i="3"/>
  <c r="AK54" i="3"/>
  <c r="AJ54" i="3"/>
  <c r="AS53" i="3"/>
  <c r="AR53" i="3"/>
  <c r="AQ53" i="3"/>
  <c r="AP53" i="3"/>
  <c r="AO53" i="3"/>
  <c r="AN53" i="3"/>
  <c r="AM53" i="3"/>
  <c r="AL53" i="3"/>
  <c r="AK53" i="3"/>
  <c r="AJ53" i="3"/>
  <c r="AS52" i="3"/>
  <c r="AR52" i="3"/>
  <c r="AQ52" i="3"/>
  <c r="AP52" i="3"/>
  <c r="AO52" i="3"/>
  <c r="AN52" i="3"/>
  <c r="AM52" i="3"/>
  <c r="AL52" i="3"/>
  <c r="AK52" i="3"/>
  <c r="AJ52" i="3"/>
  <c r="AS51" i="3"/>
  <c r="AR51" i="3"/>
  <c r="AQ51" i="3"/>
  <c r="AP51" i="3"/>
  <c r="AO51" i="3"/>
  <c r="AN51" i="3"/>
  <c r="AM51" i="3"/>
  <c r="AL51" i="3"/>
  <c r="AK51" i="3"/>
  <c r="AJ51" i="3"/>
  <c r="AS50" i="3"/>
  <c r="AR50" i="3"/>
  <c r="AQ50" i="3"/>
  <c r="AP50" i="3"/>
  <c r="AO50" i="3"/>
  <c r="AN50" i="3"/>
  <c r="AM50" i="3"/>
  <c r="AL50" i="3"/>
  <c r="AK50" i="3"/>
  <c r="AJ50" i="3"/>
  <c r="AS49" i="3"/>
  <c r="AR49" i="3"/>
  <c r="AQ49" i="3"/>
  <c r="AP49" i="3"/>
  <c r="AO49" i="3"/>
  <c r="AN49" i="3"/>
  <c r="AM49" i="3"/>
  <c r="AL49" i="3"/>
  <c r="AK49" i="3"/>
  <c r="AJ49" i="3"/>
  <c r="AS48" i="3"/>
  <c r="AR48" i="3"/>
  <c r="AQ48" i="3"/>
  <c r="AP48" i="3"/>
  <c r="AO48" i="3"/>
  <c r="AN48" i="3"/>
  <c r="AM48" i="3"/>
  <c r="AL48" i="3"/>
  <c r="AK48" i="3"/>
  <c r="AJ48" i="3"/>
  <c r="AS47" i="3"/>
  <c r="AR47" i="3"/>
  <c r="AQ47" i="3"/>
  <c r="AP47" i="3"/>
  <c r="AO47" i="3"/>
  <c r="AN47" i="3"/>
  <c r="AM47" i="3"/>
  <c r="AL47" i="3"/>
  <c r="AK47" i="3"/>
  <c r="AJ47" i="3"/>
  <c r="AS46" i="3"/>
  <c r="AR46" i="3"/>
  <c r="AQ46" i="3"/>
  <c r="AP46" i="3"/>
  <c r="AO46" i="3"/>
  <c r="AN46" i="3"/>
  <c r="AM46" i="3"/>
  <c r="AL46" i="3"/>
  <c r="AK46" i="3"/>
  <c r="AJ46" i="3"/>
  <c r="AS45" i="3"/>
  <c r="AR45" i="3"/>
  <c r="AQ45" i="3"/>
  <c r="AP45" i="3"/>
  <c r="AO45" i="3"/>
  <c r="AN45" i="3"/>
  <c r="AM45" i="3"/>
  <c r="AL45" i="3"/>
  <c r="AK45" i="3"/>
  <c r="AJ45" i="3"/>
  <c r="AS44" i="3"/>
  <c r="AR44" i="3"/>
  <c r="AQ44" i="3"/>
  <c r="AP44" i="3"/>
  <c r="AO44" i="3"/>
  <c r="AN44" i="3"/>
  <c r="AM44" i="3"/>
  <c r="AL44" i="3"/>
  <c r="AK44" i="3"/>
  <c r="AJ44" i="3"/>
  <c r="AS43" i="3"/>
  <c r="AR43" i="3"/>
  <c r="AQ43" i="3"/>
  <c r="AP43" i="3"/>
  <c r="AO43" i="3"/>
  <c r="AN43" i="3"/>
  <c r="AM43" i="3"/>
  <c r="AL43" i="3"/>
  <c r="AK43" i="3"/>
  <c r="AJ43" i="3"/>
  <c r="AS42" i="3"/>
  <c r="AR42" i="3"/>
  <c r="AQ42" i="3"/>
  <c r="AP42" i="3"/>
  <c r="AO42" i="3"/>
  <c r="AN42" i="3"/>
  <c r="AM42" i="3"/>
  <c r="AL42" i="3"/>
  <c r="AK42" i="3"/>
  <c r="AJ42" i="3"/>
  <c r="AS41" i="3"/>
  <c r="AR41" i="3"/>
  <c r="AQ41" i="3"/>
  <c r="AP41" i="3"/>
  <c r="AO41" i="3"/>
  <c r="AN41" i="3"/>
  <c r="AM41" i="3"/>
  <c r="AL41" i="3"/>
  <c r="AK41" i="3"/>
  <c r="AJ41" i="3"/>
  <c r="AS40" i="3"/>
  <c r="AR40" i="3"/>
  <c r="AQ40" i="3"/>
  <c r="AP40" i="3"/>
  <c r="AO40" i="3"/>
  <c r="AN40" i="3"/>
  <c r="AM40" i="3"/>
  <c r="AL40" i="3"/>
  <c r="AK40" i="3"/>
  <c r="AJ40" i="3"/>
  <c r="AS39" i="3"/>
  <c r="AR39" i="3"/>
  <c r="AQ39" i="3"/>
  <c r="AP39" i="3"/>
  <c r="AO39" i="3"/>
  <c r="AN39" i="3"/>
  <c r="AM39" i="3"/>
  <c r="AL39" i="3"/>
  <c r="AK39" i="3"/>
  <c r="AJ39" i="3"/>
  <c r="AS38" i="3"/>
  <c r="AR38" i="3"/>
  <c r="AQ38" i="3"/>
  <c r="AP38" i="3"/>
  <c r="AO38" i="3"/>
  <c r="AN38" i="3"/>
  <c r="AM38" i="3"/>
  <c r="AL38" i="3"/>
  <c r="AK38" i="3"/>
  <c r="AJ38" i="3"/>
  <c r="AS37" i="3"/>
  <c r="AR37" i="3"/>
  <c r="AQ37" i="3"/>
  <c r="AP37" i="3"/>
  <c r="AO37" i="3"/>
  <c r="AN37" i="3"/>
  <c r="AM37" i="3"/>
  <c r="AL37" i="3"/>
  <c r="AK37" i="3"/>
  <c r="AJ37" i="3"/>
  <c r="AS36" i="3"/>
  <c r="AR36" i="3"/>
  <c r="AQ36" i="3"/>
  <c r="AP36" i="3"/>
  <c r="AO36" i="3"/>
  <c r="AN36" i="3"/>
  <c r="AM36" i="3"/>
  <c r="AL36" i="3"/>
  <c r="AK36" i="3"/>
  <c r="AJ36" i="3"/>
  <c r="AS35" i="3"/>
  <c r="AR35" i="3"/>
  <c r="AQ35" i="3"/>
  <c r="AP35" i="3"/>
  <c r="AO35" i="3"/>
  <c r="AN35" i="3"/>
  <c r="AM35" i="3"/>
  <c r="AL35" i="3"/>
  <c r="AK35" i="3"/>
  <c r="AJ35" i="3"/>
  <c r="AS34" i="3"/>
  <c r="AR34" i="3"/>
  <c r="AQ34" i="3"/>
  <c r="AP34" i="3"/>
  <c r="AO34" i="3"/>
  <c r="AN34" i="3"/>
  <c r="AM34" i="3"/>
  <c r="AL34" i="3"/>
  <c r="AK34" i="3"/>
  <c r="AJ34" i="3"/>
  <c r="AS33" i="3"/>
  <c r="AR33" i="3"/>
  <c r="AQ33" i="3"/>
  <c r="AP33" i="3"/>
  <c r="AO33" i="3"/>
  <c r="AN33" i="3"/>
  <c r="AM33" i="3"/>
  <c r="AL33" i="3"/>
  <c r="AK33" i="3"/>
  <c r="AJ33" i="3"/>
  <c r="AS32" i="3"/>
  <c r="AR32" i="3"/>
  <c r="AQ32" i="3"/>
  <c r="AP32" i="3"/>
  <c r="AO32" i="3"/>
  <c r="AN32" i="3"/>
  <c r="AM32" i="3"/>
  <c r="AL32" i="3"/>
  <c r="AK32" i="3"/>
  <c r="AJ32" i="3"/>
  <c r="AS31" i="3"/>
  <c r="AR31" i="3"/>
  <c r="AQ31" i="3"/>
  <c r="AP31" i="3"/>
  <c r="AO31" i="3"/>
  <c r="AN31" i="3"/>
  <c r="AM31" i="3"/>
  <c r="AL31" i="3"/>
  <c r="AK31" i="3"/>
  <c r="AJ31" i="3"/>
  <c r="AS30" i="3"/>
  <c r="AR30" i="3"/>
  <c r="AQ30" i="3"/>
  <c r="AP30" i="3"/>
  <c r="AO30" i="3"/>
  <c r="AN30" i="3"/>
  <c r="AM30" i="3"/>
  <c r="AL30" i="3"/>
  <c r="AK30" i="3"/>
  <c r="AJ30" i="3"/>
  <c r="AS29" i="3"/>
  <c r="AR29" i="3"/>
  <c r="AQ29" i="3"/>
  <c r="AP29" i="3"/>
  <c r="AO29" i="3"/>
  <c r="AN29" i="3"/>
  <c r="AM29" i="3"/>
  <c r="AL29" i="3"/>
  <c r="AK29" i="3"/>
  <c r="AJ29" i="3"/>
  <c r="AS28" i="3"/>
  <c r="AR28" i="3"/>
  <c r="AQ28" i="3"/>
  <c r="AP28" i="3"/>
  <c r="AO28" i="3"/>
  <c r="AN28" i="3"/>
  <c r="AM28" i="3"/>
  <c r="AL28" i="3"/>
  <c r="AK28" i="3"/>
  <c r="AJ28" i="3"/>
  <c r="AS27" i="3"/>
  <c r="AR27" i="3"/>
  <c r="AQ27" i="3"/>
  <c r="AP27" i="3"/>
  <c r="AO27" i="3"/>
  <c r="AN27" i="3"/>
  <c r="AM27" i="3"/>
  <c r="AL27" i="3"/>
  <c r="AK27" i="3"/>
  <c r="AJ27" i="3"/>
  <c r="AS26" i="3"/>
  <c r="AR26" i="3"/>
  <c r="AQ26" i="3"/>
  <c r="AP26" i="3"/>
  <c r="AO26" i="3"/>
  <c r="AN26" i="3"/>
  <c r="AM26" i="3"/>
  <c r="AL26" i="3"/>
  <c r="AK26" i="3"/>
  <c r="AJ26" i="3"/>
  <c r="AS25" i="3"/>
  <c r="AR25" i="3"/>
  <c r="AQ25" i="3"/>
  <c r="AP25" i="3"/>
  <c r="AO25" i="3"/>
  <c r="AN25" i="3"/>
  <c r="AM25" i="3"/>
  <c r="AL25" i="3"/>
  <c r="AK25" i="3"/>
  <c r="AJ25" i="3"/>
  <c r="AS24" i="3"/>
  <c r="AR24" i="3"/>
  <c r="AQ24" i="3"/>
  <c r="AP24" i="3"/>
  <c r="AO24" i="3"/>
  <c r="AN24" i="3"/>
  <c r="AM24" i="3"/>
  <c r="AL24" i="3"/>
  <c r="AK24" i="3"/>
  <c r="AJ24" i="3"/>
  <c r="AS23" i="3"/>
  <c r="AR23" i="3"/>
  <c r="AQ23" i="3"/>
  <c r="AP23" i="3"/>
  <c r="AO23" i="3"/>
  <c r="AN23" i="3"/>
  <c r="AM23" i="3"/>
  <c r="AL23" i="3"/>
  <c r="AK23" i="3"/>
  <c r="AJ23" i="3"/>
  <c r="AS22" i="3"/>
  <c r="AR22" i="3"/>
  <c r="AQ22" i="3"/>
  <c r="AP22" i="3"/>
  <c r="AO22" i="3"/>
  <c r="AN22" i="3"/>
  <c r="AM22" i="3"/>
  <c r="AL22" i="3"/>
  <c r="AK22" i="3"/>
  <c r="AJ22" i="3"/>
  <c r="AS21" i="3"/>
  <c r="AR21" i="3"/>
  <c r="AQ21" i="3"/>
  <c r="AP21" i="3"/>
  <c r="AO21" i="3"/>
  <c r="AN21" i="3"/>
  <c r="AM21" i="3"/>
  <c r="AL21" i="3"/>
  <c r="AK21" i="3"/>
  <c r="AJ21" i="3"/>
  <c r="AS20" i="3"/>
  <c r="AR20" i="3"/>
  <c r="AQ20" i="3"/>
  <c r="AP20" i="3"/>
  <c r="AO20" i="3"/>
  <c r="AN20" i="3"/>
  <c r="AM20" i="3"/>
  <c r="AL20" i="3"/>
  <c r="AK20" i="3"/>
  <c r="AJ20" i="3"/>
  <c r="AS19" i="3"/>
  <c r="AR19" i="3"/>
  <c r="AQ19" i="3"/>
  <c r="AP19" i="3"/>
  <c r="AO19" i="3"/>
  <c r="AN19" i="3"/>
  <c r="AM19" i="3"/>
  <c r="AL19" i="3"/>
  <c r="AK19" i="3"/>
  <c r="AJ19" i="3"/>
  <c r="AS18" i="3"/>
  <c r="AR18" i="3"/>
  <c r="AQ18" i="3"/>
  <c r="AP18" i="3"/>
  <c r="AO18" i="3"/>
  <c r="AN18" i="3"/>
  <c r="AM18" i="3"/>
  <c r="AL18" i="3"/>
  <c r="AK18" i="3"/>
  <c r="AJ18" i="3"/>
  <c r="AS17" i="3"/>
  <c r="AR17" i="3"/>
  <c r="AQ17" i="3"/>
  <c r="AP17" i="3"/>
  <c r="AO17" i="3"/>
  <c r="AN17" i="3"/>
  <c r="AM17" i="3"/>
  <c r="AL17" i="3"/>
  <c r="AK17" i="3"/>
  <c r="AJ17" i="3"/>
  <c r="AS16" i="3"/>
  <c r="AR16" i="3"/>
  <c r="AQ16" i="3"/>
  <c r="AP16" i="3"/>
  <c r="AO16" i="3"/>
  <c r="AN16" i="3"/>
  <c r="AM16" i="3"/>
  <c r="AL16" i="3"/>
  <c r="AK16" i="3"/>
  <c r="AJ16" i="3"/>
  <c r="AS15" i="3"/>
  <c r="AR15" i="3"/>
  <c r="AQ15" i="3"/>
  <c r="AP15" i="3"/>
  <c r="AO15" i="3"/>
  <c r="AN15" i="3"/>
  <c r="AM15" i="3"/>
  <c r="AL15" i="3"/>
  <c r="AK15" i="3"/>
  <c r="AJ15" i="3"/>
  <c r="AS14" i="3"/>
  <c r="AR14" i="3"/>
  <c r="AQ14" i="3"/>
  <c r="AP14" i="3"/>
  <c r="AO14" i="3"/>
  <c r="AN14" i="3"/>
  <c r="AM14" i="3"/>
  <c r="AL14" i="3"/>
  <c r="AK14" i="3"/>
  <c r="AJ14" i="3"/>
  <c r="AS13" i="3"/>
  <c r="AR13" i="3"/>
  <c r="AQ13" i="3"/>
  <c r="AP13" i="3"/>
  <c r="AO13" i="3"/>
  <c r="AN13" i="3"/>
  <c r="AM13" i="3"/>
  <c r="AL13" i="3"/>
  <c r="AK13" i="3"/>
  <c r="AJ13" i="3"/>
  <c r="AS12" i="3"/>
  <c r="AR12" i="3"/>
  <c r="AQ12" i="3"/>
  <c r="AP12" i="3"/>
  <c r="AO12" i="3"/>
  <c r="AN12" i="3"/>
  <c r="AM12" i="3"/>
  <c r="AL12" i="3"/>
  <c r="AK12" i="3"/>
  <c r="AJ12" i="3"/>
  <c r="AS11" i="3"/>
  <c r="AR11" i="3"/>
  <c r="AQ11" i="3"/>
  <c r="AP11" i="3"/>
  <c r="AO11" i="3"/>
  <c r="AN11" i="3"/>
  <c r="AM11" i="3"/>
  <c r="AL11" i="3"/>
  <c r="AK11" i="3"/>
  <c r="AJ11" i="3"/>
  <c r="AS10" i="3"/>
  <c r="AR10" i="3"/>
  <c r="AQ10" i="3"/>
  <c r="AP10" i="3"/>
  <c r="AO10" i="3"/>
  <c r="AN10" i="3"/>
  <c r="AM10" i="3"/>
  <c r="AL10" i="3"/>
  <c r="AK10" i="3"/>
  <c r="AJ10" i="3"/>
  <c r="AS9" i="3"/>
  <c r="AR9" i="3"/>
  <c r="AQ9" i="3"/>
  <c r="AP9" i="3"/>
  <c r="AO9" i="3"/>
  <c r="AN9" i="3"/>
  <c r="AM9" i="3"/>
  <c r="AL9" i="3"/>
  <c r="AK9" i="3"/>
  <c r="AJ9" i="3"/>
  <c r="AS8" i="3"/>
  <c r="AR8" i="3"/>
  <c r="AQ8" i="3"/>
  <c r="AP8" i="3"/>
  <c r="AO8" i="3"/>
  <c r="AN8" i="3"/>
  <c r="AM8" i="3"/>
  <c r="AL8" i="3"/>
  <c r="AK8" i="3"/>
  <c r="AJ8" i="3"/>
  <c r="AS7" i="3"/>
  <c r="AR7" i="3"/>
  <c r="AQ7" i="3"/>
  <c r="AP7" i="3"/>
  <c r="AO7" i="3"/>
  <c r="AN7" i="3"/>
  <c r="AM7" i="3"/>
  <c r="AL7" i="3"/>
  <c r="AK7" i="3"/>
  <c r="AJ7" i="3"/>
  <c r="AS6" i="3"/>
  <c r="AR6" i="3"/>
  <c r="AQ6" i="3"/>
  <c r="AP6" i="3"/>
  <c r="AO6" i="3"/>
  <c r="AN6" i="3"/>
  <c r="AM6" i="3"/>
  <c r="AL6" i="3"/>
  <c r="AK6" i="3"/>
  <c r="AJ6" i="3"/>
  <c r="AS5" i="3"/>
  <c r="AR5" i="3"/>
  <c r="AQ5" i="3"/>
  <c r="AP5" i="3"/>
  <c r="AO5" i="3"/>
  <c r="AN5" i="3"/>
  <c r="AM5" i="3"/>
  <c r="AL5" i="3"/>
  <c r="AK5" i="3"/>
  <c r="AJ5" i="3"/>
  <c r="AS4" i="3"/>
  <c r="AR4" i="3"/>
  <c r="AQ4" i="3"/>
  <c r="AP4" i="3"/>
  <c r="AO4" i="3"/>
  <c r="AN4" i="3"/>
  <c r="AM4" i="3"/>
  <c r="AL4" i="3"/>
  <c r="AK4" i="3"/>
  <c r="AJ4" i="3"/>
  <c r="AS3" i="3"/>
  <c r="AR3" i="3"/>
  <c r="AQ3" i="3"/>
  <c r="AP3" i="3"/>
  <c r="AO3" i="3"/>
  <c r="AN3" i="3"/>
  <c r="AM3" i="3"/>
  <c r="AL3" i="3"/>
  <c r="AK3" i="3"/>
  <c r="AJ3" i="3"/>
  <c r="AS2" i="3"/>
  <c r="AR2" i="3"/>
  <c r="AQ2" i="3"/>
  <c r="AP2" i="3"/>
  <c r="AO2" i="3"/>
  <c r="AN2" i="3"/>
  <c r="AM2" i="3"/>
  <c r="AL2" i="3"/>
  <c r="AK2" i="3"/>
  <c r="AJ2" i="3"/>
  <c r="CH1" i="3" l="1"/>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S1" i="3"/>
  <c r="AR1" i="3"/>
  <c r="AQ1" i="3"/>
  <c r="AP1" i="3"/>
  <c r="AO1" i="3"/>
  <c r="AN1" i="3"/>
  <c r="AM1" i="3"/>
  <c r="AL1" i="3"/>
  <c r="AK1" i="3"/>
  <c r="AJ1" i="3"/>
  <c r="AL282" i="8" l="1"/>
  <c r="AK282" i="8"/>
  <c r="AJ282" i="8"/>
  <c r="AI282" i="8"/>
  <c r="AH282" i="8"/>
  <c r="AG282" i="8"/>
  <c r="AF282" i="8"/>
  <c r="AE282" i="8"/>
  <c r="AD282" i="8"/>
  <c r="AC282" i="8"/>
  <c r="AB282" i="8"/>
  <c r="AA282" i="8"/>
  <c r="Z282" i="8"/>
  <c r="Y282" i="8"/>
  <c r="X282" i="8"/>
  <c r="W282" i="8"/>
  <c r="V282" i="8"/>
  <c r="U282" i="8"/>
  <c r="T282" i="8"/>
  <c r="S282" i="8"/>
  <c r="R282" i="8"/>
  <c r="Q282" i="8"/>
  <c r="P282" i="8"/>
  <c r="O282" i="8"/>
  <c r="N282" i="8"/>
  <c r="M282" i="8"/>
  <c r="L282" i="8"/>
  <c r="K282" i="8"/>
  <c r="J282" i="8"/>
  <c r="I282" i="8"/>
  <c r="H282" i="8"/>
  <c r="G282" i="8"/>
  <c r="F282" i="8"/>
  <c r="E282" i="8"/>
  <c r="D282" i="8"/>
  <c r="C282" i="8"/>
  <c r="K281" i="8"/>
  <c r="E281" i="8"/>
  <c r="AF280" i="8"/>
  <c r="AE280" i="8"/>
  <c r="W280" i="8"/>
  <c r="U280" i="8"/>
  <c r="E279" i="8"/>
  <c r="E277" i="8"/>
  <c r="C277" i="8"/>
  <c r="AE276" i="8"/>
  <c r="W276" i="8"/>
  <c r="U276" i="8"/>
  <c r="E274" i="8"/>
  <c r="C273" i="8"/>
  <c r="E272" i="8"/>
  <c r="C272" i="8"/>
  <c r="K271" i="8"/>
  <c r="E271" i="8"/>
  <c r="C271" i="8"/>
  <c r="AF270" i="8"/>
  <c r="AE270" i="8"/>
  <c r="W270" i="8"/>
  <c r="C268" i="8"/>
  <c r="C267" i="8"/>
  <c r="K264" i="8"/>
  <c r="C261" i="8"/>
  <c r="AL260" i="8"/>
  <c r="AK260" i="8"/>
  <c r="AJ260" i="8"/>
  <c r="AI260" i="8"/>
  <c r="AH260" i="8"/>
  <c r="AG260" i="8"/>
  <c r="AF260" i="8"/>
  <c r="AE260" i="8"/>
  <c r="AD260" i="8"/>
  <c r="AC260" i="8"/>
  <c r="AB260" i="8"/>
  <c r="AA260" i="8"/>
  <c r="Z260" i="8"/>
  <c r="Y260" i="8"/>
  <c r="X260" i="8"/>
  <c r="W260" i="8"/>
  <c r="V260" i="8"/>
  <c r="U260" i="8"/>
  <c r="T260" i="8"/>
  <c r="S260" i="8"/>
  <c r="R260" i="8"/>
  <c r="Q260" i="8"/>
  <c r="P260" i="8"/>
  <c r="O260" i="8"/>
  <c r="N260" i="8"/>
  <c r="M260" i="8"/>
  <c r="L260" i="8"/>
  <c r="K260" i="8"/>
  <c r="J260" i="8"/>
  <c r="I260" i="8"/>
  <c r="H260" i="8"/>
  <c r="G260" i="8"/>
  <c r="F260" i="8"/>
  <c r="E260" i="8"/>
  <c r="D260" i="8"/>
  <c r="C260" i="8"/>
  <c r="AI259" i="8"/>
  <c r="AI256" i="8"/>
  <c r="AI255" i="8"/>
  <c r="AI254" i="8"/>
  <c r="AL253" i="8"/>
  <c r="AK253" i="8"/>
  <c r="AJ253" i="8"/>
  <c r="AI253" i="8"/>
  <c r="AH253" i="8"/>
  <c r="AG253" i="8"/>
  <c r="AF253" i="8"/>
  <c r="AE253" i="8"/>
  <c r="AD253" i="8"/>
  <c r="AC253" i="8"/>
  <c r="AB253" i="8"/>
  <c r="AA253" i="8"/>
  <c r="Z253" i="8"/>
  <c r="Y253" i="8"/>
  <c r="X253" i="8"/>
  <c r="W253" i="8"/>
  <c r="V253" i="8"/>
  <c r="U253" i="8"/>
  <c r="T253" i="8"/>
  <c r="S253" i="8"/>
  <c r="R253" i="8"/>
  <c r="Q253" i="8"/>
  <c r="P253" i="8"/>
  <c r="O253" i="8"/>
  <c r="N253" i="8"/>
  <c r="M253" i="8"/>
  <c r="L253" i="8"/>
  <c r="K253" i="8"/>
  <c r="J253" i="8"/>
  <c r="I253" i="8"/>
  <c r="H253" i="8"/>
  <c r="G253" i="8"/>
  <c r="F253" i="8"/>
  <c r="E253" i="8"/>
  <c r="D253" i="8"/>
  <c r="C253" i="8"/>
  <c r="AI252" i="8"/>
  <c r="AH252" i="8"/>
  <c r="AG252" i="8"/>
  <c r="AE252" i="8"/>
  <c r="Y252" i="8"/>
  <c r="V252" i="8"/>
  <c r="Q252" i="8"/>
  <c r="P252" i="8"/>
  <c r="AG251" i="8"/>
  <c r="AF251" i="8"/>
  <c r="Y251" i="8"/>
  <c r="V251" i="8"/>
  <c r="C251" i="8"/>
  <c r="AI250" i="8"/>
  <c r="AG250" i="8"/>
  <c r="AE250" i="8"/>
  <c r="Y250" i="8"/>
  <c r="V250" i="8"/>
  <c r="N250" i="8"/>
  <c r="AI249" i="8"/>
  <c r="AG249" i="8"/>
  <c r="C249" i="8"/>
  <c r="AH248" i="8"/>
  <c r="AG248" i="8"/>
  <c r="AF248" i="8"/>
  <c r="AE248" i="8"/>
  <c r="Y248" i="8"/>
  <c r="V248" i="8"/>
  <c r="Q248" i="8"/>
  <c r="P248" i="8"/>
  <c r="N248" i="8"/>
  <c r="C248" i="8"/>
  <c r="C247" i="8"/>
  <c r="N246" i="8"/>
  <c r="AG245" i="8"/>
  <c r="Y245" i="8"/>
  <c r="AI243" i="8"/>
  <c r="N243" i="8"/>
  <c r="AL241" i="8"/>
  <c r="AK241" i="8"/>
  <c r="AJ241" i="8"/>
  <c r="AI241" i="8"/>
  <c r="AH241" i="8"/>
  <c r="AG241" i="8"/>
  <c r="AF241" i="8"/>
  <c r="AE241" i="8"/>
  <c r="AD241" i="8"/>
  <c r="AC241" i="8"/>
  <c r="AB241" i="8"/>
  <c r="AA241" i="8"/>
  <c r="Z241" i="8"/>
  <c r="Y241" i="8"/>
  <c r="X241" i="8"/>
  <c r="W241" i="8"/>
  <c r="V241" i="8"/>
  <c r="U241" i="8"/>
  <c r="T241" i="8"/>
  <c r="S241" i="8"/>
  <c r="R241" i="8"/>
  <c r="Q241" i="8"/>
  <c r="P241" i="8"/>
  <c r="O241" i="8"/>
  <c r="N241" i="8"/>
  <c r="M241" i="8"/>
  <c r="L241" i="8"/>
  <c r="K241" i="8"/>
  <c r="J241" i="8"/>
  <c r="I241" i="8"/>
  <c r="H241" i="8"/>
  <c r="G241" i="8"/>
  <c r="F241" i="8"/>
  <c r="E241" i="8"/>
  <c r="D241" i="8"/>
  <c r="C241" i="8"/>
  <c r="G220" i="8"/>
  <c r="F220" i="8"/>
  <c r="G208" i="8"/>
  <c r="G207" i="8"/>
  <c r="F207" i="8"/>
  <c r="AL192" i="8"/>
  <c r="AK192" i="8"/>
  <c r="AJ192" i="8"/>
  <c r="AI192" i="8"/>
  <c r="AH192" i="8"/>
  <c r="AG192" i="8"/>
  <c r="AF192" i="8"/>
  <c r="AE192" i="8"/>
  <c r="AD192" i="8"/>
  <c r="AC192" i="8"/>
  <c r="AB192" i="8"/>
  <c r="AA192" i="8"/>
  <c r="Z192" i="8"/>
  <c r="Y192" i="8"/>
  <c r="X192" i="8"/>
  <c r="W192" i="8"/>
  <c r="V192" i="8"/>
  <c r="U192" i="8"/>
  <c r="T192" i="8"/>
  <c r="S192" i="8"/>
  <c r="R192" i="8"/>
  <c r="Q192" i="8"/>
  <c r="P192" i="8"/>
  <c r="O192" i="8"/>
  <c r="N192" i="8"/>
  <c r="M192" i="8"/>
  <c r="L192" i="8"/>
  <c r="K192" i="8"/>
  <c r="J192" i="8"/>
  <c r="I192" i="8"/>
  <c r="H192" i="8"/>
  <c r="G192" i="8"/>
  <c r="F192" i="8"/>
  <c r="E192" i="8"/>
  <c r="D192" i="8"/>
  <c r="C192" i="8"/>
  <c r="AL186" i="8"/>
  <c r="AK186" i="8"/>
  <c r="AJ186" i="8"/>
  <c r="AI186" i="8"/>
  <c r="AH186" i="8"/>
  <c r="AG186" i="8"/>
  <c r="AF186" i="8"/>
  <c r="AE186" i="8"/>
  <c r="AD186" i="8"/>
  <c r="AC186" i="8"/>
  <c r="AB186" i="8"/>
  <c r="AA186" i="8"/>
  <c r="Z186" i="8"/>
  <c r="Y186" i="8"/>
  <c r="X186" i="8"/>
  <c r="W186" i="8"/>
  <c r="V186" i="8"/>
  <c r="U186" i="8"/>
  <c r="T186" i="8"/>
  <c r="S186" i="8"/>
  <c r="R186" i="8"/>
  <c r="Q186" i="8"/>
  <c r="P186" i="8"/>
  <c r="O186" i="8"/>
  <c r="N186" i="8"/>
  <c r="M186" i="8"/>
  <c r="L186" i="8"/>
  <c r="K186" i="8"/>
  <c r="J186" i="8"/>
  <c r="I186" i="8"/>
  <c r="H186" i="8"/>
  <c r="G186" i="8"/>
  <c r="F186" i="8"/>
  <c r="E186" i="8"/>
  <c r="D186" i="8"/>
  <c r="C186" i="8"/>
  <c r="AG185" i="8"/>
  <c r="AD185" i="8"/>
  <c r="Y185" i="8"/>
  <c r="X185" i="8"/>
  <c r="W185" i="8"/>
  <c r="V185" i="8"/>
  <c r="U185" i="8"/>
  <c r="T185" i="8"/>
  <c r="AF184" i="8"/>
  <c r="Z184" i="8"/>
  <c r="U184" i="8"/>
  <c r="AI183" i="8"/>
  <c r="AE183" i="8"/>
  <c r="AD183" i="8"/>
  <c r="AC183" i="8"/>
  <c r="AB183" i="8"/>
  <c r="AA183" i="8"/>
  <c r="U183" i="8"/>
  <c r="AI182" i="8"/>
  <c r="AG182" i="8"/>
  <c r="AF182" i="8"/>
  <c r="AE182" i="8"/>
  <c r="AD182" i="8"/>
  <c r="AC182" i="8"/>
  <c r="AB182" i="8"/>
  <c r="AA182" i="8"/>
  <c r="Z182" i="8"/>
  <c r="Y182" i="8"/>
  <c r="X182" i="8"/>
  <c r="W182" i="8"/>
  <c r="V182" i="8"/>
  <c r="U182" i="8"/>
  <c r="T182" i="8"/>
  <c r="AL181" i="8"/>
  <c r="AK181" i="8"/>
  <c r="AJ181" i="8"/>
  <c r="AI181" i="8"/>
  <c r="AH181" i="8"/>
  <c r="AG181" i="8"/>
  <c r="AF181" i="8"/>
  <c r="AE181" i="8"/>
  <c r="AD181" i="8"/>
  <c r="AC181" i="8"/>
  <c r="AB181" i="8"/>
  <c r="AA181" i="8"/>
  <c r="Z181" i="8"/>
  <c r="Y181" i="8"/>
  <c r="X181" i="8"/>
  <c r="W181" i="8"/>
  <c r="V181" i="8"/>
  <c r="U181" i="8"/>
  <c r="T181" i="8"/>
  <c r="S181" i="8"/>
  <c r="R181" i="8"/>
  <c r="Q181" i="8"/>
  <c r="P181" i="8"/>
  <c r="O181" i="8"/>
  <c r="N181" i="8"/>
  <c r="M181" i="8"/>
  <c r="L181" i="8"/>
  <c r="K181" i="8"/>
  <c r="J181" i="8"/>
  <c r="I181" i="8"/>
  <c r="H181" i="8"/>
  <c r="G181" i="8"/>
  <c r="F181" i="8"/>
  <c r="E181" i="8"/>
  <c r="D181" i="8"/>
  <c r="C181" i="8"/>
  <c r="AI180" i="8"/>
  <c r="AG180" i="8"/>
  <c r="AE180" i="8"/>
  <c r="AC180" i="8"/>
  <c r="AB180" i="8"/>
  <c r="W180" i="8"/>
  <c r="V180" i="8"/>
  <c r="T180" i="8"/>
  <c r="Q180" i="8"/>
  <c r="P180" i="8"/>
  <c r="AE179" i="8"/>
  <c r="AC179" i="8"/>
  <c r="AB179" i="8"/>
  <c r="W179" i="8"/>
  <c r="AI178" i="8"/>
  <c r="AG178" i="8"/>
  <c r="AE178" i="8"/>
  <c r="W178" i="8"/>
  <c r="V178" i="8"/>
  <c r="T178" i="8"/>
  <c r="Q178" i="8"/>
  <c r="P178" i="8"/>
  <c r="AL177" i="8"/>
  <c r="AK177" i="8"/>
  <c r="AJ177" i="8"/>
  <c r="AI177" i="8"/>
  <c r="AH177" i="8"/>
  <c r="AG177" i="8"/>
  <c r="AF177" i="8"/>
  <c r="AE177" i="8"/>
  <c r="AD177" i="8"/>
  <c r="AC177" i="8"/>
  <c r="AB177" i="8"/>
  <c r="AA177" i="8"/>
  <c r="Z177" i="8"/>
  <c r="Y177" i="8"/>
  <c r="X177" i="8"/>
  <c r="W177" i="8"/>
  <c r="V177" i="8"/>
  <c r="U177" i="8"/>
  <c r="T177" i="8"/>
  <c r="S177" i="8"/>
  <c r="R177" i="8"/>
  <c r="Q177" i="8"/>
  <c r="P177" i="8"/>
  <c r="O177" i="8"/>
  <c r="N177" i="8"/>
  <c r="M177" i="8"/>
  <c r="L177" i="8"/>
  <c r="K177" i="8"/>
  <c r="J177" i="8"/>
  <c r="I177" i="8"/>
  <c r="H177" i="8"/>
  <c r="G177" i="8"/>
  <c r="F177" i="8"/>
  <c r="E177" i="8"/>
  <c r="D177" i="8"/>
  <c r="C177" i="8"/>
  <c r="AI176" i="8"/>
  <c r="AG176" i="8"/>
  <c r="AE176" i="8"/>
  <c r="AA176" i="8"/>
  <c r="V176" i="8"/>
  <c r="Q176" i="8"/>
  <c r="P176" i="8"/>
  <c r="O176" i="8"/>
  <c r="AA175" i="8"/>
  <c r="W175" i="8"/>
  <c r="U175" i="8"/>
  <c r="Q175" i="8"/>
  <c r="P175" i="8"/>
  <c r="O175" i="8"/>
  <c r="AI174" i="8"/>
  <c r="W174" i="8"/>
  <c r="Q174" i="8"/>
  <c r="P174" i="8"/>
  <c r="AI173" i="8"/>
  <c r="W173" i="8"/>
  <c r="AI172" i="8"/>
  <c r="AI171" i="8"/>
  <c r="Q171" i="8"/>
  <c r="P171" i="8"/>
  <c r="AI170" i="8"/>
  <c r="AI169" i="8"/>
  <c r="Q168" i="8"/>
  <c r="P168" i="8"/>
  <c r="AI166" i="8"/>
  <c r="AG166" i="8"/>
  <c r="AE166" i="8"/>
  <c r="W166" i="8"/>
  <c r="V166" i="8"/>
  <c r="U166" i="8"/>
  <c r="Q166" i="8"/>
  <c r="P166" i="8"/>
  <c r="O166" i="8"/>
  <c r="AL165" i="8"/>
  <c r="AK165" i="8"/>
  <c r="AJ165" i="8"/>
  <c r="AI165" i="8"/>
  <c r="AH165" i="8"/>
  <c r="AG165" i="8"/>
  <c r="AF165" i="8"/>
  <c r="AE165" i="8"/>
  <c r="AD165" i="8"/>
  <c r="AC165" i="8"/>
  <c r="AB165" i="8"/>
  <c r="AA165" i="8"/>
  <c r="Z165" i="8"/>
  <c r="Y165" i="8"/>
  <c r="X165" i="8"/>
  <c r="W165" i="8"/>
  <c r="V165" i="8"/>
  <c r="U165" i="8"/>
  <c r="T165" i="8"/>
  <c r="S165" i="8"/>
  <c r="R165" i="8"/>
  <c r="Q165" i="8"/>
  <c r="P165" i="8"/>
  <c r="O165" i="8"/>
  <c r="N165" i="8"/>
  <c r="M165" i="8"/>
  <c r="L165" i="8"/>
  <c r="K165" i="8"/>
  <c r="J165" i="8"/>
  <c r="I165" i="8"/>
  <c r="H165" i="8"/>
  <c r="G165" i="8"/>
  <c r="F165" i="8"/>
  <c r="E165" i="8"/>
  <c r="D165" i="8"/>
  <c r="C165" i="8"/>
  <c r="AH164" i="8"/>
  <c r="X164" i="8"/>
  <c r="AI163" i="8"/>
  <c r="X163" i="8"/>
  <c r="V163" i="8"/>
  <c r="T163" i="8"/>
  <c r="Q163" i="8"/>
  <c r="P163" i="8"/>
  <c r="N163" i="8"/>
  <c r="J163" i="8"/>
  <c r="H163" i="8"/>
  <c r="E163" i="8"/>
  <c r="C163" i="8"/>
  <c r="AI162" i="8"/>
  <c r="AH162" i="8"/>
  <c r="X162" i="8"/>
  <c r="V162" i="8"/>
  <c r="T162" i="8"/>
  <c r="Q162" i="8"/>
  <c r="P162" i="8"/>
  <c r="N162" i="8"/>
  <c r="H162" i="8"/>
  <c r="C162" i="8"/>
  <c r="AH161" i="8"/>
  <c r="X161" i="8"/>
  <c r="V161" i="8"/>
  <c r="Q161" i="8"/>
  <c r="P161" i="8"/>
  <c r="N161" i="8"/>
  <c r="J161" i="8"/>
  <c r="H161" i="8"/>
  <c r="E161" i="8"/>
  <c r="AL160" i="8"/>
  <c r="AK160" i="8"/>
  <c r="AJ160" i="8"/>
  <c r="AI160" i="8"/>
  <c r="AH160" i="8"/>
  <c r="AG160" i="8"/>
  <c r="AF160" i="8"/>
  <c r="AE160" i="8"/>
  <c r="AD160" i="8"/>
  <c r="AC160" i="8"/>
  <c r="AB160" i="8"/>
  <c r="AA160" i="8"/>
  <c r="Z160" i="8"/>
  <c r="Y160" i="8"/>
  <c r="X160" i="8"/>
  <c r="W160" i="8"/>
  <c r="V160" i="8"/>
  <c r="U160" i="8"/>
  <c r="T160" i="8"/>
  <c r="S160" i="8"/>
  <c r="R160" i="8"/>
  <c r="Q160" i="8"/>
  <c r="P160" i="8"/>
  <c r="O160" i="8"/>
  <c r="N160" i="8"/>
  <c r="M160" i="8"/>
  <c r="L160" i="8"/>
  <c r="K160" i="8"/>
  <c r="J160" i="8"/>
  <c r="I160" i="8"/>
  <c r="H160" i="8"/>
  <c r="G160" i="8"/>
  <c r="F160" i="8"/>
  <c r="E160" i="8"/>
  <c r="D160" i="8"/>
  <c r="C160" i="8"/>
  <c r="AI158" i="8"/>
  <c r="Z158" i="8"/>
  <c r="K158" i="8"/>
  <c r="AI157" i="8"/>
  <c r="Z157" i="8"/>
  <c r="K157" i="8"/>
  <c r="AL155" i="8"/>
  <c r="AK155" i="8"/>
  <c r="AJ155" i="8"/>
  <c r="AI155" i="8"/>
  <c r="AH155" i="8"/>
  <c r="AG155" i="8"/>
  <c r="AF155" i="8"/>
  <c r="AE155" i="8"/>
  <c r="AD155" i="8"/>
  <c r="AC155" i="8"/>
  <c r="AB155" i="8"/>
  <c r="AA155" i="8"/>
  <c r="Z155" i="8"/>
  <c r="Y155" i="8"/>
  <c r="X155" i="8"/>
  <c r="W155" i="8"/>
  <c r="V155" i="8"/>
  <c r="U155" i="8"/>
  <c r="T155" i="8"/>
  <c r="S155" i="8"/>
  <c r="R155" i="8"/>
  <c r="Q155" i="8"/>
  <c r="P155" i="8"/>
  <c r="O155" i="8"/>
  <c r="N155" i="8"/>
  <c r="M155" i="8"/>
  <c r="L155" i="8"/>
  <c r="K155" i="8"/>
  <c r="J155" i="8"/>
  <c r="I155" i="8"/>
  <c r="H155" i="8"/>
  <c r="G155" i="8"/>
  <c r="F155" i="8"/>
  <c r="E155" i="8"/>
  <c r="D155" i="8"/>
  <c r="C155" i="8"/>
  <c r="AL153" i="8"/>
  <c r="AK153" i="8"/>
  <c r="AJ153" i="8"/>
  <c r="AI153" i="8"/>
  <c r="AH153" i="8"/>
  <c r="AG153" i="8"/>
  <c r="AF153" i="8"/>
  <c r="AE153" i="8"/>
  <c r="AD153" i="8"/>
  <c r="AC153" i="8"/>
  <c r="AB153" i="8"/>
  <c r="AA153" i="8"/>
  <c r="Z153" i="8"/>
  <c r="Y153" i="8"/>
  <c r="X153" i="8"/>
  <c r="W153" i="8"/>
  <c r="V153" i="8"/>
  <c r="U153" i="8"/>
  <c r="T153" i="8"/>
  <c r="S153" i="8"/>
  <c r="R153" i="8"/>
  <c r="Q153" i="8"/>
  <c r="P153" i="8"/>
  <c r="O153" i="8"/>
  <c r="N153" i="8"/>
  <c r="M153" i="8"/>
  <c r="L153" i="8"/>
  <c r="K153" i="8"/>
  <c r="J153" i="8"/>
  <c r="I153" i="8"/>
  <c r="H153" i="8"/>
  <c r="G153" i="8"/>
  <c r="F153" i="8"/>
  <c r="E153" i="8"/>
  <c r="D153" i="8"/>
  <c r="C153" i="8"/>
  <c r="AI152" i="8"/>
  <c r="AG152" i="8"/>
  <c r="AE152" i="8"/>
  <c r="V152" i="8"/>
  <c r="U152" i="8"/>
  <c r="T152" i="8"/>
  <c r="Q152" i="8"/>
  <c r="P152" i="8"/>
  <c r="H152" i="8"/>
  <c r="C152" i="8"/>
  <c r="AI151" i="8"/>
  <c r="AE151" i="8"/>
  <c r="T151" i="8"/>
  <c r="Q151" i="8"/>
  <c r="P151" i="8"/>
  <c r="J151" i="8"/>
  <c r="H151" i="8"/>
  <c r="C151" i="8"/>
  <c r="AI150" i="8"/>
  <c r="AE150" i="8"/>
  <c r="C150" i="8"/>
  <c r="V149" i="8"/>
  <c r="J149" i="8"/>
  <c r="H149" i="8"/>
  <c r="AG148" i="8"/>
  <c r="AE148" i="8"/>
  <c r="U148" i="8"/>
  <c r="Q148" i="8"/>
  <c r="P148" i="8"/>
  <c r="C148" i="8"/>
  <c r="AL147" i="8"/>
  <c r="AK147" i="8"/>
  <c r="AJ147" i="8"/>
  <c r="AI147" i="8"/>
  <c r="AH147" i="8"/>
  <c r="AG147" i="8"/>
  <c r="AF147" i="8"/>
  <c r="AE147" i="8"/>
  <c r="AD147" i="8"/>
  <c r="AC147" i="8"/>
  <c r="AB147" i="8"/>
  <c r="AA147" i="8"/>
  <c r="Z147" i="8"/>
  <c r="Y147" i="8"/>
  <c r="X147" i="8"/>
  <c r="W147" i="8"/>
  <c r="V147" i="8"/>
  <c r="U147" i="8"/>
  <c r="T147" i="8"/>
  <c r="S147" i="8"/>
  <c r="R147" i="8"/>
  <c r="Q147" i="8"/>
  <c r="P147" i="8"/>
  <c r="O147" i="8"/>
  <c r="N147" i="8"/>
  <c r="M147" i="8"/>
  <c r="L147" i="8"/>
  <c r="K147" i="8"/>
  <c r="J147" i="8"/>
  <c r="I147" i="8"/>
  <c r="H147" i="8"/>
  <c r="G147" i="8"/>
  <c r="F147" i="8"/>
  <c r="E147" i="8"/>
  <c r="D147" i="8"/>
  <c r="C147" i="8"/>
  <c r="H146" i="8"/>
  <c r="C146" i="8"/>
  <c r="AI145" i="8"/>
  <c r="W145" i="8"/>
  <c r="U145" i="8"/>
  <c r="Q145" i="8"/>
  <c r="P145" i="8"/>
  <c r="H145" i="8"/>
  <c r="C145" i="8"/>
  <c r="AH144" i="8"/>
  <c r="AC144" i="8"/>
  <c r="AA144" i="8"/>
  <c r="X144" i="8"/>
  <c r="W144" i="8"/>
  <c r="V144" i="8"/>
  <c r="AG143" i="8"/>
  <c r="AF143" i="8"/>
  <c r="AD143" i="8"/>
  <c r="AA143" i="8"/>
  <c r="W143" i="8"/>
  <c r="V143" i="8"/>
  <c r="U143" i="8"/>
  <c r="T143" i="8"/>
  <c r="Q143" i="8"/>
  <c r="P143" i="8"/>
  <c r="N143" i="8"/>
  <c r="AI141" i="8"/>
  <c r="AB141" i="8"/>
  <c r="U141" i="8"/>
  <c r="Q141" i="8"/>
  <c r="P141" i="8"/>
  <c r="H141" i="8"/>
  <c r="C141" i="8"/>
  <c r="Q140" i="8"/>
  <c r="P140" i="8"/>
  <c r="C140" i="8"/>
  <c r="AD137" i="8"/>
  <c r="AA137" i="8"/>
  <c r="Q136" i="8"/>
  <c r="P136" i="8"/>
  <c r="C136" i="8"/>
  <c r="AD135" i="8"/>
  <c r="Q135" i="8"/>
  <c r="P135" i="8"/>
  <c r="AI134" i="8"/>
  <c r="AF134" i="8"/>
  <c r="AD134" i="8"/>
  <c r="Y134" i="8"/>
  <c r="W134" i="8"/>
  <c r="V134" i="8"/>
  <c r="T134" i="8"/>
  <c r="Q134" i="8"/>
  <c r="P134" i="8"/>
  <c r="O134" i="8"/>
  <c r="AI133" i="8"/>
  <c r="AH133" i="8"/>
  <c r="AG133" i="8"/>
  <c r="AF133" i="8"/>
  <c r="AA133" i="8"/>
  <c r="Y133" i="8"/>
  <c r="X133" i="8"/>
  <c r="W133" i="8"/>
  <c r="V133" i="8"/>
  <c r="T133" i="8"/>
  <c r="Q133" i="8"/>
  <c r="P133" i="8"/>
  <c r="O133" i="8"/>
  <c r="N133" i="8"/>
  <c r="AD131" i="8"/>
  <c r="W131" i="8"/>
  <c r="Q131" i="8"/>
  <c r="P131" i="8"/>
  <c r="O131" i="8"/>
  <c r="C131" i="8"/>
  <c r="AA130" i="8"/>
  <c r="U130" i="8"/>
  <c r="Q130" i="8"/>
  <c r="P130" i="8"/>
  <c r="AF129" i="8"/>
  <c r="AC129" i="8"/>
  <c r="AA129" i="8"/>
  <c r="W129" i="8"/>
  <c r="AA127" i="8"/>
  <c r="W127" i="8"/>
  <c r="U127" i="8"/>
  <c r="Q127" i="8"/>
  <c r="P127" i="8"/>
  <c r="AB126" i="8"/>
  <c r="AA126" i="8"/>
  <c r="W126" i="8"/>
  <c r="V126" i="8"/>
  <c r="U126" i="8"/>
  <c r="T126" i="8"/>
  <c r="Q126" i="8"/>
  <c r="P126" i="8"/>
  <c r="N126" i="8"/>
  <c r="H126" i="8"/>
  <c r="C126" i="8"/>
  <c r="Q124" i="8"/>
  <c r="P124" i="8"/>
  <c r="C124" i="8"/>
  <c r="AL123" i="8"/>
  <c r="AK123" i="8"/>
  <c r="AJ123" i="8"/>
  <c r="AI123" i="8"/>
  <c r="AH123" i="8"/>
  <c r="AG123" i="8"/>
  <c r="AF123" i="8"/>
  <c r="AE123" i="8"/>
  <c r="AD123" i="8"/>
  <c r="AC123" i="8"/>
  <c r="AB123" i="8"/>
  <c r="AA123" i="8"/>
  <c r="Z123" i="8"/>
  <c r="Y123" i="8"/>
  <c r="X123" i="8"/>
  <c r="W123" i="8"/>
  <c r="V123" i="8"/>
  <c r="U123" i="8"/>
  <c r="T123" i="8"/>
  <c r="S123" i="8"/>
  <c r="R123" i="8"/>
  <c r="Q123" i="8"/>
  <c r="P123" i="8"/>
  <c r="O123" i="8"/>
  <c r="N123" i="8"/>
  <c r="M123" i="8"/>
  <c r="L123" i="8"/>
  <c r="K123" i="8"/>
  <c r="J123" i="8"/>
  <c r="I123" i="8"/>
  <c r="H123" i="8"/>
  <c r="G123" i="8"/>
  <c r="F123" i="8"/>
  <c r="E123" i="8"/>
  <c r="D123" i="8"/>
  <c r="C123" i="8"/>
  <c r="V122" i="8"/>
  <c r="N122" i="8"/>
  <c r="C122" i="8"/>
  <c r="V121" i="8"/>
  <c r="N121" i="8"/>
  <c r="C120" i="8"/>
  <c r="AL119" i="8"/>
  <c r="AK119" i="8"/>
  <c r="AJ119" i="8"/>
  <c r="AI119" i="8"/>
  <c r="AH119" i="8"/>
  <c r="AG119" i="8"/>
  <c r="AF119" i="8"/>
  <c r="AE119" i="8"/>
  <c r="AD119" i="8"/>
  <c r="AC119" i="8"/>
  <c r="AB119" i="8"/>
  <c r="AA119" i="8"/>
  <c r="Z119" i="8"/>
  <c r="Y119" i="8"/>
  <c r="X119" i="8"/>
  <c r="W119" i="8"/>
  <c r="V119" i="8"/>
  <c r="U119" i="8"/>
  <c r="T119" i="8"/>
  <c r="S119" i="8"/>
  <c r="R119" i="8"/>
  <c r="Q119" i="8"/>
  <c r="P119" i="8"/>
  <c r="O119" i="8"/>
  <c r="N119" i="8"/>
  <c r="M119" i="8"/>
  <c r="L119" i="8"/>
  <c r="K119" i="8"/>
  <c r="J119" i="8"/>
  <c r="I119" i="8"/>
  <c r="H119" i="8"/>
  <c r="G119" i="8"/>
  <c r="F119" i="8"/>
  <c r="E119" i="8"/>
  <c r="D119" i="8"/>
  <c r="C119" i="8"/>
  <c r="E117" i="8"/>
  <c r="E115" i="8"/>
  <c r="AL114" i="8"/>
  <c r="AK114" i="8"/>
  <c r="AJ114" i="8"/>
  <c r="AI114" i="8"/>
  <c r="AH114" i="8"/>
  <c r="AG114" i="8"/>
  <c r="AF114" i="8"/>
  <c r="AE114" i="8"/>
  <c r="AD114" i="8"/>
  <c r="AC114" i="8"/>
  <c r="AB114" i="8"/>
  <c r="AA114" i="8"/>
  <c r="Z114" i="8"/>
  <c r="Y114" i="8"/>
  <c r="X114" i="8"/>
  <c r="W114" i="8"/>
  <c r="V114" i="8"/>
  <c r="U114" i="8"/>
  <c r="T114" i="8"/>
  <c r="S114" i="8"/>
  <c r="R114" i="8"/>
  <c r="Q114" i="8"/>
  <c r="P114" i="8"/>
  <c r="O114" i="8"/>
  <c r="N114" i="8"/>
  <c r="M114" i="8"/>
  <c r="L114" i="8"/>
  <c r="K114" i="8"/>
  <c r="J114" i="8"/>
  <c r="I114" i="8"/>
  <c r="H114" i="8"/>
  <c r="G114" i="8"/>
  <c r="F114" i="8"/>
  <c r="E114" i="8"/>
  <c r="D114" i="8"/>
  <c r="C114" i="8"/>
  <c r="AF113" i="8"/>
  <c r="AA113" i="8"/>
  <c r="V113" i="8"/>
  <c r="U113" i="8"/>
  <c r="K113" i="8"/>
  <c r="H113" i="8"/>
  <c r="AA112" i="8"/>
  <c r="V112" i="8"/>
  <c r="U112" i="8"/>
  <c r="K112" i="8"/>
  <c r="H112" i="8"/>
  <c r="C112" i="8"/>
  <c r="AF111" i="8"/>
  <c r="AA111" i="8"/>
  <c r="V111" i="8"/>
  <c r="U111" i="8"/>
  <c r="H111" i="8"/>
  <c r="C111" i="8"/>
  <c r="AA110" i="8"/>
  <c r="U110" i="8"/>
  <c r="H110" i="8"/>
  <c r="AL109" i="8"/>
  <c r="AK109" i="8"/>
  <c r="AJ109" i="8"/>
  <c r="AI109" i="8"/>
  <c r="AH109" i="8"/>
  <c r="AG109" i="8"/>
  <c r="AF109" i="8"/>
  <c r="AE109" i="8"/>
  <c r="AD109" i="8"/>
  <c r="AC109" i="8"/>
  <c r="AB109" i="8"/>
  <c r="AA109" i="8"/>
  <c r="Z109" i="8"/>
  <c r="Y109" i="8"/>
  <c r="X109" i="8"/>
  <c r="W109" i="8"/>
  <c r="V109" i="8"/>
  <c r="U109" i="8"/>
  <c r="T109" i="8"/>
  <c r="S109" i="8"/>
  <c r="R109" i="8"/>
  <c r="Q109" i="8"/>
  <c r="P109" i="8"/>
  <c r="O109" i="8"/>
  <c r="N109" i="8"/>
  <c r="M109" i="8"/>
  <c r="L109" i="8"/>
  <c r="K109" i="8"/>
  <c r="J109" i="8"/>
  <c r="I109" i="8"/>
  <c r="H109" i="8"/>
  <c r="G109" i="8"/>
  <c r="F109" i="8"/>
  <c r="E109" i="8"/>
  <c r="D109" i="8"/>
  <c r="C109" i="8"/>
  <c r="AA107" i="8"/>
  <c r="AA106" i="8"/>
  <c r="AA105" i="8"/>
  <c r="AA102" i="8"/>
  <c r="AA101" i="8"/>
  <c r="AA100" i="8"/>
  <c r="AA99" i="8"/>
  <c r="AA97" i="8"/>
  <c r="AL96" i="8"/>
  <c r="AK96" i="8"/>
  <c r="AJ96" i="8"/>
  <c r="AI96" i="8"/>
  <c r="AH96" i="8"/>
  <c r="AG96" i="8"/>
  <c r="AF96" i="8"/>
  <c r="AE96" i="8"/>
  <c r="AD96" i="8"/>
  <c r="AC96" i="8"/>
  <c r="AB96" i="8"/>
  <c r="AA96" i="8"/>
  <c r="Z96" i="8"/>
  <c r="Y96" i="8"/>
  <c r="X96" i="8"/>
  <c r="W96" i="8"/>
  <c r="V96" i="8"/>
  <c r="U96" i="8"/>
  <c r="T96" i="8"/>
  <c r="S96" i="8"/>
  <c r="R96" i="8"/>
  <c r="Q96" i="8"/>
  <c r="P96" i="8"/>
  <c r="O96" i="8"/>
  <c r="N96" i="8"/>
  <c r="M96" i="8"/>
  <c r="L96" i="8"/>
  <c r="K96" i="8"/>
  <c r="J96" i="8"/>
  <c r="I96" i="8"/>
  <c r="H96" i="8"/>
  <c r="G96" i="8"/>
  <c r="F96" i="8"/>
  <c r="E96" i="8"/>
  <c r="D96" i="8"/>
  <c r="C96" i="8"/>
  <c r="AI95" i="8"/>
  <c r="AF95" i="8"/>
  <c r="AE95" i="8"/>
  <c r="AB95" i="8"/>
  <c r="W95" i="8"/>
  <c r="AI94" i="8"/>
  <c r="AF94" i="8"/>
  <c r="AE94" i="8"/>
  <c r="AB94" i="8"/>
  <c r="W94" i="8"/>
  <c r="AL93" i="8"/>
  <c r="AK93" i="8"/>
  <c r="AJ93" i="8"/>
  <c r="AI93" i="8"/>
  <c r="AH93" i="8"/>
  <c r="AG93" i="8"/>
  <c r="AF93" i="8"/>
  <c r="AE93" i="8"/>
  <c r="AD93" i="8"/>
  <c r="AC93" i="8"/>
  <c r="AB93" i="8"/>
  <c r="AA93" i="8"/>
  <c r="Z93" i="8"/>
  <c r="Y93" i="8"/>
  <c r="X93" i="8"/>
  <c r="W93" i="8"/>
  <c r="V93" i="8"/>
  <c r="U93" i="8"/>
  <c r="T93" i="8"/>
  <c r="S93" i="8"/>
  <c r="R93" i="8"/>
  <c r="Q93" i="8"/>
  <c r="P93" i="8"/>
  <c r="O93" i="8"/>
  <c r="N93" i="8"/>
  <c r="M93" i="8"/>
  <c r="L93" i="8"/>
  <c r="K93" i="8"/>
  <c r="J93" i="8"/>
  <c r="I93" i="8"/>
  <c r="H93" i="8"/>
  <c r="G93" i="8"/>
  <c r="F93" i="8"/>
  <c r="E93" i="8"/>
  <c r="D93" i="8"/>
  <c r="C93" i="8"/>
  <c r="AF92" i="8"/>
  <c r="AC92" i="8"/>
  <c r="W92" i="8"/>
  <c r="U92" i="8"/>
  <c r="P92" i="8"/>
  <c r="N92" i="8"/>
  <c r="E92" i="8"/>
  <c r="C92" i="8"/>
  <c r="U91" i="8"/>
  <c r="C90" i="8"/>
  <c r="Y89" i="8"/>
  <c r="V89" i="8"/>
  <c r="U89" i="8"/>
  <c r="P89" i="8"/>
  <c r="N89" i="8"/>
  <c r="E89" i="8"/>
  <c r="D89" i="8"/>
  <c r="U86" i="8"/>
  <c r="D86" i="8"/>
  <c r="C86" i="8"/>
  <c r="C83" i="8"/>
  <c r="AH82" i="8"/>
  <c r="AF82" i="8"/>
  <c r="AE82" i="8"/>
  <c r="AC82" i="8"/>
  <c r="Y82" i="8"/>
  <c r="X82" i="8"/>
  <c r="Q82" i="8"/>
  <c r="P82" i="8"/>
  <c r="N82" i="8"/>
  <c r="F82" i="8"/>
  <c r="E82" i="8"/>
  <c r="C82" i="8"/>
  <c r="C80" i="8"/>
  <c r="C79" i="8"/>
  <c r="C78" i="8"/>
  <c r="W77" i="8"/>
  <c r="N77" i="8"/>
  <c r="C77" i="8"/>
  <c r="C75" i="8"/>
  <c r="N74" i="8"/>
  <c r="C73" i="8"/>
  <c r="C72" i="8"/>
  <c r="AF70" i="8"/>
  <c r="AE70" i="8"/>
  <c r="AC70" i="8"/>
  <c r="Y70" i="8"/>
  <c r="X70" i="8"/>
  <c r="W70" i="8"/>
  <c r="V70" i="8"/>
  <c r="U70" i="8"/>
  <c r="Q70" i="8"/>
  <c r="P70" i="8"/>
  <c r="N70" i="8"/>
  <c r="E70" i="8"/>
  <c r="C70" i="8"/>
  <c r="AE69" i="8"/>
  <c r="X69" i="8"/>
  <c r="W69" i="8"/>
  <c r="V69" i="8"/>
  <c r="U69" i="8"/>
  <c r="N69" i="8"/>
  <c r="E69" i="8"/>
  <c r="C69" i="8"/>
  <c r="Y68" i="8"/>
  <c r="C68" i="8"/>
  <c r="U67" i="8"/>
  <c r="N67" i="8"/>
  <c r="E67" i="8"/>
  <c r="C67" i="8"/>
  <c r="AE64" i="8"/>
  <c r="U64" i="8"/>
  <c r="Q64" i="8"/>
  <c r="P64" i="8"/>
  <c r="F64" i="8"/>
  <c r="D64" i="8"/>
  <c r="N63" i="8"/>
  <c r="F63" i="8"/>
  <c r="E63" i="8"/>
  <c r="D63" i="8"/>
  <c r="C63" i="8"/>
  <c r="C62" i="8"/>
  <c r="AE61" i="8"/>
  <c r="Y61" i="8"/>
  <c r="U61" i="8"/>
  <c r="Q61" i="8"/>
  <c r="P61" i="8"/>
  <c r="F61" i="8"/>
  <c r="D61" i="8"/>
  <c r="AH60" i="8"/>
  <c r="AF60" i="8"/>
  <c r="AC60" i="8"/>
  <c r="X60" i="8"/>
  <c r="W60" i="8"/>
  <c r="V60" i="8"/>
  <c r="Q60" i="8"/>
  <c r="N60" i="8"/>
  <c r="C59" i="8"/>
  <c r="N58" i="8"/>
  <c r="C58" i="8"/>
  <c r="AF57" i="8"/>
  <c r="AE57" i="8"/>
  <c r="AC57" i="8"/>
  <c r="Y57" i="8"/>
  <c r="W57" i="8"/>
  <c r="V57" i="8"/>
  <c r="U57" i="8"/>
  <c r="N57" i="8"/>
  <c r="D57" i="8"/>
  <c r="C57" i="8"/>
  <c r="Q56" i="8"/>
  <c r="N56" i="8"/>
  <c r="C56" i="8"/>
  <c r="AH55" i="8"/>
  <c r="AF55" i="8"/>
  <c r="AC55" i="8"/>
  <c r="Y55" i="8"/>
  <c r="V55" i="8"/>
  <c r="U55" i="8"/>
  <c r="Q55" i="8"/>
  <c r="N55" i="8"/>
  <c r="H55" i="8"/>
  <c r="D55" i="8"/>
  <c r="C52" i="8"/>
  <c r="W50" i="8"/>
  <c r="U50" i="8"/>
  <c r="C50" i="8"/>
  <c r="AL46" i="8"/>
  <c r="AK46" i="8"/>
  <c r="AJ46" i="8"/>
  <c r="AI46" i="8"/>
  <c r="AH46" i="8"/>
  <c r="AG46" i="8"/>
  <c r="AF46" i="8"/>
  <c r="AE46" i="8"/>
  <c r="AD46" i="8"/>
  <c r="AC46" i="8"/>
  <c r="AB46" i="8"/>
  <c r="AA46" i="8"/>
  <c r="Z46" i="8"/>
  <c r="Y46" i="8"/>
  <c r="X46" i="8"/>
  <c r="W46" i="8"/>
  <c r="V46" i="8"/>
  <c r="U46" i="8"/>
  <c r="T46" i="8"/>
  <c r="S46" i="8"/>
  <c r="R46" i="8"/>
  <c r="Q46" i="8"/>
  <c r="P46" i="8"/>
  <c r="O46" i="8"/>
  <c r="N46" i="8"/>
  <c r="M46" i="8"/>
  <c r="L46" i="8"/>
  <c r="K46" i="8"/>
  <c r="J46" i="8"/>
  <c r="I46" i="8"/>
  <c r="H46" i="8"/>
  <c r="G46" i="8"/>
  <c r="F46" i="8"/>
  <c r="E46" i="8"/>
  <c r="D46" i="8"/>
  <c r="C46" i="8"/>
  <c r="AG45" i="8"/>
  <c r="AD45" i="8"/>
  <c r="AC45" i="8"/>
  <c r="AB45" i="8"/>
  <c r="AA45" i="8"/>
  <c r="Y45" i="8"/>
  <c r="Q45" i="8"/>
  <c r="P45" i="8"/>
  <c r="O45" i="8"/>
  <c r="I45" i="8"/>
  <c r="AI44" i="8"/>
  <c r="F44" i="8"/>
  <c r="AI41" i="8"/>
  <c r="AH41" i="8"/>
  <c r="AG41" i="8"/>
  <c r="AE41" i="8"/>
  <c r="AD41" i="8"/>
  <c r="AC41" i="8"/>
  <c r="AA41" i="8"/>
  <c r="Y41" i="8"/>
  <c r="X41" i="8"/>
  <c r="T41" i="8"/>
  <c r="O41" i="8"/>
  <c r="I41" i="8"/>
  <c r="AH39" i="8"/>
  <c r="AG39" i="8"/>
  <c r="AE39" i="8"/>
  <c r="AD39" i="8"/>
  <c r="AB39" i="8"/>
  <c r="AA39" i="8"/>
  <c r="Y39" i="8"/>
  <c r="X39" i="8"/>
  <c r="T39" i="8"/>
  <c r="Q39" i="8"/>
  <c r="P39" i="8"/>
  <c r="O39" i="8"/>
  <c r="F39" i="8"/>
  <c r="AL38" i="8"/>
  <c r="AK38" i="8"/>
  <c r="AJ38" i="8"/>
  <c r="AI38" i="8"/>
  <c r="AH38" i="8"/>
  <c r="AG38" i="8"/>
  <c r="AF38" i="8"/>
  <c r="AE38" i="8"/>
  <c r="AD38" i="8"/>
  <c r="AC38" i="8"/>
  <c r="AB38" i="8"/>
  <c r="AA38" i="8"/>
  <c r="Z38" i="8"/>
  <c r="Y38" i="8"/>
  <c r="X38" i="8"/>
  <c r="W38" i="8"/>
  <c r="V38" i="8"/>
  <c r="U38" i="8"/>
  <c r="T38" i="8"/>
  <c r="S38" i="8"/>
  <c r="R38" i="8"/>
  <c r="Q38" i="8"/>
  <c r="P38" i="8"/>
  <c r="O38" i="8"/>
  <c r="N38" i="8"/>
  <c r="M38" i="8"/>
  <c r="L38" i="8"/>
  <c r="K38" i="8"/>
  <c r="J38" i="8"/>
  <c r="I38" i="8"/>
  <c r="H38" i="8"/>
  <c r="G38" i="8"/>
  <c r="F38" i="8"/>
  <c r="E38" i="8"/>
  <c r="D38" i="8"/>
  <c r="C38" i="8"/>
  <c r="AL33" i="8"/>
  <c r="AK33" i="8"/>
  <c r="AJ33" i="8"/>
  <c r="AI33" i="8"/>
  <c r="AH33" i="8"/>
  <c r="AG33" i="8"/>
  <c r="AF33" i="8"/>
  <c r="AE33" i="8"/>
  <c r="AD33" i="8"/>
  <c r="AC33" i="8"/>
  <c r="AB33" i="8"/>
  <c r="AA33" i="8"/>
  <c r="Z33" i="8"/>
  <c r="Y33" i="8"/>
  <c r="X33" i="8"/>
  <c r="W33" i="8"/>
  <c r="V33" i="8"/>
  <c r="U33" i="8"/>
  <c r="T33" i="8"/>
  <c r="S33" i="8"/>
  <c r="R33" i="8"/>
  <c r="Q33" i="8"/>
  <c r="P33" i="8"/>
  <c r="O33" i="8"/>
  <c r="N33" i="8"/>
  <c r="M33" i="8"/>
  <c r="L33" i="8"/>
  <c r="K33" i="8"/>
  <c r="J33" i="8"/>
  <c r="I33" i="8"/>
  <c r="H33" i="8"/>
  <c r="G33" i="8"/>
  <c r="F33" i="8"/>
  <c r="E33" i="8"/>
  <c r="D33" i="8"/>
  <c r="C33" i="8"/>
  <c r="AI31" i="8"/>
  <c r="AA31" i="8"/>
  <c r="W31" i="8"/>
  <c r="AI28" i="8"/>
  <c r="AA28" i="8"/>
  <c r="W28" i="8"/>
  <c r="AL27" i="8"/>
  <c r="AK27" i="8"/>
  <c r="AJ27" i="8"/>
  <c r="AI27" i="8"/>
  <c r="AH27" i="8"/>
  <c r="AG27" i="8"/>
  <c r="AF27" i="8"/>
  <c r="AE27" i="8"/>
  <c r="AD27" i="8"/>
  <c r="AC27" i="8"/>
  <c r="AB27" i="8"/>
  <c r="AA27" i="8"/>
  <c r="Z27" i="8"/>
  <c r="Y27" i="8"/>
  <c r="X27" i="8"/>
  <c r="W27" i="8"/>
  <c r="V27" i="8"/>
  <c r="U27" i="8"/>
  <c r="T27" i="8"/>
  <c r="S27" i="8"/>
  <c r="R27" i="8"/>
  <c r="Q27" i="8"/>
  <c r="P27" i="8"/>
  <c r="O27" i="8"/>
  <c r="N27" i="8"/>
  <c r="M27" i="8"/>
  <c r="L27" i="8"/>
  <c r="K27" i="8"/>
  <c r="J27" i="8"/>
  <c r="I27" i="8"/>
  <c r="H27" i="8"/>
  <c r="G27" i="8"/>
  <c r="F27" i="8"/>
  <c r="E27" i="8"/>
  <c r="D27" i="8"/>
  <c r="C27"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22" i="8"/>
  <c r="C22" i="8"/>
  <c r="E21" i="8"/>
  <c r="V20" i="8"/>
  <c r="V17" i="8"/>
  <c r="E17"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H16" i="8"/>
  <c r="G16" i="8"/>
  <c r="F16" i="8"/>
  <c r="E16" i="8"/>
  <c r="D16" i="8"/>
  <c r="C16" i="8"/>
  <c r="AI15" i="8"/>
  <c r="AG15" i="8"/>
  <c r="AF15" i="8"/>
  <c r="AE15" i="8"/>
  <c r="AD15" i="8"/>
  <c r="AA15" i="8"/>
  <c r="W15" i="8"/>
  <c r="V15" i="8"/>
  <c r="P15" i="8"/>
  <c r="O15" i="8"/>
  <c r="AI14" i="8"/>
  <c r="AF14" i="8"/>
  <c r="AA14" i="8"/>
  <c r="C14" i="8"/>
  <c r="AG13" i="8"/>
  <c r="AF13" i="8"/>
  <c r="AE13" i="8"/>
  <c r="AC13" i="8"/>
  <c r="AB13" i="8"/>
  <c r="AA13" i="8"/>
  <c r="W13" i="8"/>
  <c r="U13" i="8"/>
  <c r="Q13" i="8"/>
  <c r="P13" i="8"/>
  <c r="E13" i="8"/>
  <c r="AI12" i="8"/>
  <c r="AF12" i="8"/>
  <c r="AE12" i="8"/>
  <c r="AD12" i="8"/>
  <c r="AC12" i="8"/>
  <c r="AA12" i="8"/>
  <c r="W12" i="8"/>
  <c r="U12" i="8"/>
  <c r="P12" i="8"/>
  <c r="O12" i="8"/>
  <c r="E12" i="8"/>
  <c r="C12" i="8"/>
  <c r="AI11" i="8"/>
  <c r="AB11" i="8"/>
  <c r="W11" i="8"/>
  <c r="V11" i="8"/>
  <c r="Q11" i="8"/>
  <c r="O11" i="8"/>
  <c r="AL10" i="8"/>
  <c r="AK10" i="8"/>
  <c r="AJ10" i="8"/>
  <c r="AI10" i="8"/>
  <c r="AH10"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AK9" i="8"/>
  <c r="AH9" i="8"/>
  <c r="AG9" i="8"/>
  <c r="AF9" i="8"/>
  <c r="AD9" i="8"/>
  <c r="AC9" i="8"/>
  <c r="AB9" i="8"/>
  <c r="AA9" i="8"/>
  <c r="Z9" i="8"/>
  <c r="Y9" i="8"/>
  <c r="X9" i="8"/>
  <c r="V9" i="8"/>
  <c r="T9" i="8"/>
  <c r="O9" i="8"/>
  <c r="N9" i="8"/>
  <c r="K9" i="8"/>
  <c r="H9" i="8"/>
  <c r="C9" i="8"/>
  <c r="AK8" i="8"/>
  <c r="AH8" i="8"/>
  <c r="AG8" i="8"/>
  <c r="AF8" i="8"/>
  <c r="AD8" i="8"/>
  <c r="AC8" i="8"/>
  <c r="AB8" i="8"/>
  <c r="AA8" i="8"/>
  <c r="Z8" i="8"/>
  <c r="Y8" i="8"/>
  <c r="X8" i="8"/>
  <c r="V8" i="8"/>
  <c r="T8" i="8"/>
  <c r="O8" i="8"/>
  <c r="N8" i="8"/>
  <c r="K8" i="8"/>
  <c r="H8" i="8"/>
  <c r="C8"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AH6" i="8"/>
  <c r="AG6" i="8"/>
  <c r="AB6" i="8"/>
  <c r="AA6" i="8"/>
  <c r="Y6" i="8"/>
  <c r="Q6" i="8"/>
  <c r="N6" i="8"/>
  <c r="K6" i="8"/>
  <c r="I6" i="8"/>
  <c r="AA5" i="8"/>
  <c r="Z5" i="8"/>
  <c r="Q5" i="8"/>
  <c r="E5" i="8"/>
  <c r="AH4" i="8"/>
  <c r="AG4" i="8"/>
  <c r="AC4" i="8"/>
  <c r="AB4" i="8"/>
  <c r="AA4" i="8"/>
  <c r="Z4" i="8"/>
  <c r="Y4" i="8"/>
  <c r="Q4" i="8"/>
  <c r="N4" i="8"/>
  <c r="K4" i="8"/>
  <c r="I4" i="8"/>
  <c r="AC3" i="8"/>
  <c r="AL2" i="8"/>
  <c r="AK2" i="8"/>
  <c r="AJ2" i="8"/>
  <c r="AI2" i="8"/>
  <c r="AH2"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AL191" i="8"/>
  <c r="AK191" i="8"/>
  <c r="AJ191" i="8"/>
  <c r="AI191" i="8"/>
  <c r="AH191" i="8"/>
  <c r="AG191" i="8"/>
  <c r="AF191" i="8"/>
  <c r="AE191" i="8"/>
  <c r="AD191" i="8"/>
  <c r="AC191" i="8"/>
  <c r="AB191" i="8"/>
  <c r="AA191" i="8"/>
  <c r="Z191" i="8"/>
  <c r="Y191" i="8"/>
  <c r="X191" i="8"/>
  <c r="W191" i="8"/>
  <c r="V191" i="8"/>
  <c r="U191" i="8"/>
  <c r="T191" i="8"/>
  <c r="S191" i="8"/>
  <c r="R191" i="8"/>
  <c r="Q191" i="8"/>
  <c r="P191" i="8"/>
  <c r="O191" i="8"/>
  <c r="N191" i="8"/>
  <c r="M191" i="8"/>
  <c r="L191" i="8"/>
  <c r="K191" i="8"/>
  <c r="J191" i="8"/>
  <c r="I191" i="8"/>
  <c r="H191" i="8"/>
  <c r="G191" i="8"/>
  <c r="F191" i="8"/>
  <c r="E191" i="8"/>
  <c r="D191" i="8"/>
  <c r="C191" i="8"/>
  <c r="AL189" i="8"/>
  <c r="AJ189" i="8"/>
  <c r="AI189" i="8"/>
  <c r="AH189" i="8"/>
  <c r="AF189" i="8"/>
  <c r="AD189" i="8"/>
  <c r="AB189" i="8"/>
  <c r="Z189" i="8"/>
  <c r="X189" i="8"/>
  <c r="V189" i="8"/>
  <c r="T189" i="8"/>
  <c r="R189" i="8"/>
  <c r="P189" i="8"/>
  <c r="N189" i="8"/>
  <c r="L189" i="8"/>
  <c r="J189" i="8"/>
  <c r="H189" i="8"/>
  <c r="F189" i="8"/>
  <c r="D189" i="8"/>
  <c r="AL188" i="8"/>
  <c r="AK188" i="8"/>
  <c r="AJ188" i="8"/>
  <c r="AI188" i="8"/>
  <c r="AH188" i="8"/>
  <c r="AG188" i="8"/>
  <c r="AF188" i="8"/>
  <c r="AE188" i="8"/>
  <c r="AD188" i="8"/>
  <c r="AC188" i="8"/>
  <c r="AB188" i="8"/>
  <c r="AA188" i="8"/>
  <c r="Z188" i="8"/>
  <c r="Y188" i="8"/>
  <c r="X188" i="8"/>
  <c r="W188" i="8"/>
  <c r="V188" i="8"/>
  <c r="U188" i="8"/>
  <c r="T188" i="8"/>
  <c r="S188" i="8"/>
  <c r="R188" i="8"/>
  <c r="Q188" i="8"/>
  <c r="P188" i="8"/>
  <c r="O188" i="8"/>
  <c r="N188" i="8"/>
  <c r="M188" i="8"/>
  <c r="L188" i="8"/>
  <c r="K188" i="8"/>
  <c r="J188" i="8"/>
  <c r="I188" i="8"/>
  <c r="H188" i="8"/>
  <c r="G188" i="8"/>
  <c r="F188" i="8"/>
  <c r="E188" i="8"/>
  <c r="D188" i="8"/>
  <c r="C188" i="8"/>
  <c r="AL187" i="8"/>
  <c r="AK187" i="8"/>
  <c r="AJ187" i="8"/>
  <c r="AI187" i="8"/>
  <c r="AH187" i="8"/>
  <c r="AG187" i="8"/>
  <c r="AF187" i="8"/>
  <c r="AE187" i="8"/>
  <c r="AD187" i="8"/>
  <c r="AC187" i="8"/>
  <c r="AB187" i="8"/>
  <c r="AA187" i="8"/>
  <c r="Z187" i="8"/>
  <c r="Y187" i="8"/>
  <c r="X187" i="8"/>
  <c r="W187" i="8"/>
  <c r="V187" i="8"/>
  <c r="U187" i="8"/>
  <c r="T187" i="8"/>
  <c r="S187" i="8"/>
  <c r="R187" i="8"/>
  <c r="Q187" i="8"/>
  <c r="P187" i="8"/>
  <c r="O187" i="8"/>
  <c r="N187" i="8"/>
  <c r="M187" i="8"/>
  <c r="L187" i="8"/>
  <c r="K187" i="8"/>
  <c r="J187" i="8"/>
  <c r="I187" i="8"/>
  <c r="H187" i="8"/>
  <c r="G187" i="8"/>
  <c r="F187" i="8"/>
  <c r="E187" i="8"/>
  <c r="D187" i="8"/>
  <c r="C187" i="8"/>
  <c r="AK37" i="8"/>
  <c r="AG37" i="8"/>
  <c r="AC37" i="8"/>
  <c r="Y37" i="8"/>
  <c r="U37" i="8"/>
  <c r="Q37" i="8"/>
  <c r="M37" i="8"/>
  <c r="I37" i="8"/>
  <c r="E37" i="8"/>
  <c r="AK36" i="8"/>
  <c r="AI36" i="8"/>
  <c r="AG36" i="8"/>
  <c r="AE36" i="8"/>
  <c r="AC36" i="8"/>
  <c r="AA36" i="8"/>
  <c r="Y36" i="8"/>
  <c r="W36" i="8"/>
  <c r="U36" i="8"/>
  <c r="S36" i="8"/>
  <c r="Q36" i="8"/>
  <c r="O36" i="8"/>
  <c r="M36" i="8"/>
  <c r="K36" i="8"/>
  <c r="I36" i="8"/>
  <c r="G36" i="8"/>
  <c r="E36" i="8"/>
  <c r="C36" i="8"/>
  <c r="AL35" i="8"/>
  <c r="AK35" i="8"/>
  <c r="AJ35" i="8"/>
  <c r="AI35" i="8"/>
  <c r="AH35" i="8"/>
  <c r="AG35" i="8"/>
  <c r="AF35" i="8"/>
  <c r="AE35" i="8"/>
  <c r="AD35" i="8"/>
  <c r="AC35" i="8"/>
  <c r="AB35" i="8"/>
  <c r="AA35" i="8"/>
  <c r="Z35" i="8"/>
  <c r="Y35" i="8"/>
  <c r="X35" i="8"/>
  <c r="W35" i="8"/>
  <c r="V35" i="8"/>
  <c r="U35" i="8"/>
  <c r="T35" i="8"/>
  <c r="S35" i="8"/>
  <c r="R35" i="8"/>
  <c r="Q35" i="8"/>
  <c r="P35" i="8"/>
  <c r="O35" i="8"/>
  <c r="N35" i="8"/>
  <c r="M35" i="8"/>
  <c r="L35" i="8"/>
  <c r="K35" i="8"/>
  <c r="J35" i="8"/>
  <c r="I35" i="8"/>
  <c r="H35" i="8"/>
  <c r="G35" i="8"/>
  <c r="F35" i="8"/>
  <c r="E35" i="8"/>
  <c r="D35" i="8"/>
  <c r="C35" i="8"/>
  <c r="AL34" i="8"/>
  <c r="AK34" i="8"/>
  <c r="AJ34" i="8"/>
  <c r="AI34" i="8"/>
  <c r="AH34" i="8"/>
  <c r="AG34" i="8"/>
  <c r="AF34" i="8"/>
  <c r="AE34" i="8"/>
  <c r="AD34" i="8"/>
  <c r="AC34" i="8"/>
  <c r="AB34" i="8"/>
  <c r="AA34" i="8"/>
  <c r="Z34" i="8"/>
  <c r="Y34" i="8"/>
  <c r="X34" i="8"/>
  <c r="W34" i="8"/>
  <c r="V34" i="8"/>
  <c r="U34" i="8"/>
  <c r="T34" i="8"/>
  <c r="S34" i="8"/>
  <c r="R34" i="8"/>
  <c r="Q34" i="8"/>
  <c r="P34" i="8"/>
  <c r="O34" i="8"/>
  <c r="N34" i="8"/>
  <c r="M34" i="8"/>
  <c r="L34" i="8"/>
  <c r="K34" i="8"/>
  <c r="J34" i="8"/>
  <c r="I34" i="8"/>
  <c r="H34" i="8"/>
  <c r="G34" i="8"/>
  <c r="F34" i="8"/>
  <c r="E34" i="8"/>
  <c r="D34" i="8"/>
  <c r="C34" i="8"/>
  <c r="AM16" i="6"/>
  <c r="AL16" i="6"/>
  <c r="AK16" i="6"/>
  <c r="AJ16" i="6"/>
  <c r="AI16" i="6"/>
  <c r="AH16" i="6"/>
  <c r="AG16" i="6"/>
  <c r="AF16" i="6"/>
  <c r="AE16" i="6"/>
  <c r="AD16" i="6"/>
  <c r="AC16" i="6"/>
  <c r="AB16" i="6"/>
  <c r="Z16" i="6"/>
  <c r="X16" i="6"/>
  <c r="W16" i="6"/>
  <c r="V16" i="6"/>
  <c r="U16" i="6"/>
  <c r="T16" i="6"/>
  <c r="S16" i="6"/>
  <c r="R16" i="6"/>
  <c r="Q16" i="6"/>
  <c r="P16" i="6"/>
  <c r="O16" i="6"/>
  <c r="N16" i="6"/>
  <c r="M16" i="6"/>
  <c r="L16" i="6"/>
  <c r="K16" i="6"/>
  <c r="J16" i="6"/>
  <c r="I16" i="6"/>
  <c r="H16" i="6"/>
  <c r="G16" i="6"/>
  <c r="F16" i="6"/>
  <c r="E16" i="6"/>
  <c r="D16" i="6"/>
  <c r="C16" i="6"/>
  <c r="AM15" i="6"/>
  <c r="AL15" i="6"/>
  <c r="AK15" i="6"/>
  <c r="AJ15" i="6"/>
  <c r="AI15" i="6"/>
  <c r="AH15" i="6"/>
  <c r="AG15" i="6"/>
  <c r="AF15" i="6"/>
  <c r="AE15" i="6"/>
  <c r="AD15" i="6"/>
  <c r="AC15" i="6"/>
  <c r="AB15" i="6"/>
  <c r="Z15" i="6"/>
  <c r="X15" i="6"/>
  <c r="W15" i="6"/>
  <c r="U15" i="6"/>
  <c r="V15" i="6" s="1"/>
  <c r="T15" i="6"/>
  <c r="S15" i="6"/>
  <c r="R15" i="6"/>
  <c r="Q15" i="6"/>
  <c r="P15" i="6"/>
  <c r="O15" i="6"/>
  <c r="N15" i="6"/>
  <c r="M15" i="6"/>
  <c r="L15" i="6"/>
  <c r="K15" i="6"/>
  <c r="J15" i="6"/>
  <c r="I15" i="6"/>
  <c r="H15" i="6"/>
  <c r="G15" i="6"/>
  <c r="F15" i="6"/>
  <c r="E15" i="6"/>
  <c r="D15" i="6"/>
  <c r="C15" i="6"/>
  <c r="AM14" i="6"/>
  <c r="AL14" i="6"/>
  <c r="AK14" i="6"/>
  <c r="AJ14" i="6"/>
  <c r="AI14" i="6"/>
  <c r="AH14" i="6"/>
  <c r="AG14" i="6"/>
  <c r="AF14" i="6"/>
  <c r="AE14" i="6"/>
  <c r="AD14" i="6"/>
  <c r="AC14" i="6"/>
  <c r="AB14" i="6"/>
  <c r="Z14" i="6"/>
  <c r="X14" i="6"/>
  <c r="W14" i="6"/>
  <c r="U14" i="6"/>
  <c r="V14" i="6" s="1"/>
  <c r="T14" i="6"/>
  <c r="S14" i="6"/>
  <c r="R14" i="6"/>
  <c r="Q14" i="6"/>
  <c r="P14" i="6"/>
  <c r="O14" i="6"/>
  <c r="N14" i="6"/>
  <c r="M14" i="6"/>
  <c r="L14" i="6"/>
  <c r="K14" i="6"/>
  <c r="J14" i="6"/>
  <c r="I14" i="6"/>
  <c r="H14" i="6"/>
  <c r="G14" i="6"/>
  <c r="F14" i="6"/>
  <c r="E14" i="6"/>
  <c r="D14" i="6"/>
  <c r="C14" i="6"/>
  <c r="AM13" i="6"/>
  <c r="AL13" i="6"/>
  <c r="AK13" i="6"/>
  <c r="AJ13" i="6"/>
  <c r="AI13" i="6"/>
  <c r="AH13" i="6"/>
  <c r="AG13" i="6"/>
  <c r="AF13" i="6"/>
  <c r="AE13" i="6"/>
  <c r="AD13" i="6"/>
  <c r="AC13" i="6"/>
  <c r="AB13" i="6"/>
  <c r="Z13" i="6"/>
  <c r="X13" i="6"/>
  <c r="W13" i="6"/>
  <c r="U13" i="6"/>
  <c r="V13" i="6" s="1"/>
  <c r="T13" i="6"/>
  <c r="S13" i="6"/>
  <c r="R13" i="6"/>
  <c r="Q13" i="6"/>
  <c r="P13" i="6"/>
  <c r="O13" i="6"/>
  <c r="N13" i="6"/>
  <c r="M13" i="6"/>
  <c r="L13" i="6"/>
  <c r="K13" i="6"/>
  <c r="J13" i="6"/>
  <c r="I13" i="6"/>
  <c r="H13" i="6"/>
  <c r="G13" i="6"/>
  <c r="F13" i="6"/>
  <c r="E13" i="6"/>
  <c r="D13" i="6"/>
  <c r="C13" i="6"/>
  <c r="AM12" i="6"/>
  <c r="AL12" i="6"/>
  <c r="AK12" i="6"/>
  <c r="AJ12" i="6"/>
  <c r="AI12" i="6"/>
  <c r="AH12" i="6"/>
  <c r="AG12" i="6"/>
  <c r="AF12" i="6"/>
  <c r="AE12" i="6"/>
  <c r="AD12" i="6"/>
  <c r="AC12" i="6"/>
  <c r="AB12" i="6"/>
  <c r="Z12" i="6"/>
  <c r="X12" i="6"/>
  <c r="W12" i="6"/>
  <c r="V12" i="6"/>
  <c r="U12" i="6"/>
  <c r="T12" i="6"/>
  <c r="S12" i="6"/>
  <c r="R12" i="6"/>
  <c r="Q12" i="6"/>
  <c r="P12" i="6"/>
  <c r="O12" i="6"/>
  <c r="N12" i="6"/>
  <c r="M12" i="6"/>
  <c r="L12" i="6"/>
  <c r="K12" i="6"/>
  <c r="J12" i="6"/>
  <c r="I12" i="6"/>
  <c r="H12" i="6"/>
  <c r="G12" i="6"/>
  <c r="F12" i="6"/>
  <c r="E12" i="6"/>
  <c r="D12" i="6"/>
  <c r="C12" i="6"/>
  <c r="AM11" i="6"/>
  <c r="AL11" i="6"/>
  <c r="AK11" i="6"/>
  <c r="AJ11" i="6"/>
  <c r="AI11" i="6"/>
  <c r="AH11" i="6"/>
  <c r="AG11" i="6"/>
  <c r="AF11" i="6"/>
  <c r="AE11" i="6"/>
  <c r="AD11" i="6"/>
  <c r="AC11" i="6"/>
  <c r="AB11" i="6"/>
  <c r="Z11" i="6"/>
  <c r="X11" i="6"/>
  <c r="W11" i="6"/>
  <c r="U11" i="6"/>
  <c r="V11" i="6" s="1"/>
  <c r="T11" i="6"/>
  <c r="S11" i="6"/>
  <c r="R11" i="6"/>
  <c r="Q11" i="6"/>
  <c r="P11" i="6"/>
  <c r="O11" i="6"/>
  <c r="N11" i="6"/>
  <c r="M11" i="6"/>
  <c r="L11" i="6"/>
  <c r="K11" i="6"/>
  <c r="J11" i="6"/>
  <c r="I11" i="6"/>
  <c r="H11" i="6"/>
  <c r="G11" i="6"/>
  <c r="F11" i="6"/>
  <c r="E11" i="6"/>
  <c r="D11" i="6"/>
  <c r="C11" i="6"/>
  <c r="AM10" i="6"/>
  <c r="AL10" i="6"/>
  <c r="AK10" i="6"/>
  <c r="AJ10" i="6"/>
  <c r="AI10" i="6"/>
  <c r="AH10" i="6"/>
  <c r="AG10" i="6"/>
  <c r="AF10" i="6"/>
  <c r="AE10" i="6"/>
  <c r="AD10" i="6"/>
  <c r="AC10" i="6"/>
  <c r="AB10" i="6"/>
  <c r="Z10" i="6"/>
  <c r="X10" i="6"/>
  <c r="W10" i="6"/>
  <c r="U10" i="6"/>
  <c r="V10" i="6" s="1"/>
  <c r="S10" i="6"/>
  <c r="R10" i="6"/>
  <c r="Q10" i="6"/>
  <c r="P10" i="6"/>
  <c r="O10" i="6"/>
  <c r="N10" i="6"/>
  <c r="M10" i="6"/>
  <c r="L10" i="6"/>
  <c r="K10" i="6"/>
  <c r="J10" i="6"/>
  <c r="I10" i="6"/>
  <c r="H10" i="6"/>
  <c r="G10" i="6"/>
  <c r="F10" i="6"/>
  <c r="E10" i="6"/>
  <c r="D10" i="6"/>
  <c r="C10" i="6"/>
  <c r="AM9" i="6"/>
  <c r="AL9" i="6"/>
  <c r="AK9" i="6"/>
  <c r="AJ9" i="6"/>
  <c r="AI9" i="6"/>
  <c r="AH9" i="6"/>
  <c r="AG9" i="6"/>
  <c r="AF9" i="6"/>
  <c r="AE9" i="6"/>
  <c r="AD9" i="6"/>
  <c r="AC9" i="6"/>
  <c r="AB9" i="6"/>
  <c r="Z9" i="6"/>
  <c r="X9" i="6"/>
  <c r="W9" i="6"/>
  <c r="U9" i="6"/>
  <c r="V9" i="6" s="1"/>
  <c r="S9" i="6"/>
  <c r="R9" i="6"/>
  <c r="Q9" i="6"/>
  <c r="P9" i="6"/>
  <c r="O9" i="6"/>
  <c r="N9" i="6"/>
  <c r="M9" i="6"/>
  <c r="L9" i="6"/>
  <c r="K9" i="6"/>
  <c r="J9" i="6"/>
  <c r="I9" i="6"/>
  <c r="H9" i="6"/>
  <c r="G9" i="6"/>
  <c r="F9" i="6"/>
  <c r="E9" i="6"/>
  <c r="D9" i="6"/>
  <c r="C9" i="6"/>
  <c r="AM8" i="6"/>
  <c r="AL8" i="6"/>
  <c r="AK8" i="6"/>
  <c r="AJ8" i="6"/>
  <c r="AI8" i="6"/>
  <c r="AH8" i="6"/>
  <c r="AG8" i="6"/>
  <c r="AF8" i="6"/>
  <c r="AE8" i="6"/>
  <c r="AD8" i="6"/>
  <c r="AC8" i="6"/>
  <c r="AB8" i="6"/>
  <c r="Z8" i="6"/>
  <c r="X8" i="6"/>
  <c r="W8" i="6"/>
  <c r="V8" i="6"/>
  <c r="U8" i="6"/>
  <c r="T8" i="6"/>
  <c r="S8" i="6"/>
  <c r="R8" i="6"/>
  <c r="Q8" i="6"/>
  <c r="P8" i="6"/>
  <c r="O8" i="6"/>
  <c r="N8" i="6"/>
  <c r="M8" i="6"/>
  <c r="L8" i="6"/>
  <c r="K8" i="6"/>
  <c r="J8" i="6"/>
  <c r="I8" i="6"/>
  <c r="H8" i="6"/>
  <c r="G8" i="6"/>
  <c r="F8" i="6"/>
  <c r="E8" i="6"/>
  <c r="D8" i="6"/>
  <c r="C8" i="6"/>
  <c r="AM7" i="6"/>
  <c r="AL7" i="6"/>
  <c r="AK7" i="6"/>
  <c r="AJ7" i="6"/>
  <c r="AI7" i="6"/>
  <c r="AH7" i="6"/>
  <c r="AG7" i="6"/>
  <c r="AF7" i="6"/>
  <c r="AE7" i="6"/>
  <c r="AD7" i="6"/>
  <c r="AC7" i="6"/>
  <c r="AB7" i="6"/>
  <c r="Z7" i="6"/>
  <c r="X7" i="6"/>
  <c r="W7" i="6"/>
  <c r="U7" i="6"/>
  <c r="V7" i="6" s="1"/>
  <c r="T7" i="6"/>
  <c r="S7" i="6"/>
  <c r="R7" i="6"/>
  <c r="Q7" i="6"/>
  <c r="P7" i="6"/>
  <c r="O7" i="6"/>
  <c r="N7" i="6"/>
  <c r="M7" i="6"/>
  <c r="L7" i="6"/>
  <c r="K7" i="6"/>
  <c r="J7" i="6"/>
  <c r="I7" i="6"/>
  <c r="H7" i="6"/>
  <c r="G7" i="6"/>
  <c r="F7" i="6"/>
  <c r="E7" i="6"/>
  <c r="D7" i="6"/>
  <c r="C7" i="6"/>
  <c r="AM6" i="6"/>
  <c r="AL6" i="6"/>
  <c r="AK6" i="6"/>
  <c r="AJ6" i="6"/>
  <c r="AI6" i="6"/>
  <c r="AH6" i="6"/>
  <c r="AG6" i="6"/>
  <c r="AF6" i="6"/>
  <c r="AE6" i="6"/>
  <c r="AD6" i="6"/>
  <c r="AC6" i="6"/>
  <c r="AB6" i="6"/>
  <c r="Z6" i="6"/>
  <c r="X6" i="6"/>
  <c r="W6" i="6"/>
  <c r="U6" i="6"/>
  <c r="V6" i="6" s="1"/>
  <c r="T6" i="6"/>
  <c r="S6" i="6"/>
  <c r="R6" i="6"/>
  <c r="Q6" i="6"/>
  <c r="P6" i="6"/>
  <c r="O6" i="6"/>
  <c r="N6" i="6"/>
  <c r="M6" i="6"/>
  <c r="L6" i="6"/>
  <c r="K6" i="6"/>
  <c r="J6" i="6"/>
  <c r="I6" i="6"/>
  <c r="H6" i="6"/>
  <c r="G6" i="6"/>
  <c r="F6" i="6"/>
  <c r="E6" i="6"/>
  <c r="D6" i="6"/>
  <c r="C6" i="6"/>
  <c r="AM5" i="6"/>
  <c r="AL5" i="6"/>
  <c r="AK5" i="6"/>
  <c r="AJ5" i="6"/>
  <c r="AI5" i="6"/>
  <c r="AH5" i="6"/>
  <c r="AG5" i="6"/>
  <c r="AF5" i="6"/>
  <c r="AE5" i="6"/>
  <c r="AD5" i="6"/>
  <c r="AC5" i="6"/>
  <c r="AB5" i="6"/>
  <c r="Z5" i="6"/>
  <c r="X5" i="6"/>
  <c r="W5" i="6"/>
  <c r="U5" i="6"/>
  <c r="V5" i="6" s="1"/>
  <c r="T5" i="6"/>
  <c r="S5" i="6"/>
  <c r="R5" i="6"/>
  <c r="Q5" i="6"/>
  <c r="P5" i="6"/>
  <c r="O5" i="6"/>
  <c r="N5" i="6"/>
  <c r="M5" i="6"/>
  <c r="L5" i="6"/>
  <c r="K5" i="6"/>
  <c r="J5" i="6"/>
  <c r="I5" i="6"/>
  <c r="H5" i="6"/>
  <c r="G5" i="6"/>
  <c r="F5" i="6"/>
  <c r="E5" i="6"/>
  <c r="D5" i="6"/>
  <c r="C5" i="6"/>
  <c r="AM4" i="6"/>
  <c r="AL4" i="6"/>
  <c r="AK4" i="6"/>
  <c r="AJ4" i="6"/>
  <c r="AI4" i="6"/>
  <c r="AH4" i="6"/>
  <c r="AG4" i="6"/>
  <c r="AF4" i="6"/>
  <c r="AE4" i="6"/>
  <c r="AD4" i="6"/>
  <c r="AC4" i="6"/>
  <c r="AB4" i="6"/>
  <c r="Z4" i="6"/>
  <c r="X4" i="6"/>
  <c r="W4" i="6"/>
  <c r="V4" i="6"/>
  <c r="U4" i="6"/>
  <c r="T4" i="6"/>
  <c r="S4" i="6"/>
  <c r="R4" i="6"/>
  <c r="Q4" i="6"/>
  <c r="P4" i="6"/>
  <c r="O4" i="6"/>
  <c r="N4" i="6"/>
  <c r="M4" i="6"/>
  <c r="L4" i="6"/>
  <c r="K4" i="6"/>
  <c r="J4" i="6"/>
  <c r="I4" i="6"/>
  <c r="H4" i="6"/>
  <c r="G4" i="6"/>
  <c r="F4" i="6"/>
  <c r="E4" i="6"/>
  <c r="D4" i="6"/>
  <c r="C4" i="6"/>
  <c r="AM3" i="6"/>
  <c r="AL3" i="6"/>
  <c r="AK3" i="6"/>
  <c r="AJ3" i="6"/>
  <c r="AI3" i="6"/>
  <c r="AH3" i="6"/>
  <c r="AG3" i="6"/>
  <c r="AF3" i="6"/>
  <c r="AE3" i="6"/>
  <c r="AD3" i="6"/>
  <c r="AC3" i="6"/>
  <c r="AB3" i="6"/>
  <c r="Z3" i="6"/>
  <c r="X3" i="6"/>
  <c r="W3" i="6"/>
  <c r="U3" i="6"/>
  <c r="S3" i="6"/>
  <c r="V3" i="6"/>
  <c r="T3" i="6"/>
  <c r="R3" i="6"/>
  <c r="Q3" i="6"/>
  <c r="P3" i="6"/>
  <c r="O3" i="6"/>
  <c r="N3" i="6"/>
  <c r="M3" i="6"/>
  <c r="L3" i="6"/>
  <c r="K3" i="6"/>
  <c r="J3" i="6"/>
  <c r="I3" i="6"/>
  <c r="H3" i="6"/>
  <c r="G3" i="6"/>
  <c r="F3" i="6"/>
  <c r="E3" i="6"/>
  <c r="D3" i="6"/>
  <c r="C3" i="6"/>
  <c r="B16" i="6"/>
  <c r="B15" i="6"/>
  <c r="B14" i="6"/>
  <c r="B13" i="6"/>
  <c r="B12" i="6"/>
  <c r="B11" i="6"/>
  <c r="B10" i="6"/>
  <c r="B9" i="6"/>
  <c r="B8" i="6"/>
  <c r="B7" i="6"/>
  <c r="B6" i="6"/>
  <c r="B5" i="6"/>
  <c r="B4" i="6"/>
  <c r="B3" i="6"/>
  <c r="KC4" i="1"/>
  <c r="D3" i="8" l="1"/>
  <c r="F3" i="8"/>
  <c r="J3" i="8"/>
  <c r="L3" i="8"/>
  <c r="N3" i="8"/>
  <c r="P3" i="8"/>
  <c r="T3" i="8"/>
  <c r="V3" i="8"/>
  <c r="X3" i="8"/>
  <c r="AB3" i="8"/>
  <c r="AG3" i="8"/>
  <c r="C4" i="8"/>
  <c r="M4" i="8"/>
  <c r="K5" i="8"/>
  <c r="S11" i="8"/>
  <c r="U11" i="8"/>
  <c r="Y11" i="8"/>
  <c r="AA11" i="8"/>
  <c r="AD11" i="8"/>
  <c r="AF11" i="8"/>
  <c r="AH11" i="8"/>
  <c r="AK11" i="8"/>
  <c r="D12" i="8"/>
  <c r="G12" i="8"/>
  <c r="I12" i="8"/>
  <c r="K12" i="8"/>
  <c r="M12" i="8"/>
  <c r="Q12" i="8"/>
  <c r="S12" i="8"/>
  <c r="V12" i="8"/>
  <c r="Y12" i="8"/>
  <c r="AB12" i="8"/>
  <c r="AH12" i="8"/>
  <c r="AK12" i="8"/>
  <c r="C13" i="8"/>
  <c r="F13" i="8"/>
  <c r="H13" i="8"/>
  <c r="J13" i="8"/>
  <c r="L13" i="8"/>
  <c r="R13" i="8"/>
  <c r="T13" i="8"/>
  <c r="X13" i="8"/>
  <c r="AH13" i="8"/>
  <c r="AJ13" i="8"/>
  <c r="E14" i="8"/>
  <c r="I14" i="8"/>
  <c r="K14" i="8"/>
  <c r="O14" i="8"/>
  <c r="Q14" i="8"/>
  <c r="S14" i="8"/>
  <c r="W14" i="8"/>
  <c r="Y14" i="8"/>
  <c r="AB14" i="8"/>
  <c r="AG14" i="8"/>
  <c r="AJ14" i="8"/>
  <c r="AL14" i="8"/>
  <c r="F15" i="8"/>
  <c r="H15" i="8"/>
  <c r="J15" i="8"/>
  <c r="L15" i="8"/>
  <c r="R15" i="8"/>
  <c r="T15" i="8"/>
  <c r="X15" i="8"/>
  <c r="Z15" i="8"/>
  <c r="AC15" i="8"/>
  <c r="AL15" i="8"/>
  <c r="G17" i="8"/>
  <c r="K17" i="8"/>
  <c r="M17" i="8"/>
  <c r="Q17" i="8"/>
  <c r="S17" i="8"/>
  <c r="X17" i="8"/>
  <c r="Z17" i="8"/>
  <c r="AB17" i="8"/>
  <c r="AF17" i="8"/>
  <c r="AH17" i="8"/>
  <c r="AJ17" i="8"/>
  <c r="D18" i="8"/>
  <c r="F18" i="8"/>
  <c r="H18" i="8"/>
  <c r="J18" i="8"/>
  <c r="N18" i="8"/>
  <c r="P18" i="8"/>
  <c r="R18" i="8"/>
  <c r="T18" i="8"/>
  <c r="V18" i="8"/>
  <c r="X18" i="8"/>
  <c r="Z18" i="8"/>
  <c r="AB18" i="8"/>
  <c r="AD18" i="8"/>
  <c r="AF18" i="8"/>
  <c r="AH18" i="8"/>
  <c r="AJ18" i="8"/>
  <c r="AL18" i="8"/>
  <c r="F19" i="8"/>
  <c r="H19" i="8"/>
  <c r="L19" i="8"/>
  <c r="N19" i="8"/>
  <c r="R19" i="8"/>
  <c r="V19" i="8"/>
  <c r="X19" i="8"/>
  <c r="Z19" i="8"/>
  <c r="AB19" i="8"/>
  <c r="AF19" i="8"/>
  <c r="AH19" i="8"/>
  <c r="AJ19" i="8"/>
  <c r="AL19" i="8"/>
  <c r="F20" i="8"/>
  <c r="H20" i="8"/>
  <c r="J20" i="8"/>
  <c r="L20" i="8"/>
  <c r="P20" i="8"/>
  <c r="R20" i="8"/>
  <c r="T20" i="8"/>
  <c r="Y20" i="8"/>
  <c r="AA20" i="8"/>
  <c r="AC20" i="8"/>
  <c r="AG20" i="8"/>
  <c r="AI20" i="8"/>
  <c r="C21" i="8"/>
  <c r="H21" i="8"/>
  <c r="L21" i="8"/>
  <c r="P21" i="8"/>
  <c r="T21" i="8"/>
  <c r="V21" i="8"/>
  <c r="Z21" i="8"/>
  <c r="AB21" i="8"/>
  <c r="AF21" i="8"/>
  <c r="AJ21" i="8"/>
  <c r="AJ23" i="8"/>
  <c r="E3" i="8"/>
  <c r="G3" i="8"/>
  <c r="I3" i="8"/>
  <c r="K3" i="8"/>
  <c r="M3" i="8"/>
  <c r="O3" i="8"/>
  <c r="Q3" i="8"/>
  <c r="S3" i="8"/>
  <c r="U3" i="8"/>
  <c r="W3" i="8"/>
  <c r="Y3" i="8"/>
  <c r="AA3" i="8"/>
  <c r="AD3" i="8"/>
  <c r="AF3" i="8"/>
  <c r="AH3" i="8"/>
  <c r="AJ3" i="8"/>
  <c r="AL3" i="8"/>
  <c r="D4" i="8"/>
  <c r="F4" i="8"/>
  <c r="H4" i="8"/>
  <c r="L4" i="8"/>
  <c r="O4" i="8"/>
  <c r="R4" i="8"/>
  <c r="T4" i="8"/>
  <c r="V4" i="8"/>
  <c r="X4" i="8"/>
  <c r="AE4" i="8"/>
  <c r="AI4" i="8"/>
  <c r="AK4" i="8"/>
  <c r="C5" i="8"/>
  <c r="F5" i="8"/>
  <c r="H5" i="8"/>
  <c r="J5" i="8"/>
  <c r="L5" i="8"/>
  <c r="N5" i="8"/>
  <c r="P5" i="8"/>
  <c r="S5" i="8"/>
  <c r="U5" i="8"/>
  <c r="W5" i="8"/>
  <c r="Y5" i="8"/>
  <c r="AC5" i="8"/>
  <c r="AE5" i="8"/>
  <c r="AG5" i="8"/>
  <c r="AI5" i="8"/>
  <c r="AK5" i="8"/>
  <c r="C6" i="8"/>
  <c r="E6" i="8"/>
  <c r="G6" i="8"/>
  <c r="J6" i="8"/>
  <c r="M6" i="8"/>
  <c r="P6" i="8"/>
  <c r="S6" i="8"/>
  <c r="U6" i="8"/>
  <c r="W6" i="8"/>
  <c r="Z6" i="8"/>
  <c r="AD6" i="8"/>
  <c r="AF6" i="8"/>
  <c r="AJ6" i="8"/>
  <c r="AL6" i="8"/>
  <c r="E8" i="8"/>
  <c r="G8" i="8"/>
  <c r="J8" i="8"/>
  <c r="M8" i="8"/>
  <c r="Q8" i="8"/>
  <c r="S8" i="8"/>
  <c r="W8" i="8"/>
  <c r="AI8" i="8"/>
  <c r="AL8" i="8"/>
  <c r="E9" i="8"/>
  <c r="G9" i="8"/>
  <c r="J9" i="8"/>
  <c r="M9" i="8"/>
  <c r="Q9" i="8"/>
  <c r="S9" i="8"/>
  <c r="W9" i="8"/>
  <c r="AI9" i="8"/>
  <c r="AL9" i="8"/>
  <c r="D11" i="8"/>
  <c r="F11" i="8"/>
  <c r="H11" i="8"/>
  <c r="J11" i="8"/>
  <c r="L11" i="8"/>
  <c r="N11" i="8"/>
  <c r="R11" i="8"/>
  <c r="T11" i="8"/>
  <c r="X11" i="8"/>
  <c r="Z11" i="8"/>
  <c r="AC11" i="8"/>
  <c r="AE11" i="8"/>
  <c r="AG11" i="8"/>
  <c r="AJ11" i="8"/>
  <c r="AL11" i="8"/>
  <c r="F12" i="8"/>
  <c r="H12" i="8"/>
  <c r="J12" i="8"/>
  <c r="L12" i="8"/>
  <c r="N12" i="8"/>
  <c r="R12" i="8"/>
  <c r="T12" i="8"/>
  <c r="X12" i="8"/>
  <c r="Z12" i="8"/>
  <c r="AG12" i="8"/>
  <c r="AJ12" i="8"/>
  <c r="AL12" i="8"/>
  <c r="D13" i="8"/>
  <c r="G13" i="8"/>
  <c r="I13" i="8"/>
  <c r="K13" i="8"/>
  <c r="M13" i="8"/>
  <c r="O13" i="8"/>
  <c r="S13" i="8"/>
  <c r="V13" i="8"/>
  <c r="Y13" i="8"/>
  <c r="AD13" i="8"/>
  <c r="AI13" i="8"/>
  <c r="AK13" i="8"/>
  <c r="D14" i="8"/>
  <c r="F14" i="8"/>
  <c r="H14" i="8"/>
  <c r="J14" i="8"/>
  <c r="L14" i="8"/>
  <c r="N14" i="8"/>
  <c r="P14" i="8"/>
  <c r="R14" i="8"/>
  <c r="T14" i="8"/>
  <c r="V14" i="8"/>
  <c r="X14" i="8"/>
  <c r="Z14" i="8"/>
  <c r="AC14" i="8"/>
  <c r="AE14" i="8"/>
  <c r="AH14" i="8"/>
  <c r="AK14" i="8"/>
  <c r="C15" i="8"/>
  <c r="E15" i="8"/>
  <c r="G15" i="8"/>
  <c r="I15" i="8"/>
  <c r="K15" i="8"/>
  <c r="M15" i="8"/>
  <c r="Q15" i="8"/>
  <c r="S15" i="8"/>
  <c r="U15" i="8"/>
  <c r="Y15" i="8"/>
  <c r="AB15" i="8"/>
  <c r="AH15" i="8"/>
  <c r="AK15" i="8"/>
  <c r="C17" i="8"/>
  <c r="F17" i="8"/>
  <c r="H17" i="8"/>
  <c r="J17" i="8"/>
  <c r="L17" i="8"/>
  <c r="N17" i="8"/>
  <c r="P17" i="8"/>
  <c r="R17" i="8"/>
  <c r="T17" i="8"/>
  <c r="W17" i="8"/>
  <c r="Y17" i="8"/>
  <c r="AA17" i="8"/>
  <c r="AC17" i="8"/>
  <c r="AE17" i="8"/>
  <c r="AG17" i="8"/>
  <c r="AI17" i="8"/>
  <c r="AK17" i="8"/>
  <c r="C18" i="8"/>
  <c r="E18" i="8"/>
  <c r="G18" i="8"/>
  <c r="I18" i="8"/>
  <c r="K18" i="8"/>
  <c r="M18" i="8"/>
  <c r="O18" i="8"/>
  <c r="Q18" i="8"/>
  <c r="S18" i="8"/>
  <c r="U18" i="8"/>
  <c r="W18" i="8"/>
  <c r="Y18" i="8"/>
  <c r="AA18" i="8"/>
  <c r="AC18" i="8"/>
  <c r="AE18" i="8"/>
  <c r="AG18" i="8"/>
  <c r="AI18" i="8"/>
  <c r="AK18" i="8"/>
  <c r="C19" i="8"/>
  <c r="E19" i="8"/>
  <c r="G19" i="8"/>
  <c r="I19" i="8"/>
  <c r="K19" i="8"/>
  <c r="M19" i="8"/>
  <c r="O19" i="8"/>
  <c r="Q19" i="8"/>
  <c r="S19" i="8"/>
  <c r="U19" i="8"/>
  <c r="W19" i="8"/>
  <c r="Y19" i="8"/>
  <c r="AA19" i="8"/>
  <c r="AC19" i="8"/>
  <c r="AE19" i="8"/>
  <c r="AG19" i="8"/>
  <c r="AI19" i="8"/>
  <c r="AK19" i="8"/>
  <c r="C20" i="8"/>
  <c r="E20" i="8"/>
  <c r="G20" i="8"/>
  <c r="I20" i="8"/>
  <c r="K20" i="8"/>
  <c r="M20" i="8"/>
  <c r="O20" i="8"/>
  <c r="Q20" i="8"/>
  <c r="S20" i="8"/>
  <c r="U20" i="8"/>
  <c r="X20" i="8"/>
  <c r="Z20" i="8"/>
  <c r="AB20" i="8"/>
  <c r="AD20" i="8"/>
  <c r="AF20" i="8"/>
  <c r="AH20" i="8"/>
  <c r="AJ20" i="8"/>
  <c r="AL20" i="8"/>
  <c r="D21" i="8"/>
  <c r="G21" i="8"/>
  <c r="I21" i="8"/>
  <c r="K21" i="8"/>
  <c r="M21" i="8"/>
  <c r="O21" i="8"/>
  <c r="Q21" i="8"/>
  <c r="S21" i="8"/>
  <c r="U21" i="8"/>
  <c r="W21" i="8"/>
  <c r="Y21" i="8"/>
  <c r="AA21" i="8"/>
  <c r="AC21" i="8"/>
  <c r="AE21" i="8"/>
  <c r="AG21" i="8"/>
  <c r="AI21" i="8"/>
  <c r="AK21" i="8"/>
  <c r="C23" i="8"/>
  <c r="E23" i="8"/>
  <c r="G23" i="8"/>
  <c r="I23" i="8"/>
  <c r="K23" i="8"/>
  <c r="M23" i="8"/>
  <c r="O23" i="8"/>
  <c r="Q23" i="8"/>
  <c r="S23" i="8"/>
  <c r="U23" i="8"/>
  <c r="W23" i="8"/>
  <c r="Y23" i="8"/>
  <c r="AA23" i="8"/>
  <c r="AC23" i="8"/>
  <c r="AE23" i="8"/>
  <c r="AG23" i="8"/>
  <c r="AI23" i="8"/>
  <c r="AK23" i="8"/>
  <c r="C24" i="8"/>
  <c r="E24" i="8"/>
  <c r="G24" i="8"/>
  <c r="I24" i="8"/>
  <c r="K24" i="8"/>
  <c r="M24" i="8"/>
  <c r="O24" i="8"/>
  <c r="Q24" i="8"/>
  <c r="S24" i="8"/>
  <c r="U24" i="8"/>
  <c r="W24" i="8"/>
  <c r="Y24" i="8"/>
  <c r="AA24" i="8"/>
  <c r="AC24" i="8"/>
  <c r="AE24" i="8"/>
  <c r="AG24" i="8"/>
  <c r="AI24" i="8"/>
  <c r="AK24" i="8"/>
  <c r="C25" i="8"/>
  <c r="E25" i="8"/>
  <c r="G25" i="8"/>
  <c r="I25" i="8"/>
  <c r="K25" i="8"/>
  <c r="M25" i="8"/>
  <c r="O25" i="8"/>
  <c r="Q25" i="8"/>
  <c r="S25" i="8"/>
  <c r="U25" i="8"/>
  <c r="W25" i="8"/>
  <c r="Y25" i="8"/>
  <c r="AA25" i="8"/>
  <c r="AC25" i="8"/>
  <c r="AE25" i="8"/>
  <c r="AG25" i="8"/>
  <c r="AI25" i="8"/>
  <c r="AK25" i="8"/>
  <c r="C26" i="8"/>
  <c r="E26" i="8"/>
  <c r="G26" i="8"/>
  <c r="I26" i="8"/>
  <c r="K26" i="8"/>
  <c r="M26" i="8"/>
  <c r="O26" i="8"/>
  <c r="Q26" i="8"/>
  <c r="S26" i="8"/>
  <c r="U26" i="8"/>
  <c r="W26" i="8"/>
  <c r="Y26" i="8"/>
  <c r="AA26" i="8"/>
  <c r="AC26" i="8"/>
  <c r="AE26" i="8"/>
  <c r="AG26" i="8"/>
  <c r="AI26" i="8"/>
  <c r="AK26" i="8"/>
  <c r="C28" i="8"/>
  <c r="E28" i="8"/>
  <c r="G28" i="8"/>
  <c r="I28" i="8"/>
  <c r="K28" i="8"/>
  <c r="M28" i="8"/>
  <c r="O28" i="8"/>
  <c r="Q28" i="8"/>
  <c r="S28" i="8"/>
  <c r="U28" i="8"/>
  <c r="X28" i="8"/>
  <c r="Z28" i="8"/>
  <c r="AC28" i="8"/>
  <c r="AE28" i="8"/>
  <c r="AG28" i="8"/>
  <c r="AJ28" i="8"/>
  <c r="AL28" i="8"/>
  <c r="D29" i="8"/>
  <c r="F29" i="8"/>
  <c r="H29" i="8"/>
  <c r="J29" i="8"/>
  <c r="L29" i="8"/>
  <c r="N29" i="8"/>
  <c r="P29" i="8"/>
  <c r="R29" i="8"/>
  <c r="T29" i="8"/>
  <c r="V29" i="8"/>
  <c r="X29" i="8"/>
  <c r="Z29" i="8"/>
  <c r="AB29" i="8"/>
  <c r="AD29" i="8"/>
  <c r="AF29" i="8"/>
  <c r="AH29" i="8"/>
  <c r="AJ29" i="8"/>
  <c r="AL29" i="8"/>
  <c r="D30" i="8"/>
  <c r="F30" i="8"/>
  <c r="H30" i="8"/>
  <c r="J30" i="8"/>
  <c r="L30" i="8"/>
  <c r="N30" i="8"/>
  <c r="P30" i="8"/>
  <c r="R30" i="8"/>
  <c r="T30" i="8"/>
  <c r="V30" i="8"/>
  <c r="X30" i="8"/>
  <c r="Z30" i="8"/>
  <c r="AB30" i="8"/>
  <c r="AD30" i="8"/>
  <c r="AF30" i="8"/>
  <c r="AH30" i="8"/>
  <c r="AJ30" i="8"/>
  <c r="AL30" i="8"/>
  <c r="D31" i="8"/>
  <c r="F31" i="8"/>
  <c r="H31" i="8"/>
  <c r="J31" i="8"/>
  <c r="L31" i="8"/>
  <c r="N31" i="8"/>
  <c r="P31" i="8"/>
  <c r="R31" i="8"/>
  <c r="T31" i="8"/>
  <c r="V31" i="8"/>
  <c r="Y31" i="8"/>
  <c r="AB31" i="8"/>
  <c r="AD31" i="8"/>
  <c r="AF31" i="8"/>
  <c r="AH31" i="8"/>
  <c r="AK31" i="8"/>
  <c r="C32" i="8"/>
  <c r="E32" i="8"/>
  <c r="G32" i="8"/>
  <c r="I32" i="8"/>
  <c r="K32" i="8"/>
  <c r="M32" i="8"/>
  <c r="O32" i="8"/>
  <c r="Q32" i="8"/>
  <c r="S32" i="8"/>
  <c r="U32" i="8"/>
  <c r="W32" i="8"/>
  <c r="Y32" i="8"/>
  <c r="AA32" i="8"/>
  <c r="AC32" i="8"/>
  <c r="AE32" i="8"/>
  <c r="AG32" i="8"/>
  <c r="AI32" i="8"/>
  <c r="AK32" i="8"/>
  <c r="C37" i="8"/>
  <c r="G37" i="8"/>
  <c r="K37" i="8"/>
  <c r="O37" i="8"/>
  <c r="S37" i="8"/>
  <c r="W37" i="8"/>
  <c r="AA37" i="8"/>
  <c r="AE37" i="8"/>
  <c r="AI37" i="8"/>
  <c r="C39" i="8"/>
  <c r="E39" i="8"/>
  <c r="H39" i="8"/>
  <c r="J39" i="8"/>
  <c r="L39" i="8"/>
  <c r="N39" i="8"/>
  <c r="S39" i="8"/>
  <c r="V39" i="8"/>
  <c r="Z39" i="8"/>
  <c r="AF39" i="8"/>
  <c r="AJ39" i="8"/>
  <c r="AL39" i="8"/>
  <c r="D40" i="8"/>
  <c r="F40" i="8"/>
  <c r="H40" i="8"/>
  <c r="J40" i="8"/>
  <c r="L40" i="8"/>
  <c r="N40" i="8"/>
  <c r="P40" i="8"/>
  <c r="R40" i="8"/>
  <c r="T40" i="8"/>
  <c r="V40" i="8"/>
  <c r="X40" i="8"/>
  <c r="Z40" i="8"/>
  <c r="AB40" i="8"/>
  <c r="AD40" i="8"/>
  <c r="AF40" i="8"/>
  <c r="AH40" i="8"/>
  <c r="AJ40" i="8"/>
  <c r="AL40" i="8"/>
  <c r="D41" i="8"/>
  <c r="F41" i="8"/>
  <c r="H41" i="8"/>
  <c r="K41" i="8"/>
  <c r="M41" i="8"/>
  <c r="P41" i="8"/>
  <c r="R41" i="8"/>
  <c r="U41" i="8"/>
  <c r="W41" i="8"/>
  <c r="AB41" i="8"/>
  <c r="AJ41" i="8"/>
  <c r="AL41" i="8"/>
  <c r="D42" i="8"/>
  <c r="F42" i="8"/>
  <c r="H42" i="8"/>
  <c r="J42" i="8"/>
  <c r="L42" i="8"/>
  <c r="N42" i="8"/>
  <c r="P42" i="8"/>
  <c r="R42" i="8"/>
  <c r="T42" i="8"/>
  <c r="V42" i="8"/>
  <c r="X42" i="8"/>
  <c r="Z42" i="8"/>
  <c r="AB42" i="8"/>
  <c r="AD42" i="8"/>
  <c r="AF42" i="8"/>
  <c r="AH42" i="8"/>
  <c r="AJ42" i="8"/>
  <c r="AL42" i="8"/>
  <c r="D43" i="8"/>
  <c r="F43" i="8"/>
  <c r="H43" i="8"/>
  <c r="J43" i="8"/>
  <c r="L43" i="8"/>
  <c r="N43" i="8"/>
  <c r="P43" i="8"/>
  <c r="R43" i="8"/>
  <c r="T43" i="8"/>
  <c r="V43" i="8"/>
  <c r="X43" i="8"/>
  <c r="Z43" i="8"/>
  <c r="AB43" i="8"/>
  <c r="AD43" i="8"/>
  <c r="AF43" i="8"/>
  <c r="AH43" i="8"/>
  <c r="AJ43" i="8"/>
  <c r="AL43" i="8"/>
  <c r="D44" i="8"/>
  <c r="G44" i="8"/>
  <c r="I44" i="8"/>
  <c r="K44" i="8"/>
  <c r="M44" i="8"/>
  <c r="O44" i="8"/>
  <c r="Q44" i="8"/>
  <c r="S44" i="8"/>
  <c r="U44" i="8"/>
  <c r="W44" i="8"/>
  <c r="Y44" i="8"/>
  <c r="AA44" i="8"/>
  <c r="AC44" i="8"/>
  <c r="AE44" i="8"/>
  <c r="AG44" i="8"/>
  <c r="AJ44" i="8"/>
  <c r="AL44" i="8"/>
  <c r="D45" i="8"/>
  <c r="F45" i="8"/>
  <c r="H45" i="8"/>
  <c r="K45" i="8"/>
  <c r="M45" i="8"/>
  <c r="R45" i="8"/>
  <c r="T45" i="8"/>
  <c r="V45" i="8"/>
  <c r="X45" i="8"/>
  <c r="AE45" i="8"/>
  <c r="AH45" i="8"/>
  <c r="AJ45" i="8"/>
  <c r="AL45" i="8"/>
  <c r="D47" i="8"/>
  <c r="F47" i="8"/>
  <c r="H47" i="8"/>
  <c r="J47" i="8"/>
  <c r="L47" i="8"/>
  <c r="N47" i="8"/>
  <c r="P47" i="8"/>
  <c r="R47" i="8"/>
  <c r="T47" i="8"/>
  <c r="V47" i="8"/>
  <c r="X47" i="8"/>
  <c r="Z47" i="8"/>
  <c r="AB47" i="8"/>
  <c r="AD47" i="8"/>
  <c r="AF47" i="8"/>
  <c r="AH47" i="8"/>
  <c r="AJ47" i="8"/>
  <c r="AL47" i="8"/>
  <c r="D48" i="8"/>
  <c r="F48" i="8"/>
  <c r="H48" i="8"/>
  <c r="J48" i="8"/>
  <c r="L48" i="8"/>
  <c r="N48" i="8"/>
  <c r="P48" i="8"/>
  <c r="R48" i="8"/>
  <c r="T48" i="8"/>
  <c r="V48" i="8"/>
  <c r="X48" i="8"/>
  <c r="Z48" i="8"/>
  <c r="AB48" i="8"/>
  <c r="AD48" i="8"/>
  <c r="AF48" i="8"/>
  <c r="AH48" i="8"/>
  <c r="AJ48" i="8"/>
  <c r="AL48" i="8"/>
  <c r="D49" i="8"/>
  <c r="F49" i="8"/>
  <c r="H49" i="8"/>
  <c r="J49" i="8"/>
  <c r="L49" i="8"/>
  <c r="N49" i="8"/>
  <c r="P49" i="8"/>
  <c r="R49" i="8"/>
  <c r="T49" i="8"/>
  <c r="V49" i="8"/>
  <c r="X49" i="8"/>
  <c r="Z49" i="8"/>
  <c r="AB49" i="8"/>
  <c r="AD49" i="8"/>
  <c r="AF49" i="8"/>
  <c r="AH49" i="8"/>
  <c r="AJ49" i="8"/>
  <c r="AL49" i="8"/>
  <c r="E50" i="8"/>
  <c r="G50" i="8"/>
  <c r="I50" i="8"/>
  <c r="K50" i="8"/>
  <c r="M50" i="8"/>
  <c r="O50" i="8"/>
  <c r="Q50" i="8"/>
  <c r="S50" i="8"/>
  <c r="V50" i="8"/>
  <c r="Y50" i="8"/>
  <c r="AA50" i="8"/>
  <c r="AC50" i="8"/>
  <c r="AE50" i="8"/>
  <c r="AG50" i="8"/>
  <c r="AI50" i="8"/>
  <c r="AK50" i="8"/>
  <c r="C51" i="8"/>
  <c r="E51" i="8"/>
  <c r="G51" i="8"/>
  <c r="I51" i="8"/>
  <c r="K51" i="8"/>
  <c r="M51" i="8"/>
  <c r="O51" i="8"/>
  <c r="Q51" i="8"/>
  <c r="S51" i="8"/>
  <c r="U51" i="8"/>
  <c r="W51" i="8"/>
  <c r="Y51" i="8"/>
  <c r="AA51" i="8"/>
  <c r="AC51" i="8"/>
  <c r="AE51" i="8"/>
  <c r="AG51" i="8"/>
  <c r="AI51" i="8"/>
  <c r="AK51" i="8"/>
  <c r="D52" i="8"/>
  <c r="F52" i="8"/>
  <c r="H52" i="8"/>
  <c r="J52" i="8"/>
  <c r="L52" i="8"/>
  <c r="N52" i="8"/>
  <c r="P52" i="8"/>
  <c r="R52" i="8"/>
  <c r="T52" i="8"/>
  <c r="V52" i="8"/>
  <c r="X52" i="8"/>
  <c r="Z52" i="8"/>
  <c r="AB52" i="8"/>
  <c r="AD52" i="8"/>
  <c r="AF52" i="8"/>
  <c r="AH52" i="8"/>
  <c r="AJ52" i="8"/>
  <c r="AL52" i="8"/>
  <c r="D53" i="8"/>
  <c r="F53" i="8"/>
  <c r="H53" i="8"/>
  <c r="J53" i="8"/>
  <c r="L53" i="8"/>
  <c r="N53" i="8"/>
  <c r="P53" i="8"/>
  <c r="R53" i="8"/>
  <c r="T53" i="8"/>
  <c r="V53" i="8"/>
  <c r="X53" i="8"/>
  <c r="Z53" i="8"/>
  <c r="AB53" i="8"/>
  <c r="AD53" i="8"/>
  <c r="AF53" i="8"/>
  <c r="AH53" i="8"/>
  <c r="AJ53" i="8"/>
  <c r="AL53" i="8"/>
  <c r="D54" i="8"/>
  <c r="F54" i="8"/>
  <c r="H54" i="8"/>
  <c r="J54" i="8"/>
  <c r="L54" i="8"/>
  <c r="N54" i="8"/>
  <c r="P54" i="8"/>
  <c r="R54" i="8"/>
  <c r="T54" i="8"/>
  <c r="V54" i="8"/>
  <c r="X54" i="8"/>
  <c r="Z54" i="8"/>
  <c r="AB54" i="8"/>
  <c r="AD54" i="8"/>
  <c r="AF54" i="8"/>
  <c r="AH54" i="8"/>
  <c r="AJ54" i="8"/>
  <c r="AL54" i="8"/>
  <c r="E55" i="8"/>
  <c r="G55" i="8"/>
  <c r="J55" i="8"/>
  <c r="L55" i="8"/>
  <c r="O55" i="8"/>
  <c r="R55" i="8"/>
  <c r="T55" i="8"/>
  <c r="X55" i="8"/>
  <c r="AA55" i="8"/>
  <c r="AD55" i="8"/>
  <c r="AG55" i="8"/>
  <c r="AJ55" i="8"/>
  <c r="AL55" i="8"/>
  <c r="E56" i="8"/>
  <c r="G56" i="8"/>
  <c r="I56" i="8"/>
  <c r="K56" i="8"/>
  <c r="M56" i="8"/>
  <c r="P56" i="8"/>
  <c r="S56" i="8"/>
  <c r="U56" i="8"/>
  <c r="W56" i="8"/>
  <c r="Y56" i="8"/>
  <c r="AA56" i="8"/>
  <c r="AC56" i="8"/>
  <c r="AE56" i="8"/>
  <c r="AG56" i="8"/>
  <c r="AI56" i="8"/>
  <c r="AK56" i="8"/>
  <c r="E57" i="8"/>
  <c r="G57" i="8"/>
  <c r="I57" i="8"/>
  <c r="K57" i="8"/>
  <c r="M57" i="8"/>
  <c r="P57" i="8"/>
  <c r="R57" i="8"/>
  <c r="T57" i="8"/>
  <c r="Z57" i="8"/>
  <c r="AB57" i="8"/>
  <c r="AG57" i="8"/>
  <c r="AI57" i="8"/>
  <c r="AK57" i="8"/>
  <c r="D58" i="8"/>
  <c r="F58" i="8"/>
  <c r="H58" i="8"/>
  <c r="J58" i="8"/>
  <c r="L58" i="8"/>
  <c r="O58" i="8"/>
  <c r="Q58" i="8"/>
  <c r="S58" i="8"/>
  <c r="U58" i="8"/>
  <c r="W58" i="8"/>
  <c r="Y58" i="8"/>
  <c r="AA58" i="8"/>
  <c r="AC58" i="8"/>
  <c r="AE58" i="8"/>
  <c r="AG58" i="8"/>
  <c r="AI58" i="8"/>
  <c r="AK58" i="8"/>
  <c r="D59" i="8"/>
  <c r="F59" i="8"/>
  <c r="H59" i="8"/>
  <c r="J59" i="8"/>
  <c r="L59" i="8"/>
  <c r="N59" i="8"/>
  <c r="P59" i="8"/>
  <c r="R59" i="8"/>
  <c r="T59" i="8"/>
  <c r="V59" i="8"/>
  <c r="X59" i="8"/>
  <c r="Z59" i="8"/>
  <c r="AB59" i="8"/>
  <c r="AD59" i="8"/>
  <c r="AF59" i="8"/>
  <c r="AH59" i="8"/>
  <c r="AJ59" i="8"/>
  <c r="AL59" i="8"/>
  <c r="D60" i="8"/>
  <c r="F60" i="8"/>
  <c r="H60" i="8"/>
  <c r="J60" i="8"/>
  <c r="L60" i="8"/>
  <c r="O60" i="8"/>
  <c r="R60" i="8"/>
  <c r="T60" i="8"/>
  <c r="Y60" i="8"/>
  <c r="AA60" i="8"/>
  <c r="AD60" i="8"/>
  <c r="AG60" i="8"/>
  <c r="AJ60" i="8"/>
  <c r="AL60" i="8"/>
  <c r="E61" i="8"/>
  <c r="H61" i="8"/>
  <c r="J61" i="8"/>
  <c r="L61" i="8"/>
  <c r="N61" i="8"/>
  <c r="R61" i="8"/>
  <c r="T61" i="8"/>
  <c r="W61" i="8"/>
  <c r="Z61" i="8"/>
  <c r="AB61" i="8"/>
  <c r="AD61" i="8"/>
  <c r="AG61" i="8"/>
  <c r="AI61" i="8"/>
  <c r="AK61" i="8"/>
  <c r="D62" i="8"/>
  <c r="F62" i="8"/>
  <c r="H62" i="8"/>
  <c r="J62" i="8"/>
  <c r="L62" i="8"/>
  <c r="N62" i="8"/>
  <c r="P62" i="8"/>
  <c r="R62" i="8"/>
  <c r="T62" i="8"/>
  <c r="V62" i="8"/>
  <c r="X62" i="8"/>
  <c r="Z62" i="8"/>
  <c r="AB62" i="8"/>
  <c r="AD62" i="8"/>
  <c r="AF62" i="8"/>
  <c r="AH62" i="8"/>
  <c r="AJ62" i="8"/>
  <c r="AL62" i="8"/>
  <c r="H63" i="8"/>
  <c r="J63" i="8"/>
  <c r="L63" i="8"/>
  <c r="O63" i="8"/>
  <c r="Q63" i="8"/>
  <c r="S63" i="8"/>
  <c r="U63" i="8"/>
  <c r="W63" i="8"/>
  <c r="Y63" i="8"/>
  <c r="AA63" i="8"/>
  <c r="AC63" i="8"/>
  <c r="AE63" i="8"/>
  <c r="AG63" i="8"/>
  <c r="AI63" i="8"/>
  <c r="AK63" i="8"/>
  <c r="C64" i="8"/>
  <c r="G64" i="8"/>
  <c r="I64" i="8"/>
  <c r="K64" i="8"/>
  <c r="M64" i="8"/>
  <c r="O64" i="8"/>
  <c r="S64" i="8"/>
  <c r="V64" i="8"/>
  <c r="X64" i="8"/>
  <c r="Z64" i="8"/>
  <c r="AB64" i="8"/>
  <c r="AD64" i="8"/>
  <c r="AG64" i="8"/>
  <c r="AI64" i="8"/>
  <c r="AK64" i="8"/>
  <c r="C65" i="8"/>
  <c r="E65" i="8"/>
  <c r="G65" i="8"/>
  <c r="I65" i="8"/>
  <c r="K65" i="8"/>
  <c r="M65" i="8"/>
  <c r="O65" i="8"/>
  <c r="Q65" i="8"/>
  <c r="S65" i="8"/>
  <c r="U65" i="8"/>
  <c r="W65" i="8"/>
  <c r="Y65" i="8"/>
  <c r="AA65" i="8"/>
  <c r="AC65" i="8"/>
  <c r="AE65" i="8"/>
  <c r="AG65" i="8"/>
  <c r="AI65" i="8"/>
  <c r="AK65" i="8"/>
  <c r="C66" i="8"/>
  <c r="E66" i="8"/>
  <c r="G66" i="8"/>
  <c r="I66" i="8"/>
  <c r="K66" i="8"/>
  <c r="M66" i="8"/>
  <c r="O66" i="8"/>
  <c r="Q66" i="8"/>
  <c r="S66" i="8"/>
  <c r="U66" i="8"/>
  <c r="W66" i="8"/>
  <c r="Y66" i="8"/>
  <c r="AA66" i="8"/>
  <c r="AC66" i="8"/>
  <c r="AE66" i="8"/>
  <c r="AG66" i="8"/>
  <c r="AI66" i="8"/>
  <c r="AK66" i="8"/>
  <c r="D67" i="8"/>
  <c r="G67" i="8"/>
  <c r="I67" i="8"/>
  <c r="K67" i="8"/>
  <c r="M67" i="8"/>
  <c r="P67" i="8"/>
  <c r="R67" i="8"/>
  <c r="T67" i="8"/>
  <c r="W67" i="8"/>
  <c r="Y67" i="8"/>
  <c r="AA67" i="8"/>
  <c r="AC67" i="8"/>
  <c r="AE67" i="8"/>
  <c r="AG67" i="8"/>
  <c r="AI67" i="8"/>
  <c r="AK67" i="8"/>
  <c r="D68" i="8"/>
  <c r="F68" i="8"/>
  <c r="H68" i="8"/>
  <c r="J68" i="8"/>
  <c r="L68" i="8"/>
  <c r="N68" i="8"/>
  <c r="P68" i="8"/>
  <c r="R68" i="8"/>
  <c r="T68" i="8"/>
  <c r="V68" i="8"/>
  <c r="X68" i="8"/>
  <c r="AA68" i="8"/>
  <c r="AC68" i="8"/>
  <c r="AE68" i="8"/>
  <c r="AG68" i="8"/>
  <c r="AI68" i="8"/>
  <c r="AK68" i="8"/>
  <c r="D69" i="8"/>
  <c r="G69" i="8"/>
  <c r="I69" i="8"/>
  <c r="K69" i="8"/>
  <c r="M69" i="8"/>
  <c r="P69" i="8"/>
  <c r="R69" i="8"/>
  <c r="T69" i="8"/>
  <c r="Z69" i="8"/>
  <c r="AB69" i="8"/>
  <c r="AD69" i="8"/>
  <c r="AG69" i="8"/>
  <c r="AI69" i="8"/>
  <c r="AK69" i="8"/>
  <c r="D70" i="8"/>
  <c r="G70" i="8"/>
  <c r="I70" i="8"/>
  <c r="K70" i="8"/>
  <c r="M70" i="8"/>
  <c r="R70" i="8"/>
  <c r="T70" i="8"/>
  <c r="AA70" i="8"/>
  <c r="AD70" i="8"/>
  <c r="AH70" i="8"/>
  <c r="AJ70" i="8"/>
  <c r="AL70" i="8"/>
  <c r="D71" i="8"/>
  <c r="F71" i="8"/>
  <c r="H71" i="8"/>
  <c r="J71" i="8"/>
  <c r="L71" i="8"/>
  <c r="N71" i="8"/>
  <c r="P71" i="8"/>
  <c r="R71" i="8"/>
  <c r="T71" i="8"/>
  <c r="V71" i="8"/>
  <c r="X71" i="8"/>
  <c r="Z71" i="8"/>
  <c r="AB71" i="8"/>
  <c r="AD71" i="8"/>
  <c r="AF71" i="8"/>
  <c r="AH71" i="8"/>
  <c r="AJ71" i="8"/>
  <c r="AL71" i="8"/>
  <c r="E72" i="8"/>
  <c r="G72" i="8"/>
  <c r="I72" i="8"/>
  <c r="K72" i="8"/>
  <c r="M72" i="8"/>
  <c r="O72" i="8"/>
  <c r="Q72" i="8"/>
  <c r="S72" i="8"/>
  <c r="U72" i="8"/>
  <c r="W72" i="8"/>
  <c r="Y72" i="8"/>
  <c r="AA72" i="8"/>
  <c r="AC72" i="8"/>
  <c r="AE72" i="8"/>
  <c r="AG72" i="8"/>
  <c r="AI72" i="8"/>
  <c r="AK72" i="8"/>
  <c r="D73" i="8"/>
  <c r="F73" i="8"/>
  <c r="H73" i="8"/>
  <c r="J73" i="8"/>
  <c r="L73" i="8"/>
  <c r="N73" i="8"/>
  <c r="P73" i="8"/>
  <c r="R73" i="8"/>
  <c r="T73" i="8"/>
  <c r="V73" i="8"/>
  <c r="X73" i="8"/>
  <c r="Z73" i="8"/>
  <c r="AB73" i="8"/>
  <c r="AD73" i="8"/>
  <c r="AF73" i="8"/>
  <c r="AH73" i="8"/>
  <c r="AJ73" i="8"/>
  <c r="AL73" i="8"/>
  <c r="D74" i="8"/>
  <c r="F74" i="8"/>
  <c r="H74" i="8"/>
  <c r="J74" i="8"/>
  <c r="L74" i="8"/>
  <c r="O74" i="8"/>
  <c r="Q74" i="8"/>
  <c r="S74" i="8"/>
  <c r="U74" i="8"/>
  <c r="W74" i="8"/>
  <c r="Y74" i="8"/>
  <c r="AA74" i="8"/>
  <c r="AC74" i="8"/>
  <c r="AE74" i="8"/>
  <c r="AG74" i="8"/>
  <c r="AI74" i="8"/>
  <c r="AK74" i="8"/>
  <c r="D75" i="8"/>
  <c r="F75" i="8"/>
  <c r="H75" i="8"/>
  <c r="J75" i="8"/>
  <c r="L75" i="8"/>
  <c r="N75" i="8"/>
  <c r="P75" i="8"/>
  <c r="R75" i="8"/>
  <c r="T75" i="8"/>
  <c r="V75" i="8"/>
  <c r="X75" i="8"/>
  <c r="Z75" i="8"/>
  <c r="AB75" i="8"/>
  <c r="AD75" i="8"/>
  <c r="AF75" i="8"/>
  <c r="AH75" i="8"/>
  <c r="AJ75" i="8"/>
  <c r="AL75" i="8"/>
  <c r="D76" i="8"/>
  <c r="F76" i="8"/>
  <c r="H76" i="8"/>
  <c r="J76" i="8"/>
  <c r="L76" i="8"/>
  <c r="N76" i="8"/>
  <c r="P76" i="8"/>
  <c r="R76" i="8"/>
  <c r="T76" i="8"/>
  <c r="V76" i="8"/>
  <c r="X76" i="8"/>
  <c r="Z76" i="8"/>
  <c r="AB76" i="8"/>
  <c r="AD76" i="8"/>
  <c r="AF76" i="8"/>
  <c r="AH76" i="8"/>
  <c r="AJ76" i="8"/>
  <c r="AL76" i="8"/>
  <c r="E77" i="8"/>
  <c r="G77" i="8"/>
  <c r="I77" i="8"/>
  <c r="K77" i="8"/>
  <c r="M77" i="8"/>
  <c r="P77" i="8"/>
  <c r="R77" i="8"/>
  <c r="T77" i="8"/>
  <c r="V77" i="8"/>
  <c r="Y77" i="8"/>
  <c r="AA77" i="8"/>
  <c r="AC77" i="8"/>
  <c r="AE77" i="8"/>
  <c r="AG77" i="8"/>
  <c r="AI77" i="8"/>
  <c r="AK77" i="8"/>
  <c r="D78" i="8"/>
  <c r="F78" i="8"/>
  <c r="H78" i="8"/>
  <c r="J78" i="8"/>
  <c r="L78" i="8"/>
  <c r="N78" i="8"/>
  <c r="P78" i="8"/>
  <c r="R78" i="8"/>
  <c r="T78" i="8"/>
  <c r="V78" i="8"/>
  <c r="X78" i="8"/>
  <c r="Z78" i="8"/>
  <c r="AB78" i="8"/>
  <c r="AD78" i="8"/>
  <c r="AF78" i="8"/>
  <c r="AH78" i="8"/>
  <c r="AJ78" i="8"/>
  <c r="AL78" i="8"/>
  <c r="E79" i="8"/>
  <c r="G79" i="8"/>
  <c r="I79" i="8"/>
  <c r="K79" i="8"/>
  <c r="M79" i="8"/>
  <c r="O79" i="8"/>
  <c r="Q79" i="8"/>
  <c r="S79" i="8"/>
  <c r="U79" i="8"/>
  <c r="W79" i="8"/>
  <c r="Y79" i="8"/>
  <c r="AA79" i="8"/>
  <c r="AC79" i="8"/>
  <c r="AE79" i="8"/>
  <c r="AG79" i="8"/>
  <c r="AI79" i="8"/>
  <c r="AK79" i="8"/>
  <c r="D80" i="8"/>
  <c r="F80" i="8"/>
  <c r="H80" i="8"/>
  <c r="J80" i="8"/>
  <c r="L80" i="8"/>
  <c r="N80" i="8"/>
  <c r="P80" i="8"/>
  <c r="R80" i="8"/>
  <c r="T80" i="8"/>
  <c r="V80" i="8"/>
  <c r="X80" i="8"/>
  <c r="Z80" i="8"/>
  <c r="AB80" i="8"/>
  <c r="AD80" i="8"/>
  <c r="AF80" i="8"/>
  <c r="AH80" i="8"/>
  <c r="AJ80" i="8"/>
  <c r="AL80" i="8"/>
  <c r="D81" i="8"/>
  <c r="F81" i="8"/>
  <c r="H81" i="8"/>
  <c r="J81" i="8"/>
  <c r="L81" i="8"/>
  <c r="N81" i="8"/>
  <c r="P81" i="8"/>
  <c r="R81" i="8"/>
  <c r="T81" i="8"/>
  <c r="V81" i="8"/>
  <c r="X81" i="8"/>
  <c r="Z81" i="8"/>
  <c r="AB81" i="8"/>
  <c r="AD81" i="8"/>
  <c r="AF81" i="8"/>
  <c r="AH81" i="8"/>
  <c r="AJ81" i="8"/>
  <c r="AL81" i="8"/>
  <c r="G82" i="8"/>
  <c r="I82" i="8"/>
  <c r="K82" i="8"/>
  <c r="M82" i="8"/>
  <c r="R82" i="8"/>
  <c r="T82" i="8"/>
  <c r="V82" i="8"/>
  <c r="Z82" i="8"/>
  <c r="AB82" i="8"/>
  <c r="AG82" i="8"/>
  <c r="AJ82" i="8"/>
  <c r="AL82" i="8"/>
  <c r="E83" i="8"/>
  <c r="G83" i="8"/>
  <c r="I83" i="8"/>
  <c r="K83" i="8"/>
  <c r="M83" i="8"/>
  <c r="O83" i="8"/>
  <c r="Q83" i="8"/>
  <c r="S83" i="8"/>
  <c r="U83" i="8"/>
  <c r="W83" i="8"/>
  <c r="Y83" i="8"/>
  <c r="AA83" i="8"/>
  <c r="AC83" i="8"/>
  <c r="AE83" i="8"/>
  <c r="AG83" i="8"/>
  <c r="AI83" i="8"/>
  <c r="AK83" i="8"/>
  <c r="C84" i="8"/>
  <c r="E84" i="8"/>
  <c r="G84" i="8"/>
  <c r="I84" i="8"/>
  <c r="K84" i="8"/>
  <c r="M84" i="8"/>
  <c r="O84" i="8"/>
  <c r="Q84" i="8"/>
  <c r="S84" i="8"/>
  <c r="U84" i="8"/>
  <c r="W84" i="8"/>
  <c r="Y84" i="8"/>
  <c r="AA84" i="8"/>
  <c r="AC84" i="8"/>
  <c r="AE84" i="8"/>
  <c r="AG84" i="8"/>
  <c r="AI84" i="8"/>
  <c r="AK84" i="8"/>
  <c r="C85" i="8"/>
  <c r="E85" i="8"/>
  <c r="G85" i="8"/>
  <c r="I85" i="8"/>
  <c r="K85" i="8"/>
  <c r="M85" i="8"/>
  <c r="O85" i="8"/>
  <c r="Q85" i="8"/>
  <c r="S85" i="8"/>
  <c r="U85" i="8"/>
  <c r="W85" i="8"/>
  <c r="Y85" i="8"/>
  <c r="AA85" i="8"/>
  <c r="AC85" i="8"/>
  <c r="AE85" i="8"/>
  <c r="AG85" i="8"/>
  <c r="AI85" i="8"/>
  <c r="AK85" i="8"/>
  <c r="E86" i="8"/>
  <c r="G86" i="8"/>
  <c r="I86" i="8"/>
  <c r="K86" i="8"/>
  <c r="M86" i="8"/>
  <c r="O86" i="8"/>
  <c r="Q86" i="8"/>
  <c r="S86" i="8"/>
  <c r="V86" i="8"/>
  <c r="X86" i="8"/>
  <c r="Z86" i="8"/>
  <c r="AB86" i="8"/>
  <c r="AD86" i="8"/>
  <c r="AF86" i="8"/>
  <c r="AH86" i="8"/>
  <c r="AJ86" i="8"/>
  <c r="AL86" i="8"/>
  <c r="D87" i="8"/>
  <c r="F87" i="8"/>
  <c r="H87" i="8"/>
  <c r="J87" i="8"/>
  <c r="L87" i="8"/>
  <c r="N87" i="8"/>
  <c r="P87" i="8"/>
  <c r="R87" i="8"/>
  <c r="T87" i="8"/>
  <c r="V87" i="8"/>
  <c r="X87" i="8"/>
  <c r="Z87" i="8"/>
  <c r="AB87" i="8"/>
  <c r="AD87" i="8"/>
  <c r="AF87" i="8"/>
  <c r="AH87" i="8"/>
  <c r="AJ87" i="8"/>
  <c r="AL87" i="8"/>
  <c r="D88" i="8"/>
  <c r="F88" i="8"/>
  <c r="H88" i="8"/>
  <c r="J88" i="8"/>
  <c r="L88" i="8"/>
  <c r="N88" i="8"/>
  <c r="P88" i="8"/>
  <c r="R88" i="8"/>
  <c r="T88" i="8"/>
  <c r="V88" i="8"/>
  <c r="X88" i="8"/>
  <c r="Z88" i="8"/>
  <c r="AB88" i="8"/>
  <c r="AD88" i="8"/>
  <c r="AF88" i="8"/>
  <c r="AH88" i="8"/>
  <c r="AJ88" i="8"/>
  <c r="AL88" i="8"/>
  <c r="F89" i="8"/>
  <c r="H89" i="8"/>
  <c r="J89" i="8"/>
  <c r="L89" i="8"/>
  <c r="O89" i="8"/>
  <c r="R89" i="8"/>
  <c r="T89" i="8"/>
  <c r="X89" i="8"/>
  <c r="AA89" i="8"/>
  <c r="AC89" i="8"/>
  <c r="AE89" i="8"/>
  <c r="AG89" i="8"/>
  <c r="AI89" i="8"/>
  <c r="AK89" i="8"/>
  <c r="D90" i="8"/>
  <c r="F90" i="8"/>
  <c r="H90" i="8"/>
  <c r="J90" i="8"/>
  <c r="L90" i="8"/>
  <c r="N90" i="8"/>
  <c r="P90" i="8"/>
  <c r="R90" i="8"/>
  <c r="T90" i="8"/>
  <c r="V90" i="8"/>
  <c r="X90" i="8"/>
  <c r="Z90" i="8"/>
  <c r="AB90" i="8"/>
  <c r="AD90" i="8"/>
  <c r="AF90" i="8"/>
  <c r="AH90" i="8"/>
  <c r="AJ90" i="8"/>
  <c r="AL90" i="8"/>
  <c r="D91" i="8"/>
  <c r="F91" i="8"/>
  <c r="H91" i="8"/>
  <c r="J91" i="8"/>
  <c r="L91" i="8"/>
  <c r="N91" i="8"/>
  <c r="P91" i="8"/>
  <c r="R91" i="8"/>
  <c r="T91" i="8"/>
  <c r="W91" i="8"/>
  <c r="Y91" i="8"/>
  <c r="AA91" i="8"/>
  <c r="AC91" i="8"/>
  <c r="AE91" i="8"/>
  <c r="AG91" i="8"/>
  <c r="AI91" i="8"/>
  <c r="AK91" i="8"/>
  <c r="D92" i="8"/>
  <c r="G92" i="8"/>
  <c r="I92" i="8"/>
  <c r="K92" i="8"/>
  <c r="M92" i="8"/>
  <c r="Q92" i="8"/>
  <c r="S92" i="8"/>
  <c r="V92" i="8"/>
  <c r="Y92" i="8"/>
  <c r="AA92" i="8"/>
  <c r="AD92" i="8"/>
  <c r="AG92" i="8"/>
  <c r="AI92" i="8"/>
  <c r="AK92" i="8"/>
  <c r="C94" i="8"/>
  <c r="E94" i="8"/>
  <c r="G94" i="8"/>
  <c r="I94" i="8"/>
  <c r="K94" i="8"/>
  <c r="M94" i="8"/>
  <c r="O94" i="8"/>
  <c r="Q94" i="8"/>
  <c r="S94" i="8"/>
  <c r="U94" i="8"/>
  <c r="X94" i="8"/>
  <c r="Z94" i="8"/>
  <c r="AC94" i="8"/>
  <c r="AG94" i="8"/>
  <c r="AJ94" i="8"/>
  <c r="AL94" i="8"/>
  <c r="D95" i="8"/>
  <c r="F95" i="8"/>
  <c r="H95" i="8"/>
  <c r="J95" i="8"/>
  <c r="L95" i="8"/>
  <c r="N95" i="8"/>
  <c r="P95" i="8"/>
  <c r="R95" i="8"/>
  <c r="T95" i="8"/>
  <c r="V95" i="8"/>
  <c r="Y95" i="8"/>
  <c r="AA95" i="8"/>
  <c r="AD95" i="8"/>
  <c r="AH95" i="8"/>
  <c r="AK95" i="8"/>
  <c r="C97" i="8"/>
  <c r="E97" i="8"/>
  <c r="G97" i="8"/>
  <c r="I97" i="8"/>
  <c r="K97" i="8"/>
  <c r="M97" i="8"/>
  <c r="O97" i="8"/>
  <c r="Q97" i="8"/>
  <c r="S97" i="8"/>
  <c r="U97" i="8"/>
  <c r="W97" i="8"/>
  <c r="Y97" i="8"/>
  <c r="AB97" i="8"/>
  <c r="AD97" i="8"/>
  <c r="AF97" i="8"/>
  <c r="AH97" i="8"/>
  <c r="AJ97" i="8"/>
  <c r="AL97" i="8"/>
  <c r="D98" i="8"/>
  <c r="F98" i="8"/>
  <c r="H98" i="8"/>
  <c r="J98" i="8"/>
  <c r="L98" i="8"/>
  <c r="N98" i="8"/>
  <c r="P98" i="8"/>
  <c r="R98" i="8"/>
  <c r="T98" i="8"/>
  <c r="V98" i="8"/>
  <c r="X98" i="8"/>
  <c r="Z98" i="8"/>
  <c r="AB98" i="8"/>
  <c r="AD98" i="8"/>
  <c r="AF98" i="8"/>
  <c r="AH98" i="8"/>
  <c r="AJ98" i="8"/>
  <c r="AL98" i="8"/>
  <c r="D99" i="8"/>
  <c r="F99" i="8"/>
  <c r="H99" i="8"/>
  <c r="J99" i="8"/>
  <c r="L99" i="8"/>
  <c r="N99" i="8"/>
  <c r="P99" i="8"/>
  <c r="R99" i="8"/>
  <c r="T99" i="8"/>
  <c r="V99" i="8"/>
  <c r="X99" i="8"/>
  <c r="Z99" i="8"/>
  <c r="AC99" i="8"/>
  <c r="AE99" i="8"/>
  <c r="AG99" i="8"/>
  <c r="AI99" i="8"/>
  <c r="AK99" i="8"/>
  <c r="C100" i="8"/>
  <c r="E100" i="8"/>
  <c r="G100" i="8"/>
  <c r="I100" i="8"/>
  <c r="K100" i="8"/>
  <c r="M100" i="8"/>
  <c r="O100" i="8"/>
  <c r="Q100" i="8"/>
  <c r="S100" i="8"/>
  <c r="U100" i="8"/>
  <c r="W100" i="8"/>
  <c r="Y100" i="8"/>
  <c r="AB100" i="8"/>
  <c r="AD100" i="8"/>
  <c r="AF100" i="8"/>
  <c r="AH100" i="8"/>
  <c r="AJ100" i="8"/>
  <c r="AL100" i="8"/>
  <c r="D101" i="8"/>
  <c r="F101" i="8"/>
  <c r="H101" i="8"/>
  <c r="J101" i="8"/>
  <c r="L101" i="8"/>
  <c r="N101" i="8"/>
  <c r="P101" i="8"/>
  <c r="R101" i="8"/>
  <c r="T101" i="8"/>
  <c r="V101" i="8"/>
  <c r="X101" i="8"/>
  <c r="Z101" i="8"/>
  <c r="AC101" i="8"/>
  <c r="AE101" i="8"/>
  <c r="AG101" i="8"/>
  <c r="AI101" i="8"/>
  <c r="AK101" i="8"/>
  <c r="C102" i="8"/>
  <c r="E102" i="8"/>
  <c r="G102" i="8"/>
  <c r="I102" i="8"/>
  <c r="K102" i="8"/>
  <c r="M102" i="8"/>
  <c r="O102" i="8"/>
  <c r="Q102" i="8"/>
  <c r="S102" i="8"/>
  <c r="U102" i="8"/>
  <c r="W102" i="8"/>
  <c r="Y102" i="8"/>
  <c r="AB102" i="8"/>
  <c r="AD102" i="8"/>
  <c r="AF102" i="8"/>
  <c r="AH102" i="8"/>
  <c r="AJ102" i="8"/>
  <c r="AL102" i="8"/>
  <c r="D103" i="8"/>
  <c r="F103" i="8"/>
  <c r="H103" i="8"/>
  <c r="J103" i="8"/>
  <c r="L103" i="8"/>
  <c r="N103" i="8"/>
  <c r="P103" i="8"/>
  <c r="R103" i="8"/>
  <c r="T103" i="8"/>
  <c r="V103" i="8"/>
  <c r="X103" i="8"/>
  <c r="Z103" i="8"/>
  <c r="AB103" i="8"/>
  <c r="AD103" i="8"/>
  <c r="AF103" i="8"/>
  <c r="AH103" i="8"/>
  <c r="AJ103" i="8"/>
  <c r="AL103" i="8"/>
  <c r="D104" i="8"/>
  <c r="F104" i="8"/>
  <c r="H104" i="8"/>
  <c r="J104" i="8"/>
  <c r="L104" i="8"/>
  <c r="N104" i="8"/>
  <c r="P104" i="8"/>
  <c r="R104" i="8"/>
  <c r="T104" i="8"/>
  <c r="V104" i="8"/>
  <c r="X104" i="8"/>
  <c r="Z104" i="8"/>
  <c r="AB104" i="8"/>
  <c r="AD104" i="8"/>
  <c r="AF104" i="8"/>
  <c r="AH104" i="8"/>
  <c r="AJ104" i="8"/>
  <c r="AL104" i="8"/>
  <c r="D105" i="8"/>
  <c r="F105" i="8"/>
  <c r="H105" i="8"/>
  <c r="J105" i="8"/>
  <c r="L105" i="8"/>
  <c r="N105" i="8"/>
  <c r="P105" i="8"/>
  <c r="R105" i="8"/>
  <c r="T105" i="8"/>
  <c r="V105" i="8"/>
  <c r="X105" i="8"/>
  <c r="Z105" i="8"/>
  <c r="AC105" i="8"/>
  <c r="AE105" i="8"/>
  <c r="AG105" i="8"/>
  <c r="AI105" i="8"/>
  <c r="AK105" i="8"/>
  <c r="C106" i="8"/>
  <c r="E106" i="8"/>
  <c r="G106" i="8"/>
  <c r="I106" i="8"/>
  <c r="K106" i="8"/>
  <c r="M106" i="8"/>
  <c r="O106" i="8"/>
  <c r="Q106" i="8"/>
  <c r="S106" i="8"/>
  <c r="U106" i="8"/>
  <c r="W106" i="8"/>
  <c r="Y106" i="8"/>
  <c r="AB106" i="8"/>
  <c r="AD106" i="8"/>
  <c r="AF106" i="8"/>
  <c r="AH106" i="8"/>
  <c r="AJ106" i="8"/>
  <c r="AL106" i="8"/>
  <c r="D107" i="8"/>
  <c r="F107" i="8"/>
  <c r="H107" i="8"/>
  <c r="J107" i="8"/>
  <c r="L107" i="8"/>
  <c r="N107" i="8"/>
  <c r="P107" i="8"/>
  <c r="R107" i="8"/>
  <c r="T107" i="8"/>
  <c r="V107" i="8"/>
  <c r="X107" i="8"/>
  <c r="Z107" i="8"/>
  <c r="AC107" i="8"/>
  <c r="AE107" i="8"/>
  <c r="AG107" i="8"/>
  <c r="AI107" i="8"/>
  <c r="AK107" i="8"/>
  <c r="C108" i="8"/>
  <c r="E108" i="8"/>
  <c r="G108" i="8"/>
  <c r="I108" i="8"/>
  <c r="K108" i="8"/>
  <c r="M108" i="8"/>
  <c r="O108" i="8"/>
  <c r="Q108" i="8"/>
  <c r="S108" i="8"/>
  <c r="U108" i="8"/>
  <c r="W108" i="8"/>
  <c r="Y108" i="8"/>
  <c r="AA108" i="8"/>
  <c r="AC108" i="8"/>
  <c r="AE108" i="8"/>
  <c r="AG108" i="8"/>
  <c r="AI108" i="8"/>
  <c r="AK108" i="8"/>
  <c r="C110" i="8"/>
  <c r="E110" i="8"/>
  <c r="G110" i="8"/>
  <c r="J110" i="8"/>
  <c r="L110" i="8"/>
  <c r="N110" i="8"/>
  <c r="P110" i="8"/>
  <c r="R110" i="8"/>
  <c r="T110" i="8"/>
  <c r="W110" i="8"/>
  <c r="Y110" i="8"/>
  <c r="AB110" i="8"/>
  <c r="AD110" i="8"/>
  <c r="AF110" i="8"/>
  <c r="AH110" i="8"/>
  <c r="AJ110" i="8"/>
  <c r="AL110" i="8"/>
  <c r="E111" i="8"/>
  <c r="G111" i="8"/>
  <c r="J111" i="8"/>
  <c r="L111" i="8"/>
  <c r="N111" i="8"/>
  <c r="P111" i="8"/>
  <c r="R111" i="8"/>
  <c r="T111" i="8"/>
  <c r="X111" i="8"/>
  <c r="Z111" i="8"/>
  <c r="AC111" i="8"/>
  <c r="AE111" i="8"/>
  <c r="AH111" i="8"/>
  <c r="AJ111" i="8"/>
  <c r="AL111" i="8"/>
  <c r="E112" i="8"/>
  <c r="G112" i="8"/>
  <c r="J112" i="8"/>
  <c r="M112" i="8"/>
  <c r="O112" i="8"/>
  <c r="Q112" i="8"/>
  <c r="S112" i="8"/>
  <c r="W112" i="8"/>
  <c r="Y112" i="8"/>
  <c r="AB112" i="8"/>
  <c r="AD112" i="8"/>
  <c r="AF112" i="8"/>
  <c r="AH112" i="8"/>
  <c r="AJ112" i="8"/>
  <c r="AL112" i="8"/>
  <c r="D113" i="8"/>
  <c r="F113" i="8"/>
  <c r="I113" i="8"/>
  <c r="L113" i="8"/>
  <c r="N113" i="8"/>
  <c r="P113" i="8"/>
  <c r="R113" i="8"/>
  <c r="T113" i="8"/>
  <c r="X113" i="8"/>
  <c r="Z113" i="8"/>
  <c r="AC113" i="8"/>
  <c r="AE113" i="8"/>
  <c r="AH113" i="8"/>
  <c r="AJ113" i="8"/>
  <c r="AL113" i="8"/>
  <c r="D115" i="8"/>
  <c r="G115" i="8"/>
  <c r="I115" i="8"/>
  <c r="K115" i="8"/>
  <c r="M115" i="8"/>
  <c r="O115" i="8"/>
  <c r="Q115" i="8"/>
  <c r="S115" i="8"/>
  <c r="U115" i="8"/>
  <c r="W115" i="8"/>
  <c r="Y115" i="8"/>
  <c r="AA115" i="8"/>
  <c r="AC115" i="8"/>
  <c r="AE115" i="8"/>
  <c r="AG115" i="8"/>
  <c r="AI115" i="8"/>
  <c r="AK115" i="8"/>
  <c r="C116" i="8"/>
  <c r="E116" i="8"/>
  <c r="G116" i="8"/>
  <c r="I116" i="8"/>
  <c r="K116" i="8"/>
  <c r="M116" i="8"/>
  <c r="O116" i="8"/>
  <c r="Q116" i="8"/>
  <c r="S116" i="8"/>
  <c r="U116" i="8"/>
  <c r="W116" i="8"/>
  <c r="Y116" i="8"/>
  <c r="AA116" i="8"/>
  <c r="AC116" i="8"/>
  <c r="AE116" i="8"/>
  <c r="AG116" i="8"/>
  <c r="AI116" i="8"/>
  <c r="AK116" i="8"/>
  <c r="C117" i="8"/>
  <c r="F117" i="8"/>
  <c r="H117" i="8"/>
  <c r="J117" i="8"/>
  <c r="L117" i="8"/>
  <c r="N117" i="8"/>
  <c r="P117" i="8"/>
  <c r="R117" i="8"/>
  <c r="T117" i="8"/>
  <c r="V117" i="8"/>
  <c r="X117" i="8"/>
  <c r="Z117" i="8"/>
  <c r="AB117" i="8"/>
  <c r="AD117" i="8"/>
  <c r="AF117" i="8"/>
  <c r="AH117" i="8"/>
  <c r="AJ117" i="8"/>
  <c r="AL117" i="8"/>
  <c r="D118" i="8"/>
  <c r="F118" i="8"/>
  <c r="H118" i="8"/>
  <c r="J118" i="8"/>
  <c r="L118" i="8"/>
  <c r="N118" i="8"/>
  <c r="P118" i="8"/>
  <c r="R118" i="8"/>
  <c r="T118" i="8"/>
  <c r="V118" i="8"/>
  <c r="X118" i="8"/>
  <c r="Z118" i="8"/>
  <c r="AB118" i="8"/>
  <c r="AD118" i="8"/>
  <c r="AF118" i="8"/>
  <c r="AH118" i="8"/>
  <c r="AJ118" i="8"/>
  <c r="AL118" i="8"/>
  <c r="E120" i="8"/>
  <c r="G120" i="8"/>
  <c r="I120" i="8"/>
  <c r="K120" i="8"/>
  <c r="M120" i="8"/>
  <c r="O120" i="8"/>
  <c r="Q120" i="8"/>
  <c r="S120" i="8"/>
  <c r="U120" i="8"/>
  <c r="W120" i="8"/>
  <c r="Y120" i="8"/>
  <c r="AA120" i="8"/>
  <c r="AC120" i="8"/>
  <c r="AE120" i="8"/>
  <c r="AG120" i="8"/>
  <c r="AI120" i="8"/>
  <c r="AK120" i="8"/>
  <c r="C121" i="8"/>
  <c r="E121" i="8"/>
  <c r="G121" i="8"/>
  <c r="I121" i="8"/>
  <c r="K121" i="8"/>
  <c r="M121" i="8"/>
  <c r="P121" i="8"/>
  <c r="R121" i="8"/>
  <c r="T121" i="8"/>
  <c r="W121" i="8"/>
  <c r="Y121" i="8"/>
  <c r="AA121" i="8"/>
  <c r="AC121" i="8"/>
  <c r="AE121" i="8"/>
  <c r="AG121" i="8"/>
  <c r="AI121" i="8"/>
  <c r="AK121" i="8"/>
  <c r="D122" i="8"/>
  <c r="F122" i="8"/>
  <c r="H122" i="8"/>
  <c r="J122" i="8"/>
  <c r="L122" i="8"/>
  <c r="O122" i="8"/>
  <c r="Q122" i="8"/>
  <c r="S122" i="8"/>
  <c r="U122" i="8"/>
  <c r="X122" i="8"/>
  <c r="Z122" i="8"/>
  <c r="AB122" i="8"/>
  <c r="AD122" i="8"/>
  <c r="AF122" i="8"/>
  <c r="AH122" i="8"/>
  <c r="AJ122" i="8"/>
  <c r="AL122" i="8"/>
  <c r="E124" i="8"/>
  <c r="G124" i="8"/>
  <c r="I124" i="8"/>
  <c r="K124" i="8"/>
  <c r="M124" i="8"/>
  <c r="O124" i="8"/>
  <c r="S124" i="8"/>
  <c r="U124" i="8"/>
  <c r="W124" i="8"/>
  <c r="Y124" i="8"/>
  <c r="AA124" i="8"/>
  <c r="AC124" i="8"/>
  <c r="AE124" i="8"/>
  <c r="AG124" i="8"/>
  <c r="AI124" i="8"/>
  <c r="AK124" i="8"/>
  <c r="C125" i="8"/>
  <c r="E125" i="8"/>
  <c r="G125" i="8"/>
  <c r="I125" i="8"/>
  <c r="K125" i="8"/>
  <c r="M125" i="8"/>
  <c r="O125" i="8"/>
  <c r="Q125" i="8"/>
  <c r="S125" i="8"/>
  <c r="U125" i="8"/>
  <c r="W125" i="8"/>
  <c r="Y125" i="8"/>
  <c r="AA125" i="8"/>
  <c r="AC125" i="8"/>
  <c r="AE125" i="8"/>
  <c r="AG125" i="8"/>
  <c r="AI125" i="8"/>
  <c r="AK125" i="8"/>
  <c r="D126" i="8"/>
  <c r="F126" i="8"/>
  <c r="I126" i="8"/>
  <c r="K126" i="8"/>
  <c r="M126" i="8"/>
  <c r="R126" i="8"/>
  <c r="X126" i="8"/>
  <c r="Z126" i="8"/>
  <c r="AD126" i="8"/>
  <c r="AF126" i="8"/>
  <c r="AH126" i="8"/>
  <c r="AJ126" i="8"/>
  <c r="AL126" i="8"/>
  <c r="D127" i="8"/>
  <c r="F127" i="8"/>
  <c r="H127" i="8"/>
  <c r="J127" i="8"/>
  <c r="L127" i="8"/>
  <c r="N127" i="8"/>
  <c r="R127" i="8"/>
  <c r="T127" i="8"/>
  <c r="X127" i="8"/>
  <c r="Z127" i="8"/>
  <c r="AC127" i="8"/>
  <c r="AE127" i="8"/>
  <c r="AG127" i="8"/>
  <c r="AI127" i="8"/>
  <c r="AK127" i="8"/>
  <c r="C128" i="8"/>
  <c r="E128" i="8"/>
  <c r="G128" i="8"/>
  <c r="I128" i="8"/>
  <c r="K128" i="8"/>
  <c r="M128" i="8"/>
  <c r="O128" i="8"/>
  <c r="Q128" i="8"/>
  <c r="S128" i="8"/>
  <c r="U128" i="8"/>
  <c r="W128" i="8"/>
  <c r="Y128" i="8"/>
  <c r="AA128" i="8"/>
  <c r="AC128" i="8"/>
  <c r="AE128" i="8"/>
  <c r="AG128" i="8"/>
  <c r="AI128" i="8"/>
  <c r="AK128" i="8"/>
  <c r="C129" i="8"/>
  <c r="E129" i="8"/>
  <c r="G129" i="8"/>
  <c r="I129" i="8"/>
  <c r="K129" i="8"/>
  <c r="M129" i="8"/>
  <c r="O129" i="8"/>
  <c r="Q129" i="8"/>
  <c r="S129" i="8"/>
  <c r="U129" i="8"/>
  <c r="X129" i="8"/>
  <c r="Z129" i="8"/>
  <c r="AD129" i="8"/>
  <c r="AG129" i="8"/>
  <c r="AI129" i="8"/>
  <c r="AK129" i="8"/>
  <c r="C130" i="8"/>
  <c r="E130" i="8"/>
  <c r="G130" i="8"/>
  <c r="I130" i="8"/>
  <c r="K130" i="8"/>
  <c r="M130" i="8"/>
  <c r="O130" i="8"/>
  <c r="S130" i="8"/>
  <c r="V130" i="8"/>
  <c r="X130" i="8"/>
  <c r="Z130" i="8"/>
  <c r="AC130" i="8"/>
  <c r="AE130" i="8"/>
  <c r="AG130" i="8"/>
  <c r="AI130" i="8"/>
  <c r="AK130" i="8"/>
  <c r="D131" i="8"/>
  <c r="F131" i="8"/>
  <c r="H131" i="8"/>
  <c r="J131" i="8"/>
  <c r="L131" i="8"/>
  <c r="N131" i="8"/>
  <c r="S131" i="8"/>
  <c r="U131" i="8"/>
  <c r="X131" i="8"/>
  <c r="Z131" i="8"/>
  <c r="AB131" i="8"/>
  <c r="AE131" i="8"/>
  <c r="AG131" i="8"/>
  <c r="AI131" i="8"/>
  <c r="AK131" i="8"/>
  <c r="C132" i="8"/>
  <c r="E132" i="8"/>
  <c r="G132" i="8"/>
  <c r="I132" i="8"/>
  <c r="K132" i="8"/>
  <c r="M132" i="8"/>
  <c r="O132" i="8"/>
  <c r="Q132" i="8"/>
  <c r="S132" i="8"/>
  <c r="U132" i="8"/>
  <c r="W132" i="8"/>
  <c r="Y132" i="8"/>
  <c r="AA132" i="8"/>
  <c r="AC132" i="8"/>
  <c r="AE132" i="8"/>
  <c r="AG132" i="8"/>
  <c r="AI132" i="8"/>
  <c r="AK132" i="8"/>
  <c r="C133" i="8"/>
  <c r="E133" i="8"/>
  <c r="G133" i="8"/>
  <c r="I133" i="8"/>
  <c r="K133" i="8"/>
  <c r="M133" i="8"/>
  <c r="S133" i="8"/>
  <c r="Z133" i="8"/>
  <c r="AC133" i="8"/>
  <c r="AE133" i="8"/>
  <c r="AK133" i="8"/>
  <c r="C134" i="8"/>
  <c r="E134" i="8"/>
  <c r="G134" i="8"/>
  <c r="I134" i="8"/>
  <c r="K134" i="8"/>
  <c r="M134" i="8"/>
  <c r="R134" i="8"/>
  <c r="U134" i="8"/>
  <c r="Z134" i="8"/>
  <c r="AB134" i="8"/>
  <c r="AE134" i="8"/>
  <c r="AH134" i="8"/>
  <c r="AK134" i="8"/>
  <c r="C135" i="8"/>
  <c r="E135" i="8"/>
  <c r="G135" i="8"/>
  <c r="I135" i="8"/>
  <c r="K135" i="8"/>
  <c r="M135" i="8"/>
  <c r="O135" i="8"/>
  <c r="S135" i="8"/>
  <c r="U135" i="8"/>
  <c r="W135" i="8"/>
  <c r="Y135" i="8"/>
  <c r="AA135" i="8"/>
  <c r="AC135" i="8"/>
  <c r="AF135" i="8"/>
  <c r="AH135" i="8"/>
  <c r="AJ135" i="8"/>
  <c r="AL135" i="8"/>
  <c r="E136" i="8"/>
  <c r="G136" i="8"/>
  <c r="I136" i="8"/>
  <c r="K136" i="8"/>
  <c r="M136" i="8"/>
  <c r="O136" i="8"/>
  <c r="S136" i="8"/>
  <c r="U136" i="8"/>
  <c r="W136" i="8"/>
  <c r="Y136" i="8"/>
  <c r="AA136" i="8"/>
  <c r="AC136" i="8"/>
  <c r="AE136" i="8"/>
  <c r="AG136" i="8"/>
  <c r="AI136" i="8"/>
  <c r="AK136" i="8"/>
  <c r="C137" i="8"/>
  <c r="E137" i="8"/>
  <c r="G137" i="8"/>
  <c r="I137" i="8"/>
  <c r="K137" i="8"/>
  <c r="M137" i="8"/>
  <c r="O137" i="8"/>
  <c r="Q137" i="8"/>
  <c r="S137" i="8"/>
  <c r="U137" i="8"/>
  <c r="W137" i="8"/>
  <c r="Y137" i="8"/>
  <c r="AB137" i="8"/>
  <c r="AE137" i="8"/>
  <c r="AG137" i="8"/>
  <c r="AI137" i="8"/>
  <c r="AK137" i="8"/>
  <c r="C138" i="8"/>
  <c r="E138" i="8"/>
  <c r="G138" i="8"/>
  <c r="I138" i="8"/>
  <c r="K138" i="8"/>
  <c r="M138" i="8"/>
  <c r="O138" i="8"/>
  <c r="Q138" i="8"/>
  <c r="S138" i="8"/>
  <c r="U138" i="8"/>
  <c r="W138" i="8"/>
  <c r="Y138" i="8"/>
  <c r="AA138" i="8"/>
  <c r="AC138" i="8"/>
  <c r="AE138" i="8"/>
  <c r="AG138" i="8"/>
  <c r="AI138" i="8"/>
  <c r="AK138" i="8"/>
  <c r="C139" i="8"/>
  <c r="E139" i="8"/>
  <c r="G139" i="8"/>
  <c r="I139" i="8"/>
  <c r="K139" i="8"/>
  <c r="M139" i="8"/>
  <c r="O139" i="8"/>
  <c r="Q139" i="8"/>
  <c r="S139" i="8"/>
  <c r="U139" i="8"/>
  <c r="W139" i="8"/>
  <c r="Y139" i="8"/>
  <c r="AA139" i="8"/>
  <c r="AC139" i="8"/>
  <c r="AE139" i="8"/>
  <c r="AG139" i="8"/>
  <c r="AI139" i="8"/>
  <c r="AK139" i="8"/>
  <c r="D140" i="8"/>
  <c r="F140" i="8"/>
  <c r="H140" i="8"/>
  <c r="J140" i="8"/>
  <c r="L140" i="8"/>
  <c r="N140" i="8"/>
  <c r="R140" i="8"/>
  <c r="T140" i="8"/>
  <c r="V140" i="8"/>
  <c r="X140" i="8"/>
  <c r="Z140" i="8"/>
  <c r="AB140" i="8"/>
  <c r="AD140" i="8"/>
  <c r="AF140" i="8"/>
  <c r="AH140" i="8"/>
  <c r="AJ140" i="8"/>
  <c r="AL140" i="8"/>
  <c r="E141" i="8"/>
  <c r="G141" i="8"/>
  <c r="J141" i="8"/>
  <c r="L141" i="8"/>
  <c r="N141" i="8"/>
  <c r="R141" i="8"/>
  <c r="T141" i="8"/>
  <c r="W141" i="8"/>
  <c r="Y141" i="8"/>
  <c r="AA141" i="8"/>
  <c r="AD141" i="8"/>
  <c r="AF141" i="8"/>
  <c r="AH141" i="8"/>
  <c r="AK141" i="8"/>
  <c r="C142" i="8"/>
  <c r="E142" i="8"/>
  <c r="G142" i="8"/>
  <c r="I142" i="8"/>
  <c r="K142" i="8"/>
  <c r="M142" i="8"/>
  <c r="O142" i="8"/>
  <c r="Q142" i="8"/>
  <c r="S142" i="8"/>
  <c r="U142" i="8"/>
  <c r="W142" i="8"/>
  <c r="Y142" i="8"/>
  <c r="AA142" i="8"/>
  <c r="AC142" i="8"/>
  <c r="AE142" i="8"/>
  <c r="AG142" i="8"/>
  <c r="AI142" i="8"/>
  <c r="AK142" i="8"/>
  <c r="C143" i="8"/>
  <c r="E143" i="8"/>
  <c r="G143" i="8"/>
  <c r="I143" i="8"/>
  <c r="K143" i="8"/>
  <c r="M143" i="8"/>
  <c r="R143" i="8"/>
  <c r="X143" i="8"/>
  <c r="Z143" i="8"/>
  <c r="AC143" i="8"/>
  <c r="AH143" i="8"/>
  <c r="AJ143" i="8"/>
  <c r="AL143" i="8"/>
  <c r="D144" i="8"/>
  <c r="F144" i="8"/>
  <c r="H144" i="8"/>
  <c r="J144" i="8"/>
  <c r="L144" i="8"/>
  <c r="N144" i="8"/>
  <c r="P144" i="8"/>
  <c r="R144" i="8"/>
  <c r="T144" i="8"/>
  <c r="Y144" i="8"/>
  <c r="AB144" i="8"/>
  <c r="AE144" i="8"/>
  <c r="AG144" i="8"/>
  <c r="AJ144" i="8"/>
  <c r="AL144" i="8"/>
  <c r="E145" i="8"/>
  <c r="G145" i="8"/>
  <c r="J145" i="8"/>
  <c r="L145" i="8"/>
  <c r="N145" i="8"/>
  <c r="R145" i="8"/>
  <c r="T145" i="8"/>
  <c r="X145" i="8"/>
  <c r="Z145" i="8"/>
  <c r="AB145" i="8"/>
  <c r="AD145" i="8"/>
  <c r="AF145" i="8"/>
  <c r="AH145" i="8"/>
  <c r="AK145" i="8"/>
  <c r="D146" i="8"/>
  <c r="F146" i="8"/>
  <c r="I146" i="8"/>
  <c r="K146" i="8"/>
  <c r="M146" i="8"/>
  <c r="O146" i="8"/>
  <c r="Q146" i="8"/>
  <c r="S146" i="8"/>
  <c r="U146" i="8"/>
  <c r="W146" i="8"/>
  <c r="Y146" i="8"/>
  <c r="AA146" i="8"/>
  <c r="AC146" i="8"/>
  <c r="AE146" i="8"/>
  <c r="AG146" i="8"/>
  <c r="AI146" i="8"/>
  <c r="AK146" i="8"/>
  <c r="D148" i="8"/>
  <c r="F148" i="8"/>
  <c r="H148" i="8"/>
  <c r="J148" i="8"/>
  <c r="L148" i="8"/>
  <c r="N148" i="8"/>
  <c r="R148" i="8"/>
  <c r="T148" i="8"/>
  <c r="W148" i="8"/>
  <c r="Y148" i="8"/>
  <c r="AA148" i="8"/>
  <c r="AC148" i="8"/>
  <c r="AF148" i="8"/>
  <c r="AI148" i="8"/>
  <c r="AK148" i="8"/>
  <c r="C149" i="8"/>
  <c r="E149" i="8"/>
  <c r="G149" i="8"/>
  <c r="K149" i="8"/>
  <c r="M149" i="8"/>
  <c r="O149" i="8"/>
  <c r="Q149" i="8"/>
  <c r="S149" i="8"/>
  <c r="U149" i="8"/>
  <c r="X149" i="8"/>
  <c r="Z149" i="8"/>
  <c r="AB149" i="8"/>
  <c r="AD149" i="8"/>
  <c r="AF149" i="8"/>
  <c r="AH149" i="8"/>
  <c r="AJ149" i="8"/>
  <c r="AL149" i="8"/>
  <c r="E150" i="8"/>
  <c r="G150" i="8"/>
  <c r="I150" i="8"/>
  <c r="K150" i="8"/>
  <c r="M150" i="8"/>
  <c r="O150" i="8"/>
  <c r="Q150" i="8"/>
  <c r="S150" i="8"/>
  <c r="U150" i="8"/>
  <c r="W150" i="8"/>
  <c r="Y150" i="8"/>
  <c r="AA150" i="8"/>
  <c r="AC150" i="8"/>
  <c r="AF150" i="8"/>
  <c r="AH150" i="8"/>
  <c r="AK150" i="8"/>
  <c r="D151" i="8"/>
  <c r="F151" i="8"/>
  <c r="I151" i="8"/>
  <c r="L151" i="8"/>
  <c r="N151" i="8"/>
  <c r="R151" i="8"/>
  <c r="U151" i="8"/>
  <c r="W151" i="8"/>
  <c r="Y151" i="8"/>
  <c r="AA151" i="8"/>
  <c r="AC151" i="8"/>
  <c r="AF151" i="8"/>
  <c r="AH151" i="8"/>
  <c r="AK151" i="8"/>
  <c r="D152" i="8"/>
  <c r="F152" i="8"/>
  <c r="I152" i="8"/>
  <c r="K152" i="8"/>
  <c r="M152" i="8"/>
  <c r="O152" i="8"/>
  <c r="S152" i="8"/>
  <c r="X152" i="8"/>
  <c r="Z152" i="8"/>
  <c r="AB152" i="8"/>
  <c r="AD152" i="8"/>
  <c r="AH152" i="8"/>
  <c r="AK152" i="8"/>
  <c r="C154" i="8"/>
  <c r="E154" i="8"/>
  <c r="G154" i="8"/>
  <c r="I154" i="8"/>
  <c r="K154" i="8"/>
  <c r="M154" i="8"/>
  <c r="O154" i="8"/>
  <c r="Q154" i="8"/>
  <c r="S154" i="8"/>
  <c r="U154" i="8"/>
  <c r="W154" i="8"/>
  <c r="Y154" i="8"/>
  <c r="AA154" i="8"/>
  <c r="AC154" i="8"/>
  <c r="AE154" i="8"/>
  <c r="AG154" i="8"/>
  <c r="AI154" i="8"/>
  <c r="AK154" i="8"/>
  <c r="C156" i="8"/>
  <c r="E156" i="8"/>
  <c r="G156" i="8"/>
  <c r="I156" i="8"/>
  <c r="K156" i="8"/>
  <c r="M156" i="8"/>
  <c r="O156" i="8"/>
  <c r="Q156" i="8"/>
  <c r="S156" i="8"/>
  <c r="U156" i="8"/>
  <c r="W156" i="8"/>
  <c r="Y156" i="8"/>
  <c r="AA156" i="8"/>
  <c r="AC156" i="8"/>
  <c r="AE156" i="8"/>
  <c r="AG156" i="8"/>
  <c r="AI156" i="8"/>
  <c r="AK156" i="8"/>
  <c r="C157" i="8"/>
  <c r="E157" i="8"/>
  <c r="G157" i="8"/>
  <c r="I157" i="8"/>
  <c r="L157" i="8"/>
  <c r="N157" i="8"/>
  <c r="P157" i="8"/>
  <c r="R157" i="8"/>
  <c r="T157" i="8"/>
  <c r="V157" i="8"/>
  <c r="X157" i="8"/>
  <c r="AA157" i="8"/>
  <c r="AC157" i="8"/>
  <c r="AE157" i="8"/>
  <c r="AG157" i="8"/>
  <c r="AJ157" i="8"/>
  <c r="AL157" i="8"/>
  <c r="D158" i="8"/>
  <c r="F158" i="8"/>
  <c r="H158" i="8"/>
  <c r="J158" i="8"/>
  <c r="M158" i="8"/>
  <c r="O158" i="8"/>
  <c r="Q158" i="8"/>
  <c r="S158" i="8"/>
  <c r="U158" i="8"/>
  <c r="W158" i="8"/>
  <c r="Y158" i="8"/>
  <c r="AB158" i="8"/>
  <c r="AD158" i="8"/>
  <c r="AF158" i="8"/>
  <c r="AH158" i="8"/>
  <c r="AK158" i="8"/>
  <c r="C159" i="8"/>
  <c r="E159" i="8"/>
  <c r="G159" i="8"/>
  <c r="I159" i="8"/>
  <c r="K159" i="8"/>
  <c r="M159" i="8"/>
  <c r="O159" i="8"/>
  <c r="Q159" i="8"/>
  <c r="S159" i="8"/>
  <c r="U159" i="8"/>
  <c r="W159" i="8"/>
  <c r="Y159" i="8"/>
  <c r="AA159" i="8"/>
  <c r="AC159" i="8"/>
  <c r="AE159" i="8"/>
  <c r="AG159" i="8"/>
  <c r="AI159" i="8"/>
  <c r="AK159" i="8"/>
  <c r="C161" i="8"/>
  <c r="F161" i="8"/>
  <c r="I161" i="8"/>
  <c r="L161" i="8"/>
  <c r="O161" i="8"/>
  <c r="S161" i="8"/>
  <c r="U161" i="8"/>
  <c r="Y161" i="8"/>
  <c r="AA161" i="8"/>
  <c r="AC161" i="8"/>
  <c r="AE161" i="8"/>
  <c r="AG161" i="8"/>
  <c r="AJ161" i="8"/>
  <c r="AL161" i="8"/>
  <c r="E162" i="8"/>
  <c r="G162" i="8"/>
  <c r="J162" i="8"/>
  <c r="L162" i="8"/>
  <c r="O162" i="8"/>
  <c r="S162" i="8"/>
  <c r="W162" i="8"/>
  <c r="Z162" i="8"/>
  <c r="AB162" i="8"/>
  <c r="AD162" i="8"/>
  <c r="AF162" i="8"/>
  <c r="AJ162" i="8"/>
  <c r="AL162" i="8"/>
  <c r="F163" i="8"/>
  <c r="I163" i="8"/>
  <c r="L163" i="8"/>
  <c r="O163" i="8"/>
  <c r="S163" i="8"/>
  <c r="W163" i="8"/>
  <c r="Z163" i="8"/>
  <c r="AB163" i="8"/>
  <c r="AD163" i="8"/>
  <c r="AF163" i="8"/>
  <c r="AH163" i="8"/>
  <c r="AK163" i="8"/>
  <c r="C164" i="8"/>
  <c r="E164" i="8"/>
  <c r="G164" i="8"/>
  <c r="I164" i="8"/>
  <c r="K164" i="8"/>
  <c r="M164" i="8"/>
  <c r="O164" i="8"/>
  <c r="Q164" i="8"/>
  <c r="S164" i="8"/>
  <c r="U164" i="8"/>
  <c r="W164" i="8"/>
  <c r="Z164" i="8"/>
  <c r="AB164" i="8"/>
  <c r="AD164" i="8"/>
  <c r="AF164" i="8"/>
  <c r="AI164" i="8"/>
  <c r="AK164" i="8"/>
  <c r="C166" i="8"/>
  <c r="E166" i="8"/>
  <c r="G166" i="8"/>
  <c r="I166" i="8"/>
  <c r="K166" i="8"/>
  <c r="M166" i="8"/>
  <c r="R166" i="8"/>
  <c r="T166" i="8"/>
  <c r="Y166" i="8"/>
  <c r="AA166" i="8"/>
  <c r="AC166" i="8"/>
  <c r="AF166" i="8"/>
  <c r="AJ166" i="8"/>
  <c r="AL166" i="8"/>
  <c r="D167" i="8"/>
  <c r="F167" i="8"/>
  <c r="H167" i="8"/>
  <c r="J167" i="8"/>
  <c r="L167" i="8"/>
  <c r="N167" i="8"/>
  <c r="P167" i="8"/>
  <c r="R167" i="8"/>
  <c r="T167" i="8"/>
  <c r="V167" i="8"/>
  <c r="X167" i="8"/>
  <c r="Z167" i="8"/>
  <c r="AB167" i="8"/>
  <c r="AD167" i="8"/>
  <c r="AF167" i="8"/>
  <c r="AH167" i="8"/>
  <c r="AJ167" i="8"/>
  <c r="AL167" i="8"/>
  <c r="D168" i="8"/>
  <c r="F168" i="8"/>
  <c r="H168" i="8"/>
  <c r="J168" i="8"/>
  <c r="L168" i="8"/>
  <c r="N168" i="8"/>
  <c r="R168" i="8"/>
  <c r="T168" i="8"/>
  <c r="V168" i="8"/>
  <c r="X168" i="8"/>
  <c r="Z168" i="8"/>
  <c r="AB168" i="8"/>
  <c r="AD168" i="8"/>
  <c r="AF168" i="8"/>
  <c r="AH168" i="8"/>
  <c r="AJ168" i="8"/>
  <c r="AL168" i="8"/>
  <c r="D169" i="8"/>
  <c r="F169" i="8"/>
  <c r="H169" i="8"/>
  <c r="J169" i="8"/>
  <c r="L169" i="8"/>
  <c r="N169" i="8"/>
  <c r="P169" i="8"/>
  <c r="R169" i="8"/>
  <c r="T169" i="8"/>
  <c r="V169" i="8"/>
  <c r="X169" i="8"/>
  <c r="Z169" i="8"/>
  <c r="AB169" i="8"/>
  <c r="AD169" i="8"/>
  <c r="AF169" i="8"/>
  <c r="AH169" i="8"/>
  <c r="AK169" i="8"/>
  <c r="C170" i="8"/>
  <c r="E170" i="8"/>
  <c r="G170" i="8"/>
  <c r="I170" i="8"/>
  <c r="K170" i="8"/>
  <c r="M170" i="8"/>
  <c r="O170" i="8"/>
  <c r="Q170" i="8"/>
  <c r="S170" i="8"/>
  <c r="U170" i="8"/>
  <c r="W170" i="8"/>
  <c r="Y170" i="8"/>
  <c r="AA170" i="8"/>
  <c r="AC170" i="8"/>
  <c r="AE170" i="8"/>
  <c r="AG170" i="8"/>
  <c r="AJ170" i="8"/>
  <c r="AL170" i="8"/>
  <c r="D171" i="8"/>
  <c r="F171" i="8"/>
  <c r="H171" i="8"/>
  <c r="J171" i="8"/>
  <c r="L171" i="8"/>
  <c r="N171" i="8"/>
  <c r="R171" i="8"/>
  <c r="T171" i="8"/>
  <c r="V171" i="8"/>
  <c r="X171" i="8"/>
  <c r="Z171" i="8"/>
  <c r="AB171" i="8"/>
  <c r="AD171" i="8"/>
  <c r="AF171" i="8"/>
  <c r="AH171" i="8"/>
  <c r="AK171" i="8"/>
  <c r="C172" i="8"/>
  <c r="E172" i="8"/>
  <c r="G172" i="8"/>
  <c r="I172" i="8"/>
  <c r="K172" i="8"/>
  <c r="M172" i="8"/>
  <c r="O172" i="8"/>
  <c r="Q172" i="8"/>
  <c r="S172" i="8"/>
  <c r="U172" i="8"/>
  <c r="W172" i="8"/>
  <c r="Y172" i="8"/>
  <c r="AA172" i="8"/>
  <c r="AC172" i="8"/>
  <c r="AE172" i="8"/>
  <c r="AG172" i="8"/>
  <c r="AJ172" i="8"/>
  <c r="AL172" i="8"/>
  <c r="D173" i="8"/>
  <c r="F173" i="8"/>
  <c r="H173" i="8"/>
  <c r="J173" i="8"/>
  <c r="L173" i="8"/>
  <c r="N173" i="8"/>
  <c r="P173" i="8"/>
  <c r="R173" i="8"/>
  <c r="T173" i="8"/>
  <c r="V173" i="8"/>
  <c r="Y173" i="8"/>
  <c r="AA173" i="8"/>
  <c r="AC173" i="8"/>
  <c r="AE173" i="8"/>
  <c r="AG173" i="8"/>
  <c r="AJ173" i="8"/>
  <c r="AL173" i="8"/>
  <c r="D174" i="8"/>
  <c r="F174" i="8"/>
  <c r="H174" i="8"/>
  <c r="J174" i="8"/>
  <c r="L174" i="8"/>
  <c r="N174" i="8"/>
  <c r="R174" i="8"/>
  <c r="T174" i="8"/>
  <c r="V174" i="8"/>
  <c r="Y174" i="8"/>
  <c r="AA174" i="8"/>
  <c r="AC174" i="8"/>
  <c r="AE174" i="8"/>
  <c r="AG174" i="8"/>
  <c r="AJ174" i="8"/>
  <c r="AL174" i="8"/>
  <c r="D175" i="8"/>
  <c r="F175" i="8"/>
  <c r="H175" i="8"/>
  <c r="J175" i="8"/>
  <c r="L175" i="8"/>
  <c r="N175" i="8"/>
  <c r="S175" i="8"/>
  <c r="V175" i="8"/>
  <c r="Y175" i="8"/>
  <c r="AB175" i="8"/>
  <c r="AD175" i="8"/>
  <c r="AF175" i="8"/>
  <c r="AH175" i="8"/>
  <c r="AJ175" i="8"/>
  <c r="AL175" i="8"/>
  <c r="D176" i="8"/>
  <c r="F176" i="8"/>
  <c r="H176" i="8"/>
  <c r="J176" i="8"/>
  <c r="L176" i="8"/>
  <c r="N176" i="8"/>
  <c r="S176" i="8"/>
  <c r="U176" i="8"/>
  <c r="X176" i="8"/>
  <c r="Z176" i="8"/>
  <c r="AC176" i="8"/>
  <c r="AF176" i="8"/>
  <c r="AJ176" i="8"/>
  <c r="AL176" i="8"/>
  <c r="D178" i="8"/>
  <c r="F178" i="8"/>
  <c r="H178" i="8"/>
  <c r="J178" i="8"/>
  <c r="L178" i="8"/>
  <c r="N178" i="8"/>
  <c r="R178" i="8"/>
  <c r="U178" i="8"/>
  <c r="Y178" i="8"/>
  <c r="AA178" i="8"/>
  <c r="AC178" i="8"/>
  <c r="AF178" i="8"/>
  <c r="AJ178" i="8"/>
  <c r="AL178" i="8"/>
  <c r="D179" i="8"/>
  <c r="F179" i="8"/>
  <c r="H179" i="8"/>
  <c r="J179" i="8"/>
  <c r="L179" i="8"/>
  <c r="N179" i="8"/>
  <c r="P179" i="8"/>
  <c r="R179" i="8"/>
  <c r="T179" i="8"/>
  <c r="V179" i="8"/>
  <c r="Y179" i="8"/>
  <c r="AA179" i="8"/>
  <c r="AF179" i="8"/>
  <c r="AH179" i="8"/>
  <c r="AJ179" i="8"/>
  <c r="AL179" i="8"/>
  <c r="D180" i="8"/>
  <c r="F180" i="8"/>
  <c r="H180" i="8"/>
  <c r="J180" i="8"/>
  <c r="L180" i="8"/>
  <c r="N180" i="8"/>
  <c r="R180" i="8"/>
  <c r="U180" i="8"/>
  <c r="Y180" i="8"/>
  <c r="AA180" i="8"/>
  <c r="AF180" i="8"/>
  <c r="AJ180" i="8"/>
  <c r="AL180" i="8"/>
  <c r="D182" i="8"/>
  <c r="F182" i="8"/>
  <c r="H182" i="8"/>
  <c r="J182" i="8"/>
  <c r="L182" i="8"/>
  <c r="N182" i="8"/>
  <c r="P182" i="8"/>
  <c r="R182" i="8"/>
  <c r="AH182" i="8"/>
  <c r="AK182" i="8"/>
  <c r="C183" i="8"/>
  <c r="E183" i="8"/>
  <c r="G183" i="8"/>
  <c r="I183" i="8"/>
  <c r="K183" i="8"/>
  <c r="M183" i="8"/>
  <c r="O183" i="8"/>
  <c r="Q183" i="8"/>
  <c r="S183" i="8"/>
  <c r="V183" i="8"/>
  <c r="X183" i="8"/>
  <c r="Z183" i="8"/>
  <c r="AG183" i="8"/>
  <c r="AJ183" i="8"/>
  <c r="AL183" i="8"/>
  <c r="D184" i="8"/>
  <c r="F184" i="8"/>
  <c r="H184" i="8"/>
  <c r="J184" i="8"/>
  <c r="L184" i="8"/>
  <c r="N184" i="8"/>
  <c r="P184" i="8"/>
  <c r="R184" i="8"/>
  <c r="T184" i="8"/>
  <c r="W184" i="8"/>
  <c r="Y184" i="8"/>
  <c r="AB184" i="8"/>
  <c r="AD184" i="8"/>
  <c r="AG184" i="8"/>
  <c r="AI184" i="8"/>
  <c r="AK184" i="8"/>
  <c r="C185" i="8"/>
  <c r="E185" i="8"/>
  <c r="G185" i="8"/>
  <c r="I185" i="8"/>
  <c r="K185" i="8"/>
  <c r="M185" i="8"/>
  <c r="O185" i="8"/>
  <c r="Q185" i="8"/>
  <c r="S185" i="8"/>
  <c r="AA185" i="8"/>
  <c r="AC185" i="8"/>
  <c r="AF185" i="8"/>
  <c r="AI185" i="8"/>
  <c r="AK185" i="8"/>
  <c r="C190" i="8"/>
  <c r="C189" i="8"/>
  <c r="E190" i="8"/>
  <c r="E189" i="8"/>
  <c r="G190" i="8"/>
  <c r="G189" i="8"/>
  <c r="I190" i="8"/>
  <c r="I189" i="8"/>
  <c r="K190" i="8"/>
  <c r="K189" i="8"/>
  <c r="M190" i="8"/>
  <c r="M189" i="8"/>
  <c r="O190" i="8"/>
  <c r="O189" i="8"/>
  <c r="Q190" i="8"/>
  <c r="Q189" i="8"/>
  <c r="S190" i="8"/>
  <c r="S189" i="8"/>
  <c r="U190" i="8"/>
  <c r="U189" i="8"/>
  <c r="W190" i="8"/>
  <c r="W189" i="8"/>
  <c r="Y190" i="8"/>
  <c r="Y189" i="8"/>
  <c r="AA190" i="8"/>
  <c r="AA189" i="8"/>
  <c r="AC190" i="8"/>
  <c r="AC189" i="8"/>
  <c r="AE190" i="8"/>
  <c r="AE189" i="8"/>
  <c r="AG190" i="8"/>
  <c r="AG189" i="8"/>
  <c r="AK190" i="8"/>
  <c r="AK189" i="8"/>
  <c r="D190" i="8"/>
  <c r="H190" i="8"/>
  <c r="L190" i="8"/>
  <c r="P190" i="8"/>
  <c r="T190" i="8"/>
  <c r="X190" i="8"/>
  <c r="AB190" i="8"/>
  <c r="AF190" i="8"/>
  <c r="AJ190" i="8"/>
  <c r="C193" i="8"/>
  <c r="E193" i="8"/>
  <c r="G193" i="8"/>
  <c r="I193" i="8"/>
  <c r="K193" i="8"/>
  <c r="M193" i="8"/>
  <c r="O193" i="8"/>
  <c r="Q193" i="8"/>
  <c r="S193" i="8"/>
  <c r="U193" i="8"/>
  <c r="W193" i="8"/>
  <c r="Y193" i="8"/>
  <c r="AA193" i="8"/>
  <c r="AC193" i="8"/>
  <c r="AE193" i="8"/>
  <c r="AG193" i="8"/>
  <c r="AI193" i="8"/>
  <c r="AK193" i="8"/>
  <c r="C194" i="8"/>
  <c r="E194" i="8"/>
  <c r="G194" i="8"/>
  <c r="I194" i="8"/>
  <c r="K194" i="8"/>
  <c r="M194" i="8"/>
  <c r="O194" i="8"/>
  <c r="Q194" i="8"/>
  <c r="S194" i="8"/>
  <c r="U194" i="8"/>
  <c r="W194" i="8"/>
  <c r="Y194" i="8"/>
  <c r="AA194" i="8"/>
  <c r="AC194" i="8"/>
  <c r="AE194" i="8"/>
  <c r="AG194" i="8"/>
  <c r="AI194" i="8"/>
  <c r="AK194" i="8"/>
  <c r="C195" i="8"/>
  <c r="E195" i="8"/>
  <c r="G195" i="8"/>
  <c r="I195" i="8"/>
  <c r="K195" i="8"/>
  <c r="M195" i="8"/>
  <c r="O195" i="8"/>
  <c r="Q195" i="8"/>
  <c r="S195" i="8"/>
  <c r="U195" i="8"/>
  <c r="W195" i="8"/>
  <c r="Y195" i="8"/>
  <c r="AA195" i="8"/>
  <c r="AC195" i="8"/>
  <c r="AE195" i="8"/>
  <c r="AG195" i="8"/>
  <c r="AI195" i="8"/>
  <c r="AK195" i="8"/>
  <c r="C196" i="8"/>
  <c r="E196" i="8"/>
  <c r="G196" i="8"/>
  <c r="I196" i="8"/>
  <c r="K196" i="8"/>
  <c r="M196" i="8"/>
  <c r="O196" i="8"/>
  <c r="Q196" i="8"/>
  <c r="S196" i="8"/>
  <c r="U196" i="8"/>
  <c r="W196" i="8"/>
  <c r="Y196" i="8"/>
  <c r="AA196" i="8"/>
  <c r="AC196" i="8"/>
  <c r="AE196" i="8"/>
  <c r="AG196" i="8"/>
  <c r="AI196" i="8"/>
  <c r="AK196" i="8"/>
  <c r="C197" i="8"/>
  <c r="E197" i="8"/>
  <c r="G197" i="8"/>
  <c r="I197" i="8"/>
  <c r="K197" i="8"/>
  <c r="M197" i="8"/>
  <c r="O197" i="8"/>
  <c r="Q197" i="8"/>
  <c r="S197" i="8"/>
  <c r="U197" i="8"/>
  <c r="W197" i="8"/>
  <c r="Y197" i="8"/>
  <c r="AA197" i="8"/>
  <c r="AC197" i="8"/>
  <c r="AE197" i="8"/>
  <c r="AG197" i="8"/>
  <c r="AI197" i="8"/>
  <c r="AK197" i="8"/>
  <c r="C198" i="8"/>
  <c r="E198" i="8"/>
  <c r="G198" i="8"/>
  <c r="I198" i="8"/>
  <c r="K198" i="8"/>
  <c r="M198" i="8"/>
  <c r="O198" i="8"/>
  <c r="Q198" i="8"/>
  <c r="S198" i="8"/>
  <c r="U198" i="8"/>
  <c r="W198" i="8"/>
  <c r="Y198" i="8"/>
  <c r="AA198" i="8"/>
  <c r="AC198" i="8"/>
  <c r="AE198" i="8"/>
  <c r="AG198" i="8"/>
  <c r="AI198" i="8"/>
  <c r="AK198" i="8"/>
  <c r="C199" i="8"/>
  <c r="E199" i="8"/>
  <c r="G199" i="8"/>
  <c r="I199" i="8"/>
  <c r="K199" i="8"/>
  <c r="M199" i="8"/>
  <c r="O199" i="8"/>
  <c r="Q199" i="8"/>
  <c r="S199" i="8"/>
  <c r="U199" i="8"/>
  <c r="W199" i="8"/>
  <c r="Y199" i="8"/>
  <c r="AA199" i="8"/>
  <c r="AC199" i="8"/>
  <c r="AE199" i="8"/>
  <c r="AG199" i="8"/>
  <c r="AI199" i="8"/>
  <c r="AK199" i="8"/>
  <c r="C200" i="8"/>
  <c r="E200" i="8"/>
  <c r="G200" i="8"/>
  <c r="I200" i="8"/>
  <c r="K200" i="8"/>
  <c r="M200" i="8"/>
  <c r="O200" i="8"/>
  <c r="Q200" i="8"/>
  <c r="S200" i="8"/>
  <c r="U200" i="8"/>
  <c r="W200" i="8"/>
  <c r="Y200" i="8"/>
  <c r="AA200" i="8"/>
  <c r="AC200" i="8"/>
  <c r="AE200" i="8"/>
  <c r="AG200" i="8"/>
  <c r="AI200" i="8"/>
  <c r="AK200" i="8"/>
  <c r="C201" i="8"/>
  <c r="E201" i="8"/>
  <c r="G201" i="8"/>
  <c r="I201" i="8"/>
  <c r="K201" i="8"/>
  <c r="M201" i="8"/>
  <c r="O201" i="8"/>
  <c r="Q201" i="8"/>
  <c r="S201" i="8"/>
  <c r="U201" i="8"/>
  <c r="W201" i="8"/>
  <c r="Y201" i="8"/>
  <c r="AA201" i="8"/>
  <c r="AC201" i="8"/>
  <c r="AE201" i="8"/>
  <c r="AG201" i="8"/>
  <c r="AI201" i="8"/>
  <c r="AK201" i="8"/>
  <c r="C202" i="8"/>
  <c r="E202" i="8"/>
  <c r="G202" i="8"/>
  <c r="I202" i="8"/>
  <c r="K202" i="8"/>
  <c r="M202" i="8"/>
  <c r="O202" i="8"/>
  <c r="Q202" i="8"/>
  <c r="S202" i="8"/>
  <c r="U202" i="8"/>
  <c r="W202" i="8"/>
  <c r="Y202" i="8"/>
  <c r="AA202" i="8"/>
  <c r="AC202" i="8"/>
  <c r="AE202" i="8"/>
  <c r="AG202" i="8"/>
  <c r="AI202" i="8"/>
  <c r="AK202" i="8"/>
  <c r="C203" i="8"/>
  <c r="E203" i="8"/>
  <c r="G203" i="8"/>
  <c r="I203" i="8"/>
  <c r="K203" i="8"/>
  <c r="M203" i="8"/>
  <c r="O203" i="8"/>
  <c r="Q203" i="8"/>
  <c r="S203" i="8"/>
  <c r="U203" i="8"/>
  <c r="W203" i="8"/>
  <c r="Y203" i="8"/>
  <c r="AA203" i="8"/>
  <c r="AC203" i="8"/>
  <c r="AE203" i="8"/>
  <c r="AG203" i="8"/>
  <c r="AI203" i="8"/>
  <c r="AK203" i="8"/>
  <c r="C204" i="8"/>
  <c r="E204" i="8"/>
  <c r="G204" i="8"/>
  <c r="I204" i="8"/>
  <c r="K204" i="8"/>
  <c r="M204" i="8"/>
  <c r="O204" i="8"/>
  <c r="Q204" i="8"/>
  <c r="S204" i="8"/>
  <c r="U204" i="8"/>
  <c r="W204" i="8"/>
  <c r="Y204" i="8"/>
  <c r="AA204" i="8"/>
  <c r="AC204" i="8"/>
  <c r="AE204" i="8"/>
  <c r="AG204" i="8"/>
  <c r="AI204" i="8"/>
  <c r="AK204" i="8"/>
  <c r="C205" i="8"/>
  <c r="E205" i="8"/>
  <c r="G205" i="8"/>
  <c r="I205" i="8"/>
  <c r="K205" i="8"/>
  <c r="M205" i="8"/>
  <c r="O205" i="8"/>
  <c r="Q205" i="8"/>
  <c r="S205" i="8"/>
  <c r="U205" i="8"/>
  <c r="W205" i="8"/>
  <c r="Y205" i="8"/>
  <c r="AA205" i="8"/>
  <c r="AC205" i="8"/>
  <c r="AE205" i="8"/>
  <c r="AG205" i="8"/>
  <c r="AI205" i="8"/>
  <c r="AK205" i="8"/>
  <c r="C206" i="8"/>
  <c r="E206" i="8"/>
  <c r="G206" i="8"/>
  <c r="I206" i="8"/>
  <c r="K206" i="8"/>
  <c r="M206" i="8"/>
  <c r="O206" i="8"/>
  <c r="Q206" i="8"/>
  <c r="S206" i="8"/>
  <c r="U206" i="8"/>
  <c r="W206" i="8"/>
  <c r="Y206" i="8"/>
  <c r="AA206" i="8"/>
  <c r="AC206" i="8"/>
  <c r="AE206" i="8"/>
  <c r="AG206" i="8"/>
  <c r="AI206" i="8"/>
  <c r="AK206" i="8"/>
  <c r="C207" i="8"/>
  <c r="E207" i="8"/>
  <c r="I207" i="8"/>
  <c r="K207" i="8"/>
  <c r="M207" i="8"/>
  <c r="O207" i="8"/>
  <c r="Q207" i="8"/>
  <c r="S207" i="8"/>
  <c r="U207" i="8"/>
  <c r="W207" i="8"/>
  <c r="Y207" i="8"/>
  <c r="AA207" i="8"/>
  <c r="AC207" i="8"/>
  <c r="AE207" i="8"/>
  <c r="AG207" i="8"/>
  <c r="AI207" i="8"/>
  <c r="AK207" i="8"/>
  <c r="C208" i="8"/>
  <c r="E208" i="8"/>
  <c r="H208" i="8"/>
  <c r="J208" i="8"/>
  <c r="L208" i="8"/>
  <c r="N208" i="8"/>
  <c r="P208" i="8"/>
  <c r="R208" i="8"/>
  <c r="T208" i="8"/>
  <c r="V208" i="8"/>
  <c r="X208" i="8"/>
  <c r="Z208" i="8"/>
  <c r="AB208" i="8"/>
  <c r="AD208" i="8"/>
  <c r="AF208" i="8"/>
  <c r="AH208" i="8"/>
  <c r="AJ208" i="8"/>
  <c r="AL208" i="8"/>
  <c r="D209" i="8"/>
  <c r="F209" i="8"/>
  <c r="H209" i="8"/>
  <c r="J209" i="8"/>
  <c r="L209" i="8"/>
  <c r="N209" i="8"/>
  <c r="P209" i="8"/>
  <c r="R209" i="8"/>
  <c r="T209" i="8"/>
  <c r="V209" i="8"/>
  <c r="X209" i="8"/>
  <c r="Z209" i="8"/>
  <c r="AB209" i="8"/>
  <c r="AD209" i="8"/>
  <c r="AF209" i="8"/>
  <c r="AH209" i="8"/>
  <c r="AJ209" i="8"/>
  <c r="AL209" i="8"/>
  <c r="D210" i="8"/>
  <c r="F210" i="8"/>
  <c r="H210" i="8"/>
  <c r="J210" i="8"/>
  <c r="L210" i="8"/>
  <c r="N210" i="8"/>
  <c r="P210" i="8"/>
  <c r="R210" i="8"/>
  <c r="T210" i="8"/>
  <c r="V210" i="8"/>
  <c r="X210" i="8"/>
  <c r="Z210" i="8"/>
  <c r="AB210" i="8"/>
  <c r="AD210" i="8"/>
  <c r="AF210" i="8"/>
  <c r="AH210" i="8"/>
  <c r="AJ210" i="8"/>
  <c r="AL210" i="8"/>
  <c r="D211" i="8"/>
  <c r="F211" i="8"/>
  <c r="H211" i="8"/>
  <c r="J211" i="8"/>
  <c r="L211" i="8"/>
  <c r="N211" i="8"/>
  <c r="P211" i="8"/>
  <c r="R211" i="8"/>
  <c r="T211" i="8"/>
  <c r="V211" i="8"/>
  <c r="X211" i="8"/>
  <c r="Z211" i="8"/>
  <c r="AB211" i="8"/>
  <c r="AD211" i="8"/>
  <c r="AF211" i="8"/>
  <c r="AH211" i="8"/>
  <c r="AJ211" i="8"/>
  <c r="AL211" i="8"/>
  <c r="D212" i="8"/>
  <c r="F212" i="8"/>
  <c r="H212" i="8"/>
  <c r="J212" i="8"/>
  <c r="L212" i="8"/>
  <c r="N212" i="8"/>
  <c r="P212" i="8"/>
  <c r="R212" i="8"/>
  <c r="T212" i="8"/>
  <c r="V212" i="8"/>
  <c r="X212" i="8"/>
  <c r="Z212" i="8"/>
  <c r="AB212" i="8"/>
  <c r="AD212" i="8"/>
  <c r="AF212" i="8"/>
  <c r="AH212" i="8"/>
  <c r="AJ212" i="8"/>
  <c r="AL212" i="8"/>
  <c r="D213" i="8"/>
  <c r="F213" i="8"/>
  <c r="H213" i="8"/>
  <c r="J213" i="8"/>
  <c r="L213" i="8"/>
  <c r="N213" i="8"/>
  <c r="P213" i="8"/>
  <c r="R213" i="8"/>
  <c r="T213" i="8"/>
  <c r="V213" i="8"/>
  <c r="X213" i="8"/>
  <c r="Z213" i="8"/>
  <c r="AB213" i="8"/>
  <c r="AD213" i="8"/>
  <c r="AF213" i="8"/>
  <c r="AH213" i="8"/>
  <c r="AJ213" i="8"/>
  <c r="AL213" i="8"/>
  <c r="D214" i="8"/>
  <c r="F214" i="8"/>
  <c r="H214" i="8"/>
  <c r="J214" i="8"/>
  <c r="L214" i="8"/>
  <c r="N214" i="8"/>
  <c r="P214" i="8"/>
  <c r="R214" i="8"/>
  <c r="T214" i="8"/>
  <c r="V214" i="8"/>
  <c r="X214" i="8"/>
  <c r="Z214" i="8"/>
  <c r="AB214" i="8"/>
  <c r="AD214" i="8"/>
  <c r="AF214" i="8"/>
  <c r="AH214" i="8"/>
  <c r="AJ214" i="8"/>
  <c r="AL214" i="8"/>
  <c r="D215" i="8"/>
  <c r="F215" i="8"/>
  <c r="H215" i="8"/>
  <c r="J215" i="8"/>
  <c r="L215" i="8"/>
  <c r="N215" i="8"/>
  <c r="P215" i="8"/>
  <c r="R215" i="8"/>
  <c r="T215" i="8"/>
  <c r="V215" i="8"/>
  <c r="X215" i="8"/>
  <c r="Z215" i="8"/>
  <c r="AB215" i="8"/>
  <c r="AD215" i="8"/>
  <c r="AF215" i="8"/>
  <c r="AH215" i="8"/>
  <c r="AJ215" i="8"/>
  <c r="AL215" i="8"/>
  <c r="D216" i="8"/>
  <c r="F216" i="8"/>
  <c r="H216" i="8"/>
  <c r="J216" i="8"/>
  <c r="L216" i="8"/>
  <c r="N216" i="8"/>
  <c r="P216" i="8"/>
  <c r="R216" i="8"/>
  <c r="T216" i="8"/>
  <c r="V216" i="8"/>
  <c r="X216" i="8"/>
  <c r="Z216" i="8"/>
  <c r="AB216" i="8"/>
  <c r="AD216" i="8"/>
  <c r="AF216" i="8"/>
  <c r="AH216" i="8"/>
  <c r="AJ216" i="8"/>
  <c r="AL216" i="8"/>
  <c r="D217" i="8"/>
  <c r="F217" i="8"/>
  <c r="H217" i="8"/>
  <c r="J217" i="8"/>
  <c r="L217" i="8"/>
  <c r="N217" i="8"/>
  <c r="P217" i="8"/>
  <c r="R217" i="8"/>
  <c r="T217" i="8"/>
  <c r="V217" i="8"/>
  <c r="X217" i="8"/>
  <c r="Z217" i="8"/>
  <c r="AB217" i="8"/>
  <c r="AD217" i="8"/>
  <c r="AF217" i="8"/>
  <c r="AH217" i="8"/>
  <c r="AJ217" i="8"/>
  <c r="AL217" i="8"/>
  <c r="D218" i="8"/>
  <c r="F218" i="8"/>
  <c r="H218" i="8"/>
  <c r="J218" i="8"/>
  <c r="L218" i="8"/>
  <c r="N218" i="8"/>
  <c r="P218" i="8"/>
  <c r="R218" i="8"/>
  <c r="T218" i="8"/>
  <c r="V218" i="8"/>
  <c r="X218" i="8"/>
  <c r="Z218" i="8"/>
  <c r="AB218" i="8"/>
  <c r="AD218" i="8"/>
  <c r="AF218" i="8"/>
  <c r="AH218" i="8"/>
  <c r="AJ218" i="8"/>
  <c r="AL218" i="8"/>
  <c r="D219" i="8"/>
  <c r="F219" i="8"/>
  <c r="H219" i="8"/>
  <c r="J219" i="8"/>
  <c r="L219" i="8"/>
  <c r="N219" i="8"/>
  <c r="P219" i="8"/>
  <c r="R219" i="8"/>
  <c r="T219" i="8"/>
  <c r="V219" i="8"/>
  <c r="X219" i="8"/>
  <c r="Z219" i="8"/>
  <c r="AB219" i="8"/>
  <c r="AD219" i="8"/>
  <c r="AF219" i="8"/>
  <c r="AH219" i="8"/>
  <c r="AJ219" i="8"/>
  <c r="AL219" i="8"/>
  <c r="D220" i="8"/>
  <c r="H220" i="8"/>
  <c r="J220" i="8"/>
  <c r="L220" i="8"/>
  <c r="N220" i="8"/>
  <c r="P220" i="8"/>
  <c r="R220" i="8"/>
  <c r="T220" i="8"/>
  <c r="V220" i="8"/>
  <c r="X220" i="8"/>
  <c r="Z220" i="8"/>
  <c r="AB220" i="8"/>
  <c r="AD220" i="8"/>
  <c r="AF220" i="8"/>
  <c r="AH220" i="8"/>
  <c r="AJ220" i="8"/>
  <c r="AL220" i="8"/>
  <c r="D221" i="8"/>
  <c r="F221" i="8"/>
  <c r="H221" i="8"/>
  <c r="J221" i="8"/>
  <c r="L221" i="8"/>
  <c r="N221" i="8"/>
  <c r="P221" i="8"/>
  <c r="R221" i="8"/>
  <c r="T221" i="8"/>
  <c r="V221" i="8"/>
  <c r="X221" i="8"/>
  <c r="Z221" i="8"/>
  <c r="AB221" i="8"/>
  <c r="AD221" i="8"/>
  <c r="AF221" i="8"/>
  <c r="AH221" i="8"/>
  <c r="AJ221" i="8"/>
  <c r="AL221" i="8"/>
  <c r="D222" i="8"/>
  <c r="F222" i="8"/>
  <c r="H222" i="8"/>
  <c r="J222" i="8"/>
  <c r="L222" i="8"/>
  <c r="N222" i="8"/>
  <c r="P222" i="8"/>
  <c r="R222" i="8"/>
  <c r="T222" i="8"/>
  <c r="V222" i="8"/>
  <c r="X222" i="8"/>
  <c r="Z222" i="8"/>
  <c r="AB222" i="8"/>
  <c r="AD222" i="8"/>
  <c r="AF222" i="8"/>
  <c r="AH222" i="8"/>
  <c r="AJ222" i="8"/>
  <c r="AL222" i="8"/>
  <c r="D223" i="8"/>
  <c r="F223" i="8"/>
  <c r="H223" i="8"/>
  <c r="J223" i="8"/>
  <c r="L223" i="8"/>
  <c r="N223" i="8"/>
  <c r="P223" i="8"/>
  <c r="R223" i="8"/>
  <c r="T223" i="8"/>
  <c r="V223" i="8"/>
  <c r="X223" i="8"/>
  <c r="Z223" i="8"/>
  <c r="AB223" i="8"/>
  <c r="AD223" i="8"/>
  <c r="AF223" i="8"/>
  <c r="AH223" i="8"/>
  <c r="AJ223" i="8"/>
  <c r="AL223" i="8"/>
  <c r="D224" i="8"/>
  <c r="F224" i="8"/>
  <c r="H224" i="8"/>
  <c r="J224" i="8"/>
  <c r="L224" i="8"/>
  <c r="N224" i="8"/>
  <c r="P224" i="8"/>
  <c r="R224" i="8"/>
  <c r="T224" i="8"/>
  <c r="V224" i="8"/>
  <c r="X224" i="8"/>
  <c r="Z224" i="8"/>
  <c r="AB224" i="8"/>
  <c r="AD224" i="8"/>
  <c r="AF224" i="8"/>
  <c r="AH224" i="8"/>
  <c r="AJ224" i="8"/>
  <c r="AL224" i="8"/>
  <c r="D225" i="8"/>
  <c r="F225" i="8"/>
  <c r="H225" i="8"/>
  <c r="J225" i="8"/>
  <c r="L225" i="8"/>
  <c r="N225" i="8"/>
  <c r="P225" i="8"/>
  <c r="R225" i="8"/>
  <c r="T225" i="8"/>
  <c r="V225" i="8"/>
  <c r="X225" i="8"/>
  <c r="Z225" i="8"/>
  <c r="AB225" i="8"/>
  <c r="AD225" i="8"/>
  <c r="AF225" i="8"/>
  <c r="AH225" i="8"/>
  <c r="AJ225" i="8"/>
  <c r="AL225" i="8"/>
  <c r="D226" i="8"/>
  <c r="F226" i="8"/>
  <c r="H226" i="8"/>
  <c r="J226" i="8"/>
  <c r="L226" i="8"/>
  <c r="N226" i="8"/>
  <c r="P226" i="8"/>
  <c r="R226" i="8"/>
  <c r="T226" i="8"/>
  <c r="V226" i="8"/>
  <c r="X226" i="8"/>
  <c r="Z226" i="8"/>
  <c r="AB226" i="8"/>
  <c r="AD226" i="8"/>
  <c r="AF226" i="8"/>
  <c r="AH226" i="8"/>
  <c r="AJ226" i="8"/>
  <c r="AL226" i="8"/>
  <c r="D227" i="8"/>
  <c r="F227" i="8"/>
  <c r="H227" i="8"/>
  <c r="J227" i="8"/>
  <c r="L227" i="8"/>
  <c r="N227" i="8"/>
  <c r="P227" i="8"/>
  <c r="R227" i="8"/>
  <c r="T227" i="8"/>
  <c r="V227" i="8"/>
  <c r="X227" i="8"/>
  <c r="Z227" i="8"/>
  <c r="AB227" i="8"/>
  <c r="AD227" i="8"/>
  <c r="AF227" i="8"/>
  <c r="AH227" i="8"/>
  <c r="AJ227" i="8"/>
  <c r="AL227" i="8"/>
  <c r="D228" i="8"/>
  <c r="F228" i="8"/>
  <c r="H228" i="8"/>
  <c r="J228" i="8"/>
  <c r="L228" i="8"/>
  <c r="N228" i="8"/>
  <c r="P228" i="8"/>
  <c r="R228" i="8"/>
  <c r="T228" i="8"/>
  <c r="V228" i="8"/>
  <c r="X228" i="8"/>
  <c r="Z228" i="8"/>
  <c r="AB228" i="8"/>
  <c r="AD228" i="8"/>
  <c r="AF228" i="8"/>
  <c r="AH228" i="8"/>
  <c r="AJ228" i="8"/>
  <c r="AL228" i="8"/>
  <c r="D229" i="8"/>
  <c r="F229" i="8"/>
  <c r="H229" i="8"/>
  <c r="J229" i="8"/>
  <c r="L229" i="8"/>
  <c r="N229" i="8"/>
  <c r="P229" i="8"/>
  <c r="R229" i="8"/>
  <c r="T229" i="8"/>
  <c r="V229" i="8"/>
  <c r="X229" i="8"/>
  <c r="Z229" i="8"/>
  <c r="AB229" i="8"/>
  <c r="AD229" i="8"/>
  <c r="AF229" i="8"/>
  <c r="AH229" i="8"/>
  <c r="AJ229" i="8"/>
  <c r="AL229" i="8"/>
  <c r="D230" i="8"/>
  <c r="F230" i="8"/>
  <c r="H230" i="8"/>
  <c r="J230" i="8"/>
  <c r="L230" i="8"/>
  <c r="N230" i="8"/>
  <c r="P230" i="8"/>
  <c r="R230" i="8"/>
  <c r="T230" i="8"/>
  <c r="V230" i="8"/>
  <c r="X230" i="8"/>
  <c r="Z230" i="8"/>
  <c r="AB230" i="8"/>
  <c r="AD230" i="8"/>
  <c r="AF230" i="8"/>
  <c r="AH230" i="8"/>
  <c r="AJ230" i="8"/>
  <c r="AL230" i="8"/>
  <c r="D231" i="8"/>
  <c r="F231" i="8"/>
  <c r="H231" i="8"/>
  <c r="J231" i="8"/>
  <c r="L231" i="8"/>
  <c r="N231" i="8"/>
  <c r="P231" i="8"/>
  <c r="R231" i="8"/>
  <c r="T231" i="8"/>
  <c r="V231" i="8"/>
  <c r="X231" i="8"/>
  <c r="Z231" i="8"/>
  <c r="AB231" i="8"/>
  <c r="AD231" i="8"/>
  <c r="AF231" i="8"/>
  <c r="AH231" i="8"/>
  <c r="AJ231" i="8"/>
  <c r="AL231" i="8"/>
  <c r="D232" i="8"/>
  <c r="F232" i="8"/>
  <c r="H232" i="8"/>
  <c r="J232" i="8"/>
  <c r="L232" i="8"/>
  <c r="N232" i="8"/>
  <c r="P232" i="8"/>
  <c r="R232" i="8"/>
  <c r="T232" i="8"/>
  <c r="V232" i="8"/>
  <c r="X232" i="8"/>
  <c r="Z232" i="8"/>
  <c r="AB232" i="8"/>
  <c r="AD232" i="8"/>
  <c r="AF232" i="8"/>
  <c r="AH232" i="8"/>
  <c r="AJ232" i="8"/>
  <c r="AL232" i="8"/>
  <c r="D233" i="8"/>
  <c r="F233" i="8"/>
  <c r="H233" i="8"/>
  <c r="J233" i="8"/>
  <c r="L233" i="8"/>
  <c r="N233" i="8"/>
  <c r="P233" i="8"/>
  <c r="R233" i="8"/>
  <c r="T233" i="8"/>
  <c r="V233" i="8"/>
  <c r="X233" i="8"/>
  <c r="Z233" i="8"/>
  <c r="AB233" i="8"/>
  <c r="AD233" i="8"/>
  <c r="AF233" i="8"/>
  <c r="AH233" i="8"/>
  <c r="AJ233" i="8"/>
  <c r="AL233" i="8"/>
  <c r="D234" i="8"/>
  <c r="F234" i="8"/>
  <c r="H234" i="8"/>
  <c r="J234" i="8"/>
  <c r="L234" i="8"/>
  <c r="N234" i="8"/>
  <c r="P234" i="8"/>
  <c r="R234" i="8"/>
  <c r="T234" i="8"/>
  <c r="V234" i="8"/>
  <c r="X234" i="8"/>
  <c r="Z234" i="8"/>
  <c r="AB234" i="8"/>
  <c r="AD234" i="8"/>
  <c r="AF234" i="8"/>
  <c r="AH234" i="8"/>
  <c r="AJ234" i="8"/>
  <c r="AL234" i="8"/>
  <c r="D235" i="8"/>
  <c r="F235" i="8"/>
  <c r="H235" i="8"/>
  <c r="J235" i="8"/>
  <c r="L235" i="8"/>
  <c r="N235" i="8"/>
  <c r="P235" i="8"/>
  <c r="R235" i="8"/>
  <c r="T235" i="8"/>
  <c r="V235" i="8"/>
  <c r="X235" i="8"/>
  <c r="Z235" i="8"/>
  <c r="AB235" i="8"/>
  <c r="H3" i="8"/>
  <c r="R3" i="8"/>
  <c r="Z3" i="8"/>
  <c r="AE3" i="8"/>
  <c r="AI3" i="8"/>
  <c r="AK3" i="8"/>
  <c r="E4" i="8"/>
  <c r="G4" i="8"/>
  <c r="J4" i="8"/>
  <c r="P4" i="8"/>
  <c r="S4" i="8"/>
  <c r="U4" i="8"/>
  <c r="W4" i="8"/>
  <c r="AD4" i="8"/>
  <c r="AF4" i="8"/>
  <c r="AJ4" i="8"/>
  <c r="AL4" i="8"/>
  <c r="D5" i="8"/>
  <c r="G5" i="8"/>
  <c r="I5" i="8"/>
  <c r="M5" i="8"/>
  <c r="O5" i="8"/>
  <c r="R5" i="8"/>
  <c r="T5" i="8"/>
  <c r="V5" i="8"/>
  <c r="X5" i="8"/>
  <c r="AB5" i="8"/>
  <c r="AD5" i="8"/>
  <c r="AF5" i="8"/>
  <c r="AH5" i="8"/>
  <c r="AJ5" i="8"/>
  <c r="AL5" i="8"/>
  <c r="D6" i="8"/>
  <c r="F6" i="8"/>
  <c r="H6" i="8"/>
  <c r="L6" i="8"/>
  <c r="O6" i="8"/>
  <c r="R6" i="8"/>
  <c r="T6" i="8"/>
  <c r="V6" i="8"/>
  <c r="X6" i="8"/>
  <c r="AC6" i="8"/>
  <c r="AE6" i="8"/>
  <c r="AI6" i="8"/>
  <c r="AK6" i="8"/>
  <c r="D8" i="8"/>
  <c r="F8" i="8"/>
  <c r="I8" i="8"/>
  <c r="L8" i="8"/>
  <c r="P8" i="8"/>
  <c r="R8" i="8"/>
  <c r="U8" i="8"/>
  <c r="AE8" i="8"/>
  <c r="AJ8" i="8"/>
  <c r="D9" i="8"/>
  <c r="F9" i="8"/>
  <c r="I9" i="8"/>
  <c r="L9" i="8"/>
  <c r="P9" i="8"/>
  <c r="R9" i="8"/>
  <c r="U9" i="8"/>
  <c r="AE9" i="8"/>
  <c r="AJ9" i="8"/>
  <c r="C11" i="8"/>
  <c r="E11" i="8"/>
  <c r="G11" i="8"/>
  <c r="I11" i="8"/>
  <c r="K11" i="8"/>
  <c r="M11" i="8"/>
  <c r="P11" i="8"/>
  <c r="N13" i="8"/>
  <c r="Z13" i="8"/>
  <c r="AL13" i="8"/>
  <c r="G14" i="8"/>
  <c r="M14" i="8"/>
  <c r="U14" i="8"/>
  <c r="AD14" i="8"/>
  <c r="D15" i="8"/>
  <c r="N15" i="8"/>
  <c r="AJ15" i="8"/>
  <c r="D17" i="8"/>
  <c r="I17" i="8"/>
  <c r="O17" i="8"/>
  <c r="U17" i="8"/>
  <c r="AD17" i="8"/>
  <c r="AL17" i="8"/>
  <c r="L18" i="8"/>
  <c r="D19" i="8"/>
  <c r="J19" i="8"/>
  <c r="P19" i="8"/>
  <c r="T19" i="8"/>
  <c r="AD19" i="8"/>
  <c r="D20" i="8"/>
  <c r="N20" i="8"/>
  <c r="W20" i="8"/>
  <c r="AE20" i="8"/>
  <c r="AK20" i="8"/>
  <c r="F21" i="8"/>
  <c r="J21" i="8"/>
  <c r="N21" i="8"/>
  <c r="R21" i="8"/>
  <c r="X21" i="8"/>
  <c r="AD21" i="8"/>
  <c r="AH21" i="8"/>
  <c r="AL21" i="8"/>
  <c r="D23" i="8"/>
  <c r="F23" i="8"/>
  <c r="H23" i="8"/>
  <c r="J23" i="8"/>
  <c r="L23" i="8"/>
  <c r="N23" i="8"/>
  <c r="P23" i="8"/>
  <c r="R23" i="8"/>
  <c r="T23" i="8"/>
  <c r="V23" i="8"/>
  <c r="X23" i="8"/>
  <c r="Z23" i="8"/>
  <c r="AB23" i="8"/>
  <c r="AD23" i="8"/>
  <c r="AF23" i="8"/>
  <c r="AH23" i="8"/>
  <c r="AL23" i="8"/>
  <c r="D24" i="8"/>
  <c r="F24" i="8"/>
  <c r="H24" i="8"/>
  <c r="J24" i="8"/>
  <c r="L24" i="8"/>
  <c r="N24" i="8"/>
  <c r="P24" i="8"/>
  <c r="R24" i="8"/>
  <c r="T24" i="8"/>
  <c r="V24" i="8"/>
  <c r="X24" i="8"/>
  <c r="Z24" i="8"/>
  <c r="AB24" i="8"/>
  <c r="AD24" i="8"/>
  <c r="AF24" i="8"/>
  <c r="AH24" i="8"/>
  <c r="AJ24" i="8"/>
  <c r="AL24" i="8"/>
  <c r="D25" i="8"/>
  <c r="F25" i="8"/>
  <c r="H25" i="8"/>
  <c r="J25" i="8"/>
  <c r="L25" i="8"/>
  <c r="N25" i="8"/>
  <c r="P25" i="8"/>
  <c r="R25" i="8"/>
  <c r="T25" i="8"/>
  <c r="V25" i="8"/>
  <c r="X25" i="8"/>
  <c r="Z25" i="8"/>
  <c r="AB25" i="8"/>
  <c r="AD25" i="8"/>
  <c r="AF25" i="8"/>
  <c r="AH25" i="8"/>
  <c r="AJ25" i="8"/>
  <c r="AL25" i="8"/>
  <c r="D26" i="8"/>
  <c r="F26" i="8"/>
  <c r="H26" i="8"/>
  <c r="J26" i="8"/>
  <c r="L26" i="8"/>
  <c r="N26" i="8"/>
  <c r="P26" i="8"/>
  <c r="R26" i="8"/>
  <c r="T26" i="8"/>
  <c r="V26" i="8"/>
  <c r="X26" i="8"/>
  <c r="Z26" i="8"/>
  <c r="AB26" i="8"/>
  <c r="AD26" i="8"/>
  <c r="AF26" i="8"/>
  <c r="AH26" i="8"/>
  <c r="AJ26" i="8"/>
  <c r="AL26" i="8"/>
  <c r="D28" i="8"/>
  <c r="F28" i="8"/>
  <c r="H28" i="8"/>
  <c r="J28" i="8"/>
  <c r="L28" i="8"/>
  <c r="N28" i="8"/>
  <c r="P28" i="8"/>
  <c r="R28" i="8"/>
  <c r="T28" i="8"/>
  <c r="V28" i="8"/>
  <c r="Y28" i="8"/>
  <c r="AB28" i="8"/>
  <c r="AD28" i="8"/>
  <c r="AF28" i="8"/>
  <c r="AH28" i="8"/>
  <c r="AK28" i="8"/>
  <c r="C29" i="8"/>
  <c r="E29" i="8"/>
  <c r="G29" i="8"/>
  <c r="I29" i="8"/>
  <c r="K29" i="8"/>
  <c r="M29" i="8"/>
  <c r="O29" i="8"/>
  <c r="Q29" i="8"/>
  <c r="S29" i="8"/>
  <c r="U29" i="8"/>
  <c r="W29" i="8"/>
  <c r="Y29" i="8"/>
  <c r="AA29" i="8"/>
  <c r="AC29" i="8"/>
  <c r="AE29" i="8"/>
  <c r="AG29" i="8"/>
  <c r="AI29" i="8"/>
  <c r="AK29" i="8"/>
  <c r="C30" i="8"/>
  <c r="E30" i="8"/>
  <c r="G30" i="8"/>
  <c r="I30" i="8"/>
  <c r="K30" i="8"/>
  <c r="M30" i="8"/>
  <c r="O30" i="8"/>
  <c r="Q30" i="8"/>
  <c r="S30" i="8"/>
  <c r="U30" i="8"/>
  <c r="W30" i="8"/>
  <c r="Y30" i="8"/>
  <c r="AA30" i="8"/>
  <c r="AC30" i="8"/>
  <c r="AE30" i="8"/>
  <c r="AG30" i="8"/>
  <c r="AI30" i="8"/>
  <c r="AK30" i="8"/>
  <c r="C31" i="8"/>
  <c r="E31" i="8"/>
  <c r="G31" i="8"/>
  <c r="I31" i="8"/>
  <c r="K31" i="8"/>
  <c r="M31" i="8"/>
  <c r="O31" i="8"/>
  <c r="Q31" i="8"/>
  <c r="S31" i="8"/>
  <c r="U31" i="8"/>
  <c r="X31" i="8"/>
  <c r="Z31" i="8"/>
  <c r="AC31" i="8"/>
  <c r="AE31" i="8"/>
  <c r="AG31" i="8"/>
  <c r="AJ31" i="8"/>
  <c r="AL31" i="8"/>
  <c r="D32" i="8"/>
  <c r="F32" i="8"/>
  <c r="H32" i="8"/>
  <c r="J32" i="8"/>
  <c r="L32" i="8"/>
  <c r="N32" i="8"/>
  <c r="P32" i="8"/>
  <c r="R32" i="8"/>
  <c r="T32" i="8"/>
  <c r="V32" i="8"/>
  <c r="X32" i="8"/>
  <c r="Z32" i="8"/>
  <c r="AB32" i="8"/>
  <c r="AD32" i="8"/>
  <c r="AF32" i="8"/>
  <c r="AH32" i="8"/>
  <c r="AJ32" i="8"/>
  <c r="AL32" i="8"/>
  <c r="D37" i="8"/>
  <c r="D36" i="8"/>
  <c r="F37" i="8"/>
  <c r="F36" i="8"/>
  <c r="H37" i="8"/>
  <c r="H36" i="8"/>
  <c r="J37" i="8"/>
  <c r="J36" i="8"/>
  <c r="L37" i="8"/>
  <c r="L36" i="8"/>
  <c r="N37" i="8"/>
  <c r="N36" i="8"/>
  <c r="P37" i="8"/>
  <c r="P36" i="8"/>
  <c r="R37" i="8"/>
  <c r="R36" i="8"/>
  <c r="T37" i="8"/>
  <c r="T36" i="8"/>
  <c r="V37" i="8"/>
  <c r="V36" i="8"/>
  <c r="X37" i="8"/>
  <c r="X36" i="8"/>
  <c r="Z37" i="8"/>
  <c r="Z36" i="8"/>
  <c r="AB37" i="8"/>
  <c r="AB36" i="8"/>
  <c r="AD37" i="8"/>
  <c r="AD36" i="8"/>
  <c r="AF37" i="8"/>
  <c r="AF36" i="8"/>
  <c r="AH37" i="8"/>
  <c r="AH36" i="8"/>
  <c r="AJ37" i="8"/>
  <c r="AJ36" i="8"/>
  <c r="AL37" i="8"/>
  <c r="AL36" i="8"/>
  <c r="D39" i="8"/>
  <c r="G39" i="8"/>
  <c r="I39" i="8"/>
  <c r="K39" i="8"/>
  <c r="M39" i="8"/>
  <c r="R39" i="8"/>
  <c r="U39" i="8"/>
  <c r="W39" i="8"/>
  <c r="AC39" i="8"/>
  <c r="AI39" i="8"/>
  <c r="AK39" i="8"/>
  <c r="C40" i="8"/>
  <c r="E40" i="8"/>
  <c r="G40" i="8"/>
  <c r="I40" i="8"/>
  <c r="K40" i="8"/>
  <c r="M40" i="8"/>
  <c r="O40" i="8"/>
  <c r="Q40" i="8"/>
  <c r="S40" i="8"/>
  <c r="U40" i="8"/>
  <c r="W40" i="8"/>
  <c r="Y40" i="8"/>
  <c r="AA40" i="8"/>
  <c r="AC40" i="8"/>
  <c r="AE40" i="8"/>
  <c r="AG40" i="8"/>
  <c r="AI40" i="8"/>
  <c r="AK40" i="8"/>
  <c r="C41" i="8"/>
  <c r="E41" i="8"/>
  <c r="G41" i="8"/>
  <c r="J41" i="8"/>
  <c r="L41" i="8"/>
  <c r="N41" i="8"/>
  <c r="Q41" i="8"/>
  <c r="S41" i="8"/>
  <c r="V41" i="8"/>
  <c r="Z41" i="8"/>
  <c r="AF41" i="8"/>
  <c r="AK41" i="8"/>
  <c r="C42" i="8"/>
  <c r="E42" i="8"/>
  <c r="G42" i="8"/>
  <c r="I42" i="8"/>
  <c r="K42" i="8"/>
  <c r="M42" i="8"/>
  <c r="O42" i="8"/>
  <c r="Q42" i="8"/>
  <c r="S42" i="8"/>
  <c r="U42" i="8"/>
  <c r="W42" i="8"/>
  <c r="Y42" i="8"/>
  <c r="AA42" i="8"/>
  <c r="AC42" i="8"/>
  <c r="AE42" i="8"/>
  <c r="AG42" i="8"/>
  <c r="AI42" i="8"/>
  <c r="AK42" i="8"/>
  <c r="C43" i="8"/>
  <c r="E43" i="8"/>
  <c r="G43" i="8"/>
  <c r="I43" i="8"/>
  <c r="K43" i="8"/>
  <c r="M43" i="8"/>
  <c r="O43" i="8"/>
  <c r="Q43" i="8"/>
  <c r="S43" i="8"/>
  <c r="U43" i="8"/>
  <c r="W43" i="8"/>
  <c r="Y43" i="8"/>
  <c r="AA43" i="8"/>
  <c r="AC43" i="8"/>
  <c r="AE43" i="8"/>
  <c r="AG43" i="8"/>
  <c r="AI43" i="8"/>
  <c r="AK43" i="8"/>
  <c r="C44" i="8"/>
  <c r="E44" i="8"/>
  <c r="H44" i="8"/>
  <c r="J44" i="8"/>
  <c r="L44" i="8"/>
  <c r="N44" i="8"/>
  <c r="P44" i="8"/>
  <c r="R44" i="8"/>
  <c r="T44" i="8"/>
  <c r="V44" i="8"/>
  <c r="X44" i="8"/>
  <c r="Z44" i="8"/>
  <c r="AB44" i="8"/>
  <c r="AD44" i="8"/>
  <c r="AF44" i="8"/>
  <c r="AH44" i="8"/>
  <c r="AK44" i="8"/>
  <c r="C45" i="8"/>
  <c r="E45" i="8"/>
  <c r="G45" i="8"/>
  <c r="J45" i="8"/>
  <c r="L45" i="8"/>
  <c r="N45" i="8"/>
  <c r="S45" i="8"/>
  <c r="U45" i="8"/>
  <c r="W45" i="8"/>
  <c r="Z45" i="8"/>
  <c r="AF45" i="8"/>
  <c r="AI45" i="8"/>
  <c r="AK45" i="8"/>
  <c r="C47" i="8"/>
  <c r="E47" i="8"/>
  <c r="G47" i="8"/>
  <c r="I47" i="8"/>
  <c r="K47" i="8"/>
  <c r="M47" i="8"/>
  <c r="O47" i="8"/>
  <c r="Q47" i="8"/>
  <c r="S47" i="8"/>
  <c r="U47" i="8"/>
  <c r="W47" i="8"/>
  <c r="Y47" i="8"/>
  <c r="AA47" i="8"/>
  <c r="AC47" i="8"/>
  <c r="AE47" i="8"/>
  <c r="AG47" i="8"/>
  <c r="AI47" i="8"/>
  <c r="AK47" i="8"/>
  <c r="C48" i="8"/>
  <c r="E48" i="8"/>
  <c r="G48" i="8"/>
  <c r="I48" i="8"/>
  <c r="K48" i="8"/>
  <c r="M48" i="8"/>
  <c r="O48" i="8"/>
  <c r="Q48" i="8"/>
  <c r="S48" i="8"/>
  <c r="U48" i="8"/>
  <c r="W48" i="8"/>
  <c r="Y48" i="8"/>
  <c r="AA48" i="8"/>
  <c r="AC48" i="8"/>
  <c r="AE48" i="8"/>
  <c r="AG48" i="8"/>
  <c r="AI48" i="8"/>
  <c r="AK48" i="8"/>
  <c r="C49" i="8"/>
  <c r="E49" i="8"/>
  <c r="G49" i="8"/>
  <c r="I49" i="8"/>
  <c r="K49" i="8"/>
  <c r="M49" i="8"/>
  <c r="O49" i="8"/>
  <c r="Q49" i="8"/>
  <c r="S49" i="8"/>
  <c r="U49" i="8"/>
  <c r="W49" i="8"/>
  <c r="Y49" i="8"/>
  <c r="AA49" i="8"/>
  <c r="AC49" i="8"/>
  <c r="AE49" i="8"/>
  <c r="AG49" i="8"/>
  <c r="AI49" i="8"/>
  <c r="AK49" i="8"/>
  <c r="D50" i="8"/>
  <c r="F50" i="8"/>
  <c r="H50" i="8"/>
  <c r="J50" i="8"/>
  <c r="L50" i="8"/>
  <c r="N50" i="8"/>
  <c r="P50" i="8"/>
  <c r="R50" i="8"/>
  <c r="T50" i="8"/>
  <c r="X50" i="8"/>
  <c r="Z50" i="8"/>
  <c r="AB50" i="8"/>
  <c r="AD50" i="8"/>
  <c r="AF50" i="8"/>
  <c r="AH50" i="8"/>
  <c r="AJ50" i="8"/>
  <c r="AL50" i="8"/>
  <c r="D51" i="8"/>
  <c r="F51" i="8"/>
  <c r="H51" i="8"/>
  <c r="J51" i="8"/>
  <c r="L51" i="8"/>
  <c r="N51" i="8"/>
  <c r="P51" i="8"/>
  <c r="R51" i="8"/>
  <c r="T51" i="8"/>
  <c r="V51" i="8"/>
  <c r="X51" i="8"/>
  <c r="Z51" i="8"/>
  <c r="AB51" i="8"/>
  <c r="AD51" i="8"/>
  <c r="AF51" i="8"/>
  <c r="AH51" i="8"/>
  <c r="AJ51" i="8"/>
  <c r="AL51" i="8"/>
  <c r="E52" i="8"/>
  <c r="G52" i="8"/>
  <c r="I52" i="8"/>
  <c r="K52" i="8"/>
  <c r="M52" i="8"/>
  <c r="O52" i="8"/>
  <c r="Q52" i="8"/>
  <c r="S52" i="8"/>
  <c r="U52" i="8"/>
  <c r="W52" i="8"/>
  <c r="Y52" i="8"/>
  <c r="AA52" i="8"/>
  <c r="AC52" i="8"/>
  <c r="AE52" i="8"/>
  <c r="AG52" i="8"/>
  <c r="AI52" i="8"/>
  <c r="AK52" i="8"/>
  <c r="C53" i="8"/>
  <c r="E53" i="8"/>
  <c r="G53" i="8"/>
  <c r="I53" i="8"/>
  <c r="K53" i="8"/>
  <c r="M53" i="8"/>
  <c r="O53" i="8"/>
  <c r="Q53" i="8"/>
  <c r="S53" i="8"/>
  <c r="U53" i="8"/>
  <c r="W53" i="8"/>
  <c r="Y53" i="8"/>
  <c r="AA53" i="8"/>
  <c r="AC53" i="8"/>
  <c r="AE53" i="8"/>
  <c r="AG53" i="8"/>
  <c r="AI53" i="8"/>
  <c r="AK53" i="8"/>
  <c r="C54" i="8"/>
  <c r="E54" i="8"/>
  <c r="G54" i="8"/>
  <c r="I54" i="8"/>
  <c r="K54" i="8"/>
  <c r="M54" i="8"/>
  <c r="O54" i="8"/>
  <c r="Q54" i="8"/>
  <c r="S54" i="8"/>
  <c r="U54" i="8"/>
  <c r="W54" i="8"/>
  <c r="Y54" i="8"/>
  <c r="AA54" i="8"/>
  <c r="AC54" i="8"/>
  <c r="AE54" i="8"/>
  <c r="AG54" i="8"/>
  <c r="AI54" i="8"/>
  <c r="AK54" i="8"/>
  <c r="C55" i="8"/>
  <c r="F55" i="8"/>
  <c r="I55" i="8"/>
  <c r="K55" i="8"/>
  <c r="M55" i="8"/>
  <c r="P55" i="8"/>
  <c r="S55" i="8"/>
  <c r="W55" i="8"/>
  <c r="Z55" i="8"/>
  <c r="AB55" i="8"/>
  <c r="AE55" i="8"/>
  <c r="AI55" i="8"/>
  <c r="AK55" i="8"/>
  <c r="D56" i="8"/>
  <c r="F56" i="8"/>
  <c r="H56" i="8"/>
  <c r="J56" i="8"/>
  <c r="L56" i="8"/>
  <c r="O56" i="8"/>
  <c r="R56" i="8"/>
  <c r="T56" i="8"/>
  <c r="V56" i="8"/>
  <c r="X56" i="8"/>
  <c r="Z56" i="8"/>
  <c r="AB56" i="8"/>
  <c r="AD56" i="8"/>
  <c r="AF56" i="8"/>
  <c r="AH56" i="8"/>
  <c r="AJ56" i="8"/>
  <c r="AL56" i="8"/>
  <c r="F57" i="8"/>
  <c r="H57" i="8"/>
  <c r="J57" i="8"/>
  <c r="L57" i="8"/>
  <c r="O57" i="8"/>
  <c r="Q57" i="8"/>
  <c r="S57" i="8"/>
  <c r="X57" i="8"/>
  <c r="AA57" i="8"/>
  <c r="AD57" i="8"/>
  <c r="AH57" i="8"/>
  <c r="AJ57" i="8"/>
  <c r="AL57" i="8"/>
  <c r="E58" i="8"/>
  <c r="G58" i="8"/>
  <c r="I58" i="8"/>
  <c r="K58" i="8"/>
  <c r="M58" i="8"/>
  <c r="P58" i="8"/>
  <c r="R58" i="8"/>
  <c r="T58" i="8"/>
  <c r="V58" i="8"/>
  <c r="X58" i="8"/>
  <c r="Z58" i="8"/>
  <c r="AB58" i="8"/>
  <c r="AD58" i="8"/>
  <c r="AF58" i="8"/>
  <c r="AH58" i="8"/>
  <c r="AJ58" i="8"/>
  <c r="AL58" i="8"/>
  <c r="E59" i="8"/>
  <c r="G59" i="8"/>
  <c r="I59" i="8"/>
  <c r="K59" i="8"/>
  <c r="M59" i="8"/>
  <c r="O59" i="8"/>
  <c r="Q59" i="8"/>
  <c r="S59" i="8"/>
  <c r="U59" i="8"/>
  <c r="W59" i="8"/>
  <c r="Y59" i="8"/>
  <c r="AA59" i="8"/>
  <c r="AC59" i="8"/>
  <c r="AE59" i="8"/>
  <c r="AG59" i="8"/>
  <c r="AI59" i="8"/>
  <c r="AK59" i="8"/>
  <c r="C60" i="8"/>
  <c r="E60" i="8"/>
  <c r="G60" i="8"/>
  <c r="I60" i="8"/>
  <c r="K60" i="8"/>
  <c r="M60" i="8"/>
  <c r="P60" i="8"/>
  <c r="S60" i="8"/>
  <c r="U60" i="8"/>
  <c r="Z60" i="8"/>
  <c r="AB60" i="8"/>
  <c r="AE60" i="8"/>
  <c r="AI60" i="8"/>
  <c r="AK60" i="8"/>
  <c r="C61" i="8"/>
  <c r="G61" i="8"/>
  <c r="I61" i="8"/>
  <c r="K61" i="8"/>
  <c r="M61" i="8"/>
  <c r="O61" i="8"/>
  <c r="S61" i="8"/>
  <c r="V61" i="8"/>
  <c r="X61" i="8"/>
  <c r="AA61" i="8"/>
  <c r="AC61" i="8"/>
  <c r="AF61" i="8"/>
  <c r="AH61" i="8"/>
  <c r="AJ61" i="8"/>
  <c r="AL61" i="8"/>
  <c r="E62" i="8"/>
  <c r="G62" i="8"/>
  <c r="I62" i="8"/>
  <c r="K62" i="8"/>
  <c r="M62" i="8"/>
  <c r="O62" i="8"/>
  <c r="Q62" i="8"/>
  <c r="S62" i="8"/>
  <c r="U62" i="8"/>
  <c r="W62" i="8"/>
  <c r="Y62" i="8"/>
  <c r="AA62" i="8"/>
  <c r="AC62" i="8"/>
  <c r="AE62" i="8"/>
  <c r="AG62" i="8"/>
  <c r="AI62" i="8"/>
  <c r="AK62" i="8"/>
  <c r="G63" i="8"/>
  <c r="I63" i="8"/>
  <c r="K63" i="8"/>
  <c r="M63" i="8"/>
  <c r="P63" i="8"/>
  <c r="R63" i="8"/>
  <c r="T63" i="8"/>
  <c r="V63" i="8"/>
  <c r="X63" i="8"/>
  <c r="Z63" i="8"/>
  <c r="AB63" i="8"/>
  <c r="AD63" i="8"/>
  <c r="AF63" i="8"/>
  <c r="AH63" i="8"/>
  <c r="AJ63" i="8"/>
  <c r="AL63" i="8"/>
  <c r="E64" i="8"/>
  <c r="H64" i="8"/>
  <c r="J64" i="8"/>
  <c r="L64" i="8"/>
  <c r="N64" i="8"/>
  <c r="R64" i="8"/>
  <c r="T64" i="8"/>
  <c r="W64" i="8"/>
  <c r="Y64" i="8"/>
  <c r="AA64" i="8"/>
  <c r="AC64" i="8"/>
  <c r="AF64" i="8"/>
  <c r="AH64" i="8"/>
  <c r="AJ64" i="8"/>
  <c r="AL64" i="8"/>
  <c r="D65" i="8"/>
  <c r="F65" i="8"/>
  <c r="H65" i="8"/>
  <c r="J65" i="8"/>
  <c r="L65" i="8"/>
  <c r="N65" i="8"/>
  <c r="P65" i="8"/>
  <c r="R65" i="8"/>
  <c r="T65" i="8"/>
  <c r="V65" i="8"/>
  <c r="X65" i="8"/>
  <c r="Z65" i="8"/>
  <c r="AB65" i="8"/>
  <c r="AD65" i="8"/>
  <c r="AF65" i="8"/>
  <c r="AH65" i="8"/>
  <c r="AJ65" i="8"/>
  <c r="AL65" i="8"/>
  <c r="D66" i="8"/>
  <c r="F66" i="8"/>
  <c r="H66" i="8"/>
  <c r="J66" i="8"/>
  <c r="L66" i="8"/>
  <c r="N66" i="8"/>
  <c r="P66" i="8"/>
  <c r="R66" i="8"/>
  <c r="T66" i="8"/>
  <c r="V66" i="8"/>
  <c r="X66" i="8"/>
  <c r="Z66" i="8"/>
  <c r="AB66" i="8"/>
  <c r="AD66" i="8"/>
  <c r="AF66" i="8"/>
  <c r="AH66" i="8"/>
  <c r="AJ66" i="8"/>
  <c r="AL66" i="8"/>
  <c r="F67" i="8"/>
  <c r="H67" i="8"/>
  <c r="J67" i="8"/>
  <c r="L67" i="8"/>
  <c r="O67" i="8"/>
  <c r="Q67" i="8"/>
  <c r="S67" i="8"/>
  <c r="V67" i="8"/>
  <c r="X67" i="8"/>
  <c r="Z67" i="8"/>
  <c r="AB67" i="8"/>
  <c r="AD67" i="8"/>
  <c r="AF67" i="8"/>
  <c r="AH67" i="8"/>
  <c r="AJ67" i="8"/>
  <c r="AL67" i="8"/>
  <c r="E68" i="8"/>
  <c r="G68" i="8"/>
  <c r="I68" i="8"/>
  <c r="K68" i="8"/>
  <c r="M68" i="8"/>
  <c r="O68" i="8"/>
  <c r="Q68" i="8"/>
  <c r="S68" i="8"/>
  <c r="U68" i="8"/>
  <c r="W68" i="8"/>
  <c r="Z68" i="8"/>
  <c r="AB68" i="8"/>
  <c r="AD68" i="8"/>
  <c r="AF68" i="8"/>
  <c r="AH68" i="8"/>
  <c r="AJ68" i="8"/>
  <c r="AL68" i="8"/>
  <c r="F69" i="8"/>
  <c r="H69" i="8"/>
  <c r="J69" i="8"/>
  <c r="L69" i="8"/>
  <c r="O69" i="8"/>
  <c r="Q69" i="8"/>
  <c r="S69" i="8"/>
  <c r="Y69" i="8"/>
  <c r="AA69" i="8"/>
  <c r="AC69" i="8"/>
  <c r="AF69" i="8"/>
  <c r="AH69" i="8"/>
  <c r="AJ69" i="8"/>
  <c r="AL69" i="8"/>
  <c r="F70" i="8"/>
  <c r="H70" i="8"/>
  <c r="J70" i="8"/>
  <c r="L70" i="8"/>
  <c r="O70" i="8"/>
  <c r="S70" i="8"/>
  <c r="Z70" i="8"/>
  <c r="AB70" i="8"/>
  <c r="AG70" i="8"/>
  <c r="AI70" i="8"/>
  <c r="AK70" i="8"/>
  <c r="C71" i="8"/>
  <c r="E71" i="8"/>
  <c r="G71" i="8"/>
  <c r="I71" i="8"/>
  <c r="K71" i="8"/>
  <c r="M71" i="8"/>
  <c r="O71" i="8"/>
  <c r="Q71" i="8"/>
  <c r="S71" i="8"/>
  <c r="U71" i="8"/>
  <c r="W71" i="8"/>
  <c r="Y71" i="8"/>
  <c r="AA71" i="8"/>
  <c r="AC71" i="8"/>
  <c r="AE71" i="8"/>
  <c r="AG71" i="8"/>
  <c r="AI71" i="8"/>
  <c r="AK71" i="8"/>
  <c r="D72" i="8"/>
  <c r="F72" i="8"/>
  <c r="H72" i="8"/>
  <c r="J72" i="8"/>
  <c r="L72" i="8"/>
  <c r="N72" i="8"/>
  <c r="P72" i="8"/>
  <c r="R72" i="8"/>
  <c r="T72" i="8"/>
  <c r="V72" i="8"/>
  <c r="X72" i="8"/>
  <c r="Z72" i="8"/>
  <c r="AB72" i="8"/>
  <c r="AD72" i="8"/>
  <c r="AF72" i="8"/>
  <c r="AH72" i="8"/>
  <c r="AJ72" i="8"/>
  <c r="AL72" i="8"/>
  <c r="E73" i="8"/>
  <c r="G73" i="8"/>
  <c r="I73" i="8"/>
  <c r="K73" i="8"/>
  <c r="M73" i="8"/>
  <c r="O73" i="8"/>
  <c r="Q73" i="8"/>
  <c r="S73" i="8"/>
  <c r="U73" i="8"/>
  <c r="W73" i="8"/>
  <c r="Y73" i="8"/>
  <c r="AA73" i="8"/>
  <c r="AC73" i="8"/>
  <c r="AE73" i="8"/>
  <c r="AG73" i="8"/>
  <c r="AI73" i="8"/>
  <c r="AK73" i="8"/>
  <c r="C74" i="8"/>
  <c r="E74" i="8"/>
  <c r="G74" i="8"/>
  <c r="I74" i="8"/>
  <c r="K74" i="8"/>
  <c r="M74" i="8"/>
  <c r="P74" i="8"/>
  <c r="R74" i="8"/>
  <c r="T74" i="8"/>
  <c r="V74" i="8"/>
  <c r="X74" i="8"/>
  <c r="Z74" i="8"/>
  <c r="AB74" i="8"/>
  <c r="AD74" i="8"/>
  <c r="AF74" i="8"/>
  <c r="AH74" i="8"/>
  <c r="AJ74" i="8"/>
  <c r="AL74" i="8"/>
  <c r="E75" i="8"/>
  <c r="G75" i="8"/>
  <c r="I75" i="8"/>
  <c r="K75" i="8"/>
  <c r="M75" i="8"/>
  <c r="O75" i="8"/>
  <c r="Q75" i="8"/>
  <c r="S75" i="8"/>
  <c r="U75" i="8"/>
  <c r="W75" i="8"/>
  <c r="Y75" i="8"/>
  <c r="AA75" i="8"/>
  <c r="AC75" i="8"/>
  <c r="AE75" i="8"/>
  <c r="AG75" i="8"/>
  <c r="AI75" i="8"/>
  <c r="AK75" i="8"/>
  <c r="C76" i="8"/>
  <c r="E76" i="8"/>
  <c r="G76" i="8"/>
  <c r="I76" i="8"/>
  <c r="K76" i="8"/>
  <c r="M76" i="8"/>
  <c r="O76" i="8"/>
  <c r="Q76" i="8"/>
  <c r="S76" i="8"/>
  <c r="U76" i="8"/>
  <c r="W76" i="8"/>
  <c r="Y76" i="8"/>
  <c r="AA76" i="8"/>
  <c r="AC76" i="8"/>
  <c r="AE76" i="8"/>
  <c r="AG76" i="8"/>
  <c r="AI76" i="8"/>
  <c r="AK76" i="8"/>
  <c r="D77" i="8"/>
  <c r="F77" i="8"/>
  <c r="H77" i="8"/>
  <c r="J77" i="8"/>
  <c r="L77" i="8"/>
  <c r="O77" i="8"/>
  <c r="Q77" i="8"/>
  <c r="S77" i="8"/>
  <c r="U77" i="8"/>
  <c r="X77" i="8"/>
  <c r="Z77" i="8"/>
  <c r="AB77" i="8"/>
  <c r="AD77" i="8"/>
  <c r="AF77" i="8"/>
  <c r="AH77" i="8"/>
  <c r="AJ77" i="8"/>
  <c r="AL77" i="8"/>
  <c r="E78" i="8"/>
  <c r="G78" i="8"/>
  <c r="I78" i="8"/>
  <c r="K78" i="8"/>
  <c r="M78" i="8"/>
  <c r="O78" i="8"/>
  <c r="Q78" i="8"/>
  <c r="S78" i="8"/>
  <c r="U78" i="8"/>
  <c r="W78" i="8"/>
  <c r="Y78" i="8"/>
  <c r="AA78" i="8"/>
  <c r="AC78" i="8"/>
  <c r="AE78" i="8"/>
  <c r="AG78" i="8"/>
  <c r="AI78" i="8"/>
  <c r="AK78" i="8"/>
  <c r="D79" i="8"/>
  <c r="F79" i="8"/>
  <c r="H79" i="8"/>
  <c r="J79" i="8"/>
  <c r="L79" i="8"/>
  <c r="N79" i="8"/>
  <c r="P79" i="8"/>
  <c r="R79" i="8"/>
  <c r="T79" i="8"/>
  <c r="V79" i="8"/>
  <c r="X79" i="8"/>
  <c r="Z79" i="8"/>
  <c r="AB79" i="8"/>
  <c r="AD79" i="8"/>
  <c r="AF79" i="8"/>
  <c r="AH79" i="8"/>
  <c r="AJ79" i="8"/>
  <c r="AL79" i="8"/>
  <c r="E80" i="8"/>
  <c r="G80" i="8"/>
  <c r="I80" i="8"/>
  <c r="K80" i="8"/>
  <c r="M80" i="8"/>
  <c r="O80" i="8"/>
  <c r="Q80" i="8"/>
  <c r="S80" i="8"/>
  <c r="U80" i="8"/>
  <c r="W80" i="8"/>
  <c r="Y80" i="8"/>
  <c r="AA80" i="8"/>
  <c r="AC80" i="8"/>
  <c r="AE80" i="8"/>
  <c r="AG80" i="8"/>
  <c r="AI80" i="8"/>
  <c r="AK80" i="8"/>
  <c r="C81" i="8"/>
  <c r="E81" i="8"/>
  <c r="G81" i="8"/>
  <c r="I81" i="8"/>
  <c r="K81" i="8"/>
  <c r="M81" i="8"/>
  <c r="O81" i="8"/>
  <c r="Q81" i="8"/>
  <c r="S81" i="8"/>
  <c r="U81" i="8"/>
  <c r="W81" i="8"/>
  <c r="Y81" i="8"/>
  <c r="AA81" i="8"/>
  <c r="AC81" i="8"/>
  <c r="AE81" i="8"/>
  <c r="AG81" i="8"/>
  <c r="AI81" i="8"/>
  <c r="AK81" i="8"/>
  <c r="D82" i="8"/>
  <c r="H82" i="8"/>
  <c r="J82" i="8"/>
  <c r="L82" i="8"/>
  <c r="O82" i="8"/>
  <c r="S82" i="8"/>
  <c r="U82" i="8"/>
  <c r="W82" i="8"/>
  <c r="AA82" i="8"/>
  <c r="AD82" i="8"/>
  <c r="AI82" i="8"/>
  <c r="AK82" i="8"/>
  <c r="D83" i="8"/>
  <c r="F83" i="8"/>
  <c r="H83" i="8"/>
  <c r="J83" i="8"/>
  <c r="L83" i="8"/>
  <c r="N83" i="8"/>
  <c r="P83" i="8"/>
  <c r="R83" i="8"/>
  <c r="T83" i="8"/>
  <c r="V83" i="8"/>
  <c r="X83" i="8"/>
  <c r="Z83" i="8"/>
  <c r="AB83" i="8"/>
  <c r="AD83" i="8"/>
  <c r="AF83" i="8"/>
  <c r="AH83" i="8"/>
  <c r="AJ83" i="8"/>
  <c r="AL83" i="8"/>
  <c r="D84" i="8"/>
  <c r="F84" i="8"/>
  <c r="H84" i="8"/>
  <c r="J84" i="8"/>
  <c r="L84" i="8"/>
  <c r="N84" i="8"/>
  <c r="P84" i="8"/>
  <c r="R84" i="8"/>
  <c r="T84" i="8"/>
  <c r="V84" i="8"/>
  <c r="X84" i="8"/>
  <c r="Z84" i="8"/>
  <c r="AB84" i="8"/>
  <c r="AD84" i="8"/>
  <c r="AF84" i="8"/>
  <c r="AH84" i="8"/>
  <c r="AJ84" i="8"/>
  <c r="AL84" i="8"/>
  <c r="D85" i="8"/>
  <c r="F85" i="8"/>
  <c r="H85" i="8"/>
  <c r="J85" i="8"/>
  <c r="L85" i="8"/>
  <c r="N85" i="8"/>
  <c r="P85" i="8"/>
  <c r="R85" i="8"/>
  <c r="T85" i="8"/>
  <c r="V85" i="8"/>
  <c r="X85" i="8"/>
  <c r="Z85" i="8"/>
  <c r="AB85" i="8"/>
  <c r="AD85" i="8"/>
  <c r="AF85" i="8"/>
  <c r="AH85" i="8"/>
  <c r="AJ85" i="8"/>
  <c r="AL85" i="8"/>
  <c r="F86" i="8"/>
  <c r="H86" i="8"/>
  <c r="J86" i="8"/>
  <c r="L86" i="8"/>
  <c r="N86" i="8"/>
  <c r="P86" i="8"/>
  <c r="R86" i="8"/>
  <c r="T86" i="8"/>
  <c r="W86" i="8"/>
  <c r="Y86" i="8"/>
  <c r="AA86" i="8"/>
  <c r="AC86" i="8"/>
  <c r="AE86" i="8"/>
  <c r="AG86" i="8"/>
  <c r="AI86" i="8"/>
  <c r="AK86" i="8"/>
  <c r="C87" i="8"/>
  <c r="E87" i="8"/>
  <c r="G87" i="8"/>
  <c r="I87" i="8"/>
  <c r="K87" i="8"/>
  <c r="M87" i="8"/>
  <c r="O87" i="8"/>
  <c r="Q87" i="8"/>
  <c r="S87" i="8"/>
  <c r="U87" i="8"/>
  <c r="W87" i="8"/>
  <c r="Y87" i="8"/>
  <c r="AA87" i="8"/>
  <c r="AC87" i="8"/>
  <c r="AE87" i="8"/>
  <c r="AG87" i="8"/>
  <c r="AI87" i="8"/>
  <c r="AK87" i="8"/>
  <c r="C88" i="8"/>
  <c r="E88" i="8"/>
  <c r="G88" i="8"/>
  <c r="I88" i="8"/>
  <c r="K88" i="8"/>
  <c r="M88" i="8"/>
  <c r="O88" i="8"/>
  <c r="Q88" i="8"/>
  <c r="S88" i="8"/>
  <c r="U88" i="8"/>
  <c r="W88" i="8"/>
  <c r="Y88" i="8"/>
  <c r="AA88" i="8"/>
  <c r="AC88" i="8"/>
  <c r="AE88" i="8"/>
  <c r="AG88" i="8"/>
  <c r="AI88" i="8"/>
  <c r="AK88" i="8"/>
  <c r="C89" i="8"/>
  <c r="G89" i="8"/>
  <c r="I89" i="8"/>
  <c r="K89" i="8"/>
  <c r="M89" i="8"/>
  <c r="Q89" i="8"/>
  <c r="S89" i="8"/>
  <c r="W89" i="8"/>
  <c r="Z89" i="8"/>
  <c r="AB89" i="8"/>
  <c r="AD89" i="8"/>
  <c r="AF89" i="8"/>
  <c r="AH89" i="8"/>
  <c r="AJ89" i="8"/>
  <c r="AL89" i="8"/>
  <c r="E90" i="8"/>
  <c r="G90" i="8"/>
  <c r="I90" i="8"/>
  <c r="K90" i="8"/>
  <c r="M90" i="8"/>
  <c r="O90" i="8"/>
  <c r="Q90" i="8"/>
  <c r="S90" i="8"/>
  <c r="U90" i="8"/>
  <c r="W90" i="8"/>
  <c r="Y90" i="8"/>
  <c r="AA90" i="8"/>
  <c r="AC90" i="8"/>
  <c r="AE90" i="8"/>
  <c r="AG90" i="8"/>
  <c r="AI90" i="8"/>
  <c r="AK90" i="8"/>
  <c r="C91" i="8"/>
  <c r="E91" i="8"/>
  <c r="G91" i="8"/>
  <c r="I91" i="8"/>
  <c r="K91" i="8"/>
  <c r="M91" i="8"/>
  <c r="O91" i="8"/>
  <c r="Q91" i="8"/>
  <c r="S91" i="8"/>
  <c r="V91" i="8"/>
  <c r="X91" i="8"/>
  <c r="Z91" i="8"/>
  <c r="AB91" i="8"/>
  <c r="AD91" i="8"/>
  <c r="AF91" i="8"/>
  <c r="AH91" i="8"/>
  <c r="AJ91" i="8"/>
  <c r="AL91" i="8"/>
  <c r="F92" i="8"/>
  <c r="H92" i="8"/>
  <c r="J92" i="8"/>
  <c r="L92" i="8"/>
  <c r="O92" i="8"/>
  <c r="R92" i="8"/>
  <c r="T92" i="8"/>
  <c r="X92" i="8"/>
  <c r="Z92" i="8"/>
  <c r="AB92" i="8"/>
  <c r="AE92" i="8"/>
  <c r="AH92" i="8"/>
  <c r="AJ92" i="8"/>
  <c r="AL92" i="8"/>
  <c r="D94" i="8"/>
  <c r="F94" i="8"/>
  <c r="H94" i="8"/>
  <c r="J94" i="8"/>
  <c r="L94" i="8"/>
  <c r="N94" i="8"/>
  <c r="P94" i="8"/>
  <c r="R94" i="8"/>
  <c r="T94" i="8"/>
  <c r="V94" i="8"/>
  <c r="Y94" i="8"/>
  <c r="AA94" i="8"/>
  <c r="AD94" i="8"/>
  <c r="AH94" i="8"/>
  <c r="AK94" i="8"/>
  <c r="C95" i="8"/>
  <c r="E95" i="8"/>
  <c r="G95" i="8"/>
  <c r="I95" i="8"/>
  <c r="K95" i="8"/>
  <c r="M95" i="8"/>
  <c r="O95" i="8"/>
  <c r="Q95" i="8"/>
  <c r="S95" i="8"/>
  <c r="U95" i="8"/>
  <c r="X95" i="8"/>
  <c r="Z95" i="8"/>
  <c r="AC95" i="8"/>
  <c r="AG95" i="8"/>
  <c r="AJ95" i="8"/>
  <c r="AL95" i="8"/>
  <c r="D97" i="8"/>
  <c r="F97" i="8"/>
  <c r="H97" i="8"/>
  <c r="J97" i="8"/>
  <c r="L97" i="8"/>
  <c r="N97" i="8"/>
  <c r="P97" i="8"/>
  <c r="R97" i="8"/>
  <c r="T97" i="8"/>
  <c r="V97" i="8"/>
  <c r="X97" i="8"/>
  <c r="Z97" i="8"/>
  <c r="AC97" i="8"/>
  <c r="AE97" i="8"/>
  <c r="AG97" i="8"/>
  <c r="AI97" i="8"/>
  <c r="AK97" i="8"/>
  <c r="C98" i="8"/>
  <c r="E98" i="8"/>
  <c r="G98" i="8"/>
  <c r="I98" i="8"/>
  <c r="K98" i="8"/>
  <c r="M98" i="8"/>
  <c r="O98" i="8"/>
  <c r="Q98" i="8"/>
  <c r="S98" i="8"/>
  <c r="U98" i="8"/>
  <c r="W98" i="8"/>
  <c r="Y98" i="8"/>
  <c r="AA98" i="8"/>
  <c r="AC98" i="8"/>
  <c r="AE98" i="8"/>
  <c r="AG98" i="8"/>
  <c r="AI98" i="8"/>
  <c r="AK98" i="8"/>
  <c r="C99" i="8"/>
  <c r="E99" i="8"/>
  <c r="G99" i="8"/>
  <c r="I99" i="8"/>
  <c r="K99" i="8"/>
  <c r="M99" i="8"/>
  <c r="O99" i="8"/>
  <c r="Q99" i="8"/>
  <c r="S99" i="8"/>
  <c r="U99" i="8"/>
  <c r="W99" i="8"/>
  <c r="Y99" i="8"/>
  <c r="AB99" i="8"/>
  <c r="AD99" i="8"/>
  <c r="AF99" i="8"/>
  <c r="AH99" i="8"/>
  <c r="AJ99" i="8"/>
  <c r="AL99" i="8"/>
  <c r="D100" i="8"/>
  <c r="F100" i="8"/>
  <c r="H100" i="8"/>
  <c r="J100" i="8"/>
  <c r="L100" i="8"/>
  <c r="N100" i="8"/>
  <c r="P100" i="8"/>
  <c r="R100" i="8"/>
  <c r="T100" i="8"/>
  <c r="V100" i="8"/>
  <c r="X100" i="8"/>
  <c r="Z100" i="8"/>
  <c r="AC100" i="8"/>
  <c r="AE100" i="8"/>
  <c r="AG100" i="8"/>
  <c r="AI100" i="8"/>
  <c r="AK100" i="8"/>
  <c r="C101" i="8"/>
  <c r="E101" i="8"/>
  <c r="G101" i="8"/>
  <c r="I101" i="8"/>
  <c r="K101" i="8"/>
  <c r="M101" i="8"/>
  <c r="O101" i="8"/>
  <c r="Q101" i="8"/>
  <c r="S101" i="8"/>
  <c r="U101" i="8"/>
  <c r="W101" i="8"/>
  <c r="Y101" i="8"/>
  <c r="AB101" i="8"/>
  <c r="AD101" i="8"/>
  <c r="AF101" i="8"/>
  <c r="AH101" i="8"/>
  <c r="AJ101" i="8"/>
  <c r="AL101" i="8"/>
  <c r="D102" i="8"/>
  <c r="F102" i="8"/>
  <c r="H102" i="8"/>
  <c r="J102" i="8"/>
  <c r="L102" i="8"/>
  <c r="N102" i="8"/>
  <c r="P102" i="8"/>
  <c r="R102" i="8"/>
  <c r="T102" i="8"/>
  <c r="V102" i="8"/>
  <c r="X102" i="8"/>
  <c r="Z102" i="8"/>
  <c r="AC102" i="8"/>
  <c r="AE102" i="8"/>
  <c r="AG102" i="8"/>
  <c r="AI102" i="8"/>
  <c r="AK102" i="8"/>
  <c r="C103" i="8"/>
  <c r="E103" i="8"/>
  <c r="G103" i="8"/>
  <c r="I103" i="8"/>
  <c r="K103" i="8"/>
  <c r="M103" i="8"/>
  <c r="O103" i="8"/>
  <c r="Q103" i="8"/>
  <c r="S103" i="8"/>
  <c r="U103" i="8"/>
  <c r="W103" i="8"/>
  <c r="Y103" i="8"/>
  <c r="AA103" i="8"/>
  <c r="AC103" i="8"/>
  <c r="AE103" i="8"/>
  <c r="AG103" i="8"/>
  <c r="AI103" i="8"/>
  <c r="AK103" i="8"/>
  <c r="C104" i="8"/>
  <c r="E104" i="8"/>
  <c r="G104" i="8"/>
  <c r="I104" i="8"/>
  <c r="K104" i="8"/>
  <c r="M104" i="8"/>
  <c r="O104" i="8"/>
  <c r="Q104" i="8"/>
  <c r="S104" i="8"/>
  <c r="U104" i="8"/>
  <c r="W104" i="8"/>
  <c r="Y104" i="8"/>
  <c r="AA104" i="8"/>
  <c r="AC104" i="8"/>
  <c r="AE104" i="8"/>
  <c r="AG104" i="8"/>
  <c r="AI104" i="8"/>
  <c r="AK104" i="8"/>
  <c r="C105" i="8"/>
  <c r="E105" i="8"/>
  <c r="G105" i="8"/>
  <c r="I105" i="8"/>
  <c r="K105" i="8"/>
  <c r="M105" i="8"/>
  <c r="O105" i="8"/>
  <c r="Q105" i="8"/>
  <c r="S105" i="8"/>
  <c r="U105" i="8"/>
  <c r="W105" i="8"/>
  <c r="Y105" i="8"/>
  <c r="AB105" i="8"/>
  <c r="AD105" i="8"/>
  <c r="AF105" i="8"/>
  <c r="AH105" i="8"/>
  <c r="AJ105" i="8"/>
  <c r="AL105" i="8"/>
  <c r="D106" i="8"/>
  <c r="F106" i="8"/>
  <c r="H106" i="8"/>
  <c r="J106" i="8"/>
  <c r="L106" i="8"/>
  <c r="N106" i="8"/>
  <c r="P106" i="8"/>
  <c r="R106" i="8"/>
  <c r="T106" i="8"/>
  <c r="V106" i="8"/>
  <c r="X106" i="8"/>
  <c r="Z106" i="8"/>
  <c r="AC106" i="8"/>
  <c r="AE106" i="8"/>
  <c r="AG106" i="8"/>
  <c r="AI106" i="8"/>
  <c r="AK106" i="8"/>
  <c r="C107" i="8"/>
  <c r="E107" i="8"/>
  <c r="G107" i="8"/>
  <c r="I107" i="8"/>
  <c r="K107" i="8"/>
  <c r="M107" i="8"/>
  <c r="O107" i="8"/>
  <c r="Q107" i="8"/>
  <c r="S107" i="8"/>
  <c r="U107" i="8"/>
  <c r="W107" i="8"/>
  <c r="Y107" i="8"/>
  <c r="AB107" i="8"/>
  <c r="AD107" i="8"/>
  <c r="AF107" i="8"/>
  <c r="AH107" i="8"/>
  <c r="AJ107" i="8"/>
  <c r="AL107" i="8"/>
  <c r="D108" i="8"/>
  <c r="F108" i="8"/>
  <c r="H108" i="8"/>
  <c r="J108" i="8"/>
  <c r="L108" i="8"/>
  <c r="N108" i="8"/>
  <c r="P108" i="8"/>
  <c r="R108" i="8"/>
  <c r="T108" i="8"/>
  <c r="V108" i="8"/>
  <c r="X108" i="8"/>
  <c r="Z108" i="8"/>
  <c r="AB108" i="8"/>
  <c r="AD108" i="8"/>
  <c r="AF108" i="8"/>
  <c r="AH108" i="8"/>
  <c r="AJ108" i="8"/>
  <c r="AL108" i="8"/>
  <c r="D110" i="8"/>
  <c r="F110" i="8"/>
  <c r="I110" i="8"/>
  <c r="K110" i="8"/>
  <c r="M110" i="8"/>
  <c r="O110" i="8"/>
  <c r="Q110" i="8"/>
  <c r="S110" i="8"/>
  <c r="V110" i="8"/>
  <c r="X110" i="8"/>
  <c r="Z110" i="8"/>
  <c r="AC110" i="8"/>
  <c r="AE110" i="8"/>
  <c r="AG110" i="8"/>
  <c r="AI110" i="8"/>
  <c r="AK110" i="8"/>
  <c r="D111" i="8"/>
  <c r="F111" i="8"/>
  <c r="I111" i="8"/>
  <c r="K111" i="8"/>
  <c r="M111" i="8"/>
  <c r="O111" i="8"/>
  <c r="Q111" i="8"/>
  <c r="S111" i="8"/>
  <c r="W111" i="8"/>
  <c r="Y111" i="8"/>
  <c r="AB111" i="8"/>
  <c r="AD111" i="8"/>
  <c r="AG111" i="8"/>
  <c r="AI111" i="8"/>
  <c r="AK111" i="8"/>
  <c r="D112" i="8"/>
  <c r="F112" i="8"/>
  <c r="I112" i="8"/>
  <c r="L112" i="8"/>
  <c r="N112" i="8"/>
  <c r="P112" i="8"/>
  <c r="R112" i="8"/>
  <c r="T112" i="8"/>
  <c r="X112" i="8"/>
  <c r="Z112" i="8"/>
  <c r="AC112" i="8"/>
  <c r="AE112" i="8"/>
  <c r="AG112" i="8"/>
  <c r="AI112" i="8"/>
  <c r="AK112" i="8"/>
  <c r="C113" i="8"/>
  <c r="E113" i="8"/>
  <c r="G113" i="8"/>
  <c r="J113" i="8"/>
  <c r="M113" i="8"/>
  <c r="O113" i="8"/>
  <c r="Q113" i="8"/>
  <c r="S113" i="8"/>
  <c r="W113" i="8"/>
  <c r="Y113" i="8"/>
  <c r="AB113" i="8"/>
  <c r="AD113" i="8"/>
  <c r="AG113" i="8"/>
  <c r="AI113" i="8"/>
  <c r="AK113" i="8"/>
  <c r="C115" i="8"/>
  <c r="F115" i="8"/>
  <c r="H115" i="8"/>
  <c r="J115" i="8"/>
  <c r="L115" i="8"/>
  <c r="N115" i="8"/>
  <c r="P115" i="8"/>
  <c r="R115" i="8"/>
  <c r="T115" i="8"/>
  <c r="V115" i="8"/>
  <c r="X115" i="8"/>
  <c r="Z115" i="8"/>
  <c r="AB115" i="8"/>
  <c r="AD115" i="8"/>
  <c r="AF115" i="8"/>
  <c r="AH115" i="8"/>
  <c r="AJ115" i="8"/>
  <c r="AL115" i="8"/>
  <c r="D116" i="8"/>
  <c r="F116" i="8"/>
  <c r="H116" i="8"/>
  <c r="J116" i="8"/>
  <c r="L116" i="8"/>
  <c r="N116" i="8"/>
  <c r="P116" i="8"/>
  <c r="R116" i="8"/>
  <c r="T116" i="8"/>
  <c r="V116" i="8"/>
  <c r="X116" i="8"/>
  <c r="Z116" i="8"/>
  <c r="AB116" i="8"/>
  <c r="AD116" i="8"/>
  <c r="AF116" i="8"/>
  <c r="AH116" i="8"/>
  <c r="AJ116" i="8"/>
  <c r="AL116" i="8"/>
  <c r="D117" i="8"/>
  <c r="G117" i="8"/>
  <c r="I117" i="8"/>
  <c r="K117" i="8"/>
  <c r="M117" i="8"/>
  <c r="O117" i="8"/>
  <c r="Q117" i="8"/>
  <c r="S117" i="8"/>
  <c r="U117" i="8"/>
  <c r="W117" i="8"/>
  <c r="Y117" i="8"/>
  <c r="AA117" i="8"/>
  <c r="AC117" i="8"/>
  <c r="AE117" i="8"/>
  <c r="AG117" i="8"/>
  <c r="AI117" i="8"/>
  <c r="AK117" i="8"/>
  <c r="C118" i="8"/>
  <c r="E118" i="8"/>
  <c r="G118" i="8"/>
  <c r="I118" i="8"/>
  <c r="K118" i="8"/>
  <c r="M118" i="8"/>
  <c r="O118" i="8"/>
  <c r="Q118" i="8"/>
  <c r="S118" i="8"/>
  <c r="U118" i="8"/>
  <c r="W118" i="8"/>
  <c r="Y118" i="8"/>
  <c r="AA118" i="8"/>
  <c r="AC118" i="8"/>
  <c r="AE118" i="8"/>
  <c r="AG118" i="8"/>
  <c r="AI118" i="8"/>
  <c r="AK118" i="8"/>
  <c r="D120" i="8"/>
  <c r="F120" i="8"/>
  <c r="H120" i="8"/>
  <c r="J120" i="8"/>
  <c r="L120" i="8"/>
  <c r="N120" i="8"/>
  <c r="P120" i="8"/>
  <c r="R120" i="8"/>
  <c r="T120" i="8"/>
  <c r="V120" i="8"/>
  <c r="X120" i="8"/>
  <c r="Z120" i="8"/>
  <c r="AB120" i="8"/>
  <c r="AD120" i="8"/>
  <c r="AF120" i="8"/>
  <c r="AH120" i="8"/>
  <c r="AJ120" i="8"/>
  <c r="AL120" i="8"/>
  <c r="D121" i="8"/>
  <c r="F121" i="8"/>
  <c r="H121" i="8"/>
  <c r="J121" i="8"/>
  <c r="L121" i="8"/>
  <c r="O121" i="8"/>
  <c r="Q121" i="8"/>
  <c r="S121" i="8"/>
  <c r="U121" i="8"/>
  <c r="X121" i="8"/>
  <c r="Z121" i="8"/>
  <c r="AB121" i="8"/>
  <c r="AD121" i="8"/>
  <c r="AF121" i="8"/>
  <c r="AH121" i="8"/>
  <c r="AJ121" i="8"/>
  <c r="AL121" i="8"/>
  <c r="E122" i="8"/>
  <c r="G122" i="8"/>
  <c r="I122" i="8"/>
  <c r="K122" i="8"/>
  <c r="M122" i="8"/>
  <c r="P122" i="8"/>
  <c r="R122" i="8"/>
  <c r="T122" i="8"/>
  <c r="W122" i="8"/>
  <c r="Y122" i="8"/>
  <c r="AA122" i="8"/>
  <c r="AC122" i="8"/>
  <c r="AE122" i="8"/>
  <c r="AG122" i="8"/>
  <c r="AI122" i="8"/>
  <c r="AK122" i="8"/>
  <c r="D124" i="8"/>
  <c r="F124" i="8"/>
  <c r="H124" i="8"/>
  <c r="J124" i="8"/>
  <c r="L124" i="8"/>
  <c r="N124" i="8"/>
  <c r="R124" i="8"/>
  <c r="T124" i="8"/>
  <c r="V124" i="8"/>
  <c r="X124" i="8"/>
  <c r="Z124" i="8"/>
  <c r="AB124" i="8"/>
  <c r="AD124" i="8"/>
  <c r="AF124" i="8"/>
  <c r="AH124" i="8"/>
  <c r="AJ124" i="8"/>
  <c r="AL124" i="8"/>
  <c r="D125" i="8"/>
  <c r="F125" i="8"/>
  <c r="H125" i="8"/>
  <c r="J125" i="8"/>
  <c r="L125" i="8"/>
  <c r="N125" i="8"/>
  <c r="P125" i="8"/>
  <c r="R125" i="8"/>
  <c r="T125" i="8"/>
  <c r="V125" i="8"/>
  <c r="X125" i="8"/>
  <c r="Z125" i="8"/>
  <c r="AB125" i="8"/>
  <c r="AD125" i="8"/>
  <c r="AF125" i="8"/>
  <c r="AH125" i="8"/>
  <c r="AJ125" i="8"/>
  <c r="AL125" i="8"/>
  <c r="E126" i="8"/>
  <c r="G126" i="8"/>
  <c r="J126" i="8"/>
  <c r="L126" i="8"/>
  <c r="O126" i="8"/>
  <c r="S126" i="8"/>
  <c r="Y126" i="8"/>
  <c r="AC126" i="8"/>
  <c r="AE126" i="8"/>
  <c r="AG126" i="8"/>
  <c r="AI126" i="8"/>
  <c r="AK126" i="8"/>
  <c r="C127" i="8"/>
  <c r="E127" i="8"/>
  <c r="G127" i="8"/>
  <c r="I127" i="8"/>
  <c r="K127" i="8"/>
  <c r="M127" i="8"/>
  <c r="O127" i="8"/>
  <c r="S127" i="8"/>
  <c r="V127" i="8"/>
  <c r="Y127" i="8"/>
  <c r="AB127" i="8"/>
  <c r="AD127" i="8"/>
  <c r="AF127" i="8"/>
  <c r="AH127" i="8"/>
  <c r="AJ127" i="8"/>
  <c r="AL127" i="8"/>
  <c r="D128" i="8"/>
  <c r="F128" i="8"/>
  <c r="H128" i="8"/>
  <c r="J128" i="8"/>
  <c r="L128" i="8"/>
  <c r="N128" i="8"/>
  <c r="P128" i="8"/>
  <c r="R128" i="8"/>
  <c r="T128" i="8"/>
  <c r="V128" i="8"/>
  <c r="X128" i="8"/>
  <c r="Z128" i="8"/>
  <c r="AB128" i="8"/>
  <c r="AD128" i="8"/>
  <c r="AF128" i="8"/>
  <c r="AH128" i="8"/>
  <c r="AJ128" i="8"/>
  <c r="AL128" i="8"/>
  <c r="D129" i="8"/>
  <c r="F129" i="8"/>
  <c r="H129" i="8"/>
  <c r="J129" i="8"/>
  <c r="L129" i="8"/>
  <c r="N129" i="8"/>
  <c r="P129" i="8"/>
  <c r="R129" i="8"/>
  <c r="T129" i="8"/>
  <c r="V129" i="8"/>
  <c r="Y129" i="8"/>
  <c r="AB129" i="8"/>
  <c r="AE129" i="8"/>
  <c r="AH129" i="8"/>
  <c r="AJ129" i="8"/>
  <c r="AL129" i="8"/>
  <c r="D130" i="8"/>
  <c r="F130" i="8"/>
  <c r="H130" i="8"/>
  <c r="J130" i="8"/>
  <c r="L130" i="8"/>
  <c r="N130" i="8"/>
  <c r="R130" i="8"/>
  <c r="T130" i="8"/>
  <c r="W130" i="8"/>
  <c r="Y130" i="8"/>
  <c r="AB130" i="8"/>
  <c r="AD130" i="8"/>
  <c r="AF130" i="8"/>
  <c r="AH130" i="8"/>
  <c r="AJ130" i="8"/>
  <c r="AL130" i="8"/>
  <c r="E131" i="8"/>
  <c r="G131" i="8"/>
  <c r="I131" i="8"/>
  <c r="K131" i="8"/>
  <c r="M131" i="8"/>
  <c r="R131" i="8"/>
  <c r="T131" i="8"/>
  <c r="V131" i="8"/>
  <c r="Y131" i="8"/>
  <c r="AA131" i="8"/>
  <c r="AC131" i="8"/>
  <c r="AF131" i="8"/>
  <c r="AH131" i="8"/>
  <c r="AJ131" i="8"/>
  <c r="AL131" i="8"/>
  <c r="D132" i="8"/>
  <c r="F132" i="8"/>
  <c r="H132" i="8"/>
  <c r="J132" i="8"/>
  <c r="L132" i="8"/>
  <c r="N132" i="8"/>
  <c r="P132" i="8"/>
  <c r="R132" i="8"/>
  <c r="T132" i="8"/>
  <c r="V132" i="8"/>
  <c r="X132" i="8"/>
  <c r="Z132" i="8"/>
  <c r="AB132" i="8"/>
  <c r="AD132" i="8"/>
  <c r="AF132" i="8"/>
  <c r="AH132" i="8"/>
  <c r="AJ132" i="8"/>
  <c r="AL132" i="8"/>
  <c r="D133" i="8"/>
  <c r="F133" i="8"/>
  <c r="H133" i="8"/>
  <c r="J133" i="8"/>
  <c r="L133" i="8"/>
  <c r="R133" i="8"/>
  <c r="U133" i="8"/>
  <c r="AB133" i="8"/>
  <c r="AD133" i="8"/>
  <c r="AJ133" i="8"/>
  <c r="AL133" i="8"/>
  <c r="D134" i="8"/>
  <c r="F134" i="8"/>
  <c r="H134" i="8"/>
  <c r="J134" i="8"/>
  <c r="L134" i="8"/>
  <c r="N134" i="8"/>
  <c r="S134" i="8"/>
  <c r="X134" i="8"/>
  <c r="AA134" i="8"/>
  <c r="AC134" i="8"/>
  <c r="AG134" i="8"/>
  <c r="AJ134" i="8"/>
  <c r="AL134" i="8"/>
  <c r="D135" i="8"/>
  <c r="F135" i="8"/>
  <c r="H135" i="8"/>
  <c r="J135" i="8"/>
  <c r="L135" i="8"/>
  <c r="N135" i="8"/>
  <c r="R135" i="8"/>
  <c r="T135" i="8"/>
  <c r="V135" i="8"/>
  <c r="X135" i="8"/>
  <c r="Z135" i="8"/>
  <c r="AB135" i="8"/>
  <c r="AE135" i="8"/>
  <c r="AG135" i="8"/>
  <c r="AI135" i="8"/>
  <c r="AK135" i="8"/>
  <c r="D136" i="8"/>
  <c r="F136" i="8"/>
  <c r="H136" i="8"/>
  <c r="J136" i="8"/>
  <c r="L136" i="8"/>
  <c r="N136" i="8"/>
  <c r="R136" i="8"/>
  <c r="T136" i="8"/>
  <c r="V136" i="8"/>
  <c r="X136" i="8"/>
  <c r="Z136" i="8"/>
  <c r="AB136" i="8"/>
  <c r="AD136" i="8"/>
  <c r="AF136" i="8"/>
  <c r="AH136" i="8"/>
  <c r="AJ136" i="8"/>
  <c r="AL136" i="8"/>
  <c r="D137" i="8"/>
  <c r="F137" i="8"/>
  <c r="H137" i="8"/>
  <c r="J137" i="8"/>
  <c r="L137" i="8"/>
  <c r="N137" i="8"/>
  <c r="P137" i="8"/>
  <c r="R137" i="8"/>
  <c r="T137" i="8"/>
  <c r="V137" i="8"/>
  <c r="X137" i="8"/>
  <c r="Z137" i="8"/>
  <c r="AC137" i="8"/>
  <c r="AF137" i="8"/>
  <c r="AH137" i="8"/>
  <c r="AJ137" i="8"/>
  <c r="AL137" i="8"/>
  <c r="D138" i="8"/>
  <c r="F138" i="8"/>
  <c r="H138" i="8"/>
  <c r="J138" i="8"/>
  <c r="L138" i="8"/>
  <c r="N138" i="8"/>
  <c r="P138" i="8"/>
  <c r="R138" i="8"/>
  <c r="T138" i="8"/>
  <c r="V138" i="8"/>
  <c r="X138" i="8"/>
  <c r="Z138" i="8"/>
  <c r="AB138" i="8"/>
  <c r="AD138" i="8"/>
  <c r="AF138" i="8"/>
  <c r="AH138" i="8"/>
  <c r="AJ138" i="8"/>
  <c r="AL138" i="8"/>
  <c r="D139" i="8"/>
  <c r="F139" i="8"/>
  <c r="H139" i="8"/>
  <c r="J139" i="8"/>
  <c r="L139" i="8"/>
  <c r="N139" i="8"/>
  <c r="P139" i="8"/>
  <c r="R139" i="8"/>
  <c r="T139" i="8"/>
  <c r="V139" i="8"/>
  <c r="X139" i="8"/>
  <c r="Z139" i="8"/>
  <c r="AB139" i="8"/>
  <c r="AD139" i="8"/>
  <c r="AF139" i="8"/>
  <c r="AH139" i="8"/>
  <c r="AJ139" i="8"/>
  <c r="AL139" i="8"/>
  <c r="E140" i="8"/>
  <c r="G140" i="8"/>
  <c r="I140" i="8"/>
  <c r="K140" i="8"/>
  <c r="M140" i="8"/>
  <c r="O140" i="8"/>
  <c r="S140" i="8"/>
  <c r="U140" i="8"/>
  <c r="W140" i="8"/>
  <c r="Y140" i="8"/>
  <c r="AA140" i="8"/>
  <c r="AC140" i="8"/>
  <c r="AE140" i="8"/>
  <c r="AG140" i="8"/>
  <c r="AI140" i="8"/>
  <c r="AK140" i="8"/>
  <c r="D141" i="8"/>
  <c r="F141" i="8"/>
  <c r="I141" i="8"/>
  <c r="K141" i="8"/>
  <c r="M141" i="8"/>
  <c r="O141" i="8"/>
  <c r="S141" i="8"/>
  <c r="V141" i="8"/>
  <c r="X141" i="8"/>
  <c r="Z141" i="8"/>
  <c r="AC141" i="8"/>
  <c r="AE141" i="8"/>
  <c r="AG141" i="8"/>
  <c r="AJ141" i="8"/>
  <c r="AL141" i="8"/>
  <c r="D142" i="8"/>
  <c r="F142" i="8"/>
  <c r="H142" i="8"/>
  <c r="J142" i="8"/>
  <c r="L142" i="8"/>
  <c r="N142" i="8"/>
  <c r="P142" i="8"/>
  <c r="R142" i="8"/>
  <c r="T142" i="8"/>
  <c r="V142" i="8"/>
  <c r="X142" i="8"/>
  <c r="Z142" i="8"/>
  <c r="AB142" i="8"/>
  <c r="AD142" i="8"/>
  <c r="AF142" i="8"/>
  <c r="AH142" i="8"/>
  <c r="AJ142" i="8"/>
  <c r="AL142" i="8"/>
  <c r="D143" i="8"/>
  <c r="F143" i="8"/>
  <c r="H143" i="8"/>
  <c r="J143" i="8"/>
  <c r="L143" i="8"/>
  <c r="O143" i="8"/>
  <c r="S143" i="8"/>
  <c r="Y143" i="8"/>
  <c r="AB143" i="8"/>
  <c r="AE143" i="8"/>
  <c r="AI143" i="8"/>
  <c r="AK143" i="8"/>
  <c r="C144" i="8"/>
  <c r="E144" i="8"/>
  <c r="G144" i="8"/>
  <c r="I144" i="8"/>
  <c r="K144" i="8"/>
  <c r="M144" i="8"/>
  <c r="O144" i="8"/>
  <c r="Q144" i="8"/>
  <c r="S144" i="8"/>
  <c r="U144" i="8"/>
  <c r="Z144" i="8"/>
  <c r="AD144" i="8"/>
  <c r="AF144" i="8"/>
  <c r="AI144" i="8"/>
  <c r="AK144" i="8"/>
  <c r="D145" i="8"/>
  <c r="F145" i="8"/>
  <c r="I145" i="8"/>
  <c r="K145" i="8"/>
  <c r="M145" i="8"/>
  <c r="O145" i="8"/>
  <c r="S145" i="8"/>
  <c r="V145" i="8"/>
  <c r="Y145" i="8"/>
  <c r="AA145" i="8"/>
  <c r="AC145" i="8"/>
  <c r="AE145" i="8"/>
  <c r="AG145" i="8"/>
  <c r="AJ145" i="8"/>
  <c r="AL145" i="8"/>
  <c r="E146" i="8"/>
  <c r="G146" i="8"/>
  <c r="J146" i="8"/>
  <c r="L146" i="8"/>
  <c r="N146" i="8"/>
  <c r="P146" i="8"/>
  <c r="R146" i="8"/>
  <c r="T146" i="8"/>
  <c r="V146" i="8"/>
  <c r="X146" i="8"/>
  <c r="Z146" i="8"/>
  <c r="AB146" i="8"/>
  <c r="AD146" i="8"/>
  <c r="AF146" i="8"/>
  <c r="AH146" i="8"/>
  <c r="AJ146" i="8"/>
  <c r="AL146" i="8"/>
  <c r="E148" i="8"/>
  <c r="G148" i="8"/>
  <c r="I148" i="8"/>
  <c r="K148" i="8"/>
  <c r="M148" i="8"/>
  <c r="O148" i="8"/>
  <c r="S148" i="8"/>
  <c r="V148" i="8"/>
  <c r="X148" i="8"/>
  <c r="Z148" i="8"/>
  <c r="AB148" i="8"/>
  <c r="AD148" i="8"/>
  <c r="AH148" i="8"/>
  <c r="AJ148" i="8"/>
  <c r="AL148" i="8"/>
  <c r="D149" i="8"/>
  <c r="F149" i="8"/>
  <c r="I149" i="8"/>
  <c r="L149" i="8"/>
  <c r="N149" i="8"/>
  <c r="P149" i="8"/>
  <c r="R149" i="8"/>
  <c r="T149" i="8"/>
  <c r="W149" i="8"/>
  <c r="Y149" i="8"/>
  <c r="AA149" i="8"/>
  <c r="AC149" i="8"/>
  <c r="AE149" i="8"/>
  <c r="AG149" i="8"/>
  <c r="AI149" i="8"/>
  <c r="AK149" i="8"/>
  <c r="D150" i="8"/>
  <c r="F150" i="8"/>
  <c r="H150" i="8"/>
  <c r="J150" i="8"/>
  <c r="L150" i="8"/>
  <c r="N150" i="8"/>
  <c r="P150" i="8"/>
  <c r="R150" i="8"/>
  <c r="T150" i="8"/>
  <c r="V150" i="8"/>
  <c r="X150" i="8"/>
  <c r="Z150" i="8"/>
  <c r="AB150" i="8"/>
  <c r="AD150" i="8"/>
  <c r="AG150" i="8"/>
  <c r="AJ150" i="8"/>
  <c r="AL150" i="8"/>
  <c r="E151" i="8"/>
  <c r="G151" i="8"/>
  <c r="K151" i="8"/>
  <c r="M151" i="8"/>
  <c r="O151" i="8"/>
  <c r="S151" i="8"/>
  <c r="V151" i="8"/>
  <c r="X151" i="8"/>
  <c r="Z151" i="8"/>
  <c r="AB151" i="8"/>
  <c r="AD151" i="8"/>
  <c r="AG151" i="8"/>
  <c r="AJ151" i="8"/>
  <c r="AL151" i="8"/>
  <c r="E152" i="8"/>
  <c r="G152" i="8"/>
  <c r="J152" i="8"/>
  <c r="L152" i="8"/>
  <c r="N152" i="8"/>
  <c r="R152" i="8"/>
  <c r="W152" i="8"/>
  <c r="Y152" i="8"/>
  <c r="AA152" i="8"/>
  <c r="AC152" i="8"/>
  <c r="AF152" i="8"/>
  <c r="AJ152" i="8"/>
  <c r="AL152" i="8"/>
  <c r="D154" i="8"/>
  <c r="F154" i="8"/>
  <c r="H154" i="8"/>
  <c r="J154" i="8"/>
  <c r="L154" i="8"/>
  <c r="N154" i="8"/>
  <c r="P154" i="8"/>
  <c r="R154" i="8"/>
  <c r="T154" i="8"/>
  <c r="V154" i="8"/>
  <c r="X154" i="8"/>
  <c r="Z154" i="8"/>
  <c r="AB154" i="8"/>
  <c r="AD154" i="8"/>
  <c r="AF154" i="8"/>
  <c r="AH154" i="8"/>
  <c r="AJ154" i="8"/>
  <c r="AL154" i="8"/>
  <c r="D156" i="8"/>
  <c r="F156" i="8"/>
  <c r="H156" i="8"/>
  <c r="J156" i="8"/>
  <c r="L156" i="8"/>
  <c r="N156" i="8"/>
  <c r="P156" i="8"/>
  <c r="R156" i="8"/>
  <c r="T156" i="8"/>
  <c r="V156" i="8"/>
  <c r="X156" i="8"/>
  <c r="Z156" i="8"/>
  <c r="AB156" i="8"/>
  <c r="AD156" i="8"/>
  <c r="AF156" i="8"/>
  <c r="AH156" i="8"/>
  <c r="AJ156" i="8"/>
  <c r="AL156" i="8"/>
  <c r="D157" i="8"/>
  <c r="F157" i="8"/>
  <c r="H157" i="8"/>
  <c r="J157" i="8"/>
  <c r="M157" i="8"/>
  <c r="O157" i="8"/>
  <c r="Q157" i="8"/>
  <c r="S157" i="8"/>
  <c r="U157" i="8"/>
  <c r="W157" i="8"/>
  <c r="Y157" i="8"/>
  <c r="AB157" i="8"/>
  <c r="AD157" i="8"/>
  <c r="AF157" i="8"/>
  <c r="AH157" i="8"/>
  <c r="AK157" i="8"/>
  <c r="C158" i="8"/>
  <c r="E158" i="8"/>
  <c r="G158" i="8"/>
  <c r="I158" i="8"/>
  <c r="L158" i="8"/>
  <c r="N158" i="8"/>
  <c r="P158" i="8"/>
  <c r="R158" i="8"/>
  <c r="T158" i="8"/>
  <c r="V158" i="8"/>
  <c r="X158" i="8"/>
  <c r="AA158" i="8"/>
  <c r="AC158" i="8"/>
  <c r="AE158" i="8"/>
  <c r="AG158" i="8"/>
  <c r="AJ158" i="8"/>
  <c r="AL158" i="8"/>
  <c r="D159" i="8"/>
  <c r="F159" i="8"/>
  <c r="H159" i="8"/>
  <c r="J159" i="8"/>
  <c r="L159" i="8"/>
  <c r="N159" i="8"/>
  <c r="P159" i="8"/>
  <c r="R159" i="8"/>
  <c r="T159" i="8"/>
  <c r="V159" i="8"/>
  <c r="X159" i="8"/>
  <c r="Z159" i="8"/>
  <c r="AB159" i="8"/>
  <c r="AD159" i="8"/>
  <c r="AF159" i="8"/>
  <c r="AH159" i="8"/>
  <c r="AJ159" i="8"/>
  <c r="AL159" i="8"/>
  <c r="D161" i="8"/>
  <c r="G161" i="8"/>
  <c r="K161" i="8"/>
  <c r="M161" i="8"/>
  <c r="R161" i="8"/>
  <c r="T161" i="8"/>
  <c r="W161" i="8"/>
  <c r="Z161" i="8"/>
  <c r="AB161" i="8"/>
  <c r="AD161" i="8"/>
  <c r="AF161" i="8"/>
  <c r="AI161" i="8"/>
  <c r="AK161" i="8"/>
  <c r="D162" i="8"/>
  <c r="F162" i="8"/>
  <c r="I162" i="8"/>
  <c r="K162" i="8"/>
  <c r="M162" i="8"/>
  <c r="R162" i="8"/>
  <c r="U162" i="8"/>
  <c r="Y162" i="8"/>
  <c r="AA162" i="8"/>
  <c r="AC162" i="8"/>
  <c r="AE162" i="8"/>
  <c r="AG162" i="8"/>
  <c r="AK162" i="8"/>
  <c r="D163" i="8"/>
  <c r="G163" i="8"/>
  <c r="K163" i="8"/>
  <c r="M163" i="8"/>
  <c r="R163" i="8"/>
  <c r="U163" i="8"/>
  <c r="Y163" i="8"/>
  <c r="AA163" i="8"/>
  <c r="AC163" i="8"/>
  <c r="AE163" i="8"/>
  <c r="AG163" i="8"/>
  <c r="AJ163" i="8"/>
  <c r="AL163" i="8"/>
  <c r="D164" i="8"/>
  <c r="F164" i="8"/>
  <c r="H164" i="8"/>
  <c r="J164" i="8"/>
  <c r="L164" i="8"/>
  <c r="N164" i="8"/>
  <c r="P164" i="8"/>
  <c r="R164" i="8"/>
  <c r="T164" i="8"/>
  <c r="V164" i="8"/>
  <c r="Y164" i="8"/>
  <c r="AA164" i="8"/>
  <c r="AC164" i="8"/>
  <c r="AE164" i="8"/>
  <c r="AG164" i="8"/>
  <c r="AJ164" i="8"/>
  <c r="AL164" i="8"/>
  <c r="D166" i="8"/>
  <c r="F166" i="8"/>
  <c r="H166" i="8"/>
  <c r="J166" i="8"/>
  <c r="L166" i="8"/>
  <c r="N166" i="8"/>
  <c r="S166" i="8"/>
  <c r="X166" i="8"/>
  <c r="Z166" i="8"/>
  <c r="AB166" i="8"/>
  <c r="AD166" i="8"/>
  <c r="AH166" i="8"/>
  <c r="AK166" i="8"/>
  <c r="C167" i="8"/>
  <c r="E167" i="8"/>
  <c r="G167" i="8"/>
  <c r="I167" i="8"/>
  <c r="K167" i="8"/>
  <c r="M167" i="8"/>
  <c r="O167" i="8"/>
  <c r="Q167" i="8"/>
  <c r="S167" i="8"/>
  <c r="U167" i="8"/>
  <c r="W167" i="8"/>
  <c r="Y167" i="8"/>
  <c r="AA167" i="8"/>
  <c r="AC167" i="8"/>
  <c r="AE167" i="8"/>
  <c r="AG167" i="8"/>
  <c r="AI167" i="8"/>
  <c r="AK167" i="8"/>
  <c r="C168" i="8"/>
  <c r="E168" i="8"/>
  <c r="G168" i="8"/>
  <c r="I168" i="8"/>
  <c r="K168" i="8"/>
  <c r="M168" i="8"/>
  <c r="O168" i="8"/>
  <c r="S168" i="8"/>
  <c r="U168" i="8"/>
  <c r="W168" i="8"/>
  <c r="Y168" i="8"/>
  <c r="AA168" i="8"/>
  <c r="AC168" i="8"/>
  <c r="AE168" i="8"/>
  <c r="AG168" i="8"/>
  <c r="AI168" i="8"/>
  <c r="AK168" i="8"/>
  <c r="C169" i="8"/>
  <c r="E169" i="8"/>
  <c r="G169" i="8"/>
  <c r="I169" i="8"/>
  <c r="K169" i="8"/>
  <c r="M169" i="8"/>
  <c r="O169" i="8"/>
  <c r="Q169" i="8"/>
  <c r="S169" i="8"/>
  <c r="U169" i="8"/>
  <c r="W169" i="8"/>
  <c r="Y169" i="8"/>
  <c r="AA169" i="8"/>
  <c r="AC169" i="8"/>
  <c r="AE169" i="8"/>
  <c r="AG169" i="8"/>
  <c r="AJ169" i="8"/>
  <c r="AL169" i="8"/>
  <c r="D170" i="8"/>
  <c r="F170" i="8"/>
  <c r="H170" i="8"/>
  <c r="J170" i="8"/>
  <c r="L170" i="8"/>
  <c r="N170" i="8"/>
  <c r="P170" i="8"/>
  <c r="R170" i="8"/>
  <c r="T170" i="8"/>
  <c r="V170" i="8"/>
  <c r="X170" i="8"/>
  <c r="Z170" i="8"/>
  <c r="AB170" i="8"/>
  <c r="AD170" i="8"/>
  <c r="AF170" i="8"/>
  <c r="AH170" i="8"/>
  <c r="AK170" i="8"/>
  <c r="C171" i="8"/>
  <c r="E171" i="8"/>
  <c r="G171" i="8"/>
  <c r="I171" i="8"/>
  <c r="K171" i="8"/>
  <c r="M171" i="8"/>
  <c r="O171" i="8"/>
  <c r="S171" i="8"/>
  <c r="U171" i="8"/>
  <c r="W171" i="8"/>
  <c r="Y171" i="8"/>
  <c r="AA171" i="8"/>
  <c r="AC171" i="8"/>
  <c r="AE171" i="8"/>
  <c r="AG171" i="8"/>
  <c r="AJ171" i="8"/>
  <c r="AL171" i="8"/>
  <c r="D172" i="8"/>
  <c r="F172" i="8"/>
  <c r="H172" i="8"/>
  <c r="J172" i="8"/>
  <c r="L172" i="8"/>
  <c r="N172" i="8"/>
  <c r="P172" i="8"/>
  <c r="R172" i="8"/>
  <c r="T172" i="8"/>
  <c r="V172" i="8"/>
  <c r="X172" i="8"/>
  <c r="Z172" i="8"/>
  <c r="AB172" i="8"/>
  <c r="AD172" i="8"/>
  <c r="AF172" i="8"/>
  <c r="AH172" i="8"/>
  <c r="AK172" i="8"/>
  <c r="C173" i="8"/>
  <c r="E173" i="8"/>
  <c r="G173" i="8"/>
  <c r="I173" i="8"/>
  <c r="K173" i="8"/>
  <c r="M173" i="8"/>
  <c r="O173" i="8"/>
  <c r="Q173" i="8"/>
  <c r="S173" i="8"/>
  <c r="U173" i="8"/>
  <c r="X173" i="8"/>
  <c r="Z173" i="8"/>
  <c r="AB173" i="8"/>
  <c r="AD173" i="8"/>
  <c r="AF173" i="8"/>
  <c r="AH173" i="8"/>
  <c r="AK173" i="8"/>
  <c r="C174" i="8"/>
  <c r="E174" i="8"/>
  <c r="G174" i="8"/>
  <c r="I174" i="8"/>
  <c r="K174" i="8"/>
  <c r="M174" i="8"/>
  <c r="O174" i="8"/>
  <c r="S174" i="8"/>
  <c r="U174" i="8"/>
  <c r="X174" i="8"/>
  <c r="Z174" i="8"/>
  <c r="AB174" i="8"/>
  <c r="AD174" i="8"/>
  <c r="AF174" i="8"/>
  <c r="AH174" i="8"/>
  <c r="AK174" i="8"/>
  <c r="C175" i="8"/>
  <c r="E175" i="8"/>
  <c r="G175" i="8"/>
  <c r="I175" i="8"/>
  <c r="K175" i="8"/>
  <c r="M175" i="8"/>
  <c r="R175" i="8"/>
  <c r="T175" i="8"/>
  <c r="X175" i="8"/>
  <c r="Z175" i="8"/>
  <c r="AC175" i="8"/>
  <c r="AE175" i="8"/>
  <c r="AG175" i="8"/>
  <c r="AI175" i="8"/>
  <c r="AK175" i="8"/>
  <c r="C176" i="8"/>
  <c r="E176" i="8"/>
  <c r="G176" i="8"/>
  <c r="I176" i="8"/>
  <c r="K176" i="8"/>
  <c r="M176" i="8"/>
  <c r="R176" i="8"/>
  <c r="T176" i="8"/>
  <c r="W176" i="8"/>
  <c r="Y176" i="8"/>
  <c r="AB176" i="8"/>
  <c r="AD176" i="8"/>
  <c r="AH176" i="8"/>
  <c r="AK176" i="8"/>
  <c r="C178" i="8"/>
  <c r="E178" i="8"/>
  <c r="G178" i="8"/>
  <c r="I178" i="8"/>
  <c r="K178" i="8"/>
  <c r="M178" i="8"/>
  <c r="O178" i="8"/>
  <c r="S178" i="8"/>
  <c r="X178" i="8"/>
  <c r="Z178" i="8"/>
  <c r="AB178" i="8"/>
  <c r="AD178" i="8"/>
  <c r="AH178" i="8"/>
  <c r="AK178" i="8"/>
  <c r="C179" i="8"/>
  <c r="E179" i="8"/>
  <c r="G179" i="8"/>
  <c r="I179" i="8"/>
  <c r="K179" i="8"/>
  <c r="M179" i="8"/>
  <c r="O179" i="8"/>
  <c r="Q179" i="8"/>
  <c r="S179" i="8"/>
  <c r="U179" i="8"/>
  <c r="X179" i="8"/>
  <c r="Z179" i="8"/>
  <c r="AD179" i="8"/>
  <c r="AG179" i="8"/>
  <c r="AI179" i="8"/>
  <c r="AK179" i="8"/>
  <c r="C180" i="8"/>
  <c r="E180" i="8"/>
  <c r="G180" i="8"/>
  <c r="I180" i="8"/>
  <c r="K180" i="8"/>
  <c r="M180" i="8"/>
  <c r="O180" i="8"/>
  <c r="S180" i="8"/>
  <c r="X180" i="8"/>
  <c r="Z180" i="8"/>
  <c r="AD180" i="8"/>
  <c r="AH180" i="8"/>
  <c r="AK180" i="8"/>
  <c r="C182" i="8"/>
  <c r="E182" i="8"/>
  <c r="G182" i="8"/>
  <c r="I182" i="8"/>
  <c r="K182" i="8"/>
  <c r="M182" i="8"/>
  <c r="O182" i="8"/>
  <c r="Q182" i="8"/>
  <c r="S182" i="8"/>
  <c r="AJ182" i="8"/>
  <c r="AL182" i="8"/>
  <c r="D183" i="8"/>
  <c r="F183" i="8"/>
  <c r="H183" i="8"/>
  <c r="J183" i="8"/>
  <c r="L183" i="8"/>
  <c r="N183" i="8"/>
  <c r="P183" i="8"/>
  <c r="R183" i="8"/>
  <c r="T183" i="8"/>
  <c r="W183" i="8"/>
  <c r="Y183" i="8"/>
  <c r="AF183" i="8"/>
  <c r="AH183" i="8"/>
  <c r="AK183" i="8"/>
  <c r="C184" i="8"/>
  <c r="E184" i="8"/>
  <c r="G184" i="8"/>
  <c r="I184" i="8"/>
  <c r="K184" i="8"/>
  <c r="M184" i="8"/>
  <c r="O184" i="8"/>
  <c r="Q184" i="8"/>
  <c r="S184" i="8"/>
  <c r="V184" i="8"/>
  <c r="X184" i="8"/>
  <c r="AA184" i="8"/>
  <c r="AC184" i="8"/>
  <c r="AE184" i="8"/>
  <c r="AH184" i="8"/>
  <c r="AJ184" i="8"/>
  <c r="AL184" i="8"/>
  <c r="D185" i="8"/>
  <c r="F185" i="8"/>
  <c r="H185" i="8"/>
  <c r="J185" i="8"/>
  <c r="L185" i="8"/>
  <c r="N185" i="8"/>
  <c r="P185" i="8"/>
  <c r="R185" i="8"/>
  <c r="Z185" i="8"/>
  <c r="AB185" i="8"/>
  <c r="AE185" i="8"/>
  <c r="AH185" i="8"/>
  <c r="AJ185" i="8"/>
  <c r="AL185" i="8"/>
  <c r="F190" i="8"/>
  <c r="J190" i="8"/>
  <c r="N190" i="8"/>
  <c r="R190" i="8"/>
  <c r="V190" i="8"/>
  <c r="Z190" i="8"/>
  <c r="AD190" i="8"/>
  <c r="AH190" i="8"/>
  <c r="AL190" i="8"/>
  <c r="D193" i="8"/>
  <c r="F193" i="8"/>
  <c r="H193" i="8"/>
  <c r="J193" i="8"/>
  <c r="L193" i="8"/>
  <c r="N193" i="8"/>
  <c r="P193" i="8"/>
  <c r="R193" i="8"/>
  <c r="T193" i="8"/>
  <c r="V193" i="8"/>
  <c r="X193" i="8"/>
  <c r="Z193" i="8"/>
  <c r="AB193" i="8"/>
  <c r="AD193" i="8"/>
  <c r="AF193" i="8"/>
  <c r="AH193" i="8"/>
  <c r="AJ193" i="8"/>
  <c r="AL193" i="8"/>
  <c r="D194" i="8"/>
  <c r="F194" i="8"/>
  <c r="H194" i="8"/>
  <c r="J194" i="8"/>
  <c r="L194" i="8"/>
  <c r="N194" i="8"/>
  <c r="P194" i="8"/>
  <c r="R194" i="8"/>
  <c r="T194" i="8"/>
  <c r="V194" i="8"/>
  <c r="X194" i="8"/>
  <c r="Z194" i="8"/>
  <c r="AB194" i="8"/>
  <c r="AD194" i="8"/>
  <c r="AF194" i="8"/>
  <c r="AH194" i="8"/>
  <c r="AJ194" i="8"/>
  <c r="AL194" i="8"/>
  <c r="D195" i="8"/>
  <c r="F195" i="8"/>
  <c r="H195" i="8"/>
  <c r="J195" i="8"/>
  <c r="L195" i="8"/>
  <c r="N195" i="8"/>
  <c r="P195" i="8"/>
  <c r="R195" i="8"/>
  <c r="T195" i="8"/>
  <c r="V195" i="8"/>
  <c r="X195" i="8"/>
  <c r="Z195" i="8"/>
  <c r="AB195" i="8"/>
  <c r="AD195" i="8"/>
  <c r="AF195" i="8"/>
  <c r="AH195" i="8"/>
  <c r="AJ195" i="8"/>
  <c r="AL195" i="8"/>
  <c r="D196" i="8"/>
  <c r="F196" i="8"/>
  <c r="H196" i="8"/>
  <c r="J196" i="8"/>
  <c r="L196" i="8"/>
  <c r="N196" i="8"/>
  <c r="P196" i="8"/>
  <c r="R196" i="8"/>
  <c r="T196" i="8"/>
  <c r="V196" i="8"/>
  <c r="X196" i="8"/>
  <c r="Z196" i="8"/>
  <c r="AB196" i="8"/>
  <c r="AD196" i="8"/>
  <c r="AF196" i="8"/>
  <c r="AH196" i="8"/>
  <c r="AJ196" i="8"/>
  <c r="AL196" i="8"/>
  <c r="D197" i="8"/>
  <c r="F197" i="8"/>
  <c r="H197" i="8"/>
  <c r="J197" i="8"/>
  <c r="L197" i="8"/>
  <c r="N197" i="8"/>
  <c r="P197" i="8"/>
  <c r="R197" i="8"/>
  <c r="T197" i="8"/>
  <c r="V197" i="8"/>
  <c r="X197" i="8"/>
  <c r="Z197" i="8"/>
  <c r="AB197" i="8"/>
  <c r="AD197" i="8"/>
  <c r="AF197" i="8"/>
  <c r="AH197" i="8"/>
  <c r="AJ197" i="8"/>
  <c r="AL197" i="8"/>
  <c r="D198" i="8"/>
  <c r="F198" i="8"/>
  <c r="H198" i="8"/>
  <c r="J198" i="8"/>
  <c r="L198" i="8"/>
  <c r="N198" i="8"/>
  <c r="P198" i="8"/>
  <c r="R198" i="8"/>
  <c r="T198" i="8"/>
  <c r="V198" i="8"/>
  <c r="X198" i="8"/>
  <c r="Z198" i="8"/>
  <c r="AB198" i="8"/>
  <c r="AD198" i="8"/>
  <c r="AF198" i="8"/>
  <c r="AH198" i="8"/>
  <c r="AJ198" i="8"/>
  <c r="AL198" i="8"/>
  <c r="D199" i="8"/>
  <c r="F199" i="8"/>
  <c r="H199" i="8"/>
  <c r="J199" i="8"/>
  <c r="L199" i="8"/>
  <c r="N199" i="8"/>
  <c r="P199" i="8"/>
  <c r="R199" i="8"/>
  <c r="T199" i="8"/>
  <c r="V199" i="8"/>
  <c r="X199" i="8"/>
  <c r="Z199" i="8"/>
  <c r="AB199" i="8"/>
  <c r="AD199" i="8"/>
  <c r="AF199" i="8"/>
  <c r="AH199" i="8"/>
  <c r="AJ199" i="8"/>
  <c r="AL199" i="8"/>
  <c r="D200" i="8"/>
  <c r="F200" i="8"/>
  <c r="H200" i="8"/>
  <c r="J200" i="8"/>
  <c r="L200" i="8"/>
  <c r="N200" i="8"/>
  <c r="P200" i="8"/>
  <c r="R200" i="8"/>
  <c r="T200" i="8"/>
  <c r="V200" i="8"/>
  <c r="X200" i="8"/>
  <c r="Z200" i="8"/>
  <c r="AB200" i="8"/>
  <c r="AD200" i="8"/>
  <c r="AF200" i="8"/>
  <c r="AH200" i="8"/>
  <c r="AJ200" i="8"/>
  <c r="AL200" i="8"/>
  <c r="D201" i="8"/>
  <c r="F201" i="8"/>
  <c r="H201" i="8"/>
  <c r="J201" i="8"/>
  <c r="L201" i="8"/>
  <c r="N201" i="8"/>
  <c r="P201" i="8"/>
  <c r="R201" i="8"/>
  <c r="T201" i="8"/>
  <c r="V201" i="8"/>
  <c r="X201" i="8"/>
  <c r="Z201" i="8"/>
  <c r="AB201" i="8"/>
  <c r="AD201" i="8"/>
  <c r="AF201" i="8"/>
  <c r="AH201" i="8"/>
  <c r="AJ201" i="8"/>
  <c r="AL201" i="8"/>
  <c r="D202" i="8"/>
  <c r="F202" i="8"/>
  <c r="H202" i="8"/>
  <c r="J202" i="8"/>
  <c r="L202" i="8"/>
  <c r="N202" i="8"/>
  <c r="P202" i="8"/>
  <c r="R202" i="8"/>
  <c r="T202" i="8"/>
  <c r="V202" i="8"/>
  <c r="X202" i="8"/>
  <c r="Z202" i="8"/>
  <c r="AB202" i="8"/>
  <c r="AD202" i="8"/>
  <c r="AF202" i="8"/>
  <c r="AH202" i="8"/>
  <c r="AJ202" i="8"/>
  <c r="AL202" i="8"/>
  <c r="D203" i="8"/>
  <c r="F203" i="8"/>
  <c r="H203" i="8"/>
  <c r="J203" i="8"/>
  <c r="L203" i="8"/>
  <c r="N203" i="8"/>
  <c r="P203" i="8"/>
  <c r="R203" i="8"/>
  <c r="T203" i="8"/>
  <c r="V203" i="8"/>
  <c r="X203" i="8"/>
  <c r="Z203" i="8"/>
  <c r="AB203" i="8"/>
  <c r="AD203" i="8"/>
  <c r="AF203" i="8"/>
  <c r="AH203" i="8"/>
  <c r="AJ203" i="8"/>
  <c r="AL203" i="8"/>
  <c r="D204" i="8"/>
  <c r="F204" i="8"/>
  <c r="H204" i="8"/>
  <c r="J204" i="8"/>
  <c r="L204" i="8"/>
  <c r="N204" i="8"/>
  <c r="P204" i="8"/>
  <c r="R204" i="8"/>
  <c r="T204" i="8"/>
  <c r="V204" i="8"/>
  <c r="X204" i="8"/>
  <c r="Z204" i="8"/>
  <c r="AB204" i="8"/>
  <c r="AD204" i="8"/>
  <c r="AF204" i="8"/>
  <c r="AH204" i="8"/>
  <c r="AJ204" i="8"/>
  <c r="AL204" i="8"/>
  <c r="D205" i="8"/>
  <c r="F205" i="8"/>
  <c r="H205" i="8"/>
  <c r="J205" i="8"/>
  <c r="L205" i="8"/>
  <c r="N205" i="8"/>
  <c r="P205" i="8"/>
  <c r="R205" i="8"/>
  <c r="T205" i="8"/>
  <c r="V205" i="8"/>
  <c r="X205" i="8"/>
  <c r="Z205" i="8"/>
  <c r="AB205" i="8"/>
  <c r="AD205" i="8"/>
  <c r="AF205" i="8"/>
  <c r="AH205" i="8"/>
  <c r="AJ205" i="8"/>
  <c r="AL205" i="8"/>
  <c r="D206" i="8"/>
  <c r="F206" i="8"/>
  <c r="H206" i="8"/>
  <c r="J206" i="8"/>
  <c r="L206" i="8"/>
  <c r="N206" i="8"/>
  <c r="P206" i="8"/>
  <c r="R206" i="8"/>
  <c r="T206" i="8"/>
  <c r="V206" i="8"/>
  <c r="X206" i="8"/>
  <c r="Z206" i="8"/>
  <c r="AB206" i="8"/>
  <c r="AD206" i="8"/>
  <c r="AF206" i="8"/>
  <c r="AH206" i="8"/>
  <c r="AJ206" i="8"/>
  <c r="AL206" i="8"/>
  <c r="D207" i="8"/>
  <c r="H207" i="8"/>
  <c r="J207" i="8"/>
  <c r="L207" i="8"/>
  <c r="N207" i="8"/>
  <c r="P207" i="8"/>
  <c r="R207" i="8"/>
  <c r="T207" i="8"/>
  <c r="V207" i="8"/>
  <c r="X207" i="8"/>
  <c r="Z207" i="8"/>
  <c r="AB207" i="8"/>
  <c r="AD207" i="8"/>
  <c r="AF207" i="8"/>
  <c r="AH207" i="8"/>
  <c r="AJ207" i="8"/>
  <c r="AL207" i="8"/>
  <c r="D208" i="8"/>
  <c r="F208" i="8"/>
  <c r="I208" i="8"/>
  <c r="K208" i="8"/>
  <c r="M208" i="8"/>
  <c r="O208" i="8"/>
  <c r="Q208" i="8"/>
  <c r="S208" i="8"/>
  <c r="U208" i="8"/>
  <c r="W208" i="8"/>
  <c r="Y208" i="8"/>
  <c r="AA208" i="8"/>
  <c r="AC208" i="8"/>
  <c r="AE208" i="8"/>
  <c r="AG208" i="8"/>
  <c r="AI208" i="8"/>
  <c r="AK208" i="8"/>
  <c r="C209" i="8"/>
  <c r="E209" i="8"/>
  <c r="G209" i="8"/>
  <c r="I209" i="8"/>
  <c r="K209" i="8"/>
  <c r="M209" i="8"/>
  <c r="O209" i="8"/>
  <c r="Q209" i="8"/>
  <c r="S209" i="8"/>
  <c r="U209" i="8"/>
  <c r="W209" i="8"/>
  <c r="Y209" i="8"/>
  <c r="AA209" i="8"/>
  <c r="AC209" i="8"/>
  <c r="AE209" i="8"/>
  <c r="AG209" i="8"/>
  <c r="AI209" i="8"/>
  <c r="AK209" i="8"/>
  <c r="C210" i="8"/>
  <c r="E210" i="8"/>
  <c r="G210" i="8"/>
  <c r="I210" i="8"/>
  <c r="K210" i="8"/>
  <c r="M210" i="8"/>
  <c r="O210" i="8"/>
  <c r="Q210" i="8"/>
  <c r="S210" i="8"/>
  <c r="U210" i="8"/>
  <c r="W210" i="8"/>
  <c r="Y210" i="8"/>
  <c r="AA210" i="8"/>
  <c r="AC210" i="8"/>
  <c r="AE210" i="8"/>
  <c r="AG210" i="8"/>
  <c r="AI210" i="8"/>
  <c r="AK210" i="8"/>
  <c r="C211" i="8"/>
  <c r="E211" i="8"/>
  <c r="G211" i="8"/>
  <c r="I211" i="8"/>
  <c r="K211" i="8"/>
  <c r="M211" i="8"/>
  <c r="O211" i="8"/>
  <c r="Q211" i="8"/>
  <c r="S211" i="8"/>
  <c r="U211" i="8"/>
  <c r="W211" i="8"/>
  <c r="Y211" i="8"/>
  <c r="AA211" i="8"/>
  <c r="AC211" i="8"/>
  <c r="AE211" i="8"/>
  <c r="AG211" i="8"/>
  <c r="AI211" i="8"/>
  <c r="AK211" i="8"/>
  <c r="C212" i="8"/>
  <c r="E212" i="8"/>
  <c r="G212" i="8"/>
  <c r="I212" i="8"/>
  <c r="K212" i="8"/>
  <c r="M212" i="8"/>
  <c r="O212" i="8"/>
  <c r="Q212" i="8"/>
  <c r="S212" i="8"/>
  <c r="U212" i="8"/>
  <c r="W212" i="8"/>
  <c r="Y212" i="8"/>
  <c r="AA212" i="8"/>
  <c r="AC212" i="8"/>
  <c r="AE212" i="8"/>
  <c r="AG212" i="8"/>
  <c r="AI212" i="8"/>
  <c r="AK212" i="8"/>
  <c r="C213" i="8"/>
  <c r="E213" i="8"/>
  <c r="G213" i="8"/>
  <c r="I213" i="8"/>
  <c r="K213" i="8"/>
  <c r="M213" i="8"/>
  <c r="O213" i="8"/>
  <c r="Q213" i="8"/>
  <c r="S213" i="8"/>
  <c r="U213" i="8"/>
  <c r="W213" i="8"/>
  <c r="Y213" i="8"/>
  <c r="AA213" i="8"/>
  <c r="AC213" i="8"/>
  <c r="AE213" i="8"/>
  <c r="AG213" i="8"/>
  <c r="AI213" i="8"/>
  <c r="AK213" i="8"/>
  <c r="C214" i="8"/>
  <c r="E214" i="8"/>
  <c r="G214" i="8"/>
  <c r="I214" i="8"/>
  <c r="K214" i="8"/>
  <c r="M214" i="8"/>
  <c r="O214" i="8"/>
  <c r="Q214" i="8"/>
  <c r="S214" i="8"/>
  <c r="U214" i="8"/>
  <c r="W214" i="8"/>
  <c r="Y214" i="8"/>
  <c r="AA214" i="8"/>
  <c r="AC214" i="8"/>
  <c r="AE214" i="8"/>
  <c r="AG214" i="8"/>
  <c r="AI214" i="8"/>
  <c r="AK214" i="8"/>
  <c r="C215" i="8"/>
  <c r="E215" i="8"/>
  <c r="G215" i="8"/>
  <c r="I215" i="8"/>
  <c r="K215" i="8"/>
  <c r="M215" i="8"/>
  <c r="O215" i="8"/>
  <c r="Q215" i="8"/>
  <c r="S215" i="8"/>
  <c r="U215" i="8"/>
  <c r="W215" i="8"/>
  <c r="Y215" i="8"/>
  <c r="AA215" i="8"/>
  <c r="AC215" i="8"/>
  <c r="AE215" i="8"/>
  <c r="AG215" i="8"/>
  <c r="AI215" i="8"/>
  <c r="AK215" i="8"/>
  <c r="C216" i="8"/>
  <c r="E216" i="8"/>
  <c r="G216" i="8"/>
  <c r="I216" i="8"/>
  <c r="K216" i="8"/>
  <c r="M216" i="8"/>
  <c r="O216" i="8"/>
  <c r="Q216" i="8"/>
  <c r="S216" i="8"/>
  <c r="U216" i="8"/>
  <c r="W216" i="8"/>
  <c r="Y216" i="8"/>
  <c r="AA216" i="8"/>
  <c r="AC216" i="8"/>
  <c r="AE216" i="8"/>
  <c r="AG216" i="8"/>
  <c r="AI216" i="8"/>
  <c r="AK216" i="8"/>
  <c r="C217" i="8"/>
  <c r="E217" i="8"/>
  <c r="G217" i="8"/>
  <c r="I217" i="8"/>
  <c r="K217" i="8"/>
  <c r="M217" i="8"/>
  <c r="O217" i="8"/>
  <c r="Q217" i="8"/>
  <c r="S217" i="8"/>
  <c r="U217" i="8"/>
  <c r="W217" i="8"/>
  <c r="Y217" i="8"/>
  <c r="AA217" i="8"/>
  <c r="AC217" i="8"/>
  <c r="AE217" i="8"/>
  <c r="AG217" i="8"/>
  <c r="AI217" i="8"/>
  <c r="AK217" i="8"/>
  <c r="C218" i="8"/>
  <c r="E218" i="8"/>
  <c r="G218" i="8"/>
  <c r="I218" i="8"/>
  <c r="K218" i="8"/>
  <c r="M218" i="8"/>
  <c r="O218" i="8"/>
  <c r="Q218" i="8"/>
  <c r="S218" i="8"/>
  <c r="U218" i="8"/>
  <c r="W218" i="8"/>
  <c r="Y218" i="8"/>
  <c r="AA218" i="8"/>
  <c r="AC218" i="8"/>
  <c r="AE218" i="8"/>
  <c r="AG218" i="8"/>
  <c r="AI218" i="8"/>
  <c r="AK218" i="8"/>
  <c r="C219" i="8"/>
  <c r="E219" i="8"/>
  <c r="G219" i="8"/>
  <c r="I219" i="8"/>
  <c r="K219" i="8"/>
  <c r="M219" i="8"/>
  <c r="O219" i="8"/>
  <c r="Q219" i="8"/>
  <c r="S219" i="8"/>
  <c r="U219" i="8"/>
  <c r="W219" i="8"/>
  <c r="Y219" i="8"/>
  <c r="AA219" i="8"/>
  <c r="AC219" i="8"/>
  <c r="AE219" i="8"/>
  <c r="AG219" i="8"/>
  <c r="AI219" i="8"/>
  <c r="AK219" i="8"/>
  <c r="C220" i="8"/>
  <c r="E220" i="8"/>
  <c r="I220" i="8"/>
  <c r="K220" i="8"/>
  <c r="M220" i="8"/>
  <c r="O220" i="8"/>
  <c r="Q220" i="8"/>
  <c r="S220" i="8"/>
  <c r="U220" i="8"/>
  <c r="W220" i="8"/>
  <c r="Y220" i="8"/>
  <c r="AA220" i="8"/>
  <c r="AC220" i="8"/>
  <c r="AE220" i="8"/>
  <c r="AG220" i="8"/>
  <c r="AI220" i="8"/>
  <c r="AK220" i="8"/>
  <c r="C221" i="8"/>
  <c r="E221" i="8"/>
  <c r="G221" i="8"/>
  <c r="I221" i="8"/>
  <c r="K221" i="8"/>
  <c r="M221" i="8"/>
  <c r="O221" i="8"/>
  <c r="Q221" i="8"/>
  <c r="S221" i="8"/>
  <c r="U221" i="8"/>
  <c r="W221" i="8"/>
  <c r="Y221" i="8"/>
  <c r="AA221" i="8"/>
  <c r="AC221" i="8"/>
  <c r="AE221" i="8"/>
  <c r="AG221" i="8"/>
  <c r="AI221" i="8"/>
  <c r="AK221" i="8"/>
  <c r="C222" i="8"/>
  <c r="E222" i="8"/>
  <c r="G222" i="8"/>
  <c r="I222" i="8"/>
  <c r="K222" i="8"/>
  <c r="M222" i="8"/>
  <c r="O222" i="8"/>
  <c r="Q222" i="8"/>
  <c r="S222" i="8"/>
  <c r="U222" i="8"/>
  <c r="W222" i="8"/>
  <c r="Y222" i="8"/>
  <c r="AA222" i="8"/>
  <c r="AC222" i="8"/>
  <c r="AE222" i="8"/>
  <c r="AG222" i="8"/>
  <c r="AI222" i="8"/>
  <c r="AK222" i="8"/>
  <c r="C223" i="8"/>
  <c r="E223" i="8"/>
  <c r="G223" i="8"/>
  <c r="I223" i="8"/>
  <c r="K223" i="8"/>
  <c r="M223" i="8"/>
  <c r="O223" i="8"/>
  <c r="Q223" i="8"/>
  <c r="S223" i="8"/>
  <c r="U223" i="8"/>
  <c r="W223" i="8"/>
  <c r="Y223" i="8"/>
  <c r="AA223" i="8"/>
  <c r="AC223" i="8"/>
  <c r="AE223" i="8"/>
  <c r="AG223" i="8"/>
  <c r="AI223" i="8"/>
  <c r="AK223" i="8"/>
  <c r="C224" i="8"/>
  <c r="E224" i="8"/>
  <c r="G224" i="8"/>
  <c r="I224" i="8"/>
  <c r="K224" i="8"/>
  <c r="M224" i="8"/>
  <c r="O224" i="8"/>
  <c r="Q224" i="8"/>
  <c r="S224" i="8"/>
  <c r="U224" i="8"/>
  <c r="W224" i="8"/>
  <c r="Y224" i="8"/>
  <c r="AA224" i="8"/>
  <c r="AC224" i="8"/>
  <c r="AE224" i="8"/>
  <c r="AG224" i="8"/>
  <c r="AI224" i="8"/>
  <c r="AK224" i="8"/>
  <c r="C225" i="8"/>
  <c r="E225" i="8"/>
  <c r="G225" i="8"/>
  <c r="I225" i="8"/>
  <c r="K225" i="8"/>
  <c r="M225" i="8"/>
  <c r="O225" i="8"/>
  <c r="Q225" i="8"/>
  <c r="S225" i="8"/>
  <c r="U225" i="8"/>
  <c r="W225" i="8"/>
  <c r="Y225" i="8"/>
  <c r="AA225" i="8"/>
  <c r="AC225" i="8"/>
  <c r="AE225" i="8"/>
  <c r="AG225" i="8"/>
  <c r="AI225" i="8"/>
  <c r="AK225" i="8"/>
  <c r="C226" i="8"/>
  <c r="E226" i="8"/>
  <c r="G226" i="8"/>
  <c r="I226" i="8"/>
  <c r="K226" i="8"/>
  <c r="M226" i="8"/>
  <c r="O226" i="8"/>
  <c r="Q226" i="8"/>
  <c r="S226" i="8"/>
  <c r="U226" i="8"/>
  <c r="W226" i="8"/>
  <c r="Y226" i="8"/>
  <c r="AA226" i="8"/>
  <c r="AC226" i="8"/>
  <c r="AE226" i="8"/>
  <c r="AG226" i="8"/>
  <c r="AI226" i="8"/>
  <c r="AK226" i="8"/>
  <c r="C227" i="8"/>
  <c r="E227" i="8"/>
  <c r="G227" i="8"/>
  <c r="I227" i="8"/>
  <c r="K227" i="8"/>
  <c r="M227" i="8"/>
  <c r="O227" i="8"/>
  <c r="Q227" i="8"/>
  <c r="S227" i="8"/>
  <c r="U227" i="8"/>
  <c r="W227" i="8"/>
  <c r="Y227" i="8"/>
  <c r="AA227" i="8"/>
  <c r="AC227" i="8"/>
  <c r="AE227" i="8"/>
  <c r="AG227" i="8"/>
  <c r="AI227" i="8"/>
  <c r="AK227" i="8"/>
  <c r="C228" i="8"/>
  <c r="E228" i="8"/>
  <c r="G228" i="8"/>
  <c r="I228" i="8"/>
  <c r="K228" i="8"/>
  <c r="M228" i="8"/>
  <c r="O228" i="8"/>
  <c r="Q228" i="8"/>
  <c r="S228" i="8"/>
  <c r="U228" i="8"/>
  <c r="W228" i="8"/>
  <c r="Y228" i="8"/>
  <c r="AA228" i="8"/>
  <c r="AC228" i="8"/>
  <c r="AE228" i="8"/>
  <c r="AG228" i="8"/>
  <c r="AI228" i="8"/>
  <c r="AK228" i="8"/>
  <c r="C229" i="8"/>
  <c r="E229" i="8"/>
  <c r="G229" i="8"/>
  <c r="I229" i="8"/>
  <c r="K229" i="8"/>
  <c r="M229" i="8"/>
  <c r="O229" i="8"/>
  <c r="Q229" i="8"/>
  <c r="S229" i="8"/>
  <c r="U229" i="8"/>
  <c r="W229" i="8"/>
  <c r="Y229" i="8"/>
  <c r="AA229" i="8"/>
  <c r="AC229" i="8"/>
  <c r="AE229" i="8"/>
  <c r="AG229" i="8"/>
  <c r="AI229" i="8"/>
  <c r="AK229" i="8"/>
  <c r="C230" i="8"/>
  <c r="E230" i="8"/>
  <c r="G230" i="8"/>
  <c r="I230" i="8"/>
  <c r="K230" i="8"/>
  <c r="M230" i="8"/>
  <c r="O230" i="8"/>
  <c r="Q230" i="8"/>
  <c r="S230" i="8"/>
  <c r="U230" i="8"/>
  <c r="W230" i="8"/>
  <c r="Y230" i="8"/>
  <c r="AA230" i="8"/>
  <c r="AC230" i="8"/>
  <c r="AE230" i="8"/>
  <c r="AG230" i="8"/>
  <c r="AI230" i="8"/>
  <c r="AK230" i="8"/>
  <c r="C231" i="8"/>
  <c r="E231" i="8"/>
  <c r="G231" i="8"/>
  <c r="I231" i="8"/>
  <c r="K231" i="8"/>
  <c r="M231" i="8"/>
  <c r="O231" i="8"/>
  <c r="Q231" i="8"/>
  <c r="S231" i="8"/>
  <c r="U231" i="8"/>
  <c r="W231" i="8"/>
  <c r="Y231" i="8"/>
  <c r="AA231" i="8"/>
  <c r="AC231" i="8"/>
  <c r="AE231" i="8"/>
  <c r="AG231" i="8"/>
  <c r="AI231" i="8"/>
  <c r="AK231" i="8"/>
  <c r="C232" i="8"/>
  <c r="E232" i="8"/>
  <c r="G232" i="8"/>
  <c r="I232" i="8"/>
  <c r="K232" i="8"/>
  <c r="M232" i="8"/>
  <c r="O232" i="8"/>
  <c r="Q232" i="8"/>
  <c r="S232" i="8"/>
  <c r="U232" i="8"/>
  <c r="W232" i="8"/>
  <c r="Y232" i="8"/>
  <c r="AA232" i="8"/>
  <c r="AC232" i="8"/>
  <c r="AE232" i="8"/>
  <c r="AG232" i="8"/>
  <c r="AI232" i="8"/>
  <c r="AK232" i="8"/>
  <c r="C233" i="8"/>
  <c r="E233" i="8"/>
  <c r="G233" i="8"/>
  <c r="I233" i="8"/>
  <c r="K233" i="8"/>
  <c r="M233" i="8"/>
  <c r="O233" i="8"/>
  <c r="Q233" i="8"/>
  <c r="S233" i="8"/>
  <c r="U233" i="8"/>
  <c r="W233" i="8"/>
  <c r="Y233" i="8"/>
  <c r="AA233" i="8"/>
  <c r="AC233" i="8"/>
  <c r="AE233" i="8"/>
  <c r="AG233" i="8"/>
  <c r="AI233" i="8"/>
  <c r="AK233" i="8"/>
  <c r="C234" i="8"/>
  <c r="E234" i="8"/>
  <c r="G234" i="8"/>
  <c r="I234" i="8"/>
  <c r="K234" i="8"/>
  <c r="M234" i="8"/>
  <c r="O234" i="8"/>
  <c r="Q234" i="8"/>
  <c r="S234" i="8"/>
  <c r="U234" i="8"/>
  <c r="W234" i="8"/>
  <c r="Y234" i="8"/>
  <c r="AA234" i="8"/>
  <c r="AC234" i="8"/>
  <c r="AE234" i="8"/>
  <c r="AG234" i="8"/>
  <c r="AI234" i="8"/>
  <c r="AK234" i="8"/>
  <c r="C235" i="8"/>
  <c r="E235" i="8"/>
  <c r="G235" i="8"/>
  <c r="I235" i="8"/>
  <c r="K235" i="8"/>
  <c r="M235" i="8"/>
  <c r="O235" i="8"/>
  <c r="Q235" i="8"/>
  <c r="S235" i="8"/>
  <c r="U235" i="8"/>
  <c r="W235" i="8"/>
  <c r="Y235" i="8"/>
  <c r="AA235" i="8"/>
  <c r="AC235" i="8"/>
  <c r="AE235" i="8"/>
  <c r="AG235" i="8"/>
  <c r="AI235" i="8"/>
  <c r="AK235" i="8"/>
  <c r="C236" i="8"/>
  <c r="E236" i="8"/>
  <c r="G236" i="8"/>
  <c r="I236" i="8"/>
  <c r="K236" i="8"/>
  <c r="M236" i="8"/>
  <c r="O236" i="8"/>
  <c r="Q236" i="8"/>
  <c r="S236" i="8"/>
  <c r="U236" i="8"/>
  <c r="W236" i="8"/>
  <c r="Y236" i="8"/>
  <c r="AA236" i="8"/>
  <c r="AC236" i="8"/>
  <c r="AE236" i="8"/>
  <c r="AG236" i="8"/>
  <c r="AI236" i="8"/>
  <c r="AK236" i="8"/>
  <c r="C237" i="8"/>
  <c r="E237" i="8"/>
  <c r="G237" i="8"/>
  <c r="I237" i="8"/>
  <c r="K237" i="8"/>
  <c r="M237" i="8"/>
  <c r="O237" i="8"/>
  <c r="Q237" i="8"/>
  <c r="S237" i="8"/>
  <c r="U237" i="8"/>
  <c r="W237" i="8"/>
  <c r="Y237" i="8"/>
  <c r="AA237" i="8"/>
  <c r="AC237" i="8"/>
  <c r="AE237" i="8"/>
  <c r="AG237" i="8"/>
  <c r="AI237" i="8"/>
  <c r="AK237" i="8"/>
  <c r="C238" i="8"/>
  <c r="E238" i="8"/>
  <c r="G238" i="8"/>
  <c r="I238" i="8"/>
  <c r="K238" i="8"/>
  <c r="M238" i="8"/>
  <c r="O238" i="8"/>
  <c r="Q238" i="8"/>
  <c r="S238" i="8"/>
  <c r="U238" i="8"/>
  <c r="W238" i="8"/>
  <c r="Y238" i="8"/>
  <c r="AA238" i="8"/>
  <c r="AC238" i="8"/>
  <c r="AE238" i="8"/>
  <c r="AG238" i="8"/>
  <c r="AI238" i="8"/>
  <c r="AK238" i="8"/>
  <c r="C239" i="8"/>
  <c r="E239" i="8"/>
  <c r="G239" i="8"/>
  <c r="I239" i="8"/>
  <c r="K239" i="8"/>
  <c r="M239" i="8"/>
  <c r="O239" i="8"/>
  <c r="Q239" i="8"/>
  <c r="S239" i="8"/>
  <c r="U239" i="8"/>
  <c r="W239" i="8"/>
  <c r="Y239" i="8"/>
  <c r="AA239" i="8"/>
  <c r="AC239" i="8"/>
  <c r="AE239" i="8"/>
  <c r="AG239" i="8"/>
  <c r="AI239" i="8"/>
  <c r="AK239" i="8"/>
  <c r="C240" i="8"/>
  <c r="E240" i="8"/>
  <c r="G240" i="8"/>
  <c r="I240" i="8"/>
  <c r="K240" i="8"/>
  <c r="M240" i="8"/>
  <c r="O240" i="8"/>
  <c r="Q240" i="8"/>
  <c r="S240" i="8"/>
  <c r="U240" i="8"/>
  <c r="W240" i="8"/>
  <c r="Y240" i="8"/>
  <c r="AA240" i="8"/>
  <c r="AC240" i="8"/>
  <c r="AE240" i="8"/>
  <c r="AG240" i="8"/>
  <c r="AI240" i="8"/>
  <c r="AK240" i="8"/>
  <c r="C242" i="8"/>
  <c r="E242" i="8"/>
  <c r="G242" i="8"/>
  <c r="I242" i="8"/>
  <c r="K242" i="8"/>
  <c r="M242" i="8"/>
  <c r="O242" i="8"/>
  <c r="Q242" i="8"/>
  <c r="S242" i="8"/>
  <c r="U242" i="8"/>
  <c r="W242" i="8"/>
  <c r="Y242" i="8"/>
  <c r="AA242" i="8"/>
  <c r="AC242" i="8"/>
  <c r="AE242" i="8"/>
  <c r="AG242" i="8"/>
  <c r="AI242" i="8"/>
  <c r="AK242" i="8"/>
  <c r="C243" i="8"/>
  <c r="E243" i="8"/>
  <c r="G243" i="8"/>
  <c r="I243" i="8"/>
  <c r="K243" i="8"/>
  <c r="M243" i="8"/>
  <c r="P243" i="8"/>
  <c r="R243" i="8"/>
  <c r="T243" i="8"/>
  <c r="V243" i="8"/>
  <c r="X243" i="8"/>
  <c r="Z243" i="8"/>
  <c r="AB243" i="8"/>
  <c r="AD243" i="8"/>
  <c r="AF243" i="8"/>
  <c r="AH243" i="8"/>
  <c r="AK243" i="8"/>
  <c r="C244" i="8"/>
  <c r="E244" i="8"/>
  <c r="G244" i="8"/>
  <c r="I244" i="8"/>
  <c r="K244" i="8"/>
  <c r="M244" i="8"/>
  <c r="O244" i="8"/>
  <c r="Q244" i="8"/>
  <c r="S244" i="8"/>
  <c r="U244" i="8"/>
  <c r="W244" i="8"/>
  <c r="Y244" i="8"/>
  <c r="AA244" i="8"/>
  <c r="AC244" i="8"/>
  <c r="AE244" i="8"/>
  <c r="AG244" i="8"/>
  <c r="AI244" i="8"/>
  <c r="AK244" i="8"/>
  <c r="C245" i="8"/>
  <c r="E245" i="8"/>
  <c r="G245" i="8"/>
  <c r="I245" i="8"/>
  <c r="K245" i="8"/>
  <c r="M245" i="8"/>
  <c r="O245" i="8"/>
  <c r="Q245" i="8"/>
  <c r="S245" i="8"/>
  <c r="U245" i="8"/>
  <c r="W245" i="8"/>
  <c r="Z245" i="8"/>
  <c r="AB245" i="8"/>
  <c r="AD245" i="8"/>
  <c r="AF245" i="8"/>
  <c r="AI245" i="8"/>
  <c r="AK245" i="8"/>
  <c r="C246" i="8"/>
  <c r="E246" i="8"/>
  <c r="G246" i="8"/>
  <c r="I246" i="8"/>
  <c r="K246" i="8"/>
  <c r="M246" i="8"/>
  <c r="P246" i="8"/>
  <c r="R246" i="8"/>
  <c r="T246" i="8"/>
  <c r="V246" i="8"/>
  <c r="X246" i="8"/>
  <c r="Z246" i="8"/>
  <c r="AB246" i="8"/>
  <c r="AD246" i="8"/>
  <c r="AF246" i="8"/>
  <c r="AH246" i="8"/>
  <c r="AJ246" i="8"/>
  <c r="AL246" i="8"/>
  <c r="E247" i="8"/>
  <c r="G247" i="8"/>
  <c r="I247" i="8"/>
  <c r="K247" i="8"/>
  <c r="M247" i="8"/>
  <c r="O247" i="8"/>
  <c r="Q247" i="8"/>
  <c r="S247" i="8"/>
  <c r="U247" i="8"/>
  <c r="W247" i="8"/>
  <c r="Y247" i="8"/>
  <c r="AA247" i="8"/>
  <c r="AC247" i="8"/>
  <c r="AE247" i="8"/>
  <c r="AG247" i="8"/>
  <c r="AI247" i="8"/>
  <c r="AK247" i="8"/>
  <c r="D248" i="8"/>
  <c r="F248" i="8"/>
  <c r="H248" i="8"/>
  <c r="J248" i="8"/>
  <c r="L248" i="8"/>
  <c r="O248" i="8"/>
  <c r="S248" i="8"/>
  <c r="U248" i="8"/>
  <c r="X248" i="8"/>
  <c r="AA248" i="8"/>
  <c r="AC248" i="8"/>
  <c r="AI248" i="8"/>
  <c r="AK248" i="8"/>
  <c r="D249" i="8"/>
  <c r="F249" i="8"/>
  <c r="H249" i="8"/>
  <c r="J249" i="8"/>
  <c r="L249" i="8"/>
  <c r="N249" i="8"/>
  <c r="P249" i="8"/>
  <c r="R249" i="8"/>
  <c r="T249" i="8"/>
  <c r="V249" i="8"/>
  <c r="X249" i="8"/>
  <c r="Z249" i="8"/>
  <c r="AB249" i="8"/>
  <c r="AD249" i="8"/>
  <c r="AF249" i="8"/>
  <c r="AJ249" i="8"/>
  <c r="AL249" i="8"/>
  <c r="D250" i="8"/>
  <c r="F250" i="8"/>
  <c r="H250" i="8"/>
  <c r="J250" i="8"/>
  <c r="L250" i="8"/>
  <c r="O250" i="8"/>
  <c r="Q250" i="8"/>
  <c r="S250" i="8"/>
  <c r="U250" i="8"/>
  <c r="X250" i="8"/>
  <c r="AA250" i="8"/>
  <c r="AC250" i="8"/>
  <c r="AF250" i="8"/>
  <c r="AJ250" i="8"/>
  <c r="AL250" i="8"/>
  <c r="E251" i="8"/>
  <c r="G251" i="8"/>
  <c r="I251" i="8"/>
  <c r="K251" i="8"/>
  <c r="M251" i="8"/>
  <c r="O251" i="8"/>
  <c r="Q251" i="8"/>
  <c r="S251" i="8"/>
  <c r="U251" i="8"/>
  <c r="X251" i="8"/>
  <c r="AA251" i="8"/>
  <c r="AC251" i="8"/>
  <c r="AE251" i="8"/>
  <c r="AI251" i="8"/>
  <c r="AK251" i="8"/>
  <c r="C252" i="8"/>
  <c r="E252" i="8"/>
  <c r="G252" i="8"/>
  <c r="I252" i="8"/>
  <c r="K252" i="8"/>
  <c r="M252" i="8"/>
  <c r="O252" i="8"/>
  <c r="S252" i="8"/>
  <c r="U252" i="8"/>
  <c r="X252" i="8"/>
  <c r="AA252" i="8"/>
  <c r="AC252" i="8"/>
  <c r="AF252" i="8"/>
  <c r="AK252" i="8"/>
  <c r="C254" i="8"/>
  <c r="E254" i="8"/>
  <c r="G254" i="8"/>
  <c r="I254" i="8"/>
  <c r="K254" i="8"/>
  <c r="M254" i="8"/>
  <c r="O254" i="8"/>
  <c r="Q254" i="8"/>
  <c r="S254" i="8"/>
  <c r="U254" i="8"/>
  <c r="W254" i="8"/>
  <c r="Y254" i="8"/>
  <c r="AA254" i="8"/>
  <c r="AC254" i="8"/>
  <c r="AE254" i="8"/>
  <c r="AG254" i="8"/>
  <c r="AJ254" i="8"/>
  <c r="AL254" i="8"/>
  <c r="D255" i="8"/>
  <c r="F255" i="8"/>
  <c r="H255" i="8"/>
  <c r="J255" i="8"/>
  <c r="L255" i="8"/>
  <c r="N255" i="8"/>
  <c r="P255" i="8"/>
  <c r="R255" i="8"/>
  <c r="T255" i="8"/>
  <c r="V255" i="8"/>
  <c r="X255" i="8"/>
  <c r="Z255" i="8"/>
  <c r="AB255" i="8"/>
  <c r="AD255" i="8"/>
  <c r="AF255" i="8"/>
  <c r="AH255" i="8"/>
  <c r="AK255" i="8"/>
  <c r="C256" i="8"/>
  <c r="E256" i="8"/>
  <c r="G256" i="8"/>
  <c r="I256" i="8"/>
  <c r="K256" i="8"/>
  <c r="M256" i="8"/>
  <c r="O256" i="8"/>
  <c r="Q256" i="8"/>
  <c r="S256" i="8"/>
  <c r="U256" i="8"/>
  <c r="W256" i="8"/>
  <c r="Y256" i="8"/>
  <c r="AA256" i="8"/>
  <c r="AC256" i="8"/>
  <c r="AE256" i="8"/>
  <c r="AG256" i="8"/>
  <c r="AJ256" i="8"/>
  <c r="AL256" i="8"/>
  <c r="D257" i="8"/>
  <c r="F257" i="8"/>
  <c r="H257" i="8"/>
  <c r="J257" i="8"/>
  <c r="L257" i="8"/>
  <c r="N257" i="8"/>
  <c r="P257" i="8"/>
  <c r="R257" i="8"/>
  <c r="T257" i="8"/>
  <c r="V257" i="8"/>
  <c r="X257" i="8"/>
  <c r="Z257" i="8"/>
  <c r="AB257" i="8"/>
  <c r="AD257" i="8"/>
  <c r="AF257" i="8"/>
  <c r="AH257" i="8"/>
  <c r="AJ257" i="8"/>
  <c r="AL257" i="8"/>
  <c r="D258" i="8"/>
  <c r="F258" i="8"/>
  <c r="H258" i="8"/>
  <c r="J258" i="8"/>
  <c r="L258" i="8"/>
  <c r="N258" i="8"/>
  <c r="P258" i="8"/>
  <c r="R258" i="8"/>
  <c r="T258" i="8"/>
  <c r="V258" i="8"/>
  <c r="X258" i="8"/>
  <c r="Z258" i="8"/>
  <c r="AB258" i="8"/>
  <c r="AD258" i="8"/>
  <c r="AF258" i="8"/>
  <c r="AH258" i="8"/>
  <c r="AJ258" i="8"/>
  <c r="AL258" i="8"/>
  <c r="D259" i="8"/>
  <c r="F259" i="8"/>
  <c r="H259" i="8"/>
  <c r="J259" i="8"/>
  <c r="L259" i="8"/>
  <c r="N259" i="8"/>
  <c r="P259" i="8"/>
  <c r="R259" i="8"/>
  <c r="T259" i="8"/>
  <c r="V259" i="8"/>
  <c r="X259" i="8"/>
  <c r="Z259" i="8"/>
  <c r="AB259" i="8"/>
  <c r="AD259" i="8"/>
  <c r="AF259" i="8"/>
  <c r="AH259" i="8"/>
  <c r="AK259" i="8"/>
  <c r="D261" i="8"/>
  <c r="F261" i="8"/>
  <c r="H261" i="8"/>
  <c r="J261" i="8"/>
  <c r="L261" i="8"/>
  <c r="N261" i="8"/>
  <c r="P261" i="8"/>
  <c r="R261" i="8"/>
  <c r="T261" i="8"/>
  <c r="V261" i="8"/>
  <c r="X261" i="8"/>
  <c r="Z261" i="8"/>
  <c r="AB261" i="8"/>
  <c r="AD261" i="8"/>
  <c r="AF261" i="8"/>
  <c r="AH261" i="8"/>
  <c r="AJ261" i="8"/>
  <c r="AL261" i="8"/>
  <c r="D262" i="8"/>
  <c r="F262" i="8"/>
  <c r="H262" i="8"/>
  <c r="J262" i="8"/>
  <c r="L262" i="8"/>
  <c r="N262" i="8"/>
  <c r="P262" i="8"/>
  <c r="R262" i="8"/>
  <c r="T262" i="8"/>
  <c r="V262" i="8"/>
  <c r="X262" i="8"/>
  <c r="Z262" i="8"/>
  <c r="AB262" i="8"/>
  <c r="AD262" i="8"/>
  <c r="AF262" i="8"/>
  <c r="AH262" i="8"/>
  <c r="AJ262" i="8"/>
  <c r="AL262" i="8"/>
  <c r="D263" i="8"/>
  <c r="F263" i="8"/>
  <c r="H263" i="8"/>
  <c r="J263" i="8"/>
  <c r="L263" i="8"/>
  <c r="N263" i="8"/>
  <c r="P263" i="8"/>
  <c r="R263" i="8"/>
  <c r="T263" i="8"/>
  <c r="V263" i="8"/>
  <c r="X263" i="8"/>
  <c r="Z263" i="8"/>
  <c r="AB263" i="8"/>
  <c r="AD263" i="8"/>
  <c r="AF263" i="8"/>
  <c r="AH263" i="8"/>
  <c r="AJ263" i="8"/>
  <c r="AL263" i="8"/>
  <c r="D264" i="8"/>
  <c r="F264" i="8"/>
  <c r="H264" i="8"/>
  <c r="J264" i="8"/>
  <c r="M264" i="8"/>
  <c r="O264" i="8"/>
  <c r="Q264" i="8"/>
  <c r="S264" i="8"/>
  <c r="U264" i="8"/>
  <c r="W264" i="8"/>
  <c r="Y264" i="8"/>
  <c r="AA264" i="8"/>
  <c r="AC264" i="8"/>
  <c r="AE264" i="8"/>
  <c r="AG264" i="8"/>
  <c r="AI264" i="8"/>
  <c r="AK264" i="8"/>
  <c r="C265" i="8"/>
  <c r="E265" i="8"/>
  <c r="G265" i="8"/>
  <c r="I265" i="8"/>
  <c r="K265" i="8"/>
  <c r="M265" i="8"/>
  <c r="O265" i="8"/>
  <c r="Q265" i="8"/>
  <c r="S265" i="8"/>
  <c r="U265" i="8"/>
  <c r="W265" i="8"/>
  <c r="Y265" i="8"/>
  <c r="AA265" i="8"/>
  <c r="AC265" i="8"/>
  <c r="AE265" i="8"/>
  <c r="AG265" i="8"/>
  <c r="AI265" i="8"/>
  <c r="AK265" i="8"/>
  <c r="C266" i="8"/>
  <c r="E266" i="8"/>
  <c r="G266" i="8"/>
  <c r="I266" i="8"/>
  <c r="K266" i="8"/>
  <c r="M266" i="8"/>
  <c r="O266" i="8"/>
  <c r="Q266" i="8"/>
  <c r="S266" i="8"/>
  <c r="U266" i="8"/>
  <c r="W266" i="8"/>
  <c r="Y266" i="8"/>
  <c r="AA266" i="8"/>
  <c r="AC266" i="8"/>
  <c r="AE266" i="8"/>
  <c r="AG266" i="8"/>
  <c r="AI266" i="8"/>
  <c r="AK266" i="8"/>
  <c r="D267" i="8"/>
  <c r="F267" i="8"/>
  <c r="H267" i="8"/>
  <c r="J267" i="8"/>
  <c r="L267" i="8"/>
  <c r="N267" i="8"/>
  <c r="P267" i="8"/>
  <c r="R267" i="8"/>
  <c r="T267" i="8"/>
  <c r="V267" i="8"/>
  <c r="X267" i="8"/>
  <c r="Z267" i="8"/>
  <c r="AB267" i="8"/>
  <c r="AD267" i="8"/>
  <c r="AF267" i="8"/>
  <c r="AH267" i="8"/>
  <c r="AJ267" i="8"/>
  <c r="AL267" i="8"/>
  <c r="E268" i="8"/>
  <c r="G268" i="8"/>
  <c r="I268" i="8"/>
  <c r="K268" i="8"/>
  <c r="M268" i="8"/>
  <c r="O268" i="8"/>
  <c r="Q268" i="8"/>
  <c r="S268" i="8"/>
  <c r="U268" i="8"/>
  <c r="W268" i="8"/>
  <c r="Y268" i="8"/>
  <c r="AA268" i="8"/>
  <c r="AC268" i="8"/>
  <c r="AE268" i="8"/>
  <c r="AG268" i="8"/>
  <c r="AI268" i="8"/>
  <c r="AK268" i="8"/>
  <c r="C269" i="8"/>
  <c r="E269" i="8"/>
  <c r="G269" i="8"/>
  <c r="I269" i="8"/>
  <c r="K269" i="8"/>
  <c r="M269" i="8"/>
  <c r="O269" i="8"/>
  <c r="Q269" i="8"/>
  <c r="S269" i="8"/>
  <c r="U269" i="8"/>
  <c r="W269" i="8"/>
  <c r="Y269" i="8"/>
  <c r="AA269" i="8"/>
  <c r="AC269" i="8"/>
  <c r="AE269" i="8"/>
  <c r="AG269" i="8"/>
  <c r="AI269" i="8"/>
  <c r="AK269" i="8"/>
  <c r="C270" i="8"/>
  <c r="E270" i="8"/>
  <c r="G270" i="8"/>
  <c r="I270" i="8"/>
  <c r="K270" i="8"/>
  <c r="M270" i="8"/>
  <c r="O270" i="8"/>
  <c r="Q270" i="8"/>
  <c r="S270" i="8"/>
  <c r="U270" i="8"/>
  <c r="X270" i="8"/>
  <c r="Z270" i="8"/>
  <c r="AB270" i="8"/>
  <c r="AD270" i="8"/>
  <c r="AH270" i="8"/>
  <c r="AJ270" i="8"/>
  <c r="AL270" i="8"/>
  <c r="F271" i="8"/>
  <c r="H271" i="8"/>
  <c r="J271" i="8"/>
  <c r="M271" i="8"/>
  <c r="O271" i="8"/>
  <c r="Q271" i="8"/>
  <c r="S271" i="8"/>
  <c r="U271" i="8"/>
  <c r="W271" i="8"/>
  <c r="Y271" i="8"/>
  <c r="AA271" i="8"/>
  <c r="AC271" i="8"/>
  <c r="AE271" i="8"/>
  <c r="AG271" i="8"/>
  <c r="AI271" i="8"/>
  <c r="AK271" i="8"/>
  <c r="D272" i="8"/>
  <c r="G272" i="8"/>
  <c r="I272" i="8"/>
  <c r="K272" i="8"/>
  <c r="M272" i="8"/>
  <c r="O272" i="8"/>
  <c r="Q272" i="8"/>
  <c r="S272" i="8"/>
  <c r="U272" i="8"/>
  <c r="W272" i="8"/>
  <c r="Y272" i="8"/>
  <c r="AA272" i="8"/>
  <c r="AC272" i="8"/>
  <c r="AE272" i="8"/>
  <c r="AG272" i="8"/>
  <c r="AI272" i="8"/>
  <c r="AK272" i="8"/>
  <c r="D273" i="8"/>
  <c r="F273" i="8"/>
  <c r="H273" i="8"/>
  <c r="J273" i="8"/>
  <c r="L273" i="8"/>
  <c r="N273" i="8"/>
  <c r="P273" i="8"/>
  <c r="R273" i="8"/>
  <c r="T273" i="8"/>
  <c r="V273" i="8"/>
  <c r="X273" i="8"/>
  <c r="Z273" i="8"/>
  <c r="AB273" i="8"/>
  <c r="AD273" i="8"/>
  <c r="AF273" i="8"/>
  <c r="AH273" i="8"/>
  <c r="AJ273" i="8"/>
  <c r="AL273" i="8"/>
  <c r="D274" i="8"/>
  <c r="G274" i="8"/>
  <c r="I274" i="8"/>
  <c r="K274" i="8"/>
  <c r="M274" i="8"/>
  <c r="O274" i="8"/>
  <c r="Q274" i="8"/>
  <c r="S274" i="8"/>
  <c r="U274" i="8"/>
  <c r="W274" i="8"/>
  <c r="Y274" i="8"/>
  <c r="AA274" i="8"/>
  <c r="AC274" i="8"/>
  <c r="AE274" i="8"/>
  <c r="AG274" i="8"/>
  <c r="AI274" i="8"/>
  <c r="AK274" i="8"/>
  <c r="C275" i="8"/>
  <c r="E275" i="8"/>
  <c r="G275" i="8"/>
  <c r="I275" i="8"/>
  <c r="K275" i="8"/>
  <c r="M275" i="8"/>
  <c r="O275" i="8"/>
  <c r="Q275" i="8"/>
  <c r="S275" i="8"/>
  <c r="U275" i="8"/>
  <c r="W275" i="8"/>
  <c r="Y275" i="8"/>
  <c r="AA275" i="8"/>
  <c r="AC275" i="8"/>
  <c r="AE275" i="8"/>
  <c r="AG275" i="8"/>
  <c r="AI275" i="8"/>
  <c r="AK275" i="8"/>
  <c r="C276" i="8"/>
  <c r="E276" i="8"/>
  <c r="G276" i="8"/>
  <c r="I276" i="8"/>
  <c r="K276" i="8"/>
  <c r="M276" i="8"/>
  <c r="O276" i="8"/>
  <c r="Q276" i="8"/>
  <c r="S276" i="8"/>
  <c r="V276" i="8"/>
  <c r="Y276" i="8"/>
  <c r="AA276" i="8"/>
  <c r="AC276" i="8"/>
  <c r="AF276" i="8"/>
  <c r="AH276" i="8"/>
  <c r="AJ276" i="8"/>
  <c r="AL276" i="8"/>
  <c r="F277" i="8"/>
  <c r="H277" i="8"/>
  <c r="J277" i="8"/>
  <c r="L277" i="8"/>
  <c r="N277" i="8"/>
  <c r="P277" i="8"/>
  <c r="R277" i="8"/>
  <c r="T277" i="8"/>
  <c r="V277" i="8"/>
  <c r="X277" i="8"/>
  <c r="Z277" i="8"/>
  <c r="AB277" i="8"/>
  <c r="AD277" i="8"/>
  <c r="AF277" i="8"/>
  <c r="AH277" i="8"/>
  <c r="AJ277" i="8"/>
  <c r="AL277" i="8"/>
  <c r="D278" i="8"/>
  <c r="F278" i="8"/>
  <c r="H278" i="8"/>
  <c r="J278" i="8"/>
  <c r="L278" i="8"/>
  <c r="N278" i="8"/>
  <c r="P278" i="8"/>
  <c r="R278" i="8"/>
  <c r="T278" i="8"/>
  <c r="V278" i="8"/>
  <c r="X278" i="8"/>
  <c r="Z278" i="8"/>
  <c r="AB278" i="8"/>
  <c r="AD278" i="8"/>
  <c r="AF278" i="8"/>
  <c r="AH278" i="8"/>
  <c r="AJ278" i="8"/>
  <c r="AL278" i="8"/>
  <c r="D279" i="8"/>
  <c r="G279" i="8"/>
  <c r="I279" i="8"/>
  <c r="K279" i="8"/>
  <c r="M279" i="8"/>
  <c r="O279" i="8"/>
  <c r="Q279" i="8"/>
  <c r="S279" i="8"/>
  <c r="AD235" i="8"/>
  <c r="AF235" i="8"/>
  <c r="AH235" i="8"/>
  <c r="AJ235" i="8"/>
  <c r="AL235" i="8"/>
  <c r="D236" i="8"/>
  <c r="F236" i="8"/>
  <c r="H236" i="8"/>
  <c r="J236" i="8"/>
  <c r="L236" i="8"/>
  <c r="N236" i="8"/>
  <c r="P236" i="8"/>
  <c r="R236" i="8"/>
  <c r="T236" i="8"/>
  <c r="V236" i="8"/>
  <c r="X236" i="8"/>
  <c r="Z236" i="8"/>
  <c r="AB236" i="8"/>
  <c r="AD236" i="8"/>
  <c r="AF236" i="8"/>
  <c r="AH236" i="8"/>
  <c r="AJ236" i="8"/>
  <c r="AL236" i="8"/>
  <c r="D237" i="8"/>
  <c r="F237" i="8"/>
  <c r="H237" i="8"/>
  <c r="J237" i="8"/>
  <c r="L237" i="8"/>
  <c r="N237" i="8"/>
  <c r="P237" i="8"/>
  <c r="R237" i="8"/>
  <c r="T237" i="8"/>
  <c r="V237" i="8"/>
  <c r="X237" i="8"/>
  <c r="Z237" i="8"/>
  <c r="AB237" i="8"/>
  <c r="AD237" i="8"/>
  <c r="AF237" i="8"/>
  <c r="AH237" i="8"/>
  <c r="AJ237" i="8"/>
  <c r="AL237" i="8"/>
  <c r="D238" i="8"/>
  <c r="F238" i="8"/>
  <c r="H238" i="8"/>
  <c r="J238" i="8"/>
  <c r="L238" i="8"/>
  <c r="N238" i="8"/>
  <c r="P238" i="8"/>
  <c r="R238" i="8"/>
  <c r="T238" i="8"/>
  <c r="V238" i="8"/>
  <c r="X238" i="8"/>
  <c r="Z238" i="8"/>
  <c r="AB238" i="8"/>
  <c r="AD238" i="8"/>
  <c r="AF238" i="8"/>
  <c r="AH238" i="8"/>
  <c r="AJ238" i="8"/>
  <c r="AL238" i="8"/>
  <c r="D239" i="8"/>
  <c r="F239" i="8"/>
  <c r="H239" i="8"/>
  <c r="J239" i="8"/>
  <c r="L239" i="8"/>
  <c r="N239" i="8"/>
  <c r="P239" i="8"/>
  <c r="R239" i="8"/>
  <c r="T239" i="8"/>
  <c r="V239" i="8"/>
  <c r="X239" i="8"/>
  <c r="Z239" i="8"/>
  <c r="AB239" i="8"/>
  <c r="AD239" i="8"/>
  <c r="AF239" i="8"/>
  <c r="AH239" i="8"/>
  <c r="AJ239" i="8"/>
  <c r="AL239" i="8"/>
  <c r="D240" i="8"/>
  <c r="F240" i="8"/>
  <c r="H240" i="8"/>
  <c r="J240" i="8"/>
  <c r="L240" i="8"/>
  <c r="N240" i="8"/>
  <c r="P240" i="8"/>
  <c r="R240" i="8"/>
  <c r="T240" i="8"/>
  <c r="V240" i="8"/>
  <c r="X240" i="8"/>
  <c r="Z240" i="8"/>
  <c r="AB240" i="8"/>
  <c r="AD240" i="8"/>
  <c r="AF240" i="8"/>
  <c r="AH240" i="8"/>
  <c r="AJ240" i="8"/>
  <c r="AL240" i="8"/>
  <c r="D242" i="8"/>
  <c r="F242" i="8"/>
  <c r="H242" i="8"/>
  <c r="J242" i="8"/>
  <c r="L242" i="8"/>
  <c r="N242" i="8"/>
  <c r="P242" i="8"/>
  <c r="R242" i="8"/>
  <c r="T242" i="8"/>
  <c r="V242" i="8"/>
  <c r="X242" i="8"/>
  <c r="Z242" i="8"/>
  <c r="AB242" i="8"/>
  <c r="AD242" i="8"/>
  <c r="AF242" i="8"/>
  <c r="AH242" i="8"/>
  <c r="AJ242" i="8"/>
  <c r="AL242" i="8"/>
  <c r="D243" i="8"/>
  <c r="F243" i="8"/>
  <c r="H243" i="8"/>
  <c r="J243" i="8"/>
  <c r="L243" i="8"/>
  <c r="O243" i="8"/>
  <c r="S243" i="8"/>
  <c r="W243" i="8"/>
  <c r="AA243" i="8"/>
  <c r="AE243" i="8"/>
  <c r="AJ243" i="8"/>
  <c r="AL243" i="8"/>
  <c r="D244" i="8"/>
  <c r="F244" i="8"/>
  <c r="H244" i="8"/>
  <c r="J244" i="8"/>
  <c r="L244" i="8"/>
  <c r="N244" i="8"/>
  <c r="P244" i="8"/>
  <c r="R244" i="8"/>
  <c r="T244" i="8"/>
  <c r="V244" i="8"/>
  <c r="X244" i="8"/>
  <c r="Z244" i="8"/>
  <c r="AB244" i="8"/>
  <c r="AD244" i="8"/>
  <c r="AF244" i="8"/>
  <c r="AH244" i="8"/>
  <c r="AJ244" i="8"/>
  <c r="AL244" i="8"/>
  <c r="D245" i="8"/>
  <c r="F245" i="8"/>
  <c r="H245" i="8"/>
  <c r="J245" i="8"/>
  <c r="L245" i="8"/>
  <c r="N245" i="8"/>
  <c r="P245" i="8"/>
  <c r="R245" i="8"/>
  <c r="T245" i="8"/>
  <c r="V245" i="8"/>
  <c r="X245" i="8"/>
  <c r="AA245" i="8"/>
  <c r="AE245" i="8"/>
  <c r="AH245" i="8"/>
  <c r="AJ245" i="8"/>
  <c r="AL245" i="8"/>
  <c r="D246" i="8"/>
  <c r="F246" i="8"/>
  <c r="H246" i="8"/>
  <c r="J246" i="8"/>
  <c r="L246" i="8"/>
  <c r="Q246" i="8"/>
  <c r="U246" i="8"/>
  <c r="Y246" i="8"/>
  <c r="AC246" i="8"/>
  <c r="AG246" i="8"/>
  <c r="AK246" i="8"/>
  <c r="D247" i="8"/>
  <c r="F247" i="8"/>
  <c r="H247" i="8"/>
  <c r="J247" i="8"/>
  <c r="L247" i="8"/>
  <c r="N247" i="8"/>
  <c r="P247" i="8"/>
  <c r="R247" i="8"/>
  <c r="T247" i="8"/>
  <c r="V247" i="8"/>
  <c r="X247" i="8"/>
  <c r="Z247" i="8"/>
  <c r="AB247" i="8"/>
  <c r="AD247" i="8"/>
  <c r="AF247" i="8"/>
  <c r="AH247" i="8"/>
  <c r="AJ247" i="8"/>
  <c r="AL247" i="8"/>
  <c r="E248" i="8"/>
  <c r="I248" i="8"/>
  <c r="M248" i="8"/>
  <c r="R248" i="8"/>
  <c r="T248" i="8"/>
  <c r="W248" i="8"/>
  <c r="Z248" i="8"/>
  <c r="AB248" i="8"/>
  <c r="AD248" i="8"/>
  <c r="AJ248" i="8"/>
  <c r="AL248" i="8"/>
  <c r="G249" i="8"/>
  <c r="K249" i="8"/>
  <c r="O249" i="8"/>
  <c r="S249" i="8"/>
  <c r="W249" i="8"/>
  <c r="AA249" i="8"/>
  <c r="AE249" i="8"/>
  <c r="AH249" i="8"/>
  <c r="C250" i="8"/>
  <c r="G250" i="8"/>
  <c r="K250" i="8"/>
  <c r="P250" i="8"/>
  <c r="R250" i="8"/>
  <c r="T250" i="8"/>
  <c r="W250" i="8"/>
  <c r="Z250" i="8"/>
  <c r="AB250" i="8"/>
  <c r="AD250" i="8"/>
  <c r="AH250" i="8"/>
  <c r="D251" i="8"/>
  <c r="F251" i="8"/>
  <c r="H251" i="8"/>
  <c r="J251" i="8"/>
  <c r="L251" i="8"/>
  <c r="N251" i="8"/>
  <c r="P251" i="8"/>
  <c r="R251" i="8"/>
  <c r="T251" i="8"/>
  <c r="Z251" i="8"/>
  <c r="AB251" i="8"/>
  <c r="AD251" i="8"/>
  <c r="AH251" i="8"/>
  <c r="AJ251" i="8"/>
  <c r="AL251" i="8"/>
  <c r="D252" i="8"/>
  <c r="F252" i="8"/>
  <c r="H252" i="8"/>
  <c r="J252" i="8"/>
  <c r="L252" i="8"/>
  <c r="N252" i="8"/>
  <c r="R252" i="8"/>
  <c r="T252" i="8"/>
  <c r="W252" i="8"/>
  <c r="Z252" i="8"/>
  <c r="AB252" i="8"/>
  <c r="AD252" i="8"/>
  <c r="AJ252" i="8"/>
  <c r="AL252" i="8"/>
  <c r="D254" i="8"/>
  <c r="F254" i="8"/>
  <c r="H254" i="8"/>
  <c r="J254" i="8"/>
  <c r="L254" i="8"/>
  <c r="N254" i="8"/>
  <c r="P254" i="8"/>
  <c r="R254" i="8"/>
  <c r="T254" i="8"/>
  <c r="V254" i="8"/>
  <c r="X254" i="8"/>
  <c r="Z254" i="8"/>
  <c r="AB254" i="8"/>
  <c r="AD254" i="8"/>
  <c r="AF254" i="8"/>
  <c r="AH254" i="8"/>
  <c r="AK254" i="8"/>
  <c r="E255" i="8"/>
  <c r="I255" i="8"/>
  <c r="M255" i="8"/>
  <c r="Q255" i="8"/>
  <c r="U255" i="8"/>
  <c r="Y255" i="8"/>
  <c r="AC255" i="8"/>
  <c r="AG255" i="8"/>
  <c r="AJ255" i="8"/>
  <c r="AL255" i="8"/>
  <c r="D256" i="8"/>
  <c r="F256" i="8"/>
  <c r="H256" i="8"/>
  <c r="J256" i="8"/>
  <c r="L256" i="8"/>
  <c r="N256" i="8"/>
  <c r="P256" i="8"/>
  <c r="R256" i="8"/>
  <c r="T256" i="8"/>
  <c r="V256" i="8"/>
  <c r="X256" i="8"/>
  <c r="Z256" i="8"/>
  <c r="AB256" i="8"/>
  <c r="AD256" i="8"/>
  <c r="AF256" i="8"/>
  <c r="AH256" i="8"/>
  <c r="AK256" i="8"/>
  <c r="E257" i="8"/>
  <c r="I257" i="8"/>
  <c r="M257" i="8"/>
  <c r="Q257" i="8"/>
  <c r="U257" i="8"/>
  <c r="Y257" i="8"/>
  <c r="AC257" i="8"/>
  <c r="AG257" i="8"/>
  <c r="AK257" i="8"/>
  <c r="E258" i="8"/>
  <c r="I258" i="8"/>
  <c r="M258" i="8"/>
  <c r="Q258" i="8"/>
  <c r="U258" i="8"/>
  <c r="Y258" i="8"/>
  <c r="AC258" i="8"/>
  <c r="AG258" i="8"/>
  <c r="AK258" i="8"/>
  <c r="E259" i="8"/>
  <c r="I259" i="8"/>
  <c r="M259" i="8"/>
  <c r="Q259" i="8"/>
  <c r="U259" i="8"/>
  <c r="Y259" i="8"/>
  <c r="AC259" i="8"/>
  <c r="AG259" i="8"/>
  <c r="AJ259" i="8"/>
  <c r="AL259" i="8"/>
  <c r="E261" i="8"/>
  <c r="I261" i="8"/>
  <c r="M261" i="8"/>
  <c r="Q261" i="8"/>
  <c r="U261" i="8"/>
  <c r="Y261" i="8"/>
  <c r="AC261" i="8"/>
  <c r="AG261" i="8"/>
  <c r="AK261" i="8"/>
  <c r="E262" i="8"/>
  <c r="I262" i="8"/>
  <c r="M262" i="8"/>
  <c r="Q262" i="8"/>
  <c r="U262" i="8"/>
  <c r="Y262" i="8"/>
  <c r="AC262" i="8"/>
  <c r="AG262" i="8"/>
  <c r="AK262" i="8"/>
  <c r="E263" i="8"/>
  <c r="I263" i="8"/>
  <c r="M263" i="8"/>
  <c r="Q263" i="8"/>
  <c r="U263" i="8"/>
  <c r="Y263" i="8"/>
  <c r="AC263" i="8"/>
  <c r="AG263" i="8"/>
  <c r="AK263" i="8"/>
  <c r="E264" i="8"/>
  <c r="I264" i="8"/>
  <c r="L264" i="8"/>
  <c r="N264" i="8"/>
  <c r="P264" i="8"/>
  <c r="R264" i="8"/>
  <c r="T264" i="8"/>
  <c r="V264" i="8"/>
  <c r="X264" i="8"/>
  <c r="Z264" i="8"/>
  <c r="AB264" i="8"/>
  <c r="AD264" i="8"/>
  <c r="AF264" i="8"/>
  <c r="AH264" i="8"/>
  <c r="AJ264" i="8"/>
  <c r="AL264" i="8"/>
  <c r="D265" i="8"/>
  <c r="F265" i="8"/>
  <c r="H265" i="8"/>
  <c r="J265" i="8"/>
  <c r="L265" i="8"/>
  <c r="N265" i="8"/>
  <c r="P265" i="8"/>
  <c r="R265" i="8"/>
  <c r="T265" i="8"/>
  <c r="V265" i="8"/>
  <c r="X265" i="8"/>
  <c r="Z265" i="8"/>
  <c r="AB265" i="8"/>
  <c r="AD265" i="8"/>
  <c r="AF265" i="8"/>
  <c r="AH265" i="8"/>
  <c r="AJ265" i="8"/>
  <c r="AL265" i="8"/>
  <c r="D266" i="8"/>
  <c r="F266" i="8"/>
  <c r="H266" i="8"/>
  <c r="J266" i="8"/>
  <c r="L266" i="8"/>
  <c r="N266" i="8"/>
  <c r="P266" i="8"/>
  <c r="R266" i="8"/>
  <c r="T266" i="8"/>
  <c r="V266" i="8"/>
  <c r="X266" i="8"/>
  <c r="Z266" i="8"/>
  <c r="AB266" i="8"/>
  <c r="AD266" i="8"/>
  <c r="AF266" i="8"/>
  <c r="AH266" i="8"/>
  <c r="AJ266" i="8"/>
  <c r="AL266" i="8"/>
  <c r="E267" i="8"/>
  <c r="I267" i="8"/>
  <c r="M267" i="8"/>
  <c r="Q267" i="8"/>
  <c r="U267" i="8"/>
  <c r="Y267" i="8"/>
  <c r="AC267" i="8"/>
  <c r="AG267" i="8"/>
  <c r="AK267" i="8"/>
  <c r="D268" i="8"/>
  <c r="F268" i="8"/>
  <c r="H268" i="8"/>
  <c r="J268" i="8"/>
  <c r="L268" i="8"/>
  <c r="N268" i="8"/>
  <c r="P268" i="8"/>
  <c r="R268" i="8"/>
  <c r="T268" i="8"/>
  <c r="V268" i="8"/>
  <c r="X268" i="8"/>
  <c r="Z268" i="8"/>
  <c r="AB268" i="8"/>
  <c r="AD268" i="8"/>
  <c r="AF268" i="8"/>
  <c r="AH268" i="8"/>
  <c r="AJ268" i="8"/>
  <c r="AL268" i="8"/>
  <c r="D269" i="8"/>
  <c r="F269" i="8"/>
  <c r="H269" i="8"/>
  <c r="J269" i="8"/>
  <c r="L269" i="8"/>
  <c r="N269" i="8"/>
  <c r="P269" i="8"/>
  <c r="R269" i="8"/>
  <c r="T269" i="8"/>
  <c r="V269" i="8"/>
  <c r="X269" i="8"/>
  <c r="Z269" i="8"/>
  <c r="AB269" i="8"/>
  <c r="AD269" i="8"/>
  <c r="AF269" i="8"/>
  <c r="AH269" i="8"/>
  <c r="AJ269" i="8"/>
  <c r="AL269" i="8"/>
  <c r="D270" i="8"/>
  <c r="F270" i="8"/>
  <c r="H270" i="8"/>
  <c r="J270" i="8"/>
  <c r="L270" i="8"/>
  <c r="N270" i="8"/>
  <c r="P270" i="8"/>
  <c r="R270" i="8"/>
  <c r="T270" i="8"/>
  <c r="V270" i="8"/>
  <c r="Y270" i="8"/>
  <c r="AC270" i="8"/>
  <c r="AI270" i="8"/>
  <c r="D271" i="8"/>
  <c r="G271" i="8"/>
  <c r="L271" i="8"/>
  <c r="N271" i="8"/>
  <c r="P271" i="8"/>
  <c r="R271" i="8"/>
  <c r="T271" i="8"/>
  <c r="V271" i="8"/>
  <c r="X271" i="8"/>
  <c r="Z271" i="8"/>
  <c r="AB271" i="8"/>
  <c r="AD271" i="8"/>
  <c r="AF271" i="8"/>
  <c r="AH271" i="8"/>
  <c r="AJ271" i="8"/>
  <c r="AL271" i="8"/>
  <c r="F272" i="8"/>
  <c r="H272" i="8"/>
  <c r="J272" i="8"/>
  <c r="L272" i="8"/>
  <c r="N272" i="8"/>
  <c r="P272" i="8"/>
  <c r="R272" i="8"/>
  <c r="T272" i="8"/>
  <c r="V272" i="8"/>
  <c r="X272" i="8"/>
  <c r="Z272" i="8"/>
  <c r="AB272" i="8"/>
  <c r="AD272" i="8"/>
  <c r="AF272" i="8"/>
  <c r="AH272" i="8"/>
  <c r="AJ272" i="8"/>
  <c r="AL272" i="8"/>
  <c r="G273" i="8"/>
  <c r="K273" i="8"/>
  <c r="O273" i="8"/>
  <c r="S273" i="8"/>
  <c r="W273" i="8"/>
  <c r="AA273" i="8"/>
  <c r="AE273" i="8"/>
  <c r="AI273" i="8"/>
  <c r="C274" i="8"/>
  <c r="F274" i="8"/>
  <c r="H274" i="8"/>
  <c r="J274" i="8"/>
  <c r="L274" i="8"/>
  <c r="N274" i="8"/>
  <c r="P274" i="8"/>
  <c r="R274" i="8"/>
  <c r="T274" i="8"/>
  <c r="V274" i="8"/>
  <c r="X274" i="8"/>
  <c r="Z274" i="8"/>
  <c r="AB274" i="8"/>
  <c r="AD274" i="8"/>
  <c r="AF274" i="8"/>
  <c r="AH274" i="8"/>
  <c r="AJ274" i="8"/>
  <c r="AL274" i="8"/>
  <c r="D275" i="8"/>
  <c r="F275" i="8"/>
  <c r="H275" i="8"/>
  <c r="J275" i="8"/>
  <c r="L275" i="8"/>
  <c r="N275" i="8"/>
  <c r="P275" i="8"/>
  <c r="R275" i="8"/>
  <c r="T275" i="8"/>
  <c r="V275" i="8"/>
  <c r="X275" i="8"/>
  <c r="Z275" i="8"/>
  <c r="AB275" i="8"/>
  <c r="AD275" i="8"/>
  <c r="AF275" i="8"/>
  <c r="AH275" i="8"/>
  <c r="AJ275" i="8"/>
  <c r="AL275" i="8"/>
  <c r="D276" i="8"/>
  <c r="F276" i="8"/>
  <c r="H276" i="8"/>
  <c r="J276" i="8"/>
  <c r="L276" i="8"/>
  <c r="N276" i="8"/>
  <c r="P276" i="8"/>
  <c r="R276" i="8"/>
  <c r="T276" i="8"/>
  <c r="X276" i="8"/>
  <c r="Z276" i="8"/>
  <c r="AB276" i="8"/>
  <c r="AD276" i="8"/>
  <c r="AI276" i="8"/>
  <c r="D277" i="8"/>
  <c r="G277" i="8"/>
  <c r="K277" i="8"/>
  <c r="O277" i="8"/>
  <c r="S277" i="8"/>
  <c r="W277" i="8"/>
  <c r="AA277" i="8"/>
  <c r="AE277" i="8"/>
  <c r="AI277" i="8"/>
  <c r="C278" i="8"/>
  <c r="G278" i="8"/>
  <c r="K278" i="8"/>
  <c r="O278" i="8"/>
  <c r="S278" i="8"/>
  <c r="W278" i="8"/>
  <c r="AA278" i="8"/>
  <c r="AE278" i="8"/>
  <c r="AI278" i="8"/>
  <c r="C279" i="8"/>
  <c r="F279" i="8"/>
  <c r="H279" i="8"/>
  <c r="J279" i="8"/>
  <c r="L279" i="8"/>
  <c r="N279" i="8"/>
  <c r="P279" i="8"/>
  <c r="R279" i="8"/>
  <c r="T279" i="8"/>
  <c r="V279" i="8"/>
  <c r="X279" i="8"/>
  <c r="Z279" i="8"/>
  <c r="AB279" i="8"/>
  <c r="AD279" i="8"/>
  <c r="AF279" i="8"/>
  <c r="AH279" i="8"/>
  <c r="AJ279" i="8"/>
  <c r="AL279" i="8"/>
  <c r="D280" i="8"/>
  <c r="F280" i="8"/>
  <c r="H280" i="8"/>
  <c r="J280" i="8"/>
  <c r="L280" i="8"/>
  <c r="N280" i="8"/>
  <c r="P280" i="8"/>
  <c r="R280" i="8"/>
  <c r="T280" i="8"/>
  <c r="X280" i="8"/>
  <c r="Z280" i="8"/>
  <c r="AB280" i="8"/>
  <c r="AD280" i="8"/>
  <c r="AH280" i="8"/>
  <c r="AJ280" i="8"/>
  <c r="AL280" i="8"/>
  <c r="D281" i="8"/>
  <c r="I281" i="8"/>
  <c r="L281" i="8"/>
  <c r="N281" i="8"/>
  <c r="P281" i="8"/>
  <c r="R281" i="8"/>
  <c r="T281" i="8"/>
  <c r="V281" i="8"/>
  <c r="X281" i="8"/>
  <c r="Z281" i="8"/>
  <c r="AB281" i="8"/>
  <c r="AD281" i="8"/>
  <c r="AF281" i="8"/>
  <c r="AH281" i="8"/>
  <c r="AJ281" i="8"/>
  <c r="AL281" i="8"/>
  <c r="D283" i="8"/>
  <c r="F283" i="8"/>
  <c r="H283" i="8"/>
  <c r="J283" i="8"/>
  <c r="L283" i="8"/>
  <c r="N283" i="8"/>
  <c r="P283" i="8"/>
  <c r="R283" i="8"/>
  <c r="T283" i="8"/>
  <c r="V283" i="8"/>
  <c r="X283" i="8"/>
  <c r="Z283" i="8"/>
  <c r="AB283" i="8"/>
  <c r="AD283" i="8"/>
  <c r="AF283" i="8"/>
  <c r="AH283" i="8"/>
  <c r="AJ283" i="8"/>
  <c r="AL283" i="8"/>
  <c r="D284" i="8"/>
  <c r="F284" i="8"/>
  <c r="H284" i="8"/>
  <c r="J284" i="8"/>
  <c r="L284" i="8"/>
  <c r="N284" i="8"/>
  <c r="P284" i="8"/>
  <c r="R284" i="8"/>
  <c r="T284" i="8"/>
  <c r="V284" i="8"/>
  <c r="X284" i="8"/>
  <c r="Z284" i="8"/>
  <c r="AB284" i="8"/>
  <c r="AD284" i="8"/>
  <c r="AF284" i="8"/>
  <c r="AH284" i="8"/>
  <c r="AJ284" i="8"/>
  <c r="AL284" i="8"/>
  <c r="D285" i="8"/>
  <c r="F285" i="8"/>
  <c r="H285" i="8"/>
  <c r="J285" i="8"/>
  <c r="L285" i="8"/>
  <c r="N285" i="8"/>
  <c r="P285" i="8"/>
  <c r="R285" i="8"/>
  <c r="T285" i="8"/>
  <c r="V285" i="8"/>
  <c r="X285" i="8"/>
  <c r="Z285" i="8"/>
  <c r="AB285" i="8"/>
  <c r="AD285" i="8"/>
  <c r="AF285" i="8"/>
  <c r="AH285" i="8"/>
  <c r="AJ285" i="8"/>
  <c r="AL285" i="8"/>
  <c r="C3" i="8"/>
  <c r="U243" i="8"/>
  <c r="AC243" i="8"/>
  <c r="O246" i="8"/>
  <c r="W246" i="8"/>
  <c r="AE246" i="8"/>
  <c r="G248" i="8"/>
  <c r="I249" i="8"/>
  <c r="Q249" i="8"/>
  <c r="Y249" i="8"/>
  <c r="AK249" i="8"/>
  <c r="I250" i="8"/>
  <c r="C255" i="8"/>
  <c r="K255" i="8"/>
  <c r="S255" i="8"/>
  <c r="AA255" i="8"/>
  <c r="C257" i="8"/>
  <c r="K257" i="8"/>
  <c r="S257" i="8"/>
  <c r="AA257" i="8"/>
  <c r="AI257" i="8"/>
  <c r="G258" i="8"/>
  <c r="O258" i="8"/>
  <c r="W258" i="8"/>
  <c r="AE258" i="8"/>
  <c r="C259" i="8"/>
  <c r="K259" i="8"/>
  <c r="S259" i="8"/>
  <c r="AA259" i="8"/>
  <c r="G261" i="8"/>
  <c r="O261" i="8"/>
  <c r="W261" i="8"/>
  <c r="AE261" i="8"/>
  <c r="C262" i="8"/>
  <c r="K262" i="8"/>
  <c r="S262" i="8"/>
  <c r="AA262" i="8"/>
  <c r="AI262" i="8"/>
  <c r="G263" i="8"/>
  <c r="O263" i="8"/>
  <c r="W263" i="8"/>
  <c r="AE263" i="8"/>
  <c r="C264" i="8"/>
  <c r="G267" i="8"/>
  <c r="O267" i="8"/>
  <c r="W267" i="8"/>
  <c r="AE267" i="8"/>
  <c r="AA270" i="8"/>
  <c r="AK270" i="8"/>
  <c r="I273" i="8"/>
  <c r="Q273" i="8"/>
  <c r="Y273" i="8"/>
  <c r="AG273" i="8"/>
  <c r="AK276" i="8"/>
  <c r="M277" i="8"/>
  <c r="U277" i="8"/>
  <c r="AC277" i="8"/>
  <c r="AK277" i="8"/>
  <c r="I278" i="8"/>
  <c r="Q278" i="8"/>
  <c r="Y278" i="8"/>
  <c r="AG278" i="8"/>
  <c r="U279" i="8"/>
  <c r="AC279" i="8"/>
  <c r="AK279" i="8"/>
  <c r="I280" i="8"/>
  <c r="Q280" i="8"/>
  <c r="AC280" i="8"/>
  <c r="C281" i="8"/>
  <c r="G281" i="8"/>
  <c r="O281" i="8"/>
  <c r="W281" i="8"/>
  <c r="AE281" i="8"/>
  <c r="C283" i="8"/>
  <c r="K283" i="8"/>
  <c r="S283" i="8"/>
  <c r="AA283" i="8"/>
  <c r="AI283" i="8"/>
  <c r="G284" i="8"/>
  <c r="O284" i="8"/>
  <c r="W284" i="8"/>
  <c r="AE284" i="8"/>
  <c r="C285" i="8"/>
  <c r="K285" i="8"/>
  <c r="S285" i="8"/>
  <c r="AA285" i="8"/>
  <c r="AI285" i="8"/>
  <c r="W279" i="8"/>
  <c r="AA279" i="8"/>
  <c r="AE279" i="8"/>
  <c r="AI279" i="8"/>
  <c r="C280" i="8"/>
  <c r="G280" i="8"/>
  <c r="K280" i="8"/>
  <c r="O280" i="8"/>
  <c r="S280" i="8"/>
  <c r="V280" i="8"/>
  <c r="AA280" i="8"/>
  <c r="AG280" i="8"/>
  <c r="AK280" i="8"/>
  <c r="F281" i="8"/>
  <c r="H281" i="8"/>
  <c r="J281" i="8"/>
  <c r="M281" i="8"/>
  <c r="Q281" i="8"/>
  <c r="U281" i="8"/>
  <c r="Y281" i="8"/>
  <c r="AC281" i="8"/>
  <c r="AG281" i="8"/>
  <c r="AK281" i="8"/>
  <c r="E283" i="8"/>
  <c r="I283" i="8"/>
  <c r="M283" i="8"/>
  <c r="Q283" i="8"/>
  <c r="U283" i="8"/>
  <c r="Y283" i="8"/>
  <c r="AC283" i="8"/>
  <c r="AG283" i="8"/>
  <c r="AK283" i="8"/>
  <c r="E284" i="8"/>
  <c r="I284" i="8"/>
  <c r="M284" i="8"/>
  <c r="Q284" i="8"/>
  <c r="U284" i="8"/>
  <c r="Y284" i="8"/>
  <c r="AC284" i="8"/>
  <c r="AG284" i="8"/>
  <c r="AK284" i="8"/>
  <c r="E285" i="8"/>
  <c r="I285" i="8"/>
  <c r="M285" i="8"/>
  <c r="Q285" i="8"/>
  <c r="U285" i="8"/>
  <c r="Y285" i="8"/>
  <c r="AC285" i="8"/>
  <c r="AG285" i="8"/>
  <c r="AK285" i="8"/>
  <c r="Q243" i="8"/>
  <c r="Y243" i="8"/>
  <c r="AG243" i="8"/>
  <c r="AC245" i="8"/>
  <c r="S246" i="8"/>
  <c r="AA246" i="8"/>
  <c r="AI246" i="8"/>
  <c r="K248" i="8"/>
  <c r="E249" i="8"/>
  <c r="M249" i="8"/>
  <c r="U249" i="8"/>
  <c r="AC249" i="8"/>
  <c r="E250" i="8"/>
  <c r="M250" i="8"/>
  <c r="AK250" i="8"/>
  <c r="W251" i="8"/>
  <c r="G255" i="8"/>
  <c r="O255" i="8"/>
  <c r="W255" i="8"/>
  <c r="AE255" i="8"/>
  <c r="G257" i="8"/>
  <c r="O257" i="8"/>
  <c r="W257" i="8"/>
  <c r="AE257" i="8"/>
  <c r="C258" i="8"/>
  <c r="K258" i="8"/>
  <c r="S258" i="8"/>
  <c r="AA258" i="8"/>
  <c r="AI258" i="8"/>
  <c r="G259" i="8"/>
  <c r="O259" i="8"/>
  <c r="W259" i="8"/>
  <c r="AE259" i="8"/>
  <c r="K261" i="8"/>
  <c r="S261" i="8"/>
  <c r="AA261" i="8"/>
  <c r="AI261" i="8"/>
  <c r="G262" i="8"/>
  <c r="O262" i="8"/>
  <c r="W262" i="8"/>
  <c r="AE262" i="8"/>
  <c r="C263" i="8"/>
  <c r="K263" i="8"/>
  <c r="S263" i="8"/>
  <c r="AA263" i="8"/>
  <c r="AI263" i="8"/>
  <c r="G264" i="8"/>
  <c r="K267" i="8"/>
  <c r="S267" i="8"/>
  <c r="AA267" i="8"/>
  <c r="AI267" i="8"/>
  <c r="AG270" i="8"/>
  <c r="I271" i="8"/>
  <c r="E273" i="8"/>
  <c r="M273" i="8"/>
  <c r="U273" i="8"/>
  <c r="AC273" i="8"/>
  <c r="AK273" i="8"/>
  <c r="AG276" i="8"/>
  <c r="I277" i="8"/>
  <c r="Q277" i="8"/>
  <c r="Y277" i="8"/>
  <c r="AG277" i="8"/>
  <c r="E278" i="8"/>
  <c r="M278" i="8"/>
  <c r="U278" i="8"/>
  <c r="AC278" i="8"/>
  <c r="AK278" i="8"/>
  <c r="Y279" i="8"/>
  <c r="AG279" i="8"/>
  <c r="E280" i="8"/>
  <c r="M280" i="8"/>
  <c r="Y280" i="8"/>
  <c r="AI280" i="8"/>
  <c r="S281" i="8"/>
  <c r="AA281" i="8"/>
  <c r="AI281" i="8"/>
  <c r="G283" i="8"/>
  <c r="O283" i="8"/>
  <c r="W283" i="8"/>
  <c r="AE283" i="8"/>
  <c r="C284" i="8"/>
  <c r="K284" i="8"/>
  <c r="S284" i="8"/>
  <c r="AA284" i="8"/>
  <c r="AI284" i="8"/>
  <c r="G285" i="8"/>
  <c r="O285" i="8"/>
  <c r="W285" i="8"/>
  <c r="AE285" i="8"/>
  <c r="AI190" i="8"/>
  <c r="AA1112" i="9" l="1"/>
  <c r="AA1101" i="9"/>
  <c r="AA1100" i="9"/>
  <c r="MN47" i="4"/>
  <c r="MN46" i="4"/>
  <c r="MN45" i="4"/>
  <c r="MN44" i="4"/>
  <c r="MN43" i="4"/>
  <c r="MN42" i="4"/>
  <c r="MN40" i="4"/>
  <c r="MN39" i="4"/>
  <c r="MN38" i="4"/>
  <c r="MN37" i="4"/>
  <c r="MN36" i="4"/>
  <c r="MN35" i="4"/>
  <c r="MN34" i="4"/>
  <c r="MN33" i="4"/>
  <c r="IE42" i="4"/>
  <c r="IE47" i="4"/>
  <c r="IE46" i="4"/>
  <c r="IE45" i="4"/>
  <c r="IE44" i="4"/>
  <c r="IE43" i="4"/>
  <c r="IE40" i="4"/>
  <c r="IE39" i="4"/>
  <c r="IE38" i="4"/>
  <c r="IE37" i="4"/>
  <c r="IE36" i="4"/>
  <c r="IE35" i="4"/>
  <c r="IE34" i="4"/>
  <c r="IE33" i="4"/>
  <c r="CM24" i="5" l="1"/>
  <c r="CM23" i="5"/>
  <c r="CM22" i="5"/>
  <c r="CM21" i="5"/>
  <c r="CM20" i="5"/>
  <c r="CM19" i="5"/>
  <c r="CM16" i="5"/>
  <c r="CM15" i="5"/>
  <c r="CM14" i="5"/>
  <c r="CM13" i="5"/>
  <c r="CM12" i="5"/>
  <c r="CM11" i="5"/>
  <c r="CM8" i="5"/>
  <c r="CM7" i="5"/>
  <c r="CM6" i="5"/>
  <c r="CM5" i="5"/>
  <c r="CM4" i="5"/>
  <c r="CM3" i="5"/>
  <c r="COP48" i="1"/>
  <c r="COP37" i="1"/>
  <c r="COP29" i="1"/>
  <c r="COP18" i="1"/>
  <c r="COP45" i="1"/>
  <c r="COP34" i="1"/>
  <c r="COP23" i="1"/>
  <c r="COP15" i="1"/>
  <c r="COP39" i="1"/>
  <c r="COP31" i="1"/>
  <c r="COP20" i="1"/>
  <c r="COP47" i="1"/>
  <c r="COP36" i="1"/>
  <c r="COP28" i="1"/>
  <c r="COP17" i="1"/>
  <c r="COP44" i="1"/>
  <c r="COP33" i="1"/>
  <c r="COP22" i="1"/>
  <c r="COP14" i="1"/>
  <c r="COP38" i="1"/>
  <c r="COP30" i="1"/>
  <c r="COP19" i="1"/>
  <c r="COP46" i="1"/>
  <c r="COP35" i="1"/>
  <c r="COP27" i="1"/>
  <c r="COP16" i="1"/>
  <c r="COP43" i="1"/>
  <c r="COP32" i="1"/>
  <c r="COP21" i="1"/>
  <c r="Z1161" i="9" l="1"/>
  <c r="Y1161" i="9"/>
  <c r="X1161" i="9"/>
  <c r="W1161" i="9"/>
  <c r="Z1160" i="9"/>
  <c r="Y1160" i="9"/>
  <c r="X1160" i="9"/>
  <c r="W1160" i="9"/>
  <c r="Z1159" i="9"/>
  <c r="Y1159" i="9"/>
  <c r="X1159" i="9"/>
  <c r="W1159" i="9"/>
  <c r="Z1170" i="9"/>
  <c r="Y1170" i="9"/>
  <c r="X1170" i="9"/>
  <c r="W1170" i="9"/>
  <c r="Z1169" i="9"/>
  <c r="Y1169" i="9"/>
  <c r="X1169" i="9"/>
  <c r="W1169" i="9"/>
  <c r="Z1168" i="9"/>
  <c r="Y1168" i="9"/>
  <c r="X1168" i="9"/>
  <c r="W1168" i="9"/>
  <c r="Z1167" i="9"/>
  <c r="Y1167" i="9"/>
  <c r="X1167" i="9"/>
  <c r="W1167" i="9"/>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GQ31" i="4"/>
  <c r="GQ26" i="4"/>
  <c r="IE26" i="4" s="1"/>
  <c r="GQ25" i="4"/>
  <c r="IE25" i="4" s="1"/>
  <c r="GQ24" i="4"/>
  <c r="IE24" i="4" s="1"/>
  <c r="GQ23" i="4"/>
  <c r="IE23" i="4" s="1"/>
  <c r="GQ21" i="4"/>
  <c r="IE21" i="4" s="1"/>
  <c r="GQ20" i="4"/>
  <c r="IE20" i="4" s="1"/>
  <c r="GQ19" i="4"/>
  <c r="IE19" i="4" s="1"/>
  <c r="GQ18" i="4"/>
  <c r="IE18" i="4" s="1"/>
  <c r="GQ17" i="4"/>
  <c r="IE17" i="4" s="1"/>
  <c r="GQ16" i="4"/>
  <c r="IE16" i="4" s="1"/>
  <c r="AX49" i="4" l="1"/>
  <c r="AX48" i="4"/>
  <c r="AX47" i="4"/>
  <c r="AX46" i="4"/>
  <c r="AX45" i="4"/>
  <c r="AX44" i="4"/>
  <c r="AX43" i="4"/>
  <c r="AX42" i="4"/>
  <c r="AX41" i="4"/>
  <c r="AX40" i="4"/>
  <c r="AH101" i="5"/>
  <c r="AH100" i="5"/>
  <c r="AH99" i="5"/>
  <c r="AH98" i="5"/>
  <c r="AH97" i="5"/>
  <c r="AH96" i="5"/>
  <c r="AH95" i="5"/>
  <c r="AH94" i="5"/>
  <c r="AH93" i="5"/>
  <c r="AH92" i="5"/>
  <c r="AH91" i="5"/>
  <c r="AH90" i="5"/>
  <c r="AH89" i="5"/>
  <c r="AH88" i="5"/>
  <c r="AH87" i="5"/>
  <c r="AH86" i="5"/>
  <c r="AH85" i="5"/>
  <c r="AH84" i="5"/>
  <c r="AH83" i="5"/>
  <c r="AH82" i="5"/>
  <c r="AH81" i="5"/>
  <c r="AH80" i="5"/>
  <c r="AH79" i="5"/>
  <c r="AH78" i="5"/>
  <c r="AH77" i="5"/>
  <c r="AH76" i="5"/>
  <c r="AH75" i="5"/>
  <c r="AH74" i="5"/>
  <c r="AH73" i="5"/>
  <c r="AH72" i="5"/>
  <c r="AH71" i="5"/>
  <c r="AH70" i="5"/>
  <c r="AH69" i="5"/>
  <c r="AH68" i="5"/>
  <c r="AH67" i="5"/>
  <c r="AH66" i="5"/>
  <c r="AH65" i="5"/>
  <c r="AH64" i="5"/>
  <c r="AH63" i="5"/>
  <c r="AH62" i="5"/>
  <c r="AH61" i="5"/>
  <c r="AH60" i="5"/>
  <c r="AH59" i="5"/>
  <c r="AH58" i="5"/>
  <c r="AH57" i="5"/>
  <c r="AH56" i="5"/>
  <c r="AH55" i="5"/>
  <c r="AH54" i="5"/>
  <c r="AH53" i="5"/>
  <c r="AH52" i="5"/>
  <c r="AH51" i="5"/>
  <c r="AH50" i="5"/>
  <c r="AH49" i="5"/>
  <c r="AH48" i="5"/>
  <c r="AH47" i="5"/>
  <c r="AH46" i="5"/>
  <c r="AH45" i="5"/>
  <c r="AH44" i="5"/>
  <c r="AH43" i="5"/>
  <c r="AH42" i="5"/>
  <c r="AH41" i="5"/>
  <c r="AH40" i="5"/>
  <c r="AH39" i="5"/>
  <c r="AH38" i="5"/>
  <c r="AH37" i="5"/>
  <c r="AH36" i="5"/>
  <c r="AH35" i="5"/>
  <c r="AH34" i="5"/>
  <c r="AH33" i="5"/>
  <c r="AH32" i="5"/>
  <c r="AH31" i="5"/>
  <c r="AH30" i="5"/>
  <c r="AH29" i="5"/>
  <c r="AH28" i="5"/>
  <c r="AH27" i="5"/>
  <c r="AH26" i="5"/>
  <c r="AH25" i="5"/>
  <c r="AH24" i="5"/>
  <c r="AH23" i="5"/>
  <c r="AH22" i="5"/>
  <c r="AH21" i="5"/>
  <c r="AH20" i="5"/>
  <c r="AH19" i="5"/>
  <c r="AH18" i="5"/>
  <c r="AH17" i="5"/>
  <c r="AH16" i="5"/>
  <c r="AH15" i="5"/>
  <c r="AH14" i="5"/>
  <c r="AH13" i="5"/>
  <c r="AH12" i="5"/>
  <c r="AH11" i="5"/>
  <c r="AH10" i="5"/>
  <c r="AH9" i="5"/>
  <c r="AH8" i="5"/>
  <c r="AH7" i="5"/>
  <c r="AH6" i="5"/>
  <c r="AH5" i="5"/>
  <c r="AH4" i="5"/>
  <c r="AH3" i="5"/>
  <c r="AH2" i="5"/>
  <c r="BS49" i="4"/>
  <c r="F12" i="7" s="1"/>
  <c r="BS48" i="4"/>
  <c r="F11" i="7" s="1"/>
  <c r="BS47" i="4"/>
  <c r="F10" i="7" s="1"/>
  <c r="BS46" i="4"/>
  <c r="F9" i="7" s="1"/>
  <c r="BS45" i="4"/>
  <c r="F8" i="7" s="1"/>
  <c r="BS44" i="4"/>
  <c r="F7" i="7" s="1"/>
  <c r="BS43" i="4"/>
  <c r="F6" i="7" s="1"/>
  <c r="BS42" i="4"/>
  <c r="F5" i="7" s="1"/>
  <c r="BS41" i="4"/>
  <c r="F4" i="7" s="1"/>
  <c r="BS40" i="4"/>
  <c r="F3" i="7" s="1"/>
  <c r="CV21" i="1"/>
  <c r="CV20" i="1"/>
  <c r="CV19" i="1"/>
  <c r="CV18" i="1"/>
  <c r="C250" i="7"/>
  <c r="B251" i="7"/>
  <c r="C251" i="7"/>
  <c r="DD250" i="7"/>
  <c r="DC250" i="7"/>
  <c r="DB250" i="7"/>
  <c r="DA250" i="7"/>
  <c r="CZ250" i="7"/>
  <c r="CY250" i="7"/>
  <c r="CX250" i="7"/>
  <c r="CW250" i="7"/>
  <c r="CV250" i="7"/>
  <c r="CU250" i="7"/>
  <c r="CT250" i="7"/>
  <c r="CS250" i="7"/>
  <c r="CR250" i="7"/>
  <c r="CQ250" i="7"/>
  <c r="CP250" i="7"/>
  <c r="CO250" i="7"/>
  <c r="CN250" i="7"/>
  <c r="CM250" i="7"/>
  <c r="CL250" i="7"/>
  <c r="CK250" i="7"/>
  <c r="CJ250" i="7"/>
  <c r="CI250" i="7"/>
  <c r="CH250" i="7"/>
  <c r="CG250" i="7"/>
  <c r="CF250" i="7"/>
  <c r="CE250" i="7"/>
  <c r="CD250" i="7"/>
  <c r="CC250" i="7"/>
  <c r="CB250" i="7"/>
  <c r="CA250" i="7"/>
  <c r="BZ250" i="7"/>
  <c r="BY250" i="7"/>
  <c r="BX250" i="7"/>
  <c r="BW250" i="7"/>
  <c r="BV250" i="7"/>
  <c r="BU250" i="7"/>
  <c r="BT250" i="7"/>
  <c r="BS250" i="7"/>
  <c r="BR250" i="7"/>
  <c r="BQ250" i="7"/>
  <c r="BP250" i="7"/>
  <c r="BO250" i="7"/>
  <c r="BN250" i="7"/>
  <c r="BM250" i="7"/>
  <c r="BL250" i="7"/>
  <c r="BK250" i="7"/>
  <c r="BJ250" i="7"/>
  <c r="BI250" i="7"/>
  <c r="BH250" i="7"/>
  <c r="BG250" i="7"/>
  <c r="BF250" i="7"/>
  <c r="N232" i="3"/>
  <c r="M232" i="3" s="1"/>
  <c r="A250" i="7" s="1"/>
  <c r="J233" i="3"/>
  <c r="B250" i="7" l="1"/>
  <c r="Y232" i="3"/>
  <c r="AA232" i="3"/>
  <c r="R232" i="3"/>
  <c r="X232" i="3"/>
  <c r="Z232" i="3"/>
  <c r="AB232" i="3"/>
  <c r="B38" i="4"/>
  <c r="J232" i="3"/>
  <c r="G823" i="9" l="1"/>
  <c r="GQ29" i="4" l="1"/>
  <c r="DJ82" i="2"/>
  <c r="DJ81" i="2"/>
  <c r="DJ80" i="2"/>
  <c r="DJ79" i="2"/>
  <c r="DJ78" i="2"/>
  <c r="DJ77" i="2"/>
  <c r="DJ76" i="2"/>
  <c r="DJ75" i="2"/>
  <c r="DJ74" i="2"/>
  <c r="DJ73" i="2"/>
  <c r="DJ72" i="2"/>
  <c r="DJ71" i="2"/>
  <c r="DJ70" i="2"/>
  <c r="DJ69" i="2"/>
  <c r="DJ68" i="2"/>
  <c r="DJ67" i="2"/>
  <c r="DJ66" i="2"/>
  <c r="DJ65" i="2"/>
  <c r="DJ64" i="2"/>
  <c r="DJ63" i="2"/>
  <c r="DJ62" i="2"/>
  <c r="DJ61" i="2"/>
  <c r="DJ60" i="2"/>
  <c r="DJ59" i="2"/>
  <c r="DJ58" i="2"/>
  <c r="DJ57" i="2"/>
  <c r="DJ56" i="2"/>
  <c r="DJ55" i="2"/>
  <c r="DJ54" i="2"/>
  <c r="DJ53" i="2"/>
  <c r="DJ52" i="2"/>
  <c r="DJ51" i="2"/>
  <c r="DJ50" i="2"/>
  <c r="DJ49" i="2"/>
  <c r="DJ48" i="2"/>
  <c r="DJ47" i="2"/>
  <c r="DJ46" i="2"/>
  <c r="DJ45" i="2"/>
  <c r="DJ44" i="2"/>
  <c r="DJ43" i="2"/>
  <c r="DJ42" i="2"/>
  <c r="DJ41" i="2"/>
  <c r="DJ40" i="2"/>
  <c r="DJ39" i="2"/>
  <c r="DJ38" i="2"/>
  <c r="AA286" i="9"/>
  <c r="B1167" i="9" s="1"/>
  <c r="AA289" i="9"/>
  <c r="B1170" i="9" s="1"/>
  <c r="AA288" i="9"/>
  <c r="B1169" i="9" s="1"/>
  <c r="AA287" i="9"/>
  <c r="B1168" i="9" s="1"/>
  <c r="AA284" i="9"/>
  <c r="B1166" i="9" s="1"/>
  <c r="AA283" i="9"/>
  <c r="B1165" i="9" s="1"/>
  <c r="AA282" i="9"/>
  <c r="B1164" i="9" s="1"/>
  <c r="AA271" i="9"/>
  <c r="B1163" i="9" s="1"/>
  <c r="AA270" i="9"/>
  <c r="B1162" i="9" s="1"/>
  <c r="AA266" i="9"/>
  <c r="B1160" i="9" s="1"/>
  <c r="AA265" i="9"/>
  <c r="B1159" i="9" s="1"/>
  <c r="AA267" i="9"/>
  <c r="B1161" i="9" s="1"/>
  <c r="AA251" i="9"/>
  <c r="B1158" i="9" s="1"/>
  <c r="AA250" i="9"/>
  <c r="B1157" i="9" s="1"/>
  <c r="AA1002" i="9"/>
  <c r="AA1001" i="9"/>
  <c r="AA1000" i="9"/>
  <c r="AA998" i="9"/>
  <c r="AA997" i="9"/>
  <c r="AA996" i="9"/>
  <c r="H144" i="9"/>
  <c r="H142" i="9"/>
  <c r="H139" i="9"/>
  <c r="H126" i="9"/>
  <c r="H118" i="9"/>
  <c r="H114" i="9"/>
  <c r="H111" i="9"/>
  <c r="H44" i="9"/>
  <c r="H43" i="9"/>
  <c r="H106" i="9"/>
  <c r="Z1173" i="9"/>
  <c r="Y1173" i="9"/>
  <c r="X1173" i="9"/>
  <c r="W1173" i="9"/>
  <c r="DJ17" i="2"/>
  <c r="DJ16" i="2"/>
  <c r="DR16" i="2" s="1"/>
  <c r="EG16" i="2" s="1"/>
  <c r="DJ15" i="2"/>
  <c r="DJ14" i="2"/>
  <c r="DR14" i="2" s="1"/>
  <c r="EG14" i="2" s="1"/>
  <c r="DJ13" i="2"/>
  <c r="DJ12" i="2"/>
  <c r="DR12" i="2" s="1"/>
  <c r="EG12" i="2" s="1"/>
  <c r="DJ11" i="2"/>
  <c r="DJ10" i="2"/>
  <c r="DR10" i="2" s="1"/>
  <c r="EG10" i="2" s="1"/>
  <c r="DJ9" i="2"/>
  <c r="DJ8" i="2"/>
  <c r="DR8" i="2" s="1"/>
  <c r="EG8" i="2" s="1"/>
  <c r="DJ7" i="2"/>
  <c r="DJ6" i="2"/>
  <c r="DR6" i="2" s="1"/>
  <c r="EG6" i="2" s="1"/>
  <c r="DJ5" i="2"/>
  <c r="DJ4" i="2"/>
  <c r="DK4" i="2" s="1"/>
  <c r="AA1136" i="9"/>
  <c r="AA1135" i="9"/>
  <c r="AA1134" i="9"/>
  <c r="AA1133" i="9"/>
  <c r="AA1132" i="9"/>
  <c r="AA1131" i="9"/>
  <c r="AA1127" i="9"/>
  <c r="AA1126" i="9"/>
  <c r="AA1125" i="9"/>
  <c r="AA1124" i="9"/>
  <c r="AA1123" i="9"/>
  <c r="AA1122" i="9"/>
  <c r="AA1121" i="9"/>
  <c r="AA1120" i="9"/>
  <c r="AA1116" i="9"/>
  <c r="AA1115" i="9"/>
  <c r="AA1111" i="9"/>
  <c r="AA1110" i="9"/>
  <c r="AA1109" i="9"/>
  <c r="AA1108" i="9"/>
  <c r="AA1099" i="9"/>
  <c r="AA1098" i="9"/>
  <c r="AA1097" i="9"/>
  <c r="AA1096" i="9"/>
  <c r="AA1095" i="9"/>
  <c r="AA1094" i="9"/>
  <c r="AA1093" i="9"/>
  <c r="AA1092" i="9"/>
  <c r="AA1091" i="9"/>
  <c r="AA1090" i="9"/>
  <c r="AA1089" i="9"/>
  <c r="AA1088" i="9"/>
  <c r="AA1087" i="9"/>
  <c r="AA1086" i="9"/>
  <c r="AA1085" i="9"/>
  <c r="AA1084" i="9"/>
  <c r="AA1083" i="9"/>
  <c r="AA1082" i="9"/>
  <c r="AA1081" i="9"/>
  <c r="AA1080" i="9"/>
  <c r="AA1079" i="9"/>
  <c r="AA1078" i="9"/>
  <c r="AA1077" i="9"/>
  <c r="AA1076" i="9"/>
  <c r="AA1075" i="9"/>
  <c r="AA1074" i="9"/>
  <c r="AA1073" i="9"/>
  <c r="AA1072" i="9"/>
  <c r="AA1071" i="9"/>
  <c r="AA1070" i="9"/>
  <c r="AA1069" i="9"/>
  <c r="AA1068" i="9"/>
  <c r="AA1067" i="9"/>
  <c r="AA1066" i="9"/>
  <c r="AA1065" i="9"/>
  <c r="AA1064" i="9"/>
  <c r="AA1063" i="9"/>
  <c r="AA1062" i="9"/>
  <c r="AA1061" i="9"/>
  <c r="AA1060" i="9"/>
  <c r="AA1059" i="9"/>
  <c r="AA1058" i="9"/>
  <c r="AA1057" i="9"/>
  <c r="AA1056" i="9"/>
  <c r="AA1055" i="9"/>
  <c r="AA1054" i="9"/>
  <c r="AA1053" i="9"/>
  <c r="AA1052" i="9"/>
  <c r="AA1051" i="9"/>
  <c r="AA1050" i="9"/>
  <c r="AA1049" i="9"/>
  <c r="AA1048" i="9"/>
  <c r="AA1047" i="9"/>
  <c r="AA1046" i="9"/>
  <c r="AA1045" i="9"/>
  <c r="AA1044" i="9"/>
  <c r="AA1043" i="9"/>
  <c r="AA1042" i="9"/>
  <c r="AA1041" i="9"/>
  <c r="AA1040" i="9"/>
  <c r="AA1039" i="9"/>
  <c r="AA1038" i="9"/>
  <c r="AA1037" i="9"/>
  <c r="AA1036" i="9"/>
  <c r="AA1035" i="9"/>
  <c r="AA1034" i="9"/>
  <c r="AA1033" i="9"/>
  <c r="AA1032" i="9"/>
  <c r="AA1031" i="9"/>
  <c r="AA1030" i="9"/>
  <c r="AA1029" i="9"/>
  <c r="AA1028" i="9"/>
  <c r="AA1027" i="9"/>
  <c r="AA1026" i="9"/>
  <c r="AA1025" i="9"/>
  <c r="AA1024" i="9"/>
  <c r="AA1023" i="9"/>
  <c r="AA1022" i="9"/>
  <c r="AA1015" i="9"/>
  <c r="AA1014" i="9"/>
  <c r="Z1108" i="9"/>
  <c r="Y1108" i="9"/>
  <c r="X1108" i="9"/>
  <c r="W1108" i="9"/>
  <c r="BJ5" i="1"/>
  <c r="Z1072" i="9"/>
  <c r="Y1072" i="9"/>
  <c r="X1072" i="9"/>
  <c r="W1072" i="9"/>
  <c r="Z1121" i="9"/>
  <c r="Y1121" i="9"/>
  <c r="X1121" i="9"/>
  <c r="W1121" i="9"/>
  <c r="Z1120" i="9"/>
  <c r="Y1120" i="9"/>
  <c r="X1120" i="9"/>
  <c r="W1120" i="9"/>
  <c r="AA1021" i="9"/>
  <c r="AA1020" i="9"/>
  <c r="AA1019" i="9"/>
  <c r="AA1018" i="9"/>
  <c r="Z1018" i="9"/>
  <c r="Y1018" i="9"/>
  <c r="X1018" i="9"/>
  <c r="W1018" i="9"/>
  <c r="Z1009" i="9"/>
  <c r="Y1009" i="9"/>
  <c r="X1009" i="9"/>
  <c r="W1009" i="9"/>
  <c r="Z1008" i="9"/>
  <c r="Y1008" i="9"/>
  <c r="X1008" i="9"/>
  <c r="W1008" i="9"/>
  <c r="D981" i="9"/>
  <c r="C981" i="9"/>
  <c r="C889" i="9"/>
  <c r="C854" i="9"/>
  <c r="C853" i="9"/>
  <c r="C765" i="9"/>
  <c r="DK5" i="2" l="1"/>
  <c r="DK12" i="2"/>
  <c r="EE39" i="2"/>
  <c r="EB39" i="2"/>
  <c r="EC39" i="2" s="1"/>
  <c r="DU39" i="2"/>
  <c r="DV39" i="2" s="1"/>
  <c r="DW39" i="2" s="1"/>
  <c r="ED39" i="2"/>
  <c r="DT39" i="2"/>
  <c r="DR39" i="2"/>
  <c r="EG39" i="2" s="1"/>
  <c r="EJ39" i="2" s="1"/>
  <c r="EF39" i="2"/>
  <c r="DY39" i="2"/>
  <c r="EE41" i="2"/>
  <c r="EB41" i="2"/>
  <c r="EC41" i="2" s="1"/>
  <c r="DU41" i="2"/>
  <c r="DV41" i="2" s="1"/>
  <c r="DW41" i="2" s="1"/>
  <c r="ED41" i="2"/>
  <c r="DT41" i="2"/>
  <c r="DR41" i="2"/>
  <c r="EG41" i="2" s="1"/>
  <c r="EJ41" i="2" s="1"/>
  <c r="EF41" i="2"/>
  <c r="DY41" i="2"/>
  <c r="EE43" i="2"/>
  <c r="EB43" i="2"/>
  <c r="EC43" i="2" s="1"/>
  <c r="DU43" i="2"/>
  <c r="DV43" i="2" s="1"/>
  <c r="DW43" i="2" s="1"/>
  <c r="ED43" i="2"/>
  <c r="DT43" i="2"/>
  <c r="DR43" i="2"/>
  <c r="EG43" i="2" s="1"/>
  <c r="EJ43" i="2" s="1"/>
  <c r="EF43" i="2"/>
  <c r="DY43" i="2"/>
  <c r="EE45" i="2"/>
  <c r="EB45" i="2"/>
  <c r="EC45" i="2" s="1"/>
  <c r="DU45" i="2"/>
  <c r="DV45" i="2" s="1"/>
  <c r="DW45" i="2" s="1"/>
  <c r="ED45" i="2"/>
  <c r="DT45" i="2"/>
  <c r="DR45" i="2"/>
  <c r="EG45" i="2" s="1"/>
  <c r="EJ45" i="2" s="1"/>
  <c r="EF45" i="2"/>
  <c r="DY45" i="2"/>
  <c r="EE47" i="2"/>
  <c r="EB47" i="2"/>
  <c r="EC47" i="2" s="1"/>
  <c r="DU47" i="2"/>
  <c r="DV47" i="2" s="1"/>
  <c r="DW47" i="2" s="1"/>
  <c r="ED47" i="2"/>
  <c r="DT47" i="2"/>
  <c r="DR47" i="2"/>
  <c r="EG47" i="2" s="1"/>
  <c r="EJ47" i="2" s="1"/>
  <c r="EF47" i="2"/>
  <c r="DY47" i="2"/>
  <c r="EE49" i="2"/>
  <c r="EB49" i="2"/>
  <c r="EC49" i="2" s="1"/>
  <c r="DU49" i="2"/>
  <c r="DV49" i="2" s="1"/>
  <c r="DW49" i="2" s="1"/>
  <c r="ED49" i="2"/>
  <c r="DT49" i="2"/>
  <c r="DR49" i="2"/>
  <c r="EG49" i="2" s="1"/>
  <c r="EJ49" i="2" s="1"/>
  <c r="EF49" i="2"/>
  <c r="DY49" i="2"/>
  <c r="EE51" i="2"/>
  <c r="EB51" i="2"/>
  <c r="EC51" i="2" s="1"/>
  <c r="DU51" i="2"/>
  <c r="DV51" i="2" s="1"/>
  <c r="DW51" i="2" s="1"/>
  <c r="ED51" i="2"/>
  <c r="DT51" i="2"/>
  <c r="DR51" i="2"/>
  <c r="EG51" i="2" s="1"/>
  <c r="EJ51" i="2" s="1"/>
  <c r="EF51" i="2"/>
  <c r="DY51" i="2"/>
  <c r="EE53" i="2"/>
  <c r="EB53" i="2"/>
  <c r="EC53" i="2" s="1"/>
  <c r="DU53" i="2"/>
  <c r="DV53" i="2" s="1"/>
  <c r="DW53" i="2" s="1"/>
  <c r="ED53" i="2"/>
  <c r="DT53" i="2"/>
  <c r="DR53" i="2"/>
  <c r="EG53" i="2" s="1"/>
  <c r="EJ53" i="2" s="1"/>
  <c r="EF53" i="2"/>
  <c r="DY53" i="2"/>
  <c r="EE55" i="2"/>
  <c r="EB55" i="2"/>
  <c r="EC55" i="2" s="1"/>
  <c r="DU55" i="2"/>
  <c r="DV55" i="2" s="1"/>
  <c r="DW55" i="2" s="1"/>
  <c r="ED55" i="2"/>
  <c r="DT55" i="2"/>
  <c r="DR55" i="2"/>
  <c r="EG55" i="2" s="1"/>
  <c r="EJ55" i="2" s="1"/>
  <c r="EF55" i="2"/>
  <c r="DY55" i="2"/>
  <c r="EE57" i="2"/>
  <c r="EB57" i="2"/>
  <c r="EC57" i="2" s="1"/>
  <c r="DU57" i="2"/>
  <c r="DV57" i="2" s="1"/>
  <c r="DW57" i="2" s="1"/>
  <c r="ED57" i="2"/>
  <c r="DT57" i="2"/>
  <c r="DR57" i="2"/>
  <c r="EG57" i="2" s="1"/>
  <c r="EJ57" i="2" s="1"/>
  <c r="EF57" i="2"/>
  <c r="DY57" i="2"/>
  <c r="EE59" i="2"/>
  <c r="EB59" i="2"/>
  <c r="EC59" i="2" s="1"/>
  <c r="DU59" i="2"/>
  <c r="DV59" i="2" s="1"/>
  <c r="DW59" i="2" s="1"/>
  <c r="ED59" i="2"/>
  <c r="DT59" i="2"/>
  <c r="DR59" i="2"/>
  <c r="EG59" i="2" s="1"/>
  <c r="EJ59" i="2" s="1"/>
  <c r="EF59" i="2"/>
  <c r="DY59" i="2"/>
  <c r="EF61" i="2"/>
  <c r="ED61" i="2"/>
  <c r="EB61" i="2"/>
  <c r="EC61" i="2" s="1"/>
  <c r="DU61" i="2"/>
  <c r="DV61" i="2" s="1"/>
  <c r="DW61" i="2" s="1"/>
  <c r="EE61" i="2"/>
  <c r="DT61" i="2"/>
  <c r="DR61" i="2"/>
  <c r="EG61" i="2" s="1"/>
  <c r="EJ61" i="2" s="1"/>
  <c r="DY61" i="2"/>
  <c r="EF63" i="2"/>
  <c r="ED63" i="2"/>
  <c r="DY63" i="2"/>
  <c r="DT63" i="2"/>
  <c r="DR63" i="2"/>
  <c r="EG63" i="2" s="1"/>
  <c r="EJ63" i="2" s="1"/>
  <c r="EB63" i="2"/>
  <c r="EC63" i="2" s="1"/>
  <c r="EE63" i="2"/>
  <c r="DU63" i="2"/>
  <c r="DV63" i="2" s="1"/>
  <c r="DW63" i="2" s="1"/>
  <c r="DX63" i="2" s="1"/>
  <c r="EF65" i="2"/>
  <c r="ED65" i="2"/>
  <c r="DY65" i="2"/>
  <c r="DT65" i="2"/>
  <c r="DR65" i="2"/>
  <c r="EG65" i="2" s="1"/>
  <c r="EJ65" i="2" s="1"/>
  <c r="EB65" i="2"/>
  <c r="EC65" i="2" s="1"/>
  <c r="EE65" i="2"/>
  <c r="DU65" i="2"/>
  <c r="DV65" i="2" s="1"/>
  <c r="DW65" i="2" s="1"/>
  <c r="DX65" i="2" s="1"/>
  <c r="EF67" i="2"/>
  <c r="ED67" i="2"/>
  <c r="DY67" i="2"/>
  <c r="DT67" i="2"/>
  <c r="DR67" i="2"/>
  <c r="EG67" i="2" s="1"/>
  <c r="EJ67" i="2" s="1"/>
  <c r="EB67" i="2"/>
  <c r="EC67" i="2" s="1"/>
  <c r="EE67" i="2"/>
  <c r="DU67" i="2"/>
  <c r="DV67" i="2" s="1"/>
  <c r="DW67" i="2" s="1"/>
  <c r="DX67" i="2" s="1"/>
  <c r="EF69" i="2"/>
  <c r="ED69" i="2"/>
  <c r="DY69" i="2"/>
  <c r="DT69" i="2"/>
  <c r="DR69" i="2"/>
  <c r="EG69" i="2" s="1"/>
  <c r="EJ69" i="2" s="1"/>
  <c r="EB69" i="2"/>
  <c r="EC69" i="2" s="1"/>
  <c r="EE69" i="2"/>
  <c r="DU69" i="2"/>
  <c r="DV69" i="2" s="1"/>
  <c r="DW69" i="2" s="1"/>
  <c r="DX69" i="2" s="1"/>
  <c r="EF71" i="2"/>
  <c r="ED71" i="2"/>
  <c r="DY71" i="2"/>
  <c r="DT71" i="2"/>
  <c r="DR71" i="2"/>
  <c r="EG71" i="2" s="1"/>
  <c r="EJ71" i="2" s="1"/>
  <c r="EB71" i="2"/>
  <c r="EC71" i="2" s="1"/>
  <c r="EE71" i="2"/>
  <c r="DU71" i="2"/>
  <c r="DV71" i="2" s="1"/>
  <c r="DW71" i="2" s="1"/>
  <c r="DX71" i="2" s="1"/>
  <c r="EF73" i="2"/>
  <c r="ED73" i="2"/>
  <c r="DY73" i="2"/>
  <c r="DT73" i="2"/>
  <c r="DR73" i="2"/>
  <c r="EG73" i="2" s="1"/>
  <c r="EJ73" i="2" s="1"/>
  <c r="EB73" i="2"/>
  <c r="EC73" i="2" s="1"/>
  <c r="EE73" i="2"/>
  <c r="DU73" i="2"/>
  <c r="DV73" i="2" s="1"/>
  <c r="DW73" i="2" s="1"/>
  <c r="DX73" i="2" s="1"/>
  <c r="EF75" i="2"/>
  <c r="ED75" i="2"/>
  <c r="DY75" i="2"/>
  <c r="DT75" i="2"/>
  <c r="DR75" i="2"/>
  <c r="EG75" i="2" s="1"/>
  <c r="EJ75" i="2" s="1"/>
  <c r="EB75" i="2"/>
  <c r="EC75" i="2" s="1"/>
  <c r="EE75" i="2"/>
  <c r="DU75" i="2"/>
  <c r="DV75" i="2" s="1"/>
  <c r="DW75" i="2" s="1"/>
  <c r="DX75" i="2" s="1"/>
  <c r="EF77" i="2"/>
  <c r="ED77" i="2"/>
  <c r="DY77" i="2"/>
  <c r="DT77" i="2"/>
  <c r="DR77" i="2"/>
  <c r="EG77" i="2" s="1"/>
  <c r="EJ77" i="2" s="1"/>
  <c r="EB77" i="2"/>
  <c r="EC77" i="2" s="1"/>
  <c r="EE77" i="2"/>
  <c r="DU77" i="2"/>
  <c r="DV77" i="2" s="1"/>
  <c r="DW77" i="2" s="1"/>
  <c r="DX77" i="2" s="1"/>
  <c r="EF79" i="2"/>
  <c r="ED79" i="2"/>
  <c r="DY79" i="2"/>
  <c r="DT79" i="2"/>
  <c r="DR79" i="2"/>
  <c r="EG79" i="2" s="1"/>
  <c r="EJ79" i="2" s="1"/>
  <c r="EB79" i="2"/>
  <c r="EC79" i="2" s="1"/>
  <c r="EE79" i="2"/>
  <c r="DU79" i="2"/>
  <c r="DV79" i="2" s="1"/>
  <c r="DW79" i="2" s="1"/>
  <c r="DX79" i="2" s="1"/>
  <c r="EF81" i="2"/>
  <c r="ED81" i="2"/>
  <c r="DY81" i="2"/>
  <c r="DT81" i="2"/>
  <c r="DR81" i="2"/>
  <c r="EG81" i="2" s="1"/>
  <c r="EJ81" i="2" s="1"/>
  <c r="EB81" i="2"/>
  <c r="EC81" i="2" s="1"/>
  <c r="EE81" i="2"/>
  <c r="DU81" i="2"/>
  <c r="DV81" i="2" s="1"/>
  <c r="DW81" i="2" s="1"/>
  <c r="DX81" i="2" s="1"/>
  <c r="EF38" i="2"/>
  <c r="ED38" i="2"/>
  <c r="DY38" i="2"/>
  <c r="DT38" i="2"/>
  <c r="DR38" i="2"/>
  <c r="EG38" i="2" s="1"/>
  <c r="EJ38" i="2" s="1"/>
  <c r="EB38" i="2"/>
  <c r="EC38" i="2" s="1"/>
  <c r="EE38" i="2"/>
  <c r="DU38" i="2"/>
  <c r="DV38" i="2" s="1"/>
  <c r="DW38" i="2" s="1"/>
  <c r="DX38" i="2" s="1"/>
  <c r="EF40" i="2"/>
  <c r="ED40" i="2"/>
  <c r="DY40" i="2"/>
  <c r="DT40" i="2"/>
  <c r="DR40" i="2"/>
  <c r="EG40" i="2" s="1"/>
  <c r="EB40" i="2"/>
  <c r="EC40" i="2" s="1"/>
  <c r="EE40" i="2"/>
  <c r="DU40" i="2"/>
  <c r="DV40" i="2" s="1"/>
  <c r="DW40" i="2" s="1"/>
  <c r="DX40" i="2" s="1"/>
  <c r="EF42" i="2"/>
  <c r="ED42" i="2"/>
  <c r="DY42" i="2"/>
  <c r="DT42" i="2"/>
  <c r="DR42" i="2"/>
  <c r="EG42" i="2" s="1"/>
  <c r="EJ42" i="2" s="1"/>
  <c r="EB42" i="2"/>
  <c r="EC42" i="2" s="1"/>
  <c r="EE42" i="2"/>
  <c r="DU42" i="2"/>
  <c r="DV42" i="2" s="1"/>
  <c r="DW42" i="2" s="1"/>
  <c r="DX42" i="2" s="1"/>
  <c r="EF44" i="2"/>
  <c r="ED44" i="2"/>
  <c r="DY44" i="2"/>
  <c r="DT44" i="2"/>
  <c r="DR44" i="2"/>
  <c r="EG44" i="2" s="1"/>
  <c r="EJ44" i="2" s="1"/>
  <c r="EB44" i="2"/>
  <c r="EC44" i="2" s="1"/>
  <c r="EE44" i="2"/>
  <c r="DU44" i="2"/>
  <c r="DV44" i="2" s="1"/>
  <c r="DW44" i="2" s="1"/>
  <c r="DX44" i="2" s="1"/>
  <c r="EF46" i="2"/>
  <c r="ED46" i="2"/>
  <c r="DY46" i="2"/>
  <c r="DT46" i="2"/>
  <c r="DR46" i="2"/>
  <c r="EG46" i="2" s="1"/>
  <c r="EJ46" i="2" s="1"/>
  <c r="EB46" i="2"/>
  <c r="EC46" i="2" s="1"/>
  <c r="EE46" i="2"/>
  <c r="DU46" i="2"/>
  <c r="DV46" i="2" s="1"/>
  <c r="DW46" i="2" s="1"/>
  <c r="DX46" i="2" s="1"/>
  <c r="EF48" i="2"/>
  <c r="ED48" i="2"/>
  <c r="DY48" i="2"/>
  <c r="DT48" i="2"/>
  <c r="DR48" i="2"/>
  <c r="EG48" i="2" s="1"/>
  <c r="EJ48" i="2" s="1"/>
  <c r="EB48" i="2"/>
  <c r="EC48" i="2" s="1"/>
  <c r="EE48" i="2"/>
  <c r="DU48" i="2"/>
  <c r="DV48" i="2" s="1"/>
  <c r="DW48" i="2" s="1"/>
  <c r="DX48" i="2" s="1"/>
  <c r="EF50" i="2"/>
  <c r="ED50" i="2"/>
  <c r="DY50" i="2"/>
  <c r="DT50" i="2"/>
  <c r="DR50" i="2"/>
  <c r="EG50" i="2" s="1"/>
  <c r="EJ50" i="2" s="1"/>
  <c r="EB50" i="2"/>
  <c r="EC50" i="2" s="1"/>
  <c r="EE50" i="2"/>
  <c r="DU50" i="2"/>
  <c r="DV50" i="2" s="1"/>
  <c r="DW50" i="2" s="1"/>
  <c r="DX50" i="2" s="1"/>
  <c r="EF52" i="2"/>
  <c r="ED52" i="2"/>
  <c r="DY52" i="2"/>
  <c r="DT52" i="2"/>
  <c r="DR52" i="2"/>
  <c r="EG52" i="2" s="1"/>
  <c r="EJ52" i="2" s="1"/>
  <c r="EB52" i="2"/>
  <c r="EC52" i="2" s="1"/>
  <c r="EE52" i="2"/>
  <c r="DU52" i="2"/>
  <c r="DV52" i="2" s="1"/>
  <c r="DW52" i="2" s="1"/>
  <c r="DX52" i="2" s="1"/>
  <c r="EF54" i="2"/>
  <c r="ED54" i="2"/>
  <c r="DY54" i="2"/>
  <c r="DT54" i="2"/>
  <c r="DR54" i="2"/>
  <c r="EG54" i="2" s="1"/>
  <c r="EJ54" i="2" s="1"/>
  <c r="EB54" i="2"/>
  <c r="EC54" i="2" s="1"/>
  <c r="EE54" i="2"/>
  <c r="DU54" i="2"/>
  <c r="DV54" i="2" s="1"/>
  <c r="DW54" i="2" s="1"/>
  <c r="DX54" i="2" s="1"/>
  <c r="EF56" i="2"/>
  <c r="ED56" i="2"/>
  <c r="DY56" i="2"/>
  <c r="DT56" i="2"/>
  <c r="DR56" i="2"/>
  <c r="EG56" i="2" s="1"/>
  <c r="EJ56" i="2" s="1"/>
  <c r="EB56" i="2"/>
  <c r="EC56" i="2" s="1"/>
  <c r="EE56" i="2"/>
  <c r="DU56" i="2"/>
  <c r="DV56" i="2" s="1"/>
  <c r="DW56" i="2" s="1"/>
  <c r="DX56" i="2" s="1"/>
  <c r="EF58" i="2"/>
  <c r="ED58" i="2"/>
  <c r="DY58" i="2"/>
  <c r="DT58" i="2"/>
  <c r="DR58" i="2"/>
  <c r="EG58" i="2" s="1"/>
  <c r="EJ58" i="2" s="1"/>
  <c r="EB58" i="2"/>
  <c r="EC58" i="2" s="1"/>
  <c r="EE58" i="2"/>
  <c r="DU58" i="2"/>
  <c r="DV58" i="2" s="1"/>
  <c r="DW58" i="2" s="1"/>
  <c r="DX58" i="2" s="1"/>
  <c r="EF60" i="2"/>
  <c r="ED60" i="2"/>
  <c r="DY60" i="2"/>
  <c r="DT60" i="2"/>
  <c r="DR60" i="2"/>
  <c r="EG60" i="2" s="1"/>
  <c r="EJ60" i="2" s="1"/>
  <c r="EB60" i="2"/>
  <c r="EC60" i="2" s="1"/>
  <c r="EE60" i="2"/>
  <c r="DU60" i="2"/>
  <c r="DV60" i="2" s="1"/>
  <c r="DW60" i="2" s="1"/>
  <c r="DX60" i="2" s="1"/>
  <c r="EE62" i="2"/>
  <c r="EB62" i="2"/>
  <c r="EC62" i="2" s="1"/>
  <c r="DU62" i="2"/>
  <c r="DV62" i="2" s="1"/>
  <c r="DW62" i="2" s="1"/>
  <c r="ED62" i="2"/>
  <c r="DT62" i="2"/>
  <c r="DR62" i="2"/>
  <c r="EG62" i="2" s="1"/>
  <c r="DY62" i="2"/>
  <c r="EF62" i="2"/>
  <c r="EE64" i="2"/>
  <c r="EB64" i="2"/>
  <c r="EC64" i="2" s="1"/>
  <c r="DU64" i="2"/>
  <c r="DV64" i="2" s="1"/>
  <c r="DW64" i="2" s="1"/>
  <c r="ED64" i="2"/>
  <c r="DT64" i="2"/>
  <c r="DR64" i="2"/>
  <c r="EG64" i="2" s="1"/>
  <c r="EJ64" i="2" s="1"/>
  <c r="DY64" i="2"/>
  <c r="EF64" i="2"/>
  <c r="EE66" i="2"/>
  <c r="EB66" i="2"/>
  <c r="EC66" i="2" s="1"/>
  <c r="DU66" i="2"/>
  <c r="DV66" i="2" s="1"/>
  <c r="DW66" i="2" s="1"/>
  <c r="ED66" i="2"/>
  <c r="DT66" i="2"/>
  <c r="DR66" i="2"/>
  <c r="EG66" i="2" s="1"/>
  <c r="EJ66" i="2" s="1"/>
  <c r="DY66" i="2"/>
  <c r="EF66" i="2"/>
  <c r="EE68" i="2"/>
  <c r="EB68" i="2"/>
  <c r="EC68" i="2" s="1"/>
  <c r="DU68" i="2"/>
  <c r="DV68" i="2" s="1"/>
  <c r="DW68" i="2" s="1"/>
  <c r="ED68" i="2"/>
  <c r="DT68" i="2"/>
  <c r="DR68" i="2"/>
  <c r="EG68" i="2" s="1"/>
  <c r="EJ68" i="2" s="1"/>
  <c r="EF68" i="2"/>
  <c r="DY68" i="2"/>
  <c r="EE70" i="2"/>
  <c r="EB70" i="2"/>
  <c r="EC70" i="2" s="1"/>
  <c r="DU70" i="2"/>
  <c r="DV70" i="2" s="1"/>
  <c r="DW70" i="2" s="1"/>
  <c r="ED70" i="2"/>
  <c r="DT70" i="2"/>
  <c r="DR70" i="2"/>
  <c r="EG70" i="2" s="1"/>
  <c r="EJ70" i="2" s="1"/>
  <c r="EF70" i="2"/>
  <c r="DY70" i="2"/>
  <c r="EE72" i="2"/>
  <c r="EB72" i="2"/>
  <c r="EC72" i="2" s="1"/>
  <c r="DU72" i="2"/>
  <c r="DV72" i="2" s="1"/>
  <c r="DW72" i="2" s="1"/>
  <c r="ED72" i="2"/>
  <c r="DT72" i="2"/>
  <c r="DR72" i="2"/>
  <c r="EG72" i="2" s="1"/>
  <c r="EJ72" i="2" s="1"/>
  <c r="EF72" i="2"/>
  <c r="DY72" i="2"/>
  <c r="EE74" i="2"/>
  <c r="EB74" i="2"/>
  <c r="EC74" i="2" s="1"/>
  <c r="DU74" i="2"/>
  <c r="DV74" i="2" s="1"/>
  <c r="DW74" i="2" s="1"/>
  <c r="ED74" i="2"/>
  <c r="DT74" i="2"/>
  <c r="DR74" i="2"/>
  <c r="EG74" i="2" s="1"/>
  <c r="EJ74" i="2" s="1"/>
  <c r="EF74" i="2"/>
  <c r="DY74" i="2"/>
  <c r="EE76" i="2"/>
  <c r="EB76" i="2"/>
  <c r="EC76" i="2" s="1"/>
  <c r="DU76" i="2"/>
  <c r="DV76" i="2" s="1"/>
  <c r="DW76" i="2" s="1"/>
  <c r="ED76" i="2"/>
  <c r="DT76" i="2"/>
  <c r="DR76" i="2"/>
  <c r="EG76" i="2" s="1"/>
  <c r="EJ76" i="2" s="1"/>
  <c r="EF76" i="2"/>
  <c r="DY76" i="2"/>
  <c r="EE78" i="2"/>
  <c r="EB78" i="2"/>
  <c r="EC78" i="2" s="1"/>
  <c r="DU78" i="2"/>
  <c r="DV78" i="2" s="1"/>
  <c r="DW78" i="2" s="1"/>
  <c r="ED78" i="2"/>
  <c r="DT78" i="2"/>
  <c r="DR78" i="2"/>
  <c r="EG78" i="2" s="1"/>
  <c r="EJ78" i="2" s="1"/>
  <c r="EF78" i="2"/>
  <c r="DY78" i="2"/>
  <c r="EE80" i="2"/>
  <c r="EB80" i="2"/>
  <c r="EC80" i="2" s="1"/>
  <c r="DU80" i="2"/>
  <c r="DV80" i="2" s="1"/>
  <c r="DW80" i="2" s="1"/>
  <c r="ED80" i="2"/>
  <c r="DT80" i="2"/>
  <c r="DR80" i="2"/>
  <c r="EG80" i="2" s="1"/>
  <c r="EJ80" i="2" s="1"/>
  <c r="EF80" i="2"/>
  <c r="DY80" i="2"/>
  <c r="EE82" i="2"/>
  <c r="EB82" i="2"/>
  <c r="EC82" i="2" s="1"/>
  <c r="DU82" i="2"/>
  <c r="DV82" i="2" s="1"/>
  <c r="DW82" i="2" s="1"/>
  <c r="ED82" i="2"/>
  <c r="DT82" i="2"/>
  <c r="DR82" i="2"/>
  <c r="EG82" i="2" s="1"/>
  <c r="EJ82" i="2" s="1"/>
  <c r="EF82" i="2"/>
  <c r="DY82" i="2"/>
  <c r="DK7" i="2"/>
  <c r="DK9" i="2"/>
  <c r="DK11" i="2"/>
  <c r="DK13" i="2"/>
  <c r="DK15" i="2"/>
  <c r="DK17" i="2"/>
  <c r="DK8" i="2"/>
  <c r="DK16" i="2"/>
  <c r="DK10" i="2"/>
  <c r="DK14" i="2"/>
  <c r="DK55" i="2"/>
  <c r="DK57" i="2"/>
  <c r="DK59" i="2"/>
  <c r="DK61" i="2"/>
  <c r="DK63" i="2"/>
  <c r="DK65" i="2"/>
  <c r="DK67" i="2"/>
  <c r="DK69" i="2"/>
  <c r="DK71" i="2"/>
  <c r="DK73" i="2"/>
  <c r="DK75" i="2"/>
  <c r="DK77" i="2"/>
  <c r="DK79" i="2"/>
  <c r="DK81" i="2"/>
  <c r="DK38" i="2"/>
  <c r="DK40" i="2"/>
  <c r="DK49" i="2"/>
  <c r="DK51" i="2"/>
  <c r="DK53" i="2"/>
  <c r="DM56" i="2"/>
  <c r="DK56" i="2"/>
  <c r="DK58" i="2"/>
  <c r="DK60" i="2"/>
  <c r="DK62" i="2"/>
  <c r="DK64" i="2"/>
  <c r="DK66" i="2"/>
  <c r="DK68" i="2"/>
  <c r="DK70" i="2"/>
  <c r="DK72" i="2"/>
  <c r="DK39" i="2"/>
  <c r="DK48" i="2"/>
  <c r="DK50" i="2"/>
  <c r="DK52" i="2"/>
  <c r="DK54" i="2"/>
  <c r="DK74" i="2"/>
  <c r="DK76" i="2"/>
  <c r="DK78" i="2"/>
  <c r="DK80" i="2"/>
  <c r="DK82" i="2"/>
  <c r="DK43" i="2"/>
  <c r="DK42" i="2"/>
  <c r="DK41" i="2"/>
  <c r="DK47" i="2"/>
  <c r="DK46" i="2"/>
  <c r="DK45" i="2"/>
  <c r="DK44" i="2"/>
  <c r="DK6" i="2"/>
  <c r="DR4" i="2"/>
  <c r="EG4" i="2" s="1"/>
  <c r="DR5" i="2"/>
  <c r="EG5" i="2" s="1"/>
  <c r="DR7" i="2"/>
  <c r="EG7" i="2" s="1"/>
  <c r="DR9" i="2"/>
  <c r="EG9" i="2" s="1"/>
  <c r="DR11" i="2"/>
  <c r="EG11" i="2" s="1"/>
  <c r="DR13" i="2"/>
  <c r="EG13" i="2" s="1"/>
  <c r="DR15" i="2"/>
  <c r="EG15" i="2" s="1"/>
  <c r="DR17" i="2"/>
  <c r="EG17" i="2" s="1"/>
  <c r="DX74" i="2" l="1"/>
  <c r="DX68" i="2"/>
  <c r="DX64" i="2"/>
  <c r="DX70" i="2"/>
  <c r="DX66" i="2"/>
  <c r="DX62" i="2"/>
  <c r="DX82" i="2"/>
  <c r="DX80" i="2"/>
  <c r="DX78" i="2"/>
  <c r="DX76" i="2"/>
  <c r="DX72" i="2"/>
  <c r="DX45" i="2"/>
  <c r="DX43" i="2"/>
  <c r="DX41" i="2"/>
  <c r="DX39" i="2"/>
  <c r="DX59" i="2"/>
  <c r="DX57" i="2"/>
  <c r="DX55" i="2"/>
  <c r="DX53" i="2"/>
  <c r="DX51" i="2"/>
  <c r="DX49" i="2"/>
  <c r="DX47" i="2"/>
  <c r="DX61" i="2"/>
  <c r="DL44" i="2"/>
  <c r="DL41" i="2"/>
  <c r="DN43" i="2"/>
  <c r="DO43" i="2" s="1"/>
  <c r="DN39" i="2"/>
  <c r="DO39" i="2" s="1"/>
  <c r="DL66" i="2"/>
  <c r="DL58" i="2"/>
  <c r="DL69" i="2"/>
  <c r="DL65" i="2"/>
  <c r="DL61" i="2"/>
  <c r="DL57" i="2"/>
  <c r="DL45" i="2"/>
  <c r="DN42" i="2"/>
  <c r="DO42" i="2" s="1"/>
  <c r="DL68" i="2"/>
  <c r="DN64" i="2"/>
  <c r="DO64" i="2" s="1"/>
  <c r="DN60" i="2"/>
  <c r="DO60" i="2" s="1"/>
  <c r="DN38" i="2"/>
  <c r="DO38" i="2" s="1"/>
  <c r="DN67" i="2"/>
  <c r="DO67" i="2" s="1"/>
  <c r="DN63" i="2"/>
  <c r="DO63" i="2" s="1"/>
  <c r="DN59" i="2"/>
  <c r="DO59" i="2" s="1"/>
  <c r="DN68" i="2"/>
  <c r="DO68" i="2" s="1"/>
  <c r="DL67" i="2"/>
  <c r="DL38" i="2"/>
  <c r="DL59" i="2"/>
  <c r="DL64" i="2"/>
  <c r="DN65" i="2"/>
  <c r="DO65" i="2" s="1"/>
  <c r="DL60" i="2"/>
  <c r="DN66" i="2"/>
  <c r="DO66" i="2" s="1"/>
  <c r="DN61" i="2"/>
  <c r="DO61" i="2" s="1"/>
  <c r="DN58" i="2"/>
  <c r="DO58" i="2" s="1"/>
  <c r="DL39" i="2"/>
  <c r="DN69" i="2"/>
  <c r="DO69" i="2" s="1"/>
  <c r="DL63" i="2"/>
  <c r="DN57" i="2"/>
  <c r="DO57" i="2" s="1"/>
  <c r="DL43" i="2"/>
  <c r="DL42" i="2"/>
  <c r="C477" i="9"/>
  <c r="C475" i="9"/>
  <c r="D467" i="9"/>
  <c r="C467" i="9"/>
  <c r="C466" i="9"/>
  <c r="KU35" i="1"/>
  <c r="KU34" i="1"/>
  <c r="KU33" i="1"/>
  <c r="KU32" i="1"/>
  <c r="KU31" i="1"/>
  <c r="KU30" i="1"/>
  <c r="KU29" i="1"/>
  <c r="KU28" i="1"/>
  <c r="KU27" i="1"/>
  <c r="KU26" i="1"/>
  <c r="KU25" i="1"/>
  <c r="KU24" i="1"/>
  <c r="KU23" i="1"/>
  <c r="KU22" i="1"/>
  <c r="KU21" i="1"/>
  <c r="BJ8" i="1"/>
  <c r="R614" i="3"/>
  <c r="R613" i="3"/>
  <c r="R601" i="3"/>
  <c r="R600" i="3"/>
  <c r="R592" i="3"/>
  <c r="R591" i="3"/>
  <c r="R590" i="3"/>
  <c r="R589" i="3"/>
  <c r="R585" i="3"/>
  <c r="R584" i="3"/>
  <c r="R578" i="3"/>
  <c r="R577" i="3"/>
  <c r="R573" i="3"/>
  <c r="R572" i="3"/>
  <c r="R569" i="3"/>
  <c r="R568" i="3"/>
  <c r="R550" i="3"/>
  <c r="R549" i="3"/>
  <c r="R548" i="3"/>
  <c r="R547" i="3"/>
  <c r="R541" i="3"/>
  <c r="R540" i="3"/>
  <c r="R535" i="3"/>
  <c r="R534" i="3"/>
  <c r="R533" i="3"/>
  <c r="R532" i="3"/>
  <c r="R525" i="3"/>
  <c r="R524" i="3"/>
  <c r="R513" i="3"/>
  <c r="R512" i="3"/>
  <c r="R511" i="3"/>
  <c r="R510" i="3"/>
  <c r="R506" i="3"/>
  <c r="R505" i="3"/>
  <c r="R502" i="3"/>
  <c r="R501" i="3"/>
  <c r="R454" i="3"/>
  <c r="R453" i="3"/>
  <c r="R452" i="3"/>
  <c r="R451" i="3"/>
  <c r="R442" i="3"/>
  <c r="R441" i="3"/>
  <c r="R434" i="3"/>
  <c r="R433" i="3"/>
  <c r="R424" i="3"/>
  <c r="R423" i="3"/>
  <c r="R412" i="3"/>
  <c r="R411" i="3"/>
  <c r="R404" i="3"/>
  <c r="R403" i="3"/>
  <c r="R402" i="3"/>
  <c r="R401" i="3"/>
  <c r="R400" i="3"/>
  <c r="R396" i="3"/>
  <c r="R395" i="3"/>
  <c r="R391" i="3"/>
  <c r="R390" i="3"/>
  <c r="R389" i="3"/>
  <c r="R388" i="3"/>
  <c r="R382" i="3"/>
  <c r="R381" i="3"/>
  <c r="R375" i="3"/>
  <c r="R374" i="3"/>
  <c r="R372" i="3"/>
  <c r="R371" i="3"/>
  <c r="R370" i="3"/>
  <c r="R369" i="3"/>
  <c r="R365" i="3"/>
  <c r="R364" i="3"/>
  <c r="R353" i="3"/>
  <c r="R352" i="3"/>
  <c r="R351" i="3"/>
  <c r="R350" i="3"/>
  <c r="R345" i="3"/>
  <c r="R344" i="3"/>
  <c r="R339" i="3"/>
  <c r="R338" i="3"/>
  <c r="R333" i="3"/>
  <c r="R332" i="3"/>
  <c r="R326" i="3"/>
  <c r="R325" i="3"/>
  <c r="R318" i="3"/>
  <c r="R317" i="3"/>
  <c r="R310" i="3"/>
  <c r="R309" i="3"/>
  <c r="R302" i="3"/>
  <c r="R301" i="3"/>
  <c r="R294" i="3"/>
  <c r="R293" i="3"/>
  <c r="R289" i="3"/>
  <c r="R288" i="3"/>
  <c r="R285" i="3"/>
  <c r="R284" i="3"/>
  <c r="R280" i="3"/>
  <c r="R279" i="3"/>
  <c r="R275" i="3"/>
  <c r="R274" i="3"/>
  <c r="R273" i="3"/>
  <c r="R272" i="3"/>
  <c r="R268" i="3"/>
  <c r="R267" i="3"/>
  <c r="R263" i="3"/>
  <c r="R262" i="3"/>
  <c r="R246" i="3"/>
  <c r="R245" i="3"/>
  <c r="R244" i="3"/>
  <c r="R240" i="3"/>
  <c r="R239" i="3"/>
  <c r="R234" i="3"/>
  <c r="R233" i="3"/>
  <c r="R219" i="3"/>
  <c r="R218" i="3"/>
  <c r="R214" i="3"/>
  <c r="R213" i="3"/>
  <c r="R208" i="3"/>
  <c r="R207" i="3"/>
  <c r="R205" i="3"/>
  <c r="R204" i="3"/>
  <c r="R203" i="3"/>
  <c r="R202" i="3"/>
  <c r="R198" i="3"/>
  <c r="R197" i="3"/>
  <c r="R195" i="3"/>
  <c r="R194" i="3"/>
  <c r="R191" i="3"/>
  <c r="R190" i="3"/>
  <c r="R185" i="3"/>
  <c r="R184" i="3"/>
  <c r="R175" i="3"/>
  <c r="R174" i="3"/>
  <c r="R173" i="3"/>
  <c r="R172" i="3"/>
  <c r="R171" i="3"/>
  <c r="R168" i="3"/>
  <c r="R167" i="3"/>
  <c r="R120" i="3"/>
  <c r="R119" i="3"/>
  <c r="R118" i="3"/>
  <c r="R110" i="3"/>
  <c r="R109" i="3"/>
  <c r="R108" i="3"/>
  <c r="R103" i="3"/>
  <c r="R102" i="3"/>
  <c r="R98" i="3"/>
  <c r="R97" i="3"/>
  <c r="R87" i="3"/>
  <c r="R86" i="3"/>
  <c r="R84" i="3"/>
  <c r="R83" i="3"/>
  <c r="R71" i="3"/>
  <c r="R70" i="3"/>
  <c r="R69" i="3"/>
  <c r="R68" i="3"/>
  <c r="R62" i="3"/>
  <c r="R61" i="3"/>
  <c r="R57" i="3"/>
  <c r="R56" i="3"/>
  <c r="R52" i="3"/>
  <c r="R51" i="3"/>
  <c r="R45" i="3"/>
  <c r="R44" i="3"/>
  <c r="R38" i="3"/>
  <c r="R37" i="3"/>
  <c r="R29" i="3"/>
  <c r="R28" i="3"/>
  <c r="R23" i="3"/>
  <c r="R22" i="3"/>
  <c r="R17" i="3"/>
  <c r="R16" i="3"/>
  <c r="R11" i="3"/>
  <c r="R10" i="3"/>
  <c r="R5" i="3"/>
  <c r="R4" i="3"/>
  <c r="R3" i="3"/>
  <c r="AD251" i="2"/>
  <c r="AD250" i="2"/>
  <c r="AD249" i="2"/>
  <c r="AD248" i="2"/>
  <c r="AD247" i="2"/>
  <c r="AD246" i="2"/>
  <c r="AD245" i="2"/>
  <c r="AD244" i="2"/>
  <c r="AD243" i="2"/>
  <c r="AD242" i="2"/>
  <c r="AD241" i="2"/>
  <c r="AD240" i="2"/>
  <c r="AD239" i="2"/>
  <c r="AD238" i="2"/>
  <c r="AD237" i="2"/>
  <c r="AD236" i="2"/>
  <c r="AD235" i="2"/>
  <c r="AD234" i="2"/>
  <c r="AD233" i="2"/>
  <c r="AD232" i="2"/>
  <c r="AD231" i="2"/>
  <c r="AD230" i="2"/>
  <c r="AD229" i="2"/>
  <c r="AD228" i="2"/>
  <c r="AD227" i="2"/>
  <c r="AD226" i="2"/>
  <c r="AD225" i="2"/>
  <c r="AD224" i="2"/>
  <c r="AD223" i="2"/>
  <c r="AD222" i="2"/>
  <c r="AD221" i="2"/>
  <c r="AD220" i="2"/>
  <c r="AD219" i="2"/>
  <c r="AD218" i="2"/>
  <c r="AD217" i="2"/>
  <c r="AD216" i="2"/>
  <c r="AD215" i="2"/>
  <c r="AD214" i="2"/>
  <c r="AD213" i="2"/>
  <c r="AD212" i="2"/>
  <c r="AD211" i="2"/>
  <c r="AD210" i="2"/>
  <c r="AD209" i="2"/>
  <c r="AD208" i="2"/>
  <c r="AD207" i="2"/>
  <c r="AD206" i="2"/>
  <c r="AD205" i="2"/>
  <c r="AD204" i="2"/>
  <c r="AD203" i="2"/>
  <c r="AD202" i="2"/>
  <c r="AD201" i="2"/>
  <c r="AD200" i="2"/>
  <c r="AD199" i="2"/>
  <c r="AD198" i="2"/>
  <c r="AD197" i="2"/>
  <c r="AD196" i="2"/>
  <c r="AD195" i="2"/>
  <c r="AD194" i="2"/>
  <c r="AD193" i="2"/>
  <c r="AD192" i="2"/>
  <c r="AD191" i="2"/>
  <c r="AD190" i="2"/>
  <c r="AD189" i="2"/>
  <c r="AD188" i="2"/>
  <c r="AD187" i="2"/>
  <c r="AD186" i="2"/>
  <c r="AD185" i="2"/>
  <c r="AD184" i="2"/>
  <c r="AD183" i="2"/>
  <c r="AD182" i="2"/>
  <c r="AD181" i="2"/>
  <c r="AD180" i="2"/>
  <c r="AD179" i="2"/>
  <c r="AD178" i="2"/>
  <c r="AD177" i="2"/>
  <c r="AD176" i="2"/>
  <c r="AD175" i="2"/>
  <c r="AD174" i="2"/>
  <c r="AD173" i="2"/>
  <c r="AD172" i="2"/>
  <c r="AD171" i="2"/>
  <c r="AD170" i="2"/>
  <c r="AD169" i="2"/>
  <c r="AD168" i="2"/>
  <c r="AD167" i="2"/>
  <c r="AD166" i="2"/>
  <c r="AD165" i="2"/>
  <c r="AD164" i="2"/>
  <c r="AD163" i="2"/>
  <c r="AD162" i="2"/>
  <c r="AD161" i="2"/>
  <c r="AD160" i="2"/>
  <c r="AD159" i="2"/>
  <c r="AD158" i="2"/>
  <c r="AD157" i="2"/>
  <c r="AD156" i="2"/>
  <c r="AD155" i="2"/>
  <c r="AD154" i="2"/>
  <c r="AD153" i="2"/>
  <c r="AD152" i="2"/>
  <c r="AD151" i="2"/>
  <c r="AD150" i="2"/>
  <c r="AD149" i="2"/>
  <c r="AD148" i="2"/>
  <c r="AD147" i="2"/>
  <c r="AD146" i="2"/>
  <c r="AD145" i="2"/>
  <c r="AD144" i="2"/>
  <c r="AD143" i="2"/>
  <c r="AD142" i="2"/>
  <c r="AD141" i="2"/>
  <c r="AD140" i="2"/>
  <c r="AD139" i="2"/>
  <c r="AD138" i="2"/>
  <c r="AD137" i="2"/>
  <c r="AD136" i="2"/>
  <c r="AD135" i="2"/>
  <c r="AD134" i="2"/>
  <c r="AD133" i="2"/>
  <c r="AD132" i="2"/>
  <c r="AD131" i="2"/>
  <c r="AD130" i="2"/>
  <c r="AD129" i="2"/>
  <c r="AD128" i="2"/>
  <c r="AD127" i="2"/>
  <c r="AD126" i="2"/>
  <c r="AD125" i="2"/>
  <c r="AD124" i="2"/>
  <c r="AD123" i="2"/>
  <c r="AD122" i="2"/>
  <c r="AD121" i="2"/>
  <c r="AD120" i="2"/>
  <c r="AD119" i="2"/>
  <c r="AD118" i="2"/>
  <c r="AD117" i="2"/>
  <c r="AD116" i="2"/>
  <c r="AD115" i="2"/>
  <c r="AD114" i="2"/>
  <c r="AD113" i="2"/>
  <c r="AD112" i="2"/>
  <c r="AD111" i="2"/>
  <c r="AD110" i="2"/>
  <c r="AD109" i="2"/>
  <c r="AD108" i="2"/>
  <c r="AD107" i="2"/>
  <c r="AD106" i="2"/>
  <c r="AD105" i="2"/>
  <c r="AD104" i="2"/>
  <c r="AD103" i="2"/>
  <c r="AD102" i="2"/>
  <c r="AD101" i="2"/>
  <c r="AD100" i="2"/>
  <c r="AD99" i="2"/>
  <c r="AD98" i="2"/>
  <c r="AD97" i="2"/>
  <c r="AD96" i="2"/>
  <c r="AD95" i="2"/>
  <c r="AD94" i="2"/>
  <c r="AD93" i="2"/>
  <c r="AD92" i="2"/>
  <c r="AD91" i="2"/>
  <c r="AD90" i="2"/>
  <c r="AD89" i="2"/>
  <c r="AD88" i="2"/>
  <c r="AD87" i="2"/>
  <c r="AD86" i="2"/>
  <c r="AD85" i="2"/>
  <c r="AD84" i="2"/>
  <c r="AD83" i="2"/>
  <c r="AD82" i="2"/>
  <c r="AD81" i="2"/>
  <c r="AD80" i="2"/>
  <c r="AD79" i="2"/>
  <c r="AD78" i="2"/>
  <c r="AD77" i="2"/>
  <c r="AD76" i="2"/>
  <c r="AD75" i="2"/>
  <c r="AD74" i="2"/>
  <c r="AD73" i="2"/>
  <c r="AD72" i="2"/>
  <c r="AD71" i="2"/>
  <c r="AD70" i="2"/>
  <c r="AD69" i="2"/>
  <c r="AD68" i="2"/>
  <c r="AD67" i="2"/>
  <c r="AD66" i="2"/>
  <c r="AD65" i="2"/>
  <c r="AD64" i="2"/>
  <c r="AD63" i="2"/>
  <c r="AD62" i="2"/>
  <c r="AD61" i="2"/>
  <c r="AD60" i="2"/>
  <c r="AD59" i="2"/>
  <c r="AD58" i="2"/>
  <c r="AD57" i="2"/>
  <c r="AD56" i="2"/>
  <c r="AD55" i="2"/>
  <c r="AD54" i="2"/>
  <c r="AD53" i="2"/>
  <c r="AD52" i="2"/>
  <c r="AD51" i="2"/>
  <c r="AD50" i="2"/>
  <c r="AD49" i="2"/>
  <c r="AD48" i="2"/>
  <c r="AD47" i="2"/>
  <c r="AD46" i="2"/>
  <c r="AD45" i="2"/>
  <c r="AD44" i="2"/>
  <c r="AD43" i="2"/>
  <c r="AD42" i="2"/>
  <c r="AD41" i="2"/>
  <c r="AD40" i="2"/>
  <c r="AD39" i="2"/>
  <c r="AD38" i="2"/>
  <c r="AD37" i="2"/>
  <c r="AD36" i="2"/>
  <c r="AD35" i="2"/>
  <c r="AD34" i="2"/>
  <c r="AD33" i="2"/>
  <c r="AD32" i="2"/>
  <c r="AD31" i="2"/>
  <c r="AD30" i="2"/>
  <c r="AD29" i="2"/>
  <c r="AD28" i="2"/>
  <c r="AD27" i="2"/>
  <c r="AD26" i="2"/>
  <c r="AD25" i="2"/>
  <c r="AD24" i="2"/>
  <c r="AD23" i="2"/>
  <c r="AD22" i="2"/>
  <c r="AD21" i="2"/>
  <c r="AD20" i="2"/>
  <c r="AD19" i="2"/>
  <c r="AD18" i="2"/>
  <c r="AD17" i="2"/>
  <c r="AD16" i="2"/>
  <c r="AD15" i="2"/>
  <c r="AD14" i="2"/>
  <c r="AD13" i="2"/>
  <c r="AD12" i="2"/>
  <c r="AD11" i="2"/>
  <c r="AD10" i="2"/>
  <c r="AD9" i="2"/>
  <c r="AD8" i="2"/>
  <c r="AD7" i="2"/>
  <c r="AD6" i="2"/>
  <c r="AD5" i="2"/>
  <c r="AD4" i="2"/>
  <c r="AD3" i="2"/>
  <c r="AD2" i="2"/>
  <c r="C356" i="9"/>
  <c r="C15" i="2"/>
  <c r="E15" i="2" s="1"/>
  <c r="C14" i="2"/>
  <c r="E14" i="2" s="1"/>
  <c r="C13" i="2"/>
  <c r="E13" i="2" s="1"/>
  <c r="C12" i="2"/>
  <c r="E12" i="2" s="1"/>
  <c r="C11" i="2"/>
  <c r="E11" i="2" s="1"/>
  <c r="C10" i="2"/>
  <c r="E10" i="2" s="1"/>
  <c r="C9" i="2"/>
  <c r="E9" i="2" s="1"/>
  <c r="C8" i="2"/>
  <c r="E8" i="2" s="1"/>
  <c r="C7" i="2"/>
  <c r="E7" i="2" s="1"/>
  <c r="C6" i="2"/>
  <c r="E6" i="2" s="1"/>
  <c r="C5" i="2"/>
  <c r="C4" i="2"/>
  <c r="C3" i="2"/>
  <c r="C2" i="2"/>
  <c r="B15" i="2"/>
  <c r="B14" i="2"/>
  <c r="B13" i="2"/>
  <c r="B12" i="2"/>
  <c r="B11" i="2"/>
  <c r="B10" i="2"/>
  <c r="B9" i="2"/>
  <c r="B8" i="2"/>
  <c r="B7" i="2"/>
  <c r="B6" i="2"/>
  <c r="B5" i="2"/>
  <c r="B4" i="2"/>
  <c r="B3" i="2"/>
  <c r="B2" i="2"/>
  <c r="DP57" i="2" l="1"/>
  <c r="DH57" i="2" s="1"/>
  <c r="DP69" i="2"/>
  <c r="DH69" i="2" s="1"/>
  <c r="DP58" i="2"/>
  <c r="DH58" i="2" s="1"/>
  <c r="DP66" i="2"/>
  <c r="DH66" i="2" s="1"/>
  <c r="DP65" i="2"/>
  <c r="DH65" i="2" s="1"/>
  <c r="DP61" i="2"/>
  <c r="DH61" i="2" s="1"/>
  <c r="DP68" i="2"/>
  <c r="DH68" i="2" s="1"/>
  <c r="DP59" i="2"/>
  <c r="DH59" i="2" s="1"/>
  <c r="DP63" i="2"/>
  <c r="DH63" i="2" s="1"/>
  <c r="DP67" i="2"/>
  <c r="DH67" i="2" s="1"/>
  <c r="DP38" i="2"/>
  <c r="DH38" i="2" s="1"/>
  <c r="DP60" i="2"/>
  <c r="DH60" i="2" s="1"/>
  <c r="DP64" i="2"/>
  <c r="DH64" i="2" s="1"/>
  <c r="DP42" i="2"/>
  <c r="DH42" i="2" s="1"/>
  <c r="DP39" i="2"/>
  <c r="DH39" i="2" s="1"/>
  <c r="DP43" i="2"/>
  <c r="DH43" i="2" s="1"/>
  <c r="CO14" i="1"/>
  <c r="CO15" i="1"/>
  <c r="CO13" i="1"/>
  <c r="CU112" i="1"/>
  <c r="AC110" i="1"/>
  <c r="AC109" i="1"/>
  <c r="BS7" i="5"/>
  <c r="BS6" i="5"/>
  <c r="BS12" i="5"/>
  <c r="BS11" i="5"/>
  <c r="BS10" i="5"/>
  <c r="BS9" i="5"/>
  <c r="BS8" i="5"/>
  <c r="BS5" i="5"/>
  <c r="BS4" i="5"/>
  <c r="BS3" i="5"/>
  <c r="DD6" i="2"/>
  <c r="DD23" i="2"/>
  <c r="DD22" i="2"/>
  <c r="DD21" i="2"/>
  <c r="DD20" i="2"/>
  <c r="DD19" i="2"/>
  <c r="DD18" i="2"/>
  <c r="DD17" i="2"/>
  <c r="DD16" i="2"/>
  <c r="DD15" i="2"/>
  <c r="DD14" i="2"/>
  <c r="DD13" i="2"/>
  <c r="DD12" i="2"/>
  <c r="DD11" i="2"/>
  <c r="DD10" i="2"/>
  <c r="DD9" i="2"/>
  <c r="DD8" i="2"/>
  <c r="DD7" i="2"/>
  <c r="DD5" i="2"/>
  <c r="DD4" i="2"/>
  <c r="DD3" i="2"/>
  <c r="BH116" i="2" l="1"/>
  <c r="BA116" i="2"/>
  <c r="BQ116" i="2" s="1"/>
  <c r="AR116" i="2"/>
  <c r="AR115" i="2"/>
  <c r="AR114" i="2"/>
  <c r="AR113" i="2"/>
  <c r="AR112" i="2"/>
  <c r="AR111" i="2"/>
  <c r="AR110" i="2"/>
  <c r="HR114" i="1"/>
  <c r="HR113" i="1"/>
  <c r="HR112" i="1"/>
  <c r="HR111" i="1"/>
  <c r="HR110" i="1"/>
  <c r="HR109" i="1"/>
  <c r="AR109" i="2"/>
  <c r="AR108" i="2"/>
  <c r="AR107" i="2"/>
  <c r="AR106" i="2"/>
  <c r="AR105" i="2"/>
  <c r="AR104" i="2"/>
  <c r="AR103" i="2"/>
  <c r="AR102" i="2"/>
  <c r="AR101" i="2"/>
  <c r="AR100" i="2"/>
  <c r="AR99" i="2"/>
  <c r="AR98" i="2"/>
  <c r="AR97" i="2"/>
  <c r="AR96" i="2"/>
  <c r="AR95" i="2"/>
  <c r="AR94" i="2"/>
  <c r="AR93" i="2"/>
  <c r="AR92" i="2"/>
  <c r="AR91" i="2"/>
  <c r="AR90" i="2"/>
  <c r="AR89" i="2"/>
  <c r="AR88" i="2"/>
  <c r="AR87" i="2"/>
  <c r="AR86" i="2"/>
  <c r="AR85" i="2"/>
  <c r="AR84" i="2"/>
  <c r="AR83" i="2"/>
  <c r="AR82" i="2"/>
  <c r="AR81" i="2"/>
  <c r="AR80" i="2"/>
  <c r="BT80" i="2" s="1"/>
  <c r="AR79" i="2"/>
  <c r="AR78" i="2"/>
  <c r="BT78" i="2" s="1"/>
  <c r="AR77" i="2"/>
  <c r="AR76" i="2"/>
  <c r="BT76" i="2" s="1"/>
  <c r="AR75" i="2"/>
  <c r="AR74" i="2"/>
  <c r="AW74" i="2" s="1"/>
  <c r="KC73" i="1" s="1"/>
  <c r="BH74" i="2" s="1"/>
  <c r="AR73" i="2"/>
  <c r="AR72" i="2"/>
  <c r="BT72" i="2" s="1"/>
  <c r="AR71" i="2"/>
  <c r="AR70" i="2"/>
  <c r="BT70" i="2" s="1"/>
  <c r="AR69" i="2"/>
  <c r="AR68" i="2"/>
  <c r="BT68" i="2" s="1"/>
  <c r="AR67" i="2"/>
  <c r="AR66" i="2"/>
  <c r="BT66" i="2" s="1"/>
  <c r="AR65" i="2"/>
  <c r="AR64" i="2"/>
  <c r="BT64" i="2" s="1"/>
  <c r="AR63" i="2"/>
  <c r="AR62" i="2"/>
  <c r="BT62" i="2" s="1"/>
  <c r="AR61" i="2"/>
  <c r="AR60" i="2"/>
  <c r="BT60" i="2" s="1"/>
  <c r="AR59" i="2"/>
  <c r="AR58" i="2"/>
  <c r="BT58" i="2" s="1"/>
  <c r="AR57" i="2"/>
  <c r="AR56" i="2"/>
  <c r="BT56" i="2" s="1"/>
  <c r="AR55" i="2"/>
  <c r="AR54" i="2"/>
  <c r="BT54" i="2" s="1"/>
  <c r="AR53" i="2"/>
  <c r="AR52" i="2"/>
  <c r="BT52" i="2" s="1"/>
  <c r="AR51" i="2"/>
  <c r="AR50" i="2"/>
  <c r="BT50" i="2" s="1"/>
  <c r="AR49" i="2"/>
  <c r="AR48" i="2"/>
  <c r="BT48" i="2" s="1"/>
  <c r="AR47" i="2"/>
  <c r="AR46" i="2"/>
  <c r="BT46" i="2" s="1"/>
  <c r="AR45" i="2"/>
  <c r="AR44" i="2"/>
  <c r="BT44" i="2" s="1"/>
  <c r="AR43" i="2"/>
  <c r="AR42" i="2"/>
  <c r="BT42" i="2" s="1"/>
  <c r="AR41" i="2"/>
  <c r="AR40" i="2"/>
  <c r="BT40" i="2" s="1"/>
  <c r="AR39" i="2"/>
  <c r="AR38" i="2"/>
  <c r="AR37" i="2"/>
  <c r="AR36" i="2"/>
  <c r="AW36" i="2" s="1"/>
  <c r="AR35" i="2"/>
  <c r="AR34" i="2"/>
  <c r="AW34" i="2" s="1"/>
  <c r="AY34" i="2" s="1"/>
  <c r="AR33" i="2"/>
  <c r="AR32" i="2"/>
  <c r="AW32" i="2" s="1"/>
  <c r="AY32" i="2" s="1"/>
  <c r="AR31" i="2"/>
  <c r="AR30" i="2"/>
  <c r="AW30" i="2" s="1"/>
  <c r="AY30" i="2" s="1"/>
  <c r="AR29" i="2"/>
  <c r="AR28" i="2"/>
  <c r="AW28" i="2" s="1"/>
  <c r="AR27" i="2"/>
  <c r="AR26" i="2"/>
  <c r="AW26" i="2" s="1"/>
  <c r="AY26" i="2" s="1"/>
  <c r="AR25" i="2"/>
  <c r="AR24" i="2"/>
  <c r="BT24" i="2" s="1"/>
  <c r="AR23" i="2"/>
  <c r="AR22" i="2"/>
  <c r="BT22" i="2" s="1"/>
  <c r="AR21" i="2"/>
  <c r="BH20" i="2"/>
  <c r="BM20" i="2" s="1"/>
  <c r="BA20" i="2"/>
  <c r="BG20" i="2" s="1"/>
  <c r="AR20" i="2"/>
  <c r="AW20" i="2" s="1"/>
  <c r="AY20" i="2" s="1"/>
  <c r="AR19" i="2"/>
  <c r="AR18" i="2"/>
  <c r="AW18" i="2" s="1"/>
  <c r="AY18" i="2" s="1"/>
  <c r="AR17" i="2"/>
  <c r="AR16" i="2"/>
  <c r="AW16" i="2" s="1"/>
  <c r="AY16" i="2" s="1"/>
  <c r="AR15" i="2"/>
  <c r="AR14" i="2"/>
  <c r="AW14" i="2" s="1"/>
  <c r="AY14" i="2" s="1"/>
  <c r="AR13" i="2"/>
  <c r="AR12" i="2"/>
  <c r="AW12" i="2" s="1"/>
  <c r="AY12" i="2" s="1"/>
  <c r="AR11" i="2"/>
  <c r="AR10" i="2"/>
  <c r="AW10" i="2" s="1"/>
  <c r="AY10" i="2" s="1"/>
  <c r="AR9" i="2"/>
  <c r="AR8" i="2"/>
  <c r="AW8" i="2" s="1"/>
  <c r="AY8" i="2" s="1"/>
  <c r="AR7" i="2"/>
  <c r="AR6" i="2"/>
  <c r="AW6" i="2" s="1"/>
  <c r="AY6" i="2" s="1"/>
  <c r="AR5" i="2"/>
  <c r="BH56" i="2"/>
  <c r="BA56" i="2"/>
  <c r="HR25" i="1"/>
  <c r="HR26" i="1"/>
  <c r="HR27" i="1"/>
  <c r="HR28" i="1"/>
  <c r="HR29" i="1"/>
  <c r="HR30" i="1"/>
  <c r="HR31" i="1"/>
  <c r="HR32" i="1"/>
  <c r="HR33" i="1"/>
  <c r="HR34" i="1"/>
  <c r="HR35" i="1"/>
  <c r="HR37" i="1"/>
  <c r="HR38" i="1"/>
  <c r="HR39" i="1"/>
  <c r="HR40" i="1"/>
  <c r="HR41" i="1"/>
  <c r="HR42" i="1"/>
  <c r="HR43" i="1"/>
  <c r="HR44" i="1"/>
  <c r="HR45" i="1"/>
  <c r="HR46" i="1"/>
  <c r="HR47" i="1"/>
  <c r="HR48" i="1"/>
  <c r="HR49" i="1"/>
  <c r="HR50" i="1"/>
  <c r="HR51" i="1"/>
  <c r="HR52" i="1"/>
  <c r="HR53" i="1"/>
  <c r="HR54" i="1"/>
  <c r="HR56" i="1"/>
  <c r="HR57" i="1"/>
  <c r="HR58" i="1"/>
  <c r="HR59" i="1"/>
  <c r="HR60" i="1"/>
  <c r="HR61" i="1"/>
  <c r="HR62" i="1"/>
  <c r="HR63" i="1"/>
  <c r="HR64" i="1"/>
  <c r="HR65" i="1"/>
  <c r="HR66" i="1"/>
  <c r="HR67" i="1"/>
  <c r="HR68" i="1"/>
  <c r="HR69" i="1"/>
  <c r="HR70" i="1"/>
  <c r="HR71" i="1"/>
  <c r="HR72" i="1"/>
  <c r="HR73" i="1"/>
  <c r="HR74" i="1"/>
  <c r="HR75" i="1"/>
  <c r="HR76" i="1"/>
  <c r="HR77" i="1"/>
  <c r="HR78" i="1"/>
  <c r="HR79" i="1"/>
  <c r="HR80" i="1"/>
  <c r="HR81" i="1"/>
  <c r="HR83" i="1"/>
  <c r="HR84"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23" i="1"/>
  <c r="BY83" i="2" l="1"/>
  <c r="CU83" i="2"/>
  <c r="BY85" i="2"/>
  <c r="CC85" i="2" s="1"/>
  <c r="CU85" i="2"/>
  <c r="BT87" i="2"/>
  <c r="BY87" i="2"/>
  <c r="CC87" i="2" s="1"/>
  <c r="CU87" i="2"/>
  <c r="BY89" i="2"/>
  <c r="CC89" i="2" s="1"/>
  <c r="CU89" i="2"/>
  <c r="BY91" i="2"/>
  <c r="CC91" i="2" s="1"/>
  <c r="CU91" i="2"/>
  <c r="BY93" i="2"/>
  <c r="CC93" i="2" s="1"/>
  <c r="CU93" i="2"/>
  <c r="BT95" i="2"/>
  <c r="BY95" i="2"/>
  <c r="CC95" i="2" s="1"/>
  <c r="CU95" i="2"/>
  <c r="BY97" i="2"/>
  <c r="CC97" i="2" s="1"/>
  <c r="CU97" i="2"/>
  <c r="AW99" i="2"/>
  <c r="KC98" i="1" s="1"/>
  <c r="BH99" i="2" s="1"/>
  <c r="BJ99" i="2" s="1"/>
  <c r="BK99" i="2" s="1"/>
  <c r="BY99" i="2"/>
  <c r="CC99" i="2" s="1"/>
  <c r="CU99" i="2"/>
  <c r="AW101" i="2"/>
  <c r="KC100" i="1" s="1"/>
  <c r="BH101" i="2" s="1"/>
  <c r="BJ101" i="2" s="1"/>
  <c r="BK101" i="2" s="1"/>
  <c r="BY101" i="2"/>
  <c r="CC101" i="2" s="1"/>
  <c r="CU101" i="2"/>
  <c r="AW103" i="2"/>
  <c r="KC102" i="1" s="1"/>
  <c r="BH103" i="2" s="1"/>
  <c r="BJ103" i="2" s="1"/>
  <c r="BK103" i="2" s="1"/>
  <c r="BY103" i="2"/>
  <c r="CC103" i="2" s="1"/>
  <c r="CU103" i="2"/>
  <c r="BT105" i="2"/>
  <c r="BY105" i="2"/>
  <c r="CC105" i="2" s="1"/>
  <c r="CU105" i="2"/>
  <c r="BY107" i="2"/>
  <c r="CU107" i="2"/>
  <c r="BY109" i="2"/>
  <c r="CC109" i="2" s="1"/>
  <c r="CU109" i="2"/>
  <c r="BT111" i="2"/>
  <c r="BY111" i="2"/>
  <c r="CC111" i="2" s="1"/>
  <c r="CU111" i="2"/>
  <c r="BT113" i="2"/>
  <c r="BY113" i="2"/>
  <c r="CC113" i="2" s="1"/>
  <c r="CU113" i="2"/>
  <c r="BT115" i="2"/>
  <c r="BY115" i="2"/>
  <c r="CC115" i="2" s="1"/>
  <c r="CU115" i="2"/>
  <c r="AW84" i="2"/>
  <c r="KC83" i="1" s="1"/>
  <c r="BH84" i="2" s="1"/>
  <c r="BJ84" i="2" s="1"/>
  <c r="BK84" i="2" s="1"/>
  <c r="BY84" i="2"/>
  <c r="CC84" i="2" s="1"/>
  <c r="CU84" i="2"/>
  <c r="BY86" i="2"/>
  <c r="CC86" i="2" s="1"/>
  <c r="CU86" i="2"/>
  <c r="BT88" i="2"/>
  <c r="BY88" i="2"/>
  <c r="CC88" i="2" s="1"/>
  <c r="CU88" i="2"/>
  <c r="BT90" i="2"/>
  <c r="BY90" i="2"/>
  <c r="CC90" i="2" s="1"/>
  <c r="CU90" i="2"/>
  <c r="AW92" i="2"/>
  <c r="KC91" i="1" s="1"/>
  <c r="BH92" i="2" s="1"/>
  <c r="BJ92" i="2" s="1"/>
  <c r="BK92" i="2" s="1"/>
  <c r="BY92" i="2"/>
  <c r="CC92" i="2" s="1"/>
  <c r="CU92" i="2"/>
  <c r="AW94" i="2"/>
  <c r="KC93" i="1" s="1"/>
  <c r="BH94" i="2" s="1"/>
  <c r="BJ94" i="2" s="1"/>
  <c r="BK94" i="2" s="1"/>
  <c r="BY94" i="2"/>
  <c r="CC94" i="2" s="1"/>
  <c r="CU94" i="2"/>
  <c r="BT96" i="2"/>
  <c r="BY96" i="2"/>
  <c r="CC96" i="2" s="1"/>
  <c r="CU96" i="2"/>
  <c r="BY98" i="2"/>
  <c r="CC98" i="2" s="1"/>
  <c r="CU98" i="2"/>
  <c r="BY100" i="2"/>
  <c r="CC100" i="2" s="1"/>
  <c r="CU100" i="2"/>
  <c r="BY102" i="2"/>
  <c r="CC102" i="2" s="1"/>
  <c r="CU102" i="2"/>
  <c r="BY104" i="2"/>
  <c r="CC104" i="2" s="1"/>
  <c r="CU104" i="2"/>
  <c r="BY106" i="2"/>
  <c r="CC106" i="2" s="1"/>
  <c r="CU106" i="2"/>
  <c r="BY108" i="2"/>
  <c r="CU108" i="2"/>
  <c r="BU110" i="2"/>
  <c r="BY110" i="2"/>
  <c r="CC110" i="2" s="1"/>
  <c r="CU110" i="2"/>
  <c r="BU112" i="2"/>
  <c r="BY112" i="2"/>
  <c r="CC112" i="2" s="1"/>
  <c r="CU112" i="2"/>
  <c r="BU114" i="2"/>
  <c r="BY114" i="2"/>
  <c r="CC114" i="2" s="1"/>
  <c r="CU114" i="2"/>
  <c r="BT116" i="2"/>
  <c r="BY116" i="2"/>
  <c r="CC116" i="2" s="1"/>
  <c r="CU116" i="2"/>
  <c r="AS52" i="2"/>
  <c r="JK51" i="1" s="1"/>
  <c r="BA52" i="2" s="1"/>
  <c r="BB52" i="2" s="1"/>
  <c r="BB116" i="2"/>
  <c r="BC20" i="2"/>
  <c r="BD20" i="2" s="1"/>
  <c r="AS44" i="2"/>
  <c r="AV44" i="2" s="1"/>
  <c r="AS115" i="2"/>
  <c r="AV115" i="2" s="1"/>
  <c r="AW113" i="2"/>
  <c r="AX113" i="2" s="1"/>
  <c r="BO113" i="2"/>
  <c r="AS24" i="2"/>
  <c r="AS48" i="2"/>
  <c r="JK47" i="1" s="1"/>
  <c r="BA48" i="2" s="1"/>
  <c r="BF48" i="2" s="1"/>
  <c r="AS70" i="2"/>
  <c r="JK69" i="1" s="1"/>
  <c r="BA70" i="2" s="1"/>
  <c r="BG70" i="2" s="1"/>
  <c r="AS90" i="2"/>
  <c r="JK89" i="1" s="1"/>
  <c r="BA90" i="2" s="1"/>
  <c r="BB90" i="2" s="1"/>
  <c r="AS113" i="2"/>
  <c r="AV113" i="2" s="1"/>
  <c r="BU113" i="2"/>
  <c r="BE113" i="2" s="1"/>
  <c r="BL113" i="2" s="1"/>
  <c r="BO115" i="2"/>
  <c r="BF116" i="2"/>
  <c r="AW111" i="2"/>
  <c r="AZ111" i="2" s="1"/>
  <c r="BU111" i="2"/>
  <c r="AS111" i="2"/>
  <c r="BP111" i="2" s="1"/>
  <c r="BO111" i="2"/>
  <c r="BE111" i="2" s="1"/>
  <c r="BT110" i="2"/>
  <c r="BT112" i="2"/>
  <c r="BM116" i="2"/>
  <c r="BI116" i="2"/>
  <c r="BT114" i="2"/>
  <c r="AS110" i="2"/>
  <c r="JK109" i="1" s="1"/>
  <c r="BA110" i="2" s="1"/>
  <c r="AW110" i="2"/>
  <c r="KC109" i="1" s="1"/>
  <c r="BH110" i="2" s="1"/>
  <c r="BO110" i="2"/>
  <c r="AS112" i="2"/>
  <c r="AW112" i="2"/>
  <c r="BO112" i="2"/>
  <c r="AS114" i="2"/>
  <c r="AW114" i="2"/>
  <c r="BO114" i="2"/>
  <c r="AW115" i="2"/>
  <c r="BU115" i="2"/>
  <c r="BU116" i="2"/>
  <c r="BO116" i="2"/>
  <c r="AW116" i="2"/>
  <c r="AS116" i="2"/>
  <c r="BJ116" i="2"/>
  <c r="BK116" i="2" s="1"/>
  <c r="BN116" i="2"/>
  <c r="BC116" i="2"/>
  <c r="BD116" i="2" s="1"/>
  <c r="BG116" i="2"/>
  <c r="AS22" i="2"/>
  <c r="AV22" i="2" s="1"/>
  <c r="AS42" i="2"/>
  <c r="AU42" i="2" s="1"/>
  <c r="AS46" i="2"/>
  <c r="AV46" i="2" s="1"/>
  <c r="AS50" i="2"/>
  <c r="JK49" i="1" s="1"/>
  <c r="BA50" i="2" s="1"/>
  <c r="BF50" i="2" s="1"/>
  <c r="AS68" i="2"/>
  <c r="JK67" i="1" s="1"/>
  <c r="BA68" i="2" s="1"/>
  <c r="BC68" i="2" s="1"/>
  <c r="BD68" i="2" s="1"/>
  <c r="AS72" i="2"/>
  <c r="JK71" i="1" s="1"/>
  <c r="BA72" i="2" s="1"/>
  <c r="BB72" i="2" s="1"/>
  <c r="AS88" i="2"/>
  <c r="JK87" i="1" s="1"/>
  <c r="BA88" i="2" s="1"/>
  <c r="BB88" i="2" s="1"/>
  <c r="BO76" i="2"/>
  <c r="BO78" i="2"/>
  <c r="BO80" i="2"/>
  <c r="BO96" i="2"/>
  <c r="BQ20" i="2"/>
  <c r="BO22" i="2"/>
  <c r="BU24" i="2"/>
  <c r="BO42" i="2"/>
  <c r="BO44" i="2"/>
  <c r="BO46" i="2"/>
  <c r="BO48" i="2"/>
  <c r="BO50" i="2"/>
  <c r="BU52" i="2"/>
  <c r="BO68" i="2"/>
  <c r="BO70" i="2"/>
  <c r="BO72" i="2"/>
  <c r="AS76" i="2"/>
  <c r="JK75" i="1" s="1"/>
  <c r="BA76" i="2" s="1"/>
  <c r="BG76" i="2" s="1"/>
  <c r="AS78" i="2"/>
  <c r="BP78" i="2" s="1"/>
  <c r="AS80" i="2"/>
  <c r="AT80" i="2" s="1"/>
  <c r="BO88" i="2"/>
  <c r="BO90" i="2"/>
  <c r="AS96" i="2"/>
  <c r="JK95" i="1" s="1"/>
  <c r="BA96" i="2" s="1"/>
  <c r="BB96" i="2" s="1"/>
  <c r="AS107" i="2"/>
  <c r="AV107" i="2" s="1"/>
  <c r="AY28" i="2"/>
  <c r="KC28" i="1"/>
  <c r="BH28" i="2" s="1"/>
  <c r="BI28" i="2" s="1"/>
  <c r="AY36" i="2"/>
  <c r="KC35" i="1"/>
  <c r="BH36" i="2" s="1"/>
  <c r="BT6" i="2"/>
  <c r="BO6" i="2"/>
  <c r="AS6" i="2"/>
  <c r="BP6" i="2" s="1"/>
  <c r="BU6" i="2"/>
  <c r="BT8" i="2"/>
  <c r="BO8" i="2"/>
  <c r="AS8" i="2"/>
  <c r="BU8" i="2"/>
  <c r="BT10" i="2"/>
  <c r="BO10" i="2"/>
  <c r="AS10" i="2"/>
  <c r="BP10" i="2" s="1"/>
  <c r="BU10" i="2"/>
  <c r="BT12" i="2"/>
  <c r="BO12" i="2"/>
  <c r="AS12" i="2"/>
  <c r="BU12" i="2"/>
  <c r="BT14" i="2"/>
  <c r="BO14" i="2"/>
  <c r="AS14" i="2"/>
  <c r="BP14" i="2" s="1"/>
  <c r="BU14" i="2"/>
  <c r="BT16" i="2"/>
  <c r="BO16" i="2"/>
  <c r="AS16" i="2"/>
  <c r="BU16" i="2"/>
  <c r="BT18" i="2"/>
  <c r="BO18" i="2"/>
  <c r="AS18" i="2"/>
  <c r="BP18" i="2" s="1"/>
  <c r="BU18" i="2"/>
  <c r="BT20" i="2"/>
  <c r="BU20" i="2"/>
  <c r="BO20" i="2"/>
  <c r="AS20" i="2"/>
  <c r="AT20" i="2" s="1"/>
  <c r="BN20" i="2"/>
  <c r="BI20" i="2"/>
  <c r="BT26" i="2"/>
  <c r="BO26" i="2"/>
  <c r="AS26" i="2"/>
  <c r="AU26" i="2" s="1"/>
  <c r="BU26" i="2"/>
  <c r="BO28" i="2"/>
  <c r="AS28" i="2"/>
  <c r="AU28" i="2" s="1"/>
  <c r="BU28" i="2"/>
  <c r="BT30" i="2"/>
  <c r="BO30" i="2"/>
  <c r="AS30" i="2"/>
  <c r="AU30" i="2" s="1"/>
  <c r="BU30" i="2"/>
  <c r="BT32" i="2"/>
  <c r="BO32" i="2"/>
  <c r="AS32" i="2"/>
  <c r="AU32" i="2" s="1"/>
  <c r="BU32" i="2"/>
  <c r="BT34" i="2"/>
  <c r="BO34" i="2"/>
  <c r="AS34" i="2"/>
  <c r="AU34" i="2" s="1"/>
  <c r="BU34" i="2"/>
  <c r="BT36" i="2"/>
  <c r="BO36" i="2"/>
  <c r="AS36" i="2"/>
  <c r="AU36" i="2" s="1"/>
  <c r="BU36" i="2"/>
  <c r="BT38" i="2"/>
  <c r="BO38" i="2"/>
  <c r="AS38" i="2"/>
  <c r="AU38" i="2" s="1"/>
  <c r="BU38" i="2"/>
  <c r="AW38" i="2"/>
  <c r="AY38" i="2" s="1"/>
  <c r="BT81" i="2"/>
  <c r="BT83" i="2"/>
  <c r="AW86" i="2"/>
  <c r="KC85" i="1" s="1"/>
  <c r="BH86" i="2" s="1"/>
  <c r="BI86" i="2" s="1"/>
  <c r="BT92" i="2"/>
  <c r="BO92" i="2"/>
  <c r="AS92" i="2"/>
  <c r="JK91" i="1" s="1"/>
  <c r="BA92" i="2" s="1"/>
  <c r="BC92" i="2" s="1"/>
  <c r="BD92" i="2" s="1"/>
  <c r="BU92" i="2"/>
  <c r="BE92" i="2" s="1"/>
  <c r="BT94" i="2"/>
  <c r="BO94" i="2"/>
  <c r="AS94" i="2"/>
  <c r="JK93" i="1" s="1"/>
  <c r="BA94" i="2" s="1"/>
  <c r="BF94" i="2" s="1"/>
  <c r="BU94" i="2"/>
  <c r="BT99" i="2"/>
  <c r="BO99" i="2"/>
  <c r="AS99" i="2"/>
  <c r="JK98" i="1" s="1"/>
  <c r="BA99" i="2" s="1"/>
  <c r="BC99" i="2" s="1"/>
  <c r="BD99" i="2" s="1"/>
  <c r="BU99" i="2"/>
  <c r="BT101" i="2"/>
  <c r="BO101" i="2"/>
  <c r="AS101" i="2"/>
  <c r="JK100" i="1" s="1"/>
  <c r="BA101" i="2" s="1"/>
  <c r="BF101" i="2" s="1"/>
  <c r="BU101" i="2"/>
  <c r="BT103" i="2"/>
  <c r="BU103" i="2"/>
  <c r="AS103" i="2"/>
  <c r="JK102" i="1" s="1"/>
  <c r="BA103" i="2" s="1"/>
  <c r="BF103" i="2" s="1"/>
  <c r="BO103" i="2"/>
  <c r="BT108" i="2"/>
  <c r="AW109" i="2"/>
  <c r="KC108" i="1" s="1"/>
  <c r="BH109" i="2" s="1"/>
  <c r="BJ109" i="2" s="1"/>
  <c r="BK109" i="2" s="1"/>
  <c r="AW40" i="2"/>
  <c r="KC39" i="1" s="1"/>
  <c r="BH40" i="2" s="1"/>
  <c r="BI40" i="2" s="1"/>
  <c r="BO40" i="2"/>
  <c r="BU41" i="2"/>
  <c r="BU43" i="2"/>
  <c r="BU45" i="2"/>
  <c r="AW54" i="2"/>
  <c r="AZ54" i="2" s="1"/>
  <c r="BU54" i="2"/>
  <c r="AW58" i="2"/>
  <c r="AX58" i="2" s="1"/>
  <c r="BU58" i="2"/>
  <c r="AW60" i="2"/>
  <c r="AX60" i="2" s="1"/>
  <c r="BU60" i="2"/>
  <c r="AW62" i="2"/>
  <c r="KC61" i="1" s="1"/>
  <c r="BH62" i="2" s="1"/>
  <c r="BM62" i="2" s="1"/>
  <c r="BU62" i="2"/>
  <c r="AW64" i="2"/>
  <c r="KC63" i="1" s="1"/>
  <c r="BH64" i="2" s="1"/>
  <c r="BJ64" i="2" s="1"/>
  <c r="BK64" i="2" s="1"/>
  <c r="BU64" i="2"/>
  <c r="AW66" i="2"/>
  <c r="KC65" i="1" s="1"/>
  <c r="BH66" i="2" s="1"/>
  <c r="BM66" i="2" s="1"/>
  <c r="BO66" i="2"/>
  <c r="BU77" i="2"/>
  <c r="BU79" i="2"/>
  <c r="AW22" i="2"/>
  <c r="BU22" i="2"/>
  <c r="AW24" i="2"/>
  <c r="AZ24" i="2" s="1"/>
  <c r="BO24" i="2"/>
  <c r="AS40" i="2"/>
  <c r="JK39" i="1" s="1"/>
  <c r="BA40" i="2" s="1"/>
  <c r="BU40" i="2"/>
  <c r="AW42" i="2"/>
  <c r="AY42" i="2" s="1"/>
  <c r="BU42" i="2"/>
  <c r="AW44" i="2"/>
  <c r="AX44" i="2" s="1"/>
  <c r="BU44" i="2"/>
  <c r="AW46" i="2"/>
  <c r="BU46" i="2"/>
  <c r="AW48" i="2"/>
  <c r="BU48" i="2"/>
  <c r="AW50" i="2"/>
  <c r="AZ50" i="2" s="1"/>
  <c r="BU50" i="2"/>
  <c r="AW52" i="2"/>
  <c r="BO52" i="2"/>
  <c r="AS54" i="2"/>
  <c r="AU54" i="2" s="1"/>
  <c r="BO54" i="2"/>
  <c r="AS58" i="2"/>
  <c r="AU58" i="2" s="1"/>
  <c r="BO58" i="2"/>
  <c r="AS60" i="2"/>
  <c r="BP60" i="2" s="1"/>
  <c r="BO60" i="2"/>
  <c r="AS62" i="2"/>
  <c r="JK61" i="1" s="1"/>
  <c r="BA62" i="2" s="1"/>
  <c r="BO62" i="2"/>
  <c r="AS64" i="2"/>
  <c r="JK63" i="1" s="1"/>
  <c r="BA64" i="2" s="1"/>
  <c r="BB64" i="2" s="1"/>
  <c r="BO64" i="2"/>
  <c r="AS66" i="2"/>
  <c r="JK65" i="1" s="1"/>
  <c r="BA66" i="2" s="1"/>
  <c r="BG66" i="2" s="1"/>
  <c r="BU66" i="2"/>
  <c r="AW68" i="2"/>
  <c r="KC67" i="1" s="1"/>
  <c r="BH68" i="2" s="1"/>
  <c r="BJ68" i="2" s="1"/>
  <c r="BK68" i="2" s="1"/>
  <c r="BU68" i="2"/>
  <c r="AW70" i="2"/>
  <c r="KC69" i="1" s="1"/>
  <c r="BH70" i="2" s="1"/>
  <c r="BN70" i="2" s="1"/>
  <c r="BU70" i="2"/>
  <c r="AW72" i="2"/>
  <c r="KC71" i="1" s="1"/>
  <c r="BH72" i="2" s="1"/>
  <c r="BJ72" i="2" s="1"/>
  <c r="BK72" i="2" s="1"/>
  <c r="BU72" i="2"/>
  <c r="BT74" i="2"/>
  <c r="BU74" i="2"/>
  <c r="AS74" i="2"/>
  <c r="JK73" i="1" s="1"/>
  <c r="BA74" i="2" s="1"/>
  <c r="BG74" i="2" s="1"/>
  <c r="BO74" i="2"/>
  <c r="BT84" i="2"/>
  <c r="BO84" i="2"/>
  <c r="AS84" i="2"/>
  <c r="JK83" i="1" s="1"/>
  <c r="BA84" i="2" s="1"/>
  <c r="BU84" i="2"/>
  <c r="BT86" i="2"/>
  <c r="BO86" i="2"/>
  <c r="AS86" i="2"/>
  <c r="JK85" i="1" s="1"/>
  <c r="BA86" i="2" s="1"/>
  <c r="BQ86" i="2" s="1"/>
  <c r="BU86" i="2"/>
  <c r="BT91" i="2"/>
  <c r="BT109" i="2"/>
  <c r="BU109" i="2"/>
  <c r="AS109" i="2"/>
  <c r="JK108" i="1" s="1"/>
  <c r="BA109" i="2" s="1"/>
  <c r="BF109" i="2" s="1"/>
  <c r="BO109" i="2"/>
  <c r="AW76" i="2"/>
  <c r="KC75" i="1" s="1"/>
  <c r="BH76" i="2" s="1"/>
  <c r="BI76" i="2" s="1"/>
  <c r="BU76" i="2"/>
  <c r="AW78" i="2"/>
  <c r="AY78" i="2" s="1"/>
  <c r="BU78" i="2"/>
  <c r="AW80" i="2"/>
  <c r="AX80" i="2" s="1"/>
  <c r="BU80" i="2"/>
  <c r="AW88" i="2"/>
  <c r="KC87" i="1" s="1"/>
  <c r="BH88" i="2" s="1"/>
  <c r="BI88" i="2" s="1"/>
  <c r="BU88" i="2"/>
  <c r="AW90" i="2"/>
  <c r="KC89" i="1" s="1"/>
  <c r="BH90" i="2" s="1"/>
  <c r="BJ90" i="2" s="1"/>
  <c r="BK90" i="2" s="1"/>
  <c r="BU90" i="2"/>
  <c r="AW96" i="2"/>
  <c r="KC95" i="1" s="1"/>
  <c r="BH96" i="2" s="1"/>
  <c r="BI96" i="2" s="1"/>
  <c r="BU96" i="2"/>
  <c r="BU107" i="2"/>
  <c r="AW105" i="2"/>
  <c r="AY105" i="2" s="1"/>
  <c r="AS105" i="2"/>
  <c r="JK104" i="1" s="1"/>
  <c r="BA105" i="2" s="1"/>
  <c r="BF105" i="2" s="1"/>
  <c r="BO105" i="2"/>
  <c r="AW107" i="2"/>
  <c r="AX107" i="2" s="1"/>
  <c r="BO107" i="2"/>
  <c r="KC31" i="1"/>
  <c r="BH32" i="2" s="1"/>
  <c r="BN32" i="2" s="1"/>
  <c r="KC33" i="1"/>
  <c r="BH34" i="2" s="1"/>
  <c r="BN34" i="2" s="1"/>
  <c r="KC29" i="1"/>
  <c r="BH30" i="2" s="1"/>
  <c r="BJ30" i="2" s="1"/>
  <c r="BK30" i="2" s="1"/>
  <c r="KC26" i="1"/>
  <c r="BH26" i="2" s="1"/>
  <c r="BI26" i="2" s="1"/>
  <c r="BU56" i="2"/>
  <c r="AS56" i="2"/>
  <c r="AU56" i="2" s="1"/>
  <c r="AW56" i="2"/>
  <c r="AX56" i="2" s="1"/>
  <c r="BO56" i="2"/>
  <c r="BN74" i="2"/>
  <c r="BJ74" i="2"/>
  <c r="BK74" i="2" s="1"/>
  <c r="BM74" i="2"/>
  <c r="BI74" i="2"/>
  <c r="BF56" i="2"/>
  <c r="BB56" i="2"/>
  <c r="BG56" i="2"/>
  <c r="BC56" i="2"/>
  <c r="BD56" i="2" s="1"/>
  <c r="BQ56" i="2"/>
  <c r="BN56" i="2"/>
  <c r="BJ56" i="2"/>
  <c r="BK56" i="2" s="1"/>
  <c r="BM56" i="2"/>
  <c r="BI56" i="2"/>
  <c r="BU5" i="2"/>
  <c r="BO5" i="2"/>
  <c r="AW5" i="2"/>
  <c r="AS5" i="2"/>
  <c r="JK5" i="1" s="1"/>
  <c r="BT5" i="2"/>
  <c r="AZ6" i="2"/>
  <c r="AX6" i="2"/>
  <c r="BU7" i="2"/>
  <c r="BO7" i="2"/>
  <c r="AW7" i="2"/>
  <c r="AS7" i="2"/>
  <c r="BT7" i="2"/>
  <c r="AZ8" i="2"/>
  <c r="AX8" i="2"/>
  <c r="BU9" i="2"/>
  <c r="BO9" i="2"/>
  <c r="AW9" i="2"/>
  <c r="AS9" i="2"/>
  <c r="BT9" i="2"/>
  <c r="AZ10" i="2"/>
  <c r="AX10" i="2"/>
  <c r="BU11" i="2"/>
  <c r="BO11" i="2"/>
  <c r="AW11" i="2"/>
  <c r="AS11" i="2"/>
  <c r="BT11" i="2"/>
  <c r="AZ12" i="2"/>
  <c r="AX12" i="2"/>
  <c r="BU13" i="2"/>
  <c r="BO13" i="2"/>
  <c r="AW13" i="2"/>
  <c r="AS13" i="2"/>
  <c r="BT13" i="2"/>
  <c r="AZ14" i="2"/>
  <c r="AX14" i="2"/>
  <c r="BU15" i="2"/>
  <c r="BO15" i="2"/>
  <c r="AW15" i="2"/>
  <c r="AS15" i="2"/>
  <c r="BT15" i="2"/>
  <c r="AZ16" i="2"/>
  <c r="AX16" i="2"/>
  <c r="BU17" i="2"/>
  <c r="BO17" i="2"/>
  <c r="AW17" i="2"/>
  <c r="AS17" i="2"/>
  <c r="BT17" i="2"/>
  <c r="AZ18" i="2"/>
  <c r="AX18" i="2"/>
  <c r="BU19" i="2"/>
  <c r="BO19" i="2"/>
  <c r="AW19" i="2"/>
  <c r="AS19" i="2"/>
  <c r="BT19" i="2"/>
  <c r="AZ20" i="2"/>
  <c r="AX20" i="2"/>
  <c r="BF20" i="2"/>
  <c r="BB20" i="2"/>
  <c r="BU21" i="2"/>
  <c r="BO21" i="2"/>
  <c r="AW21" i="2"/>
  <c r="AS21" i="2"/>
  <c r="BT21" i="2"/>
  <c r="BU23" i="2"/>
  <c r="BO23" i="2"/>
  <c r="AW23" i="2"/>
  <c r="AS23" i="2"/>
  <c r="BT23" i="2"/>
  <c r="BU25" i="2"/>
  <c r="BO25" i="2"/>
  <c r="AW25" i="2"/>
  <c r="AS25" i="2"/>
  <c r="BT25" i="2"/>
  <c r="AZ26" i="2"/>
  <c r="AX26" i="2"/>
  <c r="BU27" i="2"/>
  <c r="BO27" i="2"/>
  <c r="AW27" i="2"/>
  <c r="AS27" i="2"/>
  <c r="AZ28" i="2"/>
  <c r="AX28" i="2"/>
  <c r="BU29" i="2"/>
  <c r="BO29" i="2"/>
  <c r="AW29" i="2"/>
  <c r="AS29" i="2"/>
  <c r="BT29" i="2"/>
  <c r="AZ30" i="2"/>
  <c r="AX30" i="2"/>
  <c r="BU31" i="2"/>
  <c r="BO31" i="2"/>
  <c r="AW31" i="2"/>
  <c r="AS31" i="2"/>
  <c r="BT31" i="2"/>
  <c r="AZ32" i="2"/>
  <c r="AX32" i="2"/>
  <c r="BU33" i="2"/>
  <c r="BO33" i="2"/>
  <c r="AW33" i="2"/>
  <c r="AS33" i="2"/>
  <c r="BT33" i="2"/>
  <c r="AZ34" i="2"/>
  <c r="AX34" i="2"/>
  <c r="BU35" i="2"/>
  <c r="BO35" i="2"/>
  <c r="AW35" i="2"/>
  <c r="AS35" i="2"/>
  <c r="BT35" i="2"/>
  <c r="AZ36" i="2"/>
  <c r="AX36" i="2"/>
  <c r="BU37" i="2"/>
  <c r="BO37" i="2"/>
  <c r="AW37" i="2"/>
  <c r="AS37" i="2"/>
  <c r="BT37" i="2"/>
  <c r="BU39" i="2"/>
  <c r="BO39" i="2"/>
  <c r="AW39" i="2"/>
  <c r="AS39" i="2"/>
  <c r="BT39" i="2"/>
  <c r="BT41" i="2"/>
  <c r="BT43" i="2"/>
  <c r="BT45" i="2"/>
  <c r="BU47" i="2"/>
  <c r="BO47" i="2"/>
  <c r="BT47" i="2"/>
  <c r="BU49" i="2"/>
  <c r="BO49" i="2"/>
  <c r="AW49" i="2"/>
  <c r="AS49" i="2"/>
  <c r="BT49" i="2"/>
  <c r="BU51" i="2"/>
  <c r="BO51" i="2"/>
  <c r="AW51" i="2"/>
  <c r="AS51" i="2"/>
  <c r="BT51" i="2"/>
  <c r="BU53" i="2"/>
  <c r="BO53" i="2"/>
  <c r="AW53" i="2"/>
  <c r="AS53" i="2"/>
  <c r="BT53" i="2"/>
  <c r="BU55" i="2"/>
  <c r="BO55" i="2"/>
  <c r="AW55" i="2"/>
  <c r="AS55" i="2"/>
  <c r="BT55" i="2"/>
  <c r="BU57" i="2"/>
  <c r="BO57" i="2"/>
  <c r="AW57" i="2"/>
  <c r="AS57" i="2"/>
  <c r="BT57" i="2"/>
  <c r="BU59" i="2"/>
  <c r="BO59" i="2"/>
  <c r="AW59" i="2"/>
  <c r="AS59" i="2"/>
  <c r="BT59" i="2"/>
  <c r="BU61" i="2"/>
  <c r="BO61" i="2"/>
  <c r="AW61" i="2"/>
  <c r="AS61" i="2"/>
  <c r="BT61" i="2"/>
  <c r="BU63" i="2"/>
  <c r="BO63" i="2"/>
  <c r="AW63" i="2"/>
  <c r="AS63" i="2"/>
  <c r="BT63" i="2"/>
  <c r="BU65" i="2"/>
  <c r="BO65" i="2"/>
  <c r="AW65" i="2"/>
  <c r="AS65" i="2"/>
  <c r="BT65" i="2"/>
  <c r="BU67" i="2"/>
  <c r="BO67" i="2"/>
  <c r="AW67" i="2"/>
  <c r="AS67" i="2"/>
  <c r="BT67" i="2"/>
  <c r="BU69" i="2"/>
  <c r="BO69" i="2"/>
  <c r="AW69" i="2"/>
  <c r="AS69" i="2"/>
  <c r="BT69" i="2"/>
  <c r="BU71" i="2"/>
  <c r="BO71" i="2"/>
  <c r="AW71" i="2"/>
  <c r="AS71" i="2"/>
  <c r="BT71" i="2"/>
  <c r="BU73" i="2"/>
  <c r="BO73" i="2"/>
  <c r="AW73" i="2"/>
  <c r="AS73" i="2"/>
  <c r="BT73" i="2"/>
  <c r="AZ74" i="2"/>
  <c r="AX74" i="2"/>
  <c r="BU75" i="2"/>
  <c r="BO75" i="2"/>
  <c r="AW75" i="2"/>
  <c r="AS75" i="2"/>
  <c r="BT75" i="2"/>
  <c r="BJ20" i="2"/>
  <c r="BK20" i="2" s="1"/>
  <c r="AS41" i="2"/>
  <c r="AW41" i="2"/>
  <c r="BO41" i="2"/>
  <c r="AS43" i="2"/>
  <c r="AW43" i="2"/>
  <c r="BO43" i="2"/>
  <c r="AS45" i="2"/>
  <c r="AW45" i="2"/>
  <c r="BO45" i="2"/>
  <c r="AS47" i="2"/>
  <c r="AW47" i="2"/>
  <c r="AY74" i="2"/>
  <c r="BT77" i="2"/>
  <c r="BT79" i="2"/>
  <c r="BO81" i="2"/>
  <c r="BU85" i="2"/>
  <c r="BO85" i="2"/>
  <c r="AW85" i="2"/>
  <c r="AS85" i="2"/>
  <c r="BU89" i="2"/>
  <c r="BO89" i="2"/>
  <c r="AW89" i="2"/>
  <c r="AS89" i="2"/>
  <c r="BU93" i="2"/>
  <c r="BO93" i="2"/>
  <c r="AW93" i="2"/>
  <c r="AS93" i="2"/>
  <c r="BT97" i="2"/>
  <c r="BO97" i="2"/>
  <c r="AW97" i="2"/>
  <c r="AS97" i="2"/>
  <c r="BU97" i="2"/>
  <c r="AS77" i="2"/>
  <c r="AW77" i="2"/>
  <c r="BO77" i="2"/>
  <c r="AS79" i="2"/>
  <c r="AW79" i="2"/>
  <c r="BO79" i="2"/>
  <c r="AS81" i="2"/>
  <c r="AW81" i="2"/>
  <c r="BU81" i="2"/>
  <c r="BT82" i="2"/>
  <c r="BO82" i="2"/>
  <c r="AW82" i="2"/>
  <c r="AS82" i="2"/>
  <c r="BU82" i="2"/>
  <c r="BU83" i="2"/>
  <c r="BO83" i="2"/>
  <c r="AW83" i="2"/>
  <c r="AS83" i="2"/>
  <c r="BT85" i="2"/>
  <c r="BU87" i="2"/>
  <c r="BO87" i="2"/>
  <c r="AW87" i="2"/>
  <c r="AS87" i="2"/>
  <c r="BT89" i="2"/>
  <c r="BU91" i="2"/>
  <c r="BO91" i="2"/>
  <c r="AW91" i="2"/>
  <c r="AS91" i="2"/>
  <c r="BT93" i="2"/>
  <c r="BU95" i="2"/>
  <c r="BO95" i="2"/>
  <c r="AW95" i="2"/>
  <c r="AS95" i="2"/>
  <c r="BU98" i="2"/>
  <c r="BO98" i="2"/>
  <c r="AW98" i="2"/>
  <c r="AS98" i="2"/>
  <c r="BT98" i="2"/>
  <c r="BU100" i="2"/>
  <c r="BO100" i="2"/>
  <c r="AW100" i="2"/>
  <c r="AS100" i="2"/>
  <c r="BT100" i="2"/>
  <c r="BU102" i="2"/>
  <c r="BO102" i="2"/>
  <c r="AW102" i="2"/>
  <c r="AS102" i="2"/>
  <c r="BT102" i="2"/>
  <c r="BU104" i="2"/>
  <c r="BO104" i="2"/>
  <c r="AW104" i="2"/>
  <c r="AS104" i="2"/>
  <c r="BT104" i="2"/>
  <c r="BU105" i="2"/>
  <c r="BU106" i="2"/>
  <c r="BO106" i="2"/>
  <c r="AW106" i="2"/>
  <c r="AS106" i="2"/>
  <c r="BU108" i="2"/>
  <c r="BO108" i="2"/>
  <c r="AW108" i="2"/>
  <c r="AS108" i="2"/>
  <c r="AX101" i="2" l="1"/>
  <c r="BI101" i="2"/>
  <c r="JK114" i="1"/>
  <c r="BA115" i="2" s="1"/>
  <c r="BF115" i="2" s="1"/>
  <c r="AY113" i="2"/>
  <c r="BE8" i="2"/>
  <c r="BL8" i="2" s="1"/>
  <c r="BE36" i="2"/>
  <c r="BL36" i="2" s="1"/>
  <c r="BE99" i="2"/>
  <c r="BL99" i="2" s="1"/>
  <c r="BE94" i="2"/>
  <c r="BE14" i="2"/>
  <c r="BL14" i="2" s="1"/>
  <c r="BE18" i="2"/>
  <c r="BL18" i="2" s="1"/>
  <c r="BE84" i="2"/>
  <c r="BL84" i="2" s="1"/>
  <c r="BE12" i="2"/>
  <c r="BL12" i="2" s="1"/>
  <c r="BE16" i="2"/>
  <c r="BL16" i="2" s="1"/>
  <c r="BN84" i="2"/>
  <c r="BN94" i="2"/>
  <c r="BE80" i="2"/>
  <c r="BL80" i="2" s="1"/>
  <c r="BE76" i="2"/>
  <c r="BL76" i="2" s="1"/>
  <c r="BM99" i="2"/>
  <c r="BM103" i="2"/>
  <c r="BF96" i="2"/>
  <c r="BE72" i="2"/>
  <c r="BL72" i="2" s="1"/>
  <c r="BE68" i="2"/>
  <c r="BL68" i="2" s="1"/>
  <c r="BE50" i="2"/>
  <c r="BL50" i="2" s="1"/>
  <c r="BE46" i="2"/>
  <c r="BL46" i="2" s="1"/>
  <c r="BE42" i="2"/>
  <c r="BL42" i="2" s="1"/>
  <c r="BE22" i="2"/>
  <c r="BE10" i="2"/>
  <c r="BL10" i="2" s="1"/>
  <c r="AX99" i="2"/>
  <c r="AZ84" i="2"/>
  <c r="AY94" i="2"/>
  <c r="AV52" i="2"/>
  <c r="BQ52" i="2"/>
  <c r="AY92" i="2"/>
  <c r="BN101" i="2"/>
  <c r="BN92" i="2"/>
  <c r="AZ103" i="2"/>
  <c r="AY84" i="2"/>
  <c r="AZ94" i="2"/>
  <c r="BN99" i="2"/>
  <c r="BN103" i="2"/>
  <c r="BF52" i="2"/>
  <c r="BF90" i="2"/>
  <c r="BP107" i="2"/>
  <c r="AU90" i="2"/>
  <c r="AU52" i="2"/>
  <c r="AT48" i="2"/>
  <c r="BM84" i="2"/>
  <c r="BG52" i="2"/>
  <c r="BI94" i="2"/>
  <c r="BE86" i="2"/>
  <c r="BL86" i="2" s="1"/>
  <c r="AT99" i="2"/>
  <c r="AX96" i="2"/>
  <c r="AU70" i="2"/>
  <c r="AV28" i="2"/>
  <c r="AY103" i="2"/>
  <c r="AX103" i="2"/>
  <c r="AY99" i="2"/>
  <c r="AZ99" i="2"/>
  <c r="AV90" i="2"/>
  <c r="AX84" i="2"/>
  <c r="AX94" i="2"/>
  <c r="AV84" i="2"/>
  <c r="AU76" i="2"/>
  <c r="AU74" i="2"/>
  <c r="AU64" i="2"/>
  <c r="BI99" i="2"/>
  <c r="BI103" i="2"/>
  <c r="AT76" i="2"/>
  <c r="AV74" i="2"/>
  <c r="BS74" i="2" s="1"/>
  <c r="AZ72" i="2"/>
  <c r="AX66" i="2"/>
  <c r="BP64" i="2"/>
  <c r="AX62" i="2"/>
  <c r="AT52" i="2"/>
  <c r="BP52" i="2"/>
  <c r="BP48" i="2"/>
  <c r="BI84" i="2"/>
  <c r="BC52" i="2"/>
  <c r="BD52" i="2" s="1"/>
  <c r="BM94" i="2"/>
  <c r="BE114" i="2"/>
  <c r="BL114" i="2" s="1"/>
  <c r="BE110" i="2"/>
  <c r="BL110" i="2" s="1"/>
  <c r="AY101" i="2"/>
  <c r="AZ101" i="2"/>
  <c r="AZ92" i="2"/>
  <c r="BM101" i="2"/>
  <c r="BM92" i="2"/>
  <c r="CT114" i="2"/>
  <c r="CR114" i="2"/>
  <c r="CP114" i="2"/>
  <c r="CN114" i="2"/>
  <c r="CL114" i="2"/>
  <c r="CJ114" i="2"/>
  <c r="CH114" i="2"/>
  <c r="CF114" i="2"/>
  <c r="CD114" i="2"/>
  <c r="CA114" i="2"/>
  <c r="CS114" i="2"/>
  <c r="CO114" i="2"/>
  <c r="CK114" i="2"/>
  <c r="CG114" i="2"/>
  <c r="CB114" i="2"/>
  <c r="CQ114" i="2"/>
  <c r="CI114" i="2"/>
  <c r="BZ114" i="2"/>
  <c r="CM114" i="2"/>
  <c r="CE114" i="2"/>
  <c r="CT110" i="2"/>
  <c r="CR110" i="2"/>
  <c r="CP110" i="2"/>
  <c r="CN110" i="2"/>
  <c r="CL110" i="2"/>
  <c r="CJ110" i="2"/>
  <c r="CH110" i="2"/>
  <c r="CF110" i="2"/>
  <c r="CD110" i="2"/>
  <c r="CA110" i="2"/>
  <c r="CS110" i="2"/>
  <c r="CO110" i="2"/>
  <c r="CK110" i="2"/>
  <c r="CG110" i="2"/>
  <c r="CB110" i="2"/>
  <c r="CQ110" i="2"/>
  <c r="CI110" i="2"/>
  <c r="BZ110" i="2"/>
  <c r="CM110" i="2"/>
  <c r="CE110" i="2"/>
  <c r="CS94" i="2"/>
  <c r="CQ94" i="2"/>
  <c r="CO94" i="2"/>
  <c r="CM94" i="2"/>
  <c r="CK94" i="2"/>
  <c r="CI94" i="2"/>
  <c r="CG94" i="2"/>
  <c r="CE94" i="2"/>
  <c r="CB94" i="2"/>
  <c r="BZ94" i="2"/>
  <c r="CT94" i="2"/>
  <c r="CR94" i="2"/>
  <c r="CP94" i="2"/>
  <c r="CN94" i="2"/>
  <c r="CL94" i="2"/>
  <c r="CJ94" i="2"/>
  <c r="CH94" i="2"/>
  <c r="CF94" i="2"/>
  <c r="CD94" i="2"/>
  <c r="CA94" i="2"/>
  <c r="CS90" i="2"/>
  <c r="CQ90" i="2"/>
  <c r="CO90" i="2"/>
  <c r="CM90" i="2"/>
  <c r="CK90" i="2"/>
  <c r="CI90" i="2"/>
  <c r="CG90" i="2"/>
  <c r="CE90" i="2"/>
  <c r="CB90" i="2"/>
  <c r="BZ90" i="2"/>
  <c r="CT90" i="2"/>
  <c r="CR90" i="2"/>
  <c r="CP90" i="2"/>
  <c r="CN90" i="2"/>
  <c r="CL90" i="2"/>
  <c r="CH90" i="2"/>
  <c r="CD90" i="2"/>
  <c r="CJ90" i="2"/>
  <c r="CF90" i="2"/>
  <c r="CA90" i="2"/>
  <c r="CS86" i="2"/>
  <c r="CQ86" i="2"/>
  <c r="CO86" i="2"/>
  <c r="CM86" i="2"/>
  <c r="CK86" i="2"/>
  <c r="CI86" i="2"/>
  <c r="CG86" i="2"/>
  <c r="CE86" i="2"/>
  <c r="CB86" i="2"/>
  <c r="BZ86" i="2"/>
  <c r="CT86" i="2"/>
  <c r="CP86" i="2"/>
  <c r="CL86" i="2"/>
  <c r="CH86" i="2"/>
  <c r="CD86" i="2"/>
  <c r="CR86" i="2"/>
  <c r="CN86" i="2"/>
  <c r="CJ86" i="2"/>
  <c r="CF86" i="2"/>
  <c r="CA86" i="2"/>
  <c r="CS84" i="2"/>
  <c r="CQ84" i="2"/>
  <c r="CO84" i="2"/>
  <c r="CM84" i="2"/>
  <c r="CK84" i="2"/>
  <c r="CI84" i="2"/>
  <c r="CG84" i="2"/>
  <c r="CE84" i="2"/>
  <c r="CB84" i="2"/>
  <c r="BZ84" i="2"/>
  <c r="CT84" i="2"/>
  <c r="CP84" i="2"/>
  <c r="CL84" i="2"/>
  <c r="CH84" i="2"/>
  <c r="CD84" i="2"/>
  <c r="CR84" i="2"/>
  <c r="CN84" i="2"/>
  <c r="CJ84" i="2"/>
  <c r="CF84" i="2"/>
  <c r="CA84" i="2"/>
  <c r="CT113" i="2"/>
  <c r="CR113" i="2"/>
  <c r="CP113" i="2"/>
  <c r="CN113" i="2"/>
  <c r="CL113" i="2"/>
  <c r="CJ113" i="2"/>
  <c r="CH113" i="2"/>
  <c r="CF113" i="2"/>
  <c r="CD113" i="2"/>
  <c r="CA113" i="2"/>
  <c r="CS113" i="2"/>
  <c r="CO113" i="2"/>
  <c r="CK113" i="2"/>
  <c r="CG113" i="2"/>
  <c r="CB113" i="2"/>
  <c r="CM113" i="2"/>
  <c r="CE113" i="2"/>
  <c r="CQ113" i="2"/>
  <c r="CI113" i="2"/>
  <c r="BZ113" i="2"/>
  <c r="CT109" i="2"/>
  <c r="CR109" i="2"/>
  <c r="CP109" i="2"/>
  <c r="CN109" i="2"/>
  <c r="CL109" i="2"/>
  <c r="CJ109" i="2"/>
  <c r="CH109" i="2"/>
  <c r="CF109" i="2"/>
  <c r="CD109" i="2"/>
  <c r="CA109" i="2"/>
  <c r="CS109" i="2"/>
  <c r="CO109" i="2"/>
  <c r="CK109" i="2"/>
  <c r="CG109" i="2"/>
  <c r="CB109" i="2"/>
  <c r="CM109" i="2"/>
  <c r="CE109" i="2"/>
  <c r="CQ109" i="2"/>
  <c r="CI109" i="2"/>
  <c r="BZ109" i="2"/>
  <c r="CS107" i="2"/>
  <c r="CQ107" i="2"/>
  <c r="CM107" i="2"/>
  <c r="CK107" i="2"/>
  <c r="CR107" i="2"/>
  <c r="CN107" i="2"/>
  <c r="CT107" i="2"/>
  <c r="CL107" i="2"/>
  <c r="CS103" i="2"/>
  <c r="CQ103" i="2"/>
  <c r="CO103" i="2"/>
  <c r="CM103" i="2"/>
  <c r="CK103" i="2"/>
  <c r="CI103" i="2"/>
  <c r="CG103" i="2"/>
  <c r="CE103" i="2"/>
  <c r="CB103" i="2"/>
  <c r="BZ103" i="2"/>
  <c r="CR103" i="2"/>
  <c r="CN103" i="2"/>
  <c r="CJ103" i="2"/>
  <c r="CF103" i="2"/>
  <c r="CA103" i="2"/>
  <c r="CT103" i="2"/>
  <c r="CP103" i="2"/>
  <c r="CL103" i="2"/>
  <c r="CH103" i="2"/>
  <c r="CD103" i="2"/>
  <c r="CS99" i="2"/>
  <c r="CQ99" i="2"/>
  <c r="CO99" i="2"/>
  <c r="CM99" i="2"/>
  <c r="CK99" i="2"/>
  <c r="CI99" i="2"/>
  <c r="CG99" i="2"/>
  <c r="CE99" i="2"/>
  <c r="CB99" i="2"/>
  <c r="BZ99" i="2"/>
  <c r="CR99" i="2"/>
  <c r="CN99" i="2"/>
  <c r="CJ99" i="2"/>
  <c r="CF99" i="2"/>
  <c r="CA99" i="2"/>
  <c r="CT99" i="2"/>
  <c r="CP99" i="2"/>
  <c r="CL99" i="2"/>
  <c r="CH99" i="2"/>
  <c r="CD99" i="2"/>
  <c r="CS93" i="2"/>
  <c r="CQ93" i="2"/>
  <c r="CO93" i="2"/>
  <c r="CM93" i="2"/>
  <c r="CK93" i="2"/>
  <c r="CI93" i="2"/>
  <c r="CG93" i="2"/>
  <c r="CE93" i="2"/>
  <c r="CB93" i="2"/>
  <c r="BZ93" i="2"/>
  <c r="CT93" i="2"/>
  <c r="CR93" i="2"/>
  <c r="CP93" i="2"/>
  <c r="CN93" i="2"/>
  <c r="CL93" i="2"/>
  <c r="CJ93" i="2"/>
  <c r="CH93" i="2"/>
  <c r="CF93" i="2"/>
  <c r="CD93" i="2"/>
  <c r="CA93" i="2"/>
  <c r="CS91" i="2"/>
  <c r="CQ91" i="2"/>
  <c r="CO91" i="2"/>
  <c r="CM91" i="2"/>
  <c r="CK91" i="2"/>
  <c r="CI91" i="2"/>
  <c r="CG91" i="2"/>
  <c r="CE91" i="2"/>
  <c r="CB91" i="2"/>
  <c r="BZ91" i="2"/>
  <c r="CT91" i="2"/>
  <c r="CR91" i="2"/>
  <c r="CP91" i="2"/>
  <c r="CN91" i="2"/>
  <c r="CL91" i="2"/>
  <c r="CJ91" i="2"/>
  <c r="CH91" i="2"/>
  <c r="CF91" i="2"/>
  <c r="CD91" i="2"/>
  <c r="CA91" i="2"/>
  <c r="CS89" i="2"/>
  <c r="CQ89" i="2"/>
  <c r="CO89" i="2"/>
  <c r="CM89" i="2"/>
  <c r="CK89" i="2"/>
  <c r="CI89" i="2"/>
  <c r="CG89" i="2"/>
  <c r="CE89" i="2"/>
  <c r="CB89" i="2"/>
  <c r="BZ89" i="2"/>
  <c r="CT89" i="2"/>
  <c r="CP89" i="2"/>
  <c r="CL89" i="2"/>
  <c r="CH89" i="2"/>
  <c r="CD89" i="2"/>
  <c r="CR89" i="2"/>
  <c r="CN89" i="2"/>
  <c r="CJ89" i="2"/>
  <c r="CF89" i="2"/>
  <c r="CA89" i="2"/>
  <c r="CS87" i="2"/>
  <c r="CQ87" i="2"/>
  <c r="CO87" i="2"/>
  <c r="CM87" i="2"/>
  <c r="CK87" i="2"/>
  <c r="CI87" i="2"/>
  <c r="CG87" i="2"/>
  <c r="CE87" i="2"/>
  <c r="CB87" i="2"/>
  <c r="BZ87" i="2"/>
  <c r="CT87" i="2"/>
  <c r="CP87" i="2"/>
  <c r="CL87" i="2"/>
  <c r="CH87" i="2"/>
  <c r="CD87" i="2"/>
  <c r="CR87" i="2"/>
  <c r="CN87" i="2"/>
  <c r="CJ87" i="2"/>
  <c r="CF87" i="2"/>
  <c r="CA87" i="2"/>
  <c r="CT116" i="2"/>
  <c r="CR116" i="2"/>
  <c r="CP116" i="2"/>
  <c r="CN116" i="2"/>
  <c r="CL116" i="2"/>
  <c r="CJ116" i="2"/>
  <c r="CH116" i="2"/>
  <c r="CF116" i="2"/>
  <c r="CD116" i="2"/>
  <c r="CA116" i="2"/>
  <c r="CS116" i="2"/>
  <c r="CO116" i="2"/>
  <c r="CK116" i="2"/>
  <c r="CG116" i="2"/>
  <c r="CB116" i="2"/>
  <c r="CQ116" i="2"/>
  <c r="CI116" i="2"/>
  <c r="BZ116" i="2"/>
  <c r="CM116" i="2"/>
  <c r="CE116" i="2"/>
  <c r="CT112" i="2"/>
  <c r="CR112" i="2"/>
  <c r="CP112" i="2"/>
  <c r="CN112" i="2"/>
  <c r="CL112" i="2"/>
  <c r="CJ112" i="2"/>
  <c r="CH112" i="2"/>
  <c r="CF112" i="2"/>
  <c r="CD112" i="2"/>
  <c r="CA112" i="2"/>
  <c r="CS112" i="2"/>
  <c r="CO112" i="2"/>
  <c r="CK112" i="2"/>
  <c r="CG112" i="2"/>
  <c r="CB112" i="2"/>
  <c r="CQ112" i="2"/>
  <c r="CI112" i="2"/>
  <c r="BZ112" i="2"/>
  <c r="CM112" i="2"/>
  <c r="CE112" i="2"/>
  <c r="CT108" i="2"/>
  <c r="CR108" i="2"/>
  <c r="CN108" i="2"/>
  <c r="CL108" i="2"/>
  <c r="CS108" i="2"/>
  <c r="CK108" i="2"/>
  <c r="CQ108" i="2"/>
  <c r="CM108" i="2"/>
  <c r="CS106" i="2"/>
  <c r="CQ106" i="2"/>
  <c r="CO106" i="2"/>
  <c r="CM106" i="2"/>
  <c r="CK106" i="2"/>
  <c r="CI106" i="2"/>
  <c r="CG106" i="2"/>
  <c r="CE106" i="2"/>
  <c r="CB106" i="2"/>
  <c r="BZ106" i="2"/>
  <c r="CR106" i="2"/>
  <c r="CN106" i="2"/>
  <c r="CJ106" i="2"/>
  <c r="CF106" i="2"/>
  <c r="CA106" i="2"/>
  <c r="CT106" i="2"/>
  <c r="CP106" i="2"/>
  <c r="CL106" i="2"/>
  <c r="CH106" i="2"/>
  <c r="CD106" i="2"/>
  <c r="CS104" i="2"/>
  <c r="CQ104" i="2"/>
  <c r="CO104" i="2"/>
  <c r="CM104" i="2"/>
  <c r="CK104" i="2"/>
  <c r="CI104" i="2"/>
  <c r="CG104" i="2"/>
  <c r="CE104" i="2"/>
  <c r="CB104" i="2"/>
  <c r="BZ104" i="2"/>
  <c r="CR104" i="2"/>
  <c r="CN104" i="2"/>
  <c r="CJ104" i="2"/>
  <c r="CF104" i="2"/>
  <c r="CA104" i="2"/>
  <c r="CT104" i="2"/>
  <c r="CP104" i="2"/>
  <c r="CL104" i="2"/>
  <c r="CH104" i="2"/>
  <c r="CD104" i="2"/>
  <c r="CS102" i="2"/>
  <c r="CQ102" i="2"/>
  <c r="CO102" i="2"/>
  <c r="CM102" i="2"/>
  <c r="CK102" i="2"/>
  <c r="CI102" i="2"/>
  <c r="CG102" i="2"/>
  <c r="CE102" i="2"/>
  <c r="CB102" i="2"/>
  <c r="BZ102" i="2"/>
  <c r="CR102" i="2"/>
  <c r="CN102" i="2"/>
  <c r="CJ102" i="2"/>
  <c r="CF102" i="2"/>
  <c r="CA102" i="2"/>
  <c r="CT102" i="2"/>
  <c r="CP102" i="2"/>
  <c r="CL102" i="2"/>
  <c r="CH102" i="2"/>
  <c r="CD102" i="2"/>
  <c r="CS100" i="2"/>
  <c r="CQ100" i="2"/>
  <c r="CO100" i="2"/>
  <c r="CM100" i="2"/>
  <c r="CK100" i="2"/>
  <c r="CI100" i="2"/>
  <c r="CG100" i="2"/>
  <c r="CE100" i="2"/>
  <c r="CB100" i="2"/>
  <c r="BZ100" i="2"/>
  <c r="CR100" i="2"/>
  <c r="CN100" i="2"/>
  <c r="CJ100" i="2"/>
  <c r="CF100" i="2"/>
  <c r="CA100" i="2"/>
  <c r="CT100" i="2"/>
  <c r="CP100" i="2"/>
  <c r="CL100" i="2"/>
  <c r="CH100" i="2"/>
  <c r="CD100" i="2"/>
  <c r="CS98" i="2"/>
  <c r="CQ98" i="2"/>
  <c r="CO98" i="2"/>
  <c r="CM98" i="2"/>
  <c r="CK98" i="2"/>
  <c r="CI98" i="2"/>
  <c r="CG98" i="2"/>
  <c r="CE98" i="2"/>
  <c r="CB98" i="2"/>
  <c r="BZ98" i="2"/>
  <c r="CR98" i="2"/>
  <c r="CN98" i="2"/>
  <c r="CJ98" i="2"/>
  <c r="CF98" i="2"/>
  <c r="CA98" i="2"/>
  <c r="CT98" i="2"/>
  <c r="CP98" i="2"/>
  <c r="CL98" i="2"/>
  <c r="CH98" i="2"/>
  <c r="CD98" i="2"/>
  <c r="CS96" i="2"/>
  <c r="CQ96" i="2"/>
  <c r="CO96" i="2"/>
  <c r="CM96" i="2"/>
  <c r="CK96" i="2"/>
  <c r="CI96" i="2"/>
  <c r="CG96" i="2"/>
  <c r="CE96" i="2"/>
  <c r="CB96" i="2"/>
  <c r="BZ96" i="2"/>
  <c r="CR96" i="2"/>
  <c r="CN96" i="2"/>
  <c r="CJ96" i="2"/>
  <c r="CF96" i="2"/>
  <c r="CA96" i="2"/>
  <c r="CT96" i="2"/>
  <c r="CP96" i="2"/>
  <c r="CL96" i="2"/>
  <c r="CH96" i="2"/>
  <c r="CD96" i="2"/>
  <c r="CS92" i="2"/>
  <c r="CQ92" i="2"/>
  <c r="CO92" i="2"/>
  <c r="CM92" i="2"/>
  <c r="CK92" i="2"/>
  <c r="CI92" i="2"/>
  <c r="CG92" i="2"/>
  <c r="CE92" i="2"/>
  <c r="CB92" i="2"/>
  <c r="BZ92" i="2"/>
  <c r="CT92" i="2"/>
  <c r="CR92" i="2"/>
  <c r="CP92" i="2"/>
  <c r="CN92" i="2"/>
  <c r="CL92" i="2"/>
  <c r="CJ92" i="2"/>
  <c r="CH92" i="2"/>
  <c r="CF92" i="2"/>
  <c r="CD92" i="2"/>
  <c r="CA92" i="2"/>
  <c r="CS88" i="2"/>
  <c r="CQ88" i="2"/>
  <c r="CO88" i="2"/>
  <c r="CM88" i="2"/>
  <c r="CK88" i="2"/>
  <c r="CI88" i="2"/>
  <c r="CG88" i="2"/>
  <c r="CE88" i="2"/>
  <c r="CB88" i="2"/>
  <c r="BZ88" i="2"/>
  <c r="CT88" i="2"/>
  <c r="CP88" i="2"/>
  <c r="CL88" i="2"/>
  <c r="CH88" i="2"/>
  <c r="CD88" i="2"/>
  <c r="CR88" i="2"/>
  <c r="CN88" i="2"/>
  <c r="CJ88" i="2"/>
  <c r="CF88" i="2"/>
  <c r="CA88" i="2"/>
  <c r="CT115" i="2"/>
  <c r="CR115" i="2"/>
  <c r="CP115" i="2"/>
  <c r="CN115" i="2"/>
  <c r="CL115" i="2"/>
  <c r="CJ115" i="2"/>
  <c r="CH115" i="2"/>
  <c r="CF115" i="2"/>
  <c r="CD115" i="2"/>
  <c r="CA115" i="2"/>
  <c r="CS115" i="2"/>
  <c r="CO115" i="2"/>
  <c r="CK115" i="2"/>
  <c r="CG115" i="2"/>
  <c r="CB115" i="2"/>
  <c r="CM115" i="2"/>
  <c r="CE115" i="2"/>
  <c r="CQ115" i="2"/>
  <c r="CI115" i="2"/>
  <c r="BZ115" i="2"/>
  <c r="CT111" i="2"/>
  <c r="CR111" i="2"/>
  <c r="CP111" i="2"/>
  <c r="CN111" i="2"/>
  <c r="CL111" i="2"/>
  <c r="CJ111" i="2"/>
  <c r="CH111" i="2"/>
  <c r="CF111" i="2"/>
  <c r="CD111" i="2"/>
  <c r="CA111" i="2"/>
  <c r="CS111" i="2"/>
  <c r="CO111" i="2"/>
  <c r="CK111" i="2"/>
  <c r="CG111" i="2"/>
  <c r="CB111" i="2"/>
  <c r="CM111" i="2"/>
  <c r="CE111" i="2"/>
  <c r="CQ111" i="2"/>
  <c r="CI111" i="2"/>
  <c r="BZ111" i="2"/>
  <c r="CS105" i="2"/>
  <c r="CQ105" i="2"/>
  <c r="CO105" i="2"/>
  <c r="CM105" i="2"/>
  <c r="CK105" i="2"/>
  <c r="CI105" i="2"/>
  <c r="CG105" i="2"/>
  <c r="CE105" i="2"/>
  <c r="CB105" i="2"/>
  <c r="BZ105" i="2"/>
  <c r="CR105" i="2"/>
  <c r="CN105" i="2"/>
  <c r="CJ105" i="2"/>
  <c r="CF105" i="2"/>
  <c r="CA105" i="2"/>
  <c r="CT105" i="2"/>
  <c r="CP105" i="2"/>
  <c r="CL105" i="2"/>
  <c r="CH105" i="2"/>
  <c r="CD105" i="2"/>
  <c r="CS101" i="2"/>
  <c r="CQ101" i="2"/>
  <c r="CO101" i="2"/>
  <c r="CM101" i="2"/>
  <c r="CK101" i="2"/>
  <c r="CI101" i="2"/>
  <c r="CG101" i="2"/>
  <c r="CE101" i="2"/>
  <c r="CB101" i="2"/>
  <c r="BZ101" i="2"/>
  <c r="CR101" i="2"/>
  <c r="CN101" i="2"/>
  <c r="CJ101" i="2"/>
  <c r="CF101" i="2"/>
  <c r="CA101" i="2"/>
  <c r="CT101" i="2"/>
  <c r="CP101" i="2"/>
  <c r="CL101" i="2"/>
  <c r="CH101" i="2"/>
  <c r="CD101" i="2"/>
  <c r="CS97" i="2"/>
  <c r="CQ97" i="2"/>
  <c r="CO97" i="2"/>
  <c r="CM97" i="2"/>
  <c r="CK97" i="2"/>
  <c r="CI97" i="2"/>
  <c r="CG97" i="2"/>
  <c r="CE97" i="2"/>
  <c r="CB97" i="2"/>
  <c r="BZ97" i="2"/>
  <c r="CR97" i="2"/>
  <c r="CN97" i="2"/>
  <c r="CJ97" i="2"/>
  <c r="CF97" i="2"/>
  <c r="CA97" i="2"/>
  <c r="CT97" i="2"/>
  <c r="CP97" i="2"/>
  <c r="CL97" i="2"/>
  <c r="CH97" i="2"/>
  <c r="CD97" i="2"/>
  <c r="CS95" i="2"/>
  <c r="CQ95" i="2"/>
  <c r="CR95" i="2"/>
  <c r="CO95" i="2"/>
  <c r="CM95" i="2"/>
  <c r="CK95" i="2"/>
  <c r="CI95" i="2"/>
  <c r="CG95" i="2"/>
  <c r="CE95" i="2"/>
  <c r="CB95" i="2"/>
  <c r="BZ95" i="2"/>
  <c r="CT95" i="2"/>
  <c r="CP95" i="2"/>
  <c r="CN95" i="2"/>
  <c r="CL95" i="2"/>
  <c r="CJ95" i="2"/>
  <c r="CH95" i="2"/>
  <c r="CF95" i="2"/>
  <c r="CD95" i="2"/>
  <c r="CA95" i="2"/>
  <c r="CS85" i="2"/>
  <c r="CQ85" i="2"/>
  <c r="CO85" i="2"/>
  <c r="CM85" i="2"/>
  <c r="CK85" i="2"/>
  <c r="CI85" i="2"/>
  <c r="CG85" i="2"/>
  <c r="CE85" i="2"/>
  <c r="CB85" i="2"/>
  <c r="BZ85" i="2"/>
  <c r="CT85" i="2"/>
  <c r="CP85" i="2"/>
  <c r="CL85" i="2"/>
  <c r="CH85" i="2"/>
  <c r="CD85" i="2"/>
  <c r="CR85" i="2"/>
  <c r="CN85" i="2"/>
  <c r="CJ85" i="2"/>
  <c r="CF85" i="2"/>
  <c r="CA85" i="2"/>
  <c r="AX92" i="2"/>
  <c r="AV78" i="2"/>
  <c r="JK37" i="1"/>
  <c r="BA38" i="2" s="1"/>
  <c r="BF38" i="2" s="1"/>
  <c r="JK35" i="1"/>
  <c r="BA36" i="2" s="1"/>
  <c r="BB36" i="2" s="1"/>
  <c r="BP34" i="2"/>
  <c r="BM32" i="2"/>
  <c r="BI92" i="2"/>
  <c r="BE112" i="2"/>
  <c r="BL112" i="2" s="1"/>
  <c r="BF66" i="2"/>
  <c r="AT90" i="2"/>
  <c r="BP90" i="2"/>
  <c r="AV80" i="2"/>
  <c r="AY86" i="2"/>
  <c r="AU60" i="2"/>
  <c r="AU48" i="2"/>
  <c r="BE43" i="2"/>
  <c r="BL43" i="2" s="1"/>
  <c r="BP72" i="2"/>
  <c r="AX70" i="2"/>
  <c r="BP66" i="2"/>
  <c r="AX64" i="2"/>
  <c r="BP62" i="2"/>
  <c r="BP58" i="2"/>
  <c r="AV48" i="2"/>
  <c r="AY44" i="2"/>
  <c r="BN30" i="2"/>
  <c r="BB48" i="2"/>
  <c r="BQ90" i="2"/>
  <c r="BR90" i="2" s="1"/>
  <c r="IJ89" i="1" s="1"/>
  <c r="AT46" i="2"/>
  <c r="AV68" i="2"/>
  <c r="BC48" i="2"/>
  <c r="BD48" i="2" s="1"/>
  <c r="BQ50" i="2"/>
  <c r="BG90" i="2"/>
  <c r="AT115" i="2"/>
  <c r="AU115" i="2"/>
  <c r="BE54" i="2"/>
  <c r="BL54" i="2" s="1"/>
  <c r="BP94" i="2"/>
  <c r="AY88" i="2"/>
  <c r="AV96" i="2"/>
  <c r="AX90" i="2"/>
  <c r="AY56" i="2"/>
  <c r="BV56" i="2" s="1"/>
  <c r="AZ56" i="2"/>
  <c r="BL94" i="2"/>
  <c r="BE28" i="2"/>
  <c r="BL28" i="2" s="1"/>
  <c r="BE6" i="2"/>
  <c r="BL6" i="2" s="1"/>
  <c r="AX109" i="2"/>
  <c r="AU86" i="2"/>
  <c r="AZ86" i="2"/>
  <c r="AU72" i="2"/>
  <c r="AU66" i="2"/>
  <c r="AU62" i="2"/>
  <c r="AU50" i="2"/>
  <c r="AT42" i="2"/>
  <c r="AT72" i="2"/>
  <c r="AT70" i="2"/>
  <c r="AX68" i="2"/>
  <c r="AT66" i="2"/>
  <c r="AT64" i="2"/>
  <c r="AT62" i="2"/>
  <c r="BP50" i="2"/>
  <c r="BI72" i="2"/>
  <c r="BC64" i="2"/>
  <c r="BD64" i="2" s="1"/>
  <c r="BP115" i="2"/>
  <c r="AT105" i="2"/>
  <c r="AV103" i="2"/>
  <c r="AT101" i="2"/>
  <c r="BE79" i="2"/>
  <c r="BL79" i="2" s="1"/>
  <c r="AU96" i="2"/>
  <c r="BP88" i="2"/>
  <c r="BP70" i="2"/>
  <c r="AU46" i="2"/>
  <c r="BC105" i="2"/>
  <c r="BD105" i="2" s="1"/>
  <c r="BB68" i="2"/>
  <c r="BE96" i="2"/>
  <c r="BL96" i="2" s="1"/>
  <c r="BP101" i="2"/>
  <c r="BP99" i="2"/>
  <c r="AZ88" i="2"/>
  <c r="AX78" i="2"/>
  <c r="AT78" i="2"/>
  <c r="AT96" i="2"/>
  <c r="BP96" i="2"/>
  <c r="AU92" i="2"/>
  <c r="AT88" i="2"/>
  <c r="AY80" i="2"/>
  <c r="AU78" i="2"/>
  <c r="AY76" i="2"/>
  <c r="AU68" i="2"/>
  <c r="AX76" i="2"/>
  <c r="AT68" i="2"/>
  <c r="BP68" i="2"/>
  <c r="AZ40" i="2"/>
  <c r="JK31" i="1"/>
  <c r="BA32" i="2" s="1"/>
  <c r="BF32" i="2" s="1"/>
  <c r="AV30" i="2"/>
  <c r="AV26" i="2"/>
  <c r="BN90" i="2"/>
  <c r="BJ88" i="2"/>
  <c r="BK88" i="2" s="1"/>
  <c r="BQ96" i="2"/>
  <c r="BI90" i="2"/>
  <c r="BC101" i="2"/>
  <c r="BD101" i="2" s="1"/>
  <c r="BQ105" i="2"/>
  <c r="BJ32" i="2"/>
  <c r="BK32" i="2" s="1"/>
  <c r="BJ76" i="2"/>
  <c r="BK76" i="2" s="1"/>
  <c r="BJ96" i="2"/>
  <c r="BK96" i="2" s="1"/>
  <c r="BQ94" i="2"/>
  <c r="BG96" i="2"/>
  <c r="BQ103" i="2"/>
  <c r="BE88" i="2"/>
  <c r="BL88" i="2" s="1"/>
  <c r="BF74" i="2"/>
  <c r="BJ70" i="2"/>
  <c r="BK70" i="2" s="1"/>
  <c r="BI70" i="2"/>
  <c r="JK59" i="1"/>
  <c r="BA60" i="2" s="1"/>
  <c r="BG60" i="2" s="1"/>
  <c r="AV60" i="2"/>
  <c r="KC51" i="1"/>
  <c r="BH52" i="2" s="1"/>
  <c r="BN52" i="2" s="1"/>
  <c r="AX52" i="2"/>
  <c r="KC47" i="1"/>
  <c r="BH48" i="2" s="1"/>
  <c r="BN48" i="2" s="1"/>
  <c r="AX48" i="2"/>
  <c r="AU40" i="2"/>
  <c r="BP40" i="2"/>
  <c r="AT40" i="2"/>
  <c r="AU20" i="2"/>
  <c r="BV20" i="2" s="1"/>
  <c r="AV20" i="2"/>
  <c r="BS20" i="2" s="1"/>
  <c r="BB86" i="2"/>
  <c r="BG86" i="2"/>
  <c r="BF84" i="2"/>
  <c r="BB84" i="2"/>
  <c r="BF62" i="2"/>
  <c r="BQ62" i="2"/>
  <c r="JK57" i="1"/>
  <c r="BA58" i="2" s="1"/>
  <c r="BC58" i="2" s="1"/>
  <c r="BD58" i="2" s="1"/>
  <c r="AV58" i="2"/>
  <c r="JK53" i="1"/>
  <c r="BA54" i="2" s="1"/>
  <c r="BC54" i="2" s="1"/>
  <c r="BD54" i="2" s="1"/>
  <c r="BP54" i="2"/>
  <c r="AT54" i="2"/>
  <c r="KC49" i="1"/>
  <c r="BH50" i="2" s="1"/>
  <c r="AX50" i="2"/>
  <c r="AZ46" i="2"/>
  <c r="KC45" i="1"/>
  <c r="BH46" i="2" s="1"/>
  <c r="BN46" i="2" s="1"/>
  <c r="AY46" i="2"/>
  <c r="AY24" i="2"/>
  <c r="AX24" i="2"/>
  <c r="AY22" i="2"/>
  <c r="AX22" i="2"/>
  <c r="BJ66" i="2"/>
  <c r="BK66" i="2" s="1"/>
  <c r="BI66" i="2"/>
  <c r="BN64" i="2"/>
  <c r="BM64" i="2"/>
  <c r="BJ62" i="2"/>
  <c r="BK62" i="2" s="1"/>
  <c r="BI62" i="2"/>
  <c r="KC59" i="1"/>
  <c r="BH60" i="2" s="1"/>
  <c r="AZ60" i="2"/>
  <c r="KC57" i="1"/>
  <c r="BH58" i="2" s="1"/>
  <c r="AZ58" i="2"/>
  <c r="KC53" i="1"/>
  <c r="BH54" i="2" s="1"/>
  <c r="AX54" i="2"/>
  <c r="BJ86" i="2"/>
  <c r="BK86" i="2" s="1"/>
  <c r="BM86" i="2"/>
  <c r="BE30" i="2"/>
  <c r="BL30" i="2" s="1"/>
  <c r="BJ36" i="2"/>
  <c r="BK36" i="2" s="1"/>
  <c r="BM36" i="2"/>
  <c r="BN28" i="2"/>
  <c r="BM28" i="2"/>
  <c r="BP113" i="2"/>
  <c r="AU113" i="2"/>
  <c r="AT113" i="2"/>
  <c r="BB70" i="2"/>
  <c r="BC70" i="2"/>
  <c r="BD70" i="2" s="1"/>
  <c r="AU24" i="2"/>
  <c r="BP24" i="2"/>
  <c r="AT24" i="2"/>
  <c r="BP44" i="2"/>
  <c r="JK43" i="1"/>
  <c r="BA44" i="2" s="1"/>
  <c r="BC44" i="2" s="1"/>
  <c r="BD44" i="2" s="1"/>
  <c r="AU44" i="2"/>
  <c r="AT107" i="2"/>
  <c r="AV86" i="2"/>
  <c r="BE77" i="2"/>
  <c r="BL77" i="2" s="1"/>
  <c r="AX86" i="2"/>
  <c r="AU84" i="2"/>
  <c r="AU80" i="2"/>
  <c r="AY72" i="2"/>
  <c r="AY70" i="2"/>
  <c r="AY68" i="2"/>
  <c r="AY66" i="2"/>
  <c r="AY64" i="2"/>
  <c r="AY62" i="2"/>
  <c r="AY60" i="2"/>
  <c r="AY58" i="2"/>
  <c r="AY54" i="2"/>
  <c r="AY52" i="2"/>
  <c r="AY50" i="2"/>
  <c r="AY48" i="2"/>
  <c r="AX46" i="2"/>
  <c r="AT44" i="2"/>
  <c r="AX42" i="2"/>
  <c r="BP76" i="2"/>
  <c r="AT74" i="2"/>
  <c r="BP74" i="2"/>
  <c r="AX72" i="2"/>
  <c r="AZ70" i="2"/>
  <c r="AV70" i="2"/>
  <c r="AZ68" i="2"/>
  <c r="AZ66" i="2"/>
  <c r="AV66" i="2"/>
  <c r="AZ64" i="2"/>
  <c r="AV64" i="2"/>
  <c r="AZ62" i="2"/>
  <c r="AV62" i="2"/>
  <c r="AT60" i="2"/>
  <c r="AT58" i="2"/>
  <c r="AV54" i="2"/>
  <c r="AZ52" i="2"/>
  <c r="AZ48" i="2"/>
  <c r="AV40" i="2"/>
  <c r="BI36" i="2"/>
  <c r="AV24" i="2"/>
  <c r="AZ22" i="2"/>
  <c r="BM70" i="2"/>
  <c r="BP20" i="2"/>
  <c r="BR20" i="2" s="1"/>
  <c r="BJ28" i="2"/>
  <c r="BK28" i="2" s="1"/>
  <c r="BN36" i="2"/>
  <c r="BI64" i="2"/>
  <c r="BI68" i="2"/>
  <c r="BG62" i="2"/>
  <c r="BQ66" i="2"/>
  <c r="BQ70" i="2"/>
  <c r="BF70" i="2"/>
  <c r="BQ74" i="2"/>
  <c r="BC84" i="2"/>
  <c r="BD84" i="2" s="1"/>
  <c r="BF86" i="2"/>
  <c r="BN62" i="2"/>
  <c r="BN66" i="2"/>
  <c r="BN86" i="2"/>
  <c r="AV56" i="2"/>
  <c r="BP56" i="2"/>
  <c r="BR56" i="2" s="1"/>
  <c r="BJ26" i="2"/>
  <c r="BK26" i="2" s="1"/>
  <c r="BN26" i="2"/>
  <c r="BJ34" i="2"/>
  <c r="BK34" i="2" s="1"/>
  <c r="BI34" i="2"/>
  <c r="BE26" i="2"/>
  <c r="BL26" i="2" s="1"/>
  <c r="BF68" i="2"/>
  <c r="BG68" i="2"/>
  <c r="BQ68" i="2"/>
  <c r="BP46" i="2"/>
  <c r="JK45" i="1"/>
  <c r="BA46" i="2" s="1"/>
  <c r="BC46" i="2" s="1"/>
  <c r="BD46" i="2" s="1"/>
  <c r="AU22" i="2"/>
  <c r="BP22" i="2"/>
  <c r="AT22" i="2"/>
  <c r="JK112" i="1"/>
  <c r="BA113" i="2" s="1"/>
  <c r="BB113" i="2" s="1"/>
  <c r="BE40" i="2"/>
  <c r="BL40" i="2" s="1"/>
  <c r="BP105" i="2"/>
  <c r="AY96" i="2"/>
  <c r="AZ96" i="2"/>
  <c r="AX88" i="2"/>
  <c r="AY90" i="2"/>
  <c r="AZ90" i="2"/>
  <c r="AZ76" i="2"/>
  <c r="BM30" i="2"/>
  <c r="BM90" i="2"/>
  <c r="BB105" i="2"/>
  <c r="AT94" i="2"/>
  <c r="AT86" i="2"/>
  <c r="BP86" i="2"/>
  <c r="BR86" i="2" s="1"/>
  <c r="AV92" i="2"/>
  <c r="AT84" i="2"/>
  <c r="BP84" i="2"/>
  <c r="AT56" i="2"/>
  <c r="AT50" i="2"/>
  <c r="AY40" i="2"/>
  <c r="AX38" i="2"/>
  <c r="AV38" i="2"/>
  <c r="AV36" i="2"/>
  <c r="BM34" i="2"/>
  <c r="AT34" i="2"/>
  <c r="BI32" i="2"/>
  <c r="AV32" i="2"/>
  <c r="JK29" i="1"/>
  <c r="BA30" i="2" s="1"/>
  <c r="BB30" i="2" s="1"/>
  <c r="JK28" i="1"/>
  <c r="BA28" i="2" s="1"/>
  <c r="BB28" i="2" s="1"/>
  <c r="BM26" i="2"/>
  <c r="JK26" i="1"/>
  <c r="BA26" i="2" s="1"/>
  <c r="BB26" i="2" s="1"/>
  <c r="BB101" i="2"/>
  <c r="BQ48" i="2"/>
  <c r="BG48" i="2"/>
  <c r="BQ84" i="2"/>
  <c r="BG84" i="2"/>
  <c r="BC86" i="2"/>
  <c r="BD86" i="2" s="1"/>
  <c r="BC90" i="2"/>
  <c r="BD90" i="2" s="1"/>
  <c r="BC96" i="2"/>
  <c r="BD96" i="2" s="1"/>
  <c r="KC37" i="1"/>
  <c r="BH38" i="2" s="1"/>
  <c r="BI38" i="2" s="1"/>
  <c r="JK77" i="1"/>
  <c r="BA78" i="2" s="1"/>
  <c r="BC78" i="2" s="1"/>
  <c r="BD78" i="2" s="1"/>
  <c r="BE107" i="2"/>
  <c r="BL107" i="2" s="1"/>
  <c r="BE60" i="2"/>
  <c r="BL60" i="2" s="1"/>
  <c r="BE20" i="2"/>
  <c r="BL20" i="2" s="1"/>
  <c r="BE48" i="2"/>
  <c r="BL48" i="2" s="1"/>
  <c r="AZ113" i="2"/>
  <c r="KC112" i="1"/>
  <c r="BH113" i="2" s="1"/>
  <c r="BM109" i="2"/>
  <c r="AT109" i="2"/>
  <c r="BC109" i="2"/>
  <c r="BD109" i="2" s="1"/>
  <c r="AV111" i="2"/>
  <c r="AU111" i="2"/>
  <c r="JK110" i="1"/>
  <c r="BA111" i="2" s="1"/>
  <c r="BB111" i="2" s="1"/>
  <c r="AX111" i="2"/>
  <c r="AT111" i="2"/>
  <c r="AY111" i="2"/>
  <c r="BL111" i="2"/>
  <c r="BP109" i="2"/>
  <c r="BN109" i="2"/>
  <c r="BB109" i="2"/>
  <c r="AY109" i="2"/>
  <c r="AZ109" i="2"/>
  <c r="AU109" i="2"/>
  <c r="AV109" i="2"/>
  <c r="BI109" i="2"/>
  <c r="BQ109" i="2"/>
  <c r="BR109" i="2" s="1"/>
  <c r="BG109" i="2"/>
  <c r="BM110" i="2"/>
  <c r="BI110" i="2"/>
  <c r="BN110" i="2"/>
  <c r="BJ110" i="2"/>
  <c r="BK110" i="2" s="1"/>
  <c r="AU116" i="2"/>
  <c r="AV116" i="2"/>
  <c r="BP116" i="2"/>
  <c r="BR116" i="2" s="1"/>
  <c r="AT116" i="2"/>
  <c r="BE116" i="2"/>
  <c r="BL116" i="2" s="1"/>
  <c r="AZ115" i="2"/>
  <c r="AX115" i="2"/>
  <c r="KC114" i="1"/>
  <c r="BH115" i="2" s="1"/>
  <c r="AY115" i="2"/>
  <c r="AY114" i="2"/>
  <c r="AZ114" i="2"/>
  <c r="AX114" i="2"/>
  <c r="AY112" i="2"/>
  <c r="KC111" i="1"/>
  <c r="BH112" i="2" s="1"/>
  <c r="AZ112" i="2"/>
  <c r="AX112" i="2"/>
  <c r="AY110" i="2"/>
  <c r="AZ110" i="2"/>
  <c r="AX110" i="2"/>
  <c r="BQ110" i="2"/>
  <c r="BG110" i="2"/>
  <c r="BC110" i="2"/>
  <c r="BD110" i="2" s="1"/>
  <c r="BF110" i="2"/>
  <c r="BB110" i="2"/>
  <c r="BB115" i="2"/>
  <c r="BG115" i="2"/>
  <c r="AY116" i="2"/>
  <c r="AZ116" i="2"/>
  <c r="AX116" i="2"/>
  <c r="BE115" i="2"/>
  <c r="BL115" i="2" s="1"/>
  <c r="AU114" i="2"/>
  <c r="BP114" i="2"/>
  <c r="AT114" i="2"/>
  <c r="AV114" i="2"/>
  <c r="AU112" i="2"/>
  <c r="JK111" i="1"/>
  <c r="BA112" i="2" s="1"/>
  <c r="BP112" i="2"/>
  <c r="AV112" i="2"/>
  <c r="AT112" i="2"/>
  <c r="AU110" i="2"/>
  <c r="BP110" i="2"/>
  <c r="AV110" i="2"/>
  <c r="AT110" i="2"/>
  <c r="JK113" i="1"/>
  <c r="BA114" i="2" s="1"/>
  <c r="KC113" i="1"/>
  <c r="BH114" i="2" s="1"/>
  <c r="KC110" i="1"/>
  <c r="BH111" i="2" s="1"/>
  <c r="BN40" i="2"/>
  <c r="BM40" i="2"/>
  <c r="BB103" i="2"/>
  <c r="BC103" i="2"/>
  <c r="BD103" i="2" s="1"/>
  <c r="BF99" i="2"/>
  <c r="BG99" i="2"/>
  <c r="BQ99" i="2"/>
  <c r="BB94" i="2"/>
  <c r="BC94" i="2"/>
  <c r="BD94" i="2" s="1"/>
  <c r="BF92" i="2"/>
  <c r="BG92" i="2"/>
  <c r="BQ92" i="2"/>
  <c r="AU18" i="2"/>
  <c r="AV18" i="2"/>
  <c r="AU16" i="2"/>
  <c r="BP16" i="2"/>
  <c r="AT16" i="2"/>
  <c r="AU14" i="2"/>
  <c r="AV14" i="2"/>
  <c r="AU12" i="2"/>
  <c r="BP12" i="2"/>
  <c r="AT12" i="2"/>
  <c r="AU10" i="2"/>
  <c r="AV10" i="2"/>
  <c r="AU8" i="2"/>
  <c r="BP8" i="2"/>
  <c r="AT8" i="2"/>
  <c r="AU6" i="2"/>
  <c r="AV6" i="2"/>
  <c r="BF76" i="2"/>
  <c r="BQ76" i="2"/>
  <c r="BC76" i="2"/>
  <c r="BD76" i="2" s="1"/>
  <c r="BF88" i="2"/>
  <c r="BG88" i="2"/>
  <c r="BQ88" i="2"/>
  <c r="BF72" i="2"/>
  <c r="BG72" i="2"/>
  <c r="BQ72" i="2"/>
  <c r="BB50" i="2"/>
  <c r="BC50" i="2"/>
  <c r="BD50" i="2" s="1"/>
  <c r="BP42" i="2"/>
  <c r="JK41" i="1"/>
  <c r="BA42" i="2" s="1"/>
  <c r="AU103" i="2"/>
  <c r="AT103" i="2"/>
  <c r="BP103" i="2"/>
  <c r="AU101" i="2"/>
  <c r="AV101" i="2"/>
  <c r="AU99" i="2"/>
  <c r="AV99" i="2"/>
  <c r="AU94" i="2"/>
  <c r="AV94" i="2"/>
  <c r="AT92" i="2"/>
  <c r="BP92" i="2"/>
  <c r="AU88" i="2"/>
  <c r="AV88" i="2"/>
  <c r="AV42" i="2"/>
  <c r="BE41" i="2"/>
  <c r="BL41" i="2" s="1"/>
  <c r="AV76" i="2"/>
  <c r="AV72" i="2"/>
  <c r="AV50" i="2"/>
  <c r="AX40" i="2"/>
  <c r="AZ38" i="2"/>
  <c r="AT38" i="2"/>
  <c r="BP38" i="2"/>
  <c r="AT36" i="2"/>
  <c r="BP36" i="2"/>
  <c r="JK33" i="1"/>
  <c r="BA34" i="2" s="1"/>
  <c r="BB34" i="2" s="1"/>
  <c r="AV34" i="2"/>
  <c r="AT32" i="2"/>
  <c r="BP32" i="2"/>
  <c r="BI30" i="2"/>
  <c r="AT30" i="2"/>
  <c r="BP30" i="2"/>
  <c r="AT28" i="2"/>
  <c r="BP28" i="2"/>
  <c r="AT26" i="2"/>
  <c r="BP26" i="2"/>
  <c r="BQ101" i="2"/>
  <c r="BG101" i="2"/>
  <c r="AT18" i="2"/>
  <c r="AV16" i="2"/>
  <c r="AT14" i="2"/>
  <c r="AV12" i="2"/>
  <c r="AT10" i="2"/>
  <c r="AV8" i="2"/>
  <c r="AT6" i="2"/>
  <c r="BJ40" i="2"/>
  <c r="BK40" i="2" s="1"/>
  <c r="BG50" i="2"/>
  <c r="BC72" i="2"/>
  <c r="BD72" i="2" s="1"/>
  <c r="BB76" i="2"/>
  <c r="BC88" i="2"/>
  <c r="BD88" i="2" s="1"/>
  <c r="BB92" i="2"/>
  <c r="BG94" i="2"/>
  <c r="BB99" i="2"/>
  <c r="BG103" i="2"/>
  <c r="BN96" i="2"/>
  <c r="BM96" i="2"/>
  <c r="BN88" i="2"/>
  <c r="BM88" i="2"/>
  <c r="BN76" i="2"/>
  <c r="BM76" i="2"/>
  <c r="BB74" i="2"/>
  <c r="BC74" i="2"/>
  <c r="BD74" i="2" s="1"/>
  <c r="BN72" i="2"/>
  <c r="BM72" i="2"/>
  <c r="BN68" i="2"/>
  <c r="BM68" i="2"/>
  <c r="BB66" i="2"/>
  <c r="BC66" i="2"/>
  <c r="BD66" i="2" s="1"/>
  <c r="BF64" i="2"/>
  <c r="BG64" i="2"/>
  <c r="BQ64" i="2"/>
  <c r="BB62" i="2"/>
  <c r="BC62" i="2"/>
  <c r="BD62" i="2" s="1"/>
  <c r="AZ42" i="2"/>
  <c r="KC41" i="1"/>
  <c r="BH42" i="2" s="1"/>
  <c r="BE90" i="2"/>
  <c r="BL90" i="2" s="1"/>
  <c r="BE78" i="2"/>
  <c r="BL78" i="2" s="1"/>
  <c r="BE70" i="2"/>
  <c r="BL70" i="2" s="1"/>
  <c r="BE66" i="2"/>
  <c r="BL66" i="2" s="1"/>
  <c r="BE64" i="2"/>
  <c r="BL64" i="2" s="1"/>
  <c r="BE62" i="2"/>
  <c r="BL62" i="2" s="1"/>
  <c r="BE52" i="2"/>
  <c r="BL52" i="2" s="1"/>
  <c r="BE44" i="2"/>
  <c r="BL44" i="2" s="1"/>
  <c r="BE24" i="2"/>
  <c r="BL24" i="2" s="1"/>
  <c r="AU107" i="2"/>
  <c r="JK106" i="1"/>
  <c r="BA107" i="2" s="1"/>
  <c r="CC107" i="2" s="1"/>
  <c r="BP80" i="2"/>
  <c r="JK79" i="1"/>
  <c r="BA80" i="2" s="1"/>
  <c r="AZ80" i="2"/>
  <c r="KC79" i="1"/>
  <c r="BH80" i="2" s="1"/>
  <c r="AZ78" i="2"/>
  <c r="KC77" i="1"/>
  <c r="BH78" i="2" s="1"/>
  <c r="BE74" i="2"/>
  <c r="BL74" i="2" s="1"/>
  <c r="AZ44" i="2"/>
  <c r="KC43" i="1"/>
  <c r="BH44" i="2" s="1"/>
  <c r="BE103" i="2"/>
  <c r="BL103" i="2" s="1"/>
  <c r="BE56" i="2"/>
  <c r="BL56" i="2" s="1"/>
  <c r="BE109" i="2"/>
  <c r="BL109" i="2" s="1"/>
  <c r="BE58" i="2"/>
  <c r="BL58" i="2" s="1"/>
  <c r="BE101" i="2"/>
  <c r="BL101" i="2" s="1"/>
  <c r="BE38" i="2"/>
  <c r="BL38" i="2" s="1"/>
  <c r="BE34" i="2"/>
  <c r="BL34" i="2" s="1"/>
  <c r="BE32" i="2"/>
  <c r="BL32" i="2" s="1"/>
  <c r="AY107" i="2"/>
  <c r="KC106" i="1"/>
  <c r="BH107" i="2" s="1"/>
  <c r="AZ105" i="2"/>
  <c r="KC104" i="1"/>
  <c r="BH105" i="2" s="1"/>
  <c r="AZ107" i="2"/>
  <c r="AX105" i="2"/>
  <c r="AU105" i="2"/>
  <c r="AV105" i="2"/>
  <c r="BG105" i="2"/>
  <c r="BE29" i="2"/>
  <c r="BL29" i="2" s="1"/>
  <c r="AU27" i="2"/>
  <c r="BP27" i="2"/>
  <c r="AV27" i="2"/>
  <c r="AT27" i="2"/>
  <c r="JK27" i="1"/>
  <c r="BA27" i="2" s="1"/>
  <c r="AY25" i="2"/>
  <c r="KC25" i="1"/>
  <c r="BH25" i="2" s="1"/>
  <c r="AZ25" i="2"/>
  <c r="AX25" i="2"/>
  <c r="BE25" i="2"/>
  <c r="BL25" i="2" s="1"/>
  <c r="AY23" i="2"/>
  <c r="AZ23" i="2"/>
  <c r="AX23" i="2"/>
  <c r="KC23" i="1"/>
  <c r="BH23" i="2" s="1"/>
  <c r="BE23" i="2"/>
  <c r="AY21" i="2"/>
  <c r="AZ21" i="2"/>
  <c r="AX21" i="2"/>
  <c r="BE21" i="2"/>
  <c r="AY19" i="2"/>
  <c r="AX19" i="2"/>
  <c r="AZ19" i="2"/>
  <c r="BE19" i="2"/>
  <c r="BL19" i="2" s="1"/>
  <c r="AY17" i="2"/>
  <c r="AZ17" i="2"/>
  <c r="AX17" i="2"/>
  <c r="BE17" i="2"/>
  <c r="BL17" i="2" s="1"/>
  <c r="AY15" i="2"/>
  <c r="AZ15" i="2"/>
  <c r="AX15" i="2"/>
  <c r="BE15" i="2"/>
  <c r="BL15" i="2" s="1"/>
  <c r="AY13" i="2"/>
  <c r="AZ13" i="2"/>
  <c r="AX13" i="2"/>
  <c r="BE13" i="2"/>
  <c r="BL13" i="2" s="1"/>
  <c r="AY11" i="2"/>
  <c r="AZ11" i="2"/>
  <c r="AX11" i="2"/>
  <c r="BE11" i="2"/>
  <c r="BL11" i="2" s="1"/>
  <c r="AY9" i="2"/>
  <c r="AZ9" i="2"/>
  <c r="AX9" i="2"/>
  <c r="BE9" i="2"/>
  <c r="BL9" i="2" s="1"/>
  <c r="AY7" i="2"/>
  <c r="AX7" i="2"/>
  <c r="AZ7" i="2"/>
  <c r="BE7" i="2"/>
  <c r="BL7" i="2" s="1"/>
  <c r="AY5" i="2"/>
  <c r="AZ5" i="2"/>
  <c r="AX5" i="2"/>
  <c r="BE5" i="2"/>
  <c r="BL5" i="2" s="1"/>
  <c r="AU108" i="2"/>
  <c r="BP108" i="2"/>
  <c r="AV108" i="2"/>
  <c r="AT108" i="2"/>
  <c r="JK107" i="1"/>
  <c r="BA108" i="2" s="1"/>
  <c r="CP108" i="2" s="1"/>
  <c r="AU106" i="2"/>
  <c r="BP106" i="2"/>
  <c r="AV106" i="2"/>
  <c r="AT106" i="2"/>
  <c r="JK105" i="1"/>
  <c r="BA106" i="2" s="1"/>
  <c r="BE105" i="2"/>
  <c r="AU104" i="2"/>
  <c r="AT104" i="2"/>
  <c r="BP104" i="2"/>
  <c r="AV104" i="2"/>
  <c r="JK103" i="1"/>
  <c r="BA104" i="2" s="1"/>
  <c r="AU102" i="2"/>
  <c r="AT102" i="2"/>
  <c r="BP102" i="2"/>
  <c r="AV102" i="2"/>
  <c r="JK101" i="1"/>
  <c r="BA102" i="2" s="1"/>
  <c r="AU100" i="2"/>
  <c r="AT100" i="2"/>
  <c r="AV100" i="2"/>
  <c r="BP100" i="2"/>
  <c r="JK99" i="1"/>
  <c r="BA100" i="2" s="1"/>
  <c r="AY98" i="2"/>
  <c r="AX98" i="2"/>
  <c r="AZ98" i="2"/>
  <c r="KC97" i="1"/>
  <c r="BH98" i="2" s="1"/>
  <c r="BE98" i="2"/>
  <c r="BL98" i="2" s="1"/>
  <c r="AY95" i="2"/>
  <c r="AX95" i="2"/>
  <c r="AZ95" i="2"/>
  <c r="KC94" i="1"/>
  <c r="BH95" i="2" s="1"/>
  <c r="BE95" i="2"/>
  <c r="BL95" i="2" s="1"/>
  <c r="AU91" i="2"/>
  <c r="AT91" i="2"/>
  <c r="BP91" i="2"/>
  <c r="AV91" i="2"/>
  <c r="JK90" i="1"/>
  <c r="BA91" i="2" s="1"/>
  <c r="AY87" i="2"/>
  <c r="AX87" i="2"/>
  <c r="AZ87" i="2"/>
  <c r="KC86" i="1"/>
  <c r="BH87" i="2" s="1"/>
  <c r="BE87" i="2"/>
  <c r="BL87" i="2" s="1"/>
  <c r="AU83" i="2"/>
  <c r="AT83" i="2"/>
  <c r="BP83" i="2"/>
  <c r="AV83" i="2"/>
  <c r="BA83" i="2"/>
  <c r="BE82" i="2"/>
  <c r="BL82" i="2" s="1"/>
  <c r="AY82" i="2"/>
  <c r="AZ82" i="2"/>
  <c r="AX82" i="2"/>
  <c r="KC81" i="1"/>
  <c r="BH82" i="2" s="1"/>
  <c r="AZ81" i="2"/>
  <c r="AX81" i="2"/>
  <c r="AY81" i="2"/>
  <c r="KC80" i="1"/>
  <c r="BH81" i="2" s="1"/>
  <c r="AU79" i="2"/>
  <c r="BP79" i="2"/>
  <c r="AV79" i="2"/>
  <c r="AT79" i="2"/>
  <c r="JK78" i="1"/>
  <c r="BA79" i="2" s="1"/>
  <c r="AY77" i="2"/>
  <c r="AZ77" i="2"/>
  <c r="AX77" i="2"/>
  <c r="KC76" i="1"/>
  <c r="BH77" i="2" s="1"/>
  <c r="BP97" i="2"/>
  <c r="AU97" i="2"/>
  <c r="AT97" i="2"/>
  <c r="AV97" i="2"/>
  <c r="JK96" i="1"/>
  <c r="BA97" i="2" s="1"/>
  <c r="AU93" i="2"/>
  <c r="AT93" i="2"/>
  <c r="AV93" i="2"/>
  <c r="BP93" i="2"/>
  <c r="JK92" i="1"/>
  <c r="BA93" i="2" s="1"/>
  <c r="BL92" i="2"/>
  <c r="AU89" i="2"/>
  <c r="AT89" i="2"/>
  <c r="AV89" i="2"/>
  <c r="BP89" i="2"/>
  <c r="JK88" i="1"/>
  <c r="BA89" i="2" s="1"/>
  <c r="AU85" i="2"/>
  <c r="AT85" i="2"/>
  <c r="AV85" i="2"/>
  <c r="BP85" i="2"/>
  <c r="JK84" i="1"/>
  <c r="BA85" i="2" s="1"/>
  <c r="AY47" i="2"/>
  <c r="KC46" i="1"/>
  <c r="BH47" i="2" s="1"/>
  <c r="AZ47" i="2"/>
  <c r="AX47" i="2"/>
  <c r="AU45" i="2"/>
  <c r="BP45" i="2"/>
  <c r="AV45" i="2"/>
  <c r="AT45" i="2"/>
  <c r="JK44" i="1"/>
  <c r="BA45" i="2" s="1"/>
  <c r="AY43" i="2"/>
  <c r="KC42" i="1"/>
  <c r="BH43" i="2" s="1"/>
  <c r="AZ43" i="2"/>
  <c r="AX43" i="2"/>
  <c r="AU41" i="2"/>
  <c r="BP41" i="2"/>
  <c r="AV41" i="2"/>
  <c r="AT41" i="2"/>
  <c r="JK40" i="1"/>
  <c r="BA41" i="2" s="1"/>
  <c r="AU75" i="2"/>
  <c r="AT75" i="2"/>
  <c r="BP75" i="2"/>
  <c r="AV75" i="2"/>
  <c r="JK74" i="1"/>
  <c r="BA75" i="2" s="1"/>
  <c r="AU73" i="2"/>
  <c r="AT73" i="2"/>
  <c r="BP73" i="2"/>
  <c r="AV73" i="2"/>
  <c r="JK72" i="1"/>
  <c r="BA73" i="2" s="1"/>
  <c r="AU71" i="2"/>
  <c r="AT71" i="2"/>
  <c r="BP71" i="2"/>
  <c r="AV71" i="2"/>
  <c r="JK70" i="1"/>
  <c r="BA71" i="2" s="1"/>
  <c r="AU69" i="2"/>
  <c r="AT69" i="2"/>
  <c r="BP69" i="2"/>
  <c r="AV69" i="2"/>
  <c r="JK68" i="1"/>
  <c r="BA69" i="2" s="1"/>
  <c r="AU67" i="2"/>
  <c r="AT67" i="2"/>
  <c r="BP67" i="2"/>
  <c r="AV67" i="2"/>
  <c r="JK66" i="1"/>
  <c r="BA67" i="2" s="1"/>
  <c r="AU65" i="2"/>
  <c r="AT65" i="2"/>
  <c r="BP65" i="2"/>
  <c r="AV65" i="2"/>
  <c r="JK64" i="1"/>
  <c r="BA65" i="2" s="1"/>
  <c r="AU63" i="2"/>
  <c r="AT63" i="2"/>
  <c r="BP63" i="2"/>
  <c r="AV63" i="2"/>
  <c r="JK62" i="1"/>
  <c r="BA63" i="2" s="1"/>
  <c r="AU61" i="2"/>
  <c r="AT61" i="2"/>
  <c r="BP61" i="2"/>
  <c r="AV61" i="2"/>
  <c r="JK60" i="1"/>
  <c r="BA61" i="2" s="1"/>
  <c r="AU59" i="2"/>
  <c r="AT59" i="2"/>
  <c r="BP59" i="2"/>
  <c r="AV59" i="2"/>
  <c r="JK58" i="1"/>
  <c r="BA59" i="2" s="1"/>
  <c r="AU57" i="2"/>
  <c r="AT57" i="2"/>
  <c r="BP57" i="2"/>
  <c r="AV57" i="2"/>
  <c r="JK56" i="1"/>
  <c r="BA57" i="2" s="1"/>
  <c r="AU55" i="2"/>
  <c r="AT55" i="2"/>
  <c r="BP55" i="2"/>
  <c r="AV55" i="2"/>
  <c r="JK54" i="1"/>
  <c r="BA55" i="2" s="1"/>
  <c r="AU53" i="2"/>
  <c r="AT53" i="2"/>
  <c r="BP53" i="2"/>
  <c r="AV53" i="2"/>
  <c r="JK52" i="1"/>
  <c r="BA53" i="2" s="1"/>
  <c r="AU51" i="2"/>
  <c r="AT51" i="2"/>
  <c r="BP51" i="2"/>
  <c r="AV51" i="2"/>
  <c r="JK50" i="1"/>
  <c r="BA51" i="2" s="1"/>
  <c r="AU49" i="2"/>
  <c r="AT49" i="2"/>
  <c r="BP49" i="2"/>
  <c r="AV49" i="2"/>
  <c r="JK48" i="1"/>
  <c r="BA49" i="2" s="1"/>
  <c r="BE45" i="2"/>
  <c r="AU39" i="2"/>
  <c r="BP39" i="2"/>
  <c r="AV39" i="2"/>
  <c r="AT39" i="2"/>
  <c r="JK38" i="1"/>
  <c r="BA39" i="2" s="1"/>
  <c r="AY37" i="2"/>
  <c r="BH37" i="2"/>
  <c r="AZ37" i="2"/>
  <c r="AX37" i="2"/>
  <c r="BE37" i="2"/>
  <c r="BL37" i="2" s="1"/>
  <c r="AU35" i="2"/>
  <c r="BP35" i="2"/>
  <c r="AV35" i="2"/>
  <c r="AT35" i="2"/>
  <c r="JK34" i="1"/>
  <c r="BA35" i="2" s="1"/>
  <c r="AY33" i="2"/>
  <c r="KC32" i="1"/>
  <c r="BH33" i="2" s="1"/>
  <c r="AZ33" i="2"/>
  <c r="AX33" i="2"/>
  <c r="BE33" i="2"/>
  <c r="BL33" i="2" s="1"/>
  <c r="AU31" i="2"/>
  <c r="BP31" i="2"/>
  <c r="AV31" i="2"/>
  <c r="AT31" i="2"/>
  <c r="JK30" i="1"/>
  <c r="BA31" i="2" s="1"/>
  <c r="AY29" i="2"/>
  <c r="BH29" i="2"/>
  <c r="AZ29" i="2"/>
  <c r="AX29" i="2"/>
  <c r="AY108" i="2"/>
  <c r="AZ108" i="2"/>
  <c r="AX108" i="2"/>
  <c r="KC107" i="1"/>
  <c r="BH108" i="2" s="1"/>
  <c r="BE108" i="2"/>
  <c r="BL108" i="2" s="1"/>
  <c r="AY106" i="2"/>
  <c r="AZ106" i="2"/>
  <c r="AX106" i="2"/>
  <c r="KC105" i="1"/>
  <c r="BH106" i="2" s="1"/>
  <c r="BE106" i="2"/>
  <c r="AY104" i="2"/>
  <c r="AX104" i="2"/>
  <c r="AZ104" i="2"/>
  <c r="KC103" i="1"/>
  <c r="BH104" i="2" s="1"/>
  <c r="BE104" i="2"/>
  <c r="BL104" i="2" s="1"/>
  <c r="AY102" i="2"/>
  <c r="AX102" i="2"/>
  <c r="AZ102" i="2"/>
  <c r="KC101" i="1"/>
  <c r="BH102" i="2" s="1"/>
  <c r="BE102" i="2"/>
  <c r="BL102" i="2" s="1"/>
  <c r="AY100" i="2"/>
  <c r="AX100" i="2"/>
  <c r="AZ100" i="2"/>
  <c r="KC99" i="1"/>
  <c r="BH100" i="2" s="1"/>
  <c r="BE100" i="2"/>
  <c r="BL100" i="2" s="1"/>
  <c r="AU98" i="2"/>
  <c r="AT98" i="2"/>
  <c r="AV98" i="2"/>
  <c r="BP98" i="2"/>
  <c r="JK97" i="1"/>
  <c r="BA98" i="2" s="1"/>
  <c r="AU95" i="2"/>
  <c r="AT95" i="2"/>
  <c r="BP95" i="2"/>
  <c r="AV95" i="2"/>
  <c r="JK94" i="1"/>
  <c r="BA95" i="2" s="1"/>
  <c r="AY91" i="2"/>
  <c r="AX91" i="2"/>
  <c r="AZ91" i="2"/>
  <c r="KC90" i="1"/>
  <c r="BH91" i="2" s="1"/>
  <c r="BE91" i="2"/>
  <c r="BL91" i="2" s="1"/>
  <c r="AU87" i="2"/>
  <c r="AT87" i="2"/>
  <c r="BP87" i="2"/>
  <c r="AV87" i="2"/>
  <c r="JK86" i="1"/>
  <c r="BA87" i="2" s="1"/>
  <c r="AY83" i="2"/>
  <c r="AX83" i="2"/>
  <c r="AZ83" i="2"/>
  <c r="BH83" i="2"/>
  <c r="BE83" i="2"/>
  <c r="BL83" i="2" s="1"/>
  <c r="BP82" i="2"/>
  <c r="AU82" i="2"/>
  <c r="AV82" i="2"/>
  <c r="AT82" i="2"/>
  <c r="JK81" i="1"/>
  <c r="BA82" i="2" s="1"/>
  <c r="BE81" i="2"/>
  <c r="BL81" i="2" s="1"/>
  <c r="BP81" i="2"/>
  <c r="AU81" i="2"/>
  <c r="AV81" i="2"/>
  <c r="AT81" i="2"/>
  <c r="JK80" i="1"/>
  <c r="BA81" i="2" s="1"/>
  <c r="AY79" i="2"/>
  <c r="AZ79" i="2"/>
  <c r="AX79" i="2"/>
  <c r="KC78" i="1"/>
  <c r="BH79" i="2" s="1"/>
  <c r="AU77" i="2"/>
  <c r="BP77" i="2"/>
  <c r="AV77" i="2"/>
  <c r="AT77" i="2"/>
  <c r="JK76" i="1"/>
  <c r="BA77" i="2" s="1"/>
  <c r="BE97" i="2"/>
  <c r="AY97" i="2"/>
  <c r="AX97" i="2"/>
  <c r="AZ97" i="2"/>
  <c r="KC96" i="1"/>
  <c r="BH97" i="2" s="1"/>
  <c r="AY93" i="2"/>
  <c r="AX93" i="2"/>
  <c r="AZ93" i="2"/>
  <c r="KC92" i="1"/>
  <c r="BH93" i="2" s="1"/>
  <c r="BE93" i="2"/>
  <c r="BL93" i="2" s="1"/>
  <c r="AY89" i="2"/>
  <c r="AX89" i="2"/>
  <c r="AZ89" i="2"/>
  <c r="KC88" i="1"/>
  <c r="BH89" i="2" s="1"/>
  <c r="BE89" i="2"/>
  <c r="BL89" i="2" s="1"/>
  <c r="AY85" i="2"/>
  <c r="AX85" i="2"/>
  <c r="AZ85" i="2"/>
  <c r="KC84" i="1"/>
  <c r="BH85" i="2" s="1"/>
  <c r="BE85" i="2"/>
  <c r="BL85" i="2" s="1"/>
  <c r="AU47" i="2"/>
  <c r="BP47" i="2"/>
  <c r="AV47" i="2"/>
  <c r="AT47" i="2"/>
  <c r="JK46" i="1"/>
  <c r="BA47" i="2" s="1"/>
  <c r="AY45" i="2"/>
  <c r="KC44" i="1"/>
  <c r="BH45" i="2" s="1"/>
  <c r="AZ45" i="2"/>
  <c r="AX45" i="2"/>
  <c r="AU43" i="2"/>
  <c r="BP43" i="2"/>
  <c r="AV43" i="2"/>
  <c r="AT43" i="2"/>
  <c r="JK42" i="1"/>
  <c r="BA43" i="2" s="1"/>
  <c r="AY41" i="2"/>
  <c r="KC40" i="1"/>
  <c r="BH41" i="2" s="1"/>
  <c r="AZ41" i="2"/>
  <c r="AX41" i="2"/>
  <c r="AY75" i="2"/>
  <c r="AX75" i="2"/>
  <c r="KC74" i="1"/>
  <c r="BH75" i="2" s="1"/>
  <c r="AZ75" i="2"/>
  <c r="BE75" i="2"/>
  <c r="BL75" i="2" s="1"/>
  <c r="AY73" i="2"/>
  <c r="AX73" i="2"/>
  <c r="KC72" i="1"/>
  <c r="BH73" i="2" s="1"/>
  <c r="AZ73" i="2"/>
  <c r="BE73" i="2"/>
  <c r="BL73" i="2" s="1"/>
  <c r="AY71" i="2"/>
  <c r="AX71" i="2"/>
  <c r="KC70" i="1"/>
  <c r="BH71" i="2" s="1"/>
  <c r="AZ71" i="2"/>
  <c r="BE71" i="2"/>
  <c r="BL71" i="2" s="1"/>
  <c r="AY69" i="2"/>
  <c r="AX69" i="2"/>
  <c r="KC68" i="1"/>
  <c r="BH69" i="2" s="1"/>
  <c r="AZ69" i="2"/>
  <c r="BE69" i="2"/>
  <c r="BL69" i="2" s="1"/>
  <c r="AY67" i="2"/>
  <c r="AX67" i="2"/>
  <c r="KC66" i="1"/>
  <c r="BH67" i="2" s="1"/>
  <c r="AZ67" i="2"/>
  <c r="BE67" i="2"/>
  <c r="BL67" i="2" s="1"/>
  <c r="AY65" i="2"/>
  <c r="AX65" i="2"/>
  <c r="KC64" i="1"/>
  <c r="BH65" i="2" s="1"/>
  <c r="AZ65" i="2"/>
  <c r="BE65" i="2"/>
  <c r="BL65" i="2" s="1"/>
  <c r="AY63" i="2"/>
  <c r="AX63" i="2"/>
  <c r="KC62" i="1"/>
  <c r="BH63" i="2" s="1"/>
  <c r="AZ63" i="2"/>
  <c r="BE63" i="2"/>
  <c r="BL63" i="2" s="1"/>
  <c r="AY61" i="2"/>
  <c r="AX61" i="2"/>
  <c r="KC60" i="1"/>
  <c r="BH61" i="2" s="1"/>
  <c r="AZ61" i="2"/>
  <c r="BE61" i="2"/>
  <c r="BL61" i="2" s="1"/>
  <c r="AY59" i="2"/>
  <c r="AX59" i="2"/>
  <c r="KC58" i="1"/>
  <c r="BH59" i="2" s="1"/>
  <c r="AZ59" i="2"/>
  <c r="BE59" i="2"/>
  <c r="BL59" i="2" s="1"/>
  <c r="AY57" i="2"/>
  <c r="AX57" i="2"/>
  <c r="KC56" i="1"/>
  <c r="BH57" i="2" s="1"/>
  <c r="AZ57" i="2"/>
  <c r="BE57" i="2"/>
  <c r="BL57" i="2" s="1"/>
  <c r="AY55" i="2"/>
  <c r="AX55" i="2"/>
  <c r="KC54" i="1"/>
  <c r="BH55" i="2" s="1"/>
  <c r="AZ55" i="2"/>
  <c r="BE55" i="2"/>
  <c r="BL55" i="2" s="1"/>
  <c r="AY53" i="2"/>
  <c r="AX53" i="2"/>
  <c r="KC52" i="1"/>
  <c r="BH53" i="2" s="1"/>
  <c r="AZ53" i="2"/>
  <c r="BE53" i="2"/>
  <c r="BL53" i="2" s="1"/>
  <c r="AY51" i="2"/>
  <c r="AX51" i="2"/>
  <c r="KC50" i="1"/>
  <c r="BH51" i="2" s="1"/>
  <c r="AZ51" i="2"/>
  <c r="BE51" i="2"/>
  <c r="BL51" i="2" s="1"/>
  <c r="AY49" i="2"/>
  <c r="AX49" i="2"/>
  <c r="KC48" i="1"/>
  <c r="BH49" i="2" s="1"/>
  <c r="AZ49" i="2"/>
  <c r="BE49" i="2"/>
  <c r="BL49" i="2" s="1"/>
  <c r="BE47" i="2"/>
  <c r="BL47" i="2" s="1"/>
  <c r="BF40" i="2"/>
  <c r="BB40" i="2"/>
  <c r="BQ40" i="2"/>
  <c r="BG40" i="2"/>
  <c r="BC40" i="2"/>
  <c r="BD40" i="2" s="1"/>
  <c r="AY39" i="2"/>
  <c r="KC38" i="1"/>
  <c r="BH39" i="2" s="1"/>
  <c r="AZ39" i="2"/>
  <c r="AX39" i="2"/>
  <c r="BE39" i="2"/>
  <c r="BL39" i="2" s="1"/>
  <c r="AU37" i="2"/>
  <c r="BP37" i="2"/>
  <c r="AV37" i="2"/>
  <c r="AT37" i="2"/>
  <c r="BA37" i="2"/>
  <c r="AY35" i="2"/>
  <c r="KC34" i="1"/>
  <c r="BH35" i="2" s="1"/>
  <c r="AZ35" i="2"/>
  <c r="AX35" i="2"/>
  <c r="BE35" i="2"/>
  <c r="BL35" i="2" s="1"/>
  <c r="AU33" i="2"/>
  <c r="BP33" i="2"/>
  <c r="AV33" i="2"/>
  <c r="JK32" i="1"/>
  <c r="BA33" i="2" s="1"/>
  <c r="AT33" i="2"/>
  <c r="AY31" i="2"/>
  <c r="KC30" i="1"/>
  <c r="BH31" i="2" s="1"/>
  <c r="AZ31" i="2"/>
  <c r="AX31" i="2"/>
  <c r="BE31" i="2"/>
  <c r="BL31" i="2" s="1"/>
  <c r="AU29" i="2"/>
  <c r="BP29" i="2"/>
  <c r="AV29" i="2"/>
  <c r="AT29" i="2"/>
  <c r="BA29" i="2"/>
  <c r="AY27" i="2"/>
  <c r="KC27" i="1"/>
  <c r="BH27" i="2" s="1"/>
  <c r="AZ27" i="2"/>
  <c r="AX27" i="2"/>
  <c r="BE27" i="2"/>
  <c r="BL27" i="2" s="1"/>
  <c r="AU25" i="2"/>
  <c r="BP25" i="2"/>
  <c r="AV25" i="2"/>
  <c r="JK25" i="1"/>
  <c r="BA25" i="2" s="1"/>
  <c r="AT25" i="2"/>
  <c r="AU23" i="2"/>
  <c r="BP23" i="2"/>
  <c r="AV23" i="2"/>
  <c r="AT23" i="2"/>
  <c r="JK23" i="1"/>
  <c r="BA23" i="2" s="1"/>
  <c r="AU21" i="2"/>
  <c r="BP21" i="2"/>
  <c r="AV21" i="2"/>
  <c r="AT21" i="2"/>
  <c r="AU19" i="2"/>
  <c r="AT19" i="2"/>
  <c r="BP19" i="2"/>
  <c r="AV19" i="2"/>
  <c r="AU17" i="2"/>
  <c r="BP17" i="2"/>
  <c r="AV17" i="2"/>
  <c r="AT17" i="2"/>
  <c r="AU15" i="2"/>
  <c r="BP15" i="2"/>
  <c r="AV15" i="2"/>
  <c r="AT15" i="2"/>
  <c r="AU13" i="2"/>
  <c r="BP13" i="2"/>
  <c r="AV13" i="2"/>
  <c r="AT13" i="2"/>
  <c r="AU11" i="2"/>
  <c r="BP11" i="2"/>
  <c r="AV11" i="2"/>
  <c r="AT11" i="2"/>
  <c r="AU9" i="2"/>
  <c r="BP9" i="2"/>
  <c r="AV9" i="2"/>
  <c r="AT9" i="2"/>
  <c r="AU7" i="2"/>
  <c r="AT7" i="2"/>
  <c r="BP7" i="2"/>
  <c r="AV7" i="2"/>
  <c r="AU5" i="2"/>
  <c r="BP5" i="2"/>
  <c r="AV5" i="2"/>
  <c r="AT5" i="2"/>
  <c r="CH107" i="2" l="1"/>
  <c r="CP107" i="2"/>
  <c r="DE19" i="2" s="1"/>
  <c r="CA107" i="2"/>
  <c r="CJ107" i="2"/>
  <c r="CB107" i="2"/>
  <c r="CG107" i="2"/>
  <c r="CO107" i="2"/>
  <c r="CD107" i="2"/>
  <c r="CF107" i="2"/>
  <c r="BZ107" i="2"/>
  <c r="CE107" i="2"/>
  <c r="CI107" i="2"/>
  <c r="BC115" i="2"/>
  <c r="BD115" i="2" s="1"/>
  <c r="BQ115" i="2"/>
  <c r="BL22" i="2"/>
  <c r="BR96" i="2"/>
  <c r="IJ95" i="1" s="1"/>
  <c r="BF36" i="2"/>
  <c r="BV84" i="2"/>
  <c r="BR70" i="2"/>
  <c r="BW70" i="2" s="1"/>
  <c r="BX70" i="2" s="1"/>
  <c r="BR84" i="2"/>
  <c r="BW84" i="2" s="1"/>
  <c r="BX84" i="2" s="1"/>
  <c r="BR52" i="2"/>
  <c r="BC36" i="2"/>
  <c r="BD36" i="2" s="1"/>
  <c r="BF60" i="2"/>
  <c r="BR48" i="2"/>
  <c r="BQ36" i="2"/>
  <c r="BR36" i="2" s="1"/>
  <c r="BM52" i="2"/>
  <c r="BR101" i="2"/>
  <c r="IJ100" i="1" s="1"/>
  <c r="BR115" i="2"/>
  <c r="IJ114" i="1" s="1"/>
  <c r="BC28" i="2"/>
  <c r="BD28" i="2" s="1"/>
  <c r="BV52" i="2"/>
  <c r="BB32" i="2"/>
  <c r="BG38" i="2"/>
  <c r="BB46" i="2"/>
  <c r="BG36" i="2"/>
  <c r="BS36" i="2" s="1"/>
  <c r="BM48" i="2"/>
  <c r="BV48" i="2" s="1"/>
  <c r="BQ60" i="2"/>
  <c r="BR60" i="2" s="1"/>
  <c r="IJ59" i="1" s="1"/>
  <c r="DM60" i="2" s="1"/>
  <c r="BC30" i="2"/>
  <c r="BD30" i="2" s="1"/>
  <c r="BF28" i="2"/>
  <c r="BV28" i="2" s="1"/>
  <c r="BR66" i="2"/>
  <c r="BW66" i="2" s="1"/>
  <c r="BX66" i="2" s="1"/>
  <c r="BF30" i="2"/>
  <c r="BV30" i="2" s="1"/>
  <c r="BV94" i="2"/>
  <c r="HB93" i="1" s="1"/>
  <c r="BV101" i="2"/>
  <c r="HB100" i="1" s="1"/>
  <c r="BV70" i="2"/>
  <c r="BQ34" i="2"/>
  <c r="BR34" i="2" s="1"/>
  <c r="BR74" i="2"/>
  <c r="BW74" i="2" s="1"/>
  <c r="BX74" i="2" s="1"/>
  <c r="BR64" i="2"/>
  <c r="BW64" i="2" s="1"/>
  <c r="BX64" i="2" s="1"/>
  <c r="BS84" i="2"/>
  <c r="BV74" i="2"/>
  <c r="BR94" i="2"/>
  <c r="IJ93" i="1" s="1"/>
  <c r="BV32" i="2"/>
  <c r="BR105" i="2"/>
  <c r="IJ104" i="1" s="1"/>
  <c r="BR50" i="2"/>
  <c r="CC108" i="2"/>
  <c r="DE6" i="2" s="1"/>
  <c r="DF6" i="2" s="1"/>
  <c r="BG32" i="2"/>
  <c r="BS32" i="2" s="1"/>
  <c r="BV36" i="2"/>
  <c r="BQ30" i="2"/>
  <c r="BR30" i="2" s="1"/>
  <c r="BB38" i="2"/>
  <c r="BI46" i="2"/>
  <c r="BV103" i="2"/>
  <c r="HB102" i="1" s="1"/>
  <c r="BF111" i="2"/>
  <c r="BS90" i="2"/>
  <c r="HJ89" i="1" s="1"/>
  <c r="BW86" i="2"/>
  <c r="BX86" i="2" s="1"/>
  <c r="BV90" i="2"/>
  <c r="HB89" i="1" s="1"/>
  <c r="BR72" i="2"/>
  <c r="BW72" i="2" s="1"/>
  <c r="BX72" i="2" s="1"/>
  <c r="BR68" i="2"/>
  <c r="BW68" i="2" s="1"/>
  <c r="BX68" i="2" s="1"/>
  <c r="BS86" i="2"/>
  <c r="BR62" i="2"/>
  <c r="IJ61" i="1" s="1"/>
  <c r="DM62" i="2" s="1"/>
  <c r="BQ28" i="2"/>
  <c r="BR28" i="2" s="1"/>
  <c r="BC32" i="2"/>
  <c r="BD32" i="2" s="1"/>
  <c r="BQ32" i="2"/>
  <c r="BR32" i="2" s="1"/>
  <c r="BR40" i="2"/>
  <c r="BW40" i="2" s="1"/>
  <c r="BX40" i="2" s="1"/>
  <c r="BV40" i="2"/>
  <c r="BC38" i="2"/>
  <c r="BD38" i="2" s="1"/>
  <c r="BQ38" i="2"/>
  <c r="BR38" i="2" s="1"/>
  <c r="BR103" i="2"/>
  <c r="IJ102" i="1" s="1"/>
  <c r="DE21" i="2"/>
  <c r="CD108" i="2"/>
  <c r="CF108" i="2"/>
  <c r="CB108" i="2"/>
  <c r="CG108" i="2"/>
  <c r="DE16" i="2"/>
  <c r="DE20" i="2"/>
  <c r="CH108" i="2"/>
  <c r="CA108" i="2"/>
  <c r="CJ108" i="2"/>
  <c r="BZ108" i="2"/>
  <c r="CE108" i="2"/>
  <c r="CI108" i="2"/>
  <c r="CO108" i="2"/>
  <c r="DE17" i="2"/>
  <c r="DE15" i="2"/>
  <c r="DE23" i="2"/>
  <c r="DE14" i="2"/>
  <c r="DE22" i="2"/>
  <c r="BS48" i="2"/>
  <c r="BS52" i="2"/>
  <c r="BS96" i="2"/>
  <c r="HJ95" i="1" s="1"/>
  <c r="BV86" i="2"/>
  <c r="BG30" i="2"/>
  <c r="BS30" i="2" s="1"/>
  <c r="BS68" i="2"/>
  <c r="BS103" i="2"/>
  <c r="HJ102" i="1" s="1"/>
  <c r="BR88" i="2"/>
  <c r="BW88" i="2" s="1"/>
  <c r="BX88" i="2" s="1"/>
  <c r="BR76" i="2"/>
  <c r="BW76" i="2" s="1"/>
  <c r="BX76" i="2" s="1"/>
  <c r="BS92" i="2"/>
  <c r="HJ91" i="1" s="1"/>
  <c r="BV110" i="2"/>
  <c r="BS76" i="2"/>
  <c r="BS70" i="2"/>
  <c r="BV92" i="2"/>
  <c r="HB91" i="1" s="1"/>
  <c r="BV66" i="2"/>
  <c r="BS56" i="2"/>
  <c r="BS62" i="2"/>
  <c r="HJ61" i="1" s="1"/>
  <c r="BG28" i="2"/>
  <c r="BS28" i="2" s="1"/>
  <c r="BQ26" i="2"/>
  <c r="BR26" i="2" s="1"/>
  <c r="BB54" i="2"/>
  <c r="BQ113" i="2"/>
  <c r="BR113" i="2" s="1"/>
  <c r="IJ112" i="1" s="1"/>
  <c r="BC34" i="2"/>
  <c r="BD34" i="2" s="1"/>
  <c r="BF34" i="2"/>
  <c r="BV34" i="2" s="1"/>
  <c r="BS40" i="2"/>
  <c r="BS94" i="2"/>
  <c r="HJ93" i="1" s="1"/>
  <c r="BS66" i="2"/>
  <c r="BV64" i="2"/>
  <c r="BC26" i="2"/>
  <c r="BD26" i="2" s="1"/>
  <c r="BF26" i="2"/>
  <c r="BV26" i="2" s="1"/>
  <c r="BB58" i="2"/>
  <c r="BJ46" i="2"/>
  <c r="BK46" i="2" s="1"/>
  <c r="BC113" i="2"/>
  <c r="BD113" i="2" s="1"/>
  <c r="BF113" i="2"/>
  <c r="BQ44" i="2"/>
  <c r="BR44" i="2" s="1"/>
  <c r="BV99" i="2"/>
  <c r="HB98" i="1" s="1"/>
  <c r="BV62" i="2"/>
  <c r="HB61" i="1" s="1"/>
  <c r="BG34" i="2"/>
  <c r="BS34" i="2" s="1"/>
  <c r="BG26" i="2"/>
  <c r="BS26" i="2" s="1"/>
  <c r="BS64" i="2"/>
  <c r="BV68" i="2"/>
  <c r="BV72" i="2"/>
  <c r="BV76" i="2"/>
  <c r="BV96" i="2"/>
  <c r="HB95" i="1" s="1"/>
  <c r="BG46" i="2"/>
  <c r="BS46" i="2" s="1"/>
  <c r="BM46" i="2"/>
  <c r="BR92" i="2"/>
  <c r="IJ91" i="1" s="1"/>
  <c r="BS99" i="2"/>
  <c r="HJ98" i="1" s="1"/>
  <c r="BR99" i="2"/>
  <c r="BW99" i="2" s="1"/>
  <c r="BX99" i="2" s="1"/>
  <c r="BG113" i="2"/>
  <c r="BC111" i="2"/>
  <c r="BD111" i="2" s="1"/>
  <c r="BW20" i="2"/>
  <c r="BX20" i="2" s="1"/>
  <c r="BV116" i="2"/>
  <c r="BQ111" i="2"/>
  <c r="BR111" i="2" s="1"/>
  <c r="IJ110" i="1" s="1"/>
  <c r="BJ54" i="2"/>
  <c r="BK54" i="2" s="1"/>
  <c r="BI54" i="2"/>
  <c r="BN54" i="2"/>
  <c r="BM54" i="2"/>
  <c r="BJ58" i="2"/>
  <c r="BK58" i="2" s="1"/>
  <c r="BI58" i="2"/>
  <c r="BM58" i="2"/>
  <c r="BN58" i="2"/>
  <c r="BN60" i="2"/>
  <c r="BS60" i="2" s="1"/>
  <c r="HJ59" i="1" s="1"/>
  <c r="BM60" i="2"/>
  <c r="BI60" i="2"/>
  <c r="BJ60" i="2"/>
  <c r="BK60" i="2" s="1"/>
  <c r="BG54" i="2"/>
  <c r="BQ54" i="2"/>
  <c r="BR54" i="2" s="1"/>
  <c r="BF54" i="2"/>
  <c r="BG58" i="2"/>
  <c r="BS58" i="2" s="1"/>
  <c r="HJ57" i="1" s="1"/>
  <c r="BF58" i="2"/>
  <c r="BV58" i="2" s="1"/>
  <c r="HB57" i="1" s="1"/>
  <c r="BQ58" i="2"/>
  <c r="BR58" i="2" s="1"/>
  <c r="IJ57" i="1" s="1"/>
  <c r="DM58" i="2" s="1"/>
  <c r="BF46" i="2"/>
  <c r="BQ46" i="2"/>
  <c r="BR46" i="2" s="1"/>
  <c r="BF44" i="2"/>
  <c r="BG44" i="2"/>
  <c r="BB44" i="2"/>
  <c r="BJ50" i="2"/>
  <c r="BK50" i="2" s="1"/>
  <c r="BI50" i="2"/>
  <c r="BM50" i="2"/>
  <c r="BV50" i="2" s="1"/>
  <c r="BN50" i="2"/>
  <c r="BS50" i="2" s="1"/>
  <c r="BJ48" i="2"/>
  <c r="BK48" i="2" s="1"/>
  <c r="BI48" i="2"/>
  <c r="BJ52" i="2"/>
  <c r="BK52" i="2" s="1"/>
  <c r="BI52" i="2"/>
  <c r="BC60" i="2"/>
  <c r="BD60" i="2" s="1"/>
  <c r="BB60" i="2"/>
  <c r="BG111" i="2"/>
  <c r="BQ78" i="2"/>
  <c r="BR78" i="2" s="1"/>
  <c r="BJ38" i="2"/>
  <c r="BK38" i="2" s="1"/>
  <c r="BN38" i="2"/>
  <c r="BM38" i="2"/>
  <c r="BV38" i="2" s="1"/>
  <c r="BF78" i="2"/>
  <c r="BG78" i="2"/>
  <c r="BB78" i="2"/>
  <c r="BS88" i="2"/>
  <c r="BS101" i="2"/>
  <c r="HJ100" i="1" s="1"/>
  <c r="BN113" i="2"/>
  <c r="BI113" i="2"/>
  <c r="BJ113" i="2"/>
  <c r="BK113" i="2" s="1"/>
  <c r="BM113" i="2"/>
  <c r="BS116" i="2"/>
  <c r="BS72" i="2"/>
  <c r="BV88" i="2"/>
  <c r="BS109" i="2"/>
  <c r="HJ108" i="1" s="1"/>
  <c r="BV109" i="2"/>
  <c r="HB108" i="1" s="1"/>
  <c r="BN111" i="2"/>
  <c r="BJ111" i="2"/>
  <c r="BK111" i="2" s="1"/>
  <c r="BM111" i="2"/>
  <c r="BI111" i="2"/>
  <c r="BR110" i="2"/>
  <c r="BW110" i="2" s="1"/>
  <c r="BX110" i="2" s="1"/>
  <c r="BM112" i="2"/>
  <c r="BI112" i="2"/>
  <c r="BN112" i="2"/>
  <c r="BJ112" i="2"/>
  <c r="BK112" i="2" s="1"/>
  <c r="BN115" i="2"/>
  <c r="BS115" i="2" s="1"/>
  <c r="HJ114" i="1" s="1"/>
  <c r="BJ115" i="2"/>
  <c r="BK115" i="2" s="1"/>
  <c r="BM115" i="2"/>
  <c r="BV115" i="2" s="1"/>
  <c r="HB114" i="1" s="1"/>
  <c r="BI115" i="2"/>
  <c r="BM114" i="2"/>
  <c r="BI114" i="2"/>
  <c r="BN114" i="2"/>
  <c r="BJ114" i="2"/>
  <c r="BK114" i="2" s="1"/>
  <c r="BQ114" i="2"/>
  <c r="BR114" i="2" s="1"/>
  <c r="IJ113" i="1" s="1"/>
  <c r="BG114" i="2"/>
  <c r="BC114" i="2"/>
  <c r="BD114" i="2" s="1"/>
  <c r="BF114" i="2"/>
  <c r="BB114" i="2"/>
  <c r="BQ112" i="2"/>
  <c r="BR112" i="2" s="1"/>
  <c r="IJ111" i="1" s="1"/>
  <c r="BG112" i="2"/>
  <c r="BC112" i="2"/>
  <c r="BD112" i="2" s="1"/>
  <c r="BF112" i="2"/>
  <c r="BB112" i="2"/>
  <c r="BS110" i="2"/>
  <c r="BW116" i="2"/>
  <c r="BX116" i="2" s="1"/>
  <c r="BJ42" i="2"/>
  <c r="BK42" i="2" s="1"/>
  <c r="BI42" i="2"/>
  <c r="BN42" i="2"/>
  <c r="BM42" i="2"/>
  <c r="BB42" i="2"/>
  <c r="BG42" i="2"/>
  <c r="BQ42" i="2"/>
  <c r="BR42" i="2" s="1"/>
  <c r="BF42" i="2"/>
  <c r="BC42" i="2"/>
  <c r="BD42" i="2" s="1"/>
  <c r="BF80" i="2"/>
  <c r="BQ80" i="2"/>
  <c r="BR80" i="2" s="1"/>
  <c r="BC80" i="2"/>
  <c r="BD80" i="2" s="1"/>
  <c r="BB80" i="2"/>
  <c r="BG80" i="2"/>
  <c r="BB107" i="2"/>
  <c r="BG107" i="2"/>
  <c r="BF107" i="2"/>
  <c r="BQ107" i="2"/>
  <c r="BR107" i="2" s="1"/>
  <c r="IJ106" i="1" s="1"/>
  <c r="BC107" i="2"/>
  <c r="BD107" i="2" s="1"/>
  <c r="BJ78" i="2"/>
  <c r="BK78" i="2" s="1"/>
  <c r="BI78" i="2"/>
  <c r="BN78" i="2"/>
  <c r="BM78" i="2"/>
  <c r="BN80" i="2"/>
  <c r="BM80" i="2"/>
  <c r="BJ80" i="2"/>
  <c r="BK80" i="2" s="1"/>
  <c r="BI80" i="2"/>
  <c r="BN44" i="2"/>
  <c r="BM44" i="2"/>
  <c r="BJ44" i="2"/>
  <c r="BK44" i="2" s="1"/>
  <c r="BI44" i="2"/>
  <c r="BM105" i="2"/>
  <c r="BV105" i="2" s="1"/>
  <c r="HB104" i="1" s="1"/>
  <c r="BI105" i="2"/>
  <c r="BN105" i="2"/>
  <c r="BS105" i="2" s="1"/>
  <c r="HJ104" i="1" s="1"/>
  <c r="BJ105" i="2"/>
  <c r="BK105" i="2" s="1"/>
  <c r="BJ107" i="2"/>
  <c r="BK107" i="2" s="1"/>
  <c r="BI107" i="2"/>
  <c r="BN107" i="2"/>
  <c r="BM107" i="2"/>
  <c r="BM27" i="2"/>
  <c r="BI27" i="2"/>
  <c r="BN27" i="2"/>
  <c r="BJ27" i="2"/>
  <c r="BK27" i="2" s="1"/>
  <c r="BQ29" i="2"/>
  <c r="BR29" i="2" s="1"/>
  <c r="BG29" i="2"/>
  <c r="BC29" i="2"/>
  <c r="BD29" i="2" s="1"/>
  <c r="BF29" i="2"/>
  <c r="BB29" i="2"/>
  <c r="BM31" i="2"/>
  <c r="BI31" i="2"/>
  <c r="BN31" i="2"/>
  <c r="BJ31" i="2"/>
  <c r="BK31" i="2" s="1"/>
  <c r="BM35" i="2"/>
  <c r="BI35" i="2"/>
  <c r="BN35" i="2"/>
  <c r="BJ35" i="2"/>
  <c r="BK35" i="2" s="1"/>
  <c r="BQ37" i="2"/>
  <c r="BR37" i="2" s="1"/>
  <c r="BG37" i="2"/>
  <c r="BC37" i="2"/>
  <c r="BD37" i="2" s="1"/>
  <c r="BF37" i="2"/>
  <c r="BB37" i="2"/>
  <c r="BM39" i="2"/>
  <c r="BI39" i="2"/>
  <c r="BN39" i="2"/>
  <c r="BJ39" i="2"/>
  <c r="BK39" i="2" s="1"/>
  <c r="BM51" i="2"/>
  <c r="BI51" i="2"/>
  <c r="BN51" i="2"/>
  <c r="BJ51" i="2"/>
  <c r="BK51" i="2" s="1"/>
  <c r="BM55" i="2"/>
  <c r="BI55" i="2"/>
  <c r="BN55" i="2"/>
  <c r="BJ55" i="2"/>
  <c r="BK55" i="2" s="1"/>
  <c r="BM59" i="2"/>
  <c r="BI59" i="2"/>
  <c r="BN59" i="2"/>
  <c r="BJ59" i="2"/>
  <c r="BK59" i="2" s="1"/>
  <c r="BM63" i="2"/>
  <c r="BI63" i="2"/>
  <c r="BN63" i="2"/>
  <c r="BJ63" i="2"/>
  <c r="BK63" i="2" s="1"/>
  <c r="BM67" i="2"/>
  <c r="BI67" i="2"/>
  <c r="BN67" i="2"/>
  <c r="BJ67" i="2"/>
  <c r="BK67" i="2" s="1"/>
  <c r="BM71" i="2"/>
  <c r="BI71" i="2"/>
  <c r="BN71" i="2"/>
  <c r="BJ71" i="2"/>
  <c r="BK71" i="2" s="1"/>
  <c r="BM75" i="2"/>
  <c r="BI75" i="2"/>
  <c r="BN75" i="2"/>
  <c r="BJ75" i="2"/>
  <c r="BK75" i="2" s="1"/>
  <c r="BM45" i="2"/>
  <c r="BI45" i="2"/>
  <c r="BN45" i="2"/>
  <c r="BJ45" i="2"/>
  <c r="BK45" i="2" s="1"/>
  <c r="BQ47" i="2"/>
  <c r="BR47" i="2" s="1"/>
  <c r="BG47" i="2"/>
  <c r="BC47" i="2"/>
  <c r="BD47" i="2" s="1"/>
  <c r="BF47" i="2"/>
  <c r="BB47" i="2"/>
  <c r="BM85" i="2"/>
  <c r="BI85" i="2"/>
  <c r="BN85" i="2"/>
  <c r="BJ85" i="2"/>
  <c r="BK85" i="2" s="1"/>
  <c r="BM93" i="2"/>
  <c r="BI93" i="2"/>
  <c r="BN93" i="2"/>
  <c r="BJ93" i="2"/>
  <c r="BK93" i="2" s="1"/>
  <c r="BN97" i="2"/>
  <c r="BI97" i="2"/>
  <c r="BJ97" i="2"/>
  <c r="BK97" i="2" s="1"/>
  <c r="BM97" i="2"/>
  <c r="BM79" i="2"/>
  <c r="BI79" i="2"/>
  <c r="BN79" i="2"/>
  <c r="BJ79" i="2"/>
  <c r="BK79" i="2" s="1"/>
  <c r="BF81" i="2"/>
  <c r="BB81" i="2"/>
  <c r="BQ81" i="2"/>
  <c r="BR81" i="2" s="1"/>
  <c r="BG81" i="2"/>
  <c r="BC81" i="2"/>
  <c r="BD81" i="2" s="1"/>
  <c r="BF82" i="2"/>
  <c r="BG82" i="2"/>
  <c r="BC82" i="2"/>
  <c r="BD82" i="2" s="1"/>
  <c r="BQ82" i="2"/>
  <c r="BR82" i="2" s="1"/>
  <c r="BB82" i="2"/>
  <c r="BM83" i="2"/>
  <c r="BI83" i="2"/>
  <c r="BN83" i="2"/>
  <c r="BJ83" i="2"/>
  <c r="BK83" i="2" s="1"/>
  <c r="BQ87" i="2"/>
  <c r="BR87" i="2" s="1"/>
  <c r="BG87" i="2"/>
  <c r="BC87" i="2"/>
  <c r="BD87" i="2" s="1"/>
  <c r="BF87" i="2"/>
  <c r="BB87" i="2"/>
  <c r="BM104" i="2"/>
  <c r="BI104" i="2"/>
  <c r="BN104" i="2"/>
  <c r="BJ104" i="2"/>
  <c r="BK104" i="2" s="1"/>
  <c r="BM108" i="2"/>
  <c r="BI108" i="2"/>
  <c r="BN108" i="2"/>
  <c r="BJ108" i="2"/>
  <c r="BK108" i="2" s="1"/>
  <c r="BM29" i="2"/>
  <c r="BI29" i="2"/>
  <c r="BN29" i="2"/>
  <c r="BJ29" i="2"/>
  <c r="BK29" i="2" s="1"/>
  <c r="BQ31" i="2"/>
  <c r="BR31" i="2" s="1"/>
  <c r="BG31" i="2"/>
  <c r="BC31" i="2"/>
  <c r="BD31" i="2" s="1"/>
  <c r="BF31" i="2"/>
  <c r="BB31" i="2"/>
  <c r="BM33" i="2"/>
  <c r="BI33" i="2"/>
  <c r="BN33" i="2"/>
  <c r="BJ33" i="2"/>
  <c r="BK33" i="2" s="1"/>
  <c r="BQ35" i="2"/>
  <c r="BR35" i="2" s="1"/>
  <c r="BG35" i="2"/>
  <c r="BC35" i="2"/>
  <c r="BD35" i="2" s="1"/>
  <c r="BF35" i="2"/>
  <c r="BB35" i="2"/>
  <c r="BM37" i="2"/>
  <c r="BI37" i="2"/>
  <c r="BN37" i="2"/>
  <c r="BJ37" i="2"/>
  <c r="BK37" i="2" s="1"/>
  <c r="BQ39" i="2"/>
  <c r="BR39" i="2" s="1"/>
  <c r="BG39" i="2"/>
  <c r="BC39" i="2"/>
  <c r="BD39" i="2" s="1"/>
  <c r="BF39" i="2"/>
  <c r="BB39" i="2"/>
  <c r="BL45" i="2"/>
  <c r="BQ51" i="2"/>
  <c r="BR51" i="2" s="1"/>
  <c r="BG51" i="2"/>
  <c r="BC51" i="2"/>
  <c r="BD51" i="2" s="1"/>
  <c r="BF51" i="2"/>
  <c r="BB51" i="2"/>
  <c r="BQ55" i="2"/>
  <c r="BR55" i="2" s="1"/>
  <c r="BG55" i="2"/>
  <c r="BC55" i="2"/>
  <c r="BD55" i="2" s="1"/>
  <c r="BF55" i="2"/>
  <c r="BB55" i="2"/>
  <c r="BQ59" i="2"/>
  <c r="BR59" i="2" s="1"/>
  <c r="IJ58" i="1" s="1"/>
  <c r="DM59" i="2" s="1"/>
  <c r="BG59" i="2"/>
  <c r="BC59" i="2"/>
  <c r="BD59" i="2" s="1"/>
  <c r="BF59" i="2"/>
  <c r="BB59" i="2"/>
  <c r="BQ63" i="2"/>
  <c r="BR63" i="2" s="1"/>
  <c r="BG63" i="2"/>
  <c r="BC63" i="2"/>
  <c r="BD63" i="2" s="1"/>
  <c r="BF63" i="2"/>
  <c r="BB63" i="2"/>
  <c r="BQ67" i="2"/>
  <c r="BR67" i="2" s="1"/>
  <c r="BG67" i="2"/>
  <c r="BC67" i="2"/>
  <c r="BD67" i="2" s="1"/>
  <c r="BF67" i="2"/>
  <c r="BB67" i="2"/>
  <c r="BQ71" i="2"/>
  <c r="BR71" i="2" s="1"/>
  <c r="BG71" i="2"/>
  <c r="BC71" i="2"/>
  <c r="BD71" i="2" s="1"/>
  <c r="BF71" i="2"/>
  <c r="BB71" i="2"/>
  <c r="BQ75" i="2"/>
  <c r="BR75" i="2" s="1"/>
  <c r="BG75" i="2"/>
  <c r="BC75" i="2"/>
  <c r="BD75" i="2" s="1"/>
  <c r="BF75" i="2"/>
  <c r="BB75" i="2"/>
  <c r="BQ41" i="2"/>
  <c r="BR41" i="2" s="1"/>
  <c r="BG41" i="2"/>
  <c r="BC41" i="2"/>
  <c r="BD41" i="2" s="1"/>
  <c r="BF41" i="2"/>
  <c r="BB41" i="2"/>
  <c r="BM47" i="2"/>
  <c r="BI47" i="2"/>
  <c r="BN47" i="2"/>
  <c r="BJ47" i="2"/>
  <c r="BK47" i="2" s="1"/>
  <c r="BQ89" i="2"/>
  <c r="BR89" i="2" s="1"/>
  <c r="IJ88" i="1" s="1"/>
  <c r="BG89" i="2"/>
  <c r="BC89" i="2"/>
  <c r="BD89" i="2" s="1"/>
  <c r="BF89" i="2"/>
  <c r="BB89" i="2"/>
  <c r="BQ93" i="2"/>
  <c r="BR93" i="2" s="1"/>
  <c r="IJ92" i="1" s="1"/>
  <c r="BG93" i="2"/>
  <c r="BC93" i="2"/>
  <c r="BD93" i="2" s="1"/>
  <c r="BF93" i="2"/>
  <c r="BB93" i="2"/>
  <c r="BM77" i="2"/>
  <c r="BI77" i="2"/>
  <c r="BN77" i="2"/>
  <c r="BJ77" i="2"/>
  <c r="BK77" i="2" s="1"/>
  <c r="BQ79" i="2"/>
  <c r="BR79" i="2" s="1"/>
  <c r="BG79" i="2"/>
  <c r="BC79" i="2"/>
  <c r="BD79" i="2" s="1"/>
  <c r="BF79" i="2"/>
  <c r="BB79" i="2"/>
  <c r="BQ83" i="2"/>
  <c r="BR83" i="2" s="1"/>
  <c r="BG83" i="2"/>
  <c r="BC83" i="2"/>
  <c r="BD83" i="2" s="1"/>
  <c r="BF83" i="2"/>
  <c r="BB83" i="2"/>
  <c r="BM95" i="2"/>
  <c r="BI95" i="2"/>
  <c r="BN95" i="2"/>
  <c r="BJ95" i="2"/>
  <c r="BK95" i="2" s="1"/>
  <c r="BQ102" i="2"/>
  <c r="BR102" i="2" s="1"/>
  <c r="IJ101" i="1" s="1"/>
  <c r="BG102" i="2"/>
  <c r="BC102" i="2"/>
  <c r="BD102" i="2" s="1"/>
  <c r="BF102" i="2"/>
  <c r="BB102" i="2"/>
  <c r="BQ108" i="2"/>
  <c r="BR108" i="2" s="1"/>
  <c r="IJ107" i="1" s="1"/>
  <c r="BG108" i="2"/>
  <c r="BC108" i="2"/>
  <c r="BD108" i="2" s="1"/>
  <c r="BF108" i="2"/>
  <c r="BB108" i="2"/>
  <c r="BW109" i="2"/>
  <c r="BX109" i="2" s="1"/>
  <c r="IJ108" i="1"/>
  <c r="BM25" i="2"/>
  <c r="BI25" i="2"/>
  <c r="BN25" i="2"/>
  <c r="BJ25" i="2"/>
  <c r="BK25" i="2" s="1"/>
  <c r="BQ27" i="2"/>
  <c r="BR27" i="2" s="1"/>
  <c r="BG27" i="2"/>
  <c r="BC27" i="2"/>
  <c r="BD27" i="2" s="1"/>
  <c r="BF27" i="2"/>
  <c r="BB27" i="2"/>
  <c r="BQ23" i="2"/>
  <c r="BR23" i="2" s="1"/>
  <c r="BG23" i="2"/>
  <c r="BC23" i="2"/>
  <c r="BD23" i="2" s="1"/>
  <c r="BF23" i="2"/>
  <c r="BB23" i="2"/>
  <c r="BQ25" i="2"/>
  <c r="BR25" i="2" s="1"/>
  <c r="BG25" i="2"/>
  <c r="BC25" i="2"/>
  <c r="BD25" i="2" s="1"/>
  <c r="BF25" i="2"/>
  <c r="BB25" i="2"/>
  <c r="BQ33" i="2"/>
  <c r="BR33" i="2" s="1"/>
  <c r="BG33" i="2"/>
  <c r="BC33" i="2"/>
  <c r="BD33" i="2" s="1"/>
  <c r="BF33" i="2"/>
  <c r="BB33" i="2"/>
  <c r="BM49" i="2"/>
  <c r="BI49" i="2"/>
  <c r="BN49" i="2"/>
  <c r="BJ49" i="2"/>
  <c r="BK49" i="2" s="1"/>
  <c r="BM53" i="2"/>
  <c r="BI53" i="2"/>
  <c r="BN53" i="2"/>
  <c r="BJ53" i="2"/>
  <c r="BK53" i="2" s="1"/>
  <c r="BM57" i="2"/>
  <c r="BI57" i="2"/>
  <c r="BN57" i="2"/>
  <c r="BJ57" i="2"/>
  <c r="BK57" i="2" s="1"/>
  <c r="BM61" i="2"/>
  <c r="BI61" i="2"/>
  <c r="BN61" i="2"/>
  <c r="BJ61" i="2"/>
  <c r="BK61" i="2" s="1"/>
  <c r="BM65" i="2"/>
  <c r="BI65" i="2"/>
  <c r="BN65" i="2"/>
  <c r="BJ65" i="2"/>
  <c r="BK65" i="2" s="1"/>
  <c r="BM69" i="2"/>
  <c r="BI69" i="2"/>
  <c r="BN69" i="2"/>
  <c r="BJ69" i="2"/>
  <c r="BK69" i="2" s="1"/>
  <c r="BM73" i="2"/>
  <c r="BI73" i="2"/>
  <c r="BN73" i="2"/>
  <c r="BJ73" i="2"/>
  <c r="BK73" i="2" s="1"/>
  <c r="BM41" i="2"/>
  <c r="BI41" i="2"/>
  <c r="BN41" i="2"/>
  <c r="BJ41" i="2"/>
  <c r="BK41" i="2" s="1"/>
  <c r="BQ43" i="2"/>
  <c r="BR43" i="2" s="1"/>
  <c r="BG43" i="2"/>
  <c r="BC43" i="2"/>
  <c r="BD43" i="2" s="1"/>
  <c r="BF43" i="2"/>
  <c r="BB43" i="2"/>
  <c r="BM89" i="2"/>
  <c r="BI89" i="2"/>
  <c r="BN89" i="2"/>
  <c r="BJ89" i="2"/>
  <c r="BK89" i="2" s="1"/>
  <c r="BL97" i="2"/>
  <c r="BQ77" i="2"/>
  <c r="BR77" i="2" s="1"/>
  <c r="BG77" i="2"/>
  <c r="BC77" i="2"/>
  <c r="BD77" i="2" s="1"/>
  <c r="BF77" i="2"/>
  <c r="BB77" i="2"/>
  <c r="BM91" i="2"/>
  <c r="BI91" i="2"/>
  <c r="BN91" i="2"/>
  <c r="BJ91" i="2"/>
  <c r="BK91" i="2" s="1"/>
  <c r="BQ95" i="2"/>
  <c r="BR95" i="2" s="1"/>
  <c r="BG95" i="2"/>
  <c r="BC95" i="2"/>
  <c r="BD95" i="2" s="1"/>
  <c r="BF95" i="2"/>
  <c r="BB95" i="2"/>
  <c r="BQ98" i="2"/>
  <c r="BR98" i="2" s="1"/>
  <c r="IJ97" i="1" s="1"/>
  <c r="BG98" i="2"/>
  <c r="BC98" i="2"/>
  <c r="BD98" i="2" s="1"/>
  <c r="BF98" i="2"/>
  <c r="BB98" i="2"/>
  <c r="BM100" i="2"/>
  <c r="BI100" i="2"/>
  <c r="BN100" i="2"/>
  <c r="BJ100" i="2"/>
  <c r="BK100" i="2" s="1"/>
  <c r="BM102" i="2"/>
  <c r="BI102" i="2"/>
  <c r="BN102" i="2"/>
  <c r="BJ102" i="2"/>
  <c r="BK102" i="2" s="1"/>
  <c r="BL106" i="2"/>
  <c r="BM106" i="2"/>
  <c r="BI106" i="2"/>
  <c r="BN106" i="2"/>
  <c r="BJ106" i="2"/>
  <c r="BK106" i="2" s="1"/>
  <c r="BQ49" i="2"/>
  <c r="BR49" i="2" s="1"/>
  <c r="BG49" i="2"/>
  <c r="BC49" i="2"/>
  <c r="BD49" i="2" s="1"/>
  <c r="BF49" i="2"/>
  <c r="BB49" i="2"/>
  <c r="BQ53" i="2"/>
  <c r="BR53" i="2" s="1"/>
  <c r="BG53" i="2"/>
  <c r="BC53" i="2"/>
  <c r="BD53" i="2" s="1"/>
  <c r="BF53" i="2"/>
  <c r="BB53" i="2"/>
  <c r="BQ57" i="2"/>
  <c r="BR57" i="2" s="1"/>
  <c r="IJ56" i="1" s="1"/>
  <c r="DM57" i="2" s="1"/>
  <c r="BG57" i="2"/>
  <c r="BC57" i="2"/>
  <c r="BD57" i="2" s="1"/>
  <c r="BF57" i="2"/>
  <c r="BB57" i="2"/>
  <c r="BQ61" i="2"/>
  <c r="BR61" i="2" s="1"/>
  <c r="IJ60" i="1" s="1"/>
  <c r="DM61" i="2" s="1"/>
  <c r="BG61" i="2"/>
  <c r="BC61" i="2"/>
  <c r="BD61" i="2" s="1"/>
  <c r="BF61" i="2"/>
  <c r="BB61" i="2"/>
  <c r="BQ65" i="2"/>
  <c r="BR65" i="2" s="1"/>
  <c r="BG65" i="2"/>
  <c r="BC65" i="2"/>
  <c r="BD65" i="2" s="1"/>
  <c r="BF65" i="2"/>
  <c r="BB65" i="2"/>
  <c r="BQ69" i="2"/>
  <c r="BR69" i="2" s="1"/>
  <c r="BG69" i="2"/>
  <c r="BC69" i="2"/>
  <c r="BD69" i="2" s="1"/>
  <c r="BF69" i="2"/>
  <c r="BB69" i="2"/>
  <c r="BQ73" i="2"/>
  <c r="BR73" i="2" s="1"/>
  <c r="BG73" i="2"/>
  <c r="BC73" i="2"/>
  <c r="BD73" i="2" s="1"/>
  <c r="BF73" i="2"/>
  <c r="BB73" i="2"/>
  <c r="BM43" i="2"/>
  <c r="BI43" i="2"/>
  <c r="BN43" i="2"/>
  <c r="BJ43" i="2"/>
  <c r="BK43" i="2" s="1"/>
  <c r="BQ45" i="2"/>
  <c r="BR45" i="2" s="1"/>
  <c r="BG45" i="2"/>
  <c r="BC45" i="2"/>
  <c r="BD45" i="2" s="1"/>
  <c r="BF45" i="2"/>
  <c r="BB45" i="2"/>
  <c r="BQ85" i="2"/>
  <c r="BR85" i="2" s="1"/>
  <c r="BG85" i="2"/>
  <c r="BC85" i="2"/>
  <c r="BD85" i="2" s="1"/>
  <c r="BF85" i="2"/>
  <c r="BB85" i="2"/>
  <c r="BG97" i="2"/>
  <c r="BC97" i="2"/>
  <c r="BD97" i="2" s="1"/>
  <c r="BQ97" i="2"/>
  <c r="BR97" i="2" s="1"/>
  <c r="IJ96" i="1" s="1"/>
  <c r="BF97" i="2"/>
  <c r="BB97" i="2"/>
  <c r="BN81" i="2"/>
  <c r="BJ81" i="2"/>
  <c r="BK81" i="2" s="1"/>
  <c r="BM81" i="2"/>
  <c r="BI81" i="2"/>
  <c r="BN82" i="2"/>
  <c r="BJ82" i="2"/>
  <c r="BK82" i="2" s="1"/>
  <c r="BM82" i="2"/>
  <c r="BI82" i="2"/>
  <c r="BM87" i="2"/>
  <c r="BI87" i="2"/>
  <c r="BN87" i="2"/>
  <c r="BJ87" i="2"/>
  <c r="BK87" i="2" s="1"/>
  <c r="BQ91" i="2"/>
  <c r="BR91" i="2" s="1"/>
  <c r="IJ90" i="1" s="1"/>
  <c r="BG91" i="2"/>
  <c r="BC91" i="2"/>
  <c r="BD91" i="2" s="1"/>
  <c r="BF91" i="2"/>
  <c r="BB91" i="2"/>
  <c r="BM98" i="2"/>
  <c r="BI98" i="2"/>
  <c r="BN98" i="2"/>
  <c r="BJ98" i="2"/>
  <c r="BK98" i="2" s="1"/>
  <c r="BQ100" i="2"/>
  <c r="BR100" i="2" s="1"/>
  <c r="IJ99" i="1" s="1"/>
  <c r="BG100" i="2"/>
  <c r="BC100" i="2"/>
  <c r="BD100" i="2" s="1"/>
  <c r="BF100" i="2"/>
  <c r="BB100" i="2"/>
  <c r="BQ104" i="2"/>
  <c r="BR104" i="2" s="1"/>
  <c r="IJ103" i="1" s="1"/>
  <c r="BG104" i="2"/>
  <c r="BC104" i="2"/>
  <c r="BD104" i="2" s="1"/>
  <c r="BF104" i="2"/>
  <c r="BB104" i="2"/>
  <c r="BL105" i="2"/>
  <c r="BQ106" i="2"/>
  <c r="BR106" i="2" s="1"/>
  <c r="IJ105" i="1" s="1"/>
  <c r="BG106" i="2"/>
  <c r="BC106" i="2"/>
  <c r="BD106" i="2" s="1"/>
  <c r="BF106" i="2"/>
  <c r="BB106" i="2"/>
  <c r="BL21" i="2"/>
  <c r="BL23" i="2"/>
  <c r="BM23" i="2"/>
  <c r="BI23" i="2"/>
  <c r="BN23" i="2"/>
  <c r="BJ23" i="2"/>
  <c r="BK23" i="2" s="1"/>
  <c r="BW56" i="2"/>
  <c r="BX56" i="2" s="1"/>
  <c r="BW90" i="2"/>
  <c r="BX90" i="2" s="1"/>
  <c r="ED21" i="2"/>
  <c r="ED20" i="2"/>
  <c r="ED19" i="2"/>
  <c r="EC21" i="2"/>
  <c r="EC20" i="2"/>
  <c r="EC19" i="2"/>
  <c r="DS3" i="2"/>
  <c r="DS4" i="2"/>
  <c r="DS5" i="2"/>
  <c r="DS6" i="2"/>
  <c r="DS7" i="2"/>
  <c r="DS8" i="2"/>
  <c r="DS9" i="2"/>
  <c r="DS10" i="2"/>
  <c r="DS11" i="2"/>
  <c r="DS12" i="2"/>
  <c r="DS13" i="2"/>
  <c r="DS14" i="2"/>
  <c r="DS15" i="2"/>
  <c r="DS16" i="2"/>
  <c r="DS17" i="2"/>
  <c r="DE9" i="2" l="1"/>
  <c r="DE4" i="2"/>
  <c r="DE10" i="2"/>
  <c r="DE13" i="2"/>
  <c r="DE7" i="2"/>
  <c r="DE3" i="2"/>
  <c r="DE18" i="2"/>
  <c r="DE8" i="2"/>
  <c r="DE11" i="2"/>
  <c r="DE5" i="2"/>
  <c r="DE12" i="2"/>
  <c r="BS54" i="2"/>
  <c r="BW96" i="2"/>
  <c r="BX96" i="2" s="1"/>
  <c r="BW101" i="2"/>
  <c r="BX101" i="2" s="1"/>
  <c r="BW115" i="2"/>
  <c r="BX115" i="2" s="1"/>
  <c r="BS44" i="2"/>
  <c r="BW35" i="2"/>
  <c r="BX35" i="2" s="1"/>
  <c r="BV60" i="2"/>
  <c r="HB59" i="1" s="1"/>
  <c r="BV33" i="2"/>
  <c r="BS33" i="2"/>
  <c r="BV113" i="2"/>
  <c r="HB112" i="1" s="1"/>
  <c r="BW36" i="2"/>
  <c r="BX36" i="2" s="1"/>
  <c r="BW94" i="2"/>
  <c r="BX94" i="2" s="1"/>
  <c r="BS38" i="2"/>
  <c r="BS113" i="2"/>
  <c r="HJ112" i="1" s="1"/>
  <c r="BW30" i="2"/>
  <c r="BX30" i="2" s="1"/>
  <c r="BW26" i="2"/>
  <c r="BX26" i="2" s="1"/>
  <c r="BW62" i="2"/>
  <c r="BX62" i="2" s="1"/>
  <c r="BV35" i="2"/>
  <c r="BS35" i="2"/>
  <c r="BW38" i="2"/>
  <c r="BX38" i="2" s="1"/>
  <c r="BW103" i="2"/>
  <c r="BX103" i="2" s="1"/>
  <c r="BV111" i="2"/>
  <c r="HB110" i="1" s="1"/>
  <c r="BW34" i="2"/>
  <c r="BX34" i="2" s="1"/>
  <c r="BV107" i="2"/>
  <c r="HB106" i="1" s="1"/>
  <c r="BS78" i="2"/>
  <c r="BS80" i="2"/>
  <c r="BW32" i="2"/>
  <c r="BX32" i="2" s="1"/>
  <c r="BW92" i="2"/>
  <c r="BX92" i="2" s="1"/>
  <c r="BW75" i="2"/>
  <c r="BX75" i="2" s="1"/>
  <c r="BW67" i="2"/>
  <c r="BX67" i="2" s="1"/>
  <c r="BW59" i="2"/>
  <c r="BX59" i="2" s="1"/>
  <c r="BW51" i="2"/>
  <c r="BX51" i="2" s="1"/>
  <c r="IJ98" i="1"/>
  <c r="BV83" i="2"/>
  <c r="BS83" i="2"/>
  <c r="BV46" i="2"/>
  <c r="BW58" i="2"/>
  <c r="BX58" i="2" s="1"/>
  <c r="BV104" i="2"/>
  <c r="HB103" i="1" s="1"/>
  <c r="BV85" i="2"/>
  <c r="BS85" i="2"/>
  <c r="BV79" i="2"/>
  <c r="BS79" i="2"/>
  <c r="BW71" i="2"/>
  <c r="BX71" i="2" s="1"/>
  <c r="BW63" i="2"/>
  <c r="BX63" i="2" s="1"/>
  <c r="BW55" i="2"/>
  <c r="BX55" i="2" s="1"/>
  <c r="BV39" i="2"/>
  <c r="BS39" i="2"/>
  <c r="BW31" i="2"/>
  <c r="BX31" i="2" s="1"/>
  <c r="BW111" i="2"/>
  <c r="BX111" i="2" s="1"/>
  <c r="BW46" i="2"/>
  <c r="BX46" i="2" s="1"/>
  <c r="BW54" i="2"/>
  <c r="BX54" i="2" s="1"/>
  <c r="BW37" i="2"/>
  <c r="BX37" i="2" s="1"/>
  <c r="BS42" i="2"/>
  <c r="BW113" i="2"/>
  <c r="BX113" i="2" s="1"/>
  <c r="BW60" i="2"/>
  <c r="BX60" i="2" s="1"/>
  <c r="BW52" i="2"/>
  <c r="BX52" i="2" s="1"/>
  <c r="BV44" i="2"/>
  <c r="BV78" i="2"/>
  <c r="BS111" i="2"/>
  <c r="HJ110" i="1" s="1"/>
  <c r="BV54" i="2"/>
  <c r="BS107" i="2"/>
  <c r="HJ106" i="1" s="1"/>
  <c r="BS69" i="2"/>
  <c r="BS61" i="2"/>
  <c r="HJ60" i="1" s="1"/>
  <c r="BS53" i="2"/>
  <c r="BW45" i="2"/>
  <c r="BX45" i="2" s="1"/>
  <c r="BV77" i="2"/>
  <c r="BS77" i="2"/>
  <c r="BW104" i="2"/>
  <c r="BX104" i="2" s="1"/>
  <c r="BW95" i="2"/>
  <c r="BX95" i="2" s="1"/>
  <c r="BW48" i="2"/>
  <c r="BX48" i="2" s="1"/>
  <c r="BW50" i="2"/>
  <c r="BX50" i="2" s="1"/>
  <c r="BV100" i="2"/>
  <c r="HB99" i="1" s="1"/>
  <c r="BV91" i="2"/>
  <c r="HB90" i="1" s="1"/>
  <c r="BW25" i="2"/>
  <c r="BX25" i="2" s="1"/>
  <c r="BV73" i="2"/>
  <c r="BS73" i="2"/>
  <c r="BV65" i="2"/>
  <c r="BS65" i="2"/>
  <c r="BV57" i="2"/>
  <c r="HB56" i="1" s="1"/>
  <c r="BV49" i="2"/>
  <c r="BS49" i="2"/>
  <c r="BS95" i="2"/>
  <c r="BV80" i="2"/>
  <c r="BW29" i="2"/>
  <c r="BX29" i="2" s="1"/>
  <c r="BW44" i="2"/>
  <c r="BX44" i="2" s="1"/>
  <c r="BW80" i="2"/>
  <c r="BX80" i="2" s="1"/>
  <c r="BW78" i="2"/>
  <c r="BX78" i="2" s="1"/>
  <c r="BV106" i="2"/>
  <c r="HB105" i="1" s="1"/>
  <c r="BW100" i="2"/>
  <c r="BX100" i="2" s="1"/>
  <c r="BW91" i="2"/>
  <c r="BX91" i="2" s="1"/>
  <c r="BS45" i="2"/>
  <c r="BW73" i="2"/>
  <c r="BX73" i="2" s="1"/>
  <c r="BW65" i="2"/>
  <c r="BX65" i="2" s="1"/>
  <c r="BW57" i="2"/>
  <c r="BX57" i="2" s="1"/>
  <c r="BW49" i="2"/>
  <c r="BX49" i="2" s="1"/>
  <c r="BW33" i="2"/>
  <c r="BX33" i="2" s="1"/>
  <c r="BV27" i="2"/>
  <c r="BS27" i="2"/>
  <c r="BW93" i="2"/>
  <c r="BX93" i="2" s="1"/>
  <c r="BV75" i="2"/>
  <c r="BS75" i="2"/>
  <c r="BV67" i="2"/>
  <c r="BS67" i="2"/>
  <c r="BV59" i="2"/>
  <c r="HB58" i="1" s="1"/>
  <c r="BV51" i="2"/>
  <c r="BS51" i="2"/>
  <c r="BV31" i="2"/>
  <c r="BS31" i="2"/>
  <c r="BV42" i="2"/>
  <c r="BV112" i="2"/>
  <c r="HB111" i="1" s="1"/>
  <c r="BS112" i="2"/>
  <c r="HJ111" i="1" s="1"/>
  <c r="BW114" i="2"/>
  <c r="BX114" i="2" s="1"/>
  <c r="IJ109" i="1"/>
  <c r="BW112" i="2"/>
  <c r="BX112" i="2" s="1"/>
  <c r="BV114" i="2"/>
  <c r="HB113" i="1" s="1"/>
  <c r="BS114" i="2"/>
  <c r="HJ113" i="1" s="1"/>
  <c r="BW42" i="2"/>
  <c r="BX42" i="2" s="1"/>
  <c r="BS43" i="2"/>
  <c r="BS23" i="2"/>
  <c r="BS108" i="2"/>
  <c r="HJ107" i="1" s="1"/>
  <c r="BW83" i="2"/>
  <c r="BX83" i="2" s="1"/>
  <c r="BS89" i="2"/>
  <c r="HJ88" i="1" s="1"/>
  <c r="BS59" i="2"/>
  <c r="HJ58" i="1" s="1"/>
  <c r="HJ109" i="1"/>
  <c r="BS87" i="2"/>
  <c r="BV82" i="2"/>
  <c r="BS81" i="2"/>
  <c r="BW39" i="2"/>
  <c r="BX39" i="2" s="1"/>
  <c r="BS29" i="2"/>
  <c r="BS104" i="2"/>
  <c r="HJ103" i="1" s="1"/>
  <c r="BS100" i="2"/>
  <c r="HJ99" i="1" s="1"/>
  <c r="BS91" i="2"/>
  <c r="HJ90" i="1" s="1"/>
  <c r="BS97" i="2"/>
  <c r="HJ96" i="1" s="1"/>
  <c r="BW69" i="2"/>
  <c r="BX69" i="2" s="1"/>
  <c r="BW61" i="2"/>
  <c r="BX61" i="2" s="1"/>
  <c r="BS57" i="2"/>
  <c r="HJ56" i="1" s="1"/>
  <c r="BW53" i="2"/>
  <c r="BX53" i="2" s="1"/>
  <c r="BV98" i="2"/>
  <c r="HB97" i="1" s="1"/>
  <c r="BS98" i="2"/>
  <c r="HJ97" i="1" s="1"/>
  <c r="BS25" i="2"/>
  <c r="BS102" i="2"/>
  <c r="HJ101" i="1" s="1"/>
  <c r="BS93" i="2"/>
  <c r="HJ92" i="1" s="1"/>
  <c r="BS41" i="2"/>
  <c r="BS71" i="2"/>
  <c r="BS63" i="2"/>
  <c r="BS55" i="2"/>
  <c r="BS82" i="2"/>
  <c r="BS47" i="2"/>
  <c r="BS37" i="2"/>
  <c r="BS106" i="2"/>
  <c r="HJ105" i="1" s="1"/>
  <c r="BW105" i="2"/>
  <c r="BX105" i="2" s="1"/>
  <c r="BV97" i="2"/>
  <c r="HB96" i="1" s="1"/>
  <c r="BW85" i="2"/>
  <c r="BX85" i="2" s="1"/>
  <c r="BV45" i="2"/>
  <c r="BV95" i="2"/>
  <c r="BV89" i="2"/>
  <c r="HB88" i="1" s="1"/>
  <c r="BV25" i="2"/>
  <c r="BW108" i="2"/>
  <c r="BX108" i="2" s="1"/>
  <c r="BW79" i="2"/>
  <c r="BX79" i="2" s="1"/>
  <c r="BV81" i="2"/>
  <c r="BW97" i="2"/>
  <c r="BX97" i="2" s="1"/>
  <c r="BV102" i="2"/>
  <c r="HB101" i="1" s="1"/>
  <c r="BW89" i="2"/>
  <c r="BX89" i="2" s="1"/>
  <c r="BV41" i="2"/>
  <c r="BW87" i="2"/>
  <c r="BX87" i="2" s="1"/>
  <c r="BW102" i="2"/>
  <c r="BX102" i="2" s="1"/>
  <c r="BW98" i="2"/>
  <c r="BX98" i="2" s="1"/>
  <c r="BV43" i="2"/>
  <c r="BW23" i="2"/>
  <c r="BX23" i="2" s="1"/>
  <c r="HB109" i="1"/>
  <c r="BV87" i="2"/>
  <c r="BW82" i="2"/>
  <c r="BX82" i="2" s="1"/>
  <c r="BW81" i="2"/>
  <c r="BX81" i="2" s="1"/>
  <c r="BW47" i="2"/>
  <c r="BX47" i="2" s="1"/>
  <c r="BV71" i="2"/>
  <c r="BV63" i="2"/>
  <c r="BV55" i="2"/>
  <c r="BV29" i="2"/>
  <c r="BV37" i="2"/>
  <c r="BW43" i="2"/>
  <c r="BX43" i="2" s="1"/>
  <c r="BW41" i="2"/>
  <c r="BX41" i="2" s="1"/>
  <c r="BV69" i="2"/>
  <c r="BV61" i="2"/>
  <c r="HB60" i="1" s="1"/>
  <c r="BV53" i="2"/>
  <c r="BW77" i="2"/>
  <c r="BX77" i="2" s="1"/>
  <c r="BV23" i="2"/>
  <c r="BV108" i="2"/>
  <c r="HB107" i="1" s="1"/>
  <c r="BV93" i="2"/>
  <c r="HB92" i="1" s="1"/>
  <c r="BV47" i="2"/>
  <c r="HZ114" i="1" l="1"/>
  <c r="HZ61" i="1"/>
  <c r="HZ98" i="1"/>
  <c r="HZ112" i="1"/>
  <c r="HZ109" i="1"/>
  <c r="HZ108" i="1"/>
  <c r="HZ89" i="1"/>
  <c r="DJ3" i="2"/>
  <c r="DR3" i="2" l="1"/>
  <c r="EG3" i="2" s="1"/>
  <c r="EF3" i="2"/>
  <c r="HZ110" i="1"/>
  <c r="HZ95" i="1"/>
  <c r="HZ101" i="1"/>
  <c r="HZ100" i="1"/>
  <c r="HZ59" i="1"/>
  <c r="HZ93" i="1"/>
  <c r="HZ102" i="1"/>
  <c r="HZ103" i="1"/>
  <c r="HZ96" i="1"/>
  <c r="HZ58" i="1"/>
  <c r="HZ57" i="1"/>
  <c r="HZ99" i="1"/>
  <c r="HZ91" i="1"/>
  <c r="HZ60" i="1"/>
  <c r="HZ88" i="1"/>
  <c r="HZ90" i="1"/>
  <c r="HZ56" i="1"/>
  <c r="HZ92" i="1"/>
  <c r="HZ97" i="1"/>
  <c r="HZ113" i="1"/>
  <c r="HZ111" i="1"/>
  <c r="HZ107" i="1"/>
  <c r="HZ104" i="1"/>
  <c r="EF6" i="2"/>
  <c r="EE6" i="2"/>
  <c r="DT6" i="2"/>
  <c r="EB6" i="2"/>
  <c r="EC6" i="2" s="1"/>
  <c r="DY6" i="2"/>
  <c r="DU6" i="2"/>
  <c r="EF8" i="2"/>
  <c r="EE8" i="2"/>
  <c r="EB8" i="2"/>
  <c r="EC8" i="2" s="1"/>
  <c r="DY8" i="2"/>
  <c r="DT8" i="2"/>
  <c r="DU8" i="2"/>
  <c r="EF10" i="2"/>
  <c r="EE10" i="2"/>
  <c r="DT10" i="2"/>
  <c r="EB10" i="2"/>
  <c r="EC10" i="2" s="1"/>
  <c r="DY10" i="2"/>
  <c r="DU10" i="2"/>
  <c r="EF12" i="2"/>
  <c r="EE12" i="2"/>
  <c r="EB12" i="2"/>
  <c r="EC12" i="2" s="1"/>
  <c r="DY12" i="2"/>
  <c r="DT12" i="2"/>
  <c r="DU12" i="2"/>
  <c r="EF14" i="2"/>
  <c r="EE14" i="2"/>
  <c r="DT14" i="2"/>
  <c r="EB14" i="2"/>
  <c r="EC14" i="2" s="1"/>
  <c r="DY14" i="2"/>
  <c r="DU14" i="2"/>
  <c r="EF16" i="2"/>
  <c r="EE16" i="2"/>
  <c r="EB16" i="2"/>
  <c r="EC16" i="2" s="1"/>
  <c r="DY16" i="2"/>
  <c r="DT16" i="2"/>
  <c r="DU16" i="2"/>
  <c r="EE3" i="2"/>
  <c r="EB3" i="2"/>
  <c r="EC3" i="2" s="1"/>
  <c r="DY3" i="2"/>
  <c r="DT3" i="2"/>
  <c r="DK3" i="2"/>
  <c r="DU3" i="2"/>
  <c r="EE5" i="2"/>
  <c r="EB5" i="2"/>
  <c r="EC5" i="2" s="1"/>
  <c r="EF5" i="2"/>
  <c r="DY5" i="2"/>
  <c r="DT5" i="2"/>
  <c r="DU5" i="2"/>
  <c r="EE7" i="2"/>
  <c r="EB7" i="2"/>
  <c r="EC7" i="2" s="1"/>
  <c r="DY7" i="2"/>
  <c r="EF7" i="2"/>
  <c r="DT7" i="2"/>
  <c r="DU7" i="2"/>
  <c r="EE9" i="2"/>
  <c r="EB9" i="2"/>
  <c r="EC9" i="2" s="1"/>
  <c r="DY9" i="2"/>
  <c r="EF9" i="2"/>
  <c r="DT9" i="2"/>
  <c r="DU9" i="2"/>
  <c r="EE11" i="2"/>
  <c r="EB11" i="2"/>
  <c r="EC11" i="2" s="1"/>
  <c r="DY11" i="2"/>
  <c r="EF11" i="2"/>
  <c r="EE13" i="2"/>
  <c r="EB13" i="2"/>
  <c r="EC13" i="2" s="1"/>
  <c r="DY13" i="2"/>
  <c r="EF13" i="2"/>
  <c r="DT13" i="2"/>
  <c r="DU13" i="2"/>
  <c r="EE15" i="2"/>
  <c r="EB15" i="2"/>
  <c r="EC15" i="2" s="1"/>
  <c r="DY15" i="2"/>
  <c r="EF15" i="2"/>
  <c r="DT15" i="2"/>
  <c r="DU15" i="2"/>
  <c r="EE17" i="2"/>
  <c r="EB17" i="2"/>
  <c r="EC17" i="2" s="1"/>
  <c r="DY17" i="2"/>
  <c r="EF17" i="2"/>
  <c r="DT17" i="2"/>
  <c r="DU17" i="2"/>
  <c r="EF4" i="2"/>
  <c r="EE4" i="2"/>
  <c r="EB4" i="2"/>
  <c r="EC4" i="2" s="1"/>
  <c r="DT4" i="2"/>
  <c r="DY4" i="2"/>
  <c r="DU4" i="2"/>
  <c r="DU11" i="2"/>
  <c r="DT11" i="2"/>
  <c r="HR24" i="1"/>
  <c r="HR22" i="1"/>
  <c r="HR21" i="1"/>
  <c r="HR19" i="1"/>
  <c r="HR18" i="1"/>
  <c r="HR17" i="1"/>
  <c r="HR16" i="1"/>
  <c r="HR15" i="1"/>
  <c r="HR14" i="1"/>
  <c r="HR13" i="1"/>
  <c r="HR12" i="1"/>
  <c r="HR11" i="1"/>
  <c r="HR10" i="1"/>
  <c r="HR9" i="1"/>
  <c r="HR8" i="1"/>
  <c r="HR7" i="1"/>
  <c r="HR6" i="1"/>
  <c r="HR5" i="1"/>
  <c r="HR4" i="1"/>
  <c r="BY19" i="2"/>
  <c r="CS19" i="2" s="1"/>
  <c r="BY18" i="2"/>
  <c r="CQ18" i="2" s="1"/>
  <c r="BY17" i="2"/>
  <c r="CT17" i="2" s="1"/>
  <c r="BY16" i="2"/>
  <c r="CN16" i="2" s="1"/>
  <c r="BY15" i="2"/>
  <c r="CS15" i="2" s="1"/>
  <c r="BY14" i="2"/>
  <c r="CQ14" i="2" s="1"/>
  <c r="BY13" i="2"/>
  <c r="CT13" i="2" s="1"/>
  <c r="BY12" i="2"/>
  <c r="BY11" i="2"/>
  <c r="BY10" i="2"/>
  <c r="BY9" i="2"/>
  <c r="CS9" i="2" s="1"/>
  <c r="BY8" i="2"/>
  <c r="CN8" i="2" s="1"/>
  <c r="BY7" i="2"/>
  <c r="CS7" i="2" s="1"/>
  <c r="BY6" i="2"/>
  <c r="CU5" i="2"/>
  <c r="DQ3" i="2" l="1"/>
  <c r="DJ22" i="2" s="1"/>
  <c r="DQ4" i="2"/>
  <c r="DQ5" i="2" s="1"/>
  <c r="DQ6" i="2" s="1"/>
  <c r="DQ7" i="2" s="1"/>
  <c r="DQ8" i="2" s="1"/>
  <c r="DQ9" i="2" s="1"/>
  <c r="DQ10" i="2" s="1"/>
  <c r="DQ11" i="2" s="1"/>
  <c r="DQ12" i="2" s="1"/>
  <c r="DQ13" i="2" s="1"/>
  <c r="DQ14" i="2" s="1"/>
  <c r="DQ15" i="2" s="1"/>
  <c r="DQ16" i="2" s="1"/>
  <c r="DQ17" i="2" s="1"/>
  <c r="CG12" i="2"/>
  <c r="CG14" i="2"/>
  <c r="CG16" i="2"/>
  <c r="CG18" i="2"/>
  <c r="CI12" i="2"/>
  <c r="CI14" i="2"/>
  <c r="CI16" i="2"/>
  <c r="CI18" i="2"/>
  <c r="CK8" i="2"/>
  <c r="CK10" i="2"/>
  <c r="CK12" i="2"/>
  <c r="CK14" i="2"/>
  <c r="CK16" i="2"/>
  <c r="CK18" i="2"/>
  <c r="CM10" i="2"/>
  <c r="CM12" i="2"/>
  <c r="CM14" i="2"/>
  <c r="CM16" i="2"/>
  <c r="CM18" i="2"/>
  <c r="CO19" i="2"/>
  <c r="CO17" i="2"/>
  <c r="CO15" i="2"/>
  <c r="CO7" i="2"/>
  <c r="CP8" i="2"/>
  <c r="CP14" i="2"/>
  <c r="CP16" i="2"/>
  <c r="CP18" i="2"/>
  <c r="CR6" i="2"/>
  <c r="CR8" i="2"/>
  <c r="CR10" i="2"/>
  <c r="CR14" i="2"/>
  <c r="CR16" i="2"/>
  <c r="CR18" i="2"/>
  <c r="CT8" i="2"/>
  <c r="CT14" i="2"/>
  <c r="CT16" i="2"/>
  <c r="CT18" i="2"/>
  <c r="CG13" i="2"/>
  <c r="CG15" i="2"/>
  <c r="CG17" i="2"/>
  <c r="CG19" i="2"/>
  <c r="CI13" i="2"/>
  <c r="CI15" i="2"/>
  <c r="CI17" i="2"/>
  <c r="CI19" i="2"/>
  <c r="CK7" i="2"/>
  <c r="CK9" i="2"/>
  <c r="CK11" i="2"/>
  <c r="CK13" i="2"/>
  <c r="CK15" i="2"/>
  <c r="CK17" i="2"/>
  <c r="CK19" i="2"/>
  <c r="CM11" i="2"/>
  <c r="CM13" i="2"/>
  <c r="CM15" i="2"/>
  <c r="CM17" i="2"/>
  <c r="CM19" i="2"/>
  <c r="CO18" i="2"/>
  <c r="CO16" i="2"/>
  <c r="CO14" i="2"/>
  <c r="CO8" i="2"/>
  <c r="CP7" i="2"/>
  <c r="CP15" i="2"/>
  <c r="CP17" i="2"/>
  <c r="CP19" i="2"/>
  <c r="CR7" i="2"/>
  <c r="CR9" i="2"/>
  <c r="CR15" i="2"/>
  <c r="CR17" i="2"/>
  <c r="CR19" i="2"/>
  <c r="CT7" i="2"/>
  <c r="CT9" i="2"/>
  <c r="CT15" i="2"/>
  <c r="CT19" i="2"/>
  <c r="CU13" i="2"/>
  <c r="CU15" i="2"/>
  <c r="CU17" i="2"/>
  <c r="CU19" i="2"/>
  <c r="CU7" i="2"/>
  <c r="CU9" i="2"/>
  <c r="CU11" i="2"/>
  <c r="CU14" i="2"/>
  <c r="CU16" i="2"/>
  <c r="CU18" i="2"/>
  <c r="CU6" i="2"/>
  <c r="CU8" i="2"/>
  <c r="CU10" i="2"/>
  <c r="CU12" i="2"/>
  <c r="CB15" i="2"/>
  <c r="CB17" i="2"/>
  <c r="CB19" i="2"/>
  <c r="CA10" i="2"/>
  <c r="CA12" i="2"/>
  <c r="CA14" i="2"/>
  <c r="CA16" i="2"/>
  <c r="CA18" i="2"/>
  <c r="BZ7" i="2"/>
  <c r="BZ11" i="2"/>
  <c r="BZ13" i="2"/>
  <c r="BZ15" i="2"/>
  <c r="BZ17" i="2"/>
  <c r="BZ19" i="2"/>
  <c r="CJ7" i="2"/>
  <c r="CL12" i="2"/>
  <c r="CH13" i="2"/>
  <c r="CJ14" i="2"/>
  <c r="CE15" i="2"/>
  <c r="CL15" i="2"/>
  <c r="CF16" i="2"/>
  <c r="CC17" i="2"/>
  <c r="CH17" i="2"/>
  <c r="CD18" i="2"/>
  <c r="CJ18" i="2"/>
  <c r="CE19" i="2"/>
  <c r="CL19" i="2"/>
  <c r="CQ7" i="2"/>
  <c r="CN7" i="2"/>
  <c r="CQ9" i="2"/>
  <c r="CJ9" i="2"/>
  <c r="CJ11" i="2"/>
  <c r="CQ13" i="2"/>
  <c r="CJ13" i="2"/>
  <c r="CF13" i="2"/>
  <c r="CQ15" i="2"/>
  <c r="CN15" i="2"/>
  <c r="CJ15" i="2"/>
  <c r="CF15" i="2"/>
  <c r="CD15" i="2"/>
  <c r="CQ17" i="2"/>
  <c r="CN17" i="2"/>
  <c r="CJ17" i="2"/>
  <c r="CF17" i="2"/>
  <c r="CD17" i="2"/>
  <c r="CQ19" i="2"/>
  <c r="CN19" i="2"/>
  <c r="CJ19" i="2"/>
  <c r="CF19" i="2"/>
  <c r="CD19" i="2"/>
  <c r="CQ6" i="2"/>
  <c r="CS8" i="2"/>
  <c r="CL10" i="2"/>
  <c r="CJ12" i="2"/>
  <c r="CF12" i="2"/>
  <c r="CS14" i="2"/>
  <c r="CL14" i="2"/>
  <c r="CH14" i="2"/>
  <c r="CC14" i="2"/>
  <c r="CS16" i="2"/>
  <c r="CL16" i="2"/>
  <c r="CH16" i="2"/>
  <c r="CE16" i="2"/>
  <c r="CC16" i="2"/>
  <c r="CS18" i="2"/>
  <c r="CL18" i="2"/>
  <c r="CH18" i="2"/>
  <c r="CE18" i="2"/>
  <c r="CC18" i="2"/>
  <c r="CB16" i="2"/>
  <c r="CB18" i="2"/>
  <c r="CA9" i="2"/>
  <c r="CA11" i="2"/>
  <c r="CA13" i="2"/>
  <c r="CA15" i="2"/>
  <c r="CA17" i="2"/>
  <c r="CA19" i="2"/>
  <c r="BZ6" i="2"/>
  <c r="BZ10" i="2"/>
  <c r="BZ12" i="2"/>
  <c r="BZ14" i="2"/>
  <c r="BZ16" i="2"/>
  <c r="BZ18" i="2"/>
  <c r="CJ8" i="2"/>
  <c r="CQ8" i="2"/>
  <c r="CJ10" i="2"/>
  <c r="CQ10" i="2"/>
  <c r="CL11" i="2"/>
  <c r="CH12" i="2"/>
  <c r="CL13" i="2"/>
  <c r="CS13" i="2"/>
  <c r="CN14" i="2"/>
  <c r="CC15" i="2"/>
  <c r="CH15" i="2"/>
  <c r="CD16" i="2"/>
  <c r="CJ16" i="2"/>
  <c r="CQ16" i="2"/>
  <c r="CE17" i="2"/>
  <c r="CL17" i="2"/>
  <c r="CS17" i="2"/>
  <c r="CF18" i="2"/>
  <c r="CN18" i="2"/>
  <c r="CC19" i="2"/>
  <c r="CH19" i="2"/>
  <c r="BY5" i="2"/>
  <c r="KC5" i="1"/>
  <c r="BH5" i="2" s="1"/>
  <c r="KC6" i="1"/>
  <c r="BH6" i="2" s="1"/>
  <c r="KC7" i="1"/>
  <c r="BH7" i="2" s="1"/>
  <c r="KC8" i="1"/>
  <c r="BH8" i="2" s="1"/>
  <c r="KC9" i="1"/>
  <c r="BH9" i="2" s="1"/>
  <c r="JK10" i="1"/>
  <c r="BA10" i="2" s="1"/>
  <c r="CE10" i="2" s="1"/>
  <c r="KC10" i="1"/>
  <c r="BH10" i="2" s="1"/>
  <c r="KC11" i="1"/>
  <c r="BH11" i="2" s="1"/>
  <c r="JK12" i="1"/>
  <c r="BA12" i="2" s="1"/>
  <c r="CO12" i="2" s="1"/>
  <c r="KC12" i="1"/>
  <c r="BH12" i="2" s="1"/>
  <c r="JK13" i="1"/>
  <c r="BA13" i="2" s="1"/>
  <c r="CO13" i="2" s="1"/>
  <c r="KC13" i="1"/>
  <c r="BH13" i="2" s="1"/>
  <c r="JK14" i="1"/>
  <c r="BA14" i="2" s="1"/>
  <c r="CD14" i="2" s="1"/>
  <c r="KC14" i="1"/>
  <c r="BH14" i="2" s="1"/>
  <c r="KC15" i="1"/>
  <c r="BH15" i="2" s="1"/>
  <c r="KC16" i="1"/>
  <c r="BH16" i="2" s="1"/>
  <c r="KC17" i="1"/>
  <c r="BH17" i="2" s="1"/>
  <c r="KC18" i="1"/>
  <c r="BH18" i="2" s="1"/>
  <c r="KC19" i="1"/>
  <c r="BH19" i="2" s="1"/>
  <c r="KC21" i="1"/>
  <c r="BH21" i="2" s="1"/>
  <c r="JK22" i="1"/>
  <c r="BA22" i="2" s="1"/>
  <c r="KC22" i="1"/>
  <c r="BH22" i="2" s="1"/>
  <c r="JK24" i="1"/>
  <c r="BA24" i="2" s="1"/>
  <c r="KC24" i="1"/>
  <c r="BH24" i="2" s="1"/>
  <c r="CC12" i="2" l="1"/>
  <c r="CB12" i="2"/>
  <c r="CE12" i="2"/>
  <c r="CD12" i="2"/>
  <c r="DJ35" i="2"/>
  <c r="DJ27" i="2"/>
  <c r="DJ37" i="2"/>
  <c r="DJ29" i="2"/>
  <c r="DJ36" i="2"/>
  <c r="DJ32" i="2"/>
  <c r="DJ28" i="2"/>
  <c r="DJ24" i="2"/>
  <c r="DJ31" i="2"/>
  <c r="DJ23" i="2"/>
  <c r="DJ33" i="2"/>
  <c r="DJ25" i="2"/>
  <c r="DJ34" i="2"/>
  <c r="DJ30" i="2"/>
  <c r="DJ26" i="2"/>
  <c r="EF22" i="2"/>
  <c r="EB22" i="2"/>
  <c r="EC22" i="2" s="1"/>
  <c r="EE22" i="2"/>
  <c r="DU22" i="2"/>
  <c r="DV22" i="2" s="1"/>
  <c r="DW22" i="2" s="1"/>
  <c r="DR22" i="2"/>
  <c r="DY22" i="2"/>
  <c r="DT22" i="2"/>
  <c r="ED22" i="2"/>
  <c r="CE13" i="2"/>
  <c r="CN12" i="2"/>
  <c r="CD13" i="2"/>
  <c r="CB14" i="2"/>
  <c r="CE14" i="2"/>
  <c r="CN13" i="2"/>
  <c r="CR13" i="2"/>
  <c r="CP13" i="2"/>
  <c r="CP12" i="2"/>
  <c r="CC10" i="2"/>
  <c r="CH10" i="2"/>
  <c r="CF10" i="2"/>
  <c r="CI10" i="2"/>
  <c r="CG10" i="2"/>
  <c r="CD10" i="2"/>
  <c r="CB10" i="2"/>
  <c r="BF24" i="2"/>
  <c r="BB24" i="2"/>
  <c r="BQ24" i="2"/>
  <c r="BR24" i="2" s="1"/>
  <c r="BG24" i="2"/>
  <c r="BC24" i="2"/>
  <c r="BD24" i="2" s="1"/>
  <c r="BF22" i="2"/>
  <c r="BB22" i="2"/>
  <c r="BQ22" i="2"/>
  <c r="BR22" i="2" s="1"/>
  <c r="BG22" i="2"/>
  <c r="BC22" i="2"/>
  <c r="BD22" i="2" s="1"/>
  <c r="BM19" i="2"/>
  <c r="BI19" i="2"/>
  <c r="BN19" i="2"/>
  <c r="BJ19" i="2"/>
  <c r="BK19" i="2" s="1"/>
  <c r="BM17" i="2"/>
  <c r="BI17" i="2"/>
  <c r="BN17" i="2"/>
  <c r="BJ17" i="2"/>
  <c r="BK17" i="2" s="1"/>
  <c r="BM15" i="2"/>
  <c r="BI15" i="2"/>
  <c r="BN15" i="2"/>
  <c r="BJ15" i="2"/>
  <c r="BK15" i="2" s="1"/>
  <c r="BF14" i="2"/>
  <c r="BB14" i="2"/>
  <c r="BG14" i="2"/>
  <c r="BC14" i="2"/>
  <c r="BD14" i="2" s="1"/>
  <c r="BQ14" i="2"/>
  <c r="BR14" i="2" s="1"/>
  <c r="BQ13" i="2"/>
  <c r="BR13" i="2" s="1"/>
  <c r="BG13" i="2"/>
  <c r="BC13" i="2"/>
  <c r="BD13" i="2" s="1"/>
  <c r="BF13" i="2"/>
  <c r="BB13" i="2"/>
  <c r="BF12" i="2"/>
  <c r="BB12" i="2"/>
  <c r="BG12" i="2"/>
  <c r="BC12" i="2"/>
  <c r="BD12" i="2" s="1"/>
  <c r="BQ12" i="2"/>
  <c r="BR12" i="2" s="1"/>
  <c r="BN10" i="2"/>
  <c r="BJ10" i="2"/>
  <c r="BK10" i="2" s="1"/>
  <c r="BM10" i="2"/>
  <c r="BI10" i="2"/>
  <c r="BM9" i="2"/>
  <c r="BI9" i="2"/>
  <c r="BN9" i="2"/>
  <c r="BJ9" i="2"/>
  <c r="BK9" i="2" s="1"/>
  <c r="BM7" i="2"/>
  <c r="BI7" i="2"/>
  <c r="BN7" i="2"/>
  <c r="BJ7" i="2"/>
  <c r="BK7" i="2" s="1"/>
  <c r="BM5" i="2"/>
  <c r="BI5" i="2"/>
  <c r="BN5" i="2"/>
  <c r="BJ5" i="2"/>
  <c r="BK5" i="2" s="1"/>
  <c r="BN24" i="2"/>
  <c r="BJ24" i="2"/>
  <c r="BK24" i="2" s="1"/>
  <c r="BM24" i="2"/>
  <c r="BI24" i="2"/>
  <c r="BN22" i="2"/>
  <c r="BJ22" i="2"/>
  <c r="BK22" i="2" s="1"/>
  <c r="BM22" i="2"/>
  <c r="BI22" i="2"/>
  <c r="BM21" i="2"/>
  <c r="BI21" i="2"/>
  <c r="BN21" i="2"/>
  <c r="BJ21" i="2"/>
  <c r="BK21" i="2" s="1"/>
  <c r="BN18" i="2"/>
  <c r="BJ18" i="2"/>
  <c r="BK18" i="2" s="1"/>
  <c r="BM18" i="2"/>
  <c r="BI18" i="2"/>
  <c r="BN16" i="2"/>
  <c r="BJ16" i="2"/>
  <c r="BK16" i="2" s="1"/>
  <c r="BM16" i="2"/>
  <c r="BI16" i="2"/>
  <c r="BN14" i="2"/>
  <c r="BJ14" i="2"/>
  <c r="BK14" i="2" s="1"/>
  <c r="BM14" i="2"/>
  <c r="BI14" i="2"/>
  <c r="BM13" i="2"/>
  <c r="BI13" i="2"/>
  <c r="BN13" i="2"/>
  <c r="BJ13" i="2"/>
  <c r="BK13" i="2" s="1"/>
  <c r="BN12" i="2"/>
  <c r="BJ12" i="2"/>
  <c r="BK12" i="2" s="1"/>
  <c r="BM12" i="2"/>
  <c r="BI12" i="2"/>
  <c r="BM11" i="2"/>
  <c r="BI11" i="2"/>
  <c r="BN11" i="2"/>
  <c r="BJ11" i="2"/>
  <c r="BK11" i="2" s="1"/>
  <c r="BF10" i="2"/>
  <c r="BV10" i="2" s="1"/>
  <c r="BB10" i="2"/>
  <c r="BG10" i="2"/>
  <c r="BS10" i="2" s="1"/>
  <c r="BC10" i="2"/>
  <c r="BD10" i="2" s="1"/>
  <c r="BQ10" i="2"/>
  <c r="BR10" i="2" s="1"/>
  <c r="BN8" i="2"/>
  <c r="BJ8" i="2"/>
  <c r="BK8" i="2" s="1"/>
  <c r="BM8" i="2"/>
  <c r="BI8" i="2"/>
  <c r="BN6" i="2"/>
  <c r="BJ6" i="2"/>
  <c r="BK6" i="2" s="1"/>
  <c r="BM6" i="2"/>
  <c r="BI6" i="2"/>
  <c r="CT10" i="2"/>
  <c r="CS10" i="2"/>
  <c r="IJ23" i="1"/>
  <c r="DM5" i="2" s="1"/>
  <c r="HJ23" i="1"/>
  <c r="IJ64" i="1"/>
  <c r="DM65" i="2" s="1"/>
  <c r="CR5" i="2"/>
  <c r="CP5" i="2"/>
  <c r="CM5" i="2"/>
  <c r="CK5" i="2"/>
  <c r="CI5" i="2"/>
  <c r="CG5" i="2"/>
  <c r="CO5" i="2"/>
  <c r="CL5" i="2"/>
  <c r="CH5" i="2"/>
  <c r="CQ5" i="2"/>
  <c r="CJ5" i="2"/>
  <c r="CN5" i="2"/>
  <c r="CF5" i="2"/>
  <c r="JK21" i="1"/>
  <c r="BA21" i="2" s="1"/>
  <c r="BA5" i="2"/>
  <c r="CA5" i="2" s="1"/>
  <c r="JK19" i="1"/>
  <c r="BA19" i="2" s="1"/>
  <c r="JK18" i="1"/>
  <c r="BA18" i="2" s="1"/>
  <c r="JK17" i="1"/>
  <c r="BA17" i="2" s="1"/>
  <c r="JK16" i="1"/>
  <c r="BA16" i="2" s="1"/>
  <c r="JK15" i="1"/>
  <c r="BA15" i="2" s="1"/>
  <c r="JK11" i="1"/>
  <c r="BA11" i="2" s="1"/>
  <c r="JK9" i="1"/>
  <c r="BA9" i="2" s="1"/>
  <c r="JK8" i="1"/>
  <c r="BA8" i="2" s="1"/>
  <c r="BZ8" i="2" s="1"/>
  <c r="JK7" i="1"/>
  <c r="BA7" i="2" s="1"/>
  <c r="CA7" i="2" s="1"/>
  <c r="JK6" i="1"/>
  <c r="BA6" i="2" s="1"/>
  <c r="CB5" i="2" l="1"/>
  <c r="BZ9" i="2"/>
  <c r="CG9" i="2"/>
  <c r="CF9" i="2"/>
  <c r="CI9" i="2"/>
  <c r="CH9" i="2"/>
  <c r="CC5" i="2"/>
  <c r="CE5" i="2"/>
  <c r="CO11" i="2"/>
  <c r="CP11" i="2"/>
  <c r="CN11" i="2"/>
  <c r="CD5" i="2"/>
  <c r="DX22" i="2"/>
  <c r="EG22" i="2"/>
  <c r="EJ22" i="2" s="1"/>
  <c r="DQ22" i="2"/>
  <c r="EF23" i="2"/>
  <c r="ED23" i="2"/>
  <c r="DY23" i="2"/>
  <c r="DT23" i="2"/>
  <c r="DR23" i="2"/>
  <c r="EG23" i="2" s="1"/>
  <c r="EJ23" i="2" s="1"/>
  <c r="EE23" i="2"/>
  <c r="EB23" i="2"/>
  <c r="EC23" i="2" s="1"/>
  <c r="DU23" i="2"/>
  <c r="DV23" i="2" s="1"/>
  <c r="DW23" i="2" s="1"/>
  <c r="DX23" i="2" s="1"/>
  <c r="CO6" i="2"/>
  <c r="CG6" i="2"/>
  <c r="CK6" i="2"/>
  <c r="CH6" i="2"/>
  <c r="CJ6" i="2"/>
  <c r="CI6" i="2"/>
  <c r="CP6" i="2"/>
  <c r="CN6" i="2"/>
  <c r="CF6" i="2"/>
  <c r="BW22" i="2"/>
  <c r="BX22" i="2" s="1"/>
  <c r="CG11" i="2"/>
  <c r="CI11" i="2"/>
  <c r="CB11" i="2"/>
  <c r="CC11" i="2"/>
  <c r="CD11" i="2"/>
  <c r="CE11" i="2"/>
  <c r="CH11" i="2"/>
  <c r="CF11" i="2"/>
  <c r="CM9" i="2"/>
  <c r="CL9" i="2"/>
  <c r="CA8" i="2"/>
  <c r="CM8" i="2"/>
  <c r="CL8" i="2"/>
  <c r="CC6" i="2"/>
  <c r="CB6" i="2"/>
  <c r="CE6" i="2"/>
  <c r="CT6" i="2"/>
  <c r="CS6" i="2"/>
  <c r="CS5" i="2"/>
  <c r="CT5" i="2"/>
  <c r="BS14" i="2"/>
  <c r="BS24" i="2"/>
  <c r="BS22" i="2"/>
  <c r="BS12" i="2"/>
  <c r="BS13" i="2"/>
  <c r="BF6" i="2"/>
  <c r="BV6" i="2" s="1"/>
  <c r="BB6" i="2"/>
  <c r="BQ6" i="2"/>
  <c r="BR6" i="2" s="1"/>
  <c r="BG6" i="2"/>
  <c r="BS6" i="2" s="1"/>
  <c r="BC6" i="2"/>
  <c r="BD6" i="2" s="1"/>
  <c r="BF8" i="2"/>
  <c r="BV8" i="2" s="1"/>
  <c r="BB8" i="2"/>
  <c r="BQ8" i="2"/>
  <c r="BR8" i="2" s="1"/>
  <c r="BG8" i="2"/>
  <c r="BS8" i="2" s="1"/>
  <c r="BC8" i="2"/>
  <c r="BD8" i="2" s="1"/>
  <c r="BQ11" i="2"/>
  <c r="BR11" i="2" s="1"/>
  <c r="BG11" i="2"/>
  <c r="BS11" i="2" s="1"/>
  <c r="BC11" i="2"/>
  <c r="BD11" i="2" s="1"/>
  <c r="BF11" i="2"/>
  <c r="BV11" i="2" s="1"/>
  <c r="BB11" i="2"/>
  <c r="BF16" i="2"/>
  <c r="BV16" i="2" s="1"/>
  <c r="BB16" i="2"/>
  <c r="BG16" i="2"/>
  <c r="BS16" i="2" s="1"/>
  <c r="BC16" i="2"/>
  <c r="BD16" i="2" s="1"/>
  <c r="BQ16" i="2"/>
  <c r="BR16" i="2" s="1"/>
  <c r="BF18" i="2"/>
  <c r="BV18" i="2" s="1"/>
  <c r="BB18" i="2"/>
  <c r="BQ18" i="2"/>
  <c r="BR18" i="2" s="1"/>
  <c r="BG18" i="2"/>
  <c r="BS18" i="2" s="1"/>
  <c r="BC18" i="2"/>
  <c r="BD18" i="2" s="1"/>
  <c r="BQ5" i="2"/>
  <c r="BR5" i="2" s="1"/>
  <c r="BG5" i="2"/>
  <c r="BS5" i="2" s="1"/>
  <c r="BC5" i="2"/>
  <c r="BD5" i="2" s="1"/>
  <c r="BF5" i="2"/>
  <c r="BV5" i="2" s="1"/>
  <c r="BB5" i="2"/>
  <c r="BW10" i="2"/>
  <c r="BX10" i="2" s="1"/>
  <c r="BW12" i="2"/>
  <c r="BX12" i="2" s="1"/>
  <c r="BW13" i="2"/>
  <c r="BX13" i="2" s="1"/>
  <c r="BW14" i="2"/>
  <c r="BX14" i="2" s="1"/>
  <c r="BW24" i="2"/>
  <c r="BX24" i="2" s="1"/>
  <c r="BQ7" i="2"/>
  <c r="BR7" i="2" s="1"/>
  <c r="BG7" i="2"/>
  <c r="BS7" i="2" s="1"/>
  <c r="BC7" i="2"/>
  <c r="BD7" i="2" s="1"/>
  <c r="BF7" i="2"/>
  <c r="BV7" i="2" s="1"/>
  <c r="BB7" i="2"/>
  <c r="BQ9" i="2"/>
  <c r="BR9" i="2" s="1"/>
  <c r="BG9" i="2"/>
  <c r="BS9" i="2" s="1"/>
  <c r="BC9" i="2"/>
  <c r="BD9" i="2" s="1"/>
  <c r="BF9" i="2"/>
  <c r="BV9" i="2" s="1"/>
  <c r="BB9" i="2"/>
  <c r="BQ15" i="2"/>
  <c r="BR15" i="2" s="1"/>
  <c r="BG15" i="2"/>
  <c r="BS15" i="2" s="1"/>
  <c r="BC15" i="2"/>
  <c r="BD15" i="2" s="1"/>
  <c r="BF15" i="2"/>
  <c r="BV15" i="2" s="1"/>
  <c r="BB15" i="2"/>
  <c r="BQ17" i="2"/>
  <c r="BR17" i="2" s="1"/>
  <c r="BG17" i="2"/>
  <c r="BS17" i="2" s="1"/>
  <c r="BC17" i="2"/>
  <c r="BD17" i="2" s="1"/>
  <c r="BF17" i="2"/>
  <c r="BV17" i="2" s="1"/>
  <c r="BB17" i="2"/>
  <c r="BQ19" i="2"/>
  <c r="BR19" i="2" s="1"/>
  <c r="BG19" i="2"/>
  <c r="BS19" i="2" s="1"/>
  <c r="BC19" i="2"/>
  <c r="BD19" i="2" s="1"/>
  <c r="BF19" i="2"/>
  <c r="BV19" i="2" s="1"/>
  <c r="BB19" i="2"/>
  <c r="BQ21" i="2"/>
  <c r="BR21" i="2" s="1"/>
  <c r="BG21" i="2"/>
  <c r="BS21" i="2" s="1"/>
  <c r="BC21" i="2"/>
  <c r="BD21" i="2" s="1"/>
  <c r="BF21" i="2"/>
  <c r="BV21" i="2" s="1"/>
  <c r="HB21" i="1" s="1"/>
  <c r="BB21" i="2"/>
  <c r="BV12" i="2"/>
  <c r="BV13" i="2"/>
  <c r="BV14" i="2"/>
  <c r="BV22" i="2"/>
  <c r="HB22" i="1" s="1"/>
  <c r="BV24" i="2"/>
  <c r="HB24" i="1" s="1"/>
  <c r="DK22" i="2"/>
  <c r="CR11" i="2"/>
  <c r="CQ11" i="2"/>
  <c r="CO9" i="2"/>
  <c r="CP9" i="2"/>
  <c r="CN9" i="2"/>
  <c r="CG7" i="2"/>
  <c r="CB7" i="2"/>
  <c r="CE7" i="2"/>
  <c r="CD7" i="2"/>
  <c r="CC7" i="2"/>
  <c r="CI7" i="2"/>
  <c r="CH7" i="2"/>
  <c r="CF7" i="2"/>
  <c r="CM6" i="2"/>
  <c r="CL6" i="2"/>
  <c r="HB23" i="1"/>
  <c r="IJ52" i="1"/>
  <c r="DM53" i="2" s="1"/>
  <c r="HJ52" i="1"/>
  <c r="HB52" i="1"/>
  <c r="HB83" i="1"/>
  <c r="IJ83" i="1"/>
  <c r="HJ83" i="1"/>
  <c r="IJ86" i="1"/>
  <c r="HJ86" i="1"/>
  <c r="HB86" i="1"/>
  <c r="HB39" i="1"/>
  <c r="IJ39" i="1"/>
  <c r="DM40" i="2" s="1"/>
  <c r="HJ39" i="1"/>
  <c r="HB75" i="1"/>
  <c r="IJ75" i="1"/>
  <c r="DM76" i="2" s="1"/>
  <c r="HJ75" i="1"/>
  <c r="IJ78" i="1"/>
  <c r="DM79" i="2" s="1"/>
  <c r="HJ78" i="1"/>
  <c r="HB78" i="1"/>
  <c r="IJ46" i="1"/>
  <c r="DM47" i="2" s="1"/>
  <c r="HJ46" i="1"/>
  <c r="HB46" i="1"/>
  <c r="IJ54" i="1"/>
  <c r="DM55" i="2" s="1"/>
  <c r="HJ54" i="1"/>
  <c r="HB54" i="1"/>
  <c r="IJ37" i="1"/>
  <c r="DM38" i="2" s="1"/>
  <c r="HB37" i="1"/>
  <c r="HJ37" i="1"/>
  <c r="HB26" i="1"/>
  <c r="IJ26" i="1"/>
  <c r="DM8" i="2" s="1"/>
  <c r="HJ26" i="1"/>
  <c r="IJ28" i="1"/>
  <c r="DM10" i="2" s="1"/>
  <c r="HB28" i="1"/>
  <c r="HJ28" i="1"/>
  <c r="IJ32" i="1"/>
  <c r="DM14" i="2" s="1"/>
  <c r="HJ32" i="1"/>
  <c r="HB32" i="1"/>
  <c r="HB67" i="1"/>
  <c r="IJ67" i="1"/>
  <c r="DM68" i="2" s="1"/>
  <c r="HJ67" i="1"/>
  <c r="IJ72" i="1"/>
  <c r="DM73" i="2" s="1"/>
  <c r="HJ72" i="1"/>
  <c r="HB72" i="1"/>
  <c r="IJ51" i="1"/>
  <c r="DM52" i="2" s="1"/>
  <c r="HB51" i="1"/>
  <c r="HJ51" i="1"/>
  <c r="IJ63" i="1"/>
  <c r="DM64" i="2" s="1"/>
  <c r="IJ62" i="1"/>
  <c r="DM63" i="2" s="1"/>
  <c r="IJ45" i="1"/>
  <c r="DM46" i="2" s="1"/>
  <c r="HB45" i="1"/>
  <c r="HJ45" i="1"/>
  <c r="IJ85" i="1"/>
  <c r="HB85" i="1"/>
  <c r="HJ85" i="1"/>
  <c r="IJ87" i="1"/>
  <c r="HB87" i="1"/>
  <c r="HJ87" i="1"/>
  <c r="IJ84" i="1"/>
  <c r="HJ84" i="1"/>
  <c r="HB84" i="1"/>
  <c r="IJ94" i="1"/>
  <c r="HJ94" i="1"/>
  <c r="HB94" i="1"/>
  <c r="IJ35" i="1"/>
  <c r="DM17" i="2" s="1"/>
  <c r="HB35" i="1"/>
  <c r="HJ35" i="1"/>
  <c r="IJ34" i="1"/>
  <c r="DM16" i="2" s="1"/>
  <c r="HJ34" i="1"/>
  <c r="HB34" i="1"/>
  <c r="IJ65" i="1"/>
  <c r="DM66" i="2" s="1"/>
  <c r="HB65" i="1"/>
  <c r="HJ65" i="1"/>
  <c r="IJ77" i="1"/>
  <c r="DM78" i="2" s="1"/>
  <c r="HB77" i="1"/>
  <c r="HJ77" i="1"/>
  <c r="IJ79" i="1"/>
  <c r="DM80" i="2" s="1"/>
  <c r="HB79" i="1"/>
  <c r="HJ79" i="1"/>
  <c r="IJ44" i="1"/>
  <c r="DM45" i="2" s="1"/>
  <c r="DN45" i="2" s="1"/>
  <c r="DO45" i="2" s="1"/>
  <c r="HJ44" i="1"/>
  <c r="HB44" i="1"/>
  <c r="IJ50" i="1"/>
  <c r="DM51" i="2" s="1"/>
  <c r="HJ50" i="1"/>
  <c r="HB50" i="1"/>
  <c r="IJ81" i="1"/>
  <c r="DM82" i="2" s="1"/>
  <c r="HB81" i="1"/>
  <c r="HJ81" i="1"/>
  <c r="HB33" i="1"/>
  <c r="IJ33" i="1"/>
  <c r="DM15" i="2" s="1"/>
  <c r="HJ33" i="1"/>
  <c r="IJ41" i="1"/>
  <c r="DM42" i="2" s="1"/>
  <c r="HB41" i="1"/>
  <c r="HJ41" i="1"/>
  <c r="IJ25" i="1"/>
  <c r="DM7" i="2" s="1"/>
  <c r="HJ25" i="1"/>
  <c r="IJ27" i="1"/>
  <c r="DM9" i="2" s="1"/>
  <c r="HJ27" i="1"/>
  <c r="HB27" i="1"/>
  <c r="IJ30" i="1"/>
  <c r="DM12" i="2" s="1"/>
  <c r="HJ30" i="1"/>
  <c r="ED16" i="2" s="1"/>
  <c r="HB30" i="1"/>
  <c r="IJ40" i="1"/>
  <c r="DM41" i="2" s="1"/>
  <c r="DN41" i="2" s="1"/>
  <c r="DO41" i="2" s="1"/>
  <c r="HJ40" i="1"/>
  <c r="HB40" i="1"/>
  <c r="IJ68" i="1"/>
  <c r="DM69" i="2" s="1"/>
  <c r="HJ68" i="1"/>
  <c r="HB68" i="1"/>
  <c r="IJ69" i="1"/>
  <c r="DM70" i="2" s="1"/>
  <c r="HB69" i="1"/>
  <c r="HJ69" i="1"/>
  <c r="IJ71" i="1"/>
  <c r="DM72" i="2" s="1"/>
  <c r="HB71" i="1"/>
  <c r="HJ71" i="1"/>
  <c r="IJ74" i="1"/>
  <c r="DM75" i="2" s="1"/>
  <c r="HJ74" i="1"/>
  <c r="HB74" i="1"/>
  <c r="IJ76" i="1"/>
  <c r="DM77" i="2" s="1"/>
  <c r="HJ76" i="1"/>
  <c r="HB76" i="1"/>
  <c r="IJ43" i="1"/>
  <c r="DM44" i="2" s="1"/>
  <c r="DN44" i="2" s="1"/>
  <c r="DO44" i="2" s="1"/>
  <c r="HB43" i="1"/>
  <c r="HJ43" i="1"/>
  <c r="IJ53" i="1"/>
  <c r="DM54" i="2" s="1"/>
  <c r="IJ80" i="1"/>
  <c r="DM81" i="2" s="1"/>
  <c r="HB80" i="1"/>
  <c r="IJ48" i="1"/>
  <c r="DM49" i="2" s="1"/>
  <c r="IJ31" i="1"/>
  <c r="DM13" i="2" s="1"/>
  <c r="HB31" i="1"/>
  <c r="HJ31" i="1"/>
  <c r="IJ38" i="1"/>
  <c r="DM39" i="2" s="1"/>
  <c r="HJ38" i="1"/>
  <c r="HB38" i="1"/>
  <c r="IJ42" i="1"/>
  <c r="DM43" i="2" s="1"/>
  <c r="HJ42" i="1"/>
  <c r="HB42" i="1"/>
  <c r="IJ29" i="1"/>
  <c r="DM11" i="2" s="1"/>
  <c r="HB29" i="1"/>
  <c r="HJ29" i="1"/>
  <c r="ED15" i="2" s="1"/>
  <c r="IJ66" i="1"/>
  <c r="DM67" i="2" s="1"/>
  <c r="HJ66" i="1"/>
  <c r="HB66" i="1"/>
  <c r="IJ70" i="1"/>
  <c r="DM71" i="2" s="1"/>
  <c r="HJ70" i="1"/>
  <c r="HB70" i="1"/>
  <c r="IJ73" i="1"/>
  <c r="DM74" i="2" s="1"/>
  <c r="HB73" i="1"/>
  <c r="HJ73" i="1"/>
  <c r="HB47" i="1"/>
  <c r="IJ47" i="1"/>
  <c r="DM48" i="2" s="1"/>
  <c r="HJ47" i="1"/>
  <c r="IJ49" i="1"/>
  <c r="DM50" i="2" s="1"/>
  <c r="HB49" i="1"/>
  <c r="HJ49" i="1"/>
  <c r="HB64" i="1"/>
  <c r="HJ64" i="1"/>
  <c r="DK23" i="2"/>
  <c r="BW5" i="2" l="1"/>
  <c r="BX5" i="2" s="1"/>
  <c r="DP44" i="2"/>
  <c r="DH44" i="2" s="1"/>
  <c r="DP41" i="2"/>
  <c r="DH41" i="2" s="1"/>
  <c r="DP45" i="2"/>
  <c r="DH45" i="2" s="1"/>
  <c r="DQ23" i="2"/>
  <c r="BW19" i="2"/>
  <c r="BX19" i="2" s="1"/>
  <c r="BW15" i="2"/>
  <c r="BX15" i="2" s="1"/>
  <c r="BW7" i="2"/>
  <c r="BX7" i="2" s="1"/>
  <c r="BW17" i="2"/>
  <c r="BX17" i="2" s="1"/>
  <c r="BW21" i="2"/>
  <c r="BX21" i="2" s="1"/>
  <c r="BW9" i="2"/>
  <c r="BX9" i="2" s="1"/>
  <c r="BW11" i="2"/>
  <c r="BX11" i="2" s="1"/>
  <c r="ED14" i="2"/>
  <c r="ED17" i="2"/>
  <c r="CU109" i="1"/>
  <c r="CU113" i="1" s="1"/>
  <c r="CU114" i="1" s="1"/>
  <c r="CU115" i="1" s="1"/>
  <c r="BW18" i="2"/>
  <c r="BX18" i="2" s="1"/>
  <c r="BW16" i="2"/>
  <c r="BX16" i="2" s="1"/>
  <c r="BW8" i="2"/>
  <c r="BW6" i="2"/>
  <c r="BX6" i="2" s="1"/>
  <c r="HJ80" i="1"/>
  <c r="HB63" i="1"/>
  <c r="HJ63" i="1"/>
  <c r="HB62" i="1"/>
  <c r="HB48" i="1"/>
  <c r="HB53" i="1"/>
  <c r="HJ62" i="1"/>
  <c r="HJ48" i="1"/>
  <c r="HJ53" i="1"/>
  <c r="HZ87" i="1"/>
  <c r="BX8" i="2" l="1"/>
  <c r="HZ8" i="1" s="1"/>
  <c r="EG10" i="1"/>
  <c r="HZ49" i="1"/>
  <c r="HZ67" i="1"/>
  <c r="HZ71" i="1"/>
  <c r="HZ23" i="1"/>
  <c r="HZ79" i="1"/>
  <c r="HZ51" i="1"/>
  <c r="HZ69" i="1"/>
  <c r="HZ31" i="1"/>
  <c r="HZ73" i="1"/>
  <c r="HZ45" i="1"/>
  <c r="HZ35" i="1"/>
  <c r="HZ81" i="1"/>
  <c r="HZ41" i="1"/>
  <c r="HZ29" i="1"/>
  <c r="HZ65" i="1"/>
  <c r="HZ37" i="1"/>
  <c r="HZ77" i="1"/>
  <c r="HZ43" i="1" l="1"/>
  <c r="HZ39" i="1"/>
  <c r="HZ85" i="1"/>
  <c r="HZ63" i="1"/>
  <c r="HZ75" i="1"/>
  <c r="HZ64" i="1"/>
  <c r="HZ83" i="1"/>
  <c r="HZ76" i="1"/>
  <c r="HZ30" i="1"/>
  <c r="HZ44" i="1"/>
  <c r="HZ66" i="1"/>
  <c r="HZ42" i="1"/>
  <c r="HZ48" i="1"/>
  <c r="HZ40" i="1"/>
  <c r="HZ50" i="1"/>
  <c r="HZ72" i="1"/>
  <c r="HZ80" i="1"/>
  <c r="HZ68" i="1"/>
  <c r="HZ53" i="1"/>
  <c r="HZ33" i="1"/>
  <c r="HZ62" i="1"/>
  <c r="HZ32" i="1"/>
  <c r="HZ54" i="1"/>
  <c r="HZ86" i="1"/>
  <c r="HZ78" i="1"/>
  <c r="HZ52" i="1"/>
  <c r="HZ26" i="1"/>
  <c r="HZ70" i="1"/>
  <c r="HZ38" i="1"/>
  <c r="HZ34" i="1"/>
  <c r="HZ84" i="1"/>
  <c r="HZ46" i="1"/>
  <c r="HZ47" i="1"/>
  <c r="HZ74" i="1"/>
  <c r="HZ94" i="1"/>
  <c r="CY23" i="2" l="1"/>
  <c r="CY22" i="2"/>
  <c r="CY21" i="2"/>
  <c r="CY20" i="2"/>
  <c r="CY19" i="2"/>
  <c r="CY18" i="2"/>
  <c r="CY17" i="2"/>
  <c r="CY16" i="2"/>
  <c r="CY15" i="2"/>
  <c r="CY14" i="2"/>
  <c r="CY13" i="2"/>
  <c r="CY12" i="2"/>
  <c r="CY11" i="2"/>
  <c r="CY10" i="2"/>
  <c r="CY9" i="2"/>
  <c r="CY8" i="2"/>
  <c r="CY7" i="2"/>
  <c r="CY6" i="2"/>
  <c r="CY5" i="2"/>
  <c r="CY4" i="2"/>
  <c r="CY3" i="2"/>
  <c r="HB25" i="1"/>
  <c r="AR4" i="2"/>
  <c r="AB103" i="3"/>
  <c r="AA103" i="3"/>
  <c r="Z103" i="3"/>
  <c r="Y103" i="3"/>
  <c r="AB102" i="3"/>
  <c r="AA102" i="3"/>
  <c r="Z102" i="3"/>
  <c r="Y102" i="3"/>
  <c r="AB98" i="3"/>
  <c r="AA98" i="3"/>
  <c r="Z98" i="3"/>
  <c r="Y98" i="3"/>
  <c r="AB97" i="3"/>
  <c r="AA97" i="3"/>
  <c r="Z97" i="3"/>
  <c r="Y97" i="3"/>
  <c r="AB87" i="3"/>
  <c r="AA87" i="3"/>
  <c r="Z87" i="3"/>
  <c r="Y87" i="3"/>
  <c r="AB86" i="3"/>
  <c r="AA86" i="3"/>
  <c r="Z86" i="3"/>
  <c r="Y86" i="3"/>
  <c r="AB84" i="3"/>
  <c r="AA84" i="3"/>
  <c r="Z84" i="3"/>
  <c r="Y84" i="3"/>
  <c r="AB83" i="3"/>
  <c r="AA83" i="3"/>
  <c r="Z83" i="3"/>
  <c r="Y83" i="3"/>
  <c r="AF614" i="3"/>
  <c r="AF613" i="3"/>
  <c r="AF601" i="3"/>
  <c r="AF600" i="3"/>
  <c r="AF592" i="3"/>
  <c r="AF591" i="3"/>
  <c r="AF590" i="3"/>
  <c r="AF589" i="3"/>
  <c r="AF585" i="3"/>
  <c r="AF584" i="3"/>
  <c r="AF578" i="3"/>
  <c r="AF577" i="3"/>
  <c r="AF573" i="3"/>
  <c r="AF572" i="3"/>
  <c r="AF569" i="3"/>
  <c r="AF568" i="3"/>
  <c r="AF550" i="3"/>
  <c r="AF549" i="3"/>
  <c r="AF548" i="3"/>
  <c r="AF547" i="3"/>
  <c r="AF541" i="3"/>
  <c r="AF540" i="3"/>
  <c r="AF535" i="3"/>
  <c r="AF534" i="3"/>
  <c r="AF533" i="3"/>
  <c r="AF532" i="3"/>
  <c r="AF525" i="3"/>
  <c r="AF524" i="3"/>
  <c r="AF513" i="3"/>
  <c r="AF512" i="3"/>
  <c r="AF511" i="3"/>
  <c r="AF510" i="3"/>
  <c r="AF506" i="3"/>
  <c r="AF505" i="3"/>
  <c r="AF502" i="3"/>
  <c r="AF501" i="3"/>
  <c r="AF454" i="3"/>
  <c r="AF453" i="3"/>
  <c r="AF452" i="3"/>
  <c r="AF451" i="3"/>
  <c r="AF442" i="3"/>
  <c r="AF441" i="3"/>
  <c r="AF434" i="3"/>
  <c r="AF433" i="3"/>
  <c r="AF424" i="3"/>
  <c r="AF423" i="3"/>
  <c r="AF412" i="3"/>
  <c r="AF411" i="3"/>
  <c r="AF404" i="3"/>
  <c r="AF403" i="3"/>
  <c r="AF402" i="3"/>
  <c r="AF401" i="3"/>
  <c r="AF400" i="3"/>
  <c r="AF396" i="3"/>
  <c r="AF395" i="3"/>
  <c r="AF391" i="3"/>
  <c r="AF390" i="3"/>
  <c r="AF389" i="3"/>
  <c r="AF388" i="3"/>
  <c r="AF382" i="3"/>
  <c r="AF381" i="3"/>
  <c r="AF375" i="3"/>
  <c r="AF374" i="3"/>
  <c r="AF372" i="3"/>
  <c r="AF371" i="3"/>
  <c r="AF370" i="3"/>
  <c r="AF369" i="3"/>
  <c r="AF365" i="3"/>
  <c r="AF364" i="3"/>
  <c r="AF353" i="3"/>
  <c r="AF352" i="3"/>
  <c r="AF351" i="3"/>
  <c r="AF350" i="3"/>
  <c r="AF345" i="3"/>
  <c r="AF344" i="3"/>
  <c r="AF339" i="3"/>
  <c r="AF338" i="3"/>
  <c r="AF333" i="3"/>
  <c r="AF332" i="3"/>
  <c r="AF326" i="3"/>
  <c r="AF325" i="3"/>
  <c r="AF318" i="3"/>
  <c r="AF317" i="3"/>
  <c r="AF310" i="3"/>
  <c r="AF309" i="3"/>
  <c r="AF302" i="3"/>
  <c r="AF301" i="3"/>
  <c r="AF294" i="3"/>
  <c r="AF293" i="3"/>
  <c r="AF289" i="3"/>
  <c r="AF288" i="3"/>
  <c r="AF285" i="3"/>
  <c r="AF284" i="3"/>
  <c r="AF280" i="3"/>
  <c r="AF279" i="3"/>
  <c r="AF275" i="3"/>
  <c r="AF274" i="3"/>
  <c r="AF273" i="3"/>
  <c r="AF272" i="3"/>
  <c r="AF268" i="3"/>
  <c r="AF267" i="3"/>
  <c r="AF263" i="3"/>
  <c r="AF262" i="3"/>
  <c r="AF246" i="3"/>
  <c r="AF245" i="3"/>
  <c r="AF244" i="3"/>
  <c r="AF240" i="3"/>
  <c r="AF239" i="3"/>
  <c r="AF234" i="3"/>
  <c r="AF233" i="3"/>
  <c r="AF219" i="3"/>
  <c r="AF218" i="3"/>
  <c r="AF214" i="3"/>
  <c r="AF213" i="3"/>
  <c r="AF208" i="3"/>
  <c r="AF207" i="3"/>
  <c r="AF205" i="3"/>
  <c r="AF204" i="3"/>
  <c r="AF203" i="3"/>
  <c r="AF202" i="3"/>
  <c r="AF198" i="3"/>
  <c r="AF197" i="3"/>
  <c r="AF195" i="3"/>
  <c r="AF194" i="3"/>
  <c r="AF191" i="3"/>
  <c r="AF190" i="3"/>
  <c r="AF185" i="3"/>
  <c r="AF184" i="3"/>
  <c r="AF175" i="3"/>
  <c r="AF174" i="3"/>
  <c r="AF173" i="3"/>
  <c r="AF172" i="3"/>
  <c r="AF171" i="3"/>
  <c r="AF168" i="3"/>
  <c r="AF167" i="3"/>
  <c r="AF120" i="3"/>
  <c r="AF119" i="3"/>
  <c r="AF118" i="3"/>
  <c r="AF110" i="3"/>
  <c r="AF109" i="3"/>
  <c r="AF108" i="3"/>
  <c r="AF103" i="3"/>
  <c r="AF102" i="3"/>
  <c r="AF98" i="3"/>
  <c r="AF97" i="3"/>
  <c r="AF87" i="3"/>
  <c r="AF86" i="3"/>
  <c r="AF84" i="3"/>
  <c r="AF83" i="3"/>
  <c r="AF71" i="3"/>
  <c r="AF70" i="3"/>
  <c r="AF69" i="3"/>
  <c r="AF68" i="3"/>
  <c r="AF62" i="3"/>
  <c r="AF61" i="3"/>
  <c r="AF57" i="3"/>
  <c r="AF56" i="3"/>
  <c r="AF52" i="3"/>
  <c r="AF51" i="3"/>
  <c r="AF45" i="3"/>
  <c r="AF44" i="3"/>
  <c r="AF38" i="3"/>
  <c r="AF37" i="3"/>
  <c r="AF29" i="3"/>
  <c r="AF28" i="3"/>
  <c r="AF23" i="3"/>
  <c r="AF22" i="3"/>
  <c r="AF17" i="3"/>
  <c r="AF16" i="3"/>
  <c r="AF11" i="3"/>
  <c r="AF10" i="3"/>
  <c r="AF5" i="3"/>
  <c r="AF4" i="3"/>
  <c r="AF3" i="3"/>
  <c r="AF2" i="3"/>
  <c r="AB614" i="3"/>
  <c r="AB613" i="3"/>
  <c r="AB601" i="3"/>
  <c r="AB600" i="3"/>
  <c r="AB592" i="3"/>
  <c r="AB591" i="3"/>
  <c r="AB590" i="3"/>
  <c r="AB589" i="3"/>
  <c r="AB585" i="3"/>
  <c r="AB584" i="3"/>
  <c r="AB578" i="3"/>
  <c r="AB577" i="3"/>
  <c r="AB573" i="3"/>
  <c r="AB572" i="3"/>
  <c r="AB569" i="3"/>
  <c r="AB568" i="3"/>
  <c r="AB550" i="3"/>
  <c r="AB549" i="3"/>
  <c r="AB548" i="3"/>
  <c r="AB547" i="3"/>
  <c r="AB541" i="3"/>
  <c r="AB540" i="3"/>
  <c r="AB535" i="3"/>
  <c r="AB534" i="3"/>
  <c r="AB533" i="3"/>
  <c r="AB532" i="3"/>
  <c r="AB525" i="3"/>
  <c r="AB524" i="3"/>
  <c r="AB513" i="3"/>
  <c r="AB512" i="3"/>
  <c r="AB511" i="3"/>
  <c r="AB510" i="3"/>
  <c r="AB506" i="3"/>
  <c r="AB505" i="3"/>
  <c r="AB502" i="3"/>
  <c r="AB501" i="3"/>
  <c r="AB454" i="3"/>
  <c r="AB453" i="3"/>
  <c r="AB452" i="3"/>
  <c r="AB451" i="3"/>
  <c r="AB442" i="3"/>
  <c r="AB441" i="3"/>
  <c r="AB434" i="3"/>
  <c r="AB433" i="3"/>
  <c r="AB424" i="3"/>
  <c r="AB423" i="3"/>
  <c r="AB412" i="3"/>
  <c r="AB411" i="3"/>
  <c r="AB404" i="3"/>
  <c r="AB403" i="3"/>
  <c r="AB402" i="3"/>
  <c r="AB401" i="3"/>
  <c r="AB400" i="3"/>
  <c r="AB396" i="3"/>
  <c r="AB395" i="3"/>
  <c r="AB391" i="3"/>
  <c r="AB390" i="3"/>
  <c r="AB389" i="3"/>
  <c r="AB388" i="3"/>
  <c r="AB382" i="3"/>
  <c r="AB381" i="3"/>
  <c r="AB375" i="3"/>
  <c r="AB374" i="3"/>
  <c r="AB372" i="3"/>
  <c r="AB371" i="3"/>
  <c r="AB370" i="3"/>
  <c r="AB369" i="3"/>
  <c r="AB365" i="3"/>
  <c r="AB364" i="3"/>
  <c r="AB353" i="3"/>
  <c r="AB352" i="3"/>
  <c r="AB351" i="3"/>
  <c r="AB350" i="3"/>
  <c r="AB345" i="3"/>
  <c r="AB344" i="3"/>
  <c r="AB339" i="3"/>
  <c r="AB338" i="3"/>
  <c r="AB333" i="3"/>
  <c r="AB332" i="3"/>
  <c r="AB326" i="3"/>
  <c r="AB325" i="3"/>
  <c r="AB318" i="3"/>
  <c r="AB317" i="3"/>
  <c r="AB310" i="3"/>
  <c r="AB309" i="3"/>
  <c r="AB302" i="3"/>
  <c r="AB301" i="3"/>
  <c r="AB294" i="3"/>
  <c r="AB293" i="3"/>
  <c r="AB289" i="3"/>
  <c r="AB288" i="3"/>
  <c r="AB285" i="3"/>
  <c r="AB284" i="3"/>
  <c r="AB280" i="3"/>
  <c r="AB279" i="3"/>
  <c r="AB275" i="3"/>
  <c r="AB274" i="3"/>
  <c r="AB273" i="3"/>
  <c r="AB272" i="3"/>
  <c r="AB268" i="3"/>
  <c r="AB267" i="3"/>
  <c r="AB263" i="3"/>
  <c r="AB262" i="3"/>
  <c r="AB246" i="3"/>
  <c r="AB245" i="3"/>
  <c r="AB244" i="3"/>
  <c r="AB240" i="3"/>
  <c r="AB239" i="3"/>
  <c r="AB234" i="3"/>
  <c r="AB233" i="3"/>
  <c r="AB219" i="3"/>
  <c r="AB218" i="3"/>
  <c r="AB214" i="3"/>
  <c r="AB213" i="3"/>
  <c r="AB208" i="3"/>
  <c r="AB207" i="3"/>
  <c r="AB205" i="3"/>
  <c r="AB204" i="3"/>
  <c r="AB203" i="3"/>
  <c r="AB202" i="3"/>
  <c r="AB198" i="3"/>
  <c r="AB197" i="3"/>
  <c r="AB195" i="3"/>
  <c r="AB194" i="3"/>
  <c r="AB191" i="3"/>
  <c r="AB190" i="3"/>
  <c r="AB185" i="3"/>
  <c r="AB184" i="3"/>
  <c r="AB175" i="3"/>
  <c r="AB174" i="3"/>
  <c r="AB173" i="3"/>
  <c r="AB172" i="3"/>
  <c r="AB171" i="3"/>
  <c r="AB170" i="3"/>
  <c r="AB169" i="3"/>
  <c r="AB168" i="3"/>
  <c r="AB167" i="3"/>
  <c r="AB120" i="3"/>
  <c r="AB119" i="3"/>
  <c r="AB118" i="3"/>
  <c r="AB110" i="3"/>
  <c r="AB109" i="3"/>
  <c r="AB108" i="3"/>
  <c r="AB71" i="3"/>
  <c r="AB70" i="3"/>
  <c r="AB69" i="3"/>
  <c r="AB68" i="3"/>
  <c r="AB62" i="3"/>
  <c r="AB61" i="3"/>
  <c r="AB57" i="3"/>
  <c r="AB56" i="3"/>
  <c r="AB52" i="3"/>
  <c r="AB51" i="3"/>
  <c r="AB45" i="3"/>
  <c r="AB44" i="3"/>
  <c r="AB38" i="3"/>
  <c r="AB37" i="3"/>
  <c r="AB35" i="3"/>
  <c r="AB34" i="3"/>
  <c r="AB33" i="3"/>
  <c r="AB32" i="3"/>
  <c r="AB30" i="3"/>
  <c r="AB29" i="3"/>
  <c r="AB28" i="3"/>
  <c r="AB23" i="3"/>
  <c r="AB22" i="3"/>
  <c r="AB17" i="3"/>
  <c r="AB16" i="3"/>
  <c r="AB11" i="3"/>
  <c r="AB10" i="3"/>
  <c r="AB5" i="3"/>
  <c r="AB4" i="3"/>
  <c r="AB3" i="3"/>
  <c r="AB2" i="3"/>
  <c r="AA2" i="3"/>
  <c r="Y614" i="3"/>
  <c r="Y613" i="3"/>
  <c r="Y601" i="3"/>
  <c r="Y600" i="3"/>
  <c r="Y592" i="3"/>
  <c r="Y591" i="3"/>
  <c r="Y590" i="3"/>
  <c r="Y589" i="3"/>
  <c r="Y585" i="3"/>
  <c r="Y584" i="3"/>
  <c r="Y578" i="3"/>
  <c r="Y577" i="3"/>
  <c r="Y573" i="3"/>
  <c r="Y572" i="3"/>
  <c r="Y569" i="3"/>
  <c r="Y568" i="3"/>
  <c r="Y550" i="3"/>
  <c r="Y549" i="3"/>
  <c r="Y548" i="3"/>
  <c r="Y547" i="3"/>
  <c r="Y541" i="3"/>
  <c r="Y540" i="3"/>
  <c r="Y535" i="3"/>
  <c r="Y534" i="3"/>
  <c r="Y533" i="3"/>
  <c r="Y532" i="3"/>
  <c r="Y525" i="3"/>
  <c r="Y524" i="3"/>
  <c r="Y513" i="3"/>
  <c r="Y512" i="3"/>
  <c r="Y511" i="3"/>
  <c r="Y510" i="3"/>
  <c r="Y506" i="3"/>
  <c r="Y505" i="3"/>
  <c r="Y502" i="3"/>
  <c r="Y501" i="3"/>
  <c r="Y454" i="3"/>
  <c r="Y453" i="3"/>
  <c r="Y452" i="3"/>
  <c r="Y451" i="3"/>
  <c r="Y442" i="3"/>
  <c r="Y441" i="3"/>
  <c r="Y434" i="3"/>
  <c r="Y433" i="3"/>
  <c r="Y424" i="3"/>
  <c r="Y423" i="3"/>
  <c r="Y412" i="3"/>
  <c r="Y411" i="3"/>
  <c r="Y404" i="3"/>
  <c r="Y403" i="3"/>
  <c r="Y402" i="3"/>
  <c r="Y401" i="3"/>
  <c r="Y400" i="3"/>
  <c r="Y396" i="3"/>
  <c r="Y395" i="3"/>
  <c r="Y391" i="3"/>
  <c r="Y390" i="3"/>
  <c r="Y389" i="3"/>
  <c r="Y388" i="3"/>
  <c r="Y382" i="3"/>
  <c r="Y381" i="3"/>
  <c r="Y375" i="3"/>
  <c r="Y374" i="3"/>
  <c r="Y372" i="3"/>
  <c r="Y371" i="3"/>
  <c r="Y370" i="3"/>
  <c r="Y369" i="3"/>
  <c r="Y365" i="3"/>
  <c r="Y364" i="3"/>
  <c r="Y353" i="3"/>
  <c r="Y352" i="3"/>
  <c r="Y351" i="3"/>
  <c r="Y350" i="3"/>
  <c r="Y345" i="3"/>
  <c r="Y344" i="3"/>
  <c r="Y339" i="3"/>
  <c r="Y338" i="3"/>
  <c r="Y333" i="3"/>
  <c r="Y332" i="3"/>
  <c r="Y326" i="3"/>
  <c r="Y325" i="3"/>
  <c r="Y318" i="3"/>
  <c r="Y317" i="3"/>
  <c r="Y310" i="3"/>
  <c r="Y309" i="3"/>
  <c r="Y302" i="3"/>
  <c r="Y301" i="3"/>
  <c r="Y294" i="3"/>
  <c r="Y293" i="3"/>
  <c r="Y289" i="3"/>
  <c r="Y288" i="3"/>
  <c r="Y285" i="3"/>
  <c r="Y284" i="3"/>
  <c r="Y280" i="3"/>
  <c r="Y279" i="3"/>
  <c r="Y275" i="3"/>
  <c r="Y274" i="3"/>
  <c r="Y273" i="3"/>
  <c r="Y272" i="3"/>
  <c r="Y268" i="3"/>
  <c r="Y267" i="3"/>
  <c r="Y263" i="3"/>
  <c r="Y262" i="3"/>
  <c r="Y246" i="3"/>
  <c r="Y245" i="3"/>
  <c r="Y244" i="3"/>
  <c r="Y240" i="3"/>
  <c r="Y239" i="3"/>
  <c r="Y234" i="3"/>
  <c r="Y233" i="3"/>
  <c r="Y219" i="3"/>
  <c r="Y218" i="3"/>
  <c r="Y214" i="3"/>
  <c r="Y213" i="3"/>
  <c r="Y208" i="3"/>
  <c r="Y207" i="3"/>
  <c r="Y205" i="3"/>
  <c r="Y204" i="3"/>
  <c r="Y203" i="3"/>
  <c r="Y202" i="3"/>
  <c r="Y198" i="3"/>
  <c r="Y197" i="3"/>
  <c r="Y195" i="3"/>
  <c r="Y194" i="3"/>
  <c r="Y191" i="3"/>
  <c r="Y190" i="3"/>
  <c r="Y185" i="3"/>
  <c r="Y184" i="3"/>
  <c r="Y175" i="3"/>
  <c r="Y174" i="3"/>
  <c r="Y173" i="3"/>
  <c r="Y172" i="3"/>
  <c r="Y171" i="3"/>
  <c r="Y170" i="3"/>
  <c r="Y169" i="3"/>
  <c r="Y168" i="3"/>
  <c r="Y167" i="3"/>
  <c r="Y120" i="3"/>
  <c r="Y119" i="3"/>
  <c r="Y118" i="3"/>
  <c r="Y110" i="3"/>
  <c r="Y109" i="3"/>
  <c r="Y108" i="3"/>
  <c r="Y71" i="3"/>
  <c r="Y70" i="3"/>
  <c r="Y69" i="3"/>
  <c r="Y68" i="3"/>
  <c r="Y62" i="3"/>
  <c r="Y61" i="3"/>
  <c r="Y57" i="3"/>
  <c r="Y56" i="3"/>
  <c r="Y52" i="3"/>
  <c r="Y51" i="3"/>
  <c r="Y45" i="3"/>
  <c r="Y44" i="3"/>
  <c r="Y38" i="3"/>
  <c r="Y37" i="3"/>
  <c r="Y36" i="3"/>
  <c r="Y35" i="3"/>
  <c r="Y34" i="3"/>
  <c r="Y33" i="3"/>
  <c r="Y32" i="3"/>
  <c r="Y31" i="3"/>
  <c r="Y30" i="3"/>
  <c r="Y29" i="3"/>
  <c r="Y28" i="3"/>
  <c r="Y23" i="3"/>
  <c r="Y22" i="3"/>
  <c r="Y17" i="3"/>
  <c r="Y16" i="3"/>
  <c r="Y11" i="3"/>
  <c r="Y10" i="3"/>
  <c r="Y5" i="3"/>
  <c r="Y4" i="3"/>
  <c r="Y3" i="3"/>
  <c r="Y2" i="3"/>
  <c r="Z2" i="3"/>
  <c r="AA614" i="3"/>
  <c r="Z614" i="3"/>
  <c r="AA613" i="3"/>
  <c r="Z613" i="3"/>
  <c r="AA601" i="3"/>
  <c r="Z601" i="3"/>
  <c r="AA600" i="3"/>
  <c r="Z600" i="3"/>
  <c r="AA592" i="3"/>
  <c r="Z592" i="3"/>
  <c r="AA591" i="3"/>
  <c r="Z591" i="3"/>
  <c r="AA590" i="3"/>
  <c r="Z590" i="3"/>
  <c r="AA589" i="3"/>
  <c r="Z589" i="3"/>
  <c r="AA585" i="3"/>
  <c r="Z585" i="3"/>
  <c r="AA584" i="3"/>
  <c r="Z584" i="3"/>
  <c r="AA578" i="3"/>
  <c r="Z578" i="3"/>
  <c r="AA577" i="3"/>
  <c r="Z577" i="3"/>
  <c r="AA573" i="3"/>
  <c r="Z573" i="3"/>
  <c r="AA572" i="3"/>
  <c r="Z572" i="3"/>
  <c r="AA569" i="3"/>
  <c r="Z569" i="3"/>
  <c r="AA568" i="3"/>
  <c r="Z568" i="3"/>
  <c r="AA550" i="3"/>
  <c r="Z550" i="3"/>
  <c r="AA549" i="3"/>
  <c r="Z549" i="3"/>
  <c r="AA548" i="3"/>
  <c r="Z548" i="3"/>
  <c r="AA547" i="3"/>
  <c r="Z547" i="3"/>
  <c r="AA541" i="3"/>
  <c r="Z541" i="3"/>
  <c r="AA540" i="3"/>
  <c r="Z540" i="3"/>
  <c r="AA535" i="3"/>
  <c r="Z535" i="3"/>
  <c r="AA534" i="3"/>
  <c r="Z534" i="3"/>
  <c r="AA533" i="3"/>
  <c r="Z533" i="3"/>
  <c r="AA532" i="3"/>
  <c r="Z532" i="3"/>
  <c r="AA525" i="3"/>
  <c r="Z525" i="3"/>
  <c r="AA524" i="3"/>
  <c r="Z524" i="3"/>
  <c r="AA513" i="3"/>
  <c r="Z513" i="3"/>
  <c r="AA512" i="3"/>
  <c r="Z512" i="3"/>
  <c r="AA511" i="3"/>
  <c r="Z511" i="3"/>
  <c r="AA510" i="3"/>
  <c r="Z510" i="3"/>
  <c r="AA506" i="3"/>
  <c r="Z506" i="3"/>
  <c r="AA505" i="3"/>
  <c r="Z505" i="3"/>
  <c r="AA502" i="3"/>
  <c r="Z502" i="3"/>
  <c r="AA501" i="3"/>
  <c r="Z501" i="3"/>
  <c r="AA454" i="3"/>
  <c r="Z454" i="3"/>
  <c r="AA453" i="3"/>
  <c r="Z453" i="3"/>
  <c r="AA452" i="3"/>
  <c r="Z452" i="3"/>
  <c r="AA451" i="3"/>
  <c r="Z451" i="3"/>
  <c r="AA442" i="3"/>
  <c r="Z442" i="3"/>
  <c r="AA441" i="3"/>
  <c r="Z441" i="3"/>
  <c r="AA434" i="3"/>
  <c r="Z434" i="3"/>
  <c r="AA433" i="3"/>
  <c r="Z433" i="3"/>
  <c r="AA424" i="3"/>
  <c r="Z424" i="3"/>
  <c r="AA423" i="3"/>
  <c r="Z423" i="3"/>
  <c r="AA412" i="3"/>
  <c r="Z412" i="3"/>
  <c r="AA411" i="3"/>
  <c r="Z411" i="3"/>
  <c r="AA404" i="3"/>
  <c r="Z404" i="3"/>
  <c r="AA403" i="3"/>
  <c r="Z403" i="3"/>
  <c r="AA402" i="3"/>
  <c r="Z402" i="3"/>
  <c r="AA401" i="3"/>
  <c r="Z401" i="3"/>
  <c r="AA400" i="3"/>
  <c r="Z400" i="3"/>
  <c r="AA396" i="3"/>
  <c r="Z396" i="3"/>
  <c r="AA395" i="3"/>
  <c r="Z395" i="3"/>
  <c r="AA391" i="3"/>
  <c r="Z391" i="3"/>
  <c r="AA390" i="3"/>
  <c r="Z390" i="3"/>
  <c r="AA389" i="3"/>
  <c r="Z389" i="3"/>
  <c r="AA388" i="3"/>
  <c r="Z388" i="3"/>
  <c r="AA382" i="3"/>
  <c r="Z382" i="3"/>
  <c r="AA381" i="3"/>
  <c r="Z381" i="3"/>
  <c r="AA375" i="3"/>
  <c r="Z375" i="3"/>
  <c r="AA374" i="3"/>
  <c r="Z374" i="3"/>
  <c r="AA372" i="3"/>
  <c r="Z372" i="3"/>
  <c r="AA371" i="3"/>
  <c r="Z371" i="3"/>
  <c r="AA370" i="3"/>
  <c r="Z370" i="3"/>
  <c r="AA369" i="3"/>
  <c r="Z369" i="3"/>
  <c r="AA365" i="3"/>
  <c r="Z365" i="3"/>
  <c r="AA364" i="3"/>
  <c r="Z364" i="3"/>
  <c r="AA353" i="3"/>
  <c r="Z353" i="3"/>
  <c r="AA352" i="3"/>
  <c r="Z352" i="3"/>
  <c r="AA351" i="3"/>
  <c r="Z351" i="3"/>
  <c r="AA350" i="3"/>
  <c r="Z350" i="3"/>
  <c r="AA345" i="3"/>
  <c r="Z345" i="3"/>
  <c r="AA344" i="3"/>
  <c r="Z344" i="3"/>
  <c r="AA339" i="3"/>
  <c r="Z339" i="3"/>
  <c r="AA338" i="3"/>
  <c r="Z338" i="3"/>
  <c r="AA333" i="3"/>
  <c r="Z333" i="3"/>
  <c r="AA332" i="3"/>
  <c r="Z332" i="3"/>
  <c r="AA326" i="3"/>
  <c r="Z326" i="3"/>
  <c r="AA325" i="3"/>
  <c r="Z325" i="3"/>
  <c r="AA318" i="3"/>
  <c r="Z318" i="3"/>
  <c r="AA317" i="3"/>
  <c r="Z317" i="3"/>
  <c r="AA310" i="3"/>
  <c r="Z310" i="3"/>
  <c r="AA309" i="3"/>
  <c r="Z309" i="3"/>
  <c r="AA302" i="3"/>
  <c r="Z302" i="3"/>
  <c r="AA301" i="3"/>
  <c r="Z301" i="3"/>
  <c r="AA294" i="3"/>
  <c r="Z294" i="3"/>
  <c r="AA293" i="3"/>
  <c r="Z293" i="3"/>
  <c r="AA289" i="3"/>
  <c r="Z289" i="3"/>
  <c r="AA288" i="3"/>
  <c r="Z288" i="3"/>
  <c r="AA285" i="3"/>
  <c r="Z285" i="3"/>
  <c r="AA284" i="3"/>
  <c r="Z284" i="3"/>
  <c r="AA280" i="3"/>
  <c r="Z280" i="3"/>
  <c r="AA279" i="3"/>
  <c r="Z279" i="3"/>
  <c r="AA275" i="3"/>
  <c r="Z275" i="3"/>
  <c r="AA274" i="3"/>
  <c r="Z274" i="3"/>
  <c r="AA273" i="3"/>
  <c r="Z273" i="3"/>
  <c r="AA272" i="3"/>
  <c r="Z272" i="3"/>
  <c r="AA268" i="3"/>
  <c r="Z268" i="3"/>
  <c r="AA267" i="3"/>
  <c r="Z267" i="3"/>
  <c r="AA263" i="3"/>
  <c r="Z263" i="3"/>
  <c r="AA262" i="3"/>
  <c r="Z262" i="3"/>
  <c r="AA246" i="3"/>
  <c r="Z246" i="3"/>
  <c r="AA245" i="3"/>
  <c r="Z245" i="3"/>
  <c r="AA244" i="3"/>
  <c r="Z244" i="3"/>
  <c r="AA240" i="3"/>
  <c r="Z240" i="3"/>
  <c r="AA239" i="3"/>
  <c r="Z239" i="3"/>
  <c r="AA234" i="3"/>
  <c r="Z234" i="3"/>
  <c r="AA233" i="3"/>
  <c r="Z233" i="3"/>
  <c r="AA219" i="3"/>
  <c r="Z219" i="3"/>
  <c r="AA218" i="3"/>
  <c r="Z218" i="3"/>
  <c r="AA214" i="3"/>
  <c r="Z214" i="3"/>
  <c r="AA213" i="3"/>
  <c r="Z213" i="3"/>
  <c r="AA208" i="3"/>
  <c r="Z208" i="3"/>
  <c r="AA207" i="3"/>
  <c r="Z207" i="3"/>
  <c r="AA205" i="3"/>
  <c r="Z205" i="3"/>
  <c r="AA204" i="3"/>
  <c r="Z204" i="3"/>
  <c r="AA203" i="3"/>
  <c r="Z203" i="3"/>
  <c r="AA202" i="3"/>
  <c r="Z202" i="3"/>
  <c r="AA198" i="3"/>
  <c r="Z198" i="3"/>
  <c r="AA197" i="3"/>
  <c r="Z197" i="3"/>
  <c r="AA195" i="3"/>
  <c r="Z195" i="3"/>
  <c r="AA194" i="3"/>
  <c r="Z194" i="3"/>
  <c r="AA191" i="3"/>
  <c r="Z191" i="3"/>
  <c r="AA190" i="3"/>
  <c r="Z190" i="3"/>
  <c r="AA185" i="3"/>
  <c r="Z185" i="3"/>
  <c r="AA184" i="3"/>
  <c r="Z184" i="3"/>
  <c r="AA175" i="3"/>
  <c r="Z175" i="3"/>
  <c r="AA174" i="3"/>
  <c r="Z174" i="3"/>
  <c r="AA173" i="3"/>
  <c r="Z173" i="3"/>
  <c r="AA172" i="3"/>
  <c r="Z172" i="3"/>
  <c r="AA171" i="3"/>
  <c r="Z171" i="3"/>
  <c r="AA170" i="3"/>
  <c r="Z170" i="3"/>
  <c r="AA169" i="3"/>
  <c r="Z169" i="3"/>
  <c r="AA168" i="3"/>
  <c r="Z168" i="3"/>
  <c r="AA167" i="3"/>
  <c r="Z167" i="3"/>
  <c r="AA120" i="3"/>
  <c r="Z120" i="3"/>
  <c r="AA119" i="3"/>
  <c r="Z119" i="3"/>
  <c r="AA118" i="3"/>
  <c r="Z118" i="3"/>
  <c r="AA110" i="3"/>
  <c r="Z110" i="3"/>
  <c r="AA109" i="3"/>
  <c r="Z109" i="3"/>
  <c r="AA108" i="3"/>
  <c r="Z108" i="3"/>
  <c r="AA71" i="3"/>
  <c r="Z71" i="3"/>
  <c r="AA70" i="3"/>
  <c r="Z70" i="3"/>
  <c r="AA69" i="3"/>
  <c r="Z69" i="3"/>
  <c r="AA68" i="3"/>
  <c r="Z68" i="3"/>
  <c r="AA62" i="3"/>
  <c r="Z62" i="3"/>
  <c r="AA61" i="3"/>
  <c r="Z61" i="3"/>
  <c r="AA57" i="3"/>
  <c r="Z57" i="3"/>
  <c r="AA56" i="3"/>
  <c r="Z56" i="3"/>
  <c r="AA52" i="3"/>
  <c r="Z52" i="3"/>
  <c r="AA51" i="3"/>
  <c r="Z51" i="3"/>
  <c r="AA45" i="3"/>
  <c r="Z45" i="3"/>
  <c r="AA44" i="3"/>
  <c r="Z44" i="3"/>
  <c r="AA38" i="3"/>
  <c r="Z38" i="3"/>
  <c r="AA37" i="3"/>
  <c r="Z37" i="3"/>
  <c r="AA36" i="3"/>
  <c r="Z36" i="3"/>
  <c r="AA35" i="3"/>
  <c r="Z35" i="3"/>
  <c r="AA34" i="3"/>
  <c r="Z34" i="3"/>
  <c r="AA33" i="3"/>
  <c r="Z33" i="3"/>
  <c r="AA32" i="3"/>
  <c r="Z32" i="3"/>
  <c r="AA31" i="3"/>
  <c r="Z31" i="3"/>
  <c r="AA30" i="3"/>
  <c r="Z30" i="3"/>
  <c r="AA29" i="3"/>
  <c r="Z29" i="3"/>
  <c r="AA28" i="3"/>
  <c r="Z28" i="3"/>
  <c r="AA23" i="3"/>
  <c r="Z23" i="3"/>
  <c r="AA22" i="3"/>
  <c r="Z22" i="3"/>
  <c r="AA17" i="3"/>
  <c r="Z17" i="3"/>
  <c r="AA16" i="3"/>
  <c r="Z16" i="3"/>
  <c r="AA11" i="3"/>
  <c r="Z11" i="3"/>
  <c r="AA10" i="3"/>
  <c r="Z10" i="3"/>
  <c r="AA5" i="3"/>
  <c r="Z5" i="3"/>
  <c r="AA4" i="3"/>
  <c r="Z4" i="3"/>
  <c r="AA3" i="3"/>
  <c r="Z3" i="3"/>
  <c r="X2" i="3"/>
  <c r="X614" i="3"/>
  <c r="X613" i="3"/>
  <c r="X601" i="3"/>
  <c r="X600" i="3"/>
  <c r="X592" i="3"/>
  <c r="X591" i="3"/>
  <c r="X590" i="3"/>
  <c r="X589" i="3"/>
  <c r="X585" i="3"/>
  <c r="X584" i="3"/>
  <c r="X578" i="3"/>
  <c r="X577" i="3"/>
  <c r="X573" i="3"/>
  <c r="X572" i="3"/>
  <c r="X569" i="3"/>
  <c r="X568" i="3"/>
  <c r="X550" i="3"/>
  <c r="X549" i="3"/>
  <c r="X548" i="3"/>
  <c r="X547" i="3"/>
  <c r="X541" i="3"/>
  <c r="X540" i="3"/>
  <c r="X535" i="3"/>
  <c r="X534" i="3"/>
  <c r="X533" i="3"/>
  <c r="X532" i="3"/>
  <c r="X525" i="3"/>
  <c r="X524" i="3"/>
  <c r="X513" i="3"/>
  <c r="X512" i="3"/>
  <c r="X511" i="3"/>
  <c r="X510" i="3"/>
  <c r="X506" i="3"/>
  <c r="X505" i="3"/>
  <c r="X502" i="3"/>
  <c r="X501" i="3"/>
  <c r="X454" i="3"/>
  <c r="X453" i="3"/>
  <c r="X452" i="3"/>
  <c r="X451" i="3"/>
  <c r="X442" i="3"/>
  <c r="X441" i="3"/>
  <c r="X434" i="3"/>
  <c r="X433" i="3"/>
  <c r="X424" i="3"/>
  <c r="X423" i="3"/>
  <c r="X412" i="3"/>
  <c r="X411" i="3"/>
  <c r="X404" i="3"/>
  <c r="X403" i="3"/>
  <c r="X402" i="3"/>
  <c r="X401" i="3"/>
  <c r="X400" i="3"/>
  <c r="X396" i="3"/>
  <c r="X395" i="3"/>
  <c r="X391" i="3"/>
  <c r="X390" i="3"/>
  <c r="X389" i="3"/>
  <c r="X388" i="3"/>
  <c r="X382" i="3"/>
  <c r="X381" i="3"/>
  <c r="X375" i="3"/>
  <c r="X374" i="3"/>
  <c r="X372" i="3"/>
  <c r="X371" i="3"/>
  <c r="X370" i="3"/>
  <c r="X369" i="3"/>
  <c r="X365" i="3"/>
  <c r="X364" i="3"/>
  <c r="X353" i="3"/>
  <c r="X352" i="3"/>
  <c r="X351" i="3"/>
  <c r="X350" i="3"/>
  <c r="X345" i="3"/>
  <c r="X344" i="3"/>
  <c r="X339" i="3"/>
  <c r="X338" i="3"/>
  <c r="X333" i="3"/>
  <c r="X332" i="3"/>
  <c r="X326" i="3"/>
  <c r="X325" i="3"/>
  <c r="X318" i="3"/>
  <c r="X317" i="3"/>
  <c r="X310" i="3"/>
  <c r="X309" i="3"/>
  <c r="X302" i="3"/>
  <c r="X301" i="3"/>
  <c r="X294" i="3"/>
  <c r="X293" i="3"/>
  <c r="X289" i="3"/>
  <c r="X288" i="3"/>
  <c r="X285" i="3"/>
  <c r="X284" i="3"/>
  <c r="X280" i="3"/>
  <c r="X279" i="3"/>
  <c r="X275" i="3"/>
  <c r="X274" i="3"/>
  <c r="X273" i="3"/>
  <c r="X272" i="3"/>
  <c r="X268" i="3"/>
  <c r="X267" i="3"/>
  <c r="X263" i="3"/>
  <c r="X262" i="3"/>
  <c r="X246" i="3"/>
  <c r="X245" i="3"/>
  <c r="X244" i="3"/>
  <c r="X240" i="3"/>
  <c r="X239" i="3"/>
  <c r="X234" i="3"/>
  <c r="X233" i="3"/>
  <c r="X219" i="3"/>
  <c r="X218" i="3"/>
  <c r="X214" i="3"/>
  <c r="X213" i="3"/>
  <c r="X208" i="3"/>
  <c r="X207" i="3"/>
  <c r="X205" i="3"/>
  <c r="X204" i="3"/>
  <c r="X203" i="3"/>
  <c r="X202" i="3"/>
  <c r="X198" i="3"/>
  <c r="X197" i="3"/>
  <c r="X195" i="3"/>
  <c r="X194" i="3"/>
  <c r="X191" i="3"/>
  <c r="X190" i="3"/>
  <c r="X185" i="3"/>
  <c r="X184" i="3"/>
  <c r="X175" i="3"/>
  <c r="X174" i="3"/>
  <c r="X173" i="3"/>
  <c r="X172" i="3"/>
  <c r="X171" i="3"/>
  <c r="X170" i="3"/>
  <c r="X169" i="3"/>
  <c r="X168" i="3"/>
  <c r="X167" i="3"/>
  <c r="X120" i="3"/>
  <c r="X119" i="3"/>
  <c r="X118" i="3"/>
  <c r="X110" i="3"/>
  <c r="X109" i="3"/>
  <c r="X108" i="3"/>
  <c r="X103" i="3"/>
  <c r="X102" i="3"/>
  <c r="X98" i="3"/>
  <c r="X97" i="3"/>
  <c r="X87" i="3"/>
  <c r="X86" i="3"/>
  <c r="X84" i="3"/>
  <c r="X83" i="3"/>
  <c r="X71" i="3"/>
  <c r="X70" i="3"/>
  <c r="X69" i="3"/>
  <c r="X68" i="3"/>
  <c r="X62" i="3"/>
  <c r="X61" i="3"/>
  <c r="X57" i="3"/>
  <c r="X56" i="3"/>
  <c r="X52" i="3"/>
  <c r="X51" i="3"/>
  <c r="X45" i="3"/>
  <c r="X44" i="3"/>
  <c r="X38" i="3"/>
  <c r="X37" i="3"/>
  <c r="X36" i="3"/>
  <c r="X35" i="3"/>
  <c r="X34" i="3"/>
  <c r="X33" i="3"/>
  <c r="X32" i="3"/>
  <c r="X31" i="3"/>
  <c r="X30" i="3"/>
  <c r="X29" i="3"/>
  <c r="X28" i="3"/>
  <c r="X23" i="3"/>
  <c r="X22" i="3"/>
  <c r="X17" i="3"/>
  <c r="X16" i="3"/>
  <c r="X11" i="3"/>
  <c r="X10" i="3"/>
  <c r="X5" i="3"/>
  <c r="X4" i="3"/>
  <c r="X3" i="3"/>
  <c r="W2" i="3"/>
  <c r="DQ71" i="1"/>
  <c r="BM71" i="1"/>
  <c r="BE71" i="1"/>
  <c r="AW71" i="1"/>
  <c r="BT106" i="2" l="1"/>
  <c r="BW106" i="2" s="1"/>
  <c r="BX106" i="2" s="1"/>
  <c r="BT27" i="2"/>
  <c r="BW27" i="2" s="1"/>
  <c r="BX27" i="2" s="1"/>
  <c r="BT107" i="2"/>
  <c r="BW107" i="2" s="1"/>
  <c r="BX107" i="2" s="1"/>
  <c r="BT28" i="2"/>
  <c r="BW28" i="2" s="1"/>
  <c r="BX28" i="2" s="1"/>
  <c r="BY4" i="2"/>
  <c r="CS4" i="2" s="1"/>
  <c r="CU4" i="2"/>
  <c r="AW4" i="2"/>
  <c r="BT4" i="2"/>
  <c r="AS4" i="2"/>
  <c r="BO4" i="2"/>
  <c r="BU4" i="2"/>
  <c r="CM7" i="2"/>
  <c r="CT11" i="2"/>
  <c r="CG8" i="2" l="1"/>
  <c r="CI8" i="2"/>
  <c r="CT12" i="2"/>
  <c r="CR12" i="2"/>
  <c r="CC4" i="2"/>
  <c r="CO4" i="2"/>
  <c r="CT4" i="2"/>
  <c r="CR4" i="2"/>
  <c r="DF22" i="2" s="1"/>
  <c r="CP4" i="2"/>
  <c r="CM4" i="2"/>
  <c r="CK4" i="2"/>
  <c r="CI4" i="2"/>
  <c r="CG4" i="2"/>
  <c r="CO10" i="2"/>
  <c r="CP10" i="2"/>
  <c r="CS11" i="2"/>
  <c r="DF23" i="2" s="1"/>
  <c r="CL7" i="2"/>
  <c r="CA4" i="2"/>
  <c r="CJ4" i="2"/>
  <c r="DF14" i="2" s="1"/>
  <c r="BZ4" i="2"/>
  <c r="CD4" i="2"/>
  <c r="CQ4" i="2"/>
  <c r="CL4" i="2"/>
  <c r="DF16" i="2" s="1"/>
  <c r="CF4" i="2"/>
  <c r="CN4" i="2"/>
  <c r="DF18" i="2" s="1"/>
  <c r="CB4" i="2"/>
  <c r="CH4" i="2"/>
  <c r="DF12" i="2" s="1"/>
  <c r="CS12" i="2"/>
  <c r="CQ12" i="2"/>
  <c r="CN10" i="2"/>
  <c r="CA6" i="2"/>
  <c r="CD6" i="2"/>
  <c r="CB9" i="2"/>
  <c r="CE9" i="2"/>
  <c r="CC9" i="2"/>
  <c r="CD9" i="2"/>
  <c r="CF8" i="2"/>
  <c r="CH8" i="2"/>
  <c r="CC8" i="2"/>
  <c r="CB8" i="2"/>
  <c r="CD8" i="2"/>
  <c r="CE8" i="2"/>
  <c r="CC13" i="2"/>
  <c r="CB13" i="2"/>
  <c r="JK4" i="1"/>
  <c r="BA4" i="2" s="1"/>
  <c r="BP4" i="2"/>
  <c r="BH4" i="2"/>
  <c r="HJ13" i="1"/>
  <c r="HB13" i="1"/>
  <c r="HJ12" i="1"/>
  <c r="HJ11" i="1"/>
  <c r="HB11" i="1"/>
  <c r="HJ10" i="1"/>
  <c r="HJ9" i="1"/>
  <c r="HB9" i="1"/>
  <c r="HJ8" i="1"/>
  <c r="HJ7" i="1"/>
  <c r="HB7" i="1"/>
  <c r="HJ6" i="1"/>
  <c r="HJ15" i="1"/>
  <c r="HJ18" i="1"/>
  <c r="AZ4" i="2"/>
  <c r="AU4" i="2"/>
  <c r="AY4" i="2"/>
  <c r="AX4" i="2"/>
  <c r="BE4" i="2"/>
  <c r="BL4" i="2" s="1"/>
  <c r="AV4" i="2"/>
  <c r="CF14" i="2"/>
  <c r="AT4" i="2"/>
  <c r="HZ105" i="1" l="1"/>
  <c r="HZ106" i="1"/>
  <c r="HZ27" i="1"/>
  <c r="HZ28" i="1"/>
  <c r="T137" i="1"/>
  <c r="T148" i="1"/>
  <c r="DA148" i="1" s="1"/>
  <c r="T147" i="1"/>
  <c r="DA147" i="1" s="1"/>
  <c r="T143" i="1"/>
  <c r="T141" i="1"/>
  <c r="DA141" i="1" s="1"/>
  <c r="T139" i="1"/>
  <c r="DA139" i="1" s="1"/>
  <c r="DF8" i="2"/>
  <c r="CZ10" i="2"/>
  <c r="DA10" i="2" s="1"/>
  <c r="P56" i="1" s="1"/>
  <c r="DF11" i="2"/>
  <c r="CZ14" i="2"/>
  <c r="DA14" i="2" s="1"/>
  <c r="P60" i="1" s="1"/>
  <c r="CK60" i="1" s="1"/>
  <c r="DF15" i="2"/>
  <c r="DF20" i="2"/>
  <c r="CZ23" i="2"/>
  <c r="DA23" i="2" s="1"/>
  <c r="P69" i="1" s="1"/>
  <c r="DF7" i="2"/>
  <c r="T131" i="1" s="1"/>
  <c r="DF5" i="2"/>
  <c r="DF10" i="2"/>
  <c r="DF21" i="2"/>
  <c r="DF4" i="2"/>
  <c r="CZ12" i="2"/>
  <c r="DA12" i="2" s="1"/>
  <c r="P58" i="1" s="1"/>
  <c r="DF13" i="2"/>
  <c r="CZ16" i="2"/>
  <c r="DA16" i="2" s="1"/>
  <c r="P62" i="1" s="1"/>
  <c r="DF17" i="2"/>
  <c r="DF19" i="2"/>
  <c r="CZ21" i="2"/>
  <c r="DA21" i="2" s="1"/>
  <c r="P67" i="1" s="1"/>
  <c r="CZ15" i="2"/>
  <c r="DA15" i="2" s="1"/>
  <c r="P61" i="1" s="1"/>
  <c r="CZ22" i="2"/>
  <c r="DA22" i="2" s="1"/>
  <c r="P68" i="1" s="1"/>
  <c r="CZ17" i="2"/>
  <c r="DA17" i="2" s="1"/>
  <c r="P63" i="1" s="1"/>
  <c r="CZ19" i="2"/>
  <c r="CZ9" i="2"/>
  <c r="DA9" i="2" s="1"/>
  <c r="P55" i="1" s="1"/>
  <c r="CZ13" i="2"/>
  <c r="DA13" i="2" s="1"/>
  <c r="P59" i="1" s="1"/>
  <c r="CK59" i="1" s="1"/>
  <c r="HJ19" i="1"/>
  <c r="BZ5" i="2"/>
  <c r="CZ3" i="2" s="1"/>
  <c r="CE4" i="2"/>
  <c r="CZ4" i="2"/>
  <c r="DA4" i="2" s="1"/>
  <c r="P50" i="1" s="1"/>
  <c r="CZ5" i="2"/>
  <c r="DA5" i="2" s="1"/>
  <c r="P51" i="1" s="1"/>
  <c r="CZ11" i="2"/>
  <c r="DA11" i="2" s="1"/>
  <c r="P57" i="1" s="1"/>
  <c r="ED11" i="2"/>
  <c r="HB8" i="1"/>
  <c r="HB12" i="1"/>
  <c r="CZ20" i="2"/>
  <c r="BQ4" i="2"/>
  <c r="IJ17" i="1"/>
  <c r="CZ6" i="2"/>
  <c r="CZ18" i="2"/>
  <c r="CZ7" i="2"/>
  <c r="HB18" i="1"/>
  <c r="HB6" i="1"/>
  <c r="HB10" i="1"/>
  <c r="BN4" i="2"/>
  <c r="BJ4" i="2"/>
  <c r="BK4" i="2" s="1"/>
  <c r="BI4" i="2"/>
  <c r="BM4" i="2"/>
  <c r="BC4" i="2"/>
  <c r="BD4" i="2" s="1"/>
  <c r="BF4" i="2"/>
  <c r="BB4" i="2"/>
  <c r="BG4" i="2"/>
  <c r="HB19" i="1"/>
  <c r="HJ22" i="1"/>
  <c r="ED8" i="2"/>
  <c r="IJ22" i="1"/>
  <c r="DM4" i="2" s="1"/>
  <c r="HJ5" i="1"/>
  <c r="HB5" i="1"/>
  <c r="HB17" i="1"/>
  <c r="HJ17" i="1"/>
  <c r="IJ21" i="1"/>
  <c r="DM3" i="2" s="1"/>
  <c r="HB16" i="1"/>
  <c r="HJ16" i="1"/>
  <c r="IJ24" i="1"/>
  <c r="DM6" i="2" s="1"/>
  <c r="HB15" i="1"/>
  <c r="BV4" i="2" l="1"/>
  <c r="CC131" i="1"/>
  <c r="DA131" i="1" s="1"/>
  <c r="AW131" i="1"/>
  <c r="BM131" i="1"/>
  <c r="BU131" i="1"/>
  <c r="BU139" i="1"/>
  <c r="BE139" i="1"/>
  <c r="CS139" i="1"/>
  <c r="CK139" i="1"/>
  <c r="CC139" i="1"/>
  <c r="BM139" i="1"/>
  <c r="AW139" i="1"/>
  <c r="BU143" i="1"/>
  <c r="CC143" i="1"/>
  <c r="BM143" i="1"/>
  <c r="AW143" i="1"/>
  <c r="CS148" i="1"/>
  <c r="CK148" i="1"/>
  <c r="CC148" i="1"/>
  <c r="BM148" i="1"/>
  <c r="AW148" i="1"/>
  <c r="BU148" i="1"/>
  <c r="BE148" i="1"/>
  <c r="BU141" i="1"/>
  <c r="BE141" i="1"/>
  <c r="CS141" i="1"/>
  <c r="CK141" i="1"/>
  <c r="CC141" i="1"/>
  <c r="BM141" i="1"/>
  <c r="AW141" i="1"/>
  <c r="BU147" i="1"/>
  <c r="BE147" i="1"/>
  <c r="CS147" i="1"/>
  <c r="CK147" i="1"/>
  <c r="CC147" i="1"/>
  <c r="BM147" i="1"/>
  <c r="AW147" i="1"/>
  <c r="BU137" i="1"/>
  <c r="CC137" i="1"/>
  <c r="DA137" i="1" s="1"/>
  <c r="BM137" i="1"/>
  <c r="AW137" i="1"/>
  <c r="T142" i="1"/>
  <c r="DA142" i="1" s="1"/>
  <c r="T138" i="1"/>
  <c r="T135" i="1"/>
  <c r="T145" i="1"/>
  <c r="DA145" i="1" s="1"/>
  <c r="T144" i="1"/>
  <c r="T146" i="1"/>
  <c r="DA146" i="1" s="1"/>
  <c r="T140" i="1"/>
  <c r="DA140" i="1" s="1"/>
  <c r="T136" i="1"/>
  <c r="T129" i="1"/>
  <c r="T132" i="1"/>
  <c r="T130" i="1"/>
  <c r="T133" i="1"/>
  <c r="CZ8" i="2"/>
  <c r="DF9" i="2"/>
  <c r="DF3" i="2"/>
  <c r="HZ25" i="1"/>
  <c r="IJ13" i="1"/>
  <c r="IJ15" i="1"/>
  <c r="IJ19" i="1"/>
  <c r="IJ10" i="1"/>
  <c r="IJ6" i="1"/>
  <c r="IJ9" i="1"/>
  <c r="IJ11" i="1"/>
  <c r="IJ12" i="1"/>
  <c r="IJ8" i="1"/>
  <c r="IJ18" i="1"/>
  <c r="IJ7" i="1"/>
  <c r="DQ62" i="1"/>
  <c r="CC62" i="1"/>
  <c r="DI62" i="1" s="1"/>
  <c r="BU62" i="1"/>
  <c r="AW62" i="1"/>
  <c r="BM62" i="1"/>
  <c r="DA62" i="1"/>
  <c r="DQ55" i="1"/>
  <c r="AW55" i="1"/>
  <c r="BM55" i="1"/>
  <c r="CC55" i="1"/>
  <c r="DA55" i="1" s="1"/>
  <c r="BU55" i="1"/>
  <c r="DI55" i="1"/>
  <c r="CC58" i="1"/>
  <c r="DI58" i="1" s="1"/>
  <c r="BU58" i="1"/>
  <c r="DQ58" i="1"/>
  <c r="AW58" i="1"/>
  <c r="BM58" i="1"/>
  <c r="AW61" i="1"/>
  <c r="BM61" i="1"/>
  <c r="BU61" i="1"/>
  <c r="CC61" i="1"/>
  <c r="DA61" i="1" s="1"/>
  <c r="DQ61" i="1"/>
  <c r="CC63" i="1"/>
  <c r="BU63" i="1"/>
  <c r="DA63" i="1"/>
  <c r="AW63" i="1"/>
  <c r="BM63" i="1"/>
  <c r="DQ63" i="1"/>
  <c r="DI63" i="1"/>
  <c r="CC60" i="1"/>
  <c r="BU60" i="1"/>
  <c r="DQ60" i="1"/>
  <c r="DI60" i="1"/>
  <c r="DA60" i="1"/>
  <c r="CS60" i="1"/>
  <c r="AW60" i="1"/>
  <c r="BE60" i="1"/>
  <c r="BM60" i="1"/>
  <c r="DQ57" i="1"/>
  <c r="AW57" i="1"/>
  <c r="BM57" i="1"/>
  <c r="CC57" i="1"/>
  <c r="DA57" i="1" s="1"/>
  <c r="BU57" i="1"/>
  <c r="CC67" i="1"/>
  <c r="BU67" i="1"/>
  <c r="DA67" i="1"/>
  <c r="AW67" i="1"/>
  <c r="BM67" i="1"/>
  <c r="DQ67" i="1"/>
  <c r="DI67" i="1"/>
  <c r="CC56" i="1"/>
  <c r="DA56" i="1" s="1"/>
  <c r="BU56" i="1"/>
  <c r="DI56" i="1"/>
  <c r="DQ56" i="1"/>
  <c r="AW56" i="1"/>
  <c r="BM56" i="1"/>
  <c r="CC69" i="1"/>
  <c r="BU69" i="1"/>
  <c r="DA69" i="1"/>
  <c r="AW69" i="1"/>
  <c r="BM69" i="1"/>
  <c r="DQ69" i="1"/>
  <c r="DI69" i="1"/>
  <c r="DQ68" i="1"/>
  <c r="DI68" i="1"/>
  <c r="CC68" i="1"/>
  <c r="DA68" i="1" s="1"/>
  <c r="BU68" i="1"/>
  <c r="AW68" i="1"/>
  <c r="BM68" i="1"/>
  <c r="DQ51" i="1"/>
  <c r="AW51" i="1"/>
  <c r="BM51" i="1"/>
  <c r="CC51" i="1"/>
  <c r="DA51" i="1" s="1"/>
  <c r="BU51" i="1"/>
  <c r="DI51" i="1"/>
  <c r="CC50" i="1"/>
  <c r="DA50" i="1" s="1"/>
  <c r="BU50" i="1"/>
  <c r="DQ50" i="1"/>
  <c r="DI50" i="1"/>
  <c r="AW50" i="1"/>
  <c r="BM50" i="1"/>
  <c r="DA59" i="1"/>
  <c r="AW59" i="1"/>
  <c r="BE59" i="1"/>
  <c r="BM59" i="1"/>
  <c r="CC59" i="1"/>
  <c r="BU59" i="1"/>
  <c r="DQ59" i="1"/>
  <c r="DI59" i="1"/>
  <c r="CS59" i="1"/>
  <c r="BS4" i="2"/>
  <c r="HJ4" i="1" s="1"/>
  <c r="HJ14" i="1"/>
  <c r="HJ24" i="1"/>
  <c r="ED7" i="2" s="1"/>
  <c r="HJ21" i="1"/>
  <c r="ED3" i="2" s="1"/>
  <c r="ED5" i="2"/>
  <c r="DA7" i="2"/>
  <c r="P53" i="1" s="1"/>
  <c r="DA19" i="2"/>
  <c r="P65" i="1" s="1"/>
  <c r="DA8" i="2"/>
  <c r="P54" i="1" s="1"/>
  <c r="DA20" i="2"/>
  <c r="P66" i="1" s="1"/>
  <c r="DA18" i="2"/>
  <c r="P64" i="1" s="1"/>
  <c r="DA6" i="2"/>
  <c r="P52" i="1" s="1"/>
  <c r="DA3" i="2"/>
  <c r="P49" i="1" s="1"/>
  <c r="ED9" i="2"/>
  <c r="ED10" i="2"/>
  <c r="ED13" i="2"/>
  <c r="ED12" i="2"/>
  <c r="HZ15" i="1"/>
  <c r="BR4" i="2"/>
  <c r="HB4" i="1"/>
  <c r="HB14" i="1"/>
  <c r="AA3" i="2"/>
  <c r="AA2" i="2"/>
  <c r="DD392" i="7"/>
  <c r="DC392" i="7"/>
  <c r="DB392" i="7"/>
  <c r="DA392" i="7"/>
  <c r="CZ392" i="7"/>
  <c r="CY392" i="7"/>
  <c r="CX392" i="7"/>
  <c r="CW392" i="7"/>
  <c r="CV392" i="7"/>
  <c r="CU392" i="7"/>
  <c r="CT392" i="7"/>
  <c r="CS392" i="7"/>
  <c r="CR392" i="7"/>
  <c r="CQ392" i="7"/>
  <c r="CP392" i="7"/>
  <c r="CO392" i="7"/>
  <c r="CN392" i="7"/>
  <c r="CM392" i="7"/>
  <c r="CL392" i="7"/>
  <c r="CK392" i="7"/>
  <c r="CJ392" i="7"/>
  <c r="CI392" i="7"/>
  <c r="CH392" i="7"/>
  <c r="CG392" i="7"/>
  <c r="CF392" i="7"/>
  <c r="CE392" i="7"/>
  <c r="CD392" i="7"/>
  <c r="CC392" i="7"/>
  <c r="CB392" i="7"/>
  <c r="CA392" i="7"/>
  <c r="BZ392" i="7"/>
  <c r="BY392" i="7"/>
  <c r="BX392" i="7"/>
  <c r="BW392" i="7"/>
  <c r="BV392" i="7"/>
  <c r="BU392" i="7"/>
  <c r="BT392" i="7"/>
  <c r="BS392" i="7"/>
  <c r="BR392" i="7"/>
  <c r="BQ392" i="7"/>
  <c r="BP392" i="7"/>
  <c r="BO392" i="7"/>
  <c r="BN392" i="7"/>
  <c r="BM392" i="7"/>
  <c r="BL392" i="7"/>
  <c r="BK392" i="7"/>
  <c r="BJ392" i="7"/>
  <c r="BI392" i="7"/>
  <c r="BH392" i="7"/>
  <c r="BG392" i="7"/>
  <c r="BF392" i="7"/>
  <c r="C392" i="7"/>
  <c r="DD391" i="7"/>
  <c r="DC391" i="7"/>
  <c r="DB391" i="7"/>
  <c r="DA391" i="7"/>
  <c r="CZ391" i="7"/>
  <c r="CY391" i="7"/>
  <c r="CX391" i="7"/>
  <c r="CW391" i="7"/>
  <c r="CV391" i="7"/>
  <c r="CU391" i="7"/>
  <c r="CT391" i="7"/>
  <c r="CS391" i="7"/>
  <c r="CR391" i="7"/>
  <c r="CQ391" i="7"/>
  <c r="CP391" i="7"/>
  <c r="CO391" i="7"/>
  <c r="CN391" i="7"/>
  <c r="CM391" i="7"/>
  <c r="CL391" i="7"/>
  <c r="CK391" i="7"/>
  <c r="CJ391" i="7"/>
  <c r="CI391" i="7"/>
  <c r="CH391" i="7"/>
  <c r="CG391" i="7"/>
  <c r="CF391" i="7"/>
  <c r="CE391" i="7"/>
  <c r="CD391" i="7"/>
  <c r="CC391" i="7"/>
  <c r="CB391" i="7"/>
  <c r="CA391" i="7"/>
  <c r="BZ391" i="7"/>
  <c r="BY391" i="7"/>
  <c r="BX391" i="7"/>
  <c r="BW391" i="7"/>
  <c r="BV391" i="7"/>
  <c r="BU391" i="7"/>
  <c r="BT391" i="7"/>
  <c r="BS391" i="7"/>
  <c r="BR391" i="7"/>
  <c r="BQ391" i="7"/>
  <c r="BP391" i="7"/>
  <c r="BO391" i="7"/>
  <c r="BN391" i="7"/>
  <c r="BM391" i="7"/>
  <c r="BL391" i="7"/>
  <c r="BK391" i="7"/>
  <c r="BJ391" i="7"/>
  <c r="BI391" i="7"/>
  <c r="BH391" i="7"/>
  <c r="BG391" i="7"/>
  <c r="BF391" i="7"/>
  <c r="C391" i="7"/>
  <c r="DD390" i="7"/>
  <c r="DC390" i="7"/>
  <c r="DB390" i="7"/>
  <c r="DA390" i="7"/>
  <c r="CZ390" i="7"/>
  <c r="CY390" i="7"/>
  <c r="CX390" i="7"/>
  <c r="CW390" i="7"/>
  <c r="CV390" i="7"/>
  <c r="CU390" i="7"/>
  <c r="CT390" i="7"/>
  <c r="CS390" i="7"/>
  <c r="CR390" i="7"/>
  <c r="CQ390" i="7"/>
  <c r="CP390" i="7"/>
  <c r="CO390" i="7"/>
  <c r="CN390" i="7"/>
  <c r="CM390" i="7"/>
  <c r="CL390" i="7"/>
  <c r="CK390" i="7"/>
  <c r="CJ390" i="7"/>
  <c r="CI390" i="7"/>
  <c r="CH390" i="7"/>
  <c r="CG390" i="7"/>
  <c r="CF390" i="7"/>
  <c r="CE390" i="7"/>
  <c r="CD390" i="7"/>
  <c r="CC390" i="7"/>
  <c r="CB390" i="7"/>
  <c r="CA390" i="7"/>
  <c r="BZ390" i="7"/>
  <c r="BY390" i="7"/>
  <c r="BX390" i="7"/>
  <c r="BW390" i="7"/>
  <c r="BV390" i="7"/>
  <c r="BU390" i="7"/>
  <c r="BT390" i="7"/>
  <c r="BS390" i="7"/>
  <c r="BR390" i="7"/>
  <c r="BQ390" i="7"/>
  <c r="BP390" i="7"/>
  <c r="BO390" i="7"/>
  <c r="BN390" i="7"/>
  <c r="BM390" i="7"/>
  <c r="BL390" i="7"/>
  <c r="BK390" i="7"/>
  <c r="BJ390" i="7"/>
  <c r="BI390" i="7"/>
  <c r="BH390" i="7"/>
  <c r="BG390" i="7"/>
  <c r="BF390" i="7"/>
  <c r="C390" i="7"/>
  <c r="DD389" i="7"/>
  <c r="DC389" i="7"/>
  <c r="DB389" i="7"/>
  <c r="DA389" i="7"/>
  <c r="CZ389" i="7"/>
  <c r="CY389" i="7"/>
  <c r="CX389" i="7"/>
  <c r="CW389" i="7"/>
  <c r="CV389" i="7"/>
  <c r="CU389" i="7"/>
  <c r="CT389" i="7"/>
  <c r="CS389" i="7"/>
  <c r="CR389" i="7"/>
  <c r="CQ389" i="7"/>
  <c r="CP389" i="7"/>
  <c r="CO389" i="7"/>
  <c r="CN389" i="7"/>
  <c r="CM389" i="7"/>
  <c r="CL389" i="7"/>
  <c r="CK389" i="7"/>
  <c r="CJ389" i="7"/>
  <c r="CI389" i="7"/>
  <c r="CH389" i="7"/>
  <c r="CG389" i="7"/>
  <c r="CF389" i="7"/>
  <c r="CE389" i="7"/>
  <c r="CD389" i="7"/>
  <c r="CC389" i="7"/>
  <c r="CB389" i="7"/>
  <c r="CA389" i="7"/>
  <c r="BZ389" i="7"/>
  <c r="BY389" i="7"/>
  <c r="BX389" i="7"/>
  <c r="BW389" i="7"/>
  <c r="BV389" i="7"/>
  <c r="BU389" i="7"/>
  <c r="BT389" i="7"/>
  <c r="BS389" i="7"/>
  <c r="BR389" i="7"/>
  <c r="BQ389" i="7"/>
  <c r="BP389" i="7"/>
  <c r="BO389" i="7"/>
  <c r="BN389" i="7"/>
  <c r="BM389" i="7"/>
  <c r="BL389" i="7"/>
  <c r="BK389" i="7"/>
  <c r="BJ389" i="7"/>
  <c r="BI389" i="7"/>
  <c r="BH389" i="7"/>
  <c r="BG389" i="7"/>
  <c r="BF389" i="7"/>
  <c r="C389" i="7"/>
  <c r="B390" i="7"/>
  <c r="A390" i="7"/>
  <c r="B389" i="7"/>
  <c r="A389" i="7"/>
  <c r="DD267" i="7"/>
  <c r="DC267" i="7"/>
  <c r="DB267" i="7"/>
  <c r="DA267" i="7"/>
  <c r="CZ267" i="7"/>
  <c r="CY267" i="7"/>
  <c r="CX267" i="7"/>
  <c r="CW267" i="7"/>
  <c r="CV267" i="7"/>
  <c r="CU267" i="7"/>
  <c r="CT267" i="7"/>
  <c r="CS267" i="7"/>
  <c r="CR267" i="7"/>
  <c r="CQ267" i="7"/>
  <c r="CP267" i="7"/>
  <c r="CO267" i="7"/>
  <c r="CN267" i="7"/>
  <c r="CM267" i="7"/>
  <c r="CL267" i="7"/>
  <c r="CK267" i="7"/>
  <c r="CJ267" i="7"/>
  <c r="CI267" i="7"/>
  <c r="CH267" i="7"/>
  <c r="CG267" i="7"/>
  <c r="CF267" i="7"/>
  <c r="CE267" i="7"/>
  <c r="CD267" i="7"/>
  <c r="CC267" i="7"/>
  <c r="CB267" i="7"/>
  <c r="CA267" i="7"/>
  <c r="BZ267" i="7"/>
  <c r="BY267" i="7"/>
  <c r="BX267" i="7"/>
  <c r="BW267" i="7"/>
  <c r="BV267" i="7"/>
  <c r="BU267" i="7"/>
  <c r="BT267" i="7"/>
  <c r="BS267" i="7"/>
  <c r="BR267" i="7"/>
  <c r="BQ267" i="7"/>
  <c r="BP267" i="7"/>
  <c r="BO267" i="7"/>
  <c r="BN267" i="7"/>
  <c r="BM267" i="7"/>
  <c r="BL267" i="7"/>
  <c r="BK267" i="7"/>
  <c r="BJ267" i="7"/>
  <c r="BI267" i="7"/>
  <c r="BH267" i="7"/>
  <c r="C267" i="7"/>
  <c r="DD188" i="7"/>
  <c r="DC188" i="7"/>
  <c r="DB188" i="7"/>
  <c r="DA188" i="7"/>
  <c r="CZ188" i="7"/>
  <c r="CY188" i="7"/>
  <c r="CX188" i="7"/>
  <c r="CW188" i="7"/>
  <c r="CV188" i="7"/>
  <c r="CU188" i="7"/>
  <c r="CT188" i="7"/>
  <c r="CS188" i="7"/>
  <c r="CR188" i="7"/>
  <c r="CQ188" i="7"/>
  <c r="CP188" i="7"/>
  <c r="CO188" i="7"/>
  <c r="CN188" i="7"/>
  <c r="CM188" i="7"/>
  <c r="CL188" i="7"/>
  <c r="CK188" i="7"/>
  <c r="CJ188" i="7"/>
  <c r="CI188" i="7"/>
  <c r="CH188" i="7"/>
  <c r="CG188" i="7"/>
  <c r="CF188" i="7"/>
  <c r="CE188" i="7"/>
  <c r="CD188" i="7"/>
  <c r="CC188" i="7"/>
  <c r="CB188" i="7"/>
  <c r="CA188" i="7"/>
  <c r="BZ188" i="7"/>
  <c r="BY188" i="7"/>
  <c r="BX188" i="7"/>
  <c r="BW188" i="7"/>
  <c r="BV188" i="7"/>
  <c r="BU188" i="7"/>
  <c r="BT188" i="7"/>
  <c r="BS188" i="7"/>
  <c r="BR188" i="7"/>
  <c r="BQ188" i="7"/>
  <c r="BP188" i="7"/>
  <c r="BO188" i="7"/>
  <c r="BN188" i="7"/>
  <c r="BM188" i="7"/>
  <c r="BL188" i="7"/>
  <c r="BK188" i="7"/>
  <c r="BJ188" i="7"/>
  <c r="BI188" i="7"/>
  <c r="BH188" i="7"/>
  <c r="BG188" i="7"/>
  <c r="BF188" i="7"/>
  <c r="C188" i="7"/>
  <c r="R170" i="3" s="1"/>
  <c r="B188" i="7"/>
  <c r="W6" i="2"/>
  <c r="W5" i="2"/>
  <c r="W4" i="2"/>
  <c r="W3" i="2"/>
  <c r="W2" i="2"/>
  <c r="CK50" i="1" l="1"/>
  <c r="CK68" i="1"/>
  <c r="CK69" i="1"/>
  <c r="CK63" i="1"/>
  <c r="CK58" i="1"/>
  <c r="CK62" i="1"/>
  <c r="CK51" i="1"/>
  <c r="CK56" i="1"/>
  <c r="CK67" i="1"/>
  <c r="CK57" i="1"/>
  <c r="CK61" i="1"/>
  <c r="CK55" i="1"/>
  <c r="BE131" i="1"/>
  <c r="BE137" i="1"/>
  <c r="CK131" i="1"/>
  <c r="CK137" i="1"/>
  <c r="BE143" i="1"/>
  <c r="CS131" i="1"/>
  <c r="DA143" i="1"/>
  <c r="CS143" i="1"/>
  <c r="BU130" i="1"/>
  <c r="CC130" i="1"/>
  <c r="BM130" i="1"/>
  <c r="AW130" i="1"/>
  <c r="CC129" i="1"/>
  <c r="DA129" i="1" s="1"/>
  <c r="BM129" i="1"/>
  <c r="AW129" i="1"/>
  <c r="BU129" i="1"/>
  <c r="CS140" i="1"/>
  <c r="CK140" i="1"/>
  <c r="CC140" i="1"/>
  <c r="BM140" i="1"/>
  <c r="AW140" i="1"/>
  <c r="BU140" i="1"/>
  <c r="BE140" i="1"/>
  <c r="CC144" i="1"/>
  <c r="DA144" i="1" s="1"/>
  <c r="BM144" i="1"/>
  <c r="AW144" i="1"/>
  <c r="BU144" i="1"/>
  <c r="BU135" i="1"/>
  <c r="CC135" i="1"/>
  <c r="BM135" i="1"/>
  <c r="AW135" i="1"/>
  <c r="CS142" i="1"/>
  <c r="CK142" i="1"/>
  <c r="CC142" i="1"/>
  <c r="BM142" i="1"/>
  <c r="AW142" i="1"/>
  <c r="BU142" i="1"/>
  <c r="BE142" i="1"/>
  <c r="CS137" i="1"/>
  <c r="CK143" i="1"/>
  <c r="BU133" i="1"/>
  <c r="CC133" i="1"/>
  <c r="DA133" i="1" s="1"/>
  <c r="BM133" i="1"/>
  <c r="AW133" i="1"/>
  <c r="CC132" i="1"/>
  <c r="DA132" i="1" s="1"/>
  <c r="BM132" i="1"/>
  <c r="AW132" i="1"/>
  <c r="BU132" i="1"/>
  <c r="CC136" i="1"/>
  <c r="DA136" i="1" s="1"/>
  <c r="BM136" i="1"/>
  <c r="AW136" i="1"/>
  <c r="BU136" i="1"/>
  <c r="CS146" i="1"/>
  <c r="CK146" i="1"/>
  <c r="CC146" i="1"/>
  <c r="BM146" i="1"/>
  <c r="AW146" i="1"/>
  <c r="BU146" i="1"/>
  <c r="BE146" i="1"/>
  <c r="BU145" i="1"/>
  <c r="BE145" i="1"/>
  <c r="CS145" i="1"/>
  <c r="CK145" i="1"/>
  <c r="CC145" i="1"/>
  <c r="BM145" i="1"/>
  <c r="AW145" i="1"/>
  <c r="CC138" i="1"/>
  <c r="DA138" i="1" s="1"/>
  <c r="BM138" i="1"/>
  <c r="AW138" i="1"/>
  <c r="BU138" i="1"/>
  <c r="T128" i="1"/>
  <c r="T134" i="1"/>
  <c r="ED6" i="2"/>
  <c r="ED4" i="2"/>
  <c r="HZ19" i="1"/>
  <c r="HZ18" i="1"/>
  <c r="HZ7" i="1"/>
  <c r="HZ10" i="1"/>
  <c r="HZ12" i="1"/>
  <c r="IJ14" i="1"/>
  <c r="IJ16" i="1"/>
  <c r="BW4" i="2"/>
  <c r="BX4" i="2" s="1"/>
  <c r="IJ4" i="1"/>
  <c r="IJ5" i="1"/>
  <c r="CS69" i="1"/>
  <c r="BE68" i="1"/>
  <c r="CS68" i="1"/>
  <c r="BE69" i="1"/>
  <c r="CS56" i="1"/>
  <c r="DA58" i="1"/>
  <c r="CS58" i="1"/>
  <c r="CS61" i="1"/>
  <c r="BE58" i="1"/>
  <c r="CS55" i="1"/>
  <c r="BE62" i="1"/>
  <c r="CS62" i="1"/>
  <c r="BE50" i="1"/>
  <c r="BE51" i="1"/>
  <c r="BE57" i="1"/>
  <c r="DI57" i="1"/>
  <c r="DI61" i="1"/>
  <c r="BE55" i="1"/>
  <c r="CS51" i="1"/>
  <c r="BE56" i="1"/>
  <c r="CS67" i="1"/>
  <c r="BE67" i="1"/>
  <c r="CS57" i="1"/>
  <c r="CS63" i="1"/>
  <c r="BE63" i="1"/>
  <c r="BE61" i="1"/>
  <c r="CC52" i="1"/>
  <c r="BU52" i="1"/>
  <c r="DI52" i="1"/>
  <c r="DQ52" i="1"/>
  <c r="DA52" i="1"/>
  <c r="AW52" i="1"/>
  <c r="BM52" i="1"/>
  <c r="DQ66" i="1"/>
  <c r="DI66" i="1"/>
  <c r="CC66" i="1"/>
  <c r="BU66" i="1"/>
  <c r="AW66" i="1"/>
  <c r="BM66" i="1"/>
  <c r="CC65" i="1"/>
  <c r="DA65" i="1" s="1"/>
  <c r="BU65" i="1"/>
  <c r="AW65" i="1"/>
  <c r="BM65" i="1"/>
  <c r="DQ65" i="1"/>
  <c r="DI65" i="1"/>
  <c r="CS50" i="1"/>
  <c r="BU49" i="1"/>
  <c r="DI49" i="1"/>
  <c r="BM49" i="1"/>
  <c r="CC49" i="1"/>
  <c r="DQ49" i="1" s="1"/>
  <c r="AW49" i="1"/>
  <c r="DQ64" i="1"/>
  <c r="DI64" i="1"/>
  <c r="CC64" i="1"/>
  <c r="DA64" i="1" s="1"/>
  <c r="BU64" i="1"/>
  <c r="AW64" i="1"/>
  <c r="BM64" i="1"/>
  <c r="CC54" i="1"/>
  <c r="DA54" i="1" s="1"/>
  <c r="BU54" i="1"/>
  <c r="DI54" i="1"/>
  <c r="DQ54" i="1"/>
  <c r="AW54" i="1"/>
  <c r="BM54" i="1"/>
  <c r="DQ53" i="1"/>
  <c r="AW53" i="1"/>
  <c r="BM53" i="1"/>
  <c r="CC53" i="1"/>
  <c r="DA53" i="1" s="1"/>
  <c r="BU53" i="1"/>
  <c r="DI53" i="1"/>
  <c r="AA4" i="2"/>
  <c r="CK54" i="1" l="1"/>
  <c r="CK64" i="1"/>
  <c r="CK49" i="1"/>
  <c r="CK65" i="1"/>
  <c r="CK66" i="1"/>
  <c r="CK52" i="1"/>
  <c r="CK53" i="1"/>
  <c r="BE144" i="1"/>
  <c r="CS130" i="1"/>
  <c r="BE138" i="1"/>
  <c r="BE136" i="1"/>
  <c r="BE129" i="1"/>
  <c r="CS135" i="1"/>
  <c r="BE130" i="1"/>
  <c r="BE135" i="1"/>
  <c r="DA130" i="1"/>
  <c r="DA135" i="1"/>
  <c r="CK138" i="1"/>
  <c r="CS144" i="1"/>
  <c r="BE132" i="1"/>
  <c r="CS136" i="1"/>
  <c r="BE133" i="1"/>
  <c r="CK129" i="1"/>
  <c r="CS138" i="1"/>
  <c r="CS132" i="1"/>
  <c r="CS133" i="1"/>
  <c r="CC134" i="1"/>
  <c r="DA134" i="1" s="1"/>
  <c r="BM134" i="1"/>
  <c r="AW134" i="1"/>
  <c r="BU134" i="1"/>
  <c r="CK136" i="1"/>
  <c r="CK132" i="1"/>
  <c r="CK133" i="1"/>
  <c r="CK135" i="1"/>
  <c r="CK144" i="1"/>
  <c r="CS129" i="1"/>
  <c r="DI129" i="1"/>
  <c r="CK130" i="1"/>
  <c r="CC128" i="1"/>
  <c r="DI128" i="1" s="1"/>
  <c r="BM128" i="1"/>
  <c r="AW128" i="1"/>
  <c r="EG9" i="1"/>
  <c r="HZ6" i="1"/>
  <c r="HZ9" i="1"/>
  <c r="HZ11" i="1"/>
  <c r="HZ13" i="1"/>
  <c r="HZ16" i="1"/>
  <c r="BE52" i="1"/>
  <c r="CS65" i="1"/>
  <c r="BE66" i="1"/>
  <c r="BE49" i="1"/>
  <c r="CS49" i="1"/>
  <c r="BE65" i="1"/>
  <c r="DA66" i="1"/>
  <c r="CS52" i="1"/>
  <c r="BE53" i="1"/>
  <c r="CS66" i="1"/>
  <c r="CS53" i="1"/>
  <c r="AB36" i="3"/>
  <c r="CS54" i="1"/>
  <c r="BE54" i="1"/>
  <c r="BE64" i="1"/>
  <c r="CS64" i="1"/>
  <c r="DA49" i="1"/>
  <c r="AB31" i="3"/>
  <c r="HZ17" i="1"/>
  <c r="HZ22" i="1"/>
  <c r="HZ21" i="1"/>
  <c r="HZ24" i="1"/>
  <c r="EG12" i="1"/>
  <c r="V614" i="3"/>
  <c r="V613" i="3"/>
  <c r="V601" i="3"/>
  <c r="V600" i="3"/>
  <c r="V592" i="3"/>
  <c r="V591" i="3"/>
  <c r="V590" i="3"/>
  <c r="V589" i="3"/>
  <c r="V585" i="3"/>
  <c r="V584" i="3"/>
  <c r="V578" i="3"/>
  <c r="V577" i="3"/>
  <c r="V573" i="3"/>
  <c r="V572" i="3"/>
  <c r="V569" i="3"/>
  <c r="V568" i="3"/>
  <c r="V550" i="3"/>
  <c r="V549" i="3"/>
  <c r="V548" i="3"/>
  <c r="V547" i="3"/>
  <c r="V541" i="3"/>
  <c r="V540" i="3"/>
  <c r="V535" i="3"/>
  <c r="V534" i="3"/>
  <c r="V533" i="3"/>
  <c r="V532" i="3"/>
  <c r="V525" i="3"/>
  <c r="V524" i="3"/>
  <c r="V513" i="3"/>
  <c r="V512" i="3"/>
  <c r="V511" i="3"/>
  <c r="V510" i="3"/>
  <c r="V506" i="3"/>
  <c r="V505" i="3"/>
  <c r="V502" i="3"/>
  <c r="V501" i="3"/>
  <c r="V454" i="3"/>
  <c r="V453" i="3"/>
  <c r="V452" i="3"/>
  <c r="V451" i="3"/>
  <c r="V442" i="3"/>
  <c r="V441" i="3"/>
  <c r="V434" i="3"/>
  <c r="V433" i="3"/>
  <c r="V424" i="3"/>
  <c r="V423" i="3"/>
  <c r="V412" i="3"/>
  <c r="V411" i="3"/>
  <c r="V404" i="3"/>
  <c r="V403" i="3"/>
  <c r="V402" i="3"/>
  <c r="V401" i="3"/>
  <c r="V400" i="3"/>
  <c r="V396" i="3"/>
  <c r="V395" i="3"/>
  <c r="V391" i="3"/>
  <c r="V390" i="3"/>
  <c r="V389" i="3"/>
  <c r="V388" i="3"/>
  <c r="V382" i="3"/>
  <c r="V381" i="3"/>
  <c r="V375" i="3"/>
  <c r="V374" i="3"/>
  <c r="V372" i="3"/>
  <c r="V371" i="3"/>
  <c r="V370" i="3"/>
  <c r="V369" i="3"/>
  <c r="V365" i="3"/>
  <c r="V364" i="3"/>
  <c r="V353" i="3"/>
  <c r="V352" i="3"/>
  <c r="V351" i="3"/>
  <c r="V350" i="3"/>
  <c r="V345" i="3"/>
  <c r="V344" i="3"/>
  <c r="V339" i="3"/>
  <c r="V338" i="3"/>
  <c r="V333" i="3"/>
  <c r="V332" i="3"/>
  <c r="V326" i="3"/>
  <c r="V325" i="3"/>
  <c r="V318" i="3"/>
  <c r="V317" i="3"/>
  <c r="V310" i="3"/>
  <c r="V309" i="3"/>
  <c r="V302" i="3"/>
  <c r="V301" i="3"/>
  <c r="V294" i="3"/>
  <c r="V293" i="3"/>
  <c r="V289" i="3"/>
  <c r="V288" i="3"/>
  <c r="V285" i="3"/>
  <c r="V284" i="3"/>
  <c r="V280" i="3"/>
  <c r="V279" i="3"/>
  <c r="V275" i="3"/>
  <c r="V274" i="3"/>
  <c r="V273" i="3"/>
  <c r="V272" i="3"/>
  <c r="V268" i="3"/>
  <c r="V267" i="3"/>
  <c r="V263" i="3"/>
  <c r="V262" i="3"/>
  <c r="V246" i="3"/>
  <c r="V245" i="3"/>
  <c r="V244" i="3"/>
  <c r="V240" i="3"/>
  <c r="V239" i="3"/>
  <c r="V234" i="3"/>
  <c r="V233" i="3"/>
  <c r="V219" i="3"/>
  <c r="V218" i="3"/>
  <c r="V214" i="3"/>
  <c r="V213" i="3"/>
  <c r="V208" i="3"/>
  <c r="V207" i="3"/>
  <c r="V198" i="3"/>
  <c r="V197" i="3"/>
  <c r="V205" i="3"/>
  <c r="V204" i="3"/>
  <c r="V203" i="3"/>
  <c r="V202" i="3"/>
  <c r="V195" i="3"/>
  <c r="V194" i="3"/>
  <c r="V191" i="3"/>
  <c r="V190" i="3"/>
  <c r="V185" i="3"/>
  <c r="V184" i="3"/>
  <c r="V175" i="3"/>
  <c r="V174" i="3"/>
  <c r="V173" i="3"/>
  <c r="V172" i="3"/>
  <c r="V171" i="3"/>
  <c r="V168" i="3"/>
  <c r="V167" i="3"/>
  <c r="V120" i="3"/>
  <c r="V119" i="3"/>
  <c r="V118" i="3"/>
  <c r="V110" i="3"/>
  <c r="V109" i="3"/>
  <c r="V108" i="3"/>
  <c r="V103" i="3"/>
  <c r="V102" i="3"/>
  <c r="V98" i="3"/>
  <c r="V97" i="3"/>
  <c r="V87" i="3"/>
  <c r="V86" i="3"/>
  <c r="V84" i="3"/>
  <c r="V83" i="3"/>
  <c r="V71" i="3"/>
  <c r="V70" i="3"/>
  <c r="V69" i="3"/>
  <c r="V68" i="3"/>
  <c r="V62" i="3"/>
  <c r="V61" i="3"/>
  <c r="V57" i="3"/>
  <c r="V56" i="3"/>
  <c r="V52" i="3"/>
  <c r="V51" i="3"/>
  <c r="V45" i="3"/>
  <c r="V44" i="3"/>
  <c r="V38" i="3"/>
  <c r="V37" i="3"/>
  <c r="V29" i="3"/>
  <c r="V28" i="3"/>
  <c r="V23" i="3"/>
  <c r="V22" i="3"/>
  <c r="V17" i="3"/>
  <c r="V16" i="3"/>
  <c r="V11" i="3"/>
  <c r="V10" i="3"/>
  <c r="V5" i="3"/>
  <c r="V4" i="3"/>
  <c r="V3" i="3"/>
  <c r="V2" i="3"/>
  <c r="Q19" i="2"/>
  <c r="AU232" i="3" s="1"/>
  <c r="Q18" i="2"/>
  <c r="B83" i="4"/>
  <c r="B82" i="4"/>
  <c r="B81" i="4"/>
  <c r="B80" i="4"/>
  <c r="B79" i="4"/>
  <c r="B78" i="4"/>
  <c r="B77" i="4"/>
  <c r="B76" i="4"/>
  <c r="B73" i="4"/>
  <c r="B75" i="4"/>
  <c r="B74" i="4"/>
  <c r="R2" i="3"/>
  <c r="W614" i="3"/>
  <c r="W613" i="3"/>
  <c r="W601" i="3"/>
  <c r="W600" i="3"/>
  <c r="W592" i="3"/>
  <c r="W591" i="3"/>
  <c r="W590" i="3"/>
  <c r="W589" i="3"/>
  <c r="W585" i="3"/>
  <c r="W584" i="3"/>
  <c r="W578" i="3"/>
  <c r="W577" i="3"/>
  <c r="W573" i="3"/>
  <c r="W572" i="3"/>
  <c r="W569" i="3"/>
  <c r="W568" i="3"/>
  <c r="W550" i="3"/>
  <c r="W549" i="3"/>
  <c r="W548" i="3"/>
  <c r="W547" i="3"/>
  <c r="W541" i="3"/>
  <c r="W540" i="3"/>
  <c r="W535" i="3"/>
  <c r="W534" i="3"/>
  <c r="W533" i="3"/>
  <c r="W532" i="3"/>
  <c r="W525" i="3"/>
  <c r="W524" i="3"/>
  <c r="W513" i="3"/>
  <c r="W512" i="3"/>
  <c r="W511" i="3"/>
  <c r="W510" i="3"/>
  <c r="W506" i="3"/>
  <c r="W505" i="3"/>
  <c r="W502" i="3"/>
  <c r="W501" i="3"/>
  <c r="W454" i="3"/>
  <c r="W453" i="3"/>
  <c r="W452" i="3"/>
  <c r="W451" i="3"/>
  <c r="W442" i="3"/>
  <c r="W441" i="3"/>
  <c r="W434" i="3"/>
  <c r="W433" i="3"/>
  <c r="W424" i="3"/>
  <c r="W423" i="3"/>
  <c r="W412" i="3"/>
  <c r="W411" i="3"/>
  <c r="W404" i="3"/>
  <c r="W403" i="3"/>
  <c r="W402" i="3"/>
  <c r="W401" i="3"/>
  <c r="W400" i="3"/>
  <c r="W396" i="3"/>
  <c r="W395" i="3"/>
  <c r="W391" i="3"/>
  <c r="W390" i="3"/>
  <c r="W389" i="3"/>
  <c r="W388" i="3"/>
  <c r="W382" i="3"/>
  <c r="W381" i="3"/>
  <c r="W375" i="3"/>
  <c r="W374" i="3"/>
  <c r="W372" i="3"/>
  <c r="W371" i="3"/>
  <c r="W370" i="3"/>
  <c r="W369" i="3"/>
  <c r="W365" i="3"/>
  <c r="W364" i="3"/>
  <c r="W353" i="3"/>
  <c r="W352" i="3"/>
  <c r="W351" i="3"/>
  <c r="W350" i="3"/>
  <c r="W345" i="3"/>
  <c r="W344" i="3"/>
  <c r="W339" i="3"/>
  <c r="W338" i="3"/>
  <c r="W333" i="3"/>
  <c r="W332" i="3"/>
  <c r="W326" i="3"/>
  <c r="W325" i="3"/>
  <c r="W318" i="3"/>
  <c r="W317" i="3"/>
  <c r="W310" i="3"/>
  <c r="W309" i="3"/>
  <c r="W302" i="3"/>
  <c r="W301" i="3"/>
  <c r="W294" i="3"/>
  <c r="W293" i="3"/>
  <c r="W289" i="3"/>
  <c r="W288" i="3"/>
  <c r="W285" i="3"/>
  <c r="W284" i="3"/>
  <c r="W280" i="3"/>
  <c r="W279" i="3"/>
  <c r="W275" i="3"/>
  <c r="W274" i="3"/>
  <c r="W273" i="3"/>
  <c r="W272" i="3"/>
  <c r="W268" i="3"/>
  <c r="W267" i="3"/>
  <c r="W263" i="3"/>
  <c r="W262" i="3"/>
  <c r="W246" i="3"/>
  <c r="W245" i="3"/>
  <c r="W244" i="3"/>
  <c r="W240" i="3"/>
  <c r="W239" i="3"/>
  <c r="W234" i="3"/>
  <c r="W233" i="3"/>
  <c r="W219" i="3"/>
  <c r="W218" i="3"/>
  <c r="W214" i="3"/>
  <c r="W213" i="3"/>
  <c r="W208" i="3"/>
  <c r="W207" i="3"/>
  <c r="W205" i="3"/>
  <c r="W204" i="3"/>
  <c r="W203" i="3"/>
  <c r="W202" i="3"/>
  <c r="W198" i="3"/>
  <c r="W197" i="3"/>
  <c r="W195" i="3"/>
  <c r="W194" i="3"/>
  <c r="W191" i="3"/>
  <c r="W190" i="3"/>
  <c r="W185" i="3"/>
  <c r="W184" i="3"/>
  <c r="W175" i="3"/>
  <c r="W174" i="3"/>
  <c r="W173" i="3"/>
  <c r="W172" i="3"/>
  <c r="W171" i="3"/>
  <c r="W168" i="3"/>
  <c r="W167" i="3"/>
  <c r="W120" i="3"/>
  <c r="W119" i="3"/>
  <c r="W118" i="3"/>
  <c r="W110" i="3"/>
  <c r="W109" i="3"/>
  <c r="W108" i="3"/>
  <c r="W103" i="3"/>
  <c r="W102" i="3"/>
  <c r="W98" i="3"/>
  <c r="W97" i="3"/>
  <c r="W87" i="3"/>
  <c r="W86" i="3"/>
  <c r="W84" i="3"/>
  <c r="W83" i="3"/>
  <c r="W71" i="3"/>
  <c r="W70" i="3"/>
  <c r="W69" i="3"/>
  <c r="W68" i="3"/>
  <c r="W62" i="3"/>
  <c r="W61" i="3"/>
  <c r="W57" i="3"/>
  <c r="W56" i="3"/>
  <c r="W52" i="3"/>
  <c r="W51" i="3"/>
  <c r="W45" i="3"/>
  <c r="W44" i="3"/>
  <c r="W38" i="3"/>
  <c r="W37" i="3"/>
  <c r="W29" i="3"/>
  <c r="W28" i="3"/>
  <c r="W23" i="3"/>
  <c r="W22" i="3"/>
  <c r="W17" i="3"/>
  <c r="W16" i="3"/>
  <c r="W11" i="3"/>
  <c r="W10" i="3"/>
  <c r="W5" i="3"/>
  <c r="W4" i="3"/>
  <c r="W3" i="3"/>
  <c r="DD638" i="7"/>
  <c r="DC638" i="7"/>
  <c r="DB638" i="7"/>
  <c r="DA638" i="7"/>
  <c r="CZ638" i="7"/>
  <c r="CY638" i="7"/>
  <c r="CX638" i="7"/>
  <c r="CW638" i="7"/>
  <c r="CV638" i="7"/>
  <c r="CU638" i="7"/>
  <c r="CT638" i="7"/>
  <c r="CS638" i="7"/>
  <c r="CR638" i="7"/>
  <c r="CQ638" i="7"/>
  <c r="CP638" i="7"/>
  <c r="CO638" i="7"/>
  <c r="CN638" i="7"/>
  <c r="CM638" i="7"/>
  <c r="CL638" i="7"/>
  <c r="CK638" i="7"/>
  <c r="CJ638" i="7"/>
  <c r="CI638" i="7"/>
  <c r="CH638" i="7"/>
  <c r="CG638" i="7"/>
  <c r="CF638" i="7"/>
  <c r="CE638" i="7"/>
  <c r="CD638" i="7"/>
  <c r="CC638" i="7"/>
  <c r="CB638" i="7"/>
  <c r="CA638" i="7"/>
  <c r="BZ638" i="7"/>
  <c r="BY638" i="7"/>
  <c r="BX638" i="7"/>
  <c r="BW638" i="7"/>
  <c r="BV638" i="7"/>
  <c r="BU638" i="7"/>
  <c r="BT638" i="7"/>
  <c r="BS638" i="7"/>
  <c r="BR638" i="7"/>
  <c r="BQ638" i="7"/>
  <c r="BP638" i="7"/>
  <c r="BO638" i="7"/>
  <c r="BN638" i="7"/>
  <c r="BM638" i="7"/>
  <c r="BL638" i="7"/>
  <c r="BK638" i="7"/>
  <c r="BJ638" i="7"/>
  <c r="BI638" i="7"/>
  <c r="BH638" i="7"/>
  <c r="BG638" i="7"/>
  <c r="BF638" i="7"/>
  <c r="DD637" i="7"/>
  <c r="DC637" i="7"/>
  <c r="DB637" i="7"/>
  <c r="DA637" i="7"/>
  <c r="CZ637" i="7"/>
  <c r="CY637" i="7"/>
  <c r="CX637" i="7"/>
  <c r="CW637" i="7"/>
  <c r="CV637" i="7"/>
  <c r="CU637" i="7"/>
  <c r="CT637" i="7"/>
  <c r="CS637" i="7"/>
  <c r="CR637" i="7"/>
  <c r="CQ637" i="7"/>
  <c r="CP637" i="7"/>
  <c r="CO637" i="7"/>
  <c r="CN637" i="7"/>
  <c r="CM637" i="7"/>
  <c r="CL637" i="7"/>
  <c r="CK637" i="7"/>
  <c r="CJ637" i="7"/>
  <c r="CI637" i="7"/>
  <c r="CH637" i="7"/>
  <c r="CG637" i="7"/>
  <c r="CF637" i="7"/>
  <c r="CE637" i="7"/>
  <c r="CD637" i="7"/>
  <c r="CC637" i="7"/>
  <c r="CB637" i="7"/>
  <c r="CA637" i="7"/>
  <c r="BZ637" i="7"/>
  <c r="BY637" i="7"/>
  <c r="BX637" i="7"/>
  <c r="BW637" i="7"/>
  <c r="BV637" i="7"/>
  <c r="BU637" i="7"/>
  <c r="BT637" i="7"/>
  <c r="BS637" i="7"/>
  <c r="BR637" i="7"/>
  <c r="BQ637" i="7"/>
  <c r="BP637" i="7"/>
  <c r="BO637" i="7"/>
  <c r="BN637" i="7"/>
  <c r="BM637" i="7"/>
  <c r="BL637" i="7"/>
  <c r="BK637" i="7"/>
  <c r="BJ637" i="7"/>
  <c r="BI637" i="7"/>
  <c r="BH637" i="7"/>
  <c r="BG637" i="7"/>
  <c r="BF637" i="7"/>
  <c r="DD636" i="7"/>
  <c r="DC636" i="7"/>
  <c r="DB636" i="7"/>
  <c r="DA636" i="7"/>
  <c r="CZ636" i="7"/>
  <c r="CY636" i="7"/>
  <c r="CX636" i="7"/>
  <c r="CW636" i="7"/>
  <c r="CV636" i="7"/>
  <c r="CU636" i="7"/>
  <c r="CT636" i="7"/>
  <c r="CS636" i="7"/>
  <c r="CR636" i="7"/>
  <c r="CQ636" i="7"/>
  <c r="CP636" i="7"/>
  <c r="CO636" i="7"/>
  <c r="CN636" i="7"/>
  <c r="CM636" i="7"/>
  <c r="CL636" i="7"/>
  <c r="CK636" i="7"/>
  <c r="CJ636" i="7"/>
  <c r="CI636" i="7"/>
  <c r="CH636" i="7"/>
  <c r="CG636" i="7"/>
  <c r="CF636" i="7"/>
  <c r="CE636" i="7"/>
  <c r="CD636" i="7"/>
  <c r="CC636" i="7"/>
  <c r="CB636" i="7"/>
  <c r="CA636" i="7"/>
  <c r="BZ636" i="7"/>
  <c r="BY636" i="7"/>
  <c r="BX636" i="7"/>
  <c r="BW636" i="7"/>
  <c r="BV636" i="7"/>
  <c r="BU636" i="7"/>
  <c r="BT636" i="7"/>
  <c r="BS636" i="7"/>
  <c r="BR636" i="7"/>
  <c r="BQ636" i="7"/>
  <c r="BP636" i="7"/>
  <c r="BO636" i="7"/>
  <c r="BN636" i="7"/>
  <c r="BM636" i="7"/>
  <c r="BL636" i="7"/>
  <c r="BK636" i="7"/>
  <c r="BJ636" i="7"/>
  <c r="BI636" i="7"/>
  <c r="BH636" i="7"/>
  <c r="BG636" i="7"/>
  <c r="BF636" i="7"/>
  <c r="DD635" i="7"/>
  <c r="DC635" i="7"/>
  <c r="DB635" i="7"/>
  <c r="DA635" i="7"/>
  <c r="CZ635" i="7"/>
  <c r="CY635" i="7"/>
  <c r="CX635" i="7"/>
  <c r="CW635" i="7"/>
  <c r="CV635" i="7"/>
  <c r="CU635" i="7"/>
  <c r="CT635" i="7"/>
  <c r="CS635" i="7"/>
  <c r="CR635" i="7"/>
  <c r="CQ635" i="7"/>
  <c r="CP635" i="7"/>
  <c r="CO635" i="7"/>
  <c r="CN635" i="7"/>
  <c r="CM635" i="7"/>
  <c r="CL635" i="7"/>
  <c r="CK635" i="7"/>
  <c r="CJ635" i="7"/>
  <c r="CI635" i="7"/>
  <c r="CH635" i="7"/>
  <c r="CG635" i="7"/>
  <c r="CF635" i="7"/>
  <c r="CE635" i="7"/>
  <c r="CD635" i="7"/>
  <c r="CC635" i="7"/>
  <c r="CB635" i="7"/>
  <c r="CA635" i="7"/>
  <c r="BZ635" i="7"/>
  <c r="BY635" i="7"/>
  <c r="BX635" i="7"/>
  <c r="BW635" i="7"/>
  <c r="BV635" i="7"/>
  <c r="BU635" i="7"/>
  <c r="BT635" i="7"/>
  <c r="BS635" i="7"/>
  <c r="BR635" i="7"/>
  <c r="BQ635" i="7"/>
  <c r="BP635" i="7"/>
  <c r="BO635" i="7"/>
  <c r="BN635" i="7"/>
  <c r="BM635" i="7"/>
  <c r="BL635" i="7"/>
  <c r="BK635" i="7"/>
  <c r="BJ635" i="7"/>
  <c r="BI635" i="7"/>
  <c r="BH635" i="7"/>
  <c r="BG635" i="7"/>
  <c r="BF635" i="7"/>
  <c r="DD634" i="7"/>
  <c r="DC634" i="7"/>
  <c r="DB634" i="7"/>
  <c r="DA634" i="7"/>
  <c r="CZ634" i="7"/>
  <c r="CY634" i="7"/>
  <c r="CX634" i="7"/>
  <c r="CW634" i="7"/>
  <c r="CV634" i="7"/>
  <c r="CU634" i="7"/>
  <c r="CT634" i="7"/>
  <c r="CS634" i="7"/>
  <c r="CR634" i="7"/>
  <c r="CQ634" i="7"/>
  <c r="CP634" i="7"/>
  <c r="CO634" i="7"/>
  <c r="CN634" i="7"/>
  <c r="CM634" i="7"/>
  <c r="CL634" i="7"/>
  <c r="CK634" i="7"/>
  <c r="CJ634" i="7"/>
  <c r="CI634" i="7"/>
  <c r="CH634" i="7"/>
  <c r="CG634" i="7"/>
  <c r="CF634" i="7"/>
  <c r="CE634" i="7"/>
  <c r="CD634" i="7"/>
  <c r="CC634" i="7"/>
  <c r="CB634" i="7"/>
  <c r="CA634" i="7"/>
  <c r="BZ634" i="7"/>
  <c r="BY634" i="7"/>
  <c r="BX634" i="7"/>
  <c r="BW634" i="7"/>
  <c r="BV634" i="7"/>
  <c r="BU634" i="7"/>
  <c r="BT634" i="7"/>
  <c r="BS634" i="7"/>
  <c r="BR634" i="7"/>
  <c r="BQ634" i="7"/>
  <c r="BP634" i="7"/>
  <c r="BO634" i="7"/>
  <c r="BN634" i="7"/>
  <c r="BM634" i="7"/>
  <c r="BL634" i="7"/>
  <c r="BK634" i="7"/>
  <c r="BJ634" i="7"/>
  <c r="BI634" i="7"/>
  <c r="BH634" i="7"/>
  <c r="BG634" i="7"/>
  <c r="BF634" i="7"/>
  <c r="DD633" i="7"/>
  <c r="DC633" i="7"/>
  <c r="DB633" i="7"/>
  <c r="DA633" i="7"/>
  <c r="CZ633" i="7"/>
  <c r="CY633" i="7"/>
  <c r="CX633" i="7"/>
  <c r="CW633" i="7"/>
  <c r="CV633" i="7"/>
  <c r="CU633" i="7"/>
  <c r="CT633" i="7"/>
  <c r="CS633" i="7"/>
  <c r="CR633" i="7"/>
  <c r="CQ633" i="7"/>
  <c r="CP633" i="7"/>
  <c r="CO633" i="7"/>
  <c r="CN633" i="7"/>
  <c r="CM633" i="7"/>
  <c r="CL633" i="7"/>
  <c r="CK633" i="7"/>
  <c r="CJ633" i="7"/>
  <c r="CI633" i="7"/>
  <c r="CH633" i="7"/>
  <c r="CG633" i="7"/>
  <c r="CF633" i="7"/>
  <c r="CE633" i="7"/>
  <c r="CD633" i="7"/>
  <c r="CC633" i="7"/>
  <c r="CB633" i="7"/>
  <c r="CA633" i="7"/>
  <c r="BZ633" i="7"/>
  <c r="BY633" i="7"/>
  <c r="BX633" i="7"/>
  <c r="BW633" i="7"/>
  <c r="BV633" i="7"/>
  <c r="BU633" i="7"/>
  <c r="BT633" i="7"/>
  <c r="BS633" i="7"/>
  <c r="BR633" i="7"/>
  <c r="BQ633" i="7"/>
  <c r="BP633" i="7"/>
  <c r="BO633" i="7"/>
  <c r="BN633" i="7"/>
  <c r="BM633" i="7"/>
  <c r="BL633" i="7"/>
  <c r="BK633" i="7"/>
  <c r="BJ633" i="7"/>
  <c r="BI633" i="7"/>
  <c r="BH633" i="7"/>
  <c r="BG633" i="7"/>
  <c r="BF633" i="7"/>
  <c r="DD632" i="7"/>
  <c r="DC632" i="7"/>
  <c r="DB632" i="7"/>
  <c r="DA632" i="7"/>
  <c r="CZ632" i="7"/>
  <c r="CY632" i="7"/>
  <c r="CX632" i="7"/>
  <c r="CW632" i="7"/>
  <c r="CV632" i="7"/>
  <c r="CU632" i="7"/>
  <c r="CT632" i="7"/>
  <c r="CS632" i="7"/>
  <c r="CR632" i="7"/>
  <c r="CQ632" i="7"/>
  <c r="CP632" i="7"/>
  <c r="CO632" i="7"/>
  <c r="CN632" i="7"/>
  <c r="CM632" i="7"/>
  <c r="CL632" i="7"/>
  <c r="CK632" i="7"/>
  <c r="CJ632" i="7"/>
  <c r="CI632" i="7"/>
  <c r="CH632" i="7"/>
  <c r="CG632" i="7"/>
  <c r="CF632" i="7"/>
  <c r="CE632" i="7"/>
  <c r="CD632" i="7"/>
  <c r="CC632" i="7"/>
  <c r="CB632" i="7"/>
  <c r="CA632" i="7"/>
  <c r="BZ632" i="7"/>
  <c r="BY632" i="7"/>
  <c r="BX632" i="7"/>
  <c r="BW632" i="7"/>
  <c r="BV632" i="7"/>
  <c r="BU632" i="7"/>
  <c r="BT632" i="7"/>
  <c r="BS632" i="7"/>
  <c r="BR632" i="7"/>
  <c r="BQ632" i="7"/>
  <c r="BP632" i="7"/>
  <c r="BO632" i="7"/>
  <c r="BN632" i="7"/>
  <c r="BM632" i="7"/>
  <c r="BL632" i="7"/>
  <c r="BK632" i="7"/>
  <c r="BJ632" i="7"/>
  <c r="BI632" i="7"/>
  <c r="BH632" i="7"/>
  <c r="BG632" i="7"/>
  <c r="BF632" i="7"/>
  <c r="DD631" i="7"/>
  <c r="DC631" i="7"/>
  <c r="DB631" i="7"/>
  <c r="DA631" i="7"/>
  <c r="CZ631" i="7"/>
  <c r="CY631" i="7"/>
  <c r="CX631" i="7"/>
  <c r="CW631" i="7"/>
  <c r="CV631" i="7"/>
  <c r="CU631" i="7"/>
  <c r="CT631" i="7"/>
  <c r="CS631" i="7"/>
  <c r="CR631" i="7"/>
  <c r="CQ631" i="7"/>
  <c r="CP631" i="7"/>
  <c r="CO631" i="7"/>
  <c r="CN631" i="7"/>
  <c r="CM631" i="7"/>
  <c r="CL631" i="7"/>
  <c r="CK631" i="7"/>
  <c r="CJ631" i="7"/>
  <c r="CI631" i="7"/>
  <c r="CH631" i="7"/>
  <c r="CG631" i="7"/>
  <c r="CF631" i="7"/>
  <c r="CE631" i="7"/>
  <c r="CD631" i="7"/>
  <c r="CC631" i="7"/>
  <c r="CB631" i="7"/>
  <c r="CA631" i="7"/>
  <c r="BZ631" i="7"/>
  <c r="BY631" i="7"/>
  <c r="BX631" i="7"/>
  <c r="BW631" i="7"/>
  <c r="BV631" i="7"/>
  <c r="BU631" i="7"/>
  <c r="BT631" i="7"/>
  <c r="BS631" i="7"/>
  <c r="BR631" i="7"/>
  <c r="BQ631" i="7"/>
  <c r="BP631" i="7"/>
  <c r="BO631" i="7"/>
  <c r="BN631" i="7"/>
  <c r="BM631" i="7"/>
  <c r="BL631" i="7"/>
  <c r="BK631" i="7"/>
  <c r="BJ631" i="7"/>
  <c r="BI631" i="7"/>
  <c r="BH631" i="7"/>
  <c r="BG631" i="7"/>
  <c r="BF631" i="7"/>
  <c r="DD630" i="7"/>
  <c r="DC630" i="7"/>
  <c r="DB630" i="7"/>
  <c r="DA630" i="7"/>
  <c r="CZ630" i="7"/>
  <c r="CY630" i="7"/>
  <c r="CX630" i="7"/>
  <c r="CW630" i="7"/>
  <c r="CV630" i="7"/>
  <c r="CU630" i="7"/>
  <c r="CT630" i="7"/>
  <c r="CS630" i="7"/>
  <c r="CR630" i="7"/>
  <c r="CQ630" i="7"/>
  <c r="CP630" i="7"/>
  <c r="CO630" i="7"/>
  <c r="CN630" i="7"/>
  <c r="CM630" i="7"/>
  <c r="CL630" i="7"/>
  <c r="CK630" i="7"/>
  <c r="CJ630" i="7"/>
  <c r="CI630" i="7"/>
  <c r="CH630" i="7"/>
  <c r="CG630" i="7"/>
  <c r="CF630" i="7"/>
  <c r="CE630" i="7"/>
  <c r="CD630" i="7"/>
  <c r="CC630" i="7"/>
  <c r="CB630" i="7"/>
  <c r="CA630" i="7"/>
  <c r="BZ630" i="7"/>
  <c r="BY630" i="7"/>
  <c r="BX630" i="7"/>
  <c r="BW630" i="7"/>
  <c r="BV630" i="7"/>
  <c r="BU630" i="7"/>
  <c r="BT630" i="7"/>
  <c r="BS630" i="7"/>
  <c r="BR630" i="7"/>
  <c r="BQ630" i="7"/>
  <c r="BP630" i="7"/>
  <c r="BO630" i="7"/>
  <c r="BN630" i="7"/>
  <c r="BM630" i="7"/>
  <c r="BL630" i="7"/>
  <c r="BK630" i="7"/>
  <c r="BJ630" i="7"/>
  <c r="BI630" i="7"/>
  <c r="BH630" i="7"/>
  <c r="BG630" i="7"/>
  <c r="BF630" i="7"/>
  <c r="DD629" i="7"/>
  <c r="DC629" i="7"/>
  <c r="DB629" i="7"/>
  <c r="DA629" i="7"/>
  <c r="CZ629" i="7"/>
  <c r="CY629" i="7"/>
  <c r="CX629" i="7"/>
  <c r="CW629" i="7"/>
  <c r="CV629" i="7"/>
  <c r="CU629" i="7"/>
  <c r="CT629" i="7"/>
  <c r="CS629" i="7"/>
  <c r="CR629" i="7"/>
  <c r="CQ629" i="7"/>
  <c r="CP629" i="7"/>
  <c r="CO629" i="7"/>
  <c r="CN629" i="7"/>
  <c r="CM629" i="7"/>
  <c r="CL629" i="7"/>
  <c r="CK629" i="7"/>
  <c r="CJ629" i="7"/>
  <c r="CI629" i="7"/>
  <c r="CH629" i="7"/>
  <c r="CG629" i="7"/>
  <c r="CF629" i="7"/>
  <c r="CE629" i="7"/>
  <c r="CD629" i="7"/>
  <c r="CC629" i="7"/>
  <c r="CB629" i="7"/>
  <c r="CA629" i="7"/>
  <c r="BZ629" i="7"/>
  <c r="BY629" i="7"/>
  <c r="BX629" i="7"/>
  <c r="BW629" i="7"/>
  <c r="BV629" i="7"/>
  <c r="BU629" i="7"/>
  <c r="BT629" i="7"/>
  <c r="BS629" i="7"/>
  <c r="BR629" i="7"/>
  <c r="BQ629" i="7"/>
  <c r="BP629" i="7"/>
  <c r="BO629" i="7"/>
  <c r="BN629" i="7"/>
  <c r="BM629" i="7"/>
  <c r="BL629" i="7"/>
  <c r="BK629" i="7"/>
  <c r="BJ629" i="7"/>
  <c r="BI629" i="7"/>
  <c r="BH629" i="7"/>
  <c r="BG629" i="7"/>
  <c r="BF629" i="7"/>
  <c r="DD628" i="7"/>
  <c r="DC628" i="7"/>
  <c r="DB628" i="7"/>
  <c r="DA628" i="7"/>
  <c r="CZ628" i="7"/>
  <c r="CY628" i="7"/>
  <c r="CX628" i="7"/>
  <c r="CW628" i="7"/>
  <c r="CV628" i="7"/>
  <c r="CU628" i="7"/>
  <c r="CT628" i="7"/>
  <c r="CS628" i="7"/>
  <c r="CR628" i="7"/>
  <c r="CQ628" i="7"/>
  <c r="CP628" i="7"/>
  <c r="CO628" i="7"/>
  <c r="CN628" i="7"/>
  <c r="CM628" i="7"/>
  <c r="CL628" i="7"/>
  <c r="CK628" i="7"/>
  <c r="CJ628" i="7"/>
  <c r="CI628" i="7"/>
  <c r="CH628" i="7"/>
  <c r="CG628" i="7"/>
  <c r="CF628" i="7"/>
  <c r="CE628" i="7"/>
  <c r="CD628" i="7"/>
  <c r="CC628" i="7"/>
  <c r="CB628" i="7"/>
  <c r="CA628" i="7"/>
  <c r="BZ628" i="7"/>
  <c r="BY628" i="7"/>
  <c r="BX628" i="7"/>
  <c r="BW628" i="7"/>
  <c r="BV628" i="7"/>
  <c r="BU628" i="7"/>
  <c r="BT628" i="7"/>
  <c r="BS628" i="7"/>
  <c r="BR628" i="7"/>
  <c r="BQ628" i="7"/>
  <c r="BP628" i="7"/>
  <c r="BO628" i="7"/>
  <c r="BN628" i="7"/>
  <c r="BM628" i="7"/>
  <c r="BL628" i="7"/>
  <c r="BK628" i="7"/>
  <c r="BJ628" i="7"/>
  <c r="BI628" i="7"/>
  <c r="BH628" i="7"/>
  <c r="BG628" i="7"/>
  <c r="BF628" i="7"/>
  <c r="DD627" i="7"/>
  <c r="DC627" i="7"/>
  <c r="DB627" i="7"/>
  <c r="DA627" i="7"/>
  <c r="CZ627" i="7"/>
  <c r="CY627" i="7"/>
  <c r="CX627" i="7"/>
  <c r="CW627" i="7"/>
  <c r="CV627" i="7"/>
  <c r="CU627" i="7"/>
  <c r="CT627" i="7"/>
  <c r="CS627" i="7"/>
  <c r="CR627" i="7"/>
  <c r="CQ627" i="7"/>
  <c r="CP627" i="7"/>
  <c r="CO627" i="7"/>
  <c r="CN627" i="7"/>
  <c r="CM627" i="7"/>
  <c r="CL627" i="7"/>
  <c r="CK627" i="7"/>
  <c r="CJ627" i="7"/>
  <c r="CI627" i="7"/>
  <c r="CH627" i="7"/>
  <c r="CG627" i="7"/>
  <c r="CF627" i="7"/>
  <c r="CE627" i="7"/>
  <c r="CD627" i="7"/>
  <c r="CC627" i="7"/>
  <c r="CB627" i="7"/>
  <c r="CA627" i="7"/>
  <c r="BZ627" i="7"/>
  <c r="BY627" i="7"/>
  <c r="BX627" i="7"/>
  <c r="BW627" i="7"/>
  <c r="BV627" i="7"/>
  <c r="BU627" i="7"/>
  <c r="BT627" i="7"/>
  <c r="BS627" i="7"/>
  <c r="BR627" i="7"/>
  <c r="BQ627" i="7"/>
  <c r="BP627" i="7"/>
  <c r="BO627" i="7"/>
  <c r="BN627" i="7"/>
  <c r="BM627" i="7"/>
  <c r="BL627" i="7"/>
  <c r="BK627" i="7"/>
  <c r="BJ627" i="7"/>
  <c r="BI627" i="7"/>
  <c r="BH627" i="7"/>
  <c r="BG627" i="7"/>
  <c r="BF627" i="7"/>
  <c r="DD626" i="7"/>
  <c r="DC626" i="7"/>
  <c r="DB626" i="7"/>
  <c r="DA626" i="7"/>
  <c r="CZ626" i="7"/>
  <c r="CY626" i="7"/>
  <c r="CX626" i="7"/>
  <c r="CW626" i="7"/>
  <c r="CV626" i="7"/>
  <c r="CU626" i="7"/>
  <c r="CT626" i="7"/>
  <c r="CS626" i="7"/>
  <c r="CR626" i="7"/>
  <c r="CQ626" i="7"/>
  <c r="CP626" i="7"/>
  <c r="CO626" i="7"/>
  <c r="CN626" i="7"/>
  <c r="CM626" i="7"/>
  <c r="CL626" i="7"/>
  <c r="CK626" i="7"/>
  <c r="CJ626" i="7"/>
  <c r="CI626" i="7"/>
  <c r="CH626" i="7"/>
  <c r="CG626" i="7"/>
  <c r="CF626" i="7"/>
  <c r="CE626" i="7"/>
  <c r="CD626" i="7"/>
  <c r="CC626" i="7"/>
  <c r="CB626" i="7"/>
  <c r="CA626" i="7"/>
  <c r="BZ626" i="7"/>
  <c r="BY626" i="7"/>
  <c r="BX626" i="7"/>
  <c r="BW626" i="7"/>
  <c r="BV626" i="7"/>
  <c r="BU626" i="7"/>
  <c r="BT626" i="7"/>
  <c r="BS626" i="7"/>
  <c r="BR626" i="7"/>
  <c r="BQ626" i="7"/>
  <c r="BP626" i="7"/>
  <c r="BO626" i="7"/>
  <c r="BN626" i="7"/>
  <c r="BM626" i="7"/>
  <c r="BL626" i="7"/>
  <c r="BK626" i="7"/>
  <c r="BJ626" i="7"/>
  <c r="BI626" i="7"/>
  <c r="BH626" i="7"/>
  <c r="BG626" i="7"/>
  <c r="BF626" i="7"/>
  <c r="DD625" i="7"/>
  <c r="DC625" i="7"/>
  <c r="DB625" i="7"/>
  <c r="DA625" i="7"/>
  <c r="CZ625" i="7"/>
  <c r="CY625" i="7"/>
  <c r="CX625" i="7"/>
  <c r="CW625" i="7"/>
  <c r="CV625" i="7"/>
  <c r="CU625" i="7"/>
  <c r="CT625" i="7"/>
  <c r="CS625" i="7"/>
  <c r="CR625" i="7"/>
  <c r="CQ625" i="7"/>
  <c r="CP625" i="7"/>
  <c r="CO625" i="7"/>
  <c r="CN625" i="7"/>
  <c r="CM625" i="7"/>
  <c r="CL625" i="7"/>
  <c r="CK625" i="7"/>
  <c r="CJ625" i="7"/>
  <c r="CI625" i="7"/>
  <c r="CH625" i="7"/>
  <c r="CG625" i="7"/>
  <c r="CF625" i="7"/>
  <c r="CE625" i="7"/>
  <c r="CD625" i="7"/>
  <c r="CC625" i="7"/>
  <c r="CB625" i="7"/>
  <c r="CA625" i="7"/>
  <c r="BZ625" i="7"/>
  <c r="BY625" i="7"/>
  <c r="BX625" i="7"/>
  <c r="BW625" i="7"/>
  <c r="BV625" i="7"/>
  <c r="BU625" i="7"/>
  <c r="BT625" i="7"/>
  <c r="BS625" i="7"/>
  <c r="BR625" i="7"/>
  <c r="BQ625" i="7"/>
  <c r="BP625" i="7"/>
  <c r="BO625" i="7"/>
  <c r="BN625" i="7"/>
  <c r="BM625" i="7"/>
  <c r="BL625" i="7"/>
  <c r="BK625" i="7"/>
  <c r="BJ625" i="7"/>
  <c r="BI625" i="7"/>
  <c r="BH625" i="7"/>
  <c r="BG625" i="7"/>
  <c r="BF625" i="7"/>
  <c r="DD624" i="7"/>
  <c r="DC624" i="7"/>
  <c r="DB624" i="7"/>
  <c r="DA624" i="7"/>
  <c r="CZ624" i="7"/>
  <c r="CY624" i="7"/>
  <c r="CX624" i="7"/>
  <c r="CW624" i="7"/>
  <c r="CV624" i="7"/>
  <c r="CU624" i="7"/>
  <c r="CT624" i="7"/>
  <c r="CS624" i="7"/>
  <c r="CR624" i="7"/>
  <c r="CQ624" i="7"/>
  <c r="CP624" i="7"/>
  <c r="CO624" i="7"/>
  <c r="CN624" i="7"/>
  <c r="CM624" i="7"/>
  <c r="CL624" i="7"/>
  <c r="CK624" i="7"/>
  <c r="CJ624" i="7"/>
  <c r="CI624" i="7"/>
  <c r="CH624" i="7"/>
  <c r="CG624" i="7"/>
  <c r="CF624" i="7"/>
  <c r="CE624" i="7"/>
  <c r="CD624" i="7"/>
  <c r="CC624" i="7"/>
  <c r="CB624" i="7"/>
  <c r="CA624" i="7"/>
  <c r="BZ624" i="7"/>
  <c r="BY624" i="7"/>
  <c r="BX624" i="7"/>
  <c r="BW624" i="7"/>
  <c r="BV624" i="7"/>
  <c r="BU624" i="7"/>
  <c r="BT624" i="7"/>
  <c r="BS624" i="7"/>
  <c r="BR624" i="7"/>
  <c r="BQ624" i="7"/>
  <c r="BP624" i="7"/>
  <c r="BO624" i="7"/>
  <c r="BN624" i="7"/>
  <c r="BM624" i="7"/>
  <c r="BL624" i="7"/>
  <c r="BK624" i="7"/>
  <c r="BJ624" i="7"/>
  <c r="BI624" i="7"/>
  <c r="BH624" i="7"/>
  <c r="BG624" i="7"/>
  <c r="BF624" i="7"/>
  <c r="DD623" i="7"/>
  <c r="DC623" i="7"/>
  <c r="DB623" i="7"/>
  <c r="DA623" i="7"/>
  <c r="CZ623" i="7"/>
  <c r="CY623" i="7"/>
  <c r="CX623" i="7"/>
  <c r="CW623" i="7"/>
  <c r="CV623" i="7"/>
  <c r="CU623" i="7"/>
  <c r="CT623" i="7"/>
  <c r="CS623" i="7"/>
  <c r="CR623" i="7"/>
  <c r="CQ623" i="7"/>
  <c r="CP623" i="7"/>
  <c r="CO623" i="7"/>
  <c r="CN623" i="7"/>
  <c r="CM623" i="7"/>
  <c r="CL623" i="7"/>
  <c r="CK623" i="7"/>
  <c r="CJ623" i="7"/>
  <c r="CI623" i="7"/>
  <c r="CH623" i="7"/>
  <c r="CG623" i="7"/>
  <c r="CF623" i="7"/>
  <c r="CE623" i="7"/>
  <c r="CD623" i="7"/>
  <c r="CC623" i="7"/>
  <c r="CB623" i="7"/>
  <c r="CA623" i="7"/>
  <c r="BZ623" i="7"/>
  <c r="BY623" i="7"/>
  <c r="BX623" i="7"/>
  <c r="BW623" i="7"/>
  <c r="BV623" i="7"/>
  <c r="BU623" i="7"/>
  <c r="BT623" i="7"/>
  <c r="BS623" i="7"/>
  <c r="BR623" i="7"/>
  <c r="BQ623" i="7"/>
  <c r="BP623" i="7"/>
  <c r="BO623" i="7"/>
  <c r="BN623" i="7"/>
  <c r="BM623" i="7"/>
  <c r="BL623" i="7"/>
  <c r="BK623" i="7"/>
  <c r="BJ623" i="7"/>
  <c r="BI623" i="7"/>
  <c r="BH623" i="7"/>
  <c r="BG623" i="7"/>
  <c r="BF623" i="7"/>
  <c r="DD622" i="7"/>
  <c r="DC622" i="7"/>
  <c r="DB622" i="7"/>
  <c r="DA622" i="7"/>
  <c r="CZ622" i="7"/>
  <c r="CY622" i="7"/>
  <c r="CX622" i="7"/>
  <c r="CW622" i="7"/>
  <c r="CV622" i="7"/>
  <c r="CU622" i="7"/>
  <c r="CT622" i="7"/>
  <c r="CS622" i="7"/>
  <c r="CR622" i="7"/>
  <c r="CQ622" i="7"/>
  <c r="CP622" i="7"/>
  <c r="CO622" i="7"/>
  <c r="CN622" i="7"/>
  <c r="CM622" i="7"/>
  <c r="CL622" i="7"/>
  <c r="CK622" i="7"/>
  <c r="CJ622" i="7"/>
  <c r="CI622" i="7"/>
  <c r="CH622" i="7"/>
  <c r="CG622" i="7"/>
  <c r="CF622" i="7"/>
  <c r="CE622" i="7"/>
  <c r="CD622" i="7"/>
  <c r="CC622" i="7"/>
  <c r="CB622" i="7"/>
  <c r="CA622" i="7"/>
  <c r="BZ622" i="7"/>
  <c r="BY622" i="7"/>
  <c r="BX622" i="7"/>
  <c r="BW622" i="7"/>
  <c r="BV622" i="7"/>
  <c r="BU622" i="7"/>
  <c r="BT622" i="7"/>
  <c r="BS622" i="7"/>
  <c r="BR622" i="7"/>
  <c r="BQ622" i="7"/>
  <c r="BP622" i="7"/>
  <c r="BO622" i="7"/>
  <c r="BN622" i="7"/>
  <c r="BM622" i="7"/>
  <c r="BL622" i="7"/>
  <c r="BK622" i="7"/>
  <c r="BJ622" i="7"/>
  <c r="BI622" i="7"/>
  <c r="BH622" i="7"/>
  <c r="BG622" i="7"/>
  <c r="BF622" i="7"/>
  <c r="DD621" i="7"/>
  <c r="DC621" i="7"/>
  <c r="DB621" i="7"/>
  <c r="DA621" i="7"/>
  <c r="CZ621" i="7"/>
  <c r="CY621" i="7"/>
  <c r="CX621" i="7"/>
  <c r="CW621" i="7"/>
  <c r="CV621" i="7"/>
  <c r="CU621" i="7"/>
  <c r="CT621" i="7"/>
  <c r="CS621" i="7"/>
  <c r="CR621" i="7"/>
  <c r="CQ621" i="7"/>
  <c r="CP621" i="7"/>
  <c r="CO621" i="7"/>
  <c r="CN621" i="7"/>
  <c r="CM621" i="7"/>
  <c r="CL621" i="7"/>
  <c r="CK621" i="7"/>
  <c r="CJ621" i="7"/>
  <c r="CI621" i="7"/>
  <c r="CH621" i="7"/>
  <c r="CG621" i="7"/>
  <c r="CF621" i="7"/>
  <c r="CE621" i="7"/>
  <c r="CD621" i="7"/>
  <c r="CC621" i="7"/>
  <c r="CB621" i="7"/>
  <c r="CA621" i="7"/>
  <c r="BZ621" i="7"/>
  <c r="BY621" i="7"/>
  <c r="BX621" i="7"/>
  <c r="BW621" i="7"/>
  <c r="BV621" i="7"/>
  <c r="BU621" i="7"/>
  <c r="BT621" i="7"/>
  <c r="BS621" i="7"/>
  <c r="BR621" i="7"/>
  <c r="BQ621" i="7"/>
  <c r="BP621" i="7"/>
  <c r="BO621" i="7"/>
  <c r="BN621" i="7"/>
  <c r="BM621" i="7"/>
  <c r="BL621" i="7"/>
  <c r="BK621" i="7"/>
  <c r="BJ621" i="7"/>
  <c r="BI621" i="7"/>
  <c r="BH621" i="7"/>
  <c r="BG621" i="7"/>
  <c r="BF621" i="7"/>
  <c r="DD620" i="7"/>
  <c r="DC620" i="7"/>
  <c r="DB620" i="7"/>
  <c r="DA620" i="7"/>
  <c r="CZ620" i="7"/>
  <c r="CY620" i="7"/>
  <c r="CX620" i="7"/>
  <c r="CW620" i="7"/>
  <c r="CV620" i="7"/>
  <c r="CU620" i="7"/>
  <c r="CT620" i="7"/>
  <c r="CS620" i="7"/>
  <c r="CR620" i="7"/>
  <c r="CQ620" i="7"/>
  <c r="CP620" i="7"/>
  <c r="CO620" i="7"/>
  <c r="CN620" i="7"/>
  <c r="CM620" i="7"/>
  <c r="CL620" i="7"/>
  <c r="CK620" i="7"/>
  <c r="CJ620" i="7"/>
  <c r="CI620" i="7"/>
  <c r="CH620" i="7"/>
  <c r="CG620" i="7"/>
  <c r="CF620" i="7"/>
  <c r="CE620" i="7"/>
  <c r="CD620" i="7"/>
  <c r="CC620" i="7"/>
  <c r="CB620" i="7"/>
  <c r="CA620" i="7"/>
  <c r="BZ620" i="7"/>
  <c r="BY620" i="7"/>
  <c r="BX620" i="7"/>
  <c r="BW620" i="7"/>
  <c r="BV620" i="7"/>
  <c r="BU620" i="7"/>
  <c r="BT620" i="7"/>
  <c r="BS620" i="7"/>
  <c r="BR620" i="7"/>
  <c r="BQ620" i="7"/>
  <c r="BP620" i="7"/>
  <c r="BO620" i="7"/>
  <c r="BN620" i="7"/>
  <c r="BM620" i="7"/>
  <c r="BL620" i="7"/>
  <c r="BK620" i="7"/>
  <c r="BJ620" i="7"/>
  <c r="BI620" i="7"/>
  <c r="BH620" i="7"/>
  <c r="BG620" i="7"/>
  <c r="BF620" i="7"/>
  <c r="DD619" i="7"/>
  <c r="DC619" i="7"/>
  <c r="DB619" i="7"/>
  <c r="DA619" i="7"/>
  <c r="CZ619" i="7"/>
  <c r="CY619" i="7"/>
  <c r="CX619" i="7"/>
  <c r="CW619" i="7"/>
  <c r="CV619" i="7"/>
  <c r="CU619" i="7"/>
  <c r="CT619" i="7"/>
  <c r="CS619" i="7"/>
  <c r="CR619" i="7"/>
  <c r="CQ619" i="7"/>
  <c r="CP619" i="7"/>
  <c r="CO619" i="7"/>
  <c r="CN619" i="7"/>
  <c r="CM619" i="7"/>
  <c r="CL619" i="7"/>
  <c r="CK619" i="7"/>
  <c r="CJ619" i="7"/>
  <c r="CI619" i="7"/>
  <c r="CH619" i="7"/>
  <c r="CG619" i="7"/>
  <c r="CF619" i="7"/>
  <c r="CE619" i="7"/>
  <c r="CD619" i="7"/>
  <c r="CC619" i="7"/>
  <c r="CB619" i="7"/>
  <c r="CA619" i="7"/>
  <c r="BZ619" i="7"/>
  <c r="BY619" i="7"/>
  <c r="BX619" i="7"/>
  <c r="BW619" i="7"/>
  <c r="BV619" i="7"/>
  <c r="BU619" i="7"/>
  <c r="BT619" i="7"/>
  <c r="BS619" i="7"/>
  <c r="BR619" i="7"/>
  <c r="BQ619" i="7"/>
  <c r="BP619" i="7"/>
  <c r="BO619" i="7"/>
  <c r="BN619" i="7"/>
  <c r="BM619" i="7"/>
  <c r="BL619" i="7"/>
  <c r="BK619" i="7"/>
  <c r="BJ619" i="7"/>
  <c r="BI619" i="7"/>
  <c r="BH619" i="7"/>
  <c r="BG619" i="7"/>
  <c r="BF619" i="7"/>
  <c r="DD618" i="7"/>
  <c r="DC618" i="7"/>
  <c r="DB618" i="7"/>
  <c r="DA618" i="7"/>
  <c r="CZ618" i="7"/>
  <c r="CY618" i="7"/>
  <c r="CX618" i="7"/>
  <c r="CW618" i="7"/>
  <c r="CV618" i="7"/>
  <c r="CU618" i="7"/>
  <c r="CT618" i="7"/>
  <c r="CS618" i="7"/>
  <c r="CR618" i="7"/>
  <c r="CQ618" i="7"/>
  <c r="CP618" i="7"/>
  <c r="CO618" i="7"/>
  <c r="CN618" i="7"/>
  <c r="CM618" i="7"/>
  <c r="CL618" i="7"/>
  <c r="CK618" i="7"/>
  <c r="CJ618" i="7"/>
  <c r="CI618" i="7"/>
  <c r="CH618" i="7"/>
  <c r="CG618" i="7"/>
  <c r="CF618" i="7"/>
  <c r="CE618" i="7"/>
  <c r="CD618" i="7"/>
  <c r="CC618" i="7"/>
  <c r="CB618" i="7"/>
  <c r="CA618" i="7"/>
  <c r="BZ618" i="7"/>
  <c r="BY618" i="7"/>
  <c r="BX618" i="7"/>
  <c r="BW618" i="7"/>
  <c r="BV618" i="7"/>
  <c r="BU618" i="7"/>
  <c r="BT618" i="7"/>
  <c r="BS618" i="7"/>
  <c r="BR618" i="7"/>
  <c r="BQ618" i="7"/>
  <c r="BP618" i="7"/>
  <c r="BO618" i="7"/>
  <c r="BN618" i="7"/>
  <c r="BM618" i="7"/>
  <c r="BL618" i="7"/>
  <c r="BK618" i="7"/>
  <c r="BJ618" i="7"/>
  <c r="BI618" i="7"/>
  <c r="BH618" i="7"/>
  <c r="BG618" i="7"/>
  <c r="BF618"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6" i="7"/>
  <c r="C265" i="7"/>
  <c r="C264" i="7"/>
  <c r="C263" i="7"/>
  <c r="C262" i="7"/>
  <c r="C261" i="7"/>
  <c r="C260" i="7"/>
  <c r="C259" i="7"/>
  <c r="C258" i="7"/>
  <c r="C257" i="7"/>
  <c r="C256" i="7"/>
  <c r="C255" i="7"/>
  <c r="C254" i="7"/>
  <c r="C253" i="7"/>
  <c r="C252"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7" i="7"/>
  <c r="R169" i="3" s="1"/>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R36" i="3" s="1"/>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0" i="7"/>
  <c r="C21" i="7"/>
  <c r="C22" i="7"/>
  <c r="BF617" i="7"/>
  <c r="BF616" i="7"/>
  <c r="BF615" i="7"/>
  <c r="BF614" i="7"/>
  <c r="BF613" i="7"/>
  <c r="BF612" i="7"/>
  <c r="BF611" i="7"/>
  <c r="BF610" i="7"/>
  <c r="BF609" i="7"/>
  <c r="BF608" i="7"/>
  <c r="BF607" i="7"/>
  <c r="BF606" i="7"/>
  <c r="BF605" i="7"/>
  <c r="BF604" i="7"/>
  <c r="BF603" i="7"/>
  <c r="BF602" i="7"/>
  <c r="BF601" i="7"/>
  <c r="BF600" i="7"/>
  <c r="BF599" i="7"/>
  <c r="BF598" i="7"/>
  <c r="BF597" i="7"/>
  <c r="BF596" i="7"/>
  <c r="BF595" i="7"/>
  <c r="BF594" i="7"/>
  <c r="BF593" i="7"/>
  <c r="BF592" i="7"/>
  <c r="BF591" i="7"/>
  <c r="BF590" i="7"/>
  <c r="BF589" i="7"/>
  <c r="BF588" i="7"/>
  <c r="BF587" i="7"/>
  <c r="BF586" i="7"/>
  <c r="BF585" i="7"/>
  <c r="BF584" i="7"/>
  <c r="BF583" i="7"/>
  <c r="BF582" i="7"/>
  <c r="BF581" i="7"/>
  <c r="BF580" i="7"/>
  <c r="BF579" i="7"/>
  <c r="BF578" i="7"/>
  <c r="BF577" i="7"/>
  <c r="BF576" i="7"/>
  <c r="BF575" i="7"/>
  <c r="BF574" i="7"/>
  <c r="BF573" i="7"/>
  <c r="BF572" i="7"/>
  <c r="BF571" i="7"/>
  <c r="BF570" i="7"/>
  <c r="BF569" i="7"/>
  <c r="BF568" i="7"/>
  <c r="BF567" i="7"/>
  <c r="BF566" i="7"/>
  <c r="BF565" i="7"/>
  <c r="BF564" i="7"/>
  <c r="BF563" i="7"/>
  <c r="BF562" i="7"/>
  <c r="BF561" i="7"/>
  <c r="BF559" i="7"/>
  <c r="BF558" i="7"/>
  <c r="BF557" i="7"/>
  <c r="BF556" i="7"/>
  <c r="BF554" i="7"/>
  <c r="BF553" i="7"/>
  <c r="BF552" i="7"/>
  <c r="BF551" i="7"/>
  <c r="BF550" i="7"/>
  <c r="BF548" i="7"/>
  <c r="BF547" i="7"/>
  <c r="BF546" i="7"/>
  <c r="BF545" i="7"/>
  <c r="BF544" i="7"/>
  <c r="BF543" i="7"/>
  <c r="BF542" i="7"/>
  <c r="BF539" i="7"/>
  <c r="BF538" i="7"/>
  <c r="BF536" i="7"/>
  <c r="BF535" i="7"/>
  <c r="BF534" i="7"/>
  <c r="BF533" i="7"/>
  <c r="BF532" i="7"/>
  <c r="BF531" i="7"/>
  <c r="BF530" i="7"/>
  <c r="BF529" i="7"/>
  <c r="BF528" i="7"/>
  <c r="BF527" i="7"/>
  <c r="BF526" i="7"/>
  <c r="BF525" i="7"/>
  <c r="BF524" i="7"/>
  <c r="BF523" i="7"/>
  <c r="BF522" i="7"/>
  <c r="BF521" i="7"/>
  <c r="BF520" i="7"/>
  <c r="BF519" i="7"/>
  <c r="BF518" i="7"/>
  <c r="BF517" i="7"/>
  <c r="BF516" i="7"/>
  <c r="BF515" i="7"/>
  <c r="BF514" i="7"/>
  <c r="BF513" i="7"/>
  <c r="BF512" i="7"/>
  <c r="BF511" i="7"/>
  <c r="BF510" i="7"/>
  <c r="BF509" i="7"/>
  <c r="BF508" i="7"/>
  <c r="BF507" i="7"/>
  <c r="BF506" i="7"/>
  <c r="BF505" i="7"/>
  <c r="BF504" i="7"/>
  <c r="BF503" i="7"/>
  <c r="BF502" i="7"/>
  <c r="BF501" i="7"/>
  <c r="BF500" i="7"/>
  <c r="BF499" i="7"/>
  <c r="BF498" i="7"/>
  <c r="BF497" i="7"/>
  <c r="BF496" i="7"/>
  <c r="BF495" i="7"/>
  <c r="BF494" i="7"/>
  <c r="BF493" i="7"/>
  <c r="BF492" i="7"/>
  <c r="BF491" i="7"/>
  <c r="BF490" i="7"/>
  <c r="BF489" i="7"/>
  <c r="BF488" i="7"/>
  <c r="BF487" i="7"/>
  <c r="BF486" i="7"/>
  <c r="BF485" i="7"/>
  <c r="BF484" i="7"/>
  <c r="BF483" i="7"/>
  <c r="BF482" i="7"/>
  <c r="BF481" i="7"/>
  <c r="BF480" i="7"/>
  <c r="BF479" i="7"/>
  <c r="BF478" i="7"/>
  <c r="BF477" i="7"/>
  <c r="BF476" i="7"/>
  <c r="BF475" i="7"/>
  <c r="BF474" i="7"/>
  <c r="BF473" i="7"/>
  <c r="BF472" i="7"/>
  <c r="BF471" i="7"/>
  <c r="BF470" i="7"/>
  <c r="BF469" i="7"/>
  <c r="BF468" i="7"/>
  <c r="BF467" i="7"/>
  <c r="BF466" i="7"/>
  <c r="BF465" i="7"/>
  <c r="BF464" i="7"/>
  <c r="BF463" i="7"/>
  <c r="BF462" i="7"/>
  <c r="BF461" i="7"/>
  <c r="BF460" i="7"/>
  <c r="BF459" i="7"/>
  <c r="BF458" i="7"/>
  <c r="BF457" i="7"/>
  <c r="BF456" i="7"/>
  <c r="BF455" i="7"/>
  <c r="BF454" i="7"/>
  <c r="BF453" i="7"/>
  <c r="BF452" i="7"/>
  <c r="BF451" i="7"/>
  <c r="BF450" i="7"/>
  <c r="BF449" i="7"/>
  <c r="BF448" i="7"/>
  <c r="BF447" i="7"/>
  <c r="BF446" i="7"/>
  <c r="BF445" i="7"/>
  <c r="BF444" i="7"/>
  <c r="BF443" i="7"/>
  <c r="BF442" i="7"/>
  <c r="BF441" i="7"/>
  <c r="BF440" i="7"/>
  <c r="BF439" i="7"/>
  <c r="BF438" i="7"/>
  <c r="BF437" i="7"/>
  <c r="BF436" i="7"/>
  <c r="BF435" i="7"/>
  <c r="BF434" i="7"/>
  <c r="BF433" i="7"/>
  <c r="BF430" i="7"/>
  <c r="BF429" i="7"/>
  <c r="BF428" i="7"/>
  <c r="BF427" i="7"/>
  <c r="BF426" i="7"/>
  <c r="BF422" i="7"/>
  <c r="BF421" i="7"/>
  <c r="BF420" i="7"/>
  <c r="BF419" i="7"/>
  <c r="BF418" i="7"/>
  <c r="BF417" i="7"/>
  <c r="BF416" i="7"/>
  <c r="BF415" i="7"/>
  <c r="BF414" i="7"/>
  <c r="BF413" i="7"/>
  <c r="BF412" i="7"/>
  <c r="BF410" i="7"/>
  <c r="BF409" i="7"/>
  <c r="BF408" i="7"/>
  <c r="BF407" i="7"/>
  <c r="BF406" i="7"/>
  <c r="BF405" i="7"/>
  <c r="BF404" i="7"/>
  <c r="BF403" i="7"/>
  <c r="BF402" i="7"/>
  <c r="BF401" i="7"/>
  <c r="BF400" i="7"/>
  <c r="BF399" i="7"/>
  <c r="BF398" i="7"/>
  <c r="BF397" i="7"/>
  <c r="BF396" i="7"/>
  <c r="BF395" i="7"/>
  <c r="BF394" i="7"/>
  <c r="BF393" i="7"/>
  <c r="BF388" i="7"/>
  <c r="BF387" i="7"/>
  <c r="BF386" i="7"/>
  <c r="BF385" i="7"/>
  <c r="BF383" i="7"/>
  <c r="BF382" i="7"/>
  <c r="BF381" i="7"/>
  <c r="BF379" i="7"/>
  <c r="BF378" i="7"/>
  <c r="BF377" i="7"/>
  <c r="BF376" i="7"/>
  <c r="BF374" i="7"/>
  <c r="BF373" i="7"/>
  <c r="BF371" i="7"/>
  <c r="BF370" i="7"/>
  <c r="BF369" i="7"/>
  <c r="BF368" i="7"/>
  <c r="BF367" i="7"/>
  <c r="BF365" i="7"/>
  <c r="BF364" i="7"/>
  <c r="BF363" i="7"/>
  <c r="BF362" i="7"/>
  <c r="BF361" i="7"/>
  <c r="BF359" i="7"/>
  <c r="BF358" i="7"/>
  <c r="BF357" i="7"/>
  <c r="BF356" i="7"/>
  <c r="BF355" i="7"/>
  <c r="BF354" i="7"/>
  <c r="BF353" i="7"/>
  <c r="BF352" i="7"/>
  <c r="BF351" i="7"/>
  <c r="BF350" i="7"/>
  <c r="BF348" i="7"/>
  <c r="BF347" i="7"/>
  <c r="BF346" i="7"/>
  <c r="BF345" i="7"/>
  <c r="BF344" i="7"/>
  <c r="BF343" i="7"/>
  <c r="BF342" i="7"/>
  <c r="BF341" i="7"/>
  <c r="BF340" i="7"/>
  <c r="BF339" i="7"/>
  <c r="BF338" i="7"/>
  <c r="BF337" i="7"/>
  <c r="BF336" i="7"/>
  <c r="BF335" i="7"/>
  <c r="BF334" i="7"/>
  <c r="BF333" i="7"/>
  <c r="BF332" i="7"/>
  <c r="BF331" i="7"/>
  <c r="BF330" i="7"/>
  <c r="BF328" i="7"/>
  <c r="BF327" i="7"/>
  <c r="BF326" i="7"/>
  <c r="BF325" i="7"/>
  <c r="BF324" i="7"/>
  <c r="BF323" i="7"/>
  <c r="BF321" i="7"/>
  <c r="BF320" i="7"/>
  <c r="BF319" i="7"/>
  <c r="BF317" i="7"/>
  <c r="BF316" i="7"/>
  <c r="BF315" i="7"/>
  <c r="BF314" i="7"/>
  <c r="BF313" i="7"/>
  <c r="BF312" i="7"/>
  <c r="BF311" i="7"/>
  <c r="BF310" i="7"/>
  <c r="BF309" i="7"/>
  <c r="BF308" i="7"/>
  <c r="BF307" i="7"/>
  <c r="BF306" i="7"/>
  <c r="BF305" i="7"/>
  <c r="BF304" i="7"/>
  <c r="BF303" i="7"/>
  <c r="BF302" i="7"/>
  <c r="BF301" i="7"/>
  <c r="BF300" i="7"/>
  <c r="BF298" i="7"/>
  <c r="BF297" i="7"/>
  <c r="BF296" i="7"/>
  <c r="BF295" i="7"/>
  <c r="BF293" i="7"/>
  <c r="BF292" i="7"/>
  <c r="BF291" i="7"/>
  <c r="BF290" i="7"/>
  <c r="BF289" i="7"/>
  <c r="BF288" i="7"/>
  <c r="BF286" i="7"/>
  <c r="BF285" i="7"/>
  <c r="BF284" i="7"/>
  <c r="BF283" i="7"/>
  <c r="BF282" i="7"/>
  <c r="BF281" i="7"/>
  <c r="BF280" i="7"/>
  <c r="BF279" i="7"/>
  <c r="BF278" i="7"/>
  <c r="BF276" i="7"/>
  <c r="BF275" i="7"/>
  <c r="BF273" i="7"/>
  <c r="BF272" i="7"/>
  <c r="BF271" i="7"/>
  <c r="BF270" i="7"/>
  <c r="BF269" i="7"/>
  <c r="BF268" i="7"/>
  <c r="BF266" i="7"/>
  <c r="BF265" i="7"/>
  <c r="BF264" i="7"/>
  <c r="BF263" i="7"/>
  <c r="BF262" i="7"/>
  <c r="BF260" i="7"/>
  <c r="BF259" i="7"/>
  <c r="BF258" i="7"/>
  <c r="BF257" i="7"/>
  <c r="BF256" i="7"/>
  <c r="BF255" i="7"/>
  <c r="BF254" i="7"/>
  <c r="BF253" i="7"/>
  <c r="BF252" i="7"/>
  <c r="BF251" i="7"/>
  <c r="BF249" i="7"/>
  <c r="BF248" i="7"/>
  <c r="BF247" i="7"/>
  <c r="BF246" i="7"/>
  <c r="BF245" i="7"/>
  <c r="BF244" i="7"/>
  <c r="BF243" i="7"/>
  <c r="BF241" i="7"/>
  <c r="BF240" i="7"/>
  <c r="BF239" i="7"/>
  <c r="BF238" i="7"/>
  <c r="BF237" i="7"/>
  <c r="BF236" i="7"/>
  <c r="BF234" i="7"/>
  <c r="BF232" i="7"/>
  <c r="BF231" i="7"/>
  <c r="BF230" i="7"/>
  <c r="BF229" i="7"/>
  <c r="BF228" i="7"/>
  <c r="BF227" i="7"/>
  <c r="BF226" i="7"/>
  <c r="BF225" i="7"/>
  <c r="BF223" i="7"/>
  <c r="BF222" i="7"/>
  <c r="BF221" i="7"/>
  <c r="BF220" i="7"/>
  <c r="BF219" i="7"/>
  <c r="BF218" i="7"/>
  <c r="BF217" i="7"/>
  <c r="BF216" i="7"/>
  <c r="BF215" i="7"/>
  <c r="BF214" i="7"/>
  <c r="BF213" i="7"/>
  <c r="BF212" i="7"/>
  <c r="BF211" i="7"/>
  <c r="BF210" i="7"/>
  <c r="BF209" i="7"/>
  <c r="BF208" i="7"/>
  <c r="BF207" i="7"/>
  <c r="BF206" i="7"/>
  <c r="BF205" i="7"/>
  <c r="BF204" i="7"/>
  <c r="BF203" i="7"/>
  <c r="BF202" i="7"/>
  <c r="BF201" i="7"/>
  <c r="BF200" i="7"/>
  <c r="BF199" i="7"/>
  <c r="BF198" i="7"/>
  <c r="BF197" i="7"/>
  <c r="BF196" i="7"/>
  <c r="BF195" i="7"/>
  <c r="BF194" i="7"/>
  <c r="BF193" i="7"/>
  <c r="BF192" i="7"/>
  <c r="BF191" i="7"/>
  <c r="BF190" i="7"/>
  <c r="BF189" i="7"/>
  <c r="BF187" i="7"/>
  <c r="BF186" i="7"/>
  <c r="BF185" i="7"/>
  <c r="BF183" i="7"/>
  <c r="BF182" i="7"/>
  <c r="BF181" i="7"/>
  <c r="BF180" i="7"/>
  <c r="BF179" i="7"/>
  <c r="BF177" i="7"/>
  <c r="BF176" i="7"/>
  <c r="BF175" i="7"/>
  <c r="BF174" i="7"/>
  <c r="BF173" i="7"/>
  <c r="BF172" i="7"/>
  <c r="BF171" i="7"/>
  <c r="BF170" i="7"/>
  <c r="BF168" i="7"/>
  <c r="BF167" i="7"/>
  <c r="BF166" i="7"/>
  <c r="BF165" i="7"/>
  <c r="BF164" i="7"/>
  <c r="BF163" i="7"/>
  <c r="BF162" i="7"/>
  <c r="BF161" i="7"/>
  <c r="BF160" i="7"/>
  <c r="BF159" i="7"/>
  <c r="BF158" i="7"/>
  <c r="BF157" i="7"/>
  <c r="BF156" i="7"/>
  <c r="BF155" i="7"/>
  <c r="BF153" i="7"/>
  <c r="BF152" i="7"/>
  <c r="BF151" i="7"/>
  <c r="BF150" i="7"/>
  <c r="BF149" i="7"/>
  <c r="BF148" i="7"/>
  <c r="BF147" i="7"/>
  <c r="BF146" i="7"/>
  <c r="BF145" i="7"/>
  <c r="BF144" i="7"/>
  <c r="BF143" i="7"/>
  <c r="BF142" i="7"/>
  <c r="BF141" i="7"/>
  <c r="BF140" i="7"/>
  <c r="BF139" i="7"/>
  <c r="BF138" i="7"/>
  <c r="BF137" i="7"/>
  <c r="BF136" i="7"/>
  <c r="BF135" i="7"/>
  <c r="BF134" i="7"/>
  <c r="BF132" i="7"/>
  <c r="BF130" i="7"/>
  <c r="BF128" i="7"/>
  <c r="BF127" i="7"/>
  <c r="BF126" i="7"/>
  <c r="BF125" i="7"/>
  <c r="BF124" i="7"/>
  <c r="BF123" i="7"/>
  <c r="BF122" i="7"/>
  <c r="BF121" i="7"/>
  <c r="BF120" i="7"/>
  <c r="BF119" i="7"/>
  <c r="BF118" i="7"/>
  <c r="BF116" i="7"/>
  <c r="BF115" i="7"/>
  <c r="BF112" i="7"/>
  <c r="BF111" i="7"/>
  <c r="BF110" i="7"/>
  <c r="BF109" i="7"/>
  <c r="BF108" i="7"/>
  <c r="BF107" i="7"/>
  <c r="BF106" i="7"/>
  <c r="BF105" i="7"/>
  <c r="BF104" i="7"/>
  <c r="BF103" i="7"/>
  <c r="BF102" i="7"/>
  <c r="BF101" i="7"/>
  <c r="BF100" i="7"/>
  <c r="BF99" i="7"/>
  <c r="BF98" i="7"/>
  <c r="BF97" i="7"/>
  <c r="BF96" i="7"/>
  <c r="BF95" i="7"/>
  <c r="BF94" i="7"/>
  <c r="BF93" i="7"/>
  <c r="BF92" i="7"/>
  <c r="BF91" i="7"/>
  <c r="BF89" i="7"/>
  <c r="BF88" i="7"/>
  <c r="BF87" i="7"/>
  <c r="BF86" i="7"/>
  <c r="BF85" i="7"/>
  <c r="BF84" i="7"/>
  <c r="BF83" i="7"/>
  <c r="BF82" i="7"/>
  <c r="BF81" i="7"/>
  <c r="BF80" i="7"/>
  <c r="BF79" i="7"/>
  <c r="BF78" i="7"/>
  <c r="BF77" i="7"/>
  <c r="BF76" i="7"/>
  <c r="BF75" i="7"/>
  <c r="BF74" i="7"/>
  <c r="BF73" i="7"/>
  <c r="BF72" i="7"/>
  <c r="BF70" i="7"/>
  <c r="BF69" i="7"/>
  <c r="BF68" i="7"/>
  <c r="BF66" i="7"/>
  <c r="BF65" i="7"/>
  <c r="BF64" i="7"/>
  <c r="BF63" i="7"/>
  <c r="BF62" i="7"/>
  <c r="BF61" i="7"/>
  <c r="BF60" i="7"/>
  <c r="BF59" i="7"/>
  <c r="BF57" i="7"/>
  <c r="BF56" i="7"/>
  <c r="BF55" i="7"/>
  <c r="BF54" i="7"/>
  <c r="BF53" i="7"/>
  <c r="BF52" i="7"/>
  <c r="BF51" i="7"/>
  <c r="BF50" i="7"/>
  <c r="BF49" i="7"/>
  <c r="BF47" i="7"/>
  <c r="BF46" i="7"/>
  <c r="BF45" i="7"/>
  <c r="BF44" i="7"/>
  <c r="BF41" i="7"/>
  <c r="BF40" i="7"/>
  <c r="BF39" i="7"/>
  <c r="BF38" i="7"/>
  <c r="BF35" i="7"/>
  <c r="BF34" i="7"/>
  <c r="BF33" i="7"/>
  <c r="BF32" i="7"/>
  <c r="BF29" i="7"/>
  <c r="BF28" i="7"/>
  <c r="BF27" i="7"/>
  <c r="BF26" i="7"/>
  <c r="BF23" i="7"/>
  <c r="BF22" i="7"/>
  <c r="BF21" i="7"/>
  <c r="BF20" i="7"/>
  <c r="M170" i="3"/>
  <c r="A188" i="7" s="1"/>
  <c r="J170" i="3"/>
  <c r="J374" i="3"/>
  <c r="J371" i="3"/>
  <c r="N373" i="3"/>
  <c r="R373" i="3" s="1"/>
  <c r="T372" i="3"/>
  <c r="S372" i="3"/>
  <c r="Q372" i="3"/>
  <c r="T371" i="3"/>
  <c r="S371" i="3"/>
  <c r="Q371" i="3"/>
  <c r="N249" i="3"/>
  <c r="R249" i="3" s="1"/>
  <c r="U373" i="3"/>
  <c r="U371" i="3"/>
  <c r="U372" i="3"/>
  <c r="U2" i="3"/>
  <c r="D390" i="7" l="1"/>
  <c r="D389" i="7"/>
  <c r="AV614" i="3"/>
  <c r="AV232" i="3"/>
  <c r="R30" i="3"/>
  <c r="R31" i="3" s="1"/>
  <c r="R32" i="3" s="1"/>
  <c r="R33" i="3" s="1"/>
  <c r="R34" i="3" s="1"/>
  <c r="R35" i="3" s="1"/>
  <c r="DA128" i="1"/>
  <c r="CU110" i="1" s="1"/>
  <c r="CS128" i="1"/>
  <c r="BE128" i="1"/>
  <c r="BE134" i="1"/>
  <c r="CK134" i="1"/>
  <c r="CK128" i="1"/>
  <c r="CS134" i="1"/>
  <c r="HZ4" i="1"/>
  <c r="HZ5" i="1"/>
  <c r="HZ14" i="1"/>
  <c r="EG11" i="1"/>
  <c r="AV191" i="3"/>
  <c r="AV16" i="3"/>
  <c r="AV381" i="3"/>
  <c r="AV61" i="3"/>
  <c r="AV284" i="3"/>
  <c r="AV513" i="3"/>
  <c r="AV32" i="3"/>
  <c r="AV110" i="3"/>
  <c r="AV234" i="3"/>
  <c r="AV338" i="3"/>
  <c r="AV424" i="3"/>
  <c r="AV573" i="3"/>
  <c r="AV4" i="3"/>
  <c r="AV28" i="3"/>
  <c r="AV37" i="3"/>
  <c r="AV86" i="3"/>
  <c r="AV171" i="3"/>
  <c r="AV205" i="3"/>
  <c r="AV267" i="3"/>
  <c r="AV309" i="3"/>
  <c r="AV364" i="3"/>
  <c r="AV400" i="3"/>
  <c r="AV454" i="3"/>
  <c r="AV541" i="3"/>
  <c r="AV590" i="3"/>
  <c r="AV10" i="3"/>
  <c r="AV22" i="3"/>
  <c r="AV30" i="3"/>
  <c r="AV34" i="3"/>
  <c r="AV51" i="3"/>
  <c r="AV70" i="3"/>
  <c r="AV102" i="3"/>
  <c r="AV167" i="3"/>
  <c r="AV175" i="3"/>
  <c r="AV198" i="3"/>
  <c r="AV214" i="3"/>
  <c r="AV245" i="3"/>
  <c r="AV274" i="3"/>
  <c r="AV293" i="3"/>
  <c r="AV325" i="3"/>
  <c r="AV350" i="3"/>
  <c r="AV371" i="3"/>
  <c r="AV390" i="3"/>
  <c r="AV404" i="3"/>
  <c r="AV442" i="3"/>
  <c r="AV506" i="3"/>
  <c r="AV533" i="3"/>
  <c r="AV550" i="3"/>
  <c r="AV601" i="3"/>
  <c r="Y373" i="3"/>
  <c r="AB373" i="3"/>
  <c r="Y249" i="3"/>
  <c r="AB249" i="3"/>
  <c r="AV3" i="3"/>
  <c r="AV5" i="3"/>
  <c r="AV11" i="3"/>
  <c r="AV17" i="3"/>
  <c r="AV23" i="3"/>
  <c r="AV29" i="3"/>
  <c r="AV31" i="3"/>
  <c r="AV33" i="3"/>
  <c r="AV35" i="3"/>
  <c r="AV44" i="3"/>
  <c r="AV56" i="3"/>
  <c r="AV68" i="3"/>
  <c r="AV83" i="3"/>
  <c r="AV97" i="3"/>
  <c r="AV108" i="3"/>
  <c r="AV119" i="3"/>
  <c r="AV169" i="3"/>
  <c r="AV173" i="3"/>
  <c r="AV185" i="3"/>
  <c r="AV195" i="3"/>
  <c r="AV203" i="3"/>
  <c r="AV208" i="3"/>
  <c r="AV219" i="3"/>
  <c r="AV240" i="3"/>
  <c r="AV262" i="3"/>
  <c r="AV272" i="3"/>
  <c r="AV279" i="3"/>
  <c r="AV288" i="3"/>
  <c r="AV301" i="3"/>
  <c r="AV317" i="3"/>
  <c r="AV332" i="3"/>
  <c r="AV344" i="3"/>
  <c r="AV352" i="3"/>
  <c r="AV369" i="3"/>
  <c r="AV374" i="3"/>
  <c r="AV388" i="3"/>
  <c r="AV395" i="3"/>
  <c r="AV402" i="3"/>
  <c r="AV412" i="3"/>
  <c r="AV434" i="3"/>
  <c r="AV452" i="3"/>
  <c r="AV502" i="3"/>
  <c r="AV511" i="3"/>
  <c r="AV525" i="3"/>
  <c r="AV535" i="3"/>
  <c r="AV548" i="3"/>
  <c r="AV569" i="3"/>
  <c r="AV578" i="3"/>
  <c r="AV585" i="3"/>
  <c r="AV592" i="3"/>
  <c r="Z373" i="3"/>
  <c r="X373" i="3"/>
  <c r="AA373" i="3"/>
  <c r="B267" i="7"/>
  <c r="Z249" i="3"/>
  <c r="X249" i="3"/>
  <c r="AA249" i="3"/>
  <c r="AV373" i="3"/>
  <c r="B391" i="7"/>
  <c r="AU506" i="3"/>
  <c r="AU441" i="3"/>
  <c r="AU433" i="3"/>
  <c r="AU401" i="3"/>
  <c r="AU369" i="3"/>
  <c r="AU353" i="3"/>
  <c r="AU344" i="3"/>
  <c r="AU333" i="3"/>
  <c r="AU325" i="3"/>
  <c r="AU317" i="3"/>
  <c r="AU301" i="3"/>
  <c r="AU293" i="3"/>
  <c r="AU285" i="3"/>
  <c r="AU245" i="3"/>
  <c r="AU208" i="3"/>
  <c r="AU204" i="3"/>
  <c r="AU184" i="3"/>
  <c r="AU172" i="3"/>
  <c r="AU168" i="3"/>
  <c r="AU578" i="3"/>
  <c r="AU453" i="3"/>
  <c r="AU389" i="3"/>
  <c r="AU381" i="3"/>
  <c r="AU373" i="3"/>
  <c r="AU365" i="3"/>
  <c r="AU289" i="3"/>
  <c r="AU273" i="3"/>
  <c r="AU249" i="3"/>
  <c r="AU233" i="3"/>
  <c r="AU218" i="3"/>
  <c r="AU214" i="3"/>
  <c r="AU202" i="3"/>
  <c r="AU198" i="3"/>
  <c r="AU194" i="3"/>
  <c r="AU190" i="3"/>
  <c r="AU174" i="3"/>
  <c r="AU170" i="3"/>
  <c r="AU118" i="3"/>
  <c r="AU110" i="3"/>
  <c r="AU102" i="3"/>
  <c r="AU98" i="3"/>
  <c r="AU86" i="3"/>
  <c r="AU70" i="3"/>
  <c r="AU62" i="3"/>
  <c r="AU52" i="3"/>
  <c r="AU3" i="3"/>
  <c r="AU16" i="3"/>
  <c r="AU28" i="3"/>
  <c r="AU32" i="3"/>
  <c r="AU36" i="3"/>
  <c r="AU44" i="3"/>
  <c r="AU120" i="3"/>
  <c r="AU5" i="3"/>
  <c r="AU22" i="3"/>
  <c r="AU30" i="3"/>
  <c r="AU34" i="3"/>
  <c r="AU38" i="3"/>
  <c r="AU68" i="3"/>
  <c r="AU84" i="3"/>
  <c r="AU108" i="3"/>
  <c r="AU613" i="3"/>
  <c r="AU601" i="3"/>
  <c r="AU591" i="3"/>
  <c r="AU589" i="3"/>
  <c r="AU585" i="3"/>
  <c r="AU577" i="3"/>
  <c r="AU573" i="3"/>
  <c r="AU569" i="3"/>
  <c r="AU549" i="3"/>
  <c r="AU547" i="3"/>
  <c r="AU541" i="3"/>
  <c r="AU535" i="3"/>
  <c r="AU533" i="3"/>
  <c r="AU525" i="3"/>
  <c r="AU513" i="3"/>
  <c r="AU511" i="3"/>
  <c r="AU505" i="3"/>
  <c r="AU501" i="3"/>
  <c r="AU614" i="3"/>
  <c r="AU590" i="3"/>
  <c r="AU572" i="3"/>
  <c r="AU568" i="3"/>
  <c r="AU548" i="3"/>
  <c r="AU540" i="3"/>
  <c r="AU532" i="3"/>
  <c r="AU512" i="3"/>
  <c r="AU454" i="3"/>
  <c r="AU452" i="3"/>
  <c r="AU442" i="3"/>
  <c r="AU434" i="3"/>
  <c r="AU424" i="3"/>
  <c r="AU412" i="3"/>
  <c r="AU404" i="3"/>
  <c r="AU402" i="3"/>
  <c r="AU400" i="3"/>
  <c r="AU396" i="3"/>
  <c r="AU390" i="3"/>
  <c r="AU388" i="3"/>
  <c r="AU382" i="3"/>
  <c r="AU374" i="3"/>
  <c r="AU372" i="3"/>
  <c r="AU370" i="3"/>
  <c r="AU364" i="3"/>
  <c r="AU352" i="3"/>
  <c r="AU350" i="3"/>
  <c r="AU345" i="3"/>
  <c r="AU339" i="3"/>
  <c r="AU332" i="3"/>
  <c r="AU326" i="3"/>
  <c r="AU318" i="3"/>
  <c r="AU310" i="3"/>
  <c r="AU302" i="3"/>
  <c r="AU294" i="3"/>
  <c r="AU288" i="3"/>
  <c r="AU284" i="3"/>
  <c r="AU280" i="3"/>
  <c r="AU274" i="3"/>
  <c r="AU272" i="3"/>
  <c r="AU268" i="3"/>
  <c r="AU262" i="3"/>
  <c r="AU246" i="3"/>
  <c r="AU244" i="3"/>
  <c r="AU240" i="3"/>
  <c r="AU234" i="3"/>
  <c r="AU2" i="3"/>
  <c r="AU4" i="3"/>
  <c r="AU11" i="3"/>
  <c r="AU17" i="3"/>
  <c r="AU23" i="3"/>
  <c r="AU29" i="3"/>
  <c r="AU31" i="3"/>
  <c r="AU33" i="3"/>
  <c r="AU35" i="3"/>
  <c r="AU37" i="3"/>
  <c r="AU45" i="3"/>
  <c r="AU51" i="3"/>
  <c r="AU57" i="3"/>
  <c r="AU61" i="3"/>
  <c r="AU69" i="3"/>
  <c r="AU71" i="3"/>
  <c r="AU83" i="3"/>
  <c r="AU87" i="3"/>
  <c r="AU103" i="3"/>
  <c r="AU109" i="3"/>
  <c r="AU119" i="3"/>
  <c r="AU167" i="3"/>
  <c r="AU169" i="3"/>
  <c r="AU171" i="3"/>
  <c r="AU173" i="3"/>
  <c r="AU175" i="3"/>
  <c r="AU185" i="3"/>
  <c r="AU191" i="3"/>
  <c r="AU195" i="3"/>
  <c r="AU197" i="3"/>
  <c r="AU203" i="3"/>
  <c r="AU205" i="3"/>
  <c r="AU207" i="3"/>
  <c r="AU213" i="3"/>
  <c r="AU219" i="3"/>
  <c r="AU239" i="3"/>
  <c r="AU263" i="3"/>
  <c r="AU267" i="3"/>
  <c r="AU275" i="3"/>
  <c r="AU279" i="3"/>
  <c r="AU338" i="3"/>
  <c r="AU351" i="3"/>
  <c r="AU371" i="3"/>
  <c r="AU375" i="3"/>
  <c r="AU391" i="3"/>
  <c r="AU395" i="3"/>
  <c r="AU403" i="3"/>
  <c r="AU411" i="3"/>
  <c r="AU423" i="3"/>
  <c r="AU451" i="3"/>
  <c r="AU502" i="3"/>
  <c r="AU510" i="3"/>
  <c r="AU534" i="3"/>
  <c r="AU550" i="3"/>
  <c r="AU584" i="3"/>
  <c r="AU592" i="3"/>
  <c r="AU600" i="3"/>
  <c r="AV2" i="3"/>
  <c r="AV613" i="3"/>
  <c r="AV600" i="3"/>
  <c r="AV591" i="3"/>
  <c r="AV589" i="3"/>
  <c r="AV584" i="3"/>
  <c r="AV577" i="3"/>
  <c r="AV572" i="3"/>
  <c r="AV568" i="3"/>
  <c r="AV549" i="3"/>
  <c r="AV547" i="3"/>
  <c r="AV540" i="3"/>
  <c r="AV534" i="3"/>
  <c r="AV532" i="3"/>
  <c r="AV524" i="3"/>
  <c r="AV512" i="3"/>
  <c r="AV510" i="3"/>
  <c r="AV505" i="3"/>
  <c r="AV501" i="3"/>
  <c r="AV453" i="3"/>
  <c r="AV451" i="3"/>
  <c r="AV441" i="3"/>
  <c r="AV433" i="3"/>
  <c r="AV423" i="3"/>
  <c r="AV411" i="3"/>
  <c r="AV403" i="3"/>
  <c r="AV401" i="3"/>
  <c r="AV396" i="3"/>
  <c r="AV391" i="3"/>
  <c r="AV389" i="3"/>
  <c r="AV382" i="3"/>
  <c r="AV375" i="3"/>
  <c r="AV372" i="3"/>
  <c r="AV370" i="3"/>
  <c r="AV365" i="3"/>
  <c r="AV353" i="3"/>
  <c r="AV351" i="3"/>
  <c r="AV345" i="3"/>
  <c r="AV339" i="3"/>
  <c r="AV333" i="3"/>
  <c r="AV326" i="3"/>
  <c r="AV318" i="3"/>
  <c r="AV310" i="3"/>
  <c r="AV302" i="3"/>
  <c r="AV294" i="3"/>
  <c r="AV289" i="3"/>
  <c r="AV285" i="3"/>
  <c r="AV280" i="3"/>
  <c r="AV275" i="3"/>
  <c r="AV273" i="3"/>
  <c r="AV268" i="3"/>
  <c r="AV263" i="3"/>
  <c r="AV246" i="3"/>
  <c r="AV244" i="3"/>
  <c r="AV239" i="3"/>
  <c r="AV233" i="3"/>
  <c r="AV218" i="3"/>
  <c r="AV213" i="3"/>
  <c r="AV207" i="3"/>
  <c r="AV204" i="3"/>
  <c r="AV202" i="3"/>
  <c r="AW232" i="3" s="1"/>
  <c r="W232" i="3" s="1"/>
  <c r="AV197" i="3"/>
  <c r="AV194" i="3"/>
  <c r="AV190" i="3"/>
  <c r="AV184" i="3"/>
  <c r="AV174" i="3"/>
  <c r="AV172" i="3"/>
  <c r="AV170" i="3"/>
  <c r="AV168" i="3"/>
  <c r="AV120" i="3"/>
  <c r="AV118" i="3"/>
  <c r="AV109" i="3"/>
  <c r="AV103" i="3"/>
  <c r="AV98" i="3"/>
  <c r="AV87" i="3"/>
  <c r="AV84" i="3"/>
  <c r="AV71" i="3"/>
  <c r="AV69" i="3"/>
  <c r="AV62" i="3"/>
  <c r="AV57" i="3"/>
  <c r="AV52" i="3"/>
  <c r="AV45" i="3"/>
  <c r="AV38" i="3"/>
  <c r="AV36" i="3"/>
  <c r="AV249" i="3"/>
  <c r="M249" i="3"/>
  <c r="A267" i="7" s="1"/>
  <c r="M373" i="3"/>
  <c r="A391" i="7" s="1"/>
  <c r="J249" i="3"/>
  <c r="J373" i="3"/>
  <c r="AW30" i="3" l="1"/>
  <c r="AW36" i="3"/>
  <c r="W36" i="3" s="1"/>
  <c r="AW373" i="3"/>
  <c r="W373" i="3" s="1"/>
  <c r="V232" i="3"/>
  <c r="AW33" i="3"/>
  <c r="AW34" i="3"/>
  <c r="AW32" i="3"/>
  <c r="V170" i="3"/>
  <c r="V36" i="3"/>
  <c r="AW31" i="3"/>
  <c r="AW35" i="3"/>
  <c r="AW169" i="3"/>
  <c r="W169" i="3" s="1"/>
  <c r="AW170" i="3"/>
  <c r="W170" i="3" s="1"/>
  <c r="V32" i="3"/>
  <c r="V373" i="3"/>
  <c r="V30" i="3"/>
  <c r="AW249" i="3"/>
  <c r="V34" i="3"/>
  <c r="V35" i="3"/>
  <c r="V31" i="3"/>
  <c r="V169" i="3"/>
  <c r="V33" i="3"/>
  <c r="V249" i="3"/>
  <c r="A632" i="7"/>
  <c r="A631" i="7"/>
  <c r="A619" i="7"/>
  <c r="A618" i="7"/>
  <c r="A610" i="7"/>
  <c r="A609" i="7"/>
  <c r="A608" i="7"/>
  <c r="A607" i="7"/>
  <c r="A603" i="7"/>
  <c r="A602" i="7"/>
  <c r="A596" i="7"/>
  <c r="A595" i="7"/>
  <c r="A591" i="7"/>
  <c r="A590" i="7"/>
  <c r="A587" i="7"/>
  <c r="A586" i="7"/>
  <c r="A568" i="7"/>
  <c r="A567" i="7"/>
  <c r="A566" i="7"/>
  <c r="A565" i="7"/>
  <c r="A559" i="7"/>
  <c r="A558" i="7"/>
  <c r="A553" i="7"/>
  <c r="A552" i="7"/>
  <c r="A551" i="7"/>
  <c r="A550" i="7"/>
  <c r="A543" i="7"/>
  <c r="A542" i="7"/>
  <c r="A531" i="7"/>
  <c r="A530" i="7"/>
  <c r="A529" i="7"/>
  <c r="A528" i="7"/>
  <c r="A524" i="7"/>
  <c r="A523" i="7"/>
  <c r="A520" i="7"/>
  <c r="A519" i="7"/>
  <c r="A472" i="7"/>
  <c r="A471" i="7"/>
  <c r="A470" i="7"/>
  <c r="A469" i="7"/>
  <c r="A460" i="7"/>
  <c r="A459" i="7"/>
  <c r="A452" i="7"/>
  <c r="A451" i="7"/>
  <c r="A442" i="7"/>
  <c r="A441" i="7"/>
  <c r="A430" i="7"/>
  <c r="A429" i="7"/>
  <c r="A422" i="7"/>
  <c r="A421" i="7"/>
  <c r="A420" i="7"/>
  <c r="A419" i="7"/>
  <c r="A418" i="7"/>
  <c r="A414" i="7"/>
  <c r="A413" i="7"/>
  <c r="A409" i="7"/>
  <c r="A408" i="7"/>
  <c r="A407" i="7"/>
  <c r="A406" i="7"/>
  <c r="A400" i="7"/>
  <c r="A399" i="7"/>
  <c r="A393" i="7"/>
  <c r="A392" i="7"/>
  <c r="A388" i="7"/>
  <c r="A387" i="7"/>
  <c r="A383" i="7"/>
  <c r="A382" i="7"/>
  <c r="A371" i="7"/>
  <c r="A370" i="7"/>
  <c r="A369" i="7"/>
  <c r="A368" i="7"/>
  <c r="A363" i="7"/>
  <c r="A362" i="7"/>
  <c r="A357" i="7"/>
  <c r="A356" i="7"/>
  <c r="A351" i="7"/>
  <c r="A350" i="7"/>
  <c r="A344" i="7"/>
  <c r="A343" i="7"/>
  <c r="A336" i="7"/>
  <c r="A335" i="7"/>
  <c r="A328" i="7"/>
  <c r="A327" i="7"/>
  <c r="A320" i="7"/>
  <c r="A319" i="7"/>
  <c r="A312" i="7"/>
  <c r="A311" i="7"/>
  <c r="A307" i="7"/>
  <c r="A306" i="7"/>
  <c r="A303" i="7"/>
  <c r="A302" i="7"/>
  <c r="A298" i="7"/>
  <c r="A297" i="7"/>
  <c r="A293" i="7"/>
  <c r="A292" i="7"/>
  <c r="A291" i="7"/>
  <c r="A290" i="7"/>
  <c r="A286" i="7"/>
  <c r="A285" i="7"/>
  <c r="A281" i="7"/>
  <c r="A280" i="7"/>
  <c r="A264" i="7"/>
  <c r="A263" i="7"/>
  <c r="A262" i="7"/>
  <c r="A258" i="7"/>
  <c r="A257" i="7"/>
  <c r="A252" i="7"/>
  <c r="A251" i="7"/>
  <c r="A237" i="7"/>
  <c r="A236" i="7"/>
  <c r="A232" i="7"/>
  <c r="A231" i="7"/>
  <c r="A226" i="7"/>
  <c r="A225" i="7"/>
  <c r="A223" i="7"/>
  <c r="A222" i="7"/>
  <c r="A221" i="7"/>
  <c r="A220" i="7"/>
  <c r="A216" i="7"/>
  <c r="A215" i="7"/>
  <c r="A213" i="7"/>
  <c r="A212" i="7"/>
  <c r="A209" i="7"/>
  <c r="A208" i="7"/>
  <c r="A203" i="7"/>
  <c r="A202" i="7"/>
  <c r="A193" i="7"/>
  <c r="A192" i="7"/>
  <c r="A191" i="7"/>
  <c r="A190" i="7"/>
  <c r="A189" i="7"/>
  <c r="A186" i="7"/>
  <c r="A185" i="7"/>
  <c r="A138" i="7"/>
  <c r="A137" i="7"/>
  <c r="A136" i="7"/>
  <c r="A128" i="7"/>
  <c r="A127" i="7"/>
  <c r="A126" i="7"/>
  <c r="A121" i="7"/>
  <c r="A120" i="7"/>
  <c r="A116" i="7"/>
  <c r="A115" i="7"/>
  <c r="A105" i="7"/>
  <c r="A104" i="7"/>
  <c r="A102" i="7"/>
  <c r="A101" i="7"/>
  <c r="A89" i="7"/>
  <c r="A88" i="7"/>
  <c r="A87" i="7"/>
  <c r="A86" i="7"/>
  <c r="A80" i="7"/>
  <c r="A79" i="7"/>
  <c r="A75" i="7"/>
  <c r="A74" i="7"/>
  <c r="A70" i="7"/>
  <c r="A69" i="7"/>
  <c r="A63" i="7"/>
  <c r="A62" i="7"/>
  <c r="A56" i="7"/>
  <c r="A55" i="7"/>
  <c r="A47" i="7"/>
  <c r="A46" i="7"/>
  <c r="A41" i="7"/>
  <c r="A40" i="7"/>
  <c r="A35" i="7"/>
  <c r="A34" i="7"/>
  <c r="A29" i="7"/>
  <c r="A28" i="7"/>
  <c r="A23" i="7"/>
  <c r="A22" i="7"/>
  <c r="A21" i="7"/>
  <c r="A20" i="7"/>
  <c r="GQ30" i="4"/>
  <c r="EG21" i="1"/>
  <c r="CH17" i="1"/>
  <c r="CH16" i="1"/>
  <c r="CH15" i="1"/>
  <c r="CH14" i="1"/>
  <c r="CH13" i="1"/>
  <c r="AL13" i="1"/>
  <c r="AL22" i="1"/>
  <c r="AL21" i="1"/>
  <c r="AL20" i="1"/>
  <c r="AL19" i="1"/>
  <c r="AL18" i="1"/>
  <c r="AL17" i="1"/>
  <c r="AL16" i="1"/>
  <c r="AL15" i="1"/>
  <c r="AL14" i="1"/>
  <c r="BJ7" i="1"/>
  <c r="BJ9" i="1"/>
  <c r="N3" i="2"/>
  <c r="B632" i="7"/>
  <c r="B631" i="7"/>
  <c r="B619" i="7"/>
  <c r="B618" i="7"/>
  <c r="B610" i="7"/>
  <c r="B609" i="7"/>
  <c r="B608" i="7"/>
  <c r="B607" i="7"/>
  <c r="B603" i="7"/>
  <c r="B602" i="7"/>
  <c r="B596" i="7"/>
  <c r="B595" i="7"/>
  <c r="B591" i="7"/>
  <c r="B590" i="7"/>
  <c r="B587" i="7"/>
  <c r="B586" i="7"/>
  <c r="B568" i="7"/>
  <c r="B567" i="7"/>
  <c r="B566" i="7"/>
  <c r="B565" i="7"/>
  <c r="B559" i="7"/>
  <c r="B558" i="7"/>
  <c r="B553" i="7"/>
  <c r="B552" i="7"/>
  <c r="B551" i="7"/>
  <c r="B550" i="7"/>
  <c r="B543" i="7"/>
  <c r="B542" i="7"/>
  <c r="B531" i="7"/>
  <c r="B530" i="7"/>
  <c r="B529" i="7"/>
  <c r="B528" i="7"/>
  <c r="B524" i="7"/>
  <c r="B523" i="7"/>
  <c r="B520" i="7"/>
  <c r="B519" i="7"/>
  <c r="B472" i="7"/>
  <c r="B471" i="7"/>
  <c r="B470" i="7"/>
  <c r="B469" i="7"/>
  <c r="B460" i="7"/>
  <c r="B459" i="7"/>
  <c r="B452" i="7"/>
  <c r="B451" i="7"/>
  <c r="B442" i="7"/>
  <c r="B441" i="7"/>
  <c r="B430" i="7"/>
  <c r="B429" i="7"/>
  <c r="B422" i="7"/>
  <c r="B421" i="7"/>
  <c r="B420" i="7"/>
  <c r="B419" i="7"/>
  <c r="B418" i="7"/>
  <c r="B414" i="7"/>
  <c r="B413" i="7"/>
  <c r="B409" i="7"/>
  <c r="B408" i="7"/>
  <c r="B407" i="7"/>
  <c r="B406" i="7"/>
  <c r="B400" i="7"/>
  <c r="B399" i="7"/>
  <c r="B393" i="7"/>
  <c r="B392" i="7"/>
  <c r="B388" i="7"/>
  <c r="B387" i="7"/>
  <c r="B383" i="7"/>
  <c r="B382" i="7"/>
  <c r="B371" i="7"/>
  <c r="B370" i="7"/>
  <c r="B369" i="7"/>
  <c r="B368" i="7"/>
  <c r="B363" i="7"/>
  <c r="B362" i="7"/>
  <c r="B357" i="7"/>
  <c r="B356" i="7"/>
  <c r="B351" i="7"/>
  <c r="B350" i="7"/>
  <c r="B344" i="7"/>
  <c r="B343" i="7"/>
  <c r="B336" i="7"/>
  <c r="B335" i="7"/>
  <c r="B328" i="7"/>
  <c r="B327" i="7"/>
  <c r="B320" i="7"/>
  <c r="B319" i="7"/>
  <c r="B312" i="7"/>
  <c r="B311" i="7"/>
  <c r="B307" i="7"/>
  <c r="B306" i="7"/>
  <c r="B303" i="7"/>
  <c r="B302" i="7"/>
  <c r="B298" i="7"/>
  <c r="B297" i="7"/>
  <c r="B293" i="7"/>
  <c r="B292" i="7"/>
  <c r="B291" i="7"/>
  <c r="B290" i="7"/>
  <c r="B286" i="7"/>
  <c r="B285" i="7"/>
  <c r="B281" i="7"/>
  <c r="B280" i="7"/>
  <c r="B264" i="7"/>
  <c r="B263" i="7"/>
  <c r="B262" i="7"/>
  <c r="B258" i="7"/>
  <c r="B257" i="7"/>
  <c r="B252" i="7"/>
  <c r="B237" i="7"/>
  <c r="B236" i="7"/>
  <c r="B232" i="7"/>
  <c r="B231" i="7"/>
  <c r="B226" i="7"/>
  <c r="B225" i="7"/>
  <c r="B223" i="7"/>
  <c r="B222" i="7"/>
  <c r="B221" i="7"/>
  <c r="B220" i="7"/>
  <c r="B216" i="7"/>
  <c r="B215" i="7"/>
  <c r="B213" i="7"/>
  <c r="B212" i="7"/>
  <c r="B209" i="7"/>
  <c r="B208" i="7"/>
  <c r="B203" i="7"/>
  <c r="B202" i="7"/>
  <c r="B193" i="7"/>
  <c r="B192" i="7"/>
  <c r="B191" i="7"/>
  <c r="B190" i="7"/>
  <c r="B189" i="7"/>
  <c r="B187" i="7"/>
  <c r="B186" i="7"/>
  <c r="B185" i="7"/>
  <c r="B138" i="7"/>
  <c r="B137" i="7"/>
  <c r="B136" i="7"/>
  <c r="B128" i="7"/>
  <c r="B127" i="7"/>
  <c r="B126" i="7"/>
  <c r="B121" i="7"/>
  <c r="B120" i="7"/>
  <c r="B116" i="7"/>
  <c r="B115" i="7"/>
  <c r="B105" i="7"/>
  <c r="B104" i="7"/>
  <c r="B102" i="7"/>
  <c r="B101" i="7"/>
  <c r="B89" i="7"/>
  <c r="B88" i="7"/>
  <c r="B87" i="7"/>
  <c r="B86" i="7"/>
  <c r="B80" i="7"/>
  <c r="B79" i="7"/>
  <c r="B75" i="7"/>
  <c r="B74" i="7"/>
  <c r="B70" i="7"/>
  <c r="B69" i="7"/>
  <c r="B63" i="7"/>
  <c r="B62" i="7"/>
  <c r="B56" i="7"/>
  <c r="B55" i="7"/>
  <c r="B54" i="7"/>
  <c r="B53" i="7"/>
  <c r="B52" i="7"/>
  <c r="B51" i="7"/>
  <c r="B50" i="7"/>
  <c r="B49" i="7"/>
  <c r="B48" i="7"/>
  <c r="B47" i="7"/>
  <c r="B46" i="7"/>
  <c r="B41" i="7"/>
  <c r="B40" i="7"/>
  <c r="B35" i="7"/>
  <c r="B34" i="7"/>
  <c r="B29" i="7"/>
  <c r="B28" i="7"/>
  <c r="B23" i="7"/>
  <c r="B22" i="7"/>
  <c r="B21" i="7"/>
  <c r="B20" i="7"/>
  <c r="DD617" i="7"/>
  <c r="DC617" i="7"/>
  <c r="DB617" i="7"/>
  <c r="DA617" i="7"/>
  <c r="CZ617" i="7"/>
  <c r="CY617" i="7"/>
  <c r="CX617" i="7"/>
  <c r="CW617" i="7"/>
  <c r="CV617" i="7"/>
  <c r="CU617" i="7"/>
  <c r="CT617" i="7"/>
  <c r="CS617" i="7"/>
  <c r="CR617" i="7"/>
  <c r="CQ617" i="7"/>
  <c r="CP617" i="7"/>
  <c r="CO617" i="7"/>
  <c r="CN617" i="7"/>
  <c r="CM617" i="7"/>
  <c r="CL617" i="7"/>
  <c r="CK617" i="7"/>
  <c r="CJ617" i="7"/>
  <c r="CI617" i="7"/>
  <c r="CH617" i="7"/>
  <c r="CG617" i="7"/>
  <c r="CF617" i="7"/>
  <c r="CE617" i="7"/>
  <c r="CD617" i="7"/>
  <c r="CC617" i="7"/>
  <c r="CB617" i="7"/>
  <c r="CA617" i="7"/>
  <c r="BZ617" i="7"/>
  <c r="BY617" i="7"/>
  <c r="BX617" i="7"/>
  <c r="BW617" i="7"/>
  <c r="BV617" i="7"/>
  <c r="BU617" i="7"/>
  <c r="BT617" i="7"/>
  <c r="BS617" i="7"/>
  <c r="BR617" i="7"/>
  <c r="BQ617" i="7"/>
  <c r="BP617" i="7"/>
  <c r="BO617" i="7"/>
  <c r="BN617" i="7"/>
  <c r="BM617" i="7"/>
  <c r="BL617" i="7"/>
  <c r="BK617" i="7"/>
  <c r="BJ617" i="7"/>
  <c r="BI617" i="7"/>
  <c r="BH617" i="7"/>
  <c r="BG617" i="7"/>
  <c r="DD616" i="7"/>
  <c r="DC616" i="7"/>
  <c r="DB616" i="7"/>
  <c r="DA616" i="7"/>
  <c r="CZ616" i="7"/>
  <c r="CY616" i="7"/>
  <c r="CX616" i="7"/>
  <c r="CW616" i="7"/>
  <c r="CV616" i="7"/>
  <c r="CU616" i="7"/>
  <c r="CT616" i="7"/>
  <c r="CS616" i="7"/>
  <c r="CR616" i="7"/>
  <c r="CQ616" i="7"/>
  <c r="CP616" i="7"/>
  <c r="CO616" i="7"/>
  <c r="CN616" i="7"/>
  <c r="CM616" i="7"/>
  <c r="CL616" i="7"/>
  <c r="CK616" i="7"/>
  <c r="CJ616" i="7"/>
  <c r="CI616" i="7"/>
  <c r="CH616" i="7"/>
  <c r="CG616" i="7"/>
  <c r="CF616" i="7"/>
  <c r="CE616" i="7"/>
  <c r="CD616" i="7"/>
  <c r="CC616" i="7"/>
  <c r="CB616" i="7"/>
  <c r="CA616" i="7"/>
  <c r="BZ616" i="7"/>
  <c r="BY616" i="7"/>
  <c r="BX616" i="7"/>
  <c r="BW616" i="7"/>
  <c r="BV616" i="7"/>
  <c r="BU616" i="7"/>
  <c r="BT616" i="7"/>
  <c r="BS616" i="7"/>
  <c r="BR616" i="7"/>
  <c r="BQ616" i="7"/>
  <c r="BP616" i="7"/>
  <c r="BO616" i="7"/>
  <c r="BN616" i="7"/>
  <c r="BM616" i="7"/>
  <c r="BL616" i="7"/>
  <c r="BK616" i="7"/>
  <c r="BJ616" i="7"/>
  <c r="BI616" i="7"/>
  <c r="BH616" i="7"/>
  <c r="BG616" i="7"/>
  <c r="DD615" i="7"/>
  <c r="DC615" i="7"/>
  <c r="DB615" i="7"/>
  <c r="DA615" i="7"/>
  <c r="CZ615" i="7"/>
  <c r="CY615" i="7"/>
  <c r="CX615" i="7"/>
  <c r="CW615" i="7"/>
  <c r="CV615" i="7"/>
  <c r="CU615" i="7"/>
  <c r="CT615" i="7"/>
  <c r="CS615" i="7"/>
  <c r="CR615" i="7"/>
  <c r="CQ615" i="7"/>
  <c r="CP615" i="7"/>
  <c r="CO615" i="7"/>
  <c r="CN615" i="7"/>
  <c r="CM615" i="7"/>
  <c r="CL615" i="7"/>
  <c r="CK615" i="7"/>
  <c r="CJ615" i="7"/>
  <c r="CI615" i="7"/>
  <c r="CH615" i="7"/>
  <c r="CG615" i="7"/>
  <c r="CF615" i="7"/>
  <c r="CE615" i="7"/>
  <c r="CD615" i="7"/>
  <c r="CC615" i="7"/>
  <c r="CB615" i="7"/>
  <c r="CA615" i="7"/>
  <c r="BZ615" i="7"/>
  <c r="BY615" i="7"/>
  <c r="BX615" i="7"/>
  <c r="BW615" i="7"/>
  <c r="BV615" i="7"/>
  <c r="BU615" i="7"/>
  <c r="BT615" i="7"/>
  <c r="BS615" i="7"/>
  <c r="BR615" i="7"/>
  <c r="BQ615" i="7"/>
  <c r="BP615" i="7"/>
  <c r="BO615" i="7"/>
  <c r="BN615" i="7"/>
  <c r="BM615" i="7"/>
  <c r="BL615" i="7"/>
  <c r="BK615" i="7"/>
  <c r="BJ615" i="7"/>
  <c r="BI615" i="7"/>
  <c r="BH615" i="7"/>
  <c r="BG615" i="7"/>
  <c r="DD614" i="7"/>
  <c r="DC614" i="7"/>
  <c r="DB614" i="7"/>
  <c r="DA614" i="7"/>
  <c r="CZ614" i="7"/>
  <c r="CY614" i="7"/>
  <c r="CX614" i="7"/>
  <c r="CW614" i="7"/>
  <c r="CV614" i="7"/>
  <c r="CU614" i="7"/>
  <c r="CT614" i="7"/>
  <c r="CS614" i="7"/>
  <c r="CR614" i="7"/>
  <c r="CQ614" i="7"/>
  <c r="CP614" i="7"/>
  <c r="CO614" i="7"/>
  <c r="CN614" i="7"/>
  <c r="CM614" i="7"/>
  <c r="CL614" i="7"/>
  <c r="CK614" i="7"/>
  <c r="CJ614" i="7"/>
  <c r="CI614" i="7"/>
  <c r="CH614" i="7"/>
  <c r="CG614" i="7"/>
  <c r="CF614" i="7"/>
  <c r="CE614" i="7"/>
  <c r="CD614" i="7"/>
  <c r="CC614" i="7"/>
  <c r="CB614" i="7"/>
  <c r="CA614" i="7"/>
  <c r="BZ614" i="7"/>
  <c r="BY614" i="7"/>
  <c r="BX614" i="7"/>
  <c r="BW614" i="7"/>
  <c r="BV614" i="7"/>
  <c r="BU614" i="7"/>
  <c r="BT614" i="7"/>
  <c r="BS614" i="7"/>
  <c r="BR614" i="7"/>
  <c r="BQ614" i="7"/>
  <c r="BP614" i="7"/>
  <c r="BO614" i="7"/>
  <c r="BN614" i="7"/>
  <c r="BM614" i="7"/>
  <c r="BL614" i="7"/>
  <c r="BK614" i="7"/>
  <c r="BJ614" i="7"/>
  <c r="BI614" i="7"/>
  <c r="BH614" i="7"/>
  <c r="BG614" i="7"/>
  <c r="DD613" i="7"/>
  <c r="DC613" i="7"/>
  <c r="DB613" i="7"/>
  <c r="DA613" i="7"/>
  <c r="CZ613" i="7"/>
  <c r="CY613" i="7"/>
  <c r="CX613" i="7"/>
  <c r="CW613" i="7"/>
  <c r="CV613" i="7"/>
  <c r="CU613" i="7"/>
  <c r="CT613" i="7"/>
  <c r="CS613" i="7"/>
  <c r="CR613" i="7"/>
  <c r="CQ613" i="7"/>
  <c r="CP613" i="7"/>
  <c r="CO613" i="7"/>
  <c r="CN613" i="7"/>
  <c r="CM613" i="7"/>
  <c r="CL613" i="7"/>
  <c r="CK613" i="7"/>
  <c r="CJ613" i="7"/>
  <c r="CI613" i="7"/>
  <c r="CH613" i="7"/>
  <c r="CG613" i="7"/>
  <c r="CF613" i="7"/>
  <c r="CE613" i="7"/>
  <c r="CD613" i="7"/>
  <c r="CC613" i="7"/>
  <c r="CB613" i="7"/>
  <c r="CA613" i="7"/>
  <c r="BZ613" i="7"/>
  <c r="BY613" i="7"/>
  <c r="BX613" i="7"/>
  <c r="BW613" i="7"/>
  <c r="BV613" i="7"/>
  <c r="BU613" i="7"/>
  <c r="BT613" i="7"/>
  <c r="BS613" i="7"/>
  <c r="BR613" i="7"/>
  <c r="BQ613" i="7"/>
  <c r="BP613" i="7"/>
  <c r="BO613" i="7"/>
  <c r="BN613" i="7"/>
  <c r="BM613" i="7"/>
  <c r="BL613" i="7"/>
  <c r="BK613" i="7"/>
  <c r="BJ613" i="7"/>
  <c r="BI613" i="7"/>
  <c r="BH613" i="7"/>
  <c r="BG613" i="7"/>
  <c r="DD612" i="7"/>
  <c r="DC612" i="7"/>
  <c r="DB612" i="7"/>
  <c r="DA612" i="7"/>
  <c r="CZ612" i="7"/>
  <c r="CY612" i="7"/>
  <c r="CX612" i="7"/>
  <c r="CW612" i="7"/>
  <c r="CV612" i="7"/>
  <c r="CU612" i="7"/>
  <c r="CT612" i="7"/>
  <c r="CS612" i="7"/>
  <c r="CR612" i="7"/>
  <c r="CQ612" i="7"/>
  <c r="CP612" i="7"/>
  <c r="CO612" i="7"/>
  <c r="CN612" i="7"/>
  <c r="CM612" i="7"/>
  <c r="CL612" i="7"/>
  <c r="CK612" i="7"/>
  <c r="CJ612" i="7"/>
  <c r="CI612" i="7"/>
  <c r="CH612" i="7"/>
  <c r="CG612" i="7"/>
  <c r="CF612" i="7"/>
  <c r="CE612" i="7"/>
  <c r="CD612" i="7"/>
  <c r="CC612" i="7"/>
  <c r="CB612" i="7"/>
  <c r="CA612" i="7"/>
  <c r="BZ612" i="7"/>
  <c r="BY612" i="7"/>
  <c r="BX612" i="7"/>
  <c r="BW612" i="7"/>
  <c r="BV612" i="7"/>
  <c r="BU612" i="7"/>
  <c r="BT612" i="7"/>
  <c r="BS612" i="7"/>
  <c r="BR612" i="7"/>
  <c r="BQ612" i="7"/>
  <c r="BP612" i="7"/>
  <c r="BO612" i="7"/>
  <c r="BN612" i="7"/>
  <c r="BM612" i="7"/>
  <c r="BL612" i="7"/>
  <c r="BK612" i="7"/>
  <c r="BJ612" i="7"/>
  <c r="BI612" i="7"/>
  <c r="BH612" i="7"/>
  <c r="BG612" i="7"/>
  <c r="DD611" i="7"/>
  <c r="DC611" i="7"/>
  <c r="DB611" i="7"/>
  <c r="DA611" i="7"/>
  <c r="CZ611" i="7"/>
  <c r="CY611" i="7"/>
  <c r="CX611" i="7"/>
  <c r="CW611" i="7"/>
  <c r="CV611" i="7"/>
  <c r="CU611" i="7"/>
  <c r="CT611" i="7"/>
  <c r="CS611" i="7"/>
  <c r="CR611" i="7"/>
  <c r="CQ611" i="7"/>
  <c r="CP611" i="7"/>
  <c r="CO611" i="7"/>
  <c r="CN611" i="7"/>
  <c r="CM611" i="7"/>
  <c r="CL611" i="7"/>
  <c r="CK611" i="7"/>
  <c r="CJ611" i="7"/>
  <c r="CI611" i="7"/>
  <c r="CH611" i="7"/>
  <c r="CG611" i="7"/>
  <c r="CF611" i="7"/>
  <c r="CE611" i="7"/>
  <c r="CD611" i="7"/>
  <c r="CC611" i="7"/>
  <c r="CB611" i="7"/>
  <c r="CA611" i="7"/>
  <c r="BZ611" i="7"/>
  <c r="BY611" i="7"/>
  <c r="BX611" i="7"/>
  <c r="BW611" i="7"/>
  <c r="BV611" i="7"/>
  <c r="BU611" i="7"/>
  <c r="BT611" i="7"/>
  <c r="BS611" i="7"/>
  <c r="BR611" i="7"/>
  <c r="BQ611" i="7"/>
  <c r="BP611" i="7"/>
  <c r="BO611" i="7"/>
  <c r="BN611" i="7"/>
  <c r="BM611" i="7"/>
  <c r="BL611" i="7"/>
  <c r="BK611" i="7"/>
  <c r="BJ611" i="7"/>
  <c r="BI611" i="7"/>
  <c r="BH611" i="7"/>
  <c r="BG611" i="7"/>
  <c r="DD610" i="7"/>
  <c r="DC610" i="7"/>
  <c r="DB610" i="7"/>
  <c r="DA610" i="7"/>
  <c r="CZ610" i="7"/>
  <c r="CY610" i="7"/>
  <c r="CX610" i="7"/>
  <c r="CW610" i="7"/>
  <c r="CV610" i="7"/>
  <c r="CU610" i="7"/>
  <c r="CT610" i="7"/>
  <c r="CS610" i="7"/>
  <c r="CR610" i="7"/>
  <c r="CQ610" i="7"/>
  <c r="CP610" i="7"/>
  <c r="CO610" i="7"/>
  <c r="CN610" i="7"/>
  <c r="CM610" i="7"/>
  <c r="CL610" i="7"/>
  <c r="CK610" i="7"/>
  <c r="CJ610" i="7"/>
  <c r="CI610" i="7"/>
  <c r="CH610" i="7"/>
  <c r="CG610" i="7"/>
  <c r="CF610" i="7"/>
  <c r="CE610" i="7"/>
  <c r="CD610" i="7"/>
  <c r="CC610" i="7"/>
  <c r="CB610" i="7"/>
  <c r="CA610" i="7"/>
  <c r="BZ610" i="7"/>
  <c r="BY610" i="7"/>
  <c r="BX610" i="7"/>
  <c r="BW610" i="7"/>
  <c r="BV610" i="7"/>
  <c r="BU610" i="7"/>
  <c r="BT610" i="7"/>
  <c r="BS610" i="7"/>
  <c r="BR610" i="7"/>
  <c r="BQ610" i="7"/>
  <c r="BP610" i="7"/>
  <c r="BO610" i="7"/>
  <c r="BN610" i="7"/>
  <c r="BM610" i="7"/>
  <c r="BL610" i="7"/>
  <c r="BK610" i="7"/>
  <c r="BJ610" i="7"/>
  <c r="BI610" i="7"/>
  <c r="BH610" i="7"/>
  <c r="BG610" i="7"/>
  <c r="DD609" i="7"/>
  <c r="DC609" i="7"/>
  <c r="DB609" i="7"/>
  <c r="DA609" i="7"/>
  <c r="CZ609" i="7"/>
  <c r="CY609" i="7"/>
  <c r="CX609" i="7"/>
  <c r="CW609" i="7"/>
  <c r="CV609" i="7"/>
  <c r="CU609" i="7"/>
  <c r="CT609" i="7"/>
  <c r="CS609" i="7"/>
  <c r="CR609" i="7"/>
  <c r="CQ609" i="7"/>
  <c r="CP609" i="7"/>
  <c r="CO609" i="7"/>
  <c r="CN609" i="7"/>
  <c r="CM609" i="7"/>
  <c r="CL609" i="7"/>
  <c r="CK609" i="7"/>
  <c r="CJ609" i="7"/>
  <c r="CI609" i="7"/>
  <c r="CH609" i="7"/>
  <c r="CG609" i="7"/>
  <c r="CF609" i="7"/>
  <c r="CE609" i="7"/>
  <c r="CD609" i="7"/>
  <c r="CC609" i="7"/>
  <c r="CB609" i="7"/>
  <c r="CA609" i="7"/>
  <c r="BZ609" i="7"/>
  <c r="BY609" i="7"/>
  <c r="BX609" i="7"/>
  <c r="BW609" i="7"/>
  <c r="BV609" i="7"/>
  <c r="BU609" i="7"/>
  <c r="BT609" i="7"/>
  <c r="BS609" i="7"/>
  <c r="BR609" i="7"/>
  <c r="BQ609" i="7"/>
  <c r="BP609" i="7"/>
  <c r="BO609" i="7"/>
  <c r="BN609" i="7"/>
  <c r="BM609" i="7"/>
  <c r="BL609" i="7"/>
  <c r="BK609" i="7"/>
  <c r="BJ609" i="7"/>
  <c r="BI609" i="7"/>
  <c r="BH609" i="7"/>
  <c r="BG609" i="7"/>
  <c r="DD608" i="7"/>
  <c r="DC608" i="7"/>
  <c r="DB608" i="7"/>
  <c r="DA608" i="7"/>
  <c r="CZ608" i="7"/>
  <c r="CY608" i="7"/>
  <c r="CX608" i="7"/>
  <c r="CW608" i="7"/>
  <c r="CV608" i="7"/>
  <c r="CU608" i="7"/>
  <c r="CT608" i="7"/>
  <c r="CS608" i="7"/>
  <c r="CR608" i="7"/>
  <c r="CQ608" i="7"/>
  <c r="CP608" i="7"/>
  <c r="CO608" i="7"/>
  <c r="CN608" i="7"/>
  <c r="CM608" i="7"/>
  <c r="CL608" i="7"/>
  <c r="CK608" i="7"/>
  <c r="CJ608" i="7"/>
  <c r="CI608" i="7"/>
  <c r="CH608" i="7"/>
  <c r="CG608" i="7"/>
  <c r="CF608" i="7"/>
  <c r="CE608" i="7"/>
  <c r="CD608" i="7"/>
  <c r="CC608" i="7"/>
  <c r="CB608" i="7"/>
  <c r="CA608" i="7"/>
  <c r="BZ608" i="7"/>
  <c r="BY608" i="7"/>
  <c r="BX608" i="7"/>
  <c r="BW608" i="7"/>
  <c r="BV608" i="7"/>
  <c r="BU608" i="7"/>
  <c r="BT608" i="7"/>
  <c r="BS608" i="7"/>
  <c r="BR608" i="7"/>
  <c r="BQ608" i="7"/>
  <c r="BP608" i="7"/>
  <c r="BO608" i="7"/>
  <c r="BN608" i="7"/>
  <c r="BM608" i="7"/>
  <c r="BL608" i="7"/>
  <c r="BK608" i="7"/>
  <c r="BJ608" i="7"/>
  <c r="BI608" i="7"/>
  <c r="BH608" i="7"/>
  <c r="BG608" i="7"/>
  <c r="DD607" i="7"/>
  <c r="DC607" i="7"/>
  <c r="DB607" i="7"/>
  <c r="DA607" i="7"/>
  <c r="CZ607" i="7"/>
  <c r="CY607" i="7"/>
  <c r="CX607" i="7"/>
  <c r="CW607" i="7"/>
  <c r="CV607" i="7"/>
  <c r="CU607" i="7"/>
  <c r="CT607" i="7"/>
  <c r="CS607" i="7"/>
  <c r="CR607" i="7"/>
  <c r="CQ607" i="7"/>
  <c r="CP607" i="7"/>
  <c r="CO607" i="7"/>
  <c r="CN607" i="7"/>
  <c r="CM607" i="7"/>
  <c r="CL607" i="7"/>
  <c r="CK607" i="7"/>
  <c r="CJ607" i="7"/>
  <c r="CI607" i="7"/>
  <c r="CH607" i="7"/>
  <c r="CG607" i="7"/>
  <c r="CF607" i="7"/>
  <c r="CE607" i="7"/>
  <c r="CD607" i="7"/>
  <c r="CC607" i="7"/>
  <c r="CB607" i="7"/>
  <c r="CA607" i="7"/>
  <c r="BZ607" i="7"/>
  <c r="BY607" i="7"/>
  <c r="BX607" i="7"/>
  <c r="BW607" i="7"/>
  <c r="BV607" i="7"/>
  <c r="BU607" i="7"/>
  <c r="BT607" i="7"/>
  <c r="BS607" i="7"/>
  <c r="BR607" i="7"/>
  <c r="BQ607" i="7"/>
  <c r="BP607" i="7"/>
  <c r="BO607" i="7"/>
  <c r="BN607" i="7"/>
  <c r="BM607" i="7"/>
  <c r="BL607" i="7"/>
  <c r="BK607" i="7"/>
  <c r="BJ607" i="7"/>
  <c r="BI607" i="7"/>
  <c r="BH607" i="7"/>
  <c r="BG607" i="7"/>
  <c r="DD606" i="7"/>
  <c r="DC606" i="7"/>
  <c r="DB606" i="7"/>
  <c r="DA606" i="7"/>
  <c r="CZ606" i="7"/>
  <c r="CY606" i="7"/>
  <c r="CX606" i="7"/>
  <c r="CW606" i="7"/>
  <c r="CV606" i="7"/>
  <c r="CU606" i="7"/>
  <c r="CT606" i="7"/>
  <c r="CS606" i="7"/>
  <c r="CR606" i="7"/>
  <c r="CQ606" i="7"/>
  <c r="CP606" i="7"/>
  <c r="CO606" i="7"/>
  <c r="CN606" i="7"/>
  <c r="CM606" i="7"/>
  <c r="CL606" i="7"/>
  <c r="CK606" i="7"/>
  <c r="CJ606" i="7"/>
  <c r="CI606" i="7"/>
  <c r="CH606" i="7"/>
  <c r="CG606" i="7"/>
  <c r="CF606" i="7"/>
  <c r="CE606" i="7"/>
  <c r="CD606" i="7"/>
  <c r="CC606" i="7"/>
  <c r="CB606" i="7"/>
  <c r="CA606" i="7"/>
  <c r="BZ606" i="7"/>
  <c r="BY606" i="7"/>
  <c r="BX606" i="7"/>
  <c r="BW606" i="7"/>
  <c r="BV606" i="7"/>
  <c r="BU606" i="7"/>
  <c r="BT606" i="7"/>
  <c r="BS606" i="7"/>
  <c r="BR606" i="7"/>
  <c r="BQ606" i="7"/>
  <c r="BP606" i="7"/>
  <c r="BO606" i="7"/>
  <c r="BN606" i="7"/>
  <c r="BM606" i="7"/>
  <c r="BL606" i="7"/>
  <c r="BK606" i="7"/>
  <c r="BJ606" i="7"/>
  <c r="BI606" i="7"/>
  <c r="BH606" i="7"/>
  <c r="BG606" i="7"/>
  <c r="DD605" i="7"/>
  <c r="DC605" i="7"/>
  <c r="DB605" i="7"/>
  <c r="DA605" i="7"/>
  <c r="CZ605" i="7"/>
  <c r="CY605" i="7"/>
  <c r="CX605" i="7"/>
  <c r="CW605" i="7"/>
  <c r="CV605" i="7"/>
  <c r="CU605" i="7"/>
  <c r="CT605" i="7"/>
  <c r="CS605" i="7"/>
  <c r="CR605" i="7"/>
  <c r="CQ605" i="7"/>
  <c r="CP605" i="7"/>
  <c r="CO605" i="7"/>
  <c r="CN605" i="7"/>
  <c r="CM605" i="7"/>
  <c r="CL605" i="7"/>
  <c r="CK605" i="7"/>
  <c r="CJ605" i="7"/>
  <c r="CI605" i="7"/>
  <c r="CH605" i="7"/>
  <c r="CG605" i="7"/>
  <c r="CF605" i="7"/>
  <c r="CE605" i="7"/>
  <c r="CD605" i="7"/>
  <c r="CC605" i="7"/>
  <c r="CB605" i="7"/>
  <c r="CA605" i="7"/>
  <c r="BZ605" i="7"/>
  <c r="BY605" i="7"/>
  <c r="BX605" i="7"/>
  <c r="BW605" i="7"/>
  <c r="BV605" i="7"/>
  <c r="BU605" i="7"/>
  <c r="BT605" i="7"/>
  <c r="BS605" i="7"/>
  <c r="BR605" i="7"/>
  <c r="BQ605" i="7"/>
  <c r="BP605" i="7"/>
  <c r="BO605" i="7"/>
  <c r="BN605" i="7"/>
  <c r="BM605" i="7"/>
  <c r="BL605" i="7"/>
  <c r="BK605" i="7"/>
  <c r="BJ605" i="7"/>
  <c r="BI605" i="7"/>
  <c r="BH605" i="7"/>
  <c r="BG605" i="7"/>
  <c r="DD604" i="7"/>
  <c r="DC604" i="7"/>
  <c r="DB604" i="7"/>
  <c r="DA604" i="7"/>
  <c r="CZ604" i="7"/>
  <c r="CY604" i="7"/>
  <c r="CX604" i="7"/>
  <c r="CW604" i="7"/>
  <c r="CV604" i="7"/>
  <c r="CU604" i="7"/>
  <c r="CT604" i="7"/>
  <c r="CS604" i="7"/>
  <c r="CR604" i="7"/>
  <c r="CQ604" i="7"/>
  <c r="CP604" i="7"/>
  <c r="CO604" i="7"/>
  <c r="CN604" i="7"/>
  <c r="CM604" i="7"/>
  <c r="CL604" i="7"/>
  <c r="CK604" i="7"/>
  <c r="CJ604" i="7"/>
  <c r="CI604" i="7"/>
  <c r="CH604" i="7"/>
  <c r="CG604" i="7"/>
  <c r="CF604" i="7"/>
  <c r="CE604" i="7"/>
  <c r="CD604" i="7"/>
  <c r="CC604" i="7"/>
  <c r="CB604" i="7"/>
  <c r="CA604" i="7"/>
  <c r="BZ604" i="7"/>
  <c r="BY604" i="7"/>
  <c r="BX604" i="7"/>
  <c r="BW604" i="7"/>
  <c r="BV604" i="7"/>
  <c r="BU604" i="7"/>
  <c r="BT604" i="7"/>
  <c r="BS604" i="7"/>
  <c r="BR604" i="7"/>
  <c r="BQ604" i="7"/>
  <c r="BP604" i="7"/>
  <c r="BO604" i="7"/>
  <c r="BN604" i="7"/>
  <c r="BM604" i="7"/>
  <c r="BL604" i="7"/>
  <c r="BK604" i="7"/>
  <c r="BJ604" i="7"/>
  <c r="BI604" i="7"/>
  <c r="BH604" i="7"/>
  <c r="BG604" i="7"/>
  <c r="DD603" i="7"/>
  <c r="DC603" i="7"/>
  <c r="DB603" i="7"/>
  <c r="DA603" i="7"/>
  <c r="CZ603" i="7"/>
  <c r="CY603" i="7"/>
  <c r="CX603" i="7"/>
  <c r="CW603" i="7"/>
  <c r="CV603" i="7"/>
  <c r="CU603" i="7"/>
  <c r="CT603" i="7"/>
  <c r="CS603" i="7"/>
  <c r="CR603" i="7"/>
  <c r="CQ603" i="7"/>
  <c r="CP603" i="7"/>
  <c r="CO603" i="7"/>
  <c r="CN603" i="7"/>
  <c r="CM603" i="7"/>
  <c r="CL603" i="7"/>
  <c r="CK603" i="7"/>
  <c r="CJ603" i="7"/>
  <c r="CI603" i="7"/>
  <c r="CH603" i="7"/>
  <c r="CG603" i="7"/>
  <c r="CF603" i="7"/>
  <c r="CE603" i="7"/>
  <c r="CD603" i="7"/>
  <c r="CC603" i="7"/>
  <c r="CB603" i="7"/>
  <c r="CA603" i="7"/>
  <c r="BZ603" i="7"/>
  <c r="BY603" i="7"/>
  <c r="BX603" i="7"/>
  <c r="BW603" i="7"/>
  <c r="BV603" i="7"/>
  <c r="BU603" i="7"/>
  <c r="BT603" i="7"/>
  <c r="BS603" i="7"/>
  <c r="BR603" i="7"/>
  <c r="BQ603" i="7"/>
  <c r="BP603" i="7"/>
  <c r="BO603" i="7"/>
  <c r="BN603" i="7"/>
  <c r="BM603" i="7"/>
  <c r="BL603" i="7"/>
  <c r="BK603" i="7"/>
  <c r="BJ603" i="7"/>
  <c r="BI603" i="7"/>
  <c r="BH603" i="7"/>
  <c r="BG603" i="7"/>
  <c r="DD602" i="7"/>
  <c r="DC602" i="7"/>
  <c r="DB602" i="7"/>
  <c r="DA602" i="7"/>
  <c r="CZ602" i="7"/>
  <c r="CY602" i="7"/>
  <c r="CX602" i="7"/>
  <c r="CW602" i="7"/>
  <c r="CV602" i="7"/>
  <c r="CU602" i="7"/>
  <c r="CT602" i="7"/>
  <c r="CS602" i="7"/>
  <c r="CR602" i="7"/>
  <c r="CQ602" i="7"/>
  <c r="CP602" i="7"/>
  <c r="CO602" i="7"/>
  <c r="CN602" i="7"/>
  <c r="CM602" i="7"/>
  <c r="CL602" i="7"/>
  <c r="CK602" i="7"/>
  <c r="CJ602" i="7"/>
  <c r="CI602" i="7"/>
  <c r="CH602" i="7"/>
  <c r="CG602" i="7"/>
  <c r="CF602" i="7"/>
  <c r="CE602" i="7"/>
  <c r="CD602" i="7"/>
  <c r="CC602" i="7"/>
  <c r="CB602" i="7"/>
  <c r="CA602" i="7"/>
  <c r="BZ602" i="7"/>
  <c r="BY602" i="7"/>
  <c r="BX602" i="7"/>
  <c r="BW602" i="7"/>
  <c r="BV602" i="7"/>
  <c r="BU602" i="7"/>
  <c r="BT602" i="7"/>
  <c r="BS602" i="7"/>
  <c r="BR602" i="7"/>
  <c r="BQ602" i="7"/>
  <c r="BP602" i="7"/>
  <c r="BO602" i="7"/>
  <c r="BN602" i="7"/>
  <c r="BM602" i="7"/>
  <c r="BL602" i="7"/>
  <c r="BK602" i="7"/>
  <c r="BJ602" i="7"/>
  <c r="BI602" i="7"/>
  <c r="BH602" i="7"/>
  <c r="BG602" i="7"/>
  <c r="DD601" i="7"/>
  <c r="DC601" i="7"/>
  <c r="DB601" i="7"/>
  <c r="DA601" i="7"/>
  <c r="CZ601" i="7"/>
  <c r="CY601" i="7"/>
  <c r="CX601" i="7"/>
  <c r="CW601" i="7"/>
  <c r="CV601" i="7"/>
  <c r="CU601" i="7"/>
  <c r="CT601" i="7"/>
  <c r="CS601" i="7"/>
  <c r="CR601" i="7"/>
  <c r="CQ601" i="7"/>
  <c r="CP601" i="7"/>
  <c r="CO601" i="7"/>
  <c r="CN601" i="7"/>
  <c r="CM601" i="7"/>
  <c r="CL601" i="7"/>
  <c r="CK601" i="7"/>
  <c r="CJ601" i="7"/>
  <c r="CI601" i="7"/>
  <c r="CH601" i="7"/>
  <c r="CG601" i="7"/>
  <c r="CF601" i="7"/>
  <c r="CE601" i="7"/>
  <c r="CD601" i="7"/>
  <c r="CC601" i="7"/>
  <c r="CB601" i="7"/>
  <c r="CA601" i="7"/>
  <c r="BZ601" i="7"/>
  <c r="BY601" i="7"/>
  <c r="BX601" i="7"/>
  <c r="BW601" i="7"/>
  <c r="BV601" i="7"/>
  <c r="BU601" i="7"/>
  <c r="BT601" i="7"/>
  <c r="BS601" i="7"/>
  <c r="BR601" i="7"/>
  <c r="BQ601" i="7"/>
  <c r="BP601" i="7"/>
  <c r="BO601" i="7"/>
  <c r="BN601" i="7"/>
  <c r="BM601" i="7"/>
  <c r="BL601" i="7"/>
  <c r="BK601" i="7"/>
  <c r="BJ601" i="7"/>
  <c r="BI601" i="7"/>
  <c r="BH601" i="7"/>
  <c r="BG601" i="7"/>
  <c r="DD600" i="7"/>
  <c r="DC600" i="7"/>
  <c r="DB600" i="7"/>
  <c r="DA600" i="7"/>
  <c r="CZ600" i="7"/>
  <c r="CY600" i="7"/>
  <c r="CX600" i="7"/>
  <c r="CW600" i="7"/>
  <c r="CV600" i="7"/>
  <c r="CU600" i="7"/>
  <c r="CT600" i="7"/>
  <c r="CS600" i="7"/>
  <c r="CR600" i="7"/>
  <c r="CQ600" i="7"/>
  <c r="CP600" i="7"/>
  <c r="CO600" i="7"/>
  <c r="CN600" i="7"/>
  <c r="CM600" i="7"/>
  <c r="CL600" i="7"/>
  <c r="CK600" i="7"/>
  <c r="CJ600" i="7"/>
  <c r="CI600" i="7"/>
  <c r="CH600" i="7"/>
  <c r="CG600" i="7"/>
  <c r="CF600" i="7"/>
  <c r="CE600" i="7"/>
  <c r="CD600" i="7"/>
  <c r="CC600" i="7"/>
  <c r="CB600" i="7"/>
  <c r="CA600" i="7"/>
  <c r="BZ600" i="7"/>
  <c r="BY600" i="7"/>
  <c r="BX600" i="7"/>
  <c r="BW600" i="7"/>
  <c r="BV600" i="7"/>
  <c r="BU600" i="7"/>
  <c r="BT600" i="7"/>
  <c r="BS600" i="7"/>
  <c r="BR600" i="7"/>
  <c r="BQ600" i="7"/>
  <c r="BP600" i="7"/>
  <c r="BO600" i="7"/>
  <c r="BN600" i="7"/>
  <c r="BM600" i="7"/>
  <c r="BL600" i="7"/>
  <c r="BK600" i="7"/>
  <c r="BJ600" i="7"/>
  <c r="BI600" i="7"/>
  <c r="BH600" i="7"/>
  <c r="BG600" i="7"/>
  <c r="DD599" i="7"/>
  <c r="DC599" i="7"/>
  <c r="DB599" i="7"/>
  <c r="DA599" i="7"/>
  <c r="CZ599" i="7"/>
  <c r="CY599" i="7"/>
  <c r="CX599" i="7"/>
  <c r="CW599" i="7"/>
  <c r="CV599" i="7"/>
  <c r="CU599" i="7"/>
  <c r="CT599" i="7"/>
  <c r="CS599" i="7"/>
  <c r="CR599" i="7"/>
  <c r="CQ599" i="7"/>
  <c r="CP599" i="7"/>
  <c r="CO599" i="7"/>
  <c r="CN599" i="7"/>
  <c r="CM599" i="7"/>
  <c r="CL599" i="7"/>
  <c r="CK599" i="7"/>
  <c r="CJ599" i="7"/>
  <c r="CI599" i="7"/>
  <c r="CH599" i="7"/>
  <c r="CG599" i="7"/>
  <c r="CF599" i="7"/>
  <c r="CE599" i="7"/>
  <c r="CD599" i="7"/>
  <c r="CC599" i="7"/>
  <c r="CB599" i="7"/>
  <c r="CA599" i="7"/>
  <c r="BZ599" i="7"/>
  <c r="BY599" i="7"/>
  <c r="BX599" i="7"/>
  <c r="BW599" i="7"/>
  <c r="BV599" i="7"/>
  <c r="BU599" i="7"/>
  <c r="BT599" i="7"/>
  <c r="BS599" i="7"/>
  <c r="BR599" i="7"/>
  <c r="BQ599" i="7"/>
  <c r="BP599" i="7"/>
  <c r="BO599" i="7"/>
  <c r="BN599" i="7"/>
  <c r="BM599" i="7"/>
  <c r="BL599" i="7"/>
  <c r="BK599" i="7"/>
  <c r="BJ599" i="7"/>
  <c r="BI599" i="7"/>
  <c r="BH599" i="7"/>
  <c r="DD598" i="7"/>
  <c r="DC598" i="7"/>
  <c r="DB598" i="7"/>
  <c r="DA598" i="7"/>
  <c r="CZ598" i="7"/>
  <c r="CY598" i="7"/>
  <c r="CX598" i="7"/>
  <c r="CW598" i="7"/>
  <c r="CV598" i="7"/>
  <c r="CU598" i="7"/>
  <c r="CT598" i="7"/>
  <c r="CS598" i="7"/>
  <c r="CR598" i="7"/>
  <c r="CQ598" i="7"/>
  <c r="CP598" i="7"/>
  <c r="CO598" i="7"/>
  <c r="CN598" i="7"/>
  <c r="CM598" i="7"/>
  <c r="CL598" i="7"/>
  <c r="CK598" i="7"/>
  <c r="CJ598" i="7"/>
  <c r="CI598" i="7"/>
  <c r="CH598" i="7"/>
  <c r="CG598" i="7"/>
  <c r="CF598" i="7"/>
  <c r="CE598" i="7"/>
  <c r="CD598" i="7"/>
  <c r="CC598" i="7"/>
  <c r="CB598" i="7"/>
  <c r="CA598" i="7"/>
  <c r="BZ598" i="7"/>
  <c r="BY598" i="7"/>
  <c r="BX598" i="7"/>
  <c r="BW598" i="7"/>
  <c r="BV598" i="7"/>
  <c r="BU598" i="7"/>
  <c r="BT598" i="7"/>
  <c r="BS598" i="7"/>
  <c r="BR598" i="7"/>
  <c r="BQ598" i="7"/>
  <c r="BP598" i="7"/>
  <c r="BO598" i="7"/>
  <c r="BN598" i="7"/>
  <c r="BM598" i="7"/>
  <c r="BL598" i="7"/>
  <c r="BK598" i="7"/>
  <c r="BJ598" i="7"/>
  <c r="BI598" i="7"/>
  <c r="BH598" i="7"/>
  <c r="BG598" i="7"/>
  <c r="DD597" i="7"/>
  <c r="DC597" i="7"/>
  <c r="DB597" i="7"/>
  <c r="DA597" i="7"/>
  <c r="CZ597" i="7"/>
  <c r="CY597" i="7"/>
  <c r="CX597" i="7"/>
  <c r="CW597" i="7"/>
  <c r="CV597" i="7"/>
  <c r="CU597" i="7"/>
  <c r="CT597" i="7"/>
  <c r="CS597" i="7"/>
  <c r="CR597" i="7"/>
  <c r="CQ597" i="7"/>
  <c r="CP597" i="7"/>
  <c r="CO597" i="7"/>
  <c r="CN597" i="7"/>
  <c r="CM597" i="7"/>
  <c r="CL597" i="7"/>
  <c r="CK597" i="7"/>
  <c r="CJ597" i="7"/>
  <c r="CI597" i="7"/>
  <c r="CH597" i="7"/>
  <c r="CG597" i="7"/>
  <c r="CF597" i="7"/>
  <c r="CE597" i="7"/>
  <c r="CD597" i="7"/>
  <c r="CC597" i="7"/>
  <c r="CB597" i="7"/>
  <c r="CA597" i="7"/>
  <c r="BZ597" i="7"/>
  <c r="BY597" i="7"/>
  <c r="BX597" i="7"/>
  <c r="BW597" i="7"/>
  <c r="BV597" i="7"/>
  <c r="BU597" i="7"/>
  <c r="BT597" i="7"/>
  <c r="BS597" i="7"/>
  <c r="BR597" i="7"/>
  <c r="BQ597" i="7"/>
  <c r="BP597" i="7"/>
  <c r="BO597" i="7"/>
  <c r="BN597" i="7"/>
  <c r="BM597" i="7"/>
  <c r="BL597" i="7"/>
  <c r="BK597" i="7"/>
  <c r="BJ597" i="7"/>
  <c r="BI597" i="7"/>
  <c r="BH597" i="7"/>
  <c r="BG597" i="7"/>
  <c r="DD596" i="7"/>
  <c r="DC596" i="7"/>
  <c r="DB596" i="7"/>
  <c r="DA596" i="7"/>
  <c r="CZ596" i="7"/>
  <c r="CY596" i="7"/>
  <c r="CX596" i="7"/>
  <c r="CW596" i="7"/>
  <c r="CV596" i="7"/>
  <c r="CU596" i="7"/>
  <c r="CT596" i="7"/>
  <c r="CS596" i="7"/>
  <c r="CR596" i="7"/>
  <c r="CQ596" i="7"/>
  <c r="CP596" i="7"/>
  <c r="CO596" i="7"/>
  <c r="CN596" i="7"/>
  <c r="CM596" i="7"/>
  <c r="CL596" i="7"/>
  <c r="CK596" i="7"/>
  <c r="CJ596" i="7"/>
  <c r="CI596" i="7"/>
  <c r="CH596" i="7"/>
  <c r="CG596" i="7"/>
  <c r="CF596" i="7"/>
  <c r="CE596" i="7"/>
  <c r="CD596" i="7"/>
  <c r="CC596" i="7"/>
  <c r="CB596" i="7"/>
  <c r="CA596" i="7"/>
  <c r="BZ596" i="7"/>
  <c r="BY596" i="7"/>
  <c r="BX596" i="7"/>
  <c r="BW596" i="7"/>
  <c r="BV596" i="7"/>
  <c r="BU596" i="7"/>
  <c r="BT596" i="7"/>
  <c r="BS596" i="7"/>
  <c r="BR596" i="7"/>
  <c r="BQ596" i="7"/>
  <c r="BP596" i="7"/>
  <c r="BO596" i="7"/>
  <c r="BN596" i="7"/>
  <c r="BM596" i="7"/>
  <c r="BL596" i="7"/>
  <c r="BK596" i="7"/>
  <c r="BJ596" i="7"/>
  <c r="BI596" i="7"/>
  <c r="BH596" i="7"/>
  <c r="BG596" i="7"/>
  <c r="DD595" i="7"/>
  <c r="DC595" i="7"/>
  <c r="DB595" i="7"/>
  <c r="DA595" i="7"/>
  <c r="CZ595" i="7"/>
  <c r="CY595" i="7"/>
  <c r="CX595" i="7"/>
  <c r="CW595" i="7"/>
  <c r="CV595" i="7"/>
  <c r="CU595" i="7"/>
  <c r="CT595" i="7"/>
  <c r="CS595" i="7"/>
  <c r="CR595" i="7"/>
  <c r="CQ595" i="7"/>
  <c r="CP595" i="7"/>
  <c r="CO595" i="7"/>
  <c r="CN595" i="7"/>
  <c r="CM595" i="7"/>
  <c r="CL595" i="7"/>
  <c r="CK595" i="7"/>
  <c r="CJ595" i="7"/>
  <c r="CI595" i="7"/>
  <c r="CH595" i="7"/>
  <c r="CG595" i="7"/>
  <c r="CF595" i="7"/>
  <c r="CE595" i="7"/>
  <c r="CD595" i="7"/>
  <c r="CC595" i="7"/>
  <c r="CB595" i="7"/>
  <c r="CA595" i="7"/>
  <c r="BZ595" i="7"/>
  <c r="BY595" i="7"/>
  <c r="BX595" i="7"/>
  <c r="BW595" i="7"/>
  <c r="BV595" i="7"/>
  <c r="BU595" i="7"/>
  <c r="BT595" i="7"/>
  <c r="BS595" i="7"/>
  <c r="BR595" i="7"/>
  <c r="BQ595" i="7"/>
  <c r="BP595" i="7"/>
  <c r="BO595" i="7"/>
  <c r="BN595" i="7"/>
  <c r="BM595" i="7"/>
  <c r="BL595" i="7"/>
  <c r="BK595" i="7"/>
  <c r="BJ595" i="7"/>
  <c r="BI595" i="7"/>
  <c r="BH595" i="7"/>
  <c r="BG595" i="7"/>
  <c r="DD594" i="7"/>
  <c r="DC594" i="7"/>
  <c r="DB594" i="7"/>
  <c r="DA594" i="7"/>
  <c r="CZ594" i="7"/>
  <c r="CY594" i="7"/>
  <c r="CX594" i="7"/>
  <c r="CW594" i="7"/>
  <c r="CV594" i="7"/>
  <c r="CU594" i="7"/>
  <c r="CT594" i="7"/>
  <c r="CS594" i="7"/>
  <c r="CR594" i="7"/>
  <c r="CQ594" i="7"/>
  <c r="CP594" i="7"/>
  <c r="CO594" i="7"/>
  <c r="CN594" i="7"/>
  <c r="CM594" i="7"/>
  <c r="CL594" i="7"/>
  <c r="CK594" i="7"/>
  <c r="CJ594" i="7"/>
  <c r="CI594" i="7"/>
  <c r="CH594" i="7"/>
  <c r="CG594" i="7"/>
  <c r="CF594" i="7"/>
  <c r="CE594" i="7"/>
  <c r="CD594" i="7"/>
  <c r="CC594" i="7"/>
  <c r="CB594" i="7"/>
  <c r="CA594" i="7"/>
  <c r="BZ594" i="7"/>
  <c r="BY594" i="7"/>
  <c r="BX594" i="7"/>
  <c r="BW594" i="7"/>
  <c r="BV594" i="7"/>
  <c r="BU594" i="7"/>
  <c r="BT594" i="7"/>
  <c r="BS594" i="7"/>
  <c r="BR594" i="7"/>
  <c r="BQ594" i="7"/>
  <c r="BP594" i="7"/>
  <c r="BO594" i="7"/>
  <c r="BN594" i="7"/>
  <c r="BM594" i="7"/>
  <c r="BL594" i="7"/>
  <c r="BK594" i="7"/>
  <c r="BJ594" i="7"/>
  <c r="BI594" i="7"/>
  <c r="BH594" i="7"/>
  <c r="BG594" i="7"/>
  <c r="DD593" i="7"/>
  <c r="DC593" i="7"/>
  <c r="DB593" i="7"/>
  <c r="DA593" i="7"/>
  <c r="CZ593" i="7"/>
  <c r="CY593" i="7"/>
  <c r="CX593" i="7"/>
  <c r="CW593" i="7"/>
  <c r="CV593" i="7"/>
  <c r="CU593" i="7"/>
  <c r="CT593" i="7"/>
  <c r="CS593" i="7"/>
  <c r="CR593" i="7"/>
  <c r="CQ593" i="7"/>
  <c r="CP593" i="7"/>
  <c r="CO593" i="7"/>
  <c r="CN593" i="7"/>
  <c r="CM593" i="7"/>
  <c r="CL593" i="7"/>
  <c r="CK593" i="7"/>
  <c r="CJ593" i="7"/>
  <c r="CI593" i="7"/>
  <c r="CH593" i="7"/>
  <c r="CG593" i="7"/>
  <c r="CF593" i="7"/>
  <c r="CE593" i="7"/>
  <c r="CD593" i="7"/>
  <c r="CC593" i="7"/>
  <c r="CB593" i="7"/>
  <c r="CA593" i="7"/>
  <c r="BZ593" i="7"/>
  <c r="BY593" i="7"/>
  <c r="BX593" i="7"/>
  <c r="BW593" i="7"/>
  <c r="BV593" i="7"/>
  <c r="BU593" i="7"/>
  <c r="BT593" i="7"/>
  <c r="BS593" i="7"/>
  <c r="BR593" i="7"/>
  <c r="BQ593" i="7"/>
  <c r="BP593" i="7"/>
  <c r="BO593" i="7"/>
  <c r="BN593" i="7"/>
  <c r="BM593" i="7"/>
  <c r="BL593" i="7"/>
  <c r="BK593" i="7"/>
  <c r="BJ593" i="7"/>
  <c r="BI593" i="7"/>
  <c r="BH593" i="7"/>
  <c r="BG593" i="7"/>
  <c r="DD592" i="7"/>
  <c r="DC592" i="7"/>
  <c r="DB592" i="7"/>
  <c r="DA592" i="7"/>
  <c r="CZ592" i="7"/>
  <c r="CY592" i="7"/>
  <c r="CX592" i="7"/>
  <c r="CW592" i="7"/>
  <c r="CV592" i="7"/>
  <c r="CU592" i="7"/>
  <c r="CT592" i="7"/>
  <c r="CS592" i="7"/>
  <c r="CR592" i="7"/>
  <c r="CQ592" i="7"/>
  <c r="CP592" i="7"/>
  <c r="CO592" i="7"/>
  <c r="CN592" i="7"/>
  <c r="CM592" i="7"/>
  <c r="CL592" i="7"/>
  <c r="CK592" i="7"/>
  <c r="CJ592" i="7"/>
  <c r="CI592" i="7"/>
  <c r="CH592" i="7"/>
  <c r="CG592" i="7"/>
  <c r="CF592" i="7"/>
  <c r="CE592" i="7"/>
  <c r="CD592" i="7"/>
  <c r="CC592" i="7"/>
  <c r="CB592" i="7"/>
  <c r="CA592" i="7"/>
  <c r="BZ592" i="7"/>
  <c r="BY592" i="7"/>
  <c r="BX592" i="7"/>
  <c r="BW592" i="7"/>
  <c r="BV592" i="7"/>
  <c r="BU592" i="7"/>
  <c r="BT592" i="7"/>
  <c r="BS592" i="7"/>
  <c r="BR592" i="7"/>
  <c r="BQ592" i="7"/>
  <c r="BP592" i="7"/>
  <c r="BO592" i="7"/>
  <c r="BN592" i="7"/>
  <c r="BM592" i="7"/>
  <c r="BL592" i="7"/>
  <c r="BK592" i="7"/>
  <c r="BJ592" i="7"/>
  <c r="BI592" i="7"/>
  <c r="BH592" i="7"/>
  <c r="BG592" i="7"/>
  <c r="DD591" i="7"/>
  <c r="DC591" i="7"/>
  <c r="DB591" i="7"/>
  <c r="DA591" i="7"/>
  <c r="CZ591" i="7"/>
  <c r="CY591" i="7"/>
  <c r="CX591" i="7"/>
  <c r="CW591" i="7"/>
  <c r="CV591" i="7"/>
  <c r="CU591" i="7"/>
  <c r="CT591" i="7"/>
  <c r="CS591" i="7"/>
  <c r="CR591" i="7"/>
  <c r="CQ591" i="7"/>
  <c r="CP591" i="7"/>
  <c r="CO591" i="7"/>
  <c r="CN591" i="7"/>
  <c r="CM591" i="7"/>
  <c r="CL591" i="7"/>
  <c r="CK591" i="7"/>
  <c r="CJ591" i="7"/>
  <c r="CI591" i="7"/>
  <c r="CH591" i="7"/>
  <c r="CG591" i="7"/>
  <c r="CF591" i="7"/>
  <c r="CE591" i="7"/>
  <c r="CD591" i="7"/>
  <c r="CC591" i="7"/>
  <c r="CB591" i="7"/>
  <c r="CA591" i="7"/>
  <c r="BZ591" i="7"/>
  <c r="BY591" i="7"/>
  <c r="BX591" i="7"/>
  <c r="BW591" i="7"/>
  <c r="BV591" i="7"/>
  <c r="BU591" i="7"/>
  <c r="BT591" i="7"/>
  <c r="BS591" i="7"/>
  <c r="BR591" i="7"/>
  <c r="BQ591" i="7"/>
  <c r="BP591" i="7"/>
  <c r="BO591" i="7"/>
  <c r="BN591" i="7"/>
  <c r="BM591" i="7"/>
  <c r="BL591" i="7"/>
  <c r="BK591" i="7"/>
  <c r="BJ591" i="7"/>
  <c r="BI591" i="7"/>
  <c r="BH591" i="7"/>
  <c r="BG591" i="7"/>
  <c r="DD590" i="7"/>
  <c r="DC590" i="7"/>
  <c r="DB590" i="7"/>
  <c r="DA590" i="7"/>
  <c r="CZ590" i="7"/>
  <c r="CY590" i="7"/>
  <c r="CX590" i="7"/>
  <c r="CW590" i="7"/>
  <c r="CV590" i="7"/>
  <c r="CU590" i="7"/>
  <c r="CT590" i="7"/>
  <c r="CS590" i="7"/>
  <c r="CR590" i="7"/>
  <c r="CQ590" i="7"/>
  <c r="CP590" i="7"/>
  <c r="CO590" i="7"/>
  <c r="CN590" i="7"/>
  <c r="CM590" i="7"/>
  <c r="CL590" i="7"/>
  <c r="CK590" i="7"/>
  <c r="CJ590" i="7"/>
  <c r="CI590" i="7"/>
  <c r="CH590" i="7"/>
  <c r="CG590" i="7"/>
  <c r="CF590" i="7"/>
  <c r="CE590" i="7"/>
  <c r="CD590" i="7"/>
  <c r="CC590" i="7"/>
  <c r="CB590" i="7"/>
  <c r="CA590" i="7"/>
  <c r="BZ590" i="7"/>
  <c r="BY590" i="7"/>
  <c r="BX590" i="7"/>
  <c r="BW590" i="7"/>
  <c r="BV590" i="7"/>
  <c r="BU590" i="7"/>
  <c r="BT590" i="7"/>
  <c r="BS590" i="7"/>
  <c r="BR590" i="7"/>
  <c r="BQ590" i="7"/>
  <c r="BP590" i="7"/>
  <c r="BO590" i="7"/>
  <c r="BN590" i="7"/>
  <c r="BM590" i="7"/>
  <c r="BL590" i="7"/>
  <c r="BK590" i="7"/>
  <c r="BJ590" i="7"/>
  <c r="BI590" i="7"/>
  <c r="BH590" i="7"/>
  <c r="BG590" i="7"/>
  <c r="DD589" i="7"/>
  <c r="DC589" i="7"/>
  <c r="DB589" i="7"/>
  <c r="DA589" i="7"/>
  <c r="CZ589" i="7"/>
  <c r="CY589" i="7"/>
  <c r="CX589" i="7"/>
  <c r="CW589" i="7"/>
  <c r="CV589" i="7"/>
  <c r="CU589" i="7"/>
  <c r="CT589" i="7"/>
  <c r="CS589" i="7"/>
  <c r="CR589" i="7"/>
  <c r="CQ589" i="7"/>
  <c r="CP589" i="7"/>
  <c r="CO589" i="7"/>
  <c r="CN589" i="7"/>
  <c r="CM589" i="7"/>
  <c r="CL589" i="7"/>
  <c r="CK589" i="7"/>
  <c r="CJ589" i="7"/>
  <c r="CI589" i="7"/>
  <c r="CH589" i="7"/>
  <c r="CG589" i="7"/>
  <c r="CF589" i="7"/>
  <c r="CE589" i="7"/>
  <c r="CD589" i="7"/>
  <c r="CC589" i="7"/>
  <c r="CB589" i="7"/>
  <c r="CA589" i="7"/>
  <c r="BZ589" i="7"/>
  <c r="BY589" i="7"/>
  <c r="BX589" i="7"/>
  <c r="BW589" i="7"/>
  <c r="BV589" i="7"/>
  <c r="BU589" i="7"/>
  <c r="BT589" i="7"/>
  <c r="BS589" i="7"/>
  <c r="BR589" i="7"/>
  <c r="BQ589" i="7"/>
  <c r="BP589" i="7"/>
  <c r="BO589" i="7"/>
  <c r="BN589" i="7"/>
  <c r="BM589" i="7"/>
  <c r="BL589" i="7"/>
  <c r="BK589" i="7"/>
  <c r="BJ589" i="7"/>
  <c r="BI589" i="7"/>
  <c r="BH589" i="7"/>
  <c r="BG589" i="7"/>
  <c r="DD588" i="7"/>
  <c r="DC588" i="7"/>
  <c r="DB588" i="7"/>
  <c r="DA588" i="7"/>
  <c r="CZ588" i="7"/>
  <c r="CY588" i="7"/>
  <c r="CX588" i="7"/>
  <c r="CW588" i="7"/>
  <c r="CV588" i="7"/>
  <c r="CU588" i="7"/>
  <c r="CT588" i="7"/>
  <c r="CS588" i="7"/>
  <c r="CR588" i="7"/>
  <c r="CQ588" i="7"/>
  <c r="CP588" i="7"/>
  <c r="CO588" i="7"/>
  <c r="CN588" i="7"/>
  <c r="CM588" i="7"/>
  <c r="CL588" i="7"/>
  <c r="CK588" i="7"/>
  <c r="CJ588" i="7"/>
  <c r="CI588" i="7"/>
  <c r="CH588" i="7"/>
  <c r="CG588" i="7"/>
  <c r="CF588" i="7"/>
  <c r="CE588" i="7"/>
  <c r="CD588" i="7"/>
  <c r="CC588" i="7"/>
  <c r="CB588" i="7"/>
  <c r="CA588" i="7"/>
  <c r="BZ588" i="7"/>
  <c r="BY588" i="7"/>
  <c r="BX588" i="7"/>
  <c r="BW588" i="7"/>
  <c r="BV588" i="7"/>
  <c r="BU588" i="7"/>
  <c r="BT588" i="7"/>
  <c r="BS588" i="7"/>
  <c r="BR588" i="7"/>
  <c r="BQ588" i="7"/>
  <c r="BP588" i="7"/>
  <c r="BO588" i="7"/>
  <c r="BN588" i="7"/>
  <c r="BM588" i="7"/>
  <c r="BL588" i="7"/>
  <c r="BK588" i="7"/>
  <c r="BJ588" i="7"/>
  <c r="BI588" i="7"/>
  <c r="BH588" i="7"/>
  <c r="BG588" i="7"/>
  <c r="DD587" i="7"/>
  <c r="DC587" i="7"/>
  <c r="DB587" i="7"/>
  <c r="DA587" i="7"/>
  <c r="CZ587" i="7"/>
  <c r="CY587" i="7"/>
  <c r="CX587" i="7"/>
  <c r="CW587" i="7"/>
  <c r="CV587" i="7"/>
  <c r="CU587" i="7"/>
  <c r="CT587" i="7"/>
  <c r="CS587" i="7"/>
  <c r="CR587" i="7"/>
  <c r="CQ587" i="7"/>
  <c r="CP587" i="7"/>
  <c r="CO587" i="7"/>
  <c r="CN587" i="7"/>
  <c r="CM587" i="7"/>
  <c r="CL587" i="7"/>
  <c r="CK587" i="7"/>
  <c r="CJ587" i="7"/>
  <c r="CI587" i="7"/>
  <c r="CH587" i="7"/>
  <c r="CG587" i="7"/>
  <c r="CF587" i="7"/>
  <c r="CE587" i="7"/>
  <c r="CD587" i="7"/>
  <c r="CC587" i="7"/>
  <c r="CB587" i="7"/>
  <c r="CA587" i="7"/>
  <c r="BZ587" i="7"/>
  <c r="BY587" i="7"/>
  <c r="BX587" i="7"/>
  <c r="BW587" i="7"/>
  <c r="BV587" i="7"/>
  <c r="BU587" i="7"/>
  <c r="BT587" i="7"/>
  <c r="BS587" i="7"/>
  <c r="BR587" i="7"/>
  <c r="BQ587" i="7"/>
  <c r="BP587" i="7"/>
  <c r="BO587" i="7"/>
  <c r="BN587" i="7"/>
  <c r="BM587" i="7"/>
  <c r="BL587" i="7"/>
  <c r="BK587" i="7"/>
  <c r="BJ587" i="7"/>
  <c r="BI587" i="7"/>
  <c r="BH587" i="7"/>
  <c r="BG587" i="7"/>
  <c r="DD586" i="7"/>
  <c r="DC586" i="7"/>
  <c r="DB586" i="7"/>
  <c r="DA586" i="7"/>
  <c r="CZ586" i="7"/>
  <c r="CY586" i="7"/>
  <c r="CX586" i="7"/>
  <c r="CW586" i="7"/>
  <c r="CV586" i="7"/>
  <c r="CU586" i="7"/>
  <c r="CT586" i="7"/>
  <c r="CS586" i="7"/>
  <c r="CR586" i="7"/>
  <c r="CQ586" i="7"/>
  <c r="CP586" i="7"/>
  <c r="CO586" i="7"/>
  <c r="CN586" i="7"/>
  <c r="CM586" i="7"/>
  <c r="CL586" i="7"/>
  <c r="CK586" i="7"/>
  <c r="CJ586" i="7"/>
  <c r="CI586" i="7"/>
  <c r="CH586" i="7"/>
  <c r="CG586" i="7"/>
  <c r="CF586" i="7"/>
  <c r="CE586" i="7"/>
  <c r="CD586" i="7"/>
  <c r="CC586" i="7"/>
  <c r="CB586" i="7"/>
  <c r="CA586" i="7"/>
  <c r="BZ586" i="7"/>
  <c r="BY586" i="7"/>
  <c r="BX586" i="7"/>
  <c r="BW586" i="7"/>
  <c r="BV586" i="7"/>
  <c r="BU586" i="7"/>
  <c r="BT586" i="7"/>
  <c r="BS586" i="7"/>
  <c r="BR586" i="7"/>
  <c r="BQ586" i="7"/>
  <c r="BP586" i="7"/>
  <c r="BO586" i="7"/>
  <c r="BN586" i="7"/>
  <c r="BM586" i="7"/>
  <c r="BL586" i="7"/>
  <c r="BK586" i="7"/>
  <c r="BJ586" i="7"/>
  <c r="BI586" i="7"/>
  <c r="BH586" i="7"/>
  <c r="BG586" i="7"/>
  <c r="DD585" i="7"/>
  <c r="DC585" i="7"/>
  <c r="DB585" i="7"/>
  <c r="DA585" i="7"/>
  <c r="CZ585" i="7"/>
  <c r="CY585" i="7"/>
  <c r="CX585" i="7"/>
  <c r="CW585" i="7"/>
  <c r="CV585" i="7"/>
  <c r="CU585" i="7"/>
  <c r="CT585" i="7"/>
  <c r="CS585" i="7"/>
  <c r="CR585" i="7"/>
  <c r="CQ585" i="7"/>
  <c r="CP585" i="7"/>
  <c r="CO585" i="7"/>
  <c r="CN585" i="7"/>
  <c r="CM585" i="7"/>
  <c r="CL585" i="7"/>
  <c r="CK585" i="7"/>
  <c r="CJ585" i="7"/>
  <c r="CI585" i="7"/>
  <c r="CH585" i="7"/>
  <c r="CG585" i="7"/>
  <c r="CF585" i="7"/>
  <c r="CE585" i="7"/>
  <c r="CD585" i="7"/>
  <c r="CC585" i="7"/>
  <c r="CB585" i="7"/>
  <c r="CA585" i="7"/>
  <c r="BZ585" i="7"/>
  <c r="BY585" i="7"/>
  <c r="BX585" i="7"/>
  <c r="BW585" i="7"/>
  <c r="BV585" i="7"/>
  <c r="BU585" i="7"/>
  <c r="BT585" i="7"/>
  <c r="BS585" i="7"/>
  <c r="BR585" i="7"/>
  <c r="BQ585" i="7"/>
  <c r="BP585" i="7"/>
  <c r="BO585" i="7"/>
  <c r="BN585" i="7"/>
  <c r="BM585" i="7"/>
  <c r="BL585" i="7"/>
  <c r="BK585" i="7"/>
  <c r="BJ585" i="7"/>
  <c r="BI585" i="7"/>
  <c r="BH585" i="7"/>
  <c r="BG585" i="7"/>
  <c r="DD584" i="7"/>
  <c r="DC584" i="7"/>
  <c r="DB584" i="7"/>
  <c r="DA584" i="7"/>
  <c r="CZ584" i="7"/>
  <c r="CY584" i="7"/>
  <c r="CX584" i="7"/>
  <c r="CW584" i="7"/>
  <c r="CV584" i="7"/>
  <c r="CU584" i="7"/>
  <c r="CT584" i="7"/>
  <c r="CS584" i="7"/>
  <c r="CR584" i="7"/>
  <c r="CQ584" i="7"/>
  <c r="CP584" i="7"/>
  <c r="CO584" i="7"/>
  <c r="CN584" i="7"/>
  <c r="CM584" i="7"/>
  <c r="CL584" i="7"/>
  <c r="CK584" i="7"/>
  <c r="CJ584" i="7"/>
  <c r="CI584" i="7"/>
  <c r="CH584" i="7"/>
  <c r="CG584" i="7"/>
  <c r="CF584" i="7"/>
  <c r="CE584" i="7"/>
  <c r="CD584" i="7"/>
  <c r="CC584" i="7"/>
  <c r="CB584" i="7"/>
  <c r="CA584" i="7"/>
  <c r="BZ584" i="7"/>
  <c r="BY584" i="7"/>
  <c r="BX584" i="7"/>
  <c r="BW584" i="7"/>
  <c r="BV584" i="7"/>
  <c r="BU584" i="7"/>
  <c r="BT584" i="7"/>
  <c r="BS584" i="7"/>
  <c r="BR584" i="7"/>
  <c r="BQ584" i="7"/>
  <c r="BP584" i="7"/>
  <c r="BO584" i="7"/>
  <c r="BN584" i="7"/>
  <c r="BM584" i="7"/>
  <c r="BL584" i="7"/>
  <c r="BK584" i="7"/>
  <c r="BJ584" i="7"/>
  <c r="BI584" i="7"/>
  <c r="BH584" i="7"/>
  <c r="BG584" i="7"/>
  <c r="DD583" i="7"/>
  <c r="DC583" i="7"/>
  <c r="DB583" i="7"/>
  <c r="DA583" i="7"/>
  <c r="CZ583" i="7"/>
  <c r="CY583" i="7"/>
  <c r="CX583" i="7"/>
  <c r="CW583" i="7"/>
  <c r="CV583" i="7"/>
  <c r="CU583" i="7"/>
  <c r="CT583" i="7"/>
  <c r="CS583" i="7"/>
  <c r="CR583" i="7"/>
  <c r="CQ583" i="7"/>
  <c r="CP583" i="7"/>
  <c r="CO583" i="7"/>
  <c r="CN583" i="7"/>
  <c r="CM583" i="7"/>
  <c r="CL583" i="7"/>
  <c r="CK583" i="7"/>
  <c r="CJ583" i="7"/>
  <c r="CI583" i="7"/>
  <c r="CH583" i="7"/>
  <c r="CG583" i="7"/>
  <c r="CF583" i="7"/>
  <c r="CE583" i="7"/>
  <c r="CD583" i="7"/>
  <c r="CC583" i="7"/>
  <c r="CB583" i="7"/>
  <c r="CA583" i="7"/>
  <c r="BZ583" i="7"/>
  <c r="BY583" i="7"/>
  <c r="BX583" i="7"/>
  <c r="BW583" i="7"/>
  <c r="BV583" i="7"/>
  <c r="BU583" i="7"/>
  <c r="BT583" i="7"/>
  <c r="BS583" i="7"/>
  <c r="BR583" i="7"/>
  <c r="BQ583" i="7"/>
  <c r="BP583" i="7"/>
  <c r="BO583" i="7"/>
  <c r="BN583" i="7"/>
  <c r="BM583" i="7"/>
  <c r="BL583" i="7"/>
  <c r="BK583" i="7"/>
  <c r="BJ583" i="7"/>
  <c r="BI583" i="7"/>
  <c r="BH583" i="7"/>
  <c r="BG583" i="7"/>
  <c r="DD582" i="7"/>
  <c r="DC582" i="7"/>
  <c r="DB582" i="7"/>
  <c r="DA582" i="7"/>
  <c r="CZ582" i="7"/>
  <c r="CY582" i="7"/>
  <c r="CX582" i="7"/>
  <c r="CW582" i="7"/>
  <c r="CV582" i="7"/>
  <c r="CU582" i="7"/>
  <c r="CT582" i="7"/>
  <c r="CS582" i="7"/>
  <c r="CR582" i="7"/>
  <c r="CQ582" i="7"/>
  <c r="CP582" i="7"/>
  <c r="CO582" i="7"/>
  <c r="CN582" i="7"/>
  <c r="CM582" i="7"/>
  <c r="CL582" i="7"/>
  <c r="CK582" i="7"/>
  <c r="CJ582" i="7"/>
  <c r="CI582" i="7"/>
  <c r="CH582" i="7"/>
  <c r="CG582" i="7"/>
  <c r="CF582" i="7"/>
  <c r="CE582" i="7"/>
  <c r="CD582" i="7"/>
  <c r="CC582" i="7"/>
  <c r="CB582" i="7"/>
  <c r="CA582" i="7"/>
  <c r="BZ582" i="7"/>
  <c r="BY582" i="7"/>
  <c r="BX582" i="7"/>
  <c r="BW582" i="7"/>
  <c r="BV582" i="7"/>
  <c r="BU582" i="7"/>
  <c r="BT582" i="7"/>
  <c r="BS582" i="7"/>
  <c r="BR582" i="7"/>
  <c r="BQ582" i="7"/>
  <c r="BP582" i="7"/>
  <c r="BO582" i="7"/>
  <c r="BN582" i="7"/>
  <c r="BM582" i="7"/>
  <c r="BL582" i="7"/>
  <c r="BK582" i="7"/>
  <c r="BJ582" i="7"/>
  <c r="BI582" i="7"/>
  <c r="BH582" i="7"/>
  <c r="BG582" i="7"/>
  <c r="DD581" i="7"/>
  <c r="DC581" i="7"/>
  <c r="DB581" i="7"/>
  <c r="DA581" i="7"/>
  <c r="CZ581" i="7"/>
  <c r="CY581" i="7"/>
  <c r="CX581" i="7"/>
  <c r="CW581" i="7"/>
  <c r="CV581" i="7"/>
  <c r="CU581" i="7"/>
  <c r="CT581" i="7"/>
  <c r="CS581" i="7"/>
  <c r="CR581" i="7"/>
  <c r="CQ581" i="7"/>
  <c r="CP581" i="7"/>
  <c r="CO581" i="7"/>
  <c r="CN581" i="7"/>
  <c r="CM581" i="7"/>
  <c r="CL581" i="7"/>
  <c r="CK581" i="7"/>
  <c r="CJ581" i="7"/>
  <c r="CI581" i="7"/>
  <c r="CH581" i="7"/>
  <c r="CG581" i="7"/>
  <c r="CF581" i="7"/>
  <c r="CE581" i="7"/>
  <c r="CD581" i="7"/>
  <c r="CC581" i="7"/>
  <c r="CB581" i="7"/>
  <c r="CA581" i="7"/>
  <c r="BZ581" i="7"/>
  <c r="BY581" i="7"/>
  <c r="BX581" i="7"/>
  <c r="BW581" i="7"/>
  <c r="BV581" i="7"/>
  <c r="BU581" i="7"/>
  <c r="BT581" i="7"/>
  <c r="BS581" i="7"/>
  <c r="BR581" i="7"/>
  <c r="BQ581" i="7"/>
  <c r="BP581" i="7"/>
  <c r="BO581" i="7"/>
  <c r="BN581" i="7"/>
  <c r="BM581" i="7"/>
  <c r="BL581" i="7"/>
  <c r="BK581" i="7"/>
  <c r="BJ581" i="7"/>
  <c r="BI581" i="7"/>
  <c r="BH581" i="7"/>
  <c r="BG581" i="7"/>
  <c r="DD580" i="7"/>
  <c r="DC580" i="7"/>
  <c r="DB580" i="7"/>
  <c r="DA580" i="7"/>
  <c r="CZ580" i="7"/>
  <c r="CY580" i="7"/>
  <c r="CX580" i="7"/>
  <c r="CW580" i="7"/>
  <c r="CV580" i="7"/>
  <c r="CU580" i="7"/>
  <c r="CT580" i="7"/>
  <c r="CS580" i="7"/>
  <c r="CR580" i="7"/>
  <c r="CQ580" i="7"/>
  <c r="CP580" i="7"/>
  <c r="CO580" i="7"/>
  <c r="CN580" i="7"/>
  <c r="CM580" i="7"/>
  <c r="CL580" i="7"/>
  <c r="CK580" i="7"/>
  <c r="CJ580" i="7"/>
  <c r="CI580" i="7"/>
  <c r="CH580" i="7"/>
  <c r="CG580" i="7"/>
  <c r="CF580" i="7"/>
  <c r="CE580" i="7"/>
  <c r="CD580" i="7"/>
  <c r="CC580" i="7"/>
  <c r="CB580" i="7"/>
  <c r="CA580" i="7"/>
  <c r="BZ580" i="7"/>
  <c r="BY580" i="7"/>
  <c r="BX580" i="7"/>
  <c r="BW580" i="7"/>
  <c r="BV580" i="7"/>
  <c r="BU580" i="7"/>
  <c r="BT580" i="7"/>
  <c r="BS580" i="7"/>
  <c r="BR580" i="7"/>
  <c r="BQ580" i="7"/>
  <c r="BP580" i="7"/>
  <c r="BO580" i="7"/>
  <c r="BN580" i="7"/>
  <c r="BM580" i="7"/>
  <c r="BL580" i="7"/>
  <c r="BK580" i="7"/>
  <c r="BJ580" i="7"/>
  <c r="BI580" i="7"/>
  <c r="BH580" i="7"/>
  <c r="BG580" i="7"/>
  <c r="DD579" i="7"/>
  <c r="DC579" i="7"/>
  <c r="DB579" i="7"/>
  <c r="DA579" i="7"/>
  <c r="CZ579" i="7"/>
  <c r="CY579" i="7"/>
  <c r="CX579" i="7"/>
  <c r="CW579" i="7"/>
  <c r="CV579" i="7"/>
  <c r="CU579" i="7"/>
  <c r="CT579" i="7"/>
  <c r="CS579" i="7"/>
  <c r="CR579" i="7"/>
  <c r="CQ579" i="7"/>
  <c r="CP579" i="7"/>
  <c r="CO579" i="7"/>
  <c r="CN579" i="7"/>
  <c r="CM579" i="7"/>
  <c r="CL579" i="7"/>
  <c r="CK579" i="7"/>
  <c r="CJ579" i="7"/>
  <c r="CI579" i="7"/>
  <c r="CH579" i="7"/>
  <c r="CG579" i="7"/>
  <c r="CF579" i="7"/>
  <c r="CE579" i="7"/>
  <c r="CD579" i="7"/>
  <c r="CC579" i="7"/>
  <c r="CB579" i="7"/>
  <c r="CA579" i="7"/>
  <c r="BZ579" i="7"/>
  <c r="BY579" i="7"/>
  <c r="BX579" i="7"/>
  <c r="BW579" i="7"/>
  <c r="BV579" i="7"/>
  <c r="BU579" i="7"/>
  <c r="BT579" i="7"/>
  <c r="BS579" i="7"/>
  <c r="BR579" i="7"/>
  <c r="BQ579" i="7"/>
  <c r="BP579" i="7"/>
  <c r="BO579" i="7"/>
  <c r="BN579" i="7"/>
  <c r="BM579" i="7"/>
  <c r="BL579" i="7"/>
  <c r="BK579" i="7"/>
  <c r="BJ579" i="7"/>
  <c r="BI579" i="7"/>
  <c r="BH579" i="7"/>
  <c r="BG579" i="7"/>
  <c r="DD578" i="7"/>
  <c r="DC578" i="7"/>
  <c r="DB578" i="7"/>
  <c r="DA578" i="7"/>
  <c r="CZ578" i="7"/>
  <c r="CY578" i="7"/>
  <c r="CX578" i="7"/>
  <c r="CW578" i="7"/>
  <c r="CV578" i="7"/>
  <c r="CU578" i="7"/>
  <c r="CT578" i="7"/>
  <c r="CS578" i="7"/>
  <c r="CR578" i="7"/>
  <c r="CQ578" i="7"/>
  <c r="CP578" i="7"/>
  <c r="CO578" i="7"/>
  <c r="CN578" i="7"/>
  <c r="CM578" i="7"/>
  <c r="CL578" i="7"/>
  <c r="CK578" i="7"/>
  <c r="CJ578" i="7"/>
  <c r="CI578" i="7"/>
  <c r="CH578" i="7"/>
  <c r="CG578" i="7"/>
  <c r="CF578" i="7"/>
  <c r="CE578" i="7"/>
  <c r="CD578" i="7"/>
  <c r="CC578" i="7"/>
  <c r="CB578" i="7"/>
  <c r="CA578" i="7"/>
  <c r="BZ578" i="7"/>
  <c r="BY578" i="7"/>
  <c r="BX578" i="7"/>
  <c r="BW578" i="7"/>
  <c r="BV578" i="7"/>
  <c r="BU578" i="7"/>
  <c r="BT578" i="7"/>
  <c r="BS578" i="7"/>
  <c r="BR578" i="7"/>
  <c r="BQ578" i="7"/>
  <c r="BP578" i="7"/>
  <c r="BO578" i="7"/>
  <c r="BN578" i="7"/>
  <c r="BM578" i="7"/>
  <c r="BL578" i="7"/>
  <c r="BK578" i="7"/>
  <c r="BJ578" i="7"/>
  <c r="BI578" i="7"/>
  <c r="BH578" i="7"/>
  <c r="BG578" i="7"/>
  <c r="DD577" i="7"/>
  <c r="DC577" i="7"/>
  <c r="DB577" i="7"/>
  <c r="DA577" i="7"/>
  <c r="CZ577" i="7"/>
  <c r="CY577" i="7"/>
  <c r="CX577" i="7"/>
  <c r="CW577" i="7"/>
  <c r="CV577" i="7"/>
  <c r="CU577" i="7"/>
  <c r="CT577" i="7"/>
  <c r="CS577" i="7"/>
  <c r="CR577" i="7"/>
  <c r="CQ577" i="7"/>
  <c r="CP577" i="7"/>
  <c r="CO577" i="7"/>
  <c r="CN577" i="7"/>
  <c r="CM577" i="7"/>
  <c r="CL577" i="7"/>
  <c r="CK577" i="7"/>
  <c r="CJ577" i="7"/>
  <c r="CI577" i="7"/>
  <c r="CH577" i="7"/>
  <c r="CG577" i="7"/>
  <c r="CF577" i="7"/>
  <c r="CE577" i="7"/>
  <c r="CD577" i="7"/>
  <c r="CC577" i="7"/>
  <c r="CB577" i="7"/>
  <c r="CA577" i="7"/>
  <c r="BZ577" i="7"/>
  <c r="BY577" i="7"/>
  <c r="BX577" i="7"/>
  <c r="BW577" i="7"/>
  <c r="BV577" i="7"/>
  <c r="BU577" i="7"/>
  <c r="BT577" i="7"/>
  <c r="BS577" i="7"/>
  <c r="BR577" i="7"/>
  <c r="BQ577" i="7"/>
  <c r="BP577" i="7"/>
  <c r="BO577" i="7"/>
  <c r="BN577" i="7"/>
  <c r="BM577" i="7"/>
  <c r="BL577" i="7"/>
  <c r="BK577" i="7"/>
  <c r="BJ577" i="7"/>
  <c r="BI577" i="7"/>
  <c r="BH577" i="7"/>
  <c r="BG577" i="7"/>
  <c r="DD576" i="7"/>
  <c r="DC576" i="7"/>
  <c r="DB576" i="7"/>
  <c r="DA576" i="7"/>
  <c r="CZ576" i="7"/>
  <c r="CY576" i="7"/>
  <c r="CX576" i="7"/>
  <c r="CW576" i="7"/>
  <c r="CV576" i="7"/>
  <c r="CU576" i="7"/>
  <c r="CT576" i="7"/>
  <c r="CS576" i="7"/>
  <c r="CR576" i="7"/>
  <c r="CQ576" i="7"/>
  <c r="CP576" i="7"/>
  <c r="CO576" i="7"/>
  <c r="CN576" i="7"/>
  <c r="CM576" i="7"/>
  <c r="CL576" i="7"/>
  <c r="CK576" i="7"/>
  <c r="CJ576" i="7"/>
  <c r="CI576" i="7"/>
  <c r="CH576" i="7"/>
  <c r="CG576" i="7"/>
  <c r="CF576" i="7"/>
  <c r="CE576" i="7"/>
  <c r="CD576" i="7"/>
  <c r="CC576" i="7"/>
  <c r="CB576" i="7"/>
  <c r="CA576" i="7"/>
  <c r="BZ576" i="7"/>
  <c r="BY576" i="7"/>
  <c r="BX576" i="7"/>
  <c r="BW576" i="7"/>
  <c r="BV576" i="7"/>
  <c r="BU576" i="7"/>
  <c r="BT576" i="7"/>
  <c r="BS576" i="7"/>
  <c r="BR576" i="7"/>
  <c r="BQ576" i="7"/>
  <c r="BP576" i="7"/>
  <c r="BO576" i="7"/>
  <c r="BN576" i="7"/>
  <c r="BM576" i="7"/>
  <c r="BL576" i="7"/>
  <c r="BK576" i="7"/>
  <c r="BJ576" i="7"/>
  <c r="BI576" i="7"/>
  <c r="BH576" i="7"/>
  <c r="DD575" i="7"/>
  <c r="DC575" i="7"/>
  <c r="DB575" i="7"/>
  <c r="DA575" i="7"/>
  <c r="CZ575" i="7"/>
  <c r="CY575" i="7"/>
  <c r="CX575" i="7"/>
  <c r="CW575" i="7"/>
  <c r="CV575" i="7"/>
  <c r="CU575" i="7"/>
  <c r="CT575" i="7"/>
  <c r="CS575" i="7"/>
  <c r="CR575" i="7"/>
  <c r="CQ575" i="7"/>
  <c r="CP575" i="7"/>
  <c r="CO575" i="7"/>
  <c r="CN575" i="7"/>
  <c r="CM575" i="7"/>
  <c r="CL575" i="7"/>
  <c r="CK575" i="7"/>
  <c r="CJ575" i="7"/>
  <c r="CI575" i="7"/>
  <c r="CH575" i="7"/>
  <c r="CG575" i="7"/>
  <c r="CF575" i="7"/>
  <c r="CE575" i="7"/>
  <c r="CD575" i="7"/>
  <c r="CC575" i="7"/>
  <c r="CB575" i="7"/>
  <c r="CA575" i="7"/>
  <c r="BZ575" i="7"/>
  <c r="BY575" i="7"/>
  <c r="BX575" i="7"/>
  <c r="BW575" i="7"/>
  <c r="BV575" i="7"/>
  <c r="BU575" i="7"/>
  <c r="BT575" i="7"/>
  <c r="BS575" i="7"/>
  <c r="BR575" i="7"/>
  <c r="BQ575" i="7"/>
  <c r="BP575" i="7"/>
  <c r="BO575" i="7"/>
  <c r="BN575" i="7"/>
  <c r="BM575" i="7"/>
  <c r="BL575" i="7"/>
  <c r="BK575" i="7"/>
  <c r="BJ575" i="7"/>
  <c r="BI575" i="7"/>
  <c r="BH575" i="7"/>
  <c r="BG575" i="7"/>
  <c r="DD574" i="7"/>
  <c r="DC574" i="7"/>
  <c r="DB574" i="7"/>
  <c r="DA574" i="7"/>
  <c r="CZ574" i="7"/>
  <c r="CY574" i="7"/>
  <c r="CX574" i="7"/>
  <c r="CW574" i="7"/>
  <c r="CV574" i="7"/>
  <c r="CU574" i="7"/>
  <c r="CT574" i="7"/>
  <c r="CS574" i="7"/>
  <c r="CR574" i="7"/>
  <c r="CQ574" i="7"/>
  <c r="CP574" i="7"/>
  <c r="CO574" i="7"/>
  <c r="CN574" i="7"/>
  <c r="CM574" i="7"/>
  <c r="CL574" i="7"/>
  <c r="CK574" i="7"/>
  <c r="CJ574" i="7"/>
  <c r="CI574" i="7"/>
  <c r="CH574" i="7"/>
  <c r="CG574" i="7"/>
  <c r="CF574" i="7"/>
  <c r="CE574" i="7"/>
  <c r="CD574" i="7"/>
  <c r="CC574" i="7"/>
  <c r="CB574" i="7"/>
  <c r="CA574" i="7"/>
  <c r="BZ574" i="7"/>
  <c r="BY574" i="7"/>
  <c r="BX574" i="7"/>
  <c r="BW574" i="7"/>
  <c r="BV574" i="7"/>
  <c r="BU574" i="7"/>
  <c r="BT574" i="7"/>
  <c r="BS574" i="7"/>
  <c r="BR574" i="7"/>
  <c r="BQ574" i="7"/>
  <c r="BP574" i="7"/>
  <c r="BO574" i="7"/>
  <c r="BN574" i="7"/>
  <c r="BM574" i="7"/>
  <c r="BL574" i="7"/>
  <c r="BK574" i="7"/>
  <c r="BJ574" i="7"/>
  <c r="BI574" i="7"/>
  <c r="BH574" i="7"/>
  <c r="BG574" i="7"/>
  <c r="DD573" i="7"/>
  <c r="DC573" i="7"/>
  <c r="DB573" i="7"/>
  <c r="DA573" i="7"/>
  <c r="CZ573" i="7"/>
  <c r="CY573" i="7"/>
  <c r="CX573" i="7"/>
  <c r="CW573" i="7"/>
  <c r="CV573" i="7"/>
  <c r="CU573" i="7"/>
  <c r="CT573" i="7"/>
  <c r="CS573" i="7"/>
  <c r="CR573" i="7"/>
  <c r="CQ573" i="7"/>
  <c r="CP573" i="7"/>
  <c r="CO573" i="7"/>
  <c r="CN573" i="7"/>
  <c r="CM573" i="7"/>
  <c r="CL573" i="7"/>
  <c r="CK573" i="7"/>
  <c r="CJ573" i="7"/>
  <c r="CI573" i="7"/>
  <c r="CH573" i="7"/>
  <c r="CG573" i="7"/>
  <c r="CF573" i="7"/>
  <c r="CE573" i="7"/>
  <c r="CD573" i="7"/>
  <c r="CC573" i="7"/>
  <c r="CB573" i="7"/>
  <c r="CA573" i="7"/>
  <c r="BZ573" i="7"/>
  <c r="BY573" i="7"/>
  <c r="BX573" i="7"/>
  <c r="BW573" i="7"/>
  <c r="BV573" i="7"/>
  <c r="BU573" i="7"/>
  <c r="BT573" i="7"/>
  <c r="BS573" i="7"/>
  <c r="BR573" i="7"/>
  <c r="BQ573" i="7"/>
  <c r="BP573" i="7"/>
  <c r="BO573" i="7"/>
  <c r="BN573" i="7"/>
  <c r="BM573" i="7"/>
  <c r="BL573" i="7"/>
  <c r="BK573" i="7"/>
  <c r="BJ573" i="7"/>
  <c r="BI573" i="7"/>
  <c r="BH573" i="7"/>
  <c r="BG573" i="7"/>
  <c r="DD572" i="7"/>
  <c r="DC572" i="7"/>
  <c r="DB572" i="7"/>
  <c r="DA572" i="7"/>
  <c r="CZ572" i="7"/>
  <c r="CY572" i="7"/>
  <c r="CX572" i="7"/>
  <c r="CW572" i="7"/>
  <c r="CV572" i="7"/>
  <c r="CU572" i="7"/>
  <c r="CT572" i="7"/>
  <c r="CS572" i="7"/>
  <c r="CR572" i="7"/>
  <c r="CQ572" i="7"/>
  <c r="CP572" i="7"/>
  <c r="CO572" i="7"/>
  <c r="CN572" i="7"/>
  <c r="CM572" i="7"/>
  <c r="CL572" i="7"/>
  <c r="CK572" i="7"/>
  <c r="CJ572" i="7"/>
  <c r="CI572" i="7"/>
  <c r="CH572" i="7"/>
  <c r="CG572" i="7"/>
  <c r="CF572" i="7"/>
  <c r="CE572" i="7"/>
  <c r="CD572" i="7"/>
  <c r="CC572" i="7"/>
  <c r="CB572" i="7"/>
  <c r="CA572" i="7"/>
  <c r="BZ572" i="7"/>
  <c r="BY572" i="7"/>
  <c r="BX572" i="7"/>
  <c r="BW572" i="7"/>
  <c r="BV572" i="7"/>
  <c r="BU572" i="7"/>
  <c r="BT572" i="7"/>
  <c r="BS572" i="7"/>
  <c r="BR572" i="7"/>
  <c r="BQ572" i="7"/>
  <c r="BP572" i="7"/>
  <c r="BO572" i="7"/>
  <c r="BN572" i="7"/>
  <c r="BM572" i="7"/>
  <c r="BL572" i="7"/>
  <c r="BK572" i="7"/>
  <c r="BJ572" i="7"/>
  <c r="BI572" i="7"/>
  <c r="BH572" i="7"/>
  <c r="BG572" i="7"/>
  <c r="DD571" i="7"/>
  <c r="DC571" i="7"/>
  <c r="DB571" i="7"/>
  <c r="DA571" i="7"/>
  <c r="CZ571" i="7"/>
  <c r="CY571" i="7"/>
  <c r="CX571" i="7"/>
  <c r="CW571" i="7"/>
  <c r="CV571" i="7"/>
  <c r="CU571" i="7"/>
  <c r="CT571" i="7"/>
  <c r="CS571" i="7"/>
  <c r="CR571" i="7"/>
  <c r="CQ571" i="7"/>
  <c r="CP571" i="7"/>
  <c r="CO571" i="7"/>
  <c r="CN571" i="7"/>
  <c r="CM571" i="7"/>
  <c r="CL571" i="7"/>
  <c r="CK571" i="7"/>
  <c r="CJ571" i="7"/>
  <c r="CI571" i="7"/>
  <c r="CH571" i="7"/>
  <c r="CG571" i="7"/>
  <c r="CF571" i="7"/>
  <c r="CE571" i="7"/>
  <c r="CD571" i="7"/>
  <c r="CC571" i="7"/>
  <c r="CB571" i="7"/>
  <c r="CA571" i="7"/>
  <c r="BZ571" i="7"/>
  <c r="BY571" i="7"/>
  <c r="BX571" i="7"/>
  <c r="BW571" i="7"/>
  <c r="BV571" i="7"/>
  <c r="BU571" i="7"/>
  <c r="BT571" i="7"/>
  <c r="BS571" i="7"/>
  <c r="BR571" i="7"/>
  <c r="BQ571" i="7"/>
  <c r="BP571" i="7"/>
  <c r="BO571" i="7"/>
  <c r="BN571" i="7"/>
  <c r="BM571" i="7"/>
  <c r="BL571" i="7"/>
  <c r="BK571" i="7"/>
  <c r="BJ571" i="7"/>
  <c r="BI571" i="7"/>
  <c r="BH571" i="7"/>
  <c r="BG571" i="7"/>
  <c r="DD570" i="7"/>
  <c r="DC570" i="7"/>
  <c r="DB570" i="7"/>
  <c r="DA570" i="7"/>
  <c r="CZ570" i="7"/>
  <c r="CY570" i="7"/>
  <c r="CX570" i="7"/>
  <c r="CW570" i="7"/>
  <c r="CV570" i="7"/>
  <c r="CU570" i="7"/>
  <c r="CT570" i="7"/>
  <c r="CS570" i="7"/>
  <c r="CR570" i="7"/>
  <c r="CQ570" i="7"/>
  <c r="CP570" i="7"/>
  <c r="CO570" i="7"/>
  <c r="CN570" i="7"/>
  <c r="CM570" i="7"/>
  <c r="CL570" i="7"/>
  <c r="CK570" i="7"/>
  <c r="CJ570" i="7"/>
  <c r="CI570" i="7"/>
  <c r="CH570" i="7"/>
  <c r="CG570" i="7"/>
  <c r="CF570" i="7"/>
  <c r="CE570" i="7"/>
  <c r="CD570" i="7"/>
  <c r="CC570" i="7"/>
  <c r="CB570" i="7"/>
  <c r="CA570" i="7"/>
  <c r="BZ570" i="7"/>
  <c r="BY570" i="7"/>
  <c r="BX570" i="7"/>
  <c r="BW570" i="7"/>
  <c r="BV570" i="7"/>
  <c r="BU570" i="7"/>
  <c r="BT570" i="7"/>
  <c r="BS570" i="7"/>
  <c r="BR570" i="7"/>
  <c r="BQ570" i="7"/>
  <c r="BP570" i="7"/>
  <c r="BO570" i="7"/>
  <c r="BN570" i="7"/>
  <c r="BM570" i="7"/>
  <c r="BL570" i="7"/>
  <c r="BK570" i="7"/>
  <c r="BJ570" i="7"/>
  <c r="BI570" i="7"/>
  <c r="BH570" i="7"/>
  <c r="BG570" i="7"/>
  <c r="DD569" i="7"/>
  <c r="DC569" i="7"/>
  <c r="DB569" i="7"/>
  <c r="DA569" i="7"/>
  <c r="CZ569" i="7"/>
  <c r="CY569" i="7"/>
  <c r="CX569" i="7"/>
  <c r="CW569" i="7"/>
  <c r="CV569" i="7"/>
  <c r="CU569" i="7"/>
  <c r="CT569" i="7"/>
  <c r="CS569" i="7"/>
  <c r="CR569" i="7"/>
  <c r="CQ569" i="7"/>
  <c r="CP569" i="7"/>
  <c r="CO569" i="7"/>
  <c r="CN569" i="7"/>
  <c r="CM569" i="7"/>
  <c r="CL569" i="7"/>
  <c r="CK569" i="7"/>
  <c r="CJ569" i="7"/>
  <c r="CI569" i="7"/>
  <c r="CH569" i="7"/>
  <c r="CG569" i="7"/>
  <c r="CF569" i="7"/>
  <c r="CE569" i="7"/>
  <c r="CD569" i="7"/>
  <c r="CC569" i="7"/>
  <c r="CB569" i="7"/>
  <c r="CA569" i="7"/>
  <c r="BZ569" i="7"/>
  <c r="BY569" i="7"/>
  <c r="BX569" i="7"/>
  <c r="BW569" i="7"/>
  <c r="BV569" i="7"/>
  <c r="BU569" i="7"/>
  <c r="BT569" i="7"/>
  <c r="BS569" i="7"/>
  <c r="BR569" i="7"/>
  <c r="BQ569" i="7"/>
  <c r="BP569" i="7"/>
  <c r="BO569" i="7"/>
  <c r="BN569" i="7"/>
  <c r="BM569" i="7"/>
  <c r="BL569" i="7"/>
  <c r="BK569" i="7"/>
  <c r="BJ569" i="7"/>
  <c r="BI569" i="7"/>
  <c r="BH569" i="7"/>
  <c r="BG569" i="7"/>
  <c r="DD568" i="7"/>
  <c r="DC568" i="7"/>
  <c r="DB568" i="7"/>
  <c r="DA568" i="7"/>
  <c r="CZ568" i="7"/>
  <c r="CY568" i="7"/>
  <c r="CX568" i="7"/>
  <c r="CW568" i="7"/>
  <c r="CV568" i="7"/>
  <c r="CU568" i="7"/>
  <c r="CT568" i="7"/>
  <c r="CS568" i="7"/>
  <c r="CR568" i="7"/>
  <c r="CQ568" i="7"/>
  <c r="CP568" i="7"/>
  <c r="CO568" i="7"/>
  <c r="CN568" i="7"/>
  <c r="CM568" i="7"/>
  <c r="CL568" i="7"/>
  <c r="CK568" i="7"/>
  <c r="CJ568" i="7"/>
  <c r="CI568" i="7"/>
  <c r="CH568" i="7"/>
  <c r="CG568" i="7"/>
  <c r="CF568" i="7"/>
  <c r="CE568" i="7"/>
  <c r="CD568" i="7"/>
  <c r="CC568" i="7"/>
  <c r="CB568" i="7"/>
  <c r="CA568" i="7"/>
  <c r="BZ568" i="7"/>
  <c r="BY568" i="7"/>
  <c r="BX568" i="7"/>
  <c r="BW568" i="7"/>
  <c r="BV568" i="7"/>
  <c r="BU568" i="7"/>
  <c r="BT568" i="7"/>
  <c r="BS568" i="7"/>
  <c r="BR568" i="7"/>
  <c r="BQ568" i="7"/>
  <c r="BP568" i="7"/>
  <c r="BO568" i="7"/>
  <c r="BN568" i="7"/>
  <c r="BM568" i="7"/>
  <c r="BL568" i="7"/>
  <c r="BK568" i="7"/>
  <c r="BJ568" i="7"/>
  <c r="BI568" i="7"/>
  <c r="BH568" i="7"/>
  <c r="BG568" i="7"/>
  <c r="DD567" i="7"/>
  <c r="DC567" i="7"/>
  <c r="DB567" i="7"/>
  <c r="DA567" i="7"/>
  <c r="CZ567" i="7"/>
  <c r="CY567" i="7"/>
  <c r="CX567" i="7"/>
  <c r="CW567" i="7"/>
  <c r="CV567" i="7"/>
  <c r="CU567" i="7"/>
  <c r="CT567" i="7"/>
  <c r="CS567" i="7"/>
  <c r="CR567" i="7"/>
  <c r="CQ567" i="7"/>
  <c r="CP567" i="7"/>
  <c r="CO567" i="7"/>
  <c r="CN567" i="7"/>
  <c r="CM567" i="7"/>
  <c r="CL567" i="7"/>
  <c r="CK567" i="7"/>
  <c r="CJ567" i="7"/>
  <c r="CI567" i="7"/>
  <c r="CH567" i="7"/>
  <c r="CG567" i="7"/>
  <c r="CF567" i="7"/>
  <c r="CE567" i="7"/>
  <c r="CD567" i="7"/>
  <c r="CC567" i="7"/>
  <c r="CB567" i="7"/>
  <c r="CA567" i="7"/>
  <c r="BZ567" i="7"/>
  <c r="BY567" i="7"/>
  <c r="BX567" i="7"/>
  <c r="BW567" i="7"/>
  <c r="BV567" i="7"/>
  <c r="BU567" i="7"/>
  <c r="BT567" i="7"/>
  <c r="BS567" i="7"/>
  <c r="BR567" i="7"/>
  <c r="BQ567" i="7"/>
  <c r="BP567" i="7"/>
  <c r="BO567" i="7"/>
  <c r="BN567" i="7"/>
  <c r="BM567" i="7"/>
  <c r="BL567" i="7"/>
  <c r="BK567" i="7"/>
  <c r="BJ567" i="7"/>
  <c r="BI567" i="7"/>
  <c r="BH567" i="7"/>
  <c r="BG567" i="7"/>
  <c r="DD566" i="7"/>
  <c r="DC566" i="7"/>
  <c r="DB566" i="7"/>
  <c r="DA566" i="7"/>
  <c r="CZ566" i="7"/>
  <c r="CY566" i="7"/>
  <c r="CX566" i="7"/>
  <c r="CW566" i="7"/>
  <c r="CV566" i="7"/>
  <c r="CU566" i="7"/>
  <c r="CT566" i="7"/>
  <c r="CS566" i="7"/>
  <c r="CR566" i="7"/>
  <c r="CQ566" i="7"/>
  <c r="CP566" i="7"/>
  <c r="CO566" i="7"/>
  <c r="CN566" i="7"/>
  <c r="CM566" i="7"/>
  <c r="CL566" i="7"/>
  <c r="CK566" i="7"/>
  <c r="CJ566" i="7"/>
  <c r="CI566" i="7"/>
  <c r="CH566" i="7"/>
  <c r="CG566" i="7"/>
  <c r="CF566" i="7"/>
  <c r="CE566" i="7"/>
  <c r="CD566" i="7"/>
  <c r="CC566" i="7"/>
  <c r="CB566" i="7"/>
  <c r="CA566" i="7"/>
  <c r="BZ566" i="7"/>
  <c r="BY566" i="7"/>
  <c r="BX566" i="7"/>
  <c r="BW566" i="7"/>
  <c r="BV566" i="7"/>
  <c r="BU566" i="7"/>
  <c r="BT566" i="7"/>
  <c r="BS566" i="7"/>
  <c r="BR566" i="7"/>
  <c r="BQ566" i="7"/>
  <c r="BP566" i="7"/>
  <c r="BO566" i="7"/>
  <c r="BN566" i="7"/>
  <c r="BM566" i="7"/>
  <c r="BL566" i="7"/>
  <c r="BK566" i="7"/>
  <c r="BJ566" i="7"/>
  <c r="BI566" i="7"/>
  <c r="BH566" i="7"/>
  <c r="BG566" i="7"/>
  <c r="DD565" i="7"/>
  <c r="DC565" i="7"/>
  <c r="DB565" i="7"/>
  <c r="DA565" i="7"/>
  <c r="CZ565" i="7"/>
  <c r="CY565" i="7"/>
  <c r="CX565" i="7"/>
  <c r="CW565" i="7"/>
  <c r="CV565" i="7"/>
  <c r="CU565" i="7"/>
  <c r="CT565" i="7"/>
  <c r="CS565" i="7"/>
  <c r="CR565" i="7"/>
  <c r="CQ565" i="7"/>
  <c r="CP565" i="7"/>
  <c r="CO565" i="7"/>
  <c r="CN565" i="7"/>
  <c r="CM565" i="7"/>
  <c r="CL565" i="7"/>
  <c r="CK565" i="7"/>
  <c r="CJ565" i="7"/>
  <c r="CI565" i="7"/>
  <c r="CH565" i="7"/>
  <c r="CG565" i="7"/>
  <c r="CF565" i="7"/>
  <c r="CE565" i="7"/>
  <c r="CD565" i="7"/>
  <c r="CC565" i="7"/>
  <c r="CB565" i="7"/>
  <c r="CA565" i="7"/>
  <c r="BZ565" i="7"/>
  <c r="BY565" i="7"/>
  <c r="BX565" i="7"/>
  <c r="BW565" i="7"/>
  <c r="BV565" i="7"/>
  <c r="BU565" i="7"/>
  <c r="BT565" i="7"/>
  <c r="BS565" i="7"/>
  <c r="BR565" i="7"/>
  <c r="BQ565" i="7"/>
  <c r="BP565" i="7"/>
  <c r="BO565" i="7"/>
  <c r="BN565" i="7"/>
  <c r="BM565" i="7"/>
  <c r="BL565" i="7"/>
  <c r="BK565" i="7"/>
  <c r="BJ565" i="7"/>
  <c r="BI565" i="7"/>
  <c r="BH565" i="7"/>
  <c r="BG565" i="7"/>
  <c r="DD564" i="7"/>
  <c r="DC564" i="7"/>
  <c r="DB564" i="7"/>
  <c r="DA564" i="7"/>
  <c r="CZ564" i="7"/>
  <c r="CY564" i="7"/>
  <c r="CX564" i="7"/>
  <c r="CW564" i="7"/>
  <c r="CV564" i="7"/>
  <c r="CU564" i="7"/>
  <c r="CT564" i="7"/>
  <c r="CS564" i="7"/>
  <c r="CR564" i="7"/>
  <c r="CQ564" i="7"/>
  <c r="CP564" i="7"/>
  <c r="CO564" i="7"/>
  <c r="CN564" i="7"/>
  <c r="CM564" i="7"/>
  <c r="CL564" i="7"/>
  <c r="CK564" i="7"/>
  <c r="CJ564" i="7"/>
  <c r="CI564" i="7"/>
  <c r="CH564" i="7"/>
  <c r="CG564" i="7"/>
  <c r="CF564" i="7"/>
  <c r="CE564" i="7"/>
  <c r="CD564" i="7"/>
  <c r="CC564" i="7"/>
  <c r="CB564" i="7"/>
  <c r="CA564" i="7"/>
  <c r="BZ564" i="7"/>
  <c r="BY564" i="7"/>
  <c r="BX564" i="7"/>
  <c r="BW564" i="7"/>
  <c r="BV564" i="7"/>
  <c r="BU564" i="7"/>
  <c r="BT564" i="7"/>
  <c r="BS564" i="7"/>
  <c r="BR564" i="7"/>
  <c r="BQ564" i="7"/>
  <c r="BP564" i="7"/>
  <c r="BO564" i="7"/>
  <c r="BN564" i="7"/>
  <c r="BM564" i="7"/>
  <c r="BL564" i="7"/>
  <c r="BK564" i="7"/>
  <c r="BJ564" i="7"/>
  <c r="BI564" i="7"/>
  <c r="BH564" i="7"/>
  <c r="BG564" i="7"/>
  <c r="DD563" i="7"/>
  <c r="DC563" i="7"/>
  <c r="DB563" i="7"/>
  <c r="DA563" i="7"/>
  <c r="CZ563" i="7"/>
  <c r="CY563" i="7"/>
  <c r="CX563" i="7"/>
  <c r="CW563" i="7"/>
  <c r="CV563" i="7"/>
  <c r="CU563" i="7"/>
  <c r="CT563" i="7"/>
  <c r="CS563" i="7"/>
  <c r="CR563" i="7"/>
  <c r="CQ563" i="7"/>
  <c r="CP563" i="7"/>
  <c r="CO563" i="7"/>
  <c r="CN563" i="7"/>
  <c r="CM563" i="7"/>
  <c r="CL563" i="7"/>
  <c r="CK563" i="7"/>
  <c r="CJ563" i="7"/>
  <c r="CI563" i="7"/>
  <c r="CH563" i="7"/>
  <c r="CG563" i="7"/>
  <c r="CF563" i="7"/>
  <c r="CE563" i="7"/>
  <c r="CD563" i="7"/>
  <c r="CC563" i="7"/>
  <c r="CB563" i="7"/>
  <c r="CA563" i="7"/>
  <c r="BZ563" i="7"/>
  <c r="BY563" i="7"/>
  <c r="BX563" i="7"/>
  <c r="BW563" i="7"/>
  <c r="BV563" i="7"/>
  <c r="BU563" i="7"/>
  <c r="BT563" i="7"/>
  <c r="BS563" i="7"/>
  <c r="BR563" i="7"/>
  <c r="BQ563" i="7"/>
  <c r="BP563" i="7"/>
  <c r="BO563" i="7"/>
  <c r="BN563" i="7"/>
  <c r="BM563" i="7"/>
  <c r="BL563" i="7"/>
  <c r="BK563" i="7"/>
  <c r="BJ563" i="7"/>
  <c r="BI563" i="7"/>
  <c r="BG563" i="7"/>
  <c r="DD562" i="7"/>
  <c r="DC562" i="7"/>
  <c r="DB562" i="7"/>
  <c r="DA562" i="7"/>
  <c r="CZ562" i="7"/>
  <c r="CY562" i="7"/>
  <c r="CX562" i="7"/>
  <c r="CW562" i="7"/>
  <c r="CV562" i="7"/>
  <c r="CU562" i="7"/>
  <c r="CT562" i="7"/>
  <c r="CS562" i="7"/>
  <c r="CR562" i="7"/>
  <c r="CQ562" i="7"/>
  <c r="CP562" i="7"/>
  <c r="CO562" i="7"/>
  <c r="CN562" i="7"/>
  <c r="CM562" i="7"/>
  <c r="CL562" i="7"/>
  <c r="CK562" i="7"/>
  <c r="CJ562" i="7"/>
  <c r="CI562" i="7"/>
  <c r="CH562" i="7"/>
  <c r="CG562" i="7"/>
  <c r="CF562" i="7"/>
  <c r="CE562" i="7"/>
  <c r="CD562" i="7"/>
  <c r="CC562" i="7"/>
  <c r="CB562" i="7"/>
  <c r="CA562" i="7"/>
  <c r="BZ562" i="7"/>
  <c r="BY562" i="7"/>
  <c r="BX562" i="7"/>
  <c r="BW562" i="7"/>
  <c r="BV562" i="7"/>
  <c r="BU562" i="7"/>
  <c r="BT562" i="7"/>
  <c r="BS562" i="7"/>
  <c r="BR562" i="7"/>
  <c r="BQ562" i="7"/>
  <c r="BP562" i="7"/>
  <c r="BO562" i="7"/>
  <c r="BN562" i="7"/>
  <c r="BM562" i="7"/>
  <c r="BL562" i="7"/>
  <c r="BK562" i="7"/>
  <c r="BJ562" i="7"/>
  <c r="BI562" i="7"/>
  <c r="BH562" i="7"/>
  <c r="BG562" i="7"/>
  <c r="DD561" i="7"/>
  <c r="DC561" i="7"/>
  <c r="DB561" i="7"/>
  <c r="DA561" i="7"/>
  <c r="CZ561" i="7"/>
  <c r="CY561" i="7"/>
  <c r="CX561" i="7"/>
  <c r="CW561" i="7"/>
  <c r="CV561" i="7"/>
  <c r="CU561" i="7"/>
  <c r="CT561" i="7"/>
  <c r="CS561" i="7"/>
  <c r="CR561" i="7"/>
  <c r="CQ561" i="7"/>
  <c r="CP561" i="7"/>
  <c r="CO561" i="7"/>
  <c r="CN561" i="7"/>
  <c r="CM561" i="7"/>
  <c r="CL561" i="7"/>
  <c r="CK561" i="7"/>
  <c r="CJ561" i="7"/>
  <c r="CI561" i="7"/>
  <c r="CH561" i="7"/>
  <c r="CG561" i="7"/>
  <c r="CF561" i="7"/>
  <c r="CE561" i="7"/>
  <c r="CD561" i="7"/>
  <c r="CC561" i="7"/>
  <c r="CB561" i="7"/>
  <c r="CA561" i="7"/>
  <c r="BZ561" i="7"/>
  <c r="BY561" i="7"/>
  <c r="BX561" i="7"/>
  <c r="BW561" i="7"/>
  <c r="BV561" i="7"/>
  <c r="BU561" i="7"/>
  <c r="BT561" i="7"/>
  <c r="BS561" i="7"/>
  <c r="BR561" i="7"/>
  <c r="BQ561" i="7"/>
  <c r="BP561" i="7"/>
  <c r="BO561" i="7"/>
  <c r="BN561" i="7"/>
  <c r="BM561" i="7"/>
  <c r="BL561" i="7"/>
  <c r="BK561" i="7"/>
  <c r="BJ561" i="7"/>
  <c r="BI561" i="7"/>
  <c r="BH561" i="7"/>
  <c r="BG561" i="7"/>
  <c r="DD560" i="7"/>
  <c r="DC560" i="7"/>
  <c r="DB560" i="7"/>
  <c r="DA560" i="7"/>
  <c r="CZ560" i="7"/>
  <c r="CY560" i="7"/>
  <c r="CX560" i="7"/>
  <c r="CW560" i="7"/>
  <c r="CV560" i="7"/>
  <c r="CU560" i="7"/>
  <c r="CT560" i="7"/>
  <c r="CS560" i="7"/>
  <c r="CR560" i="7"/>
  <c r="CQ560" i="7"/>
  <c r="CP560" i="7"/>
  <c r="CO560" i="7"/>
  <c r="CN560" i="7"/>
  <c r="CM560" i="7"/>
  <c r="CL560" i="7"/>
  <c r="CK560" i="7"/>
  <c r="CJ560" i="7"/>
  <c r="CI560" i="7"/>
  <c r="CH560" i="7"/>
  <c r="CG560" i="7"/>
  <c r="CF560" i="7"/>
  <c r="CE560" i="7"/>
  <c r="CD560" i="7"/>
  <c r="CC560" i="7"/>
  <c r="CB560" i="7"/>
  <c r="CA560" i="7"/>
  <c r="BZ560" i="7"/>
  <c r="BY560" i="7"/>
  <c r="BX560" i="7"/>
  <c r="BW560" i="7"/>
  <c r="BV560" i="7"/>
  <c r="BU560" i="7"/>
  <c r="BT560" i="7"/>
  <c r="BS560" i="7"/>
  <c r="BR560" i="7"/>
  <c r="BQ560" i="7"/>
  <c r="BP560" i="7"/>
  <c r="BO560" i="7"/>
  <c r="BN560" i="7"/>
  <c r="BM560" i="7"/>
  <c r="BL560" i="7"/>
  <c r="BK560" i="7"/>
  <c r="BJ560" i="7"/>
  <c r="BI560" i="7"/>
  <c r="DD559" i="7"/>
  <c r="DC559" i="7"/>
  <c r="DB559" i="7"/>
  <c r="DA559" i="7"/>
  <c r="CZ559" i="7"/>
  <c r="CY559" i="7"/>
  <c r="CX559" i="7"/>
  <c r="CW559" i="7"/>
  <c r="CV559" i="7"/>
  <c r="CU559" i="7"/>
  <c r="CT559" i="7"/>
  <c r="CS559" i="7"/>
  <c r="CR559" i="7"/>
  <c r="CQ559" i="7"/>
  <c r="CP559" i="7"/>
  <c r="CO559" i="7"/>
  <c r="CN559" i="7"/>
  <c r="CM559" i="7"/>
  <c r="CL559" i="7"/>
  <c r="CK559" i="7"/>
  <c r="CJ559" i="7"/>
  <c r="CI559" i="7"/>
  <c r="CH559" i="7"/>
  <c r="CG559" i="7"/>
  <c r="CF559" i="7"/>
  <c r="CE559" i="7"/>
  <c r="CD559" i="7"/>
  <c r="CC559" i="7"/>
  <c r="CB559" i="7"/>
  <c r="CA559" i="7"/>
  <c r="BZ559" i="7"/>
  <c r="BY559" i="7"/>
  <c r="BX559" i="7"/>
  <c r="BW559" i="7"/>
  <c r="BV559" i="7"/>
  <c r="BU559" i="7"/>
  <c r="BT559" i="7"/>
  <c r="BS559" i="7"/>
  <c r="BR559" i="7"/>
  <c r="BQ559" i="7"/>
  <c r="BP559" i="7"/>
  <c r="BO559" i="7"/>
  <c r="BN559" i="7"/>
  <c r="BM559" i="7"/>
  <c r="BL559" i="7"/>
  <c r="BK559" i="7"/>
  <c r="BJ559" i="7"/>
  <c r="BI559" i="7"/>
  <c r="BH559" i="7"/>
  <c r="BG559" i="7"/>
  <c r="DD558" i="7"/>
  <c r="DC558" i="7"/>
  <c r="DB558" i="7"/>
  <c r="DA558" i="7"/>
  <c r="CZ558" i="7"/>
  <c r="CY558" i="7"/>
  <c r="CX558" i="7"/>
  <c r="CW558" i="7"/>
  <c r="CV558" i="7"/>
  <c r="CU558" i="7"/>
  <c r="CT558" i="7"/>
  <c r="CS558" i="7"/>
  <c r="CR558" i="7"/>
  <c r="CQ558" i="7"/>
  <c r="CP558" i="7"/>
  <c r="CO558" i="7"/>
  <c r="CN558" i="7"/>
  <c r="CM558" i="7"/>
  <c r="CL558" i="7"/>
  <c r="CK558" i="7"/>
  <c r="CJ558" i="7"/>
  <c r="CI558" i="7"/>
  <c r="CH558" i="7"/>
  <c r="CG558" i="7"/>
  <c r="CF558" i="7"/>
  <c r="CE558" i="7"/>
  <c r="CD558" i="7"/>
  <c r="CC558" i="7"/>
  <c r="CB558" i="7"/>
  <c r="CA558" i="7"/>
  <c r="BZ558" i="7"/>
  <c r="BY558" i="7"/>
  <c r="BX558" i="7"/>
  <c r="BW558" i="7"/>
  <c r="BV558" i="7"/>
  <c r="BU558" i="7"/>
  <c r="BT558" i="7"/>
  <c r="BS558" i="7"/>
  <c r="BR558" i="7"/>
  <c r="BQ558" i="7"/>
  <c r="BP558" i="7"/>
  <c r="BO558" i="7"/>
  <c r="BN558" i="7"/>
  <c r="BM558" i="7"/>
  <c r="BL558" i="7"/>
  <c r="BK558" i="7"/>
  <c r="BJ558" i="7"/>
  <c r="BI558" i="7"/>
  <c r="BH558" i="7"/>
  <c r="BG558" i="7"/>
  <c r="DD557" i="7"/>
  <c r="DC557" i="7"/>
  <c r="DB557" i="7"/>
  <c r="DA557" i="7"/>
  <c r="CZ557" i="7"/>
  <c r="CY557" i="7"/>
  <c r="CX557" i="7"/>
  <c r="CW557" i="7"/>
  <c r="CV557" i="7"/>
  <c r="CU557" i="7"/>
  <c r="CT557" i="7"/>
  <c r="CS557" i="7"/>
  <c r="CR557" i="7"/>
  <c r="CQ557" i="7"/>
  <c r="CP557" i="7"/>
  <c r="CO557" i="7"/>
  <c r="CN557" i="7"/>
  <c r="CM557" i="7"/>
  <c r="CL557" i="7"/>
  <c r="CK557" i="7"/>
  <c r="CJ557" i="7"/>
  <c r="CI557" i="7"/>
  <c r="CH557" i="7"/>
  <c r="CG557" i="7"/>
  <c r="CF557" i="7"/>
  <c r="CE557" i="7"/>
  <c r="CD557" i="7"/>
  <c r="CC557" i="7"/>
  <c r="CB557" i="7"/>
  <c r="CA557" i="7"/>
  <c r="BZ557" i="7"/>
  <c r="BY557" i="7"/>
  <c r="BX557" i="7"/>
  <c r="BW557" i="7"/>
  <c r="BV557" i="7"/>
  <c r="BU557" i="7"/>
  <c r="BT557" i="7"/>
  <c r="BS557" i="7"/>
  <c r="BR557" i="7"/>
  <c r="BQ557" i="7"/>
  <c r="BP557" i="7"/>
  <c r="BO557" i="7"/>
  <c r="BN557" i="7"/>
  <c r="BM557" i="7"/>
  <c r="BL557" i="7"/>
  <c r="BK557" i="7"/>
  <c r="BJ557" i="7"/>
  <c r="BI557" i="7"/>
  <c r="BH557" i="7"/>
  <c r="BG557" i="7"/>
  <c r="DD556" i="7"/>
  <c r="DC556" i="7"/>
  <c r="DB556" i="7"/>
  <c r="DA556" i="7"/>
  <c r="CZ556" i="7"/>
  <c r="CY556" i="7"/>
  <c r="CX556" i="7"/>
  <c r="CW556" i="7"/>
  <c r="CV556" i="7"/>
  <c r="CU556" i="7"/>
  <c r="CT556" i="7"/>
  <c r="CS556" i="7"/>
  <c r="CR556" i="7"/>
  <c r="CQ556" i="7"/>
  <c r="CP556" i="7"/>
  <c r="CO556" i="7"/>
  <c r="CN556" i="7"/>
  <c r="CM556" i="7"/>
  <c r="CL556" i="7"/>
  <c r="CK556" i="7"/>
  <c r="CJ556" i="7"/>
  <c r="CI556" i="7"/>
  <c r="CH556" i="7"/>
  <c r="CG556" i="7"/>
  <c r="CF556" i="7"/>
  <c r="CE556" i="7"/>
  <c r="CD556" i="7"/>
  <c r="CC556" i="7"/>
  <c r="CB556" i="7"/>
  <c r="CA556" i="7"/>
  <c r="BZ556" i="7"/>
  <c r="BY556" i="7"/>
  <c r="BX556" i="7"/>
  <c r="BW556" i="7"/>
  <c r="BV556" i="7"/>
  <c r="BU556" i="7"/>
  <c r="BT556" i="7"/>
  <c r="BS556" i="7"/>
  <c r="BR556" i="7"/>
  <c r="BQ556" i="7"/>
  <c r="BP556" i="7"/>
  <c r="BO556" i="7"/>
  <c r="BN556" i="7"/>
  <c r="BM556" i="7"/>
  <c r="BL556" i="7"/>
  <c r="BK556" i="7"/>
  <c r="BJ556" i="7"/>
  <c r="BI556" i="7"/>
  <c r="BH556" i="7"/>
  <c r="BG556" i="7"/>
  <c r="DD555" i="7"/>
  <c r="DC555" i="7"/>
  <c r="DB555" i="7"/>
  <c r="DA555" i="7"/>
  <c r="CZ555" i="7"/>
  <c r="CY555" i="7"/>
  <c r="CX555" i="7"/>
  <c r="CW555" i="7"/>
  <c r="CV555" i="7"/>
  <c r="CU555" i="7"/>
  <c r="CT555" i="7"/>
  <c r="CS555" i="7"/>
  <c r="CR555" i="7"/>
  <c r="CQ555" i="7"/>
  <c r="CP555" i="7"/>
  <c r="CO555" i="7"/>
  <c r="CN555" i="7"/>
  <c r="CM555" i="7"/>
  <c r="CL555" i="7"/>
  <c r="CK555" i="7"/>
  <c r="CJ555" i="7"/>
  <c r="CI555" i="7"/>
  <c r="CH555" i="7"/>
  <c r="CG555" i="7"/>
  <c r="CF555" i="7"/>
  <c r="CE555" i="7"/>
  <c r="CD555" i="7"/>
  <c r="CC555" i="7"/>
  <c r="CB555" i="7"/>
  <c r="CA555" i="7"/>
  <c r="BZ555" i="7"/>
  <c r="BY555" i="7"/>
  <c r="BX555" i="7"/>
  <c r="BW555" i="7"/>
  <c r="BV555" i="7"/>
  <c r="BU555" i="7"/>
  <c r="BT555" i="7"/>
  <c r="BS555" i="7"/>
  <c r="BR555" i="7"/>
  <c r="BQ555" i="7"/>
  <c r="BP555" i="7"/>
  <c r="BO555" i="7"/>
  <c r="BN555" i="7"/>
  <c r="BM555" i="7"/>
  <c r="BL555" i="7"/>
  <c r="BK555" i="7"/>
  <c r="BJ555" i="7"/>
  <c r="BI555" i="7"/>
  <c r="BH555" i="7"/>
  <c r="DD554" i="7"/>
  <c r="DC554" i="7"/>
  <c r="DB554" i="7"/>
  <c r="DA554" i="7"/>
  <c r="CZ554" i="7"/>
  <c r="CY554" i="7"/>
  <c r="CX554" i="7"/>
  <c r="CW554" i="7"/>
  <c r="CV554" i="7"/>
  <c r="CU554" i="7"/>
  <c r="CT554" i="7"/>
  <c r="CS554" i="7"/>
  <c r="CR554" i="7"/>
  <c r="CQ554" i="7"/>
  <c r="CP554" i="7"/>
  <c r="CO554" i="7"/>
  <c r="CN554" i="7"/>
  <c r="CM554" i="7"/>
  <c r="CL554" i="7"/>
  <c r="CK554" i="7"/>
  <c r="CJ554" i="7"/>
  <c r="CI554" i="7"/>
  <c r="CH554" i="7"/>
  <c r="CG554" i="7"/>
  <c r="CF554" i="7"/>
  <c r="CE554" i="7"/>
  <c r="CD554" i="7"/>
  <c r="CC554" i="7"/>
  <c r="CB554" i="7"/>
  <c r="CA554" i="7"/>
  <c r="BZ554" i="7"/>
  <c r="BY554" i="7"/>
  <c r="BX554" i="7"/>
  <c r="BW554" i="7"/>
  <c r="BV554" i="7"/>
  <c r="BU554" i="7"/>
  <c r="BT554" i="7"/>
  <c r="BS554" i="7"/>
  <c r="BR554" i="7"/>
  <c r="BQ554" i="7"/>
  <c r="BP554" i="7"/>
  <c r="BO554" i="7"/>
  <c r="BN554" i="7"/>
  <c r="BM554" i="7"/>
  <c r="BL554" i="7"/>
  <c r="BK554" i="7"/>
  <c r="BJ554" i="7"/>
  <c r="BI554" i="7"/>
  <c r="BH554" i="7"/>
  <c r="BG554" i="7"/>
  <c r="DD553" i="7"/>
  <c r="DC553" i="7"/>
  <c r="DB553" i="7"/>
  <c r="DA553" i="7"/>
  <c r="CZ553" i="7"/>
  <c r="CY553" i="7"/>
  <c r="CX553" i="7"/>
  <c r="CW553" i="7"/>
  <c r="CV553" i="7"/>
  <c r="CU553" i="7"/>
  <c r="CT553" i="7"/>
  <c r="CS553" i="7"/>
  <c r="CR553" i="7"/>
  <c r="CQ553" i="7"/>
  <c r="CP553" i="7"/>
  <c r="CO553" i="7"/>
  <c r="CN553" i="7"/>
  <c r="CM553" i="7"/>
  <c r="CL553" i="7"/>
  <c r="CK553" i="7"/>
  <c r="CJ553" i="7"/>
  <c r="CI553" i="7"/>
  <c r="CH553" i="7"/>
  <c r="CG553" i="7"/>
  <c r="CF553" i="7"/>
  <c r="CE553" i="7"/>
  <c r="CD553" i="7"/>
  <c r="CC553" i="7"/>
  <c r="CB553" i="7"/>
  <c r="CA553" i="7"/>
  <c r="BZ553" i="7"/>
  <c r="BY553" i="7"/>
  <c r="BX553" i="7"/>
  <c r="BW553" i="7"/>
  <c r="BV553" i="7"/>
  <c r="BU553" i="7"/>
  <c r="BT553" i="7"/>
  <c r="BS553" i="7"/>
  <c r="BR553" i="7"/>
  <c r="BQ553" i="7"/>
  <c r="BP553" i="7"/>
  <c r="BO553" i="7"/>
  <c r="BN553" i="7"/>
  <c r="BM553" i="7"/>
  <c r="BL553" i="7"/>
  <c r="BK553" i="7"/>
  <c r="BJ553" i="7"/>
  <c r="BI553" i="7"/>
  <c r="BH553" i="7"/>
  <c r="BG553" i="7"/>
  <c r="DD552" i="7"/>
  <c r="DC552" i="7"/>
  <c r="DB552" i="7"/>
  <c r="DA552" i="7"/>
  <c r="CZ552" i="7"/>
  <c r="CY552" i="7"/>
  <c r="CX552" i="7"/>
  <c r="CW552" i="7"/>
  <c r="CV552" i="7"/>
  <c r="CU552" i="7"/>
  <c r="CT552" i="7"/>
  <c r="CS552" i="7"/>
  <c r="CR552" i="7"/>
  <c r="CQ552" i="7"/>
  <c r="CP552" i="7"/>
  <c r="CO552" i="7"/>
  <c r="CN552" i="7"/>
  <c r="CM552" i="7"/>
  <c r="CL552" i="7"/>
  <c r="CK552" i="7"/>
  <c r="CJ552" i="7"/>
  <c r="CI552" i="7"/>
  <c r="CH552" i="7"/>
  <c r="CG552" i="7"/>
  <c r="CF552" i="7"/>
  <c r="CE552" i="7"/>
  <c r="CD552" i="7"/>
  <c r="CC552" i="7"/>
  <c r="CB552" i="7"/>
  <c r="CA552" i="7"/>
  <c r="BZ552" i="7"/>
  <c r="BY552" i="7"/>
  <c r="BX552" i="7"/>
  <c r="BW552" i="7"/>
  <c r="BV552" i="7"/>
  <c r="BU552" i="7"/>
  <c r="BT552" i="7"/>
  <c r="BS552" i="7"/>
  <c r="BR552" i="7"/>
  <c r="BQ552" i="7"/>
  <c r="BP552" i="7"/>
  <c r="BO552" i="7"/>
  <c r="BN552" i="7"/>
  <c r="BM552" i="7"/>
  <c r="BL552" i="7"/>
  <c r="BK552" i="7"/>
  <c r="BJ552" i="7"/>
  <c r="BI552" i="7"/>
  <c r="BH552" i="7"/>
  <c r="BG552" i="7"/>
  <c r="DD551" i="7"/>
  <c r="DC551" i="7"/>
  <c r="DB551" i="7"/>
  <c r="DA551" i="7"/>
  <c r="CZ551" i="7"/>
  <c r="CY551" i="7"/>
  <c r="CX551" i="7"/>
  <c r="CW551" i="7"/>
  <c r="CV551" i="7"/>
  <c r="CU551" i="7"/>
  <c r="CT551" i="7"/>
  <c r="CS551" i="7"/>
  <c r="CR551" i="7"/>
  <c r="CQ551" i="7"/>
  <c r="CP551" i="7"/>
  <c r="CO551" i="7"/>
  <c r="CN551" i="7"/>
  <c r="CM551" i="7"/>
  <c r="CL551" i="7"/>
  <c r="CK551" i="7"/>
  <c r="CJ551" i="7"/>
  <c r="CI551" i="7"/>
  <c r="CH551" i="7"/>
  <c r="CG551" i="7"/>
  <c r="CF551" i="7"/>
  <c r="CE551" i="7"/>
  <c r="CD551" i="7"/>
  <c r="CC551" i="7"/>
  <c r="CB551" i="7"/>
  <c r="CA551" i="7"/>
  <c r="BZ551" i="7"/>
  <c r="BY551" i="7"/>
  <c r="BX551" i="7"/>
  <c r="BW551" i="7"/>
  <c r="BV551" i="7"/>
  <c r="BU551" i="7"/>
  <c r="BT551" i="7"/>
  <c r="BS551" i="7"/>
  <c r="BR551" i="7"/>
  <c r="BQ551" i="7"/>
  <c r="BP551" i="7"/>
  <c r="BO551" i="7"/>
  <c r="BN551" i="7"/>
  <c r="BM551" i="7"/>
  <c r="BL551" i="7"/>
  <c r="BK551" i="7"/>
  <c r="BJ551" i="7"/>
  <c r="BI551" i="7"/>
  <c r="BH551" i="7"/>
  <c r="BG551" i="7"/>
  <c r="DD550" i="7"/>
  <c r="DC550" i="7"/>
  <c r="DB550" i="7"/>
  <c r="DA550" i="7"/>
  <c r="CZ550" i="7"/>
  <c r="CY550" i="7"/>
  <c r="CX550" i="7"/>
  <c r="CW550" i="7"/>
  <c r="CV550" i="7"/>
  <c r="CU550" i="7"/>
  <c r="CT550" i="7"/>
  <c r="CS550" i="7"/>
  <c r="CR550" i="7"/>
  <c r="CQ550" i="7"/>
  <c r="CP550" i="7"/>
  <c r="CO550" i="7"/>
  <c r="CN550" i="7"/>
  <c r="CM550" i="7"/>
  <c r="CL550" i="7"/>
  <c r="CK550" i="7"/>
  <c r="CJ550" i="7"/>
  <c r="CI550" i="7"/>
  <c r="CH550" i="7"/>
  <c r="CG550" i="7"/>
  <c r="CF550" i="7"/>
  <c r="CE550" i="7"/>
  <c r="CD550" i="7"/>
  <c r="CC550" i="7"/>
  <c r="CB550" i="7"/>
  <c r="CA550" i="7"/>
  <c r="BZ550" i="7"/>
  <c r="BY550" i="7"/>
  <c r="BX550" i="7"/>
  <c r="BW550" i="7"/>
  <c r="BV550" i="7"/>
  <c r="BU550" i="7"/>
  <c r="BT550" i="7"/>
  <c r="BS550" i="7"/>
  <c r="BR550" i="7"/>
  <c r="BQ550" i="7"/>
  <c r="BP550" i="7"/>
  <c r="BO550" i="7"/>
  <c r="BN550" i="7"/>
  <c r="BM550" i="7"/>
  <c r="BL550" i="7"/>
  <c r="BK550" i="7"/>
  <c r="BJ550" i="7"/>
  <c r="BI550" i="7"/>
  <c r="BH550" i="7"/>
  <c r="BG550" i="7"/>
  <c r="DD549" i="7"/>
  <c r="DC549" i="7"/>
  <c r="DB549" i="7"/>
  <c r="DA549" i="7"/>
  <c r="CZ549" i="7"/>
  <c r="CY549" i="7"/>
  <c r="CX549" i="7"/>
  <c r="CW549" i="7"/>
  <c r="CV549" i="7"/>
  <c r="CU549" i="7"/>
  <c r="CT549" i="7"/>
  <c r="CS549" i="7"/>
  <c r="CR549" i="7"/>
  <c r="CQ549" i="7"/>
  <c r="CP549" i="7"/>
  <c r="CO549" i="7"/>
  <c r="CN549" i="7"/>
  <c r="CM549" i="7"/>
  <c r="CL549" i="7"/>
  <c r="CK549" i="7"/>
  <c r="CJ549" i="7"/>
  <c r="CI549" i="7"/>
  <c r="CH549" i="7"/>
  <c r="CG549" i="7"/>
  <c r="CF549" i="7"/>
  <c r="CE549" i="7"/>
  <c r="CD549" i="7"/>
  <c r="CC549" i="7"/>
  <c r="CB549" i="7"/>
  <c r="CA549" i="7"/>
  <c r="BZ549" i="7"/>
  <c r="BY549" i="7"/>
  <c r="BX549" i="7"/>
  <c r="BW549" i="7"/>
  <c r="BV549" i="7"/>
  <c r="BU549" i="7"/>
  <c r="BT549" i="7"/>
  <c r="BS549" i="7"/>
  <c r="BR549" i="7"/>
  <c r="BQ549" i="7"/>
  <c r="BP549" i="7"/>
  <c r="BO549" i="7"/>
  <c r="BN549" i="7"/>
  <c r="BM549" i="7"/>
  <c r="BL549" i="7"/>
  <c r="BK549" i="7"/>
  <c r="BJ549" i="7"/>
  <c r="BI549" i="7"/>
  <c r="DD548" i="7"/>
  <c r="DC548" i="7"/>
  <c r="DB548" i="7"/>
  <c r="DA548" i="7"/>
  <c r="CZ548" i="7"/>
  <c r="CY548" i="7"/>
  <c r="CX548" i="7"/>
  <c r="CW548" i="7"/>
  <c r="CV548" i="7"/>
  <c r="CU548" i="7"/>
  <c r="CT548" i="7"/>
  <c r="CS548" i="7"/>
  <c r="CR548" i="7"/>
  <c r="CQ548" i="7"/>
  <c r="CP548" i="7"/>
  <c r="CO548" i="7"/>
  <c r="CN548" i="7"/>
  <c r="CM548" i="7"/>
  <c r="CL548" i="7"/>
  <c r="CK548" i="7"/>
  <c r="CJ548" i="7"/>
  <c r="CI548" i="7"/>
  <c r="CH548" i="7"/>
  <c r="CG548" i="7"/>
  <c r="CF548" i="7"/>
  <c r="CE548" i="7"/>
  <c r="CD548" i="7"/>
  <c r="CC548" i="7"/>
  <c r="CB548" i="7"/>
  <c r="CA548" i="7"/>
  <c r="BZ548" i="7"/>
  <c r="BY548" i="7"/>
  <c r="BX548" i="7"/>
  <c r="BW548" i="7"/>
  <c r="BV548" i="7"/>
  <c r="BU548" i="7"/>
  <c r="BT548" i="7"/>
  <c r="BS548" i="7"/>
  <c r="BR548" i="7"/>
  <c r="BQ548" i="7"/>
  <c r="BP548" i="7"/>
  <c r="BO548" i="7"/>
  <c r="BN548" i="7"/>
  <c r="BM548" i="7"/>
  <c r="BL548" i="7"/>
  <c r="BK548" i="7"/>
  <c r="BJ548" i="7"/>
  <c r="BI548" i="7"/>
  <c r="BH548" i="7"/>
  <c r="BG548" i="7"/>
  <c r="DD547" i="7"/>
  <c r="DC547" i="7"/>
  <c r="DB547" i="7"/>
  <c r="DA547" i="7"/>
  <c r="CZ547" i="7"/>
  <c r="CY547" i="7"/>
  <c r="CX547" i="7"/>
  <c r="CW547" i="7"/>
  <c r="CV547" i="7"/>
  <c r="CU547" i="7"/>
  <c r="CT547" i="7"/>
  <c r="CS547" i="7"/>
  <c r="CR547" i="7"/>
  <c r="CQ547" i="7"/>
  <c r="CP547" i="7"/>
  <c r="CO547" i="7"/>
  <c r="CN547" i="7"/>
  <c r="CM547" i="7"/>
  <c r="CL547" i="7"/>
  <c r="CK547" i="7"/>
  <c r="CJ547" i="7"/>
  <c r="CI547" i="7"/>
  <c r="CH547" i="7"/>
  <c r="CG547" i="7"/>
  <c r="CF547" i="7"/>
  <c r="CE547" i="7"/>
  <c r="CD547" i="7"/>
  <c r="CC547" i="7"/>
  <c r="CB547" i="7"/>
  <c r="CA547" i="7"/>
  <c r="BZ547" i="7"/>
  <c r="BY547" i="7"/>
  <c r="BX547" i="7"/>
  <c r="BW547" i="7"/>
  <c r="BV547" i="7"/>
  <c r="BU547" i="7"/>
  <c r="BT547" i="7"/>
  <c r="BS547" i="7"/>
  <c r="BR547" i="7"/>
  <c r="BQ547" i="7"/>
  <c r="BP547" i="7"/>
  <c r="BO547" i="7"/>
  <c r="BN547" i="7"/>
  <c r="BM547" i="7"/>
  <c r="BL547" i="7"/>
  <c r="BK547" i="7"/>
  <c r="BJ547" i="7"/>
  <c r="BI547" i="7"/>
  <c r="BH547" i="7"/>
  <c r="BG547" i="7"/>
  <c r="DD546" i="7"/>
  <c r="DC546" i="7"/>
  <c r="DB546" i="7"/>
  <c r="DA546" i="7"/>
  <c r="CZ546" i="7"/>
  <c r="CY546" i="7"/>
  <c r="CX546" i="7"/>
  <c r="CW546" i="7"/>
  <c r="CV546" i="7"/>
  <c r="CU546" i="7"/>
  <c r="CT546" i="7"/>
  <c r="CS546" i="7"/>
  <c r="CR546" i="7"/>
  <c r="CQ546" i="7"/>
  <c r="CP546" i="7"/>
  <c r="CO546" i="7"/>
  <c r="CN546" i="7"/>
  <c r="CM546" i="7"/>
  <c r="CL546" i="7"/>
  <c r="CK546" i="7"/>
  <c r="CJ546" i="7"/>
  <c r="CI546" i="7"/>
  <c r="CH546" i="7"/>
  <c r="CG546" i="7"/>
  <c r="CF546" i="7"/>
  <c r="CE546" i="7"/>
  <c r="CD546" i="7"/>
  <c r="CC546" i="7"/>
  <c r="CB546" i="7"/>
  <c r="CA546" i="7"/>
  <c r="BZ546" i="7"/>
  <c r="BY546" i="7"/>
  <c r="BX546" i="7"/>
  <c r="BW546" i="7"/>
  <c r="BV546" i="7"/>
  <c r="BU546" i="7"/>
  <c r="BT546" i="7"/>
  <c r="BS546" i="7"/>
  <c r="BR546" i="7"/>
  <c r="BQ546" i="7"/>
  <c r="BP546" i="7"/>
  <c r="BO546" i="7"/>
  <c r="BN546" i="7"/>
  <c r="BM546" i="7"/>
  <c r="BL546" i="7"/>
  <c r="BK546" i="7"/>
  <c r="BJ546" i="7"/>
  <c r="BI546" i="7"/>
  <c r="BH546" i="7"/>
  <c r="BG546" i="7"/>
  <c r="DD545" i="7"/>
  <c r="DC545" i="7"/>
  <c r="DB545" i="7"/>
  <c r="DA545" i="7"/>
  <c r="CZ545" i="7"/>
  <c r="CY545" i="7"/>
  <c r="CX545" i="7"/>
  <c r="CW545" i="7"/>
  <c r="CV545" i="7"/>
  <c r="CU545" i="7"/>
  <c r="CT545" i="7"/>
  <c r="CS545" i="7"/>
  <c r="CR545" i="7"/>
  <c r="CQ545" i="7"/>
  <c r="CP545" i="7"/>
  <c r="CO545" i="7"/>
  <c r="CN545" i="7"/>
  <c r="CM545" i="7"/>
  <c r="CL545" i="7"/>
  <c r="CK545" i="7"/>
  <c r="CJ545" i="7"/>
  <c r="CI545" i="7"/>
  <c r="CH545" i="7"/>
  <c r="CG545" i="7"/>
  <c r="CF545" i="7"/>
  <c r="CE545" i="7"/>
  <c r="CD545" i="7"/>
  <c r="CC545" i="7"/>
  <c r="CB545" i="7"/>
  <c r="CA545" i="7"/>
  <c r="BZ545" i="7"/>
  <c r="BY545" i="7"/>
  <c r="BX545" i="7"/>
  <c r="BW545" i="7"/>
  <c r="BV545" i="7"/>
  <c r="BU545" i="7"/>
  <c r="BT545" i="7"/>
  <c r="BS545" i="7"/>
  <c r="BR545" i="7"/>
  <c r="BQ545" i="7"/>
  <c r="BP545" i="7"/>
  <c r="BO545" i="7"/>
  <c r="BN545" i="7"/>
  <c r="BM545" i="7"/>
  <c r="BL545" i="7"/>
  <c r="BK545" i="7"/>
  <c r="BJ545" i="7"/>
  <c r="BI545" i="7"/>
  <c r="BH545" i="7"/>
  <c r="DD544" i="7"/>
  <c r="DC544" i="7"/>
  <c r="DB544" i="7"/>
  <c r="DA544" i="7"/>
  <c r="CZ544" i="7"/>
  <c r="CY544" i="7"/>
  <c r="CX544" i="7"/>
  <c r="CW544" i="7"/>
  <c r="CV544" i="7"/>
  <c r="CU544" i="7"/>
  <c r="CT544" i="7"/>
  <c r="CS544" i="7"/>
  <c r="CR544" i="7"/>
  <c r="CQ544" i="7"/>
  <c r="CP544" i="7"/>
  <c r="CO544" i="7"/>
  <c r="CN544" i="7"/>
  <c r="CM544" i="7"/>
  <c r="CL544" i="7"/>
  <c r="CK544" i="7"/>
  <c r="CJ544" i="7"/>
  <c r="CI544" i="7"/>
  <c r="CH544" i="7"/>
  <c r="CG544" i="7"/>
  <c r="CF544" i="7"/>
  <c r="CE544" i="7"/>
  <c r="CD544" i="7"/>
  <c r="CC544" i="7"/>
  <c r="CB544" i="7"/>
  <c r="CA544" i="7"/>
  <c r="BZ544" i="7"/>
  <c r="BY544" i="7"/>
  <c r="BX544" i="7"/>
  <c r="BW544" i="7"/>
  <c r="BV544" i="7"/>
  <c r="BU544" i="7"/>
  <c r="BT544" i="7"/>
  <c r="BS544" i="7"/>
  <c r="BR544" i="7"/>
  <c r="BQ544" i="7"/>
  <c r="BP544" i="7"/>
  <c r="BO544" i="7"/>
  <c r="BN544" i="7"/>
  <c r="BM544" i="7"/>
  <c r="BL544" i="7"/>
  <c r="BK544" i="7"/>
  <c r="BJ544" i="7"/>
  <c r="BI544" i="7"/>
  <c r="BH544" i="7"/>
  <c r="BG544" i="7"/>
  <c r="DD543" i="7"/>
  <c r="DC543" i="7"/>
  <c r="DB543" i="7"/>
  <c r="DA543" i="7"/>
  <c r="CZ543" i="7"/>
  <c r="CY543" i="7"/>
  <c r="CX543" i="7"/>
  <c r="CW543" i="7"/>
  <c r="CV543" i="7"/>
  <c r="CU543" i="7"/>
  <c r="CT543" i="7"/>
  <c r="CS543" i="7"/>
  <c r="CR543" i="7"/>
  <c r="CQ543" i="7"/>
  <c r="CP543" i="7"/>
  <c r="CO543" i="7"/>
  <c r="CN543" i="7"/>
  <c r="CM543" i="7"/>
  <c r="CL543" i="7"/>
  <c r="CK543" i="7"/>
  <c r="CJ543" i="7"/>
  <c r="CI543" i="7"/>
  <c r="CH543" i="7"/>
  <c r="CG543" i="7"/>
  <c r="CF543" i="7"/>
  <c r="CE543" i="7"/>
  <c r="CD543" i="7"/>
  <c r="CC543" i="7"/>
  <c r="CB543" i="7"/>
  <c r="CA543" i="7"/>
  <c r="BZ543" i="7"/>
  <c r="BY543" i="7"/>
  <c r="BX543" i="7"/>
  <c r="BW543" i="7"/>
  <c r="BV543" i="7"/>
  <c r="BU543" i="7"/>
  <c r="BT543" i="7"/>
  <c r="BS543" i="7"/>
  <c r="BR543" i="7"/>
  <c r="BQ543" i="7"/>
  <c r="BP543" i="7"/>
  <c r="BO543" i="7"/>
  <c r="BN543" i="7"/>
  <c r="BM543" i="7"/>
  <c r="BL543" i="7"/>
  <c r="BK543" i="7"/>
  <c r="BJ543" i="7"/>
  <c r="BI543" i="7"/>
  <c r="BH543" i="7"/>
  <c r="BG543" i="7"/>
  <c r="DD542" i="7"/>
  <c r="DC542" i="7"/>
  <c r="DB542" i="7"/>
  <c r="DA542" i="7"/>
  <c r="CZ542" i="7"/>
  <c r="CY542" i="7"/>
  <c r="CX542" i="7"/>
  <c r="CW542" i="7"/>
  <c r="CV542" i="7"/>
  <c r="CU542" i="7"/>
  <c r="CT542" i="7"/>
  <c r="CS542" i="7"/>
  <c r="CR542" i="7"/>
  <c r="CQ542" i="7"/>
  <c r="CP542" i="7"/>
  <c r="CO542" i="7"/>
  <c r="CN542" i="7"/>
  <c r="CM542" i="7"/>
  <c r="CL542" i="7"/>
  <c r="CK542" i="7"/>
  <c r="CJ542" i="7"/>
  <c r="CI542" i="7"/>
  <c r="CH542" i="7"/>
  <c r="CG542" i="7"/>
  <c r="CF542" i="7"/>
  <c r="CE542" i="7"/>
  <c r="CD542" i="7"/>
  <c r="CC542" i="7"/>
  <c r="CB542" i="7"/>
  <c r="CA542" i="7"/>
  <c r="BZ542" i="7"/>
  <c r="BY542" i="7"/>
  <c r="BX542" i="7"/>
  <c r="BW542" i="7"/>
  <c r="BV542" i="7"/>
  <c r="BU542" i="7"/>
  <c r="BT542" i="7"/>
  <c r="BS542" i="7"/>
  <c r="BR542" i="7"/>
  <c r="BQ542" i="7"/>
  <c r="BP542" i="7"/>
  <c r="BO542" i="7"/>
  <c r="BN542" i="7"/>
  <c r="BM542" i="7"/>
  <c r="BL542" i="7"/>
  <c r="BK542" i="7"/>
  <c r="BJ542" i="7"/>
  <c r="BI542" i="7"/>
  <c r="BH542" i="7"/>
  <c r="BG542" i="7"/>
  <c r="DD541" i="7"/>
  <c r="DC541" i="7"/>
  <c r="DB541" i="7"/>
  <c r="DA541" i="7"/>
  <c r="CZ541" i="7"/>
  <c r="CY541" i="7"/>
  <c r="CX541" i="7"/>
  <c r="CW541" i="7"/>
  <c r="CV541" i="7"/>
  <c r="CU541" i="7"/>
  <c r="CT541" i="7"/>
  <c r="CS541" i="7"/>
  <c r="CR541" i="7"/>
  <c r="CQ541" i="7"/>
  <c r="CP541" i="7"/>
  <c r="CO541" i="7"/>
  <c r="CN541" i="7"/>
  <c r="CM541" i="7"/>
  <c r="CL541" i="7"/>
  <c r="CK541" i="7"/>
  <c r="CJ541" i="7"/>
  <c r="CI541" i="7"/>
  <c r="CH541" i="7"/>
  <c r="CG541" i="7"/>
  <c r="CF541" i="7"/>
  <c r="CE541" i="7"/>
  <c r="CD541" i="7"/>
  <c r="CC541" i="7"/>
  <c r="CB541" i="7"/>
  <c r="CA541" i="7"/>
  <c r="BZ541" i="7"/>
  <c r="BY541" i="7"/>
  <c r="BX541" i="7"/>
  <c r="BW541" i="7"/>
  <c r="BV541" i="7"/>
  <c r="BU541" i="7"/>
  <c r="BT541" i="7"/>
  <c r="BS541" i="7"/>
  <c r="BR541" i="7"/>
  <c r="BQ541" i="7"/>
  <c r="BP541" i="7"/>
  <c r="BO541" i="7"/>
  <c r="BN541" i="7"/>
  <c r="BM541" i="7"/>
  <c r="BL541" i="7"/>
  <c r="BK541" i="7"/>
  <c r="BJ541" i="7"/>
  <c r="BI541" i="7"/>
  <c r="DD540" i="7"/>
  <c r="DC540" i="7"/>
  <c r="DB540" i="7"/>
  <c r="DA540" i="7"/>
  <c r="CZ540" i="7"/>
  <c r="CY540" i="7"/>
  <c r="CX540" i="7"/>
  <c r="CW540" i="7"/>
  <c r="CV540" i="7"/>
  <c r="CU540" i="7"/>
  <c r="CT540" i="7"/>
  <c r="CS540" i="7"/>
  <c r="CR540" i="7"/>
  <c r="CQ540" i="7"/>
  <c r="CP540" i="7"/>
  <c r="CO540" i="7"/>
  <c r="CN540" i="7"/>
  <c r="CM540" i="7"/>
  <c r="CL540" i="7"/>
  <c r="CK540" i="7"/>
  <c r="CJ540" i="7"/>
  <c r="CI540" i="7"/>
  <c r="CH540" i="7"/>
  <c r="CG540" i="7"/>
  <c r="CF540" i="7"/>
  <c r="CE540" i="7"/>
  <c r="CD540" i="7"/>
  <c r="CC540" i="7"/>
  <c r="CB540" i="7"/>
  <c r="CA540" i="7"/>
  <c r="BZ540" i="7"/>
  <c r="BY540" i="7"/>
  <c r="BX540" i="7"/>
  <c r="BW540" i="7"/>
  <c r="BV540" i="7"/>
  <c r="BU540" i="7"/>
  <c r="BT540" i="7"/>
  <c r="BS540" i="7"/>
  <c r="BR540" i="7"/>
  <c r="BQ540" i="7"/>
  <c r="BP540" i="7"/>
  <c r="BO540" i="7"/>
  <c r="BN540" i="7"/>
  <c r="BM540" i="7"/>
  <c r="BL540" i="7"/>
  <c r="BK540" i="7"/>
  <c r="BJ540" i="7"/>
  <c r="BI540" i="7"/>
  <c r="DD539" i="7"/>
  <c r="DC539" i="7"/>
  <c r="DB539" i="7"/>
  <c r="DA539" i="7"/>
  <c r="CZ539" i="7"/>
  <c r="CY539" i="7"/>
  <c r="CX539" i="7"/>
  <c r="CW539" i="7"/>
  <c r="CV539" i="7"/>
  <c r="CU539" i="7"/>
  <c r="CT539" i="7"/>
  <c r="CS539" i="7"/>
  <c r="CR539" i="7"/>
  <c r="CQ539" i="7"/>
  <c r="CP539" i="7"/>
  <c r="CO539" i="7"/>
  <c r="CN539" i="7"/>
  <c r="CM539" i="7"/>
  <c r="CL539" i="7"/>
  <c r="CK539" i="7"/>
  <c r="CJ539" i="7"/>
  <c r="CI539" i="7"/>
  <c r="CH539" i="7"/>
  <c r="CG539" i="7"/>
  <c r="CF539" i="7"/>
  <c r="CE539" i="7"/>
  <c r="CD539" i="7"/>
  <c r="CC539" i="7"/>
  <c r="CB539" i="7"/>
  <c r="CA539" i="7"/>
  <c r="BZ539" i="7"/>
  <c r="BY539" i="7"/>
  <c r="BX539" i="7"/>
  <c r="BW539" i="7"/>
  <c r="BV539" i="7"/>
  <c r="BU539" i="7"/>
  <c r="BT539" i="7"/>
  <c r="BS539" i="7"/>
  <c r="BR539" i="7"/>
  <c r="BQ539" i="7"/>
  <c r="BP539" i="7"/>
  <c r="BO539" i="7"/>
  <c r="BN539" i="7"/>
  <c r="BM539" i="7"/>
  <c r="BL539" i="7"/>
  <c r="BK539" i="7"/>
  <c r="BJ539" i="7"/>
  <c r="BI539" i="7"/>
  <c r="BH539" i="7"/>
  <c r="BG539" i="7"/>
  <c r="DD538" i="7"/>
  <c r="DC538" i="7"/>
  <c r="DB538" i="7"/>
  <c r="DA538" i="7"/>
  <c r="CZ538" i="7"/>
  <c r="CY538" i="7"/>
  <c r="CX538" i="7"/>
  <c r="CW538" i="7"/>
  <c r="CV538" i="7"/>
  <c r="CU538" i="7"/>
  <c r="CT538" i="7"/>
  <c r="CS538" i="7"/>
  <c r="CR538" i="7"/>
  <c r="CQ538" i="7"/>
  <c r="CP538" i="7"/>
  <c r="CO538" i="7"/>
  <c r="CN538" i="7"/>
  <c r="CM538" i="7"/>
  <c r="CL538" i="7"/>
  <c r="CK538" i="7"/>
  <c r="CJ538" i="7"/>
  <c r="CI538" i="7"/>
  <c r="CH538" i="7"/>
  <c r="CG538" i="7"/>
  <c r="CF538" i="7"/>
  <c r="CE538" i="7"/>
  <c r="CD538" i="7"/>
  <c r="CC538" i="7"/>
  <c r="CB538" i="7"/>
  <c r="CA538" i="7"/>
  <c r="BZ538" i="7"/>
  <c r="BY538" i="7"/>
  <c r="BX538" i="7"/>
  <c r="BW538" i="7"/>
  <c r="BV538" i="7"/>
  <c r="BU538" i="7"/>
  <c r="BT538" i="7"/>
  <c r="BS538" i="7"/>
  <c r="BR538" i="7"/>
  <c r="BQ538" i="7"/>
  <c r="BP538" i="7"/>
  <c r="BO538" i="7"/>
  <c r="BN538" i="7"/>
  <c r="BM538" i="7"/>
  <c r="BL538" i="7"/>
  <c r="BK538" i="7"/>
  <c r="BJ538" i="7"/>
  <c r="BI538" i="7"/>
  <c r="BH538" i="7"/>
  <c r="BG538" i="7"/>
  <c r="DD537" i="7"/>
  <c r="DC537" i="7"/>
  <c r="DB537" i="7"/>
  <c r="DA537" i="7"/>
  <c r="CZ537" i="7"/>
  <c r="CY537" i="7"/>
  <c r="CX537" i="7"/>
  <c r="CW537" i="7"/>
  <c r="CV537" i="7"/>
  <c r="CU537" i="7"/>
  <c r="CT537" i="7"/>
  <c r="CS537" i="7"/>
  <c r="CR537" i="7"/>
  <c r="CQ537" i="7"/>
  <c r="CP537" i="7"/>
  <c r="CO537" i="7"/>
  <c r="CN537" i="7"/>
  <c r="CM537" i="7"/>
  <c r="CL537" i="7"/>
  <c r="CK537" i="7"/>
  <c r="CJ537" i="7"/>
  <c r="CI537" i="7"/>
  <c r="CH537" i="7"/>
  <c r="CG537" i="7"/>
  <c r="CF537" i="7"/>
  <c r="CE537" i="7"/>
  <c r="CD537" i="7"/>
  <c r="CC537" i="7"/>
  <c r="CB537" i="7"/>
  <c r="CA537" i="7"/>
  <c r="BZ537" i="7"/>
  <c r="BY537" i="7"/>
  <c r="BX537" i="7"/>
  <c r="BW537" i="7"/>
  <c r="BV537" i="7"/>
  <c r="BU537" i="7"/>
  <c r="BT537" i="7"/>
  <c r="BS537" i="7"/>
  <c r="BR537" i="7"/>
  <c r="BQ537" i="7"/>
  <c r="BP537" i="7"/>
  <c r="BO537" i="7"/>
  <c r="BN537" i="7"/>
  <c r="BM537" i="7"/>
  <c r="BL537" i="7"/>
  <c r="BK537" i="7"/>
  <c r="BJ537" i="7"/>
  <c r="BI537" i="7"/>
  <c r="BH537" i="7"/>
  <c r="BG537" i="7"/>
  <c r="DD536" i="7"/>
  <c r="DC536" i="7"/>
  <c r="DB536" i="7"/>
  <c r="DA536" i="7"/>
  <c r="CZ536" i="7"/>
  <c r="CY536" i="7"/>
  <c r="CX536" i="7"/>
  <c r="CW536" i="7"/>
  <c r="CV536" i="7"/>
  <c r="CU536" i="7"/>
  <c r="CT536" i="7"/>
  <c r="CS536" i="7"/>
  <c r="CR536" i="7"/>
  <c r="CQ536" i="7"/>
  <c r="CP536" i="7"/>
  <c r="CO536" i="7"/>
  <c r="CN536" i="7"/>
  <c r="CM536" i="7"/>
  <c r="CL536" i="7"/>
  <c r="CK536" i="7"/>
  <c r="CJ536" i="7"/>
  <c r="CI536" i="7"/>
  <c r="CH536" i="7"/>
  <c r="CG536" i="7"/>
  <c r="CF536" i="7"/>
  <c r="CE536" i="7"/>
  <c r="CD536" i="7"/>
  <c r="CC536" i="7"/>
  <c r="CB536" i="7"/>
  <c r="CA536" i="7"/>
  <c r="BZ536" i="7"/>
  <c r="BY536" i="7"/>
  <c r="BX536" i="7"/>
  <c r="BW536" i="7"/>
  <c r="BV536" i="7"/>
  <c r="BU536" i="7"/>
  <c r="BT536" i="7"/>
  <c r="BS536" i="7"/>
  <c r="BR536" i="7"/>
  <c r="BQ536" i="7"/>
  <c r="BP536" i="7"/>
  <c r="BO536" i="7"/>
  <c r="BN536" i="7"/>
  <c r="BM536" i="7"/>
  <c r="BL536" i="7"/>
  <c r="BK536" i="7"/>
  <c r="BJ536" i="7"/>
  <c r="BI536" i="7"/>
  <c r="BH536" i="7"/>
  <c r="BG536" i="7"/>
  <c r="DD535" i="7"/>
  <c r="DC535" i="7"/>
  <c r="DB535" i="7"/>
  <c r="DA535" i="7"/>
  <c r="CZ535" i="7"/>
  <c r="CY535" i="7"/>
  <c r="CX535" i="7"/>
  <c r="CW535" i="7"/>
  <c r="CV535" i="7"/>
  <c r="CU535" i="7"/>
  <c r="CT535" i="7"/>
  <c r="CS535" i="7"/>
  <c r="CR535" i="7"/>
  <c r="CQ535" i="7"/>
  <c r="CP535" i="7"/>
  <c r="CO535" i="7"/>
  <c r="CN535" i="7"/>
  <c r="CM535" i="7"/>
  <c r="CL535" i="7"/>
  <c r="CK535" i="7"/>
  <c r="CJ535" i="7"/>
  <c r="CI535" i="7"/>
  <c r="CH535" i="7"/>
  <c r="CG535" i="7"/>
  <c r="CF535" i="7"/>
  <c r="CE535" i="7"/>
  <c r="CD535" i="7"/>
  <c r="CC535" i="7"/>
  <c r="CB535" i="7"/>
  <c r="CA535" i="7"/>
  <c r="BZ535" i="7"/>
  <c r="BY535" i="7"/>
  <c r="BX535" i="7"/>
  <c r="BW535" i="7"/>
  <c r="BV535" i="7"/>
  <c r="BU535" i="7"/>
  <c r="BT535" i="7"/>
  <c r="BS535" i="7"/>
  <c r="BR535" i="7"/>
  <c r="BQ535" i="7"/>
  <c r="BP535" i="7"/>
  <c r="BO535" i="7"/>
  <c r="BN535" i="7"/>
  <c r="BM535" i="7"/>
  <c r="BL535" i="7"/>
  <c r="BK535" i="7"/>
  <c r="BJ535" i="7"/>
  <c r="BI535" i="7"/>
  <c r="BH535" i="7"/>
  <c r="BG535" i="7"/>
  <c r="DD534" i="7"/>
  <c r="DC534" i="7"/>
  <c r="DB534" i="7"/>
  <c r="DA534" i="7"/>
  <c r="CZ534" i="7"/>
  <c r="CY534" i="7"/>
  <c r="CX534" i="7"/>
  <c r="CW534" i="7"/>
  <c r="CV534" i="7"/>
  <c r="CU534" i="7"/>
  <c r="CT534" i="7"/>
  <c r="CS534" i="7"/>
  <c r="CR534" i="7"/>
  <c r="CQ534" i="7"/>
  <c r="CP534" i="7"/>
  <c r="CO534" i="7"/>
  <c r="CN534" i="7"/>
  <c r="CM534" i="7"/>
  <c r="CL534" i="7"/>
  <c r="CK534" i="7"/>
  <c r="CJ534" i="7"/>
  <c r="CI534" i="7"/>
  <c r="CH534" i="7"/>
  <c r="CG534" i="7"/>
  <c r="CF534" i="7"/>
  <c r="CE534" i="7"/>
  <c r="CD534" i="7"/>
  <c r="CC534" i="7"/>
  <c r="CB534" i="7"/>
  <c r="CA534" i="7"/>
  <c r="BZ534" i="7"/>
  <c r="BY534" i="7"/>
  <c r="BX534" i="7"/>
  <c r="BW534" i="7"/>
  <c r="BV534" i="7"/>
  <c r="BU534" i="7"/>
  <c r="BT534" i="7"/>
  <c r="BS534" i="7"/>
  <c r="BR534" i="7"/>
  <c r="BQ534" i="7"/>
  <c r="BP534" i="7"/>
  <c r="BO534" i="7"/>
  <c r="BN534" i="7"/>
  <c r="BM534" i="7"/>
  <c r="BL534" i="7"/>
  <c r="BK534" i="7"/>
  <c r="BJ534" i="7"/>
  <c r="BI534" i="7"/>
  <c r="BH534" i="7"/>
  <c r="BG534" i="7"/>
  <c r="DD533" i="7"/>
  <c r="DC533" i="7"/>
  <c r="DB533" i="7"/>
  <c r="DA533" i="7"/>
  <c r="CZ533" i="7"/>
  <c r="CY533" i="7"/>
  <c r="CX533" i="7"/>
  <c r="CW533" i="7"/>
  <c r="CV533" i="7"/>
  <c r="CU533" i="7"/>
  <c r="CT533" i="7"/>
  <c r="CS533" i="7"/>
  <c r="CR533" i="7"/>
  <c r="CQ533" i="7"/>
  <c r="CP533" i="7"/>
  <c r="CO533" i="7"/>
  <c r="CN533" i="7"/>
  <c r="CM533" i="7"/>
  <c r="CL533" i="7"/>
  <c r="CK533" i="7"/>
  <c r="CJ533" i="7"/>
  <c r="CI533" i="7"/>
  <c r="CH533" i="7"/>
  <c r="CG533" i="7"/>
  <c r="CF533" i="7"/>
  <c r="CE533" i="7"/>
  <c r="CD533" i="7"/>
  <c r="CC533" i="7"/>
  <c r="CB533" i="7"/>
  <c r="CA533" i="7"/>
  <c r="BZ533" i="7"/>
  <c r="BY533" i="7"/>
  <c r="BX533" i="7"/>
  <c r="BW533" i="7"/>
  <c r="BV533" i="7"/>
  <c r="BU533" i="7"/>
  <c r="BT533" i="7"/>
  <c r="BS533" i="7"/>
  <c r="BR533" i="7"/>
  <c r="BQ533" i="7"/>
  <c r="BP533" i="7"/>
  <c r="BO533" i="7"/>
  <c r="BN533" i="7"/>
  <c r="BM533" i="7"/>
  <c r="BL533" i="7"/>
  <c r="BK533" i="7"/>
  <c r="BJ533" i="7"/>
  <c r="BI533" i="7"/>
  <c r="BH533" i="7"/>
  <c r="BG533" i="7"/>
  <c r="DD532" i="7"/>
  <c r="DC532" i="7"/>
  <c r="DB532" i="7"/>
  <c r="DA532" i="7"/>
  <c r="CZ532" i="7"/>
  <c r="CY532" i="7"/>
  <c r="CX532" i="7"/>
  <c r="CW532" i="7"/>
  <c r="CV532" i="7"/>
  <c r="CU532" i="7"/>
  <c r="CT532" i="7"/>
  <c r="CS532" i="7"/>
  <c r="CR532" i="7"/>
  <c r="CQ532" i="7"/>
  <c r="CP532" i="7"/>
  <c r="CO532" i="7"/>
  <c r="CN532" i="7"/>
  <c r="CM532" i="7"/>
  <c r="CL532" i="7"/>
  <c r="CK532" i="7"/>
  <c r="CJ532" i="7"/>
  <c r="CI532" i="7"/>
  <c r="CH532" i="7"/>
  <c r="CG532" i="7"/>
  <c r="CF532" i="7"/>
  <c r="CE532" i="7"/>
  <c r="CD532" i="7"/>
  <c r="CC532" i="7"/>
  <c r="CB532" i="7"/>
  <c r="CA532" i="7"/>
  <c r="BZ532" i="7"/>
  <c r="BY532" i="7"/>
  <c r="BX532" i="7"/>
  <c r="BW532" i="7"/>
  <c r="BV532" i="7"/>
  <c r="BU532" i="7"/>
  <c r="BT532" i="7"/>
  <c r="BS532" i="7"/>
  <c r="BR532" i="7"/>
  <c r="BQ532" i="7"/>
  <c r="BP532" i="7"/>
  <c r="BO532" i="7"/>
  <c r="BN532" i="7"/>
  <c r="BM532" i="7"/>
  <c r="BL532" i="7"/>
  <c r="BK532" i="7"/>
  <c r="BJ532" i="7"/>
  <c r="BI532" i="7"/>
  <c r="BH532" i="7"/>
  <c r="BG532" i="7"/>
  <c r="DD531" i="7"/>
  <c r="DC531" i="7"/>
  <c r="DB531" i="7"/>
  <c r="DA531" i="7"/>
  <c r="CZ531" i="7"/>
  <c r="CY531" i="7"/>
  <c r="CX531" i="7"/>
  <c r="CW531" i="7"/>
  <c r="CV531" i="7"/>
  <c r="CU531" i="7"/>
  <c r="CT531" i="7"/>
  <c r="CS531" i="7"/>
  <c r="CR531" i="7"/>
  <c r="CQ531" i="7"/>
  <c r="CP531" i="7"/>
  <c r="CO531" i="7"/>
  <c r="CN531" i="7"/>
  <c r="CM531" i="7"/>
  <c r="CL531" i="7"/>
  <c r="CK531" i="7"/>
  <c r="CJ531" i="7"/>
  <c r="CI531" i="7"/>
  <c r="CH531" i="7"/>
  <c r="CG531" i="7"/>
  <c r="CF531" i="7"/>
  <c r="CE531" i="7"/>
  <c r="CD531" i="7"/>
  <c r="CC531" i="7"/>
  <c r="CB531" i="7"/>
  <c r="CA531" i="7"/>
  <c r="BZ531" i="7"/>
  <c r="BY531" i="7"/>
  <c r="BX531" i="7"/>
  <c r="BW531" i="7"/>
  <c r="BV531" i="7"/>
  <c r="BU531" i="7"/>
  <c r="BT531" i="7"/>
  <c r="BS531" i="7"/>
  <c r="BR531" i="7"/>
  <c r="BQ531" i="7"/>
  <c r="BP531" i="7"/>
  <c r="BO531" i="7"/>
  <c r="BN531" i="7"/>
  <c r="BM531" i="7"/>
  <c r="BL531" i="7"/>
  <c r="BK531" i="7"/>
  <c r="BJ531" i="7"/>
  <c r="BI531" i="7"/>
  <c r="BH531" i="7"/>
  <c r="BG531" i="7"/>
  <c r="DD530" i="7"/>
  <c r="DC530" i="7"/>
  <c r="DB530" i="7"/>
  <c r="DA530" i="7"/>
  <c r="CZ530" i="7"/>
  <c r="CY530" i="7"/>
  <c r="CX530" i="7"/>
  <c r="CW530" i="7"/>
  <c r="CV530" i="7"/>
  <c r="CU530" i="7"/>
  <c r="CT530" i="7"/>
  <c r="CS530" i="7"/>
  <c r="CR530" i="7"/>
  <c r="CQ530" i="7"/>
  <c r="CP530" i="7"/>
  <c r="CO530" i="7"/>
  <c r="CN530" i="7"/>
  <c r="CM530" i="7"/>
  <c r="CL530" i="7"/>
  <c r="CK530" i="7"/>
  <c r="CJ530" i="7"/>
  <c r="CI530" i="7"/>
  <c r="CH530" i="7"/>
  <c r="CG530" i="7"/>
  <c r="CF530" i="7"/>
  <c r="CE530" i="7"/>
  <c r="CD530" i="7"/>
  <c r="CC530" i="7"/>
  <c r="CB530" i="7"/>
  <c r="CA530" i="7"/>
  <c r="BZ530" i="7"/>
  <c r="BY530" i="7"/>
  <c r="BX530" i="7"/>
  <c r="BW530" i="7"/>
  <c r="BV530" i="7"/>
  <c r="BU530" i="7"/>
  <c r="BT530" i="7"/>
  <c r="BS530" i="7"/>
  <c r="BR530" i="7"/>
  <c r="BQ530" i="7"/>
  <c r="BP530" i="7"/>
  <c r="BO530" i="7"/>
  <c r="BN530" i="7"/>
  <c r="BM530" i="7"/>
  <c r="BL530" i="7"/>
  <c r="BK530" i="7"/>
  <c r="BJ530" i="7"/>
  <c r="BI530" i="7"/>
  <c r="BH530" i="7"/>
  <c r="BG530" i="7"/>
  <c r="DD529" i="7"/>
  <c r="DC529" i="7"/>
  <c r="DB529" i="7"/>
  <c r="DA529" i="7"/>
  <c r="CZ529" i="7"/>
  <c r="CY529" i="7"/>
  <c r="CX529" i="7"/>
  <c r="CW529" i="7"/>
  <c r="CV529" i="7"/>
  <c r="CU529" i="7"/>
  <c r="CT529" i="7"/>
  <c r="CS529" i="7"/>
  <c r="CR529" i="7"/>
  <c r="CQ529" i="7"/>
  <c r="CP529" i="7"/>
  <c r="CO529" i="7"/>
  <c r="CN529" i="7"/>
  <c r="CM529" i="7"/>
  <c r="CL529" i="7"/>
  <c r="CK529" i="7"/>
  <c r="CJ529" i="7"/>
  <c r="CI529" i="7"/>
  <c r="CH529" i="7"/>
  <c r="CG529" i="7"/>
  <c r="CF529" i="7"/>
  <c r="CE529" i="7"/>
  <c r="CD529" i="7"/>
  <c r="CC529" i="7"/>
  <c r="CB529" i="7"/>
  <c r="CA529" i="7"/>
  <c r="BZ529" i="7"/>
  <c r="BY529" i="7"/>
  <c r="BX529" i="7"/>
  <c r="BW529" i="7"/>
  <c r="BV529" i="7"/>
  <c r="BU529" i="7"/>
  <c r="BT529" i="7"/>
  <c r="BS529" i="7"/>
  <c r="BR529" i="7"/>
  <c r="BQ529" i="7"/>
  <c r="BP529" i="7"/>
  <c r="BO529" i="7"/>
  <c r="BN529" i="7"/>
  <c r="BM529" i="7"/>
  <c r="BL529" i="7"/>
  <c r="BK529" i="7"/>
  <c r="BJ529" i="7"/>
  <c r="BI529" i="7"/>
  <c r="BH529" i="7"/>
  <c r="BG529" i="7"/>
  <c r="DD528" i="7"/>
  <c r="DC528" i="7"/>
  <c r="DB528" i="7"/>
  <c r="DA528" i="7"/>
  <c r="CZ528" i="7"/>
  <c r="CY528" i="7"/>
  <c r="CX528" i="7"/>
  <c r="CW528" i="7"/>
  <c r="CV528" i="7"/>
  <c r="CU528" i="7"/>
  <c r="CT528" i="7"/>
  <c r="CS528" i="7"/>
  <c r="CR528" i="7"/>
  <c r="CQ528" i="7"/>
  <c r="CP528" i="7"/>
  <c r="CO528" i="7"/>
  <c r="CN528" i="7"/>
  <c r="CM528" i="7"/>
  <c r="CL528" i="7"/>
  <c r="CK528" i="7"/>
  <c r="CJ528" i="7"/>
  <c r="CI528" i="7"/>
  <c r="CH528" i="7"/>
  <c r="CG528" i="7"/>
  <c r="CF528" i="7"/>
  <c r="CE528" i="7"/>
  <c r="CD528" i="7"/>
  <c r="CC528" i="7"/>
  <c r="CB528" i="7"/>
  <c r="CA528" i="7"/>
  <c r="BZ528" i="7"/>
  <c r="BY528" i="7"/>
  <c r="BX528" i="7"/>
  <c r="BW528" i="7"/>
  <c r="BV528" i="7"/>
  <c r="BU528" i="7"/>
  <c r="BT528" i="7"/>
  <c r="BS528" i="7"/>
  <c r="BR528" i="7"/>
  <c r="BQ528" i="7"/>
  <c r="BP528" i="7"/>
  <c r="BO528" i="7"/>
  <c r="BN528" i="7"/>
  <c r="BM528" i="7"/>
  <c r="BL528" i="7"/>
  <c r="BK528" i="7"/>
  <c r="BJ528" i="7"/>
  <c r="BI528" i="7"/>
  <c r="BH528" i="7"/>
  <c r="BG528" i="7"/>
  <c r="DD527" i="7"/>
  <c r="DC527" i="7"/>
  <c r="DB527" i="7"/>
  <c r="DA527" i="7"/>
  <c r="CZ527" i="7"/>
  <c r="CY527" i="7"/>
  <c r="CX527" i="7"/>
  <c r="CW527" i="7"/>
  <c r="CV527" i="7"/>
  <c r="CU527" i="7"/>
  <c r="CT527" i="7"/>
  <c r="CS527" i="7"/>
  <c r="CR527" i="7"/>
  <c r="CQ527" i="7"/>
  <c r="CP527" i="7"/>
  <c r="CO527" i="7"/>
  <c r="CN527" i="7"/>
  <c r="CM527" i="7"/>
  <c r="CL527" i="7"/>
  <c r="CK527" i="7"/>
  <c r="CJ527" i="7"/>
  <c r="CI527" i="7"/>
  <c r="CH527" i="7"/>
  <c r="CG527" i="7"/>
  <c r="CF527" i="7"/>
  <c r="CE527" i="7"/>
  <c r="CD527" i="7"/>
  <c r="CC527" i="7"/>
  <c r="CB527" i="7"/>
  <c r="CA527" i="7"/>
  <c r="BZ527" i="7"/>
  <c r="BY527" i="7"/>
  <c r="BX527" i="7"/>
  <c r="BW527" i="7"/>
  <c r="BV527" i="7"/>
  <c r="BU527" i="7"/>
  <c r="BT527" i="7"/>
  <c r="BS527" i="7"/>
  <c r="BR527" i="7"/>
  <c r="BQ527" i="7"/>
  <c r="BP527" i="7"/>
  <c r="BO527" i="7"/>
  <c r="BN527" i="7"/>
  <c r="BM527" i="7"/>
  <c r="BL527" i="7"/>
  <c r="BK527" i="7"/>
  <c r="BJ527" i="7"/>
  <c r="BI527" i="7"/>
  <c r="BH527" i="7"/>
  <c r="BG527" i="7"/>
  <c r="DD526" i="7"/>
  <c r="DC526" i="7"/>
  <c r="DB526" i="7"/>
  <c r="DA526" i="7"/>
  <c r="CZ526" i="7"/>
  <c r="CY526" i="7"/>
  <c r="CX526" i="7"/>
  <c r="CW526" i="7"/>
  <c r="CV526" i="7"/>
  <c r="CU526" i="7"/>
  <c r="CT526" i="7"/>
  <c r="CS526" i="7"/>
  <c r="CR526" i="7"/>
  <c r="CQ526" i="7"/>
  <c r="CP526" i="7"/>
  <c r="CO526" i="7"/>
  <c r="CN526" i="7"/>
  <c r="CM526" i="7"/>
  <c r="CL526" i="7"/>
  <c r="CK526" i="7"/>
  <c r="CJ526" i="7"/>
  <c r="CI526" i="7"/>
  <c r="CH526" i="7"/>
  <c r="CG526" i="7"/>
  <c r="CF526" i="7"/>
  <c r="CE526" i="7"/>
  <c r="CD526" i="7"/>
  <c r="CC526" i="7"/>
  <c r="CB526" i="7"/>
  <c r="CA526" i="7"/>
  <c r="BZ526" i="7"/>
  <c r="BY526" i="7"/>
  <c r="BX526" i="7"/>
  <c r="BW526" i="7"/>
  <c r="BV526" i="7"/>
  <c r="BU526" i="7"/>
  <c r="BT526" i="7"/>
  <c r="BS526" i="7"/>
  <c r="BR526" i="7"/>
  <c r="BQ526" i="7"/>
  <c r="BP526" i="7"/>
  <c r="BO526" i="7"/>
  <c r="BN526" i="7"/>
  <c r="BM526" i="7"/>
  <c r="BL526" i="7"/>
  <c r="BK526" i="7"/>
  <c r="BJ526" i="7"/>
  <c r="BI526" i="7"/>
  <c r="BH526" i="7"/>
  <c r="BG526" i="7"/>
  <c r="DD525" i="7"/>
  <c r="DC525" i="7"/>
  <c r="DB525" i="7"/>
  <c r="DA525" i="7"/>
  <c r="CZ525" i="7"/>
  <c r="CY525" i="7"/>
  <c r="CX525" i="7"/>
  <c r="CW525" i="7"/>
  <c r="CV525" i="7"/>
  <c r="CU525" i="7"/>
  <c r="CT525" i="7"/>
  <c r="CS525" i="7"/>
  <c r="CR525" i="7"/>
  <c r="CQ525" i="7"/>
  <c r="CP525" i="7"/>
  <c r="CO525" i="7"/>
  <c r="CN525" i="7"/>
  <c r="CM525" i="7"/>
  <c r="CL525" i="7"/>
  <c r="CK525" i="7"/>
  <c r="CJ525" i="7"/>
  <c r="CI525" i="7"/>
  <c r="CH525" i="7"/>
  <c r="CG525" i="7"/>
  <c r="CF525" i="7"/>
  <c r="CE525" i="7"/>
  <c r="CD525" i="7"/>
  <c r="CC525" i="7"/>
  <c r="CB525" i="7"/>
  <c r="CA525" i="7"/>
  <c r="BZ525" i="7"/>
  <c r="BY525" i="7"/>
  <c r="BX525" i="7"/>
  <c r="BW525" i="7"/>
  <c r="BV525" i="7"/>
  <c r="BU525" i="7"/>
  <c r="BT525" i="7"/>
  <c r="BS525" i="7"/>
  <c r="BR525" i="7"/>
  <c r="BQ525" i="7"/>
  <c r="BP525" i="7"/>
  <c r="BO525" i="7"/>
  <c r="BN525" i="7"/>
  <c r="BM525" i="7"/>
  <c r="BL525" i="7"/>
  <c r="BK525" i="7"/>
  <c r="BJ525" i="7"/>
  <c r="BI525" i="7"/>
  <c r="BH525" i="7"/>
  <c r="BG525" i="7"/>
  <c r="DD524" i="7"/>
  <c r="DC524" i="7"/>
  <c r="DB524" i="7"/>
  <c r="DA524" i="7"/>
  <c r="CZ524" i="7"/>
  <c r="CY524" i="7"/>
  <c r="CX524" i="7"/>
  <c r="CW524" i="7"/>
  <c r="CV524" i="7"/>
  <c r="CU524" i="7"/>
  <c r="CT524" i="7"/>
  <c r="CS524" i="7"/>
  <c r="CR524" i="7"/>
  <c r="CQ524" i="7"/>
  <c r="CP524" i="7"/>
  <c r="CO524" i="7"/>
  <c r="CN524" i="7"/>
  <c r="CM524" i="7"/>
  <c r="CL524" i="7"/>
  <c r="CK524" i="7"/>
  <c r="CJ524" i="7"/>
  <c r="CI524" i="7"/>
  <c r="CH524" i="7"/>
  <c r="CG524" i="7"/>
  <c r="CF524" i="7"/>
  <c r="CE524" i="7"/>
  <c r="CD524" i="7"/>
  <c r="CC524" i="7"/>
  <c r="CB524" i="7"/>
  <c r="CA524" i="7"/>
  <c r="BZ524" i="7"/>
  <c r="BY524" i="7"/>
  <c r="BX524" i="7"/>
  <c r="BW524" i="7"/>
  <c r="BV524" i="7"/>
  <c r="BU524" i="7"/>
  <c r="BT524" i="7"/>
  <c r="BS524" i="7"/>
  <c r="BR524" i="7"/>
  <c r="BQ524" i="7"/>
  <c r="BP524" i="7"/>
  <c r="BO524" i="7"/>
  <c r="BN524" i="7"/>
  <c r="BM524" i="7"/>
  <c r="BL524" i="7"/>
  <c r="BK524" i="7"/>
  <c r="BJ524" i="7"/>
  <c r="BI524" i="7"/>
  <c r="BH524" i="7"/>
  <c r="BG524" i="7"/>
  <c r="DD523" i="7"/>
  <c r="DC523" i="7"/>
  <c r="DB523" i="7"/>
  <c r="DA523" i="7"/>
  <c r="CZ523" i="7"/>
  <c r="CY523" i="7"/>
  <c r="CX523" i="7"/>
  <c r="CW523" i="7"/>
  <c r="CV523" i="7"/>
  <c r="CU523" i="7"/>
  <c r="CT523" i="7"/>
  <c r="CS523" i="7"/>
  <c r="CR523" i="7"/>
  <c r="CQ523" i="7"/>
  <c r="CP523" i="7"/>
  <c r="CO523" i="7"/>
  <c r="CN523" i="7"/>
  <c r="CM523" i="7"/>
  <c r="CL523" i="7"/>
  <c r="CK523" i="7"/>
  <c r="CJ523" i="7"/>
  <c r="CI523" i="7"/>
  <c r="CH523" i="7"/>
  <c r="CG523" i="7"/>
  <c r="CF523" i="7"/>
  <c r="CE523" i="7"/>
  <c r="CD523" i="7"/>
  <c r="CC523" i="7"/>
  <c r="CB523" i="7"/>
  <c r="CA523" i="7"/>
  <c r="BZ523" i="7"/>
  <c r="BY523" i="7"/>
  <c r="BX523" i="7"/>
  <c r="BW523" i="7"/>
  <c r="BV523" i="7"/>
  <c r="BU523" i="7"/>
  <c r="BT523" i="7"/>
  <c r="BS523" i="7"/>
  <c r="BR523" i="7"/>
  <c r="BQ523" i="7"/>
  <c r="BP523" i="7"/>
  <c r="BO523" i="7"/>
  <c r="BN523" i="7"/>
  <c r="BM523" i="7"/>
  <c r="BL523" i="7"/>
  <c r="BK523" i="7"/>
  <c r="BJ523" i="7"/>
  <c r="BI523" i="7"/>
  <c r="BH523" i="7"/>
  <c r="BG523" i="7"/>
  <c r="DD522" i="7"/>
  <c r="DC522" i="7"/>
  <c r="DB522" i="7"/>
  <c r="DA522" i="7"/>
  <c r="CZ522" i="7"/>
  <c r="CY522" i="7"/>
  <c r="CX522" i="7"/>
  <c r="CW522" i="7"/>
  <c r="CV522" i="7"/>
  <c r="CU522" i="7"/>
  <c r="CT522" i="7"/>
  <c r="CS522" i="7"/>
  <c r="CR522" i="7"/>
  <c r="CQ522" i="7"/>
  <c r="CP522" i="7"/>
  <c r="CO522" i="7"/>
  <c r="CN522" i="7"/>
  <c r="CM522" i="7"/>
  <c r="CL522" i="7"/>
  <c r="CK522" i="7"/>
  <c r="CJ522" i="7"/>
  <c r="CI522" i="7"/>
  <c r="CH522" i="7"/>
  <c r="CG522" i="7"/>
  <c r="CF522" i="7"/>
  <c r="CE522" i="7"/>
  <c r="CD522" i="7"/>
  <c r="CC522" i="7"/>
  <c r="CB522" i="7"/>
  <c r="CA522" i="7"/>
  <c r="BZ522" i="7"/>
  <c r="BY522" i="7"/>
  <c r="BX522" i="7"/>
  <c r="BW522" i="7"/>
  <c r="BV522" i="7"/>
  <c r="BU522" i="7"/>
  <c r="BT522" i="7"/>
  <c r="BS522" i="7"/>
  <c r="BR522" i="7"/>
  <c r="BQ522" i="7"/>
  <c r="BP522" i="7"/>
  <c r="BO522" i="7"/>
  <c r="BN522" i="7"/>
  <c r="BM522" i="7"/>
  <c r="BL522" i="7"/>
  <c r="BK522" i="7"/>
  <c r="BJ522" i="7"/>
  <c r="BI522" i="7"/>
  <c r="BH522" i="7"/>
  <c r="BG522" i="7"/>
  <c r="DD521" i="7"/>
  <c r="DC521" i="7"/>
  <c r="DB521" i="7"/>
  <c r="DA521" i="7"/>
  <c r="CZ521" i="7"/>
  <c r="CY521" i="7"/>
  <c r="CX521" i="7"/>
  <c r="CW521" i="7"/>
  <c r="CV521" i="7"/>
  <c r="CU521" i="7"/>
  <c r="CT521" i="7"/>
  <c r="CS521" i="7"/>
  <c r="CR521" i="7"/>
  <c r="CQ521" i="7"/>
  <c r="CP521" i="7"/>
  <c r="CO521" i="7"/>
  <c r="CN521" i="7"/>
  <c r="CM521" i="7"/>
  <c r="CL521" i="7"/>
  <c r="CK521" i="7"/>
  <c r="CJ521" i="7"/>
  <c r="CI521" i="7"/>
  <c r="CH521" i="7"/>
  <c r="CG521" i="7"/>
  <c r="CF521" i="7"/>
  <c r="CE521" i="7"/>
  <c r="CD521" i="7"/>
  <c r="CC521" i="7"/>
  <c r="CB521" i="7"/>
  <c r="CA521" i="7"/>
  <c r="BZ521" i="7"/>
  <c r="BY521" i="7"/>
  <c r="BX521" i="7"/>
  <c r="BW521" i="7"/>
  <c r="BV521" i="7"/>
  <c r="BU521" i="7"/>
  <c r="BT521" i="7"/>
  <c r="BS521" i="7"/>
  <c r="BR521" i="7"/>
  <c r="BQ521" i="7"/>
  <c r="BP521" i="7"/>
  <c r="BO521" i="7"/>
  <c r="BN521" i="7"/>
  <c r="BM521" i="7"/>
  <c r="BL521" i="7"/>
  <c r="BK521" i="7"/>
  <c r="BJ521" i="7"/>
  <c r="BI521" i="7"/>
  <c r="BH521" i="7"/>
  <c r="BG521" i="7"/>
  <c r="DD520" i="7"/>
  <c r="DC520" i="7"/>
  <c r="DB520" i="7"/>
  <c r="DA520" i="7"/>
  <c r="CZ520" i="7"/>
  <c r="CY520" i="7"/>
  <c r="CX520" i="7"/>
  <c r="CW520" i="7"/>
  <c r="CV520" i="7"/>
  <c r="CU520" i="7"/>
  <c r="CT520" i="7"/>
  <c r="CS520" i="7"/>
  <c r="CR520" i="7"/>
  <c r="CQ520" i="7"/>
  <c r="CP520" i="7"/>
  <c r="CO520" i="7"/>
  <c r="CN520" i="7"/>
  <c r="CM520" i="7"/>
  <c r="CL520" i="7"/>
  <c r="CK520" i="7"/>
  <c r="CJ520" i="7"/>
  <c r="CI520" i="7"/>
  <c r="CH520" i="7"/>
  <c r="CG520" i="7"/>
  <c r="CF520" i="7"/>
  <c r="CE520" i="7"/>
  <c r="CD520" i="7"/>
  <c r="CC520" i="7"/>
  <c r="CB520" i="7"/>
  <c r="CA520" i="7"/>
  <c r="BZ520" i="7"/>
  <c r="BY520" i="7"/>
  <c r="BX520" i="7"/>
  <c r="BW520" i="7"/>
  <c r="BV520" i="7"/>
  <c r="BU520" i="7"/>
  <c r="BT520" i="7"/>
  <c r="BS520" i="7"/>
  <c r="BR520" i="7"/>
  <c r="BQ520" i="7"/>
  <c r="BP520" i="7"/>
  <c r="BO520" i="7"/>
  <c r="BN520" i="7"/>
  <c r="BM520" i="7"/>
  <c r="BL520" i="7"/>
  <c r="BK520" i="7"/>
  <c r="BJ520" i="7"/>
  <c r="BI520" i="7"/>
  <c r="BH520" i="7"/>
  <c r="BG520" i="7"/>
  <c r="DD519" i="7"/>
  <c r="DC519" i="7"/>
  <c r="DB519" i="7"/>
  <c r="DA519" i="7"/>
  <c r="CZ519" i="7"/>
  <c r="CY519" i="7"/>
  <c r="CX519" i="7"/>
  <c r="CW519" i="7"/>
  <c r="CV519" i="7"/>
  <c r="CU519" i="7"/>
  <c r="CT519" i="7"/>
  <c r="CS519" i="7"/>
  <c r="CR519" i="7"/>
  <c r="CQ519" i="7"/>
  <c r="CP519" i="7"/>
  <c r="CO519" i="7"/>
  <c r="CN519" i="7"/>
  <c r="CM519" i="7"/>
  <c r="CL519" i="7"/>
  <c r="CK519" i="7"/>
  <c r="CJ519" i="7"/>
  <c r="CI519" i="7"/>
  <c r="CH519" i="7"/>
  <c r="CG519" i="7"/>
  <c r="CF519" i="7"/>
  <c r="CE519" i="7"/>
  <c r="CD519" i="7"/>
  <c r="CC519" i="7"/>
  <c r="CB519" i="7"/>
  <c r="CA519" i="7"/>
  <c r="BZ519" i="7"/>
  <c r="BY519" i="7"/>
  <c r="BX519" i="7"/>
  <c r="BW519" i="7"/>
  <c r="BV519" i="7"/>
  <c r="BU519" i="7"/>
  <c r="BT519" i="7"/>
  <c r="BS519" i="7"/>
  <c r="BR519" i="7"/>
  <c r="BQ519" i="7"/>
  <c r="BP519" i="7"/>
  <c r="BO519" i="7"/>
  <c r="BN519" i="7"/>
  <c r="BM519" i="7"/>
  <c r="BL519" i="7"/>
  <c r="BK519" i="7"/>
  <c r="BJ519" i="7"/>
  <c r="BI519" i="7"/>
  <c r="BH519" i="7"/>
  <c r="BG519" i="7"/>
  <c r="DD518" i="7"/>
  <c r="DC518" i="7"/>
  <c r="DB518" i="7"/>
  <c r="DA518" i="7"/>
  <c r="CZ518" i="7"/>
  <c r="CY518" i="7"/>
  <c r="CX518" i="7"/>
  <c r="CW518" i="7"/>
  <c r="CV518" i="7"/>
  <c r="CU518" i="7"/>
  <c r="CT518" i="7"/>
  <c r="CS518" i="7"/>
  <c r="CR518" i="7"/>
  <c r="CQ518" i="7"/>
  <c r="CP518" i="7"/>
  <c r="CO518" i="7"/>
  <c r="CN518" i="7"/>
  <c r="CM518" i="7"/>
  <c r="CL518" i="7"/>
  <c r="CK518" i="7"/>
  <c r="CJ518" i="7"/>
  <c r="CI518" i="7"/>
  <c r="CH518" i="7"/>
  <c r="CG518" i="7"/>
  <c r="CF518" i="7"/>
  <c r="CE518" i="7"/>
  <c r="CD518" i="7"/>
  <c r="CC518" i="7"/>
  <c r="CB518" i="7"/>
  <c r="CA518" i="7"/>
  <c r="BZ518" i="7"/>
  <c r="BY518" i="7"/>
  <c r="BX518" i="7"/>
  <c r="BW518" i="7"/>
  <c r="BV518" i="7"/>
  <c r="BU518" i="7"/>
  <c r="BT518" i="7"/>
  <c r="BS518" i="7"/>
  <c r="BR518" i="7"/>
  <c r="BQ518" i="7"/>
  <c r="BP518" i="7"/>
  <c r="BO518" i="7"/>
  <c r="BN518" i="7"/>
  <c r="BM518" i="7"/>
  <c r="BL518" i="7"/>
  <c r="BK518" i="7"/>
  <c r="BJ518" i="7"/>
  <c r="BI518" i="7"/>
  <c r="BH518" i="7"/>
  <c r="BG518" i="7"/>
  <c r="DD517" i="7"/>
  <c r="DC517" i="7"/>
  <c r="DB517" i="7"/>
  <c r="DA517" i="7"/>
  <c r="CZ517" i="7"/>
  <c r="CY517" i="7"/>
  <c r="CX517" i="7"/>
  <c r="CW517" i="7"/>
  <c r="CV517" i="7"/>
  <c r="CU517" i="7"/>
  <c r="CT517" i="7"/>
  <c r="CS517" i="7"/>
  <c r="CR517" i="7"/>
  <c r="CQ517" i="7"/>
  <c r="CP517" i="7"/>
  <c r="CO517" i="7"/>
  <c r="CN517" i="7"/>
  <c r="CM517" i="7"/>
  <c r="CL517" i="7"/>
  <c r="CK517" i="7"/>
  <c r="CJ517" i="7"/>
  <c r="CI517" i="7"/>
  <c r="CH517" i="7"/>
  <c r="CG517" i="7"/>
  <c r="CF517" i="7"/>
  <c r="CE517" i="7"/>
  <c r="CD517" i="7"/>
  <c r="CC517" i="7"/>
  <c r="CB517" i="7"/>
  <c r="CA517" i="7"/>
  <c r="BZ517" i="7"/>
  <c r="BY517" i="7"/>
  <c r="BX517" i="7"/>
  <c r="BW517" i="7"/>
  <c r="BV517" i="7"/>
  <c r="BU517" i="7"/>
  <c r="BT517" i="7"/>
  <c r="BS517" i="7"/>
  <c r="BR517" i="7"/>
  <c r="BQ517" i="7"/>
  <c r="BP517" i="7"/>
  <c r="BO517" i="7"/>
  <c r="BN517" i="7"/>
  <c r="BM517" i="7"/>
  <c r="BL517" i="7"/>
  <c r="BK517" i="7"/>
  <c r="BJ517" i="7"/>
  <c r="BI517" i="7"/>
  <c r="BH517" i="7"/>
  <c r="BG517" i="7"/>
  <c r="DD516" i="7"/>
  <c r="DC516" i="7"/>
  <c r="DB516" i="7"/>
  <c r="DA516" i="7"/>
  <c r="CZ516" i="7"/>
  <c r="CY516" i="7"/>
  <c r="CX516" i="7"/>
  <c r="CW516" i="7"/>
  <c r="CV516" i="7"/>
  <c r="CU516" i="7"/>
  <c r="CT516" i="7"/>
  <c r="CS516" i="7"/>
  <c r="CR516" i="7"/>
  <c r="CQ516" i="7"/>
  <c r="CP516" i="7"/>
  <c r="CO516" i="7"/>
  <c r="CN516" i="7"/>
  <c r="CM516" i="7"/>
  <c r="CL516" i="7"/>
  <c r="CK516" i="7"/>
  <c r="CJ516" i="7"/>
  <c r="CI516" i="7"/>
  <c r="CH516" i="7"/>
  <c r="CG516" i="7"/>
  <c r="CF516" i="7"/>
  <c r="CE516" i="7"/>
  <c r="CD516" i="7"/>
  <c r="CC516" i="7"/>
  <c r="CB516" i="7"/>
  <c r="CA516" i="7"/>
  <c r="BZ516" i="7"/>
  <c r="BY516" i="7"/>
  <c r="BX516" i="7"/>
  <c r="BW516" i="7"/>
  <c r="BV516" i="7"/>
  <c r="BU516" i="7"/>
  <c r="BT516" i="7"/>
  <c r="BS516" i="7"/>
  <c r="BR516" i="7"/>
  <c r="BQ516" i="7"/>
  <c r="BP516" i="7"/>
  <c r="BO516" i="7"/>
  <c r="BN516" i="7"/>
  <c r="BM516" i="7"/>
  <c r="BL516" i="7"/>
  <c r="BK516" i="7"/>
  <c r="BJ516" i="7"/>
  <c r="BI516" i="7"/>
  <c r="BH516" i="7"/>
  <c r="BG516" i="7"/>
  <c r="DD515" i="7"/>
  <c r="DC515" i="7"/>
  <c r="DB515" i="7"/>
  <c r="DA515" i="7"/>
  <c r="CZ515" i="7"/>
  <c r="CY515" i="7"/>
  <c r="CX515" i="7"/>
  <c r="CW515" i="7"/>
  <c r="CV515" i="7"/>
  <c r="CU515" i="7"/>
  <c r="CT515" i="7"/>
  <c r="CS515" i="7"/>
  <c r="CR515" i="7"/>
  <c r="CQ515" i="7"/>
  <c r="CP515" i="7"/>
  <c r="CO515" i="7"/>
  <c r="CN515" i="7"/>
  <c r="CM515" i="7"/>
  <c r="CL515" i="7"/>
  <c r="CK515" i="7"/>
  <c r="CJ515" i="7"/>
  <c r="CI515" i="7"/>
  <c r="CH515" i="7"/>
  <c r="CG515" i="7"/>
  <c r="CF515" i="7"/>
  <c r="CE515" i="7"/>
  <c r="CD515" i="7"/>
  <c r="CC515" i="7"/>
  <c r="CB515" i="7"/>
  <c r="CA515" i="7"/>
  <c r="BZ515" i="7"/>
  <c r="BY515" i="7"/>
  <c r="BX515" i="7"/>
  <c r="BW515" i="7"/>
  <c r="BV515" i="7"/>
  <c r="BU515" i="7"/>
  <c r="BT515" i="7"/>
  <c r="BS515" i="7"/>
  <c r="BR515" i="7"/>
  <c r="BQ515" i="7"/>
  <c r="BP515" i="7"/>
  <c r="BO515" i="7"/>
  <c r="BN515" i="7"/>
  <c r="BM515" i="7"/>
  <c r="BL515" i="7"/>
  <c r="BK515" i="7"/>
  <c r="BJ515" i="7"/>
  <c r="BI515" i="7"/>
  <c r="BH515" i="7"/>
  <c r="BG515" i="7"/>
  <c r="DD514" i="7"/>
  <c r="DC514" i="7"/>
  <c r="DB514" i="7"/>
  <c r="DA514" i="7"/>
  <c r="CZ514" i="7"/>
  <c r="CY514" i="7"/>
  <c r="CX514" i="7"/>
  <c r="CW514" i="7"/>
  <c r="CV514" i="7"/>
  <c r="CU514" i="7"/>
  <c r="CT514" i="7"/>
  <c r="CS514" i="7"/>
  <c r="CR514" i="7"/>
  <c r="CQ514" i="7"/>
  <c r="CP514" i="7"/>
  <c r="CO514" i="7"/>
  <c r="CN514" i="7"/>
  <c r="CM514" i="7"/>
  <c r="CL514" i="7"/>
  <c r="CK514" i="7"/>
  <c r="CJ514" i="7"/>
  <c r="CI514" i="7"/>
  <c r="CH514" i="7"/>
  <c r="CG514" i="7"/>
  <c r="CF514" i="7"/>
  <c r="CE514" i="7"/>
  <c r="CD514" i="7"/>
  <c r="CC514" i="7"/>
  <c r="CB514" i="7"/>
  <c r="CA514" i="7"/>
  <c r="BZ514" i="7"/>
  <c r="BY514" i="7"/>
  <c r="BX514" i="7"/>
  <c r="BW514" i="7"/>
  <c r="BV514" i="7"/>
  <c r="BU514" i="7"/>
  <c r="BT514" i="7"/>
  <c r="BS514" i="7"/>
  <c r="BR514" i="7"/>
  <c r="BQ514" i="7"/>
  <c r="BP514" i="7"/>
  <c r="BO514" i="7"/>
  <c r="BN514" i="7"/>
  <c r="BM514" i="7"/>
  <c r="BL514" i="7"/>
  <c r="BK514" i="7"/>
  <c r="BJ514" i="7"/>
  <c r="BI514" i="7"/>
  <c r="BH514" i="7"/>
  <c r="BG514" i="7"/>
  <c r="DD513" i="7"/>
  <c r="DC513" i="7"/>
  <c r="DB513" i="7"/>
  <c r="DA513" i="7"/>
  <c r="CZ513" i="7"/>
  <c r="CY513" i="7"/>
  <c r="CX513" i="7"/>
  <c r="CW513" i="7"/>
  <c r="CV513" i="7"/>
  <c r="CU513" i="7"/>
  <c r="CT513" i="7"/>
  <c r="CS513" i="7"/>
  <c r="CR513" i="7"/>
  <c r="CQ513" i="7"/>
  <c r="CP513" i="7"/>
  <c r="CO513" i="7"/>
  <c r="CN513" i="7"/>
  <c r="CM513" i="7"/>
  <c r="CL513" i="7"/>
  <c r="CK513" i="7"/>
  <c r="CJ513" i="7"/>
  <c r="CI513" i="7"/>
  <c r="CH513" i="7"/>
  <c r="CG513" i="7"/>
  <c r="CF513" i="7"/>
  <c r="CE513" i="7"/>
  <c r="CD513" i="7"/>
  <c r="CC513" i="7"/>
  <c r="CB513" i="7"/>
  <c r="CA513" i="7"/>
  <c r="BZ513" i="7"/>
  <c r="BY513" i="7"/>
  <c r="BX513" i="7"/>
  <c r="BW513" i="7"/>
  <c r="BV513" i="7"/>
  <c r="BU513" i="7"/>
  <c r="BT513" i="7"/>
  <c r="BS513" i="7"/>
  <c r="BR513" i="7"/>
  <c r="BQ513" i="7"/>
  <c r="BP513" i="7"/>
  <c r="BO513" i="7"/>
  <c r="BN513" i="7"/>
  <c r="BM513" i="7"/>
  <c r="BL513" i="7"/>
  <c r="BK513" i="7"/>
  <c r="BJ513" i="7"/>
  <c r="BI513" i="7"/>
  <c r="BH513" i="7"/>
  <c r="BG513" i="7"/>
  <c r="DD512" i="7"/>
  <c r="DC512" i="7"/>
  <c r="DB512" i="7"/>
  <c r="DA512" i="7"/>
  <c r="CZ512" i="7"/>
  <c r="CY512" i="7"/>
  <c r="CX512" i="7"/>
  <c r="CW512" i="7"/>
  <c r="CV512" i="7"/>
  <c r="CU512" i="7"/>
  <c r="CT512" i="7"/>
  <c r="CS512" i="7"/>
  <c r="CR512" i="7"/>
  <c r="CQ512" i="7"/>
  <c r="CP512" i="7"/>
  <c r="CO512" i="7"/>
  <c r="CN512" i="7"/>
  <c r="CM512" i="7"/>
  <c r="CL512" i="7"/>
  <c r="CK512" i="7"/>
  <c r="CJ512" i="7"/>
  <c r="CI512" i="7"/>
  <c r="CH512" i="7"/>
  <c r="CG512" i="7"/>
  <c r="CF512" i="7"/>
  <c r="CE512" i="7"/>
  <c r="CD512" i="7"/>
  <c r="CC512" i="7"/>
  <c r="CB512" i="7"/>
  <c r="CA512" i="7"/>
  <c r="BZ512" i="7"/>
  <c r="BY512" i="7"/>
  <c r="BX512" i="7"/>
  <c r="BW512" i="7"/>
  <c r="BV512" i="7"/>
  <c r="BU512" i="7"/>
  <c r="BT512" i="7"/>
  <c r="BS512" i="7"/>
  <c r="BR512" i="7"/>
  <c r="BQ512" i="7"/>
  <c r="BP512" i="7"/>
  <c r="BO512" i="7"/>
  <c r="BN512" i="7"/>
  <c r="BM512" i="7"/>
  <c r="BL512" i="7"/>
  <c r="BK512" i="7"/>
  <c r="BJ512" i="7"/>
  <c r="BI512" i="7"/>
  <c r="BH512" i="7"/>
  <c r="BG512" i="7"/>
  <c r="DD511" i="7"/>
  <c r="DC511" i="7"/>
  <c r="DB511" i="7"/>
  <c r="DA511" i="7"/>
  <c r="CZ511" i="7"/>
  <c r="CY511" i="7"/>
  <c r="CX511" i="7"/>
  <c r="CW511" i="7"/>
  <c r="CV511" i="7"/>
  <c r="CU511" i="7"/>
  <c r="CT511" i="7"/>
  <c r="CS511" i="7"/>
  <c r="CR511" i="7"/>
  <c r="CQ511" i="7"/>
  <c r="CP511" i="7"/>
  <c r="CO511" i="7"/>
  <c r="CN511" i="7"/>
  <c r="CM511" i="7"/>
  <c r="CL511" i="7"/>
  <c r="CK511" i="7"/>
  <c r="CJ511" i="7"/>
  <c r="CI511" i="7"/>
  <c r="CH511" i="7"/>
  <c r="CG511" i="7"/>
  <c r="CF511" i="7"/>
  <c r="CE511" i="7"/>
  <c r="CD511" i="7"/>
  <c r="CC511" i="7"/>
  <c r="CB511" i="7"/>
  <c r="CA511" i="7"/>
  <c r="BZ511" i="7"/>
  <c r="BY511" i="7"/>
  <c r="BX511" i="7"/>
  <c r="BW511" i="7"/>
  <c r="BV511" i="7"/>
  <c r="BU511" i="7"/>
  <c r="BT511" i="7"/>
  <c r="BS511" i="7"/>
  <c r="BR511" i="7"/>
  <c r="BQ511" i="7"/>
  <c r="BP511" i="7"/>
  <c r="BO511" i="7"/>
  <c r="BN511" i="7"/>
  <c r="BM511" i="7"/>
  <c r="BL511" i="7"/>
  <c r="BK511" i="7"/>
  <c r="BJ511" i="7"/>
  <c r="BI511" i="7"/>
  <c r="BH511" i="7"/>
  <c r="BG511" i="7"/>
  <c r="DD510" i="7"/>
  <c r="DC510" i="7"/>
  <c r="DB510" i="7"/>
  <c r="DA510" i="7"/>
  <c r="CZ510" i="7"/>
  <c r="CY510" i="7"/>
  <c r="CX510" i="7"/>
  <c r="CW510" i="7"/>
  <c r="CV510" i="7"/>
  <c r="CU510" i="7"/>
  <c r="CT510" i="7"/>
  <c r="CS510" i="7"/>
  <c r="CR510" i="7"/>
  <c r="CQ510" i="7"/>
  <c r="CP510" i="7"/>
  <c r="CO510" i="7"/>
  <c r="CN510" i="7"/>
  <c r="CM510" i="7"/>
  <c r="CL510" i="7"/>
  <c r="CK510" i="7"/>
  <c r="CJ510" i="7"/>
  <c r="CI510" i="7"/>
  <c r="CH510" i="7"/>
  <c r="CG510" i="7"/>
  <c r="CF510" i="7"/>
  <c r="CE510" i="7"/>
  <c r="CD510" i="7"/>
  <c r="CC510" i="7"/>
  <c r="CB510" i="7"/>
  <c r="CA510" i="7"/>
  <c r="BZ510" i="7"/>
  <c r="BY510" i="7"/>
  <c r="BX510" i="7"/>
  <c r="BW510" i="7"/>
  <c r="BV510" i="7"/>
  <c r="BU510" i="7"/>
  <c r="BT510" i="7"/>
  <c r="BS510" i="7"/>
  <c r="BR510" i="7"/>
  <c r="BQ510" i="7"/>
  <c r="BP510" i="7"/>
  <c r="BO510" i="7"/>
  <c r="BN510" i="7"/>
  <c r="BM510" i="7"/>
  <c r="BL510" i="7"/>
  <c r="BK510" i="7"/>
  <c r="BJ510" i="7"/>
  <c r="BI510" i="7"/>
  <c r="BH510" i="7"/>
  <c r="BG510" i="7"/>
  <c r="DD509" i="7"/>
  <c r="DC509" i="7"/>
  <c r="DB509" i="7"/>
  <c r="DA509" i="7"/>
  <c r="CZ509" i="7"/>
  <c r="CY509" i="7"/>
  <c r="CX509" i="7"/>
  <c r="CW509" i="7"/>
  <c r="CV509" i="7"/>
  <c r="CU509" i="7"/>
  <c r="CT509" i="7"/>
  <c r="CS509" i="7"/>
  <c r="CR509" i="7"/>
  <c r="CQ509" i="7"/>
  <c r="CP509" i="7"/>
  <c r="CO509" i="7"/>
  <c r="CN509" i="7"/>
  <c r="CM509" i="7"/>
  <c r="CL509" i="7"/>
  <c r="CK509" i="7"/>
  <c r="CJ509" i="7"/>
  <c r="CI509" i="7"/>
  <c r="CH509" i="7"/>
  <c r="CG509" i="7"/>
  <c r="CF509" i="7"/>
  <c r="CE509" i="7"/>
  <c r="CD509" i="7"/>
  <c r="CC509" i="7"/>
  <c r="CB509" i="7"/>
  <c r="CA509" i="7"/>
  <c r="BZ509" i="7"/>
  <c r="BY509" i="7"/>
  <c r="BX509" i="7"/>
  <c r="BW509" i="7"/>
  <c r="BV509" i="7"/>
  <c r="BU509" i="7"/>
  <c r="BT509" i="7"/>
  <c r="BS509" i="7"/>
  <c r="BQ509" i="7"/>
  <c r="BO509" i="7"/>
  <c r="BN509" i="7"/>
  <c r="BM509" i="7"/>
  <c r="BK509" i="7"/>
  <c r="BJ509" i="7"/>
  <c r="BI509" i="7"/>
  <c r="BG509" i="7"/>
  <c r="BR509" i="7"/>
  <c r="DD508" i="7"/>
  <c r="DC508" i="7"/>
  <c r="DB508" i="7"/>
  <c r="DA508" i="7"/>
  <c r="CZ508" i="7"/>
  <c r="CY508" i="7"/>
  <c r="CX508" i="7"/>
  <c r="CW508" i="7"/>
  <c r="CV508" i="7"/>
  <c r="CU508" i="7"/>
  <c r="CT508" i="7"/>
  <c r="CS508" i="7"/>
  <c r="CR508" i="7"/>
  <c r="CQ508" i="7"/>
  <c r="CP508" i="7"/>
  <c r="CO508" i="7"/>
  <c r="CN508" i="7"/>
  <c r="CM508" i="7"/>
  <c r="CL508" i="7"/>
  <c r="CK508" i="7"/>
  <c r="CJ508" i="7"/>
  <c r="CI508" i="7"/>
  <c r="CH508" i="7"/>
  <c r="CG508" i="7"/>
  <c r="CF508" i="7"/>
  <c r="CE508" i="7"/>
  <c r="CD508" i="7"/>
  <c r="CC508" i="7"/>
  <c r="CB508" i="7"/>
  <c r="CA508" i="7"/>
  <c r="BZ508" i="7"/>
  <c r="BY508" i="7"/>
  <c r="BX508" i="7"/>
  <c r="BW508" i="7"/>
  <c r="BV508" i="7"/>
  <c r="BT508" i="7"/>
  <c r="BS508" i="7"/>
  <c r="BR508" i="7"/>
  <c r="BQ508" i="7"/>
  <c r="BP508" i="7"/>
  <c r="BO508" i="7"/>
  <c r="BN508" i="7"/>
  <c r="BM508" i="7"/>
  <c r="BL508" i="7"/>
  <c r="BJ508" i="7"/>
  <c r="BI508" i="7"/>
  <c r="BH508" i="7"/>
  <c r="BG508" i="7"/>
  <c r="BU508" i="7"/>
  <c r="DD507" i="7"/>
  <c r="DC507" i="7"/>
  <c r="DB507" i="7"/>
  <c r="DA507" i="7"/>
  <c r="CZ507" i="7"/>
  <c r="CY507" i="7"/>
  <c r="CX507" i="7"/>
  <c r="CW507" i="7"/>
  <c r="CV507" i="7"/>
  <c r="CU507" i="7"/>
  <c r="CT507" i="7"/>
  <c r="CS507" i="7"/>
  <c r="CR507" i="7"/>
  <c r="CQ507" i="7"/>
  <c r="CP507" i="7"/>
  <c r="CO507" i="7"/>
  <c r="CN507" i="7"/>
  <c r="CM507" i="7"/>
  <c r="CL507" i="7"/>
  <c r="CK507" i="7"/>
  <c r="CJ507" i="7"/>
  <c r="CI507" i="7"/>
  <c r="CH507" i="7"/>
  <c r="CG507" i="7"/>
  <c r="CF507" i="7"/>
  <c r="CE507" i="7"/>
  <c r="CD507" i="7"/>
  <c r="CC507" i="7"/>
  <c r="CB507" i="7"/>
  <c r="CA507" i="7"/>
  <c r="BZ507" i="7"/>
  <c r="BY507" i="7"/>
  <c r="BX507" i="7"/>
  <c r="BW507" i="7"/>
  <c r="BV507" i="7"/>
  <c r="BU507" i="7"/>
  <c r="BT507" i="7"/>
  <c r="BS507" i="7"/>
  <c r="BR507" i="7"/>
  <c r="BQ507" i="7"/>
  <c r="BP507" i="7"/>
  <c r="BO507" i="7"/>
  <c r="BN507" i="7"/>
  <c r="BM507" i="7"/>
  <c r="BL507" i="7"/>
  <c r="BK507" i="7"/>
  <c r="BJ507" i="7"/>
  <c r="BI507" i="7"/>
  <c r="BH507" i="7"/>
  <c r="BG507" i="7"/>
  <c r="DD506" i="7"/>
  <c r="DC506" i="7"/>
  <c r="DB506" i="7"/>
  <c r="DA506" i="7"/>
  <c r="CZ506" i="7"/>
  <c r="CY506" i="7"/>
  <c r="CX506" i="7"/>
  <c r="CW506" i="7"/>
  <c r="CV506" i="7"/>
  <c r="CU506" i="7"/>
  <c r="CT506" i="7"/>
  <c r="CS506" i="7"/>
  <c r="CR506" i="7"/>
  <c r="CQ506" i="7"/>
  <c r="CP506" i="7"/>
  <c r="CO506" i="7"/>
  <c r="CN506" i="7"/>
  <c r="CM506" i="7"/>
  <c r="CL506" i="7"/>
  <c r="CK506" i="7"/>
  <c r="CJ506" i="7"/>
  <c r="CI506" i="7"/>
  <c r="CH506" i="7"/>
  <c r="CG506" i="7"/>
  <c r="CF506" i="7"/>
  <c r="CE506" i="7"/>
  <c r="CD506" i="7"/>
  <c r="CC506" i="7"/>
  <c r="CB506" i="7"/>
  <c r="CA506" i="7"/>
  <c r="BZ506" i="7"/>
  <c r="BY506" i="7"/>
  <c r="BX506" i="7"/>
  <c r="BW506" i="7"/>
  <c r="BV506" i="7"/>
  <c r="BU506" i="7"/>
  <c r="BT506" i="7"/>
  <c r="BS506" i="7"/>
  <c r="BR506" i="7"/>
  <c r="BQ506" i="7"/>
  <c r="BP506" i="7"/>
  <c r="BO506" i="7"/>
  <c r="BN506" i="7"/>
  <c r="BM506" i="7"/>
  <c r="BL506" i="7"/>
  <c r="BK506" i="7"/>
  <c r="BJ506" i="7"/>
  <c r="BI506" i="7"/>
  <c r="BH506" i="7"/>
  <c r="BG506" i="7"/>
  <c r="DD505" i="7"/>
  <c r="DC505" i="7"/>
  <c r="DB505" i="7"/>
  <c r="DA505" i="7"/>
  <c r="CZ505" i="7"/>
  <c r="CY505" i="7"/>
  <c r="CX505" i="7"/>
  <c r="CW505" i="7"/>
  <c r="CV505" i="7"/>
  <c r="CU505" i="7"/>
  <c r="CT505" i="7"/>
  <c r="CS505" i="7"/>
  <c r="CR505" i="7"/>
  <c r="CQ505" i="7"/>
  <c r="CP505" i="7"/>
  <c r="CO505" i="7"/>
  <c r="CN505" i="7"/>
  <c r="CM505" i="7"/>
  <c r="CL505" i="7"/>
  <c r="CK505" i="7"/>
  <c r="CJ505" i="7"/>
  <c r="CI505" i="7"/>
  <c r="CH505" i="7"/>
  <c r="CG505" i="7"/>
  <c r="CF505" i="7"/>
  <c r="CE505" i="7"/>
  <c r="CD505" i="7"/>
  <c r="CC505" i="7"/>
  <c r="CB505" i="7"/>
  <c r="CA505" i="7"/>
  <c r="BZ505" i="7"/>
  <c r="BY505" i="7"/>
  <c r="BX505" i="7"/>
  <c r="BW505" i="7"/>
  <c r="BV505" i="7"/>
  <c r="BU505" i="7"/>
  <c r="BT505" i="7"/>
  <c r="BS505" i="7"/>
  <c r="BR505" i="7"/>
  <c r="BQ505" i="7"/>
  <c r="BP505" i="7"/>
  <c r="BO505" i="7"/>
  <c r="BN505" i="7"/>
  <c r="BM505" i="7"/>
  <c r="BL505" i="7"/>
  <c r="BK505" i="7"/>
  <c r="BJ505" i="7"/>
  <c r="BI505" i="7"/>
  <c r="BH505" i="7"/>
  <c r="BG505" i="7"/>
  <c r="DD504" i="7"/>
  <c r="DC504" i="7"/>
  <c r="DB504" i="7"/>
  <c r="DA504" i="7"/>
  <c r="CZ504" i="7"/>
  <c r="CY504" i="7"/>
  <c r="CX504" i="7"/>
  <c r="CW504" i="7"/>
  <c r="CV504" i="7"/>
  <c r="CU504" i="7"/>
  <c r="CT504" i="7"/>
  <c r="CS504" i="7"/>
  <c r="CR504" i="7"/>
  <c r="CQ504" i="7"/>
  <c r="CP504" i="7"/>
  <c r="CO504" i="7"/>
  <c r="CN504" i="7"/>
  <c r="CM504" i="7"/>
  <c r="CL504" i="7"/>
  <c r="CK504" i="7"/>
  <c r="CJ504" i="7"/>
  <c r="CI504" i="7"/>
  <c r="CH504" i="7"/>
  <c r="CG504" i="7"/>
  <c r="CF504" i="7"/>
  <c r="CE504" i="7"/>
  <c r="CD504" i="7"/>
  <c r="CC504" i="7"/>
  <c r="CB504" i="7"/>
  <c r="CA504" i="7"/>
  <c r="BZ504" i="7"/>
  <c r="BY504" i="7"/>
  <c r="BX504" i="7"/>
  <c r="BW504" i="7"/>
  <c r="BV504" i="7"/>
  <c r="BU504" i="7"/>
  <c r="BT504" i="7"/>
  <c r="BS504" i="7"/>
  <c r="BR504" i="7"/>
  <c r="BQ504" i="7"/>
  <c r="BP504" i="7"/>
  <c r="BO504" i="7"/>
  <c r="BN504" i="7"/>
  <c r="BM504" i="7"/>
  <c r="BL504" i="7"/>
  <c r="BK504" i="7"/>
  <c r="BJ504" i="7"/>
  <c r="BI504" i="7"/>
  <c r="BH504" i="7"/>
  <c r="BG504" i="7"/>
  <c r="DD503" i="7"/>
  <c r="DC503" i="7"/>
  <c r="DB503" i="7"/>
  <c r="DA503" i="7"/>
  <c r="CZ503" i="7"/>
  <c r="CY503" i="7"/>
  <c r="CX503" i="7"/>
  <c r="CW503" i="7"/>
  <c r="CV503" i="7"/>
  <c r="CU503" i="7"/>
  <c r="CT503" i="7"/>
  <c r="CS503" i="7"/>
  <c r="CR503" i="7"/>
  <c r="CQ503" i="7"/>
  <c r="CP503" i="7"/>
  <c r="CO503" i="7"/>
  <c r="CN503" i="7"/>
  <c r="CM503" i="7"/>
  <c r="CL503" i="7"/>
  <c r="CK503" i="7"/>
  <c r="CJ503" i="7"/>
  <c r="CI503" i="7"/>
  <c r="CH503" i="7"/>
  <c r="CG503" i="7"/>
  <c r="CF503" i="7"/>
  <c r="CE503" i="7"/>
  <c r="CD503" i="7"/>
  <c r="CC503" i="7"/>
  <c r="CB503" i="7"/>
  <c r="CA503" i="7"/>
  <c r="BZ503" i="7"/>
  <c r="BY503" i="7"/>
  <c r="BX503" i="7"/>
  <c r="BW503" i="7"/>
  <c r="BV503" i="7"/>
  <c r="BU503" i="7"/>
  <c r="BS503" i="7"/>
  <c r="BP503" i="7"/>
  <c r="BL503" i="7"/>
  <c r="BK503" i="7"/>
  <c r="BQ503" i="7"/>
  <c r="DD502" i="7"/>
  <c r="DC502" i="7"/>
  <c r="DB502" i="7"/>
  <c r="DA502" i="7"/>
  <c r="CZ502" i="7"/>
  <c r="CY502" i="7"/>
  <c r="CX502" i="7"/>
  <c r="CW502" i="7"/>
  <c r="CV502" i="7"/>
  <c r="CU502" i="7"/>
  <c r="CT502" i="7"/>
  <c r="CS502" i="7"/>
  <c r="CR502" i="7"/>
  <c r="CQ502" i="7"/>
  <c r="CP502" i="7"/>
  <c r="CO502" i="7"/>
  <c r="CN502" i="7"/>
  <c r="CM502" i="7"/>
  <c r="CL502" i="7"/>
  <c r="CK502" i="7"/>
  <c r="CJ502" i="7"/>
  <c r="CI502" i="7"/>
  <c r="CH502" i="7"/>
  <c r="CG502" i="7"/>
  <c r="CF502" i="7"/>
  <c r="CE502" i="7"/>
  <c r="CD502" i="7"/>
  <c r="CC502" i="7"/>
  <c r="CB502" i="7"/>
  <c r="CA502" i="7"/>
  <c r="BZ502" i="7"/>
  <c r="BY502" i="7"/>
  <c r="BX502" i="7"/>
  <c r="BW502" i="7"/>
  <c r="BV502" i="7"/>
  <c r="BU502" i="7"/>
  <c r="BT502" i="7"/>
  <c r="BS502" i="7"/>
  <c r="BR502" i="7"/>
  <c r="BQ502" i="7"/>
  <c r="BP502" i="7"/>
  <c r="BO502" i="7"/>
  <c r="BN502" i="7"/>
  <c r="BM502" i="7"/>
  <c r="BL502" i="7"/>
  <c r="BK502" i="7"/>
  <c r="BJ502" i="7"/>
  <c r="BI502" i="7"/>
  <c r="BH502" i="7"/>
  <c r="BG502" i="7"/>
  <c r="DD501" i="7"/>
  <c r="DC501" i="7"/>
  <c r="DB501" i="7"/>
  <c r="DA501" i="7"/>
  <c r="CZ501" i="7"/>
  <c r="CY501" i="7"/>
  <c r="CX501" i="7"/>
  <c r="CW501" i="7"/>
  <c r="CV501" i="7"/>
  <c r="CU501" i="7"/>
  <c r="CT501" i="7"/>
  <c r="CS501" i="7"/>
  <c r="CR501" i="7"/>
  <c r="CQ501" i="7"/>
  <c r="CP501" i="7"/>
  <c r="CO501" i="7"/>
  <c r="CN501" i="7"/>
  <c r="CM501" i="7"/>
  <c r="CL501" i="7"/>
  <c r="CK501" i="7"/>
  <c r="CJ501" i="7"/>
  <c r="CI501" i="7"/>
  <c r="CH501" i="7"/>
  <c r="CG501" i="7"/>
  <c r="CF501" i="7"/>
  <c r="CE501" i="7"/>
  <c r="CD501" i="7"/>
  <c r="CC501" i="7"/>
  <c r="CB501" i="7"/>
  <c r="CA501" i="7"/>
  <c r="BZ501" i="7"/>
  <c r="BY501" i="7"/>
  <c r="BX501" i="7"/>
  <c r="BW501" i="7"/>
  <c r="BV501" i="7"/>
  <c r="BU501" i="7"/>
  <c r="BT501" i="7"/>
  <c r="BS501" i="7"/>
  <c r="BR501" i="7"/>
  <c r="BQ501" i="7"/>
  <c r="BP501" i="7"/>
  <c r="BO501" i="7"/>
  <c r="BN501" i="7"/>
  <c r="BM501" i="7"/>
  <c r="BL501" i="7"/>
  <c r="BK501" i="7"/>
  <c r="BJ501" i="7"/>
  <c r="BI501" i="7"/>
  <c r="BH501" i="7"/>
  <c r="BG501" i="7"/>
  <c r="DD500" i="7"/>
  <c r="DC500" i="7"/>
  <c r="DB500" i="7"/>
  <c r="DA500" i="7"/>
  <c r="CZ500" i="7"/>
  <c r="CY500" i="7"/>
  <c r="CX500" i="7"/>
  <c r="CW500" i="7"/>
  <c r="CV500" i="7"/>
  <c r="CU500" i="7"/>
  <c r="CT500" i="7"/>
  <c r="CS500" i="7"/>
  <c r="CR500" i="7"/>
  <c r="CQ500" i="7"/>
  <c r="CP500" i="7"/>
  <c r="CO500" i="7"/>
  <c r="CN500" i="7"/>
  <c r="CM500" i="7"/>
  <c r="CL500" i="7"/>
  <c r="CK500" i="7"/>
  <c r="CJ500" i="7"/>
  <c r="CI500" i="7"/>
  <c r="CH500" i="7"/>
  <c r="CG500" i="7"/>
  <c r="CF500" i="7"/>
  <c r="CE500" i="7"/>
  <c r="CD500" i="7"/>
  <c r="CC500" i="7"/>
  <c r="CB500" i="7"/>
  <c r="CA500" i="7"/>
  <c r="BZ500" i="7"/>
  <c r="BY500" i="7"/>
  <c r="BX500" i="7"/>
  <c r="BW500" i="7"/>
  <c r="BV500" i="7"/>
  <c r="BU500" i="7"/>
  <c r="BT500" i="7"/>
  <c r="BS500" i="7"/>
  <c r="BR500" i="7"/>
  <c r="BQ500" i="7"/>
  <c r="BP500" i="7"/>
  <c r="BO500" i="7"/>
  <c r="BN500" i="7"/>
  <c r="BM500" i="7"/>
  <c r="BL500" i="7"/>
  <c r="BK500" i="7"/>
  <c r="BJ500" i="7"/>
  <c r="BI500" i="7"/>
  <c r="BH500" i="7"/>
  <c r="BG500" i="7"/>
  <c r="DD499" i="7"/>
  <c r="DC499" i="7"/>
  <c r="DB499" i="7"/>
  <c r="DA499" i="7"/>
  <c r="CZ499" i="7"/>
  <c r="CY499" i="7"/>
  <c r="CX499" i="7"/>
  <c r="CW499" i="7"/>
  <c r="CV499" i="7"/>
  <c r="CU499" i="7"/>
  <c r="CT499" i="7"/>
  <c r="CS499" i="7"/>
  <c r="CR499" i="7"/>
  <c r="CQ499" i="7"/>
  <c r="CP499" i="7"/>
  <c r="CO499" i="7"/>
  <c r="CN499" i="7"/>
  <c r="CM499" i="7"/>
  <c r="CL499" i="7"/>
  <c r="CK499" i="7"/>
  <c r="CJ499" i="7"/>
  <c r="CI499" i="7"/>
  <c r="CH499" i="7"/>
  <c r="CG499" i="7"/>
  <c r="CF499" i="7"/>
  <c r="CE499" i="7"/>
  <c r="CD499" i="7"/>
  <c r="CC499" i="7"/>
  <c r="CB499" i="7"/>
  <c r="CA499" i="7"/>
  <c r="BZ499" i="7"/>
  <c r="BY499" i="7"/>
  <c r="BX499" i="7"/>
  <c r="BW499" i="7"/>
  <c r="BV499" i="7"/>
  <c r="BU499" i="7"/>
  <c r="BT499" i="7"/>
  <c r="BS499" i="7"/>
  <c r="BR499" i="7"/>
  <c r="BQ499" i="7"/>
  <c r="BP499" i="7"/>
  <c r="BO499" i="7"/>
  <c r="BN499" i="7"/>
  <c r="BM499" i="7"/>
  <c r="BL499" i="7"/>
  <c r="BK499" i="7"/>
  <c r="BJ499" i="7"/>
  <c r="BI499" i="7"/>
  <c r="BH499" i="7"/>
  <c r="BG499" i="7"/>
  <c r="DD498" i="7"/>
  <c r="DC498" i="7"/>
  <c r="DB498" i="7"/>
  <c r="DA498" i="7"/>
  <c r="CZ498" i="7"/>
  <c r="CY498" i="7"/>
  <c r="CX498" i="7"/>
  <c r="CW498" i="7"/>
  <c r="CV498" i="7"/>
  <c r="CU498" i="7"/>
  <c r="CT498" i="7"/>
  <c r="CS498" i="7"/>
  <c r="CR498" i="7"/>
  <c r="CQ498" i="7"/>
  <c r="CP498" i="7"/>
  <c r="CO498" i="7"/>
  <c r="CN498" i="7"/>
  <c r="CM498" i="7"/>
  <c r="CL498" i="7"/>
  <c r="CK498" i="7"/>
  <c r="CJ498" i="7"/>
  <c r="CI498" i="7"/>
  <c r="CH498" i="7"/>
  <c r="CG498" i="7"/>
  <c r="CF498" i="7"/>
  <c r="CE498" i="7"/>
  <c r="CD498" i="7"/>
  <c r="CC498" i="7"/>
  <c r="CB498" i="7"/>
  <c r="CA498" i="7"/>
  <c r="BZ498" i="7"/>
  <c r="BY498" i="7"/>
  <c r="BX498" i="7"/>
  <c r="BW498" i="7"/>
  <c r="BV498" i="7"/>
  <c r="BU498" i="7"/>
  <c r="BT498" i="7"/>
  <c r="BS498" i="7"/>
  <c r="BR498" i="7"/>
  <c r="BQ498" i="7"/>
  <c r="BP498" i="7"/>
  <c r="BO498" i="7"/>
  <c r="BN498" i="7"/>
  <c r="BM498" i="7"/>
  <c r="BL498" i="7"/>
  <c r="BK498" i="7"/>
  <c r="BJ498" i="7"/>
  <c r="BI498" i="7"/>
  <c r="BH498" i="7"/>
  <c r="BG498" i="7"/>
  <c r="DD497" i="7"/>
  <c r="DC497" i="7"/>
  <c r="DB497" i="7"/>
  <c r="DA497" i="7"/>
  <c r="CZ497" i="7"/>
  <c r="CY497" i="7"/>
  <c r="CX497" i="7"/>
  <c r="CW497" i="7"/>
  <c r="CV497" i="7"/>
  <c r="CU497" i="7"/>
  <c r="CT497" i="7"/>
  <c r="CS497" i="7"/>
  <c r="CR497" i="7"/>
  <c r="CQ497" i="7"/>
  <c r="CP497" i="7"/>
  <c r="CO497" i="7"/>
  <c r="CN497" i="7"/>
  <c r="CM497" i="7"/>
  <c r="CL497" i="7"/>
  <c r="CK497" i="7"/>
  <c r="CJ497" i="7"/>
  <c r="CI497" i="7"/>
  <c r="CH497" i="7"/>
  <c r="CG497" i="7"/>
  <c r="CF497" i="7"/>
  <c r="CE497" i="7"/>
  <c r="CD497" i="7"/>
  <c r="CC497" i="7"/>
  <c r="CB497" i="7"/>
  <c r="CA497" i="7"/>
  <c r="BZ497" i="7"/>
  <c r="BY497" i="7"/>
  <c r="BX497" i="7"/>
  <c r="BW497" i="7"/>
  <c r="BV497" i="7"/>
  <c r="BU497" i="7"/>
  <c r="BT497" i="7"/>
  <c r="BS497" i="7"/>
  <c r="BR497" i="7"/>
  <c r="BQ497" i="7"/>
  <c r="BP497" i="7"/>
  <c r="BO497" i="7"/>
  <c r="BN497" i="7"/>
  <c r="BM497" i="7"/>
  <c r="BL497" i="7"/>
  <c r="BK497" i="7"/>
  <c r="BJ497" i="7"/>
  <c r="BI497" i="7"/>
  <c r="BH497" i="7"/>
  <c r="BG497" i="7"/>
  <c r="DD496" i="7"/>
  <c r="DC496" i="7"/>
  <c r="DB496" i="7"/>
  <c r="DA496" i="7"/>
  <c r="CZ496" i="7"/>
  <c r="CY496" i="7"/>
  <c r="CX496" i="7"/>
  <c r="CW496" i="7"/>
  <c r="CV496" i="7"/>
  <c r="CU496" i="7"/>
  <c r="CT496" i="7"/>
  <c r="CS496" i="7"/>
  <c r="CR496" i="7"/>
  <c r="CQ496" i="7"/>
  <c r="CP496" i="7"/>
  <c r="CO496" i="7"/>
  <c r="CN496" i="7"/>
  <c r="CM496" i="7"/>
  <c r="CL496" i="7"/>
  <c r="CK496" i="7"/>
  <c r="CJ496" i="7"/>
  <c r="CI496" i="7"/>
  <c r="CH496" i="7"/>
  <c r="CG496" i="7"/>
  <c r="CF496" i="7"/>
  <c r="CE496" i="7"/>
  <c r="CD496" i="7"/>
  <c r="CC496" i="7"/>
  <c r="CB496" i="7"/>
  <c r="CA496" i="7"/>
  <c r="BZ496" i="7"/>
  <c r="BY496" i="7"/>
  <c r="BX496" i="7"/>
  <c r="BW496" i="7"/>
  <c r="BV496" i="7"/>
  <c r="BU496" i="7"/>
  <c r="BT496" i="7"/>
  <c r="BS496" i="7"/>
  <c r="BR496" i="7"/>
  <c r="BQ496" i="7"/>
  <c r="BP496" i="7"/>
  <c r="BO496" i="7"/>
  <c r="BN496" i="7"/>
  <c r="BL496" i="7"/>
  <c r="BK496" i="7"/>
  <c r="BJ496" i="7"/>
  <c r="BI496" i="7"/>
  <c r="BH496" i="7"/>
  <c r="BG496" i="7"/>
  <c r="BM496" i="7"/>
  <c r="DD495" i="7"/>
  <c r="DC495" i="7"/>
  <c r="DB495" i="7"/>
  <c r="DA495" i="7"/>
  <c r="CZ495" i="7"/>
  <c r="CY495" i="7"/>
  <c r="CX495" i="7"/>
  <c r="CW495" i="7"/>
  <c r="CV495" i="7"/>
  <c r="CU495" i="7"/>
  <c r="CT495" i="7"/>
  <c r="CS495" i="7"/>
  <c r="CR495" i="7"/>
  <c r="CQ495" i="7"/>
  <c r="CP495" i="7"/>
  <c r="CO495" i="7"/>
  <c r="CN495" i="7"/>
  <c r="CM495" i="7"/>
  <c r="CL495" i="7"/>
  <c r="CK495" i="7"/>
  <c r="CJ495" i="7"/>
  <c r="CI495" i="7"/>
  <c r="CH495" i="7"/>
  <c r="CG495" i="7"/>
  <c r="CF495" i="7"/>
  <c r="CE495" i="7"/>
  <c r="CD495" i="7"/>
  <c r="CC495" i="7"/>
  <c r="CB495" i="7"/>
  <c r="CA495" i="7"/>
  <c r="BZ495" i="7"/>
  <c r="BY495" i="7"/>
  <c r="BX495" i="7"/>
  <c r="BW495" i="7"/>
  <c r="BV495" i="7"/>
  <c r="BU495" i="7"/>
  <c r="BT495" i="7"/>
  <c r="BS495" i="7"/>
  <c r="BR495" i="7"/>
  <c r="BQ495" i="7"/>
  <c r="BP495" i="7"/>
  <c r="BO495" i="7"/>
  <c r="BN495" i="7"/>
  <c r="BM495" i="7"/>
  <c r="BL495" i="7"/>
  <c r="BK495" i="7"/>
  <c r="BJ495" i="7"/>
  <c r="BI495" i="7"/>
  <c r="BH495" i="7"/>
  <c r="BG495" i="7"/>
  <c r="DD494" i="7"/>
  <c r="DC494" i="7"/>
  <c r="DB494" i="7"/>
  <c r="DA494" i="7"/>
  <c r="CZ494" i="7"/>
  <c r="CY494" i="7"/>
  <c r="CX494" i="7"/>
  <c r="CW494" i="7"/>
  <c r="CV494" i="7"/>
  <c r="CU494" i="7"/>
  <c r="CT494" i="7"/>
  <c r="CS494" i="7"/>
  <c r="CR494" i="7"/>
  <c r="CQ494" i="7"/>
  <c r="CP494" i="7"/>
  <c r="CO494" i="7"/>
  <c r="CN494" i="7"/>
  <c r="CM494" i="7"/>
  <c r="CL494" i="7"/>
  <c r="CK494" i="7"/>
  <c r="CJ494" i="7"/>
  <c r="CI494" i="7"/>
  <c r="CH494" i="7"/>
  <c r="CG494" i="7"/>
  <c r="CF494" i="7"/>
  <c r="CE494" i="7"/>
  <c r="CD494" i="7"/>
  <c r="CC494" i="7"/>
  <c r="CB494" i="7"/>
  <c r="CA494" i="7"/>
  <c r="BZ494" i="7"/>
  <c r="BY494" i="7"/>
  <c r="BX494" i="7"/>
  <c r="BW494" i="7"/>
  <c r="BV494" i="7"/>
  <c r="BU494" i="7"/>
  <c r="BT494" i="7"/>
  <c r="BS494" i="7"/>
  <c r="BR494" i="7"/>
  <c r="BQ494" i="7"/>
  <c r="BP494" i="7"/>
  <c r="BO494" i="7"/>
  <c r="BN494" i="7"/>
  <c r="BM494" i="7"/>
  <c r="BL494" i="7"/>
  <c r="BK494" i="7"/>
  <c r="BJ494" i="7"/>
  <c r="BI494" i="7"/>
  <c r="BH494" i="7"/>
  <c r="BG494" i="7"/>
  <c r="DD493" i="7"/>
  <c r="DC493" i="7"/>
  <c r="DB493" i="7"/>
  <c r="DA493" i="7"/>
  <c r="CZ493" i="7"/>
  <c r="CY493" i="7"/>
  <c r="CX493" i="7"/>
  <c r="CW493" i="7"/>
  <c r="CV493" i="7"/>
  <c r="CU493" i="7"/>
  <c r="CT493" i="7"/>
  <c r="CS493" i="7"/>
  <c r="CR493" i="7"/>
  <c r="CQ493" i="7"/>
  <c r="CP493" i="7"/>
  <c r="CO493" i="7"/>
  <c r="CN493" i="7"/>
  <c r="CM493" i="7"/>
  <c r="CL493" i="7"/>
  <c r="CK493" i="7"/>
  <c r="CJ493" i="7"/>
  <c r="CI493" i="7"/>
  <c r="CH493" i="7"/>
  <c r="CG493" i="7"/>
  <c r="CF493" i="7"/>
  <c r="CE493" i="7"/>
  <c r="CD493" i="7"/>
  <c r="CC493" i="7"/>
  <c r="CB493" i="7"/>
  <c r="CA493" i="7"/>
  <c r="BZ493" i="7"/>
  <c r="BY493" i="7"/>
  <c r="BX493" i="7"/>
  <c r="BW493" i="7"/>
  <c r="BV493" i="7"/>
  <c r="BU493" i="7"/>
  <c r="BT493" i="7"/>
  <c r="BS493" i="7"/>
  <c r="BR493" i="7"/>
  <c r="BQ493" i="7"/>
  <c r="BP493" i="7"/>
  <c r="BO493" i="7"/>
  <c r="BN493" i="7"/>
  <c r="BM493" i="7"/>
  <c r="BL493" i="7"/>
  <c r="BK493" i="7"/>
  <c r="BJ493" i="7"/>
  <c r="BI493" i="7"/>
  <c r="BH493" i="7"/>
  <c r="BG493" i="7"/>
  <c r="DD492" i="7"/>
  <c r="DC492" i="7"/>
  <c r="DB492" i="7"/>
  <c r="DA492" i="7"/>
  <c r="CZ492" i="7"/>
  <c r="CY492" i="7"/>
  <c r="CX492" i="7"/>
  <c r="CW492" i="7"/>
  <c r="CV492" i="7"/>
  <c r="CU492" i="7"/>
  <c r="CT492" i="7"/>
  <c r="CS492" i="7"/>
  <c r="CR492" i="7"/>
  <c r="CQ492" i="7"/>
  <c r="CP492" i="7"/>
  <c r="CO492" i="7"/>
  <c r="CN492" i="7"/>
  <c r="CM492" i="7"/>
  <c r="CL492" i="7"/>
  <c r="CK492" i="7"/>
  <c r="CJ492" i="7"/>
  <c r="CI492" i="7"/>
  <c r="CH492" i="7"/>
  <c r="CG492" i="7"/>
  <c r="CF492" i="7"/>
  <c r="CE492" i="7"/>
  <c r="CD492" i="7"/>
  <c r="CC492" i="7"/>
  <c r="CB492" i="7"/>
  <c r="CA492" i="7"/>
  <c r="BZ492" i="7"/>
  <c r="BY492" i="7"/>
  <c r="BX492" i="7"/>
  <c r="BW492" i="7"/>
  <c r="BV492" i="7"/>
  <c r="BU492" i="7"/>
  <c r="BT492" i="7"/>
  <c r="BS492" i="7"/>
  <c r="BR492" i="7"/>
  <c r="BQ492" i="7"/>
  <c r="BP492" i="7"/>
  <c r="BO492" i="7"/>
  <c r="BN492" i="7"/>
  <c r="BM492" i="7"/>
  <c r="BL492" i="7"/>
  <c r="BK492" i="7"/>
  <c r="BJ492" i="7"/>
  <c r="BI492" i="7"/>
  <c r="BH492" i="7"/>
  <c r="BG492" i="7"/>
  <c r="DD491" i="7"/>
  <c r="DC491" i="7"/>
  <c r="DB491" i="7"/>
  <c r="DA491" i="7"/>
  <c r="CZ491" i="7"/>
  <c r="CY491" i="7"/>
  <c r="CX491" i="7"/>
  <c r="CW491" i="7"/>
  <c r="CV491" i="7"/>
  <c r="CU491" i="7"/>
  <c r="CT491" i="7"/>
  <c r="CS491" i="7"/>
  <c r="CR491" i="7"/>
  <c r="CQ491" i="7"/>
  <c r="CP491" i="7"/>
  <c r="CO491" i="7"/>
  <c r="CN491" i="7"/>
  <c r="CM491" i="7"/>
  <c r="CL491" i="7"/>
  <c r="CK491" i="7"/>
  <c r="CJ491" i="7"/>
  <c r="CI491" i="7"/>
  <c r="CH491" i="7"/>
  <c r="CG491" i="7"/>
  <c r="CF491" i="7"/>
  <c r="CE491" i="7"/>
  <c r="CD491" i="7"/>
  <c r="CC491" i="7"/>
  <c r="CB491" i="7"/>
  <c r="CA491" i="7"/>
  <c r="BZ491" i="7"/>
  <c r="BY491" i="7"/>
  <c r="BX491" i="7"/>
  <c r="BW491" i="7"/>
  <c r="BV491" i="7"/>
  <c r="BU491" i="7"/>
  <c r="BT491" i="7"/>
  <c r="BS491" i="7"/>
  <c r="BR491" i="7"/>
  <c r="BQ491" i="7"/>
  <c r="BP491" i="7"/>
  <c r="BO491" i="7"/>
  <c r="BN491" i="7"/>
  <c r="BM491" i="7"/>
  <c r="BL491" i="7"/>
  <c r="BK491" i="7"/>
  <c r="BJ491" i="7"/>
  <c r="BI491" i="7"/>
  <c r="BH491" i="7"/>
  <c r="BG491" i="7"/>
  <c r="DD490" i="7"/>
  <c r="DC490" i="7"/>
  <c r="DB490" i="7"/>
  <c r="DA490" i="7"/>
  <c r="CZ490" i="7"/>
  <c r="CY490" i="7"/>
  <c r="CX490" i="7"/>
  <c r="CW490" i="7"/>
  <c r="CV490" i="7"/>
  <c r="CU490" i="7"/>
  <c r="CT490" i="7"/>
  <c r="CS490" i="7"/>
  <c r="CR490" i="7"/>
  <c r="CQ490" i="7"/>
  <c r="CP490" i="7"/>
  <c r="CO490" i="7"/>
  <c r="CN490" i="7"/>
  <c r="CM490" i="7"/>
  <c r="CL490" i="7"/>
  <c r="CK490" i="7"/>
  <c r="CJ490" i="7"/>
  <c r="CI490" i="7"/>
  <c r="CH490" i="7"/>
  <c r="CG490" i="7"/>
  <c r="CF490" i="7"/>
  <c r="CE490" i="7"/>
  <c r="CD490" i="7"/>
  <c r="CC490" i="7"/>
  <c r="CB490" i="7"/>
  <c r="CA490" i="7"/>
  <c r="BZ490" i="7"/>
  <c r="BY490" i="7"/>
  <c r="BX490" i="7"/>
  <c r="BW490" i="7"/>
  <c r="BV490" i="7"/>
  <c r="BU490" i="7"/>
  <c r="BT490" i="7"/>
  <c r="BS490" i="7"/>
  <c r="BR490" i="7"/>
  <c r="BQ490" i="7"/>
  <c r="BP490" i="7"/>
  <c r="BO490" i="7"/>
  <c r="BN490" i="7"/>
  <c r="BM490" i="7"/>
  <c r="BL490" i="7"/>
  <c r="BK490" i="7"/>
  <c r="BJ490" i="7"/>
  <c r="BI490" i="7"/>
  <c r="BH490" i="7"/>
  <c r="BG490" i="7"/>
  <c r="DD489" i="7"/>
  <c r="DC489" i="7"/>
  <c r="DB489" i="7"/>
  <c r="DA489" i="7"/>
  <c r="CZ489" i="7"/>
  <c r="CY489" i="7"/>
  <c r="CX489" i="7"/>
  <c r="CW489" i="7"/>
  <c r="CV489" i="7"/>
  <c r="CU489" i="7"/>
  <c r="CT489" i="7"/>
  <c r="CS489" i="7"/>
  <c r="CR489" i="7"/>
  <c r="CQ489" i="7"/>
  <c r="CP489" i="7"/>
  <c r="CO489" i="7"/>
  <c r="CN489" i="7"/>
  <c r="CM489" i="7"/>
  <c r="CL489" i="7"/>
  <c r="CK489" i="7"/>
  <c r="CJ489" i="7"/>
  <c r="CI489" i="7"/>
  <c r="CH489" i="7"/>
  <c r="CG489" i="7"/>
  <c r="CF489" i="7"/>
  <c r="CE489" i="7"/>
  <c r="CD489" i="7"/>
  <c r="CC489" i="7"/>
  <c r="CB489" i="7"/>
  <c r="CA489" i="7"/>
  <c r="BZ489" i="7"/>
  <c r="BY489" i="7"/>
  <c r="BX489" i="7"/>
  <c r="BW489" i="7"/>
  <c r="BV489" i="7"/>
  <c r="BU489" i="7"/>
  <c r="BT489" i="7"/>
  <c r="BS489" i="7"/>
  <c r="BR489" i="7"/>
  <c r="BQ489" i="7"/>
  <c r="BP489" i="7"/>
  <c r="BO489" i="7"/>
  <c r="BN489" i="7"/>
  <c r="BM489" i="7"/>
  <c r="BL489" i="7"/>
  <c r="BK489" i="7"/>
  <c r="BJ489" i="7"/>
  <c r="BI489" i="7"/>
  <c r="BH489" i="7"/>
  <c r="BG489" i="7"/>
  <c r="DD488" i="7"/>
  <c r="DC488" i="7"/>
  <c r="DB488" i="7"/>
  <c r="DA488" i="7"/>
  <c r="CZ488" i="7"/>
  <c r="CY488" i="7"/>
  <c r="CX488" i="7"/>
  <c r="CW488" i="7"/>
  <c r="CV488" i="7"/>
  <c r="CU488" i="7"/>
  <c r="CT488" i="7"/>
  <c r="CS488" i="7"/>
  <c r="CR488" i="7"/>
  <c r="CQ488" i="7"/>
  <c r="CP488" i="7"/>
  <c r="CO488" i="7"/>
  <c r="CN488" i="7"/>
  <c r="CM488" i="7"/>
  <c r="CL488" i="7"/>
  <c r="CK488" i="7"/>
  <c r="CJ488" i="7"/>
  <c r="CI488" i="7"/>
  <c r="CH488" i="7"/>
  <c r="CG488" i="7"/>
  <c r="CF488" i="7"/>
  <c r="CE488" i="7"/>
  <c r="CD488" i="7"/>
  <c r="CC488" i="7"/>
  <c r="CB488" i="7"/>
  <c r="CA488" i="7"/>
  <c r="BZ488" i="7"/>
  <c r="BY488" i="7"/>
  <c r="BX488" i="7"/>
  <c r="BW488" i="7"/>
  <c r="BV488" i="7"/>
  <c r="BU488" i="7"/>
  <c r="BT488" i="7"/>
  <c r="BS488" i="7"/>
  <c r="BR488" i="7"/>
  <c r="BQ488" i="7"/>
  <c r="BP488" i="7"/>
  <c r="BO488" i="7"/>
  <c r="BN488" i="7"/>
  <c r="BM488" i="7"/>
  <c r="BL488" i="7"/>
  <c r="BK488" i="7"/>
  <c r="BJ488" i="7"/>
  <c r="BI488" i="7"/>
  <c r="BH488" i="7"/>
  <c r="BG488" i="7"/>
  <c r="DD487" i="7"/>
  <c r="DC487" i="7"/>
  <c r="DB487" i="7"/>
  <c r="DA487" i="7"/>
  <c r="CZ487" i="7"/>
  <c r="CY487" i="7"/>
  <c r="CX487" i="7"/>
  <c r="CW487" i="7"/>
  <c r="CV487" i="7"/>
  <c r="CU487" i="7"/>
  <c r="CT487" i="7"/>
  <c r="CS487" i="7"/>
  <c r="CR487" i="7"/>
  <c r="CQ487" i="7"/>
  <c r="CP487" i="7"/>
  <c r="CO487" i="7"/>
  <c r="CN487" i="7"/>
  <c r="CM487" i="7"/>
  <c r="CL487" i="7"/>
  <c r="CK487" i="7"/>
  <c r="CJ487" i="7"/>
  <c r="CI487" i="7"/>
  <c r="CH487" i="7"/>
  <c r="CG487" i="7"/>
  <c r="CF487" i="7"/>
  <c r="CE487" i="7"/>
  <c r="CD487" i="7"/>
  <c r="CC487" i="7"/>
  <c r="CB487" i="7"/>
  <c r="CA487" i="7"/>
  <c r="BZ487" i="7"/>
  <c r="BY487" i="7"/>
  <c r="BX487" i="7"/>
  <c r="BW487" i="7"/>
  <c r="BV487" i="7"/>
  <c r="BU487" i="7"/>
  <c r="BT487" i="7"/>
  <c r="BS487" i="7"/>
  <c r="BR487" i="7"/>
  <c r="BQ487" i="7"/>
  <c r="BP487" i="7"/>
  <c r="BO487" i="7"/>
  <c r="BN487" i="7"/>
  <c r="BM487" i="7"/>
  <c r="BL487" i="7"/>
  <c r="BK487" i="7"/>
  <c r="BJ487" i="7"/>
  <c r="BI487" i="7"/>
  <c r="BH487" i="7"/>
  <c r="BG487" i="7"/>
  <c r="DD486" i="7"/>
  <c r="DC486" i="7"/>
  <c r="DB486" i="7"/>
  <c r="DA486" i="7"/>
  <c r="CZ486" i="7"/>
  <c r="CY486" i="7"/>
  <c r="CX486" i="7"/>
  <c r="CW486" i="7"/>
  <c r="CV486" i="7"/>
  <c r="CU486" i="7"/>
  <c r="CT486" i="7"/>
  <c r="CS486" i="7"/>
  <c r="CR486" i="7"/>
  <c r="CQ486" i="7"/>
  <c r="CP486" i="7"/>
  <c r="CO486" i="7"/>
  <c r="CN486" i="7"/>
  <c r="CM486" i="7"/>
  <c r="CL486" i="7"/>
  <c r="CK486" i="7"/>
  <c r="CJ486" i="7"/>
  <c r="CI486" i="7"/>
  <c r="CH486" i="7"/>
  <c r="CG486" i="7"/>
  <c r="CF486" i="7"/>
  <c r="CE486" i="7"/>
  <c r="CD486" i="7"/>
  <c r="CC486" i="7"/>
  <c r="CB486" i="7"/>
  <c r="CA486" i="7"/>
  <c r="BZ486" i="7"/>
  <c r="BY486" i="7"/>
  <c r="BX486" i="7"/>
  <c r="BW486" i="7"/>
  <c r="BV486" i="7"/>
  <c r="BU486" i="7"/>
  <c r="BT486" i="7"/>
  <c r="BS486" i="7"/>
  <c r="BR486" i="7"/>
  <c r="BQ486" i="7"/>
  <c r="BP486" i="7"/>
  <c r="BO486" i="7"/>
  <c r="BN486" i="7"/>
  <c r="BM486" i="7"/>
  <c r="BL486" i="7"/>
  <c r="BK486" i="7"/>
  <c r="BJ486" i="7"/>
  <c r="BI486" i="7"/>
  <c r="BH486" i="7"/>
  <c r="BG486"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DD470" i="7"/>
  <c r="DC470" i="7"/>
  <c r="DB470" i="7"/>
  <c r="DA470" i="7"/>
  <c r="CZ470" i="7"/>
  <c r="CY470" i="7"/>
  <c r="CX470" i="7"/>
  <c r="CW470" i="7"/>
  <c r="CV470" i="7"/>
  <c r="CU470" i="7"/>
  <c r="CT470" i="7"/>
  <c r="CS470" i="7"/>
  <c r="CR470" i="7"/>
  <c r="CQ470" i="7"/>
  <c r="CP470" i="7"/>
  <c r="CO470" i="7"/>
  <c r="CN470" i="7"/>
  <c r="CM470" i="7"/>
  <c r="CL470" i="7"/>
  <c r="CK470" i="7"/>
  <c r="CJ470" i="7"/>
  <c r="CI470" i="7"/>
  <c r="CH470" i="7"/>
  <c r="CG470" i="7"/>
  <c r="CF470" i="7"/>
  <c r="CE470" i="7"/>
  <c r="CD470" i="7"/>
  <c r="CC470" i="7"/>
  <c r="CB470" i="7"/>
  <c r="CA470" i="7"/>
  <c r="BZ470" i="7"/>
  <c r="BY470" i="7"/>
  <c r="BX470" i="7"/>
  <c r="BW470" i="7"/>
  <c r="BV470" i="7"/>
  <c r="BU470" i="7"/>
  <c r="BT470" i="7"/>
  <c r="BS470" i="7"/>
  <c r="BR470" i="7"/>
  <c r="BQ470" i="7"/>
  <c r="BP470" i="7"/>
  <c r="BO470" i="7"/>
  <c r="BN470" i="7"/>
  <c r="BM470" i="7"/>
  <c r="BL470" i="7"/>
  <c r="BK470" i="7"/>
  <c r="BJ470" i="7"/>
  <c r="BI470" i="7"/>
  <c r="BH470" i="7"/>
  <c r="BG470" i="7"/>
  <c r="DD469" i="7"/>
  <c r="DC469" i="7"/>
  <c r="DB469" i="7"/>
  <c r="DA469" i="7"/>
  <c r="CZ469" i="7"/>
  <c r="CY469" i="7"/>
  <c r="CX469" i="7"/>
  <c r="CW469" i="7"/>
  <c r="CV469" i="7"/>
  <c r="CU469" i="7"/>
  <c r="CT469" i="7"/>
  <c r="CS469" i="7"/>
  <c r="CR469" i="7"/>
  <c r="CQ469" i="7"/>
  <c r="CP469" i="7"/>
  <c r="CO469" i="7"/>
  <c r="CN469" i="7"/>
  <c r="CM469" i="7"/>
  <c r="CL469" i="7"/>
  <c r="CK469" i="7"/>
  <c r="CJ469" i="7"/>
  <c r="CI469" i="7"/>
  <c r="CH469" i="7"/>
  <c r="CG469" i="7"/>
  <c r="CF469" i="7"/>
  <c r="CE469" i="7"/>
  <c r="CD469" i="7"/>
  <c r="CC469" i="7"/>
  <c r="CB469" i="7"/>
  <c r="CA469" i="7"/>
  <c r="BZ469" i="7"/>
  <c r="BY469" i="7"/>
  <c r="BX469" i="7"/>
  <c r="BW469" i="7"/>
  <c r="BV469" i="7"/>
  <c r="BU469" i="7"/>
  <c r="BT469" i="7"/>
  <c r="BS469" i="7"/>
  <c r="BR469" i="7"/>
  <c r="BQ469" i="7"/>
  <c r="BP469" i="7"/>
  <c r="BO469" i="7"/>
  <c r="BN469" i="7"/>
  <c r="BM469" i="7"/>
  <c r="BL469" i="7"/>
  <c r="BK469" i="7"/>
  <c r="BJ469" i="7"/>
  <c r="BI469" i="7"/>
  <c r="BH469" i="7"/>
  <c r="BG469" i="7"/>
  <c r="DD468" i="7"/>
  <c r="DC468" i="7"/>
  <c r="DB468" i="7"/>
  <c r="DA468" i="7"/>
  <c r="CZ468" i="7"/>
  <c r="CY468" i="7"/>
  <c r="CX468" i="7"/>
  <c r="CW468" i="7"/>
  <c r="CV468" i="7"/>
  <c r="CU468" i="7"/>
  <c r="CT468" i="7"/>
  <c r="CS468" i="7"/>
  <c r="CR468" i="7"/>
  <c r="CQ468" i="7"/>
  <c r="CP468" i="7"/>
  <c r="CO468" i="7"/>
  <c r="CN468" i="7"/>
  <c r="CM468" i="7"/>
  <c r="CL468" i="7"/>
  <c r="CK468" i="7"/>
  <c r="CJ468" i="7"/>
  <c r="CI468" i="7"/>
  <c r="CH468" i="7"/>
  <c r="CG468" i="7"/>
  <c r="CF468" i="7"/>
  <c r="CE468" i="7"/>
  <c r="CD468" i="7"/>
  <c r="CC468" i="7"/>
  <c r="CB468" i="7"/>
  <c r="CA468" i="7"/>
  <c r="BZ468" i="7"/>
  <c r="BY468" i="7"/>
  <c r="BX468" i="7"/>
  <c r="BW468" i="7"/>
  <c r="BV468" i="7"/>
  <c r="BU468" i="7"/>
  <c r="BT468" i="7"/>
  <c r="BS468" i="7"/>
  <c r="BR468" i="7"/>
  <c r="BQ468" i="7"/>
  <c r="BP468" i="7"/>
  <c r="BO468" i="7"/>
  <c r="BN468" i="7"/>
  <c r="BM468" i="7"/>
  <c r="BL468" i="7"/>
  <c r="BK468" i="7"/>
  <c r="BJ468" i="7"/>
  <c r="BI468" i="7"/>
  <c r="BH468" i="7"/>
  <c r="BG468" i="7"/>
  <c r="DD467" i="7"/>
  <c r="DC467" i="7"/>
  <c r="DB467" i="7"/>
  <c r="DA467" i="7"/>
  <c r="CZ467" i="7"/>
  <c r="CY467" i="7"/>
  <c r="CX467" i="7"/>
  <c r="CW467" i="7"/>
  <c r="CV467" i="7"/>
  <c r="CU467" i="7"/>
  <c r="CT467" i="7"/>
  <c r="CS467" i="7"/>
  <c r="CR467" i="7"/>
  <c r="CQ467" i="7"/>
  <c r="CP467" i="7"/>
  <c r="CO467" i="7"/>
  <c r="CN467" i="7"/>
  <c r="CM467" i="7"/>
  <c r="CL467" i="7"/>
  <c r="CK467" i="7"/>
  <c r="CJ467" i="7"/>
  <c r="CI467" i="7"/>
  <c r="CH467" i="7"/>
  <c r="CG467" i="7"/>
  <c r="CF467" i="7"/>
  <c r="CE467" i="7"/>
  <c r="CD467" i="7"/>
  <c r="CC467" i="7"/>
  <c r="CB467" i="7"/>
  <c r="CA467" i="7"/>
  <c r="BZ467" i="7"/>
  <c r="BY467" i="7"/>
  <c r="BX467" i="7"/>
  <c r="BW467" i="7"/>
  <c r="BV467" i="7"/>
  <c r="BU467" i="7"/>
  <c r="BT467" i="7"/>
  <c r="BS467" i="7"/>
  <c r="BR467" i="7"/>
  <c r="BQ467" i="7"/>
  <c r="BO467" i="7"/>
  <c r="BN467" i="7"/>
  <c r="BM467" i="7"/>
  <c r="BL467" i="7"/>
  <c r="BK467" i="7"/>
  <c r="BJ467" i="7"/>
  <c r="BI467" i="7"/>
  <c r="BH467" i="7"/>
  <c r="BG467" i="7"/>
  <c r="BP467" i="7"/>
  <c r="DD466" i="7"/>
  <c r="DC466" i="7"/>
  <c r="DB466" i="7"/>
  <c r="DA466" i="7"/>
  <c r="CZ466" i="7"/>
  <c r="CY466" i="7"/>
  <c r="CX466" i="7"/>
  <c r="CW466" i="7"/>
  <c r="CV466" i="7"/>
  <c r="CU466" i="7"/>
  <c r="CT466" i="7"/>
  <c r="CS466" i="7"/>
  <c r="CR466" i="7"/>
  <c r="CQ466" i="7"/>
  <c r="CP466" i="7"/>
  <c r="CO466" i="7"/>
  <c r="CN466" i="7"/>
  <c r="CM466" i="7"/>
  <c r="CL466" i="7"/>
  <c r="CK466" i="7"/>
  <c r="CJ466" i="7"/>
  <c r="CI466" i="7"/>
  <c r="CH466" i="7"/>
  <c r="CG466" i="7"/>
  <c r="CF466" i="7"/>
  <c r="CE466" i="7"/>
  <c r="CD466" i="7"/>
  <c r="CC466" i="7"/>
  <c r="CB466" i="7"/>
  <c r="CA466" i="7"/>
  <c r="BZ466" i="7"/>
  <c r="BY466" i="7"/>
  <c r="BX466" i="7"/>
  <c r="BW466" i="7"/>
  <c r="BV466" i="7"/>
  <c r="BU466" i="7"/>
  <c r="BT466" i="7"/>
  <c r="BS466" i="7"/>
  <c r="BR466" i="7"/>
  <c r="BQ466" i="7"/>
  <c r="BP466" i="7"/>
  <c r="BO466" i="7"/>
  <c r="BN466" i="7"/>
  <c r="BM466" i="7"/>
  <c r="BL466" i="7"/>
  <c r="BK466" i="7"/>
  <c r="BJ466" i="7"/>
  <c r="BI466" i="7"/>
  <c r="BH466" i="7"/>
  <c r="BG466" i="7"/>
  <c r="DD465" i="7"/>
  <c r="DC465" i="7"/>
  <c r="DB465" i="7"/>
  <c r="DA465" i="7"/>
  <c r="CZ465" i="7"/>
  <c r="CY465" i="7"/>
  <c r="CX465" i="7"/>
  <c r="CW465" i="7"/>
  <c r="CV465" i="7"/>
  <c r="CU465" i="7"/>
  <c r="CT465" i="7"/>
  <c r="CS465" i="7"/>
  <c r="CR465" i="7"/>
  <c r="CQ465" i="7"/>
  <c r="CP465" i="7"/>
  <c r="CO465" i="7"/>
  <c r="CN465" i="7"/>
  <c r="CM465" i="7"/>
  <c r="CL465" i="7"/>
  <c r="CK465" i="7"/>
  <c r="CJ465" i="7"/>
  <c r="CI465" i="7"/>
  <c r="CH465" i="7"/>
  <c r="CG465" i="7"/>
  <c r="CF465" i="7"/>
  <c r="CE465" i="7"/>
  <c r="CD465" i="7"/>
  <c r="CC465" i="7"/>
  <c r="CB465" i="7"/>
  <c r="CA465" i="7"/>
  <c r="BZ465" i="7"/>
  <c r="BY465" i="7"/>
  <c r="BX465" i="7"/>
  <c r="BW465" i="7"/>
  <c r="BV465" i="7"/>
  <c r="BU465" i="7"/>
  <c r="BT465" i="7"/>
  <c r="BS465" i="7"/>
  <c r="BR465" i="7"/>
  <c r="BQ465" i="7"/>
  <c r="BP465" i="7"/>
  <c r="BO465" i="7"/>
  <c r="BN465" i="7"/>
  <c r="BM465" i="7"/>
  <c r="BL465" i="7"/>
  <c r="BK465" i="7"/>
  <c r="BJ465" i="7"/>
  <c r="BI465" i="7"/>
  <c r="BH465" i="7"/>
  <c r="BG465" i="7"/>
  <c r="DD464" i="7"/>
  <c r="DC464" i="7"/>
  <c r="DB464" i="7"/>
  <c r="DA464" i="7"/>
  <c r="CZ464" i="7"/>
  <c r="CY464" i="7"/>
  <c r="CX464" i="7"/>
  <c r="CW464" i="7"/>
  <c r="CV464" i="7"/>
  <c r="CU464" i="7"/>
  <c r="CT464" i="7"/>
  <c r="CS464" i="7"/>
  <c r="CR464" i="7"/>
  <c r="CQ464" i="7"/>
  <c r="CP464" i="7"/>
  <c r="CO464" i="7"/>
  <c r="CN464" i="7"/>
  <c r="CM464" i="7"/>
  <c r="CL464" i="7"/>
  <c r="CK464" i="7"/>
  <c r="CJ464" i="7"/>
  <c r="CI464" i="7"/>
  <c r="CH464" i="7"/>
  <c r="CG464" i="7"/>
  <c r="CF464" i="7"/>
  <c r="CE464" i="7"/>
  <c r="CD464" i="7"/>
  <c r="CC464" i="7"/>
  <c r="CB464" i="7"/>
  <c r="CA464" i="7"/>
  <c r="BZ464" i="7"/>
  <c r="BY464" i="7"/>
  <c r="BX464" i="7"/>
  <c r="BW464" i="7"/>
  <c r="BV464" i="7"/>
  <c r="BU464" i="7"/>
  <c r="BT464" i="7"/>
  <c r="BS464" i="7"/>
  <c r="BR464" i="7"/>
  <c r="BQ464" i="7"/>
  <c r="BP464" i="7"/>
  <c r="BO464" i="7"/>
  <c r="BN464" i="7"/>
  <c r="BM464" i="7"/>
  <c r="BL464" i="7"/>
  <c r="BK464" i="7"/>
  <c r="BJ464" i="7"/>
  <c r="BI464" i="7"/>
  <c r="BH464" i="7"/>
  <c r="BG464" i="7"/>
  <c r="DD463" i="7"/>
  <c r="DC463" i="7"/>
  <c r="DB463" i="7"/>
  <c r="DA463" i="7"/>
  <c r="CZ463" i="7"/>
  <c r="CY463" i="7"/>
  <c r="CX463" i="7"/>
  <c r="CW463" i="7"/>
  <c r="CV463" i="7"/>
  <c r="CU463" i="7"/>
  <c r="CT463" i="7"/>
  <c r="CS463" i="7"/>
  <c r="CR463" i="7"/>
  <c r="CQ463" i="7"/>
  <c r="CP463" i="7"/>
  <c r="CO463" i="7"/>
  <c r="CN463" i="7"/>
  <c r="CM463" i="7"/>
  <c r="CL463" i="7"/>
  <c r="CK463" i="7"/>
  <c r="CJ463" i="7"/>
  <c r="CI463" i="7"/>
  <c r="CH463" i="7"/>
  <c r="CG463" i="7"/>
  <c r="CF463" i="7"/>
  <c r="CE463" i="7"/>
  <c r="CD463" i="7"/>
  <c r="CC463" i="7"/>
  <c r="CB463" i="7"/>
  <c r="CA463" i="7"/>
  <c r="BZ463" i="7"/>
  <c r="BY463" i="7"/>
  <c r="BX463" i="7"/>
  <c r="BW463" i="7"/>
  <c r="BV463" i="7"/>
  <c r="BU463" i="7"/>
  <c r="BT463" i="7"/>
  <c r="BS463" i="7"/>
  <c r="BR463" i="7"/>
  <c r="BQ463" i="7"/>
  <c r="BP463" i="7"/>
  <c r="BO463" i="7"/>
  <c r="BN463" i="7"/>
  <c r="BM463" i="7"/>
  <c r="BL463" i="7"/>
  <c r="BK463" i="7"/>
  <c r="BJ463" i="7"/>
  <c r="BI463" i="7"/>
  <c r="BH463" i="7"/>
  <c r="BG463" i="7"/>
  <c r="DD462" i="7"/>
  <c r="DC462" i="7"/>
  <c r="DB462" i="7"/>
  <c r="DA462" i="7"/>
  <c r="CZ462" i="7"/>
  <c r="CY462" i="7"/>
  <c r="CX462" i="7"/>
  <c r="CW462" i="7"/>
  <c r="CV462" i="7"/>
  <c r="CU462" i="7"/>
  <c r="CT462" i="7"/>
  <c r="CS462" i="7"/>
  <c r="CR462" i="7"/>
  <c r="CQ462" i="7"/>
  <c r="CP462" i="7"/>
  <c r="CO462" i="7"/>
  <c r="CN462" i="7"/>
  <c r="CM462" i="7"/>
  <c r="CL462" i="7"/>
  <c r="CK462" i="7"/>
  <c r="CJ462" i="7"/>
  <c r="CI462" i="7"/>
  <c r="CH462" i="7"/>
  <c r="CG462" i="7"/>
  <c r="CF462" i="7"/>
  <c r="CE462" i="7"/>
  <c r="CD462" i="7"/>
  <c r="CC462" i="7"/>
  <c r="CB462" i="7"/>
  <c r="CA462" i="7"/>
  <c r="BZ462" i="7"/>
  <c r="BY462" i="7"/>
  <c r="BX462" i="7"/>
  <c r="BW462" i="7"/>
  <c r="BV462" i="7"/>
  <c r="BU462" i="7"/>
  <c r="BT462" i="7"/>
  <c r="BS462" i="7"/>
  <c r="BR462" i="7"/>
  <c r="BQ462" i="7"/>
  <c r="BP462" i="7"/>
  <c r="BO462" i="7"/>
  <c r="BN462" i="7"/>
  <c r="BM462" i="7"/>
  <c r="BL462" i="7"/>
  <c r="BK462" i="7"/>
  <c r="BJ462" i="7"/>
  <c r="BI462" i="7"/>
  <c r="BH462" i="7"/>
  <c r="BG462" i="7"/>
  <c r="DD461" i="7"/>
  <c r="DC461" i="7"/>
  <c r="DB461" i="7"/>
  <c r="DA461" i="7"/>
  <c r="CZ461" i="7"/>
  <c r="CY461" i="7"/>
  <c r="CX461" i="7"/>
  <c r="CW461" i="7"/>
  <c r="CV461" i="7"/>
  <c r="CU461" i="7"/>
  <c r="CT461" i="7"/>
  <c r="CS461" i="7"/>
  <c r="CR461" i="7"/>
  <c r="CQ461" i="7"/>
  <c r="CP461" i="7"/>
  <c r="CO461" i="7"/>
  <c r="CN461" i="7"/>
  <c r="CM461" i="7"/>
  <c r="CL461" i="7"/>
  <c r="CK461" i="7"/>
  <c r="CJ461" i="7"/>
  <c r="CI461" i="7"/>
  <c r="CH461" i="7"/>
  <c r="CG461" i="7"/>
  <c r="CF461" i="7"/>
  <c r="CE461" i="7"/>
  <c r="CD461" i="7"/>
  <c r="CC461" i="7"/>
  <c r="CB461" i="7"/>
  <c r="CA461" i="7"/>
  <c r="BZ461" i="7"/>
  <c r="BY461" i="7"/>
  <c r="BX461" i="7"/>
  <c r="BW461" i="7"/>
  <c r="BV461" i="7"/>
  <c r="BU461" i="7"/>
  <c r="BT461" i="7"/>
  <c r="BS461" i="7"/>
  <c r="BR461" i="7"/>
  <c r="BQ461" i="7"/>
  <c r="BP461" i="7"/>
  <c r="BO461" i="7"/>
  <c r="BN461" i="7"/>
  <c r="BM461" i="7"/>
  <c r="BL461" i="7"/>
  <c r="BK461" i="7"/>
  <c r="BJ461" i="7"/>
  <c r="BI461" i="7"/>
  <c r="BH461" i="7"/>
  <c r="BG461" i="7"/>
  <c r="DD460" i="7"/>
  <c r="DC460" i="7"/>
  <c r="DB460" i="7"/>
  <c r="DA460" i="7"/>
  <c r="CZ460" i="7"/>
  <c r="CY460" i="7"/>
  <c r="CX460" i="7"/>
  <c r="CW460" i="7"/>
  <c r="CV460" i="7"/>
  <c r="CU460" i="7"/>
  <c r="CT460" i="7"/>
  <c r="CS460" i="7"/>
  <c r="CR460" i="7"/>
  <c r="CQ460" i="7"/>
  <c r="CP460" i="7"/>
  <c r="CO460" i="7"/>
  <c r="CN460" i="7"/>
  <c r="CM460" i="7"/>
  <c r="CL460" i="7"/>
  <c r="CK460" i="7"/>
  <c r="CJ460" i="7"/>
  <c r="CI460" i="7"/>
  <c r="CH460" i="7"/>
  <c r="CG460" i="7"/>
  <c r="CF460" i="7"/>
  <c r="CE460" i="7"/>
  <c r="CD460" i="7"/>
  <c r="CC460" i="7"/>
  <c r="CB460" i="7"/>
  <c r="CA460" i="7"/>
  <c r="BZ460" i="7"/>
  <c r="BY460" i="7"/>
  <c r="BX460" i="7"/>
  <c r="BW460" i="7"/>
  <c r="BV460" i="7"/>
  <c r="BU460" i="7"/>
  <c r="BT460" i="7"/>
  <c r="BS460" i="7"/>
  <c r="BR460" i="7"/>
  <c r="BQ460" i="7"/>
  <c r="BP460" i="7"/>
  <c r="BO460" i="7"/>
  <c r="BN460" i="7"/>
  <c r="BM460" i="7"/>
  <c r="BL460" i="7"/>
  <c r="BK460" i="7"/>
  <c r="BJ460" i="7"/>
  <c r="BI460" i="7"/>
  <c r="BH460" i="7"/>
  <c r="BG460" i="7"/>
  <c r="DD459" i="7"/>
  <c r="DC459" i="7"/>
  <c r="DB459" i="7"/>
  <c r="DA459" i="7"/>
  <c r="CZ459" i="7"/>
  <c r="CY459" i="7"/>
  <c r="CX459" i="7"/>
  <c r="CW459" i="7"/>
  <c r="CV459" i="7"/>
  <c r="CU459" i="7"/>
  <c r="CT459" i="7"/>
  <c r="CS459" i="7"/>
  <c r="CR459" i="7"/>
  <c r="CQ459" i="7"/>
  <c r="CP459" i="7"/>
  <c r="CO459" i="7"/>
  <c r="CN459" i="7"/>
  <c r="CM459" i="7"/>
  <c r="CL459" i="7"/>
  <c r="CK459" i="7"/>
  <c r="CJ459" i="7"/>
  <c r="CI459" i="7"/>
  <c r="CH459" i="7"/>
  <c r="CG459" i="7"/>
  <c r="CF459" i="7"/>
  <c r="CE459" i="7"/>
  <c r="CD459" i="7"/>
  <c r="CC459" i="7"/>
  <c r="CB459" i="7"/>
  <c r="CA459" i="7"/>
  <c r="BZ459" i="7"/>
  <c r="BY459" i="7"/>
  <c r="BX459" i="7"/>
  <c r="BW459" i="7"/>
  <c r="BV459" i="7"/>
  <c r="BU459" i="7"/>
  <c r="BT459" i="7"/>
  <c r="BS459" i="7"/>
  <c r="BR459" i="7"/>
  <c r="BQ459" i="7"/>
  <c r="BP459" i="7"/>
  <c r="BO459" i="7"/>
  <c r="BN459" i="7"/>
  <c r="BM459" i="7"/>
  <c r="BL459" i="7"/>
  <c r="BK459" i="7"/>
  <c r="BJ459" i="7"/>
  <c r="BI459" i="7"/>
  <c r="BH459" i="7"/>
  <c r="BG459" i="7"/>
  <c r="DD458" i="7"/>
  <c r="DC458" i="7"/>
  <c r="DB458" i="7"/>
  <c r="DA458" i="7"/>
  <c r="CZ458" i="7"/>
  <c r="CY458" i="7"/>
  <c r="CX458" i="7"/>
  <c r="CW458" i="7"/>
  <c r="CV458" i="7"/>
  <c r="CU458" i="7"/>
  <c r="CT458" i="7"/>
  <c r="CS458" i="7"/>
  <c r="CR458" i="7"/>
  <c r="CQ458" i="7"/>
  <c r="CP458" i="7"/>
  <c r="CO458" i="7"/>
  <c r="CN458" i="7"/>
  <c r="CM458" i="7"/>
  <c r="CL458" i="7"/>
  <c r="CK458" i="7"/>
  <c r="CJ458" i="7"/>
  <c r="CI458" i="7"/>
  <c r="CH458" i="7"/>
  <c r="CG458" i="7"/>
  <c r="CF458" i="7"/>
  <c r="CE458" i="7"/>
  <c r="CD458" i="7"/>
  <c r="CC458" i="7"/>
  <c r="CB458" i="7"/>
  <c r="CA458" i="7"/>
  <c r="BZ458" i="7"/>
  <c r="BY458" i="7"/>
  <c r="BX458" i="7"/>
  <c r="BW458" i="7"/>
  <c r="BV458" i="7"/>
  <c r="BU458" i="7"/>
  <c r="BT458" i="7"/>
  <c r="BS458" i="7"/>
  <c r="BR458" i="7"/>
  <c r="BQ458" i="7"/>
  <c r="BP458" i="7"/>
  <c r="BO458" i="7"/>
  <c r="BN458" i="7"/>
  <c r="BM458" i="7"/>
  <c r="BL458" i="7"/>
  <c r="BK458" i="7"/>
  <c r="BJ458" i="7"/>
  <c r="BI458" i="7"/>
  <c r="BH458" i="7"/>
  <c r="BG458" i="7"/>
  <c r="DD457" i="7"/>
  <c r="DC457" i="7"/>
  <c r="DB457" i="7"/>
  <c r="DA457" i="7"/>
  <c r="CZ457" i="7"/>
  <c r="CY457" i="7"/>
  <c r="CX457" i="7"/>
  <c r="CW457" i="7"/>
  <c r="CV457" i="7"/>
  <c r="CU457" i="7"/>
  <c r="CT457" i="7"/>
  <c r="CS457" i="7"/>
  <c r="CR457" i="7"/>
  <c r="CQ457" i="7"/>
  <c r="CP457" i="7"/>
  <c r="CO457" i="7"/>
  <c r="CN457" i="7"/>
  <c r="CM457" i="7"/>
  <c r="CL457" i="7"/>
  <c r="CK457" i="7"/>
  <c r="CJ457" i="7"/>
  <c r="CI457" i="7"/>
  <c r="CH457" i="7"/>
  <c r="CG457" i="7"/>
  <c r="CF457" i="7"/>
  <c r="CE457" i="7"/>
  <c r="CD457" i="7"/>
  <c r="CC457" i="7"/>
  <c r="CB457" i="7"/>
  <c r="CA457" i="7"/>
  <c r="BZ457" i="7"/>
  <c r="BY457" i="7"/>
  <c r="BX457" i="7"/>
  <c r="BW457" i="7"/>
  <c r="BV457" i="7"/>
  <c r="BU457" i="7"/>
  <c r="BT457" i="7"/>
  <c r="BS457" i="7"/>
  <c r="BR457" i="7"/>
  <c r="BQ457" i="7"/>
  <c r="BP457" i="7"/>
  <c r="BO457" i="7"/>
  <c r="BN457" i="7"/>
  <c r="BM457" i="7"/>
  <c r="BL457" i="7"/>
  <c r="BK457" i="7"/>
  <c r="BJ457" i="7"/>
  <c r="BH457" i="7"/>
  <c r="BG457" i="7"/>
  <c r="DD456" i="7"/>
  <c r="DC456" i="7"/>
  <c r="DB456" i="7"/>
  <c r="DA456" i="7"/>
  <c r="CZ456" i="7"/>
  <c r="CY456" i="7"/>
  <c r="CX456" i="7"/>
  <c r="CW456" i="7"/>
  <c r="CV456" i="7"/>
  <c r="CU456" i="7"/>
  <c r="CT456" i="7"/>
  <c r="CS456" i="7"/>
  <c r="CR456" i="7"/>
  <c r="CQ456" i="7"/>
  <c r="CP456" i="7"/>
  <c r="CO456" i="7"/>
  <c r="CN456" i="7"/>
  <c r="CM456" i="7"/>
  <c r="CL456" i="7"/>
  <c r="CK456" i="7"/>
  <c r="CJ456" i="7"/>
  <c r="CI456" i="7"/>
  <c r="CH456" i="7"/>
  <c r="CG456" i="7"/>
  <c r="CF456" i="7"/>
  <c r="CE456" i="7"/>
  <c r="CD456" i="7"/>
  <c r="CC456" i="7"/>
  <c r="CB456" i="7"/>
  <c r="CA456" i="7"/>
  <c r="BZ456" i="7"/>
  <c r="BY456" i="7"/>
  <c r="BX456" i="7"/>
  <c r="BW456" i="7"/>
  <c r="BV456" i="7"/>
  <c r="BU456" i="7"/>
  <c r="BT456" i="7"/>
  <c r="BS456" i="7"/>
  <c r="BR456" i="7"/>
  <c r="BQ456" i="7"/>
  <c r="BP456" i="7"/>
  <c r="BO456" i="7"/>
  <c r="BN456" i="7"/>
  <c r="BM456" i="7"/>
  <c r="BL456" i="7"/>
  <c r="BK456" i="7"/>
  <c r="BJ456" i="7"/>
  <c r="BI456" i="7"/>
  <c r="BH456" i="7"/>
  <c r="BG456" i="7"/>
  <c r="DD455" i="7"/>
  <c r="DC455" i="7"/>
  <c r="DB455" i="7"/>
  <c r="DA455" i="7"/>
  <c r="CZ455" i="7"/>
  <c r="CY455" i="7"/>
  <c r="CX455" i="7"/>
  <c r="CW455" i="7"/>
  <c r="CV455" i="7"/>
  <c r="CU455" i="7"/>
  <c r="CT455" i="7"/>
  <c r="CS455" i="7"/>
  <c r="CR455" i="7"/>
  <c r="CQ455" i="7"/>
  <c r="CP455" i="7"/>
  <c r="CO455" i="7"/>
  <c r="CN455" i="7"/>
  <c r="CM455" i="7"/>
  <c r="CL455" i="7"/>
  <c r="CK455" i="7"/>
  <c r="CJ455" i="7"/>
  <c r="CI455" i="7"/>
  <c r="CH455" i="7"/>
  <c r="CG455" i="7"/>
  <c r="CF455" i="7"/>
  <c r="CE455" i="7"/>
  <c r="CD455" i="7"/>
  <c r="CC455" i="7"/>
  <c r="CB455" i="7"/>
  <c r="CA455" i="7"/>
  <c r="BZ455" i="7"/>
  <c r="BY455" i="7"/>
  <c r="BX455" i="7"/>
  <c r="BW455" i="7"/>
  <c r="BV455" i="7"/>
  <c r="BU455" i="7"/>
  <c r="BT455" i="7"/>
  <c r="BS455" i="7"/>
  <c r="BR455" i="7"/>
  <c r="BQ455" i="7"/>
  <c r="BP455" i="7"/>
  <c r="BO455" i="7"/>
  <c r="BN455" i="7"/>
  <c r="BM455" i="7"/>
  <c r="BL455" i="7"/>
  <c r="BK455" i="7"/>
  <c r="BJ455" i="7"/>
  <c r="BI455" i="7"/>
  <c r="BH455" i="7"/>
  <c r="BG455" i="7"/>
  <c r="DD454" i="7"/>
  <c r="DC454" i="7"/>
  <c r="DB454" i="7"/>
  <c r="DA454" i="7"/>
  <c r="CZ454" i="7"/>
  <c r="CY454" i="7"/>
  <c r="CX454" i="7"/>
  <c r="CW454" i="7"/>
  <c r="CV454" i="7"/>
  <c r="CU454" i="7"/>
  <c r="CT454" i="7"/>
  <c r="CS454" i="7"/>
  <c r="CR454" i="7"/>
  <c r="CQ454" i="7"/>
  <c r="CP454" i="7"/>
  <c r="CO454" i="7"/>
  <c r="CN454" i="7"/>
  <c r="CM454" i="7"/>
  <c r="CL454" i="7"/>
  <c r="CK454" i="7"/>
  <c r="CJ454" i="7"/>
  <c r="CI454" i="7"/>
  <c r="CH454" i="7"/>
  <c r="CG454" i="7"/>
  <c r="CF454" i="7"/>
  <c r="CE454" i="7"/>
  <c r="CD454" i="7"/>
  <c r="CC454" i="7"/>
  <c r="CB454" i="7"/>
  <c r="CA454" i="7"/>
  <c r="BZ454" i="7"/>
  <c r="BY454" i="7"/>
  <c r="BX454" i="7"/>
  <c r="BW454" i="7"/>
  <c r="BV454" i="7"/>
  <c r="BU454" i="7"/>
  <c r="BT454" i="7"/>
  <c r="BS454" i="7"/>
  <c r="BR454" i="7"/>
  <c r="BQ454" i="7"/>
  <c r="BP454" i="7"/>
  <c r="BO454" i="7"/>
  <c r="BN454" i="7"/>
  <c r="BM454" i="7"/>
  <c r="BL454" i="7"/>
  <c r="BK454" i="7"/>
  <c r="BJ454" i="7"/>
  <c r="BI454" i="7"/>
  <c r="BH454" i="7"/>
  <c r="BG454" i="7"/>
  <c r="DD453" i="7"/>
  <c r="DC453" i="7"/>
  <c r="DB453" i="7"/>
  <c r="DA453" i="7"/>
  <c r="CZ453" i="7"/>
  <c r="CY453" i="7"/>
  <c r="CX453" i="7"/>
  <c r="CW453" i="7"/>
  <c r="CV453" i="7"/>
  <c r="CU453" i="7"/>
  <c r="CT453" i="7"/>
  <c r="CS453" i="7"/>
  <c r="CR453" i="7"/>
  <c r="CQ453" i="7"/>
  <c r="CP453" i="7"/>
  <c r="CO453" i="7"/>
  <c r="CN453" i="7"/>
  <c r="CM453" i="7"/>
  <c r="CL453" i="7"/>
  <c r="CK453" i="7"/>
  <c r="CJ453" i="7"/>
  <c r="CI453" i="7"/>
  <c r="CH453" i="7"/>
  <c r="CG453" i="7"/>
  <c r="CF453" i="7"/>
  <c r="CE453" i="7"/>
  <c r="CD453" i="7"/>
  <c r="CC453" i="7"/>
  <c r="CB453" i="7"/>
  <c r="CA453" i="7"/>
  <c r="BZ453" i="7"/>
  <c r="BY453" i="7"/>
  <c r="BX453" i="7"/>
  <c r="BW453" i="7"/>
  <c r="BV453" i="7"/>
  <c r="BU453" i="7"/>
  <c r="BT453" i="7"/>
  <c r="BS453" i="7"/>
  <c r="BR453" i="7"/>
  <c r="BQ453" i="7"/>
  <c r="BP453" i="7"/>
  <c r="BO453" i="7"/>
  <c r="BN453" i="7"/>
  <c r="BM453" i="7"/>
  <c r="BL453" i="7"/>
  <c r="BK453" i="7"/>
  <c r="BJ453" i="7"/>
  <c r="BI453" i="7"/>
  <c r="BH453" i="7"/>
  <c r="BG453" i="7"/>
  <c r="DD452" i="7"/>
  <c r="DC452" i="7"/>
  <c r="DB452" i="7"/>
  <c r="DA452" i="7"/>
  <c r="CZ452" i="7"/>
  <c r="CY452" i="7"/>
  <c r="CX452" i="7"/>
  <c r="CW452" i="7"/>
  <c r="CV452" i="7"/>
  <c r="CU452" i="7"/>
  <c r="CT452" i="7"/>
  <c r="CS452" i="7"/>
  <c r="CR452" i="7"/>
  <c r="CQ452" i="7"/>
  <c r="CP452" i="7"/>
  <c r="CO452" i="7"/>
  <c r="CN452" i="7"/>
  <c r="CM452" i="7"/>
  <c r="CL452" i="7"/>
  <c r="CK452" i="7"/>
  <c r="CJ452" i="7"/>
  <c r="CI452" i="7"/>
  <c r="CH452" i="7"/>
  <c r="CG452" i="7"/>
  <c r="CF452" i="7"/>
  <c r="CE452" i="7"/>
  <c r="CD452" i="7"/>
  <c r="CC452" i="7"/>
  <c r="CB452" i="7"/>
  <c r="CA452" i="7"/>
  <c r="BZ452" i="7"/>
  <c r="BY452" i="7"/>
  <c r="BX452" i="7"/>
  <c r="BW452" i="7"/>
  <c r="BV452" i="7"/>
  <c r="BU452" i="7"/>
  <c r="BT452" i="7"/>
  <c r="BS452" i="7"/>
  <c r="BR452" i="7"/>
  <c r="BQ452" i="7"/>
  <c r="BP452" i="7"/>
  <c r="BO452" i="7"/>
  <c r="BN452" i="7"/>
  <c r="BM452" i="7"/>
  <c r="BL452" i="7"/>
  <c r="BK452" i="7"/>
  <c r="BJ452" i="7"/>
  <c r="BI452" i="7"/>
  <c r="BH452" i="7"/>
  <c r="BG452" i="7"/>
  <c r="DD451" i="7"/>
  <c r="DC451" i="7"/>
  <c r="DB451" i="7"/>
  <c r="DA451" i="7"/>
  <c r="CZ451" i="7"/>
  <c r="CY451" i="7"/>
  <c r="CX451" i="7"/>
  <c r="CW451" i="7"/>
  <c r="CV451" i="7"/>
  <c r="CU451" i="7"/>
  <c r="CT451" i="7"/>
  <c r="CS451" i="7"/>
  <c r="CR451" i="7"/>
  <c r="CQ451" i="7"/>
  <c r="CP451" i="7"/>
  <c r="CO451" i="7"/>
  <c r="CN451" i="7"/>
  <c r="CM451" i="7"/>
  <c r="CL451" i="7"/>
  <c r="CK451" i="7"/>
  <c r="CJ451" i="7"/>
  <c r="CI451" i="7"/>
  <c r="CH451" i="7"/>
  <c r="CG451" i="7"/>
  <c r="CF451" i="7"/>
  <c r="CE451" i="7"/>
  <c r="CD451" i="7"/>
  <c r="CC451" i="7"/>
  <c r="CB451" i="7"/>
  <c r="CA451" i="7"/>
  <c r="BZ451" i="7"/>
  <c r="BY451" i="7"/>
  <c r="BX451" i="7"/>
  <c r="BW451" i="7"/>
  <c r="BV451" i="7"/>
  <c r="BU451" i="7"/>
  <c r="BT451" i="7"/>
  <c r="BS451" i="7"/>
  <c r="BR451" i="7"/>
  <c r="BQ451" i="7"/>
  <c r="BP451" i="7"/>
  <c r="BO451" i="7"/>
  <c r="BN451" i="7"/>
  <c r="BM451" i="7"/>
  <c r="BL451" i="7"/>
  <c r="BK451" i="7"/>
  <c r="BJ451" i="7"/>
  <c r="BI451" i="7"/>
  <c r="BH451" i="7"/>
  <c r="BG451" i="7"/>
  <c r="DD450" i="7"/>
  <c r="DC450" i="7"/>
  <c r="DB450" i="7"/>
  <c r="DA450" i="7"/>
  <c r="CZ450" i="7"/>
  <c r="CY450" i="7"/>
  <c r="CX450" i="7"/>
  <c r="CW450" i="7"/>
  <c r="CV450" i="7"/>
  <c r="CU450" i="7"/>
  <c r="CT450" i="7"/>
  <c r="CS450" i="7"/>
  <c r="CR450" i="7"/>
  <c r="CQ450" i="7"/>
  <c r="CP450" i="7"/>
  <c r="CO450" i="7"/>
  <c r="CN450" i="7"/>
  <c r="CM450" i="7"/>
  <c r="CL450" i="7"/>
  <c r="CK450" i="7"/>
  <c r="CJ450" i="7"/>
  <c r="CI450" i="7"/>
  <c r="CH450" i="7"/>
  <c r="CG450" i="7"/>
  <c r="CF450" i="7"/>
  <c r="CE450" i="7"/>
  <c r="CD450" i="7"/>
  <c r="CC450" i="7"/>
  <c r="CB450" i="7"/>
  <c r="CA450" i="7"/>
  <c r="BZ450" i="7"/>
  <c r="BY450" i="7"/>
  <c r="BX450" i="7"/>
  <c r="BW450" i="7"/>
  <c r="BV450" i="7"/>
  <c r="BU450" i="7"/>
  <c r="BT450" i="7"/>
  <c r="BS450" i="7"/>
  <c r="BR450" i="7"/>
  <c r="BQ450" i="7"/>
  <c r="BP450" i="7"/>
  <c r="BO450" i="7"/>
  <c r="BN450" i="7"/>
  <c r="BM450" i="7"/>
  <c r="BL450" i="7"/>
  <c r="BK450" i="7"/>
  <c r="BJ450" i="7"/>
  <c r="BI450" i="7"/>
  <c r="BH450" i="7"/>
  <c r="BG450" i="7"/>
  <c r="DD449" i="7"/>
  <c r="DC449" i="7"/>
  <c r="DB449" i="7"/>
  <c r="DA449" i="7"/>
  <c r="CZ449" i="7"/>
  <c r="CY449" i="7"/>
  <c r="CX449" i="7"/>
  <c r="CW449" i="7"/>
  <c r="CV449" i="7"/>
  <c r="CU449" i="7"/>
  <c r="CT449" i="7"/>
  <c r="CS449" i="7"/>
  <c r="CR449" i="7"/>
  <c r="CQ449" i="7"/>
  <c r="CP449" i="7"/>
  <c r="CO449" i="7"/>
  <c r="CN449" i="7"/>
  <c r="CM449" i="7"/>
  <c r="CL449" i="7"/>
  <c r="CK449" i="7"/>
  <c r="CJ449" i="7"/>
  <c r="CI449" i="7"/>
  <c r="CH449" i="7"/>
  <c r="CG449" i="7"/>
  <c r="CF449" i="7"/>
  <c r="CE449" i="7"/>
  <c r="CD449" i="7"/>
  <c r="CC449" i="7"/>
  <c r="CB449" i="7"/>
  <c r="CA449" i="7"/>
  <c r="BZ449" i="7"/>
  <c r="BY449" i="7"/>
  <c r="BX449" i="7"/>
  <c r="BW449" i="7"/>
  <c r="BV449" i="7"/>
  <c r="BU449" i="7"/>
  <c r="BT449" i="7"/>
  <c r="BS449" i="7"/>
  <c r="BR449" i="7"/>
  <c r="BQ449" i="7"/>
  <c r="BP449" i="7"/>
  <c r="BO449" i="7"/>
  <c r="BN449" i="7"/>
  <c r="BM449" i="7"/>
  <c r="BL449" i="7"/>
  <c r="BK449" i="7"/>
  <c r="BJ449" i="7"/>
  <c r="BI449" i="7"/>
  <c r="BH449" i="7"/>
  <c r="BG449" i="7"/>
  <c r="DD448" i="7"/>
  <c r="DC448" i="7"/>
  <c r="DB448" i="7"/>
  <c r="DA448" i="7"/>
  <c r="CZ448" i="7"/>
  <c r="CY448" i="7"/>
  <c r="CX448" i="7"/>
  <c r="CW448" i="7"/>
  <c r="CV448" i="7"/>
  <c r="CU448" i="7"/>
  <c r="CT448" i="7"/>
  <c r="CS448" i="7"/>
  <c r="CR448" i="7"/>
  <c r="CQ448" i="7"/>
  <c r="CP448" i="7"/>
  <c r="CO448" i="7"/>
  <c r="CN448" i="7"/>
  <c r="CM448" i="7"/>
  <c r="CL448" i="7"/>
  <c r="CK448" i="7"/>
  <c r="CJ448" i="7"/>
  <c r="CI448" i="7"/>
  <c r="CH448" i="7"/>
  <c r="CG448" i="7"/>
  <c r="CF448" i="7"/>
  <c r="CE448" i="7"/>
  <c r="CD448" i="7"/>
  <c r="CC448" i="7"/>
  <c r="CB448" i="7"/>
  <c r="CA448" i="7"/>
  <c r="BZ448" i="7"/>
  <c r="BY448" i="7"/>
  <c r="BX448" i="7"/>
  <c r="BW448" i="7"/>
  <c r="BV448" i="7"/>
  <c r="BU448" i="7"/>
  <c r="BT448" i="7"/>
  <c r="BS448" i="7"/>
  <c r="BR448" i="7"/>
  <c r="BQ448" i="7"/>
  <c r="BP448" i="7"/>
  <c r="BO448" i="7"/>
  <c r="BN448" i="7"/>
  <c r="BM448" i="7"/>
  <c r="BL448" i="7"/>
  <c r="BK448" i="7"/>
  <c r="BJ448" i="7"/>
  <c r="BI448" i="7"/>
  <c r="BH448" i="7"/>
  <c r="BG448" i="7"/>
  <c r="DD447" i="7"/>
  <c r="DC447" i="7"/>
  <c r="DB447" i="7"/>
  <c r="DA447" i="7"/>
  <c r="CZ447" i="7"/>
  <c r="CY447" i="7"/>
  <c r="CX447" i="7"/>
  <c r="CW447" i="7"/>
  <c r="CV447" i="7"/>
  <c r="CU447" i="7"/>
  <c r="CT447" i="7"/>
  <c r="CS447" i="7"/>
  <c r="CR447" i="7"/>
  <c r="CQ447" i="7"/>
  <c r="CP447" i="7"/>
  <c r="CO447" i="7"/>
  <c r="CN447" i="7"/>
  <c r="CM447" i="7"/>
  <c r="CL447" i="7"/>
  <c r="CK447" i="7"/>
  <c r="CJ447" i="7"/>
  <c r="CI447" i="7"/>
  <c r="CH447" i="7"/>
  <c r="CG447" i="7"/>
  <c r="CF447" i="7"/>
  <c r="CE447" i="7"/>
  <c r="CD447" i="7"/>
  <c r="CC447" i="7"/>
  <c r="CB447" i="7"/>
  <c r="CA447" i="7"/>
  <c r="BZ447" i="7"/>
  <c r="BY447" i="7"/>
  <c r="BX447" i="7"/>
  <c r="BW447" i="7"/>
  <c r="BV447" i="7"/>
  <c r="BU447" i="7"/>
  <c r="BT447" i="7"/>
  <c r="BS447" i="7"/>
  <c r="BR447" i="7"/>
  <c r="BQ447" i="7"/>
  <c r="BP447" i="7"/>
  <c r="BO447" i="7"/>
  <c r="BN447" i="7"/>
  <c r="BM447" i="7"/>
  <c r="BL447" i="7"/>
  <c r="BK447" i="7"/>
  <c r="BJ447" i="7"/>
  <c r="BI447" i="7"/>
  <c r="BH447" i="7"/>
  <c r="BG447" i="7"/>
  <c r="DD446" i="7"/>
  <c r="DC446" i="7"/>
  <c r="DB446" i="7"/>
  <c r="DA446" i="7"/>
  <c r="CZ446" i="7"/>
  <c r="CY446" i="7"/>
  <c r="CX446" i="7"/>
  <c r="CW446" i="7"/>
  <c r="CV446" i="7"/>
  <c r="CU446" i="7"/>
  <c r="CT446" i="7"/>
  <c r="CS446" i="7"/>
  <c r="CR446" i="7"/>
  <c r="CQ446" i="7"/>
  <c r="CP446" i="7"/>
  <c r="CO446" i="7"/>
  <c r="CN446" i="7"/>
  <c r="CM446" i="7"/>
  <c r="CL446" i="7"/>
  <c r="CK446" i="7"/>
  <c r="CJ446" i="7"/>
  <c r="CI446" i="7"/>
  <c r="CH446" i="7"/>
  <c r="CG446" i="7"/>
  <c r="CF446" i="7"/>
  <c r="CE446" i="7"/>
  <c r="CD446" i="7"/>
  <c r="CC446" i="7"/>
  <c r="CB446" i="7"/>
  <c r="CA446" i="7"/>
  <c r="BZ446" i="7"/>
  <c r="BY446" i="7"/>
  <c r="BX446" i="7"/>
  <c r="BW446" i="7"/>
  <c r="BV446" i="7"/>
  <c r="BU446" i="7"/>
  <c r="BT446" i="7"/>
  <c r="BS446" i="7"/>
  <c r="BR446" i="7"/>
  <c r="BQ446" i="7"/>
  <c r="BP446" i="7"/>
  <c r="BO446" i="7"/>
  <c r="BN446" i="7"/>
  <c r="BM446" i="7"/>
  <c r="BL446" i="7"/>
  <c r="BK446" i="7"/>
  <c r="BJ446" i="7"/>
  <c r="BI446" i="7"/>
  <c r="BH446" i="7"/>
  <c r="BG446" i="7"/>
  <c r="DD445" i="7"/>
  <c r="DC445" i="7"/>
  <c r="DB445" i="7"/>
  <c r="DA445" i="7"/>
  <c r="CZ445" i="7"/>
  <c r="CY445" i="7"/>
  <c r="CX445" i="7"/>
  <c r="CW445" i="7"/>
  <c r="CV445" i="7"/>
  <c r="CU445" i="7"/>
  <c r="CT445" i="7"/>
  <c r="CS445" i="7"/>
  <c r="CR445" i="7"/>
  <c r="CQ445" i="7"/>
  <c r="CP445" i="7"/>
  <c r="CO445" i="7"/>
  <c r="CN445" i="7"/>
  <c r="CM445" i="7"/>
  <c r="CL445" i="7"/>
  <c r="CK445" i="7"/>
  <c r="CJ445" i="7"/>
  <c r="CI445" i="7"/>
  <c r="CH445" i="7"/>
  <c r="CG445" i="7"/>
  <c r="CF445" i="7"/>
  <c r="CE445" i="7"/>
  <c r="CD445" i="7"/>
  <c r="CC445" i="7"/>
  <c r="CB445" i="7"/>
  <c r="CA445" i="7"/>
  <c r="BZ445" i="7"/>
  <c r="BY445" i="7"/>
  <c r="BX445" i="7"/>
  <c r="BW445" i="7"/>
  <c r="BV445" i="7"/>
  <c r="BU445" i="7"/>
  <c r="BT445" i="7"/>
  <c r="BS445" i="7"/>
  <c r="BR445" i="7"/>
  <c r="BQ445" i="7"/>
  <c r="BP445" i="7"/>
  <c r="BO445" i="7"/>
  <c r="BN445" i="7"/>
  <c r="BM445" i="7"/>
  <c r="BL445" i="7"/>
  <c r="BK445" i="7"/>
  <c r="BJ445" i="7"/>
  <c r="BI445" i="7"/>
  <c r="BH445" i="7"/>
  <c r="BG445" i="7"/>
  <c r="DD444" i="7"/>
  <c r="DC444" i="7"/>
  <c r="DB444" i="7"/>
  <c r="DA444" i="7"/>
  <c r="CZ444" i="7"/>
  <c r="CY444" i="7"/>
  <c r="CX444" i="7"/>
  <c r="CW444" i="7"/>
  <c r="CV444" i="7"/>
  <c r="CU444" i="7"/>
  <c r="CT444" i="7"/>
  <c r="CS444" i="7"/>
  <c r="CR444" i="7"/>
  <c r="CQ444" i="7"/>
  <c r="CP444" i="7"/>
  <c r="CO444" i="7"/>
  <c r="CN444" i="7"/>
  <c r="CM444" i="7"/>
  <c r="CL444" i="7"/>
  <c r="CK444" i="7"/>
  <c r="CJ444" i="7"/>
  <c r="CI444" i="7"/>
  <c r="CH444" i="7"/>
  <c r="CG444" i="7"/>
  <c r="CF444" i="7"/>
  <c r="CE444" i="7"/>
  <c r="CD444" i="7"/>
  <c r="CC444" i="7"/>
  <c r="CB444" i="7"/>
  <c r="CA444" i="7"/>
  <c r="BZ444" i="7"/>
  <c r="BY444" i="7"/>
  <c r="BX444" i="7"/>
  <c r="BW444" i="7"/>
  <c r="BV444" i="7"/>
  <c r="BU444" i="7"/>
  <c r="BT444" i="7"/>
  <c r="BS444" i="7"/>
  <c r="BR444" i="7"/>
  <c r="BQ444" i="7"/>
  <c r="BP444" i="7"/>
  <c r="BO444" i="7"/>
  <c r="BN444" i="7"/>
  <c r="BM444" i="7"/>
  <c r="BL444" i="7"/>
  <c r="BK444" i="7"/>
  <c r="BJ444" i="7"/>
  <c r="BI444" i="7"/>
  <c r="BH444" i="7"/>
  <c r="BG444" i="7"/>
  <c r="DD443" i="7"/>
  <c r="DC443" i="7"/>
  <c r="DB443" i="7"/>
  <c r="DA443" i="7"/>
  <c r="CZ443" i="7"/>
  <c r="CY443" i="7"/>
  <c r="CX443" i="7"/>
  <c r="CW443" i="7"/>
  <c r="CV443" i="7"/>
  <c r="CU443" i="7"/>
  <c r="CT443" i="7"/>
  <c r="CS443" i="7"/>
  <c r="CR443" i="7"/>
  <c r="CQ443" i="7"/>
  <c r="CP443" i="7"/>
  <c r="CO443" i="7"/>
  <c r="CN443" i="7"/>
  <c r="CM443" i="7"/>
  <c r="CL443" i="7"/>
  <c r="CK443" i="7"/>
  <c r="CJ443" i="7"/>
  <c r="CI443" i="7"/>
  <c r="CH443" i="7"/>
  <c r="CG443" i="7"/>
  <c r="CF443" i="7"/>
  <c r="CE443" i="7"/>
  <c r="CD443" i="7"/>
  <c r="CC443" i="7"/>
  <c r="CB443" i="7"/>
  <c r="CA443" i="7"/>
  <c r="BZ443" i="7"/>
  <c r="BY443" i="7"/>
  <c r="BX443" i="7"/>
  <c r="BW443" i="7"/>
  <c r="BV443" i="7"/>
  <c r="BU443" i="7"/>
  <c r="BT443" i="7"/>
  <c r="BS443" i="7"/>
  <c r="BR443" i="7"/>
  <c r="BQ443" i="7"/>
  <c r="BP443" i="7"/>
  <c r="BO443" i="7"/>
  <c r="BN443" i="7"/>
  <c r="BM443" i="7"/>
  <c r="BL443" i="7"/>
  <c r="BK443" i="7"/>
  <c r="BJ443" i="7"/>
  <c r="BI443" i="7"/>
  <c r="BH443" i="7"/>
  <c r="BG443" i="7"/>
  <c r="DD442" i="7"/>
  <c r="DC442" i="7"/>
  <c r="DB442" i="7"/>
  <c r="DA442" i="7"/>
  <c r="CZ442" i="7"/>
  <c r="CY442" i="7"/>
  <c r="CX442" i="7"/>
  <c r="CW442" i="7"/>
  <c r="CV442" i="7"/>
  <c r="CU442" i="7"/>
  <c r="CT442" i="7"/>
  <c r="CS442" i="7"/>
  <c r="CR442" i="7"/>
  <c r="CQ442" i="7"/>
  <c r="CP442" i="7"/>
  <c r="CO442" i="7"/>
  <c r="CN442" i="7"/>
  <c r="CM442" i="7"/>
  <c r="CL442" i="7"/>
  <c r="CK442" i="7"/>
  <c r="CJ442" i="7"/>
  <c r="CI442" i="7"/>
  <c r="CH442" i="7"/>
  <c r="CG442" i="7"/>
  <c r="CF442" i="7"/>
  <c r="CE442" i="7"/>
  <c r="CD442" i="7"/>
  <c r="CC442" i="7"/>
  <c r="CB442" i="7"/>
  <c r="CA442" i="7"/>
  <c r="BZ442" i="7"/>
  <c r="BY442" i="7"/>
  <c r="BX442" i="7"/>
  <c r="BW442" i="7"/>
  <c r="BV442" i="7"/>
  <c r="BU442" i="7"/>
  <c r="BT442" i="7"/>
  <c r="BS442" i="7"/>
  <c r="BR442" i="7"/>
  <c r="BQ442" i="7"/>
  <c r="BP442" i="7"/>
  <c r="BO442" i="7"/>
  <c r="BN442" i="7"/>
  <c r="BM442" i="7"/>
  <c r="BL442" i="7"/>
  <c r="BK442" i="7"/>
  <c r="BJ442" i="7"/>
  <c r="BI442" i="7"/>
  <c r="BH442" i="7"/>
  <c r="BG442" i="7"/>
  <c r="DD441" i="7"/>
  <c r="DC441" i="7"/>
  <c r="DB441" i="7"/>
  <c r="DA441" i="7"/>
  <c r="CZ441" i="7"/>
  <c r="CY441" i="7"/>
  <c r="CX441" i="7"/>
  <c r="CW441" i="7"/>
  <c r="CV441" i="7"/>
  <c r="CU441" i="7"/>
  <c r="CT441" i="7"/>
  <c r="CS441" i="7"/>
  <c r="CR441" i="7"/>
  <c r="CQ441" i="7"/>
  <c r="CP441" i="7"/>
  <c r="CO441" i="7"/>
  <c r="CN441" i="7"/>
  <c r="CM441" i="7"/>
  <c r="CL441" i="7"/>
  <c r="CK441" i="7"/>
  <c r="CJ441" i="7"/>
  <c r="CI441" i="7"/>
  <c r="CH441" i="7"/>
  <c r="CG441" i="7"/>
  <c r="CF441" i="7"/>
  <c r="CE441" i="7"/>
  <c r="CD441" i="7"/>
  <c r="CC441" i="7"/>
  <c r="CB441" i="7"/>
  <c r="CA441" i="7"/>
  <c r="BZ441" i="7"/>
  <c r="BY441" i="7"/>
  <c r="BX441" i="7"/>
  <c r="BW441" i="7"/>
  <c r="BV441" i="7"/>
  <c r="BU441" i="7"/>
  <c r="BT441" i="7"/>
  <c r="BS441" i="7"/>
  <c r="BR441" i="7"/>
  <c r="BQ441" i="7"/>
  <c r="BP441" i="7"/>
  <c r="BO441" i="7"/>
  <c r="BN441" i="7"/>
  <c r="BM441" i="7"/>
  <c r="BL441" i="7"/>
  <c r="BK441" i="7"/>
  <c r="BJ441" i="7"/>
  <c r="BI441" i="7"/>
  <c r="BH441" i="7"/>
  <c r="BG441" i="7"/>
  <c r="DD440" i="7"/>
  <c r="DC440" i="7"/>
  <c r="DB440" i="7"/>
  <c r="DA440" i="7"/>
  <c r="CZ440" i="7"/>
  <c r="CY440" i="7"/>
  <c r="CX440" i="7"/>
  <c r="CW440" i="7"/>
  <c r="CV440" i="7"/>
  <c r="CU440" i="7"/>
  <c r="CT440" i="7"/>
  <c r="CS440" i="7"/>
  <c r="CR440" i="7"/>
  <c r="CQ440" i="7"/>
  <c r="CP440" i="7"/>
  <c r="CO440" i="7"/>
  <c r="CN440" i="7"/>
  <c r="CM440" i="7"/>
  <c r="CL440" i="7"/>
  <c r="CK440" i="7"/>
  <c r="CJ440" i="7"/>
  <c r="CI440" i="7"/>
  <c r="CH440" i="7"/>
  <c r="CG440" i="7"/>
  <c r="CF440" i="7"/>
  <c r="CE440" i="7"/>
  <c r="CD440" i="7"/>
  <c r="CC440" i="7"/>
  <c r="CB440" i="7"/>
  <c r="CA440" i="7"/>
  <c r="BZ440" i="7"/>
  <c r="BY440" i="7"/>
  <c r="BX440" i="7"/>
  <c r="BW440" i="7"/>
  <c r="BV440" i="7"/>
  <c r="BU440" i="7"/>
  <c r="BT440" i="7"/>
  <c r="BS440" i="7"/>
  <c r="BR440" i="7"/>
  <c r="BQ440" i="7"/>
  <c r="BP440" i="7"/>
  <c r="BO440" i="7"/>
  <c r="BN440" i="7"/>
  <c r="BM440" i="7"/>
  <c r="BL440" i="7"/>
  <c r="BK440" i="7"/>
  <c r="BJ440" i="7"/>
  <c r="BI440" i="7"/>
  <c r="BH440" i="7"/>
  <c r="BG440" i="7"/>
  <c r="DD439" i="7"/>
  <c r="DC439" i="7"/>
  <c r="DB439" i="7"/>
  <c r="DA439" i="7"/>
  <c r="CZ439" i="7"/>
  <c r="CY439" i="7"/>
  <c r="CX439" i="7"/>
  <c r="CW439" i="7"/>
  <c r="CV439" i="7"/>
  <c r="CU439" i="7"/>
  <c r="CT439" i="7"/>
  <c r="CS439" i="7"/>
  <c r="CR439" i="7"/>
  <c r="CQ439" i="7"/>
  <c r="CP439" i="7"/>
  <c r="CO439" i="7"/>
  <c r="CN439" i="7"/>
  <c r="CM439" i="7"/>
  <c r="CL439" i="7"/>
  <c r="CK439" i="7"/>
  <c r="CJ439" i="7"/>
  <c r="CI439" i="7"/>
  <c r="CH439" i="7"/>
  <c r="CG439" i="7"/>
  <c r="CF439" i="7"/>
  <c r="CE439" i="7"/>
  <c r="CD439" i="7"/>
  <c r="CC439" i="7"/>
  <c r="CB439" i="7"/>
  <c r="CA439" i="7"/>
  <c r="BZ439" i="7"/>
  <c r="BY439" i="7"/>
  <c r="BX439" i="7"/>
  <c r="BW439" i="7"/>
  <c r="BV439" i="7"/>
  <c r="BU439" i="7"/>
  <c r="BT439" i="7"/>
  <c r="BS439" i="7"/>
  <c r="BR439" i="7"/>
  <c r="BQ439" i="7"/>
  <c r="BP439" i="7"/>
  <c r="BO439" i="7"/>
  <c r="BN439" i="7"/>
  <c r="BM439" i="7"/>
  <c r="BL439" i="7"/>
  <c r="BK439" i="7"/>
  <c r="BJ439" i="7"/>
  <c r="BI439" i="7"/>
  <c r="BH439" i="7"/>
  <c r="BG439" i="7"/>
  <c r="DD438" i="7"/>
  <c r="DC438" i="7"/>
  <c r="DB438" i="7"/>
  <c r="DA438" i="7"/>
  <c r="CZ438" i="7"/>
  <c r="CY438" i="7"/>
  <c r="CX438" i="7"/>
  <c r="CW438" i="7"/>
  <c r="CV438" i="7"/>
  <c r="CU438" i="7"/>
  <c r="CT438" i="7"/>
  <c r="CS438" i="7"/>
  <c r="CR438" i="7"/>
  <c r="CQ438" i="7"/>
  <c r="CP438" i="7"/>
  <c r="CO438" i="7"/>
  <c r="CN438" i="7"/>
  <c r="CM438" i="7"/>
  <c r="CL438" i="7"/>
  <c r="CK438" i="7"/>
  <c r="CJ438" i="7"/>
  <c r="CI438" i="7"/>
  <c r="CH438" i="7"/>
  <c r="CG438" i="7"/>
  <c r="CF438" i="7"/>
  <c r="CE438" i="7"/>
  <c r="CD438" i="7"/>
  <c r="CC438" i="7"/>
  <c r="CB438" i="7"/>
  <c r="CA438" i="7"/>
  <c r="BZ438" i="7"/>
  <c r="BY438" i="7"/>
  <c r="BX438" i="7"/>
  <c r="BW438" i="7"/>
  <c r="BV438" i="7"/>
  <c r="BU438" i="7"/>
  <c r="BT438" i="7"/>
  <c r="BS438" i="7"/>
  <c r="BR438" i="7"/>
  <c r="BQ438" i="7"/>
  <c r="BP438" i="7"/>
  <c r="BO438" i="7"/>
  <c r="BN438" i="7"/>
  <c r="BM438" i="7"/>
  <c r="BL438" i="7"/>
  <c r="BK438" i="7"/>
  <c r="BJ438" i="7"/>
  <c r="BI438" i="7"/>
  <c r="BH438" i="7"/>
  <c r="BG438" i="7"/>
  <c r="DD437" i="7"/>
  <c r="DC437" i="7"/>
  <c r="DB437" i="7"/>
  <c r="DA437" i="7"/>
  <c r="CZ437" i="7"/>
  <c r="CY437" i="7"/>
  <c r="CX437" i="7"/>
  <c r="CW437" i="7"/>
  <c r="CV437" i="7"/>
  <c r="CU437" i="7"/>
  <c r="CT437" i="7"/>
  <c r="CS437" i="7"/>
  <c r="CR437" i="7"/>
  <c r="CQ437" i="7"/>
  <c r="CP437" i="7"/>
  <c r="CO437" i="7"/>
  <c r="CN437" i="7"/>
  <c r="CM437" i="7"/>
  <c r="CL437" i="7"/>
  <c r="CK437" i="7"/>
  <c r="CJ437" i="7"/>
  <c r="CI437" i="7"/>
  <c r="CH437" i="7"/>
  <c r="CG437" i="7"/>
  <c r="CF437" i="7"/>
  <c r="CE437" i="7"/>
  <c r="CD437" i="7"/>
  <c r="CC437" i="7"/>
  <c r="CB437" i="7"/>
  <c r="CA437" i="7"/>
  <c r="BZ437" i="7"/>
  <c r="BY437" i="7"/>
  <c r="BX437" i="7"/>
  <c r="BW437" i="7"/>
  <c r="BV437" i="7"/>
  <c r="BU437" i="7"/>
  <c r="BT437" i="7"/>
  <c r="BS437" i="7"/>
  <c r="BR437" i="7"/>
  <c r="BQ437" i="7"/>
  <c r="BP437" i="7"/>
  <c r="BO437" i="7"/>
  <c r="BN437" i="7"/>
  <c r="BM437" i="7"/>
  <c r="BL437" i="7"/>
  <c r="BK437" i="7"/>
  <c r="BJ437" i="7"/>
  <c r="BI437" i="7"/>
  <c r="BH437" i="7"/>
  <c r="BG437" i="7"/>
  <c r="DD436" i="7"/>
  <c r="DC436" i="7"/>
  <c r="DB436" i="7"/>
  <c r="DA436" i="7"/>
  <c r="CZ436" i="7"/>
  <c r="CY436" i="7"/>
  <c r="CX436" i="7"/>
  <c r="CW436" i="7"/>
  <c r="CV436" i="7"/>
  <c r="CU436" i="7"/>
  <c r="CT436" i="7"/>
  <c r="CS436" i="7"/>
  <c r="CR436" i="7"/>
  <c r="CQ436" i="7"/>
  <c r="CP436" i="7"/>
  <c r="CO436" i="7"/>
  <c r="CN436" i="7"/>
  <c r="CM436" i="7"/>
  <c r="CL436" i="7"/>
  <c r="CK436" i="7"/>
  <c r="CJ436" i="7"/>
  <c r="CI436" i="7"/>
  <c r="CH436" i="7"/>
  <c r="CG436" i="7"/>
  <c r="CF436" i="7"/>
  <c r="CE436" i="7"/>
  <c r="CD436" i="7"/>
  <c r="CC436" i="7"/>
  <c r="CB436" i="7"/>
  <c r="CA436" i="7"/>
  <c r="BZ436" i="7"/>
  <c r="BY436" i="7"/>
  <c r="BX436" i="7"/>
  <c r="BW436" i="7"/>
  <c r="BV436" i="7"/>
  <c r="BU436" i="7"/>
  <c r="BT436" i="7"/>
  <c r="BS436" i="7"/>
  <c r="BR436" i="7"/>
  <c r="BQ436" i="7"/>
  <c r="BP436" i="7"/>
  <c r="BO436" i="7"/>
  <c r="BN436" i="7"/>
  <c r="BM436" i="7"/>
  <c r="BL436" i="7"/>
  <c r="BK436" i="7"/>
  <c r="BJ436" i="7"/>
  <c r="BI436" i="7"/>
  <c r="BH436" i="7"/>
  <c r="BG436" i="7"/>
  <c r="DD435" i="7"/>
  <c r="DC435" i="7"/>
  <c r="DB435" i="7"/>
  <c r="DA435" i="7"/>
  <c r="CZ435" i="7"/>
  <c r="CY435" i="7"/>
  <c r="CX435" i="7"/>
  <c r="CW435" i="7"/>
  <c r="CV435" i="7"/>
  <c r="CU435" i="7"/>
  <c r="CT435" i="7"/>
  <c r="CS435" i="7"/>
  <c r="CR435" i="7"/>
  <c r="CQ435" i="7"/>
  <c r="CP435" i="7"/>
  <c r="CO435" i="7"/>
  <c r="CN435" i="7"/>
  <c r="CM435" i="7"/>
  <c r="CL435" i="7"/>
  <c r="CK435" i="7"/>
  <c r="CJ435" i="7"/>
  <c r="CI435" i="7"/>
  <c r="CH435" i="7"/>
  <c r="CG435" i="7"/>
  <c r="CF435" i="7"/>
  <c r="CE435" i="7"/>
  <c r="CD435" i="7"/>
  <c r="CC435" i="7"/>
  <c r="CB435" i="7"/>
  <c r="CA435" i="7"/>
  <c r="BZ435" i="7"/>
  <c r="BY435" i="7"/>
  <c r="BX435" i="7"/>
  <c r="BW435" i="7"/>
  <c r="BV435" i="7"/>
  <c r="BU435" i="7"/>
  <c r="BT435" i="7"/>
  <c r="BS435" i="7"/>
  <c r="BR435" i="7"/>
  <c r="BQ435" i="7"/>
  <c r="BP435" i="7"/>
  <c r="BO435" i="7"/>
  <c r="BN435" i="7"/>
  <c r="BM435" i="7"/>
  <c r="BL435" i="7"/>
  <c r="BK435" i="7"/>
  <c r="BJ435" i="7"/>
  <c r="BI435" i="7"/>
  <c r="BH435" i="7"/>
  <c r="BG435" i="7"/>
  <c r="DD434" i="7"/>
  <c r="DC434" i="7"/>
  <c r="DB434" i="7"/>
  <c r="DA434" i="7"/>
  <c r="CZ434" i="7"/>
  <c r="CY434" i="7"/>
  <c r="CX434" i="7"/>
  <c r="CW434" i="7"/>
  <c r="CV434" i="7"/>
  <c r="CU434" i="7"/>
  <c r="CT434" i="7"/>
  <c r="CS434" i="7"/>
  <c r="CR434" i="7"/>
  <c r="CQ434" i="7"/>
  <c r="CP434" i="7"/>
  <c r="CO434" i="7"/>
  <c r="CN434" i="7"/>
  <c r="CM434" i="7"/>
  <c r="CL434" i="7"/>
  <c r="CK434" i="7"/>
  <c r="CJ434" i="7"/>
  <c r="CI434" i="7"/>
  <c r="CH434" i="7"/>
  <c r="CG434" i="7"/>
  <c r="CF434" i="7"/>
  <c r="CE434" i="7"/>
  <c r="CD434" i="7"/>
  <c r="CC434" i="7"/>
  <c r="CB434" i="7"/>
  <c r="CA434" i="7"/>
  <c r="BZ434" i="7"/>
  <c r="BY434" i="7"/>
  <c r="BX434" i="7"/>
  <c r="BW434" i="7"/>
  <c r="BV434" i="7"/>
  <c r="BU434" i="7"/>
  <c r="BT434" i="7"/>
  <c r="BS434" i="7"/>
  <c r="BR434" i="7"/>
  <c r="BQ434" i="7"/>
  <c r="BP434" i="7"/>
  <c r="BO434" i="7"/>
  <c r="BN434" i="7"/>
  <c r="BM434" i="7"/>
  <c r="BL434" i="7"/>
  <c r="BK434" i="7"/>
  <c r="BJ434" i="7"/>
  <c r="BI434" i="7"/>
  <c r="BH434" i="7"/>
  <c r="BG434" i="7"/>
  <c r="DD433" i="7"/>
  <c r="DC433" i="7"/>
  <c r="DB433" i="7"/>
  <c r="DA433" i="7"/>
  <c r="CZ433" i="7"/>
  <c r="CY433" i="7"/>
  <c r="CX433" i="7"/>
  <c r="CW433" i="7"/>
  <c r="CV433" i="7"/>
  <c r="CU433" i="7"/>
  <c r="CT433" i="7"/>
  <c r="CS433" i="7"/>
  <c r="CR433" i="7"/>
  <c r="CQ433" i="7"/>
  <c r="CP433" i="7"/>
  <c r="CO433" i="7"/>
  <c r="CN433" i="7"/>
  <c r="CM433" i="7"/>
  <c r="CL433" i="7"/>
  <c r="CK433" i="7"/>
  <c r="CJ433" i="7"/>
  <c r="CI433" i="7"/>
  <c r="CH433" i="7"/>
  <c r="CG433" i="7"/>
  <c r="CF433" i="7"/>
  <c r="CE433" i="7"/>
  <c r="CD433" i="7"/>
  <c r="CC433" i="7"/>
  <c r="CB433" i="7"/>
  <c r="CA433" i="7"/>
  <c r="BZ433" i="7"/>
  <c r="BY433" i="7"/>
  <c r="BX433" i="7"/>
  <c r="BW433" i="7"/>
  <c r="BV433" i="7"/>
  <c r="BU433" i="7"/>
  <c r="BT433" i="7"/>
  <c r="BS433" i="7"/>
  <c r="BR433" i="7"/>
  <c r="BQ433" i="7"/>
  <c r="BP433" i="7"/>
  <c r="BO433" i="7"/>
  <c r="BN433" i="7"/>
  <c r="BM433" i="7"/>
  <c r="BL433" i="7"/>
  <c r="BK433" i="7"/>
  <c r="BJ433" i="7"/>
  <c r="BI433" i="7"/>
  <c r="BH433" i="7"/>
  <c r="BG433" i="7"/>
  <c r="DD432" i="7"/>
  <c r="DC432" i="7"/>
  <c r="DB432" i="7"/>
  <c r="DA432" i="7"/>
  <c r="CZ432" i="7"/>
  <c r="CY432" i="7"/>
  <c r="CX432" i="7"/>
  <c r="CW432" i="7"/>
  <c r="CV432" i="7"/>
  <c r="CU432" i="7"/>
  <c r="CT432" i="7"/>
  <c r="CS432" i="7"/>
  <c r="CR432" i="7"/>
  <c r="CQ432" i="7"/>
  <c r="CP432" i="7"/>
  <c r="CO432" i="7"/>
  <c r="CN432" i="7"/>
  <c r="CM432" i="7"/>
  <c r="CL432" i="7"/>
  <c r="CK432" i="7"/>
  <c r="CJ432" i="7"/>
  <c r="CI432" i="7"/>
  <c r="CH432" i="7"/>
  <c r="CG432" i="7"/>
  <c r="CF432" i="7"/>
  <c r="CE432" i="7"/>
  <c r="CD432" i="7"/>
  <c r="CC432" i="7"/>
  <c r="CB432" i="7"/>
  <c r="CA432" i="7"/>
  <c r="BZ432" i="7"/>
  <c r="BY432" i="7"/>
  <c r="BX432" i="7"/>
  <c r="BW432" i="7"/>
  <c r="BV432" i="7"/>
  <c r="BU432" i="7"/>
  <c r="BT432" i="7"/>
  <c r="BS432" i="7"/>
  <c r="BR432" i="7"/>
  <c r="BQ432" i="7"/>
  <c r="BP432" i="7"/>
  <c r="BO432" i="7"/>
  <c r="BN432" i="7"/>
  <c r="BM432" i="7"/>
  <c r="BL432" i="7"/>
  <c r="BK432" i="7"/>
  <c r="BJ432" i="7"/>
  <c r="BI432" i="7"/>
  <c r="BH432" i="7"/>
  <c r="BG432" i="7"/>
  <c r="DD431" i="7"/>
  <c r="DC431" i="7"/>
  <c r="DB431" i="7"/>
  <c r="DA431" i="7"/>
  <c r="CZ431" i="7"/>
  <c r="CY431" i="7"/>
  <c r="CX431" i="7"/>
  <c r="CW431" i="7"/>
  <c r="CV431" i="7"/>
  <c r="CU431" i="7"/>
  <c r="CT431" i="7"/>
  <c r="CS431" i="7"/>
  <c r="CR431" i="7"/>
  <c r="CQ431" i="7"/>
  <c r="CP431" i="7"/>
  <c r="CO431" i="7"/>
  <c r="CN431" i="7"/>
  <c r="CM431" i="7"/>
  <c r="CL431" i="7"/>
  <c r="CK431" i="7"/>
  <c r="CJ431" i="7"/>
  <c r="CI431" i="7"/>
  <c r="CH431" i="7"/>
  <c r="CG431" i="7"/>
  <c r="CF431" i="7"/>
  <c r="CE431" i="7"/>
  <c r="CD431" i="7"/>
  <c r="CC431" i="7"/>
  <c r="CB431" i="7"/>
  <c r="CA431" i="7"/>
  <c r="BZ431" i="7"/>
  <c r="BY431" i="7"/>
  <c r="BX431" i="7"/>
  <c r="BW431" i="7"/>
  <c r="BV431" i="7"/>
  <c r="BU431" i="7"/>
  <c r="BT431" i="7"/>
  <c r="BS431" i="7"/>
  <c r="BR431" i="7"/>
  <c r="BQ431" i="7"/>
  <c r="BP431" i="7"/>
  <c r="BO431" i="7"/>
  <c r="BN431" i="7"/>
  <c r="BM431" i="7"/>
  <c r="BL431" i="7"/>
  <c r="BK431" i="7"/>
  <c r="BJ431" i="7"/>
  <c r="BI431" i="7"/>
  <c r="BH431" i="7"/>
  <c r="DD430" i="7"/>
  <c r="DC430" i="7"/>
  <c r="DB430" i="7"/>
  <c r="DA430" i="7"/>
  <c r="CZ430" i="7"/>
  <c r="CY430" i="7"/>
  <c r="CX430" i="7"/>
  <c r="CW430" i="7"/>
  <c r="CV430" i="7"/>
  <c r="CU430" i="7"/>
  <c r="CT430" i="7"/>
  <c r="CS430" i="7"/>
  <c r="CR430" i="7"/>
  <c r="CQ430" i="7"/>
  <c r="CP430" i="7"/>
  <c r="CO430" i="7"/>
  <c r="CN430" i="7"/>
  <c r="CM430" i="7"/>
  <c r="CL430" i="7"/>
  <c r="CK430" i="7"/>
  <c r="CJ430" i="7"/>
  <c r="CI430" i="7"/>
  <c r="CH430" i="7"/>
  <c r="CG430" i="7"/>
  <c r="CF430" i="7"/>
  <c r="CE430" i="7"/>
  <c r="CD430" i="7"/>
  <c r="CC430" i="7"/>
  <c r="CB430" i="7"/>
  <c r="CA430" i="7"/>
  <c r="BZ430" i="7"/>
  <c r="BY430" i="7"/>
  <c r="BX430" i="7"/>
  <c r="BW430" i="7"/>
  <c r="BV430" i="7"/>
  <c r="BU430" i="7"/>
  <c r="BT430" i="7"/>
  <c r="BS430" i="7"/>
  <c r="BR430" i="7"/>
  <c r="BQ430" i="7"/>
  <c r="BP430" i="7"/>
  <c r="BO430" i="7"/>
  <c r="BN430" i="7"/>
  <c r="BM430" i="7"/>
  <c r="BL430" i="7"/>
  <c r="BK430" i="7"/>
  <c r="BJ430" i="7"/>
  <c r="BI430" i="7"/>
  <c r="BH430" i="7"/>
  <c r="BG430" i="7"/>
  <c r="DD429" i="7"/>
  <c r="DC429" i="7"/>
  <c r="DB429" i="7"/>
  <c r="DA429" i="7"/>
  <c r="CZ429" i="7"/>
  <c r="CY429" i="7"/>
  <c r="CX429" i="7"/>
  <c r="CW429" i="7"/>
  <c r="CV429" i="7"/>
  <c r="CU429" i="7"/>
  <c r="CT429" i="7"/>
  <c r="CS429" i="7"/>
  <c r="CR429" i="7"/>
  <c r="CQ429" i="7"/>
  <c r="CP429" i="7"/>
  <c r="CO429" i="7"/>
  <c r="CN429" i="7"/>
  <c r="CM429" i="7"/>
  <c r="CL429" i="7"/>
  <c r="CK429" i="7"/>
  <c r="CJ429" i="7"/>
  <c r="CI429" i="7"/>
  <c r="CH429" i="7"/>
  <c r="CG429" i="7"/>
  <c r="CF429" i="7"/>
  <c r="CE429" i="7"/>
  <c r="CD429" i="7"/>
  <c r="CC429" i="7"/>
  <c r="CB429" i="7"/>
  <c r="CA429" i="7"/>
  <c r="BZ429" i="7"/>
  <c r="BY429" i="7"/>
  <c r="BX429" i="7"/>
  <c r="BW429" i="7"/>
  <c r="BV429" i="7"/>
  <c r="BU429" i="7"/>
  <c r="BT429" i="7"/>
  <c r="BS429" i="7"/>
  <c r="BR429" i="7"/>
  <c r="BQ429" i="7"/>
  <c r="BP429" i="7"/>
  <c r="BO429" i="7"/>
  <c r="BN429" i="7"/>
  <c r="BM429" i="7"/>
  <c r="BL429" i="7"/>
  <c r="BK429" i="7"/>
  <c r="BJ429" i="7"/>
  <c r="BI429" i="7"/>
  <c r="BH429" i="7"/>
  <c r="BG429" i="7"/>
  <c r="DD428" i="7"/>
  <c r="DC428" i="7"/>
  <c r="DB428" i="7"/>
  <c r="DA428" i="7"/>
  <c r="CZ428" i="7"/>
  <c r="CY428" i="7"/>
  <c r="CX428" i="7"/>
  <c r="CW428" i="7"/>
  <c r="CV428" i="7"/>
  <c r="CU428" i="7"/>
  <c r="CT428" i="7"/>
  <c r="CS428" i="7"/>
  <c r="CR428" i="7"/>
  <c r="CQ428" i="7"/>
  <c r="CP428" i="7"/>
  <c r="CO428" i="7"/>
  <c r="CN428" i="7"/>
  <c r="CM428" i="7"/>
  <c r="CL428" i="7"/>
  <c r="CK428" i="7"/>
  <c r="CJ428" i="7"/>
  <c r="CI428" i="7"/>
  <c r="CH428" i="7"/>
  <c r="CG428" i="7"/>
  <c r="CF428" i="7"/>
  <c r="CE428" i="7"/>
  <c r="CD428" i="7"/>
  <c r="CC428" i="7"/>
  <c r="CB428" i="7"/>
  <c r="CA428" i="7"/>
  <c r="BZ428" i="7"/>
  <c r="BY428" i="7"/>
  <c r="BX428" i="7"/>
  <c r="BW428" i="7"/>
  <c r="BV428" i="7"/>
  <c r="BU428" i="7"/>
  <c r="BT428" i="7"/>
  <c r="BS428" i="7"/>
  <c r="BR428" i="7"/>
  <c r="BQ428" i="7"/>
  <c r="BP428" i="7"/>
  <c r="BO428" i="7"/>
  <c r="BN428" i="7"/>
  <c r="BM428" i="7"/>
  <c r="BL428" i="7"/>
  <c r="BK428" i="7"/>
  <c r="BJ428" i="7"/>
  <c r="BH428" i="7"/>
  <c r="BG428" i="7"/>
  <c r="DD427" i="7"/>
  <c r="DC427" i="7"/>
  <c r="DB427" i="7"/>
  <c r="DA427" i="7"/>
  <c r="CZ427" i="7"/>
  <c r="CY427" i="7"/>
  <c r="CX427" i="7"/>
  <c r="CW427" i="7"/>
  <c r="CV427" i="7"/>
  <c r="CU427" i="7"/>
  <c r="CT427" i="7"/>
  <c r="CS427" i="7"/>
  <c r="CR427" i="7"/>
  <c r="CQ427" i="7"/>
  <c r="CP427" i="7"/>
  <c r="CO427" i="7"/>
  <c r="CN427" i="7"/>
  <c r="CM427" i="7"/>
  <c r="CL427" i="7"/>
  <c r="CK427" i="7"/>
  <c r="CJ427" i="7"/>
  <c r="CI427" i="7"/>
  <c r="CH427" i="7"/>
  <c r="CG427" i="7"/>
  <c r="CF427" i="7"/>
  <c r="CE427" i="7"/>
  <c r="CD427" i="7"/>
  <c r="CC427" i="7"/>
  <c r="CB427" i="7"/>
  <c r="CA427" i="7"/>
  <c r="BZ427" i="7"/>
  <c r="BY427" i="7"/>
  <c r="BX427" i="7"/>
  <c r="BW427" i="7"/>
  <c r="BV427" i="7"/>
  <c r="BU427" i="7"/>
  <c r="BT427" i="7"/>
  <c r="BS427" i="7"/>
  <c r="BR427" i="7"/>
  <c r="BQ427" i="7"/>
  <c r="BP427" i="7"/>
  <c r="BO427" i="7"/>
  <c r="BN427" i="7"/>
  <c r="BM427" i="7"/>
  <c r="BL427" i="7"/>
  <c r="BK427" i="7"/>
  <c r="BJ427" i="7"/>
  <c r="BH427" i="7"/>
  <c r="BG427" i="7"/>
  <c r="DD426" i="7"/>
  <c r="DC426" i="7"/>
  <c r="DB426" i="7"/>
  <c r="DA426" i="7"/>
  <c r="CZ426" i="7"/>
  <c r="CY426" i="7"/>
  <c r="CX426" i="7"/>
  <c r="CW426" i="7"/>
  <c r="CV426" i="7"/>
  <c r="CU426" i="7"/>
  <c r="CT426" i="7"/>
  <c r="CS426" i="7"/>
  <c r="CR426" i="7"/>
  <c r="CQ426" i="7"/>
  <c r="CP426" i="7"/>
  <c r="CO426" i="7"/>
  <c r="CN426" i="7"/>
  <c r="CM426" i="7"/>
  <c r="CL426" i="7"/>
  <c r="CK426" i="7"/>
  <c r="CJ426" i="7"/>
  <c r="CI426" i="7"/>
  <c r="CH426" i="7"/>
  <c r="CG426" i="7"/>
  <c r="CF426" i="7"/>
  <c r="CE426" i="7"/>
  <c r="CD426" i="7"/>
  <c r="CC426" i="7"/>
  <c r="CB426" i="7"/>
  <c r="CA426" i="7"/>
  <c r="BZ426" i="7"/>
  <c r="BY426" i="7"/>
  <c r="BX426" i="7"/>
  <c r="BW426" i="7"/>
  <c r="BV426" i="7"/>
  <c r="BU426" i="7"/>
  <c r="BT426" i="7"/>
  <c r="BS426" i="7"/>
  <c r="BR426" i="7"/>
  <c r="BQ426" i="7"/>
  <c r="BP426" i="7"/>
  <c r="BO426" i="7"/>
  <c r="BN426" i="7"/>
  <c r="BM426" i="7"/>
  <c r="BL426" i="7"/>
  <c r="BK426" i="7"/>
  <c r="BJ426" i="7"/>
  <c r="BG426" i="7"/>
  <c r="DD425" i="7"/>
  <c r="DC425" i="7"/>
  <c r="DB425" i="7"/>
  <c r="DA425" i="7"/>
  <c r="CZ425" i="7"/>
  <c r="CY425" i="7"/>
  <c r="CX425" i="7"/>
  <c r="CW425" i="7"/>
  <c r="CV425" i="7"/>
  <c r="CU425" i="7"/>
  <c r="CT425" i="7"/>
  <c r="CS425" i="7"/>
  <c r="CR425" i="7"/>
  <c r="CQ425" i="7"/>
  <c r="CP425" i="7"/>
  <c r="CO425" i="7"/>
  <c r="CN425" i="7"/>
  <c r="CM425" i="7"/>
  <c r="CL425" i="7"/>
  <c r="CK425" i="7"/>
  <c r="CJ425" i="7"/>
  <c r="CI425" i="7"/>
  <c r="CH425" i="7"/>
  <c r="CG425" i="7"/>
  <c r="CF425" i="7"/>
  <c r="CE425" i="7"/>
  <c r="CD425" i="7"/>
  <c r="CC425" i="7"/>
  <c r="CB425" i="7"/>
  <c r="CA425" i="7"/>
  <c r="BZ425" i="7"/>
  <c r="BY425" i="7"/>
  <c r="BX425" i="7"/>
  <c r="BW425" i="7"/>
  <c r="BV425" i="7"/>
  <c r="BU425" i="7"/>
  <c r="BT425" i="7"/>
  <c r="BS425" i="7"/>
  <c r="BR425" i="7"/>
  <c r="BQ425" i="7"/>
  <c r="BP425" i="7"/>
  <c r="BO425" i="7"/>
  <c r="BN425" i="7"/>
  <c r="BM425" i="7"/>
  <c r="BL425" i="7"/>
  <c r="BK425" i="7"/>
  <c r="BJ425" i="7"/>
  <c r="BI425" i="7"/>
  <c r="DD424" i="7"/>
  <c r="DC424" i="7"/>
  <c r="DB424" i="7"/>
  <c r="DA424" i="7"/>
  <c r="CZ424" i="7"/>
  <c r="CY424" i="7"/>
  <c r="CX424" i="7"/>
  <c r="CW424" i="7"/>
  <c r="CV424" i="7"/>
  <c r="CU424" i="7"/>
  <c r="CT424" i="7"/>
  <c r="CS424" i="7"/>
  <c r="CR424" i="7"/>
  <c r="CQ424" i="7"/>
  <c r="CP424" i="7"/>
  <c r="CO424" i="7"/>
  <c r="CN424" i="7"/>
  <c r="CM424" i="7"/>
  <c r="CL424" i="7"/>
  <c r="CK424" i="7"/>
  <c r="CJ424" i="7"/>
  <c r="CI424" i="7"/>
  <c r="CH424" i="7"/>
  <c r="CG424" i="7"/>
  <c r="CF424" i="7"/>
  <c r="CE424" i="7"/>
  <c r="CD424" i="7"/>
  <c r="CC424" i="7"/>
  <c r="CB424" i="7"/>
  <c r="CA424" i="7"/>
  <c r="BZ424" i="7"/>
  <c r="BY424" i="7"/>
  <c r="BX424" i="7"/>
  <c r="BW424" i="7"/>
  <c r="BV424" i="7"/>
  <c r="BU424" i="7"/>
  <c r="BT424" i="7"/>
  <c r="BS424" i="7"/>
  <c r="BR424" i="7"/>
  <c r="BQ424" i="7"/>
  <c r="BP424" i="7"/>
  <c r="BO424" i="7"/>
  <c r="BN424" i="7"/>
  <c r="BM424" i="7"/>
  <c r="BL424" i="7"/>
  <c r="BK424" i="7"/>
  <c r="BJ424" i="7"/>
  <c r="DD423" i="7"/>
  <c r="DC423" i="7"/>
  <c r="DB423" i="7"/>
  <c r="DA423" i="7"/>
  <c r="CZ423" i="7"/>
  <c r="CY423" i="7"/>
  <c r="CX423" i="7"/>
  <c r="CW423" i="7"/>
  <c r="CV423" i="7"/>
  <c r="CU423" i="7"/>
  <c r="CT423" i="7"/>
  <c r="CS423" i="7"/>
  <c r="CR423" i="7"/>
  <c r="CQ423" i="7"/>
  <c r="CP423" i="7"/>
  <c r="CO423" i="7"/>
  <c r="CN423" i="7"/>
  <c r="CM423" i="7"/>
  <c r="CL423" i="7"/>
  <c r="CK423" i="7"/>
  <c r="CJ423" i="7"/>
  <c r="CI423" i="7"/>
  <c r="CH423" i="7"/>
  <c r="CG423" i="7"/>
  <c r="CF423" i="7"/>
  <c r="CE423" i="7"/>
  <c r="CD423" i="7"/>
  <c r="CC423" i="7"/>
  <c r="CB423" i="7"/>
  <c r="CA423" i="7"/>
  <c r="BZ423" i="7"/>
  <c r="BY423" i="7"/>
  <c r="BX423" i="7"/>
  <c r="BW423" i="7"/>
  <c r="BV423" i="7"/>
  <c r="BU423" i="7"/>
  <c r="BT423" i="7"/>
  <c r="BS423" i="7"/>
  <c r="BR423" i="7"/>
  <c r="BQ423" i="7"/>
  <c r="BP423" i="7"/>
  <c r="BO423" i="7"/>
  <c r="BN423" i="7"/>
  <c r="BM423" i="7"/>
  <c r="BL423" i="7"/>
  <c r="BK423" i="7"/>
  <c r="BJ423" i="7"/>
  <c r="DD422" i="7"/>
  <c r="DC422" i="7"/>
  <c r="DB422" i="7"/>
  <c r="DA422" i="7"/>
  <c r="CZ422" i="7"/>
  <c r="CY422" i="7"/>
  <c r="CX422" i="7"/>
  <c r="CW422" i="7"/>
  <c r="CV422" i="7"/>
  <c r="CU422" i="7"/>
  <c r="CT422" i="7"/>
  <c r="CS422" i="7"/>
  <c r="CR422" i="7"/>
  <c r="CQ422" i="7"/>
  <c r="CP422" i="7"/>
  <c r="CO422" i="7"/>
  <c r="CN422" i="7"/>
  <c r="CM422" i="7"/>
  <c r="CL422" i="7"/>
  <c r="CK422" i="7"/>
  <c r="CJ422" i="7"/>
  <c r="CI422" i="7"/>
  <c r="CH422" i="7"/>
  <c r="CG422" i="7"/>
  <c r="CF422" i="7"/>
  <c r="CE422" i="7"/>
  <c r="CD422" i="7"/>
  <c r="CC422" i="7"/>
  <c r="CB422" i="7"/>
  <c r="CA422" i="7"/>
  <c r="BZ422" i="7"/>
  <c r="BY422" i="7"/>
  <c r="BX422" i="7"/>
  <c r="BW422" i="7"/>
  <c r="BV422" i="7"/>
  <c r="BU422" i="7"/>
  <c r="BT422" i="7"/>
  <c r="BS422" i="7"/>
  <c r="BR422" i="7"/>
  <c r="BQ422" i="7"/>
  <c r="BP422" i="7"/>
  <c r="BO422" i="7"/>
  <c r="BN422" i="7"/>
  <c r="BM422" i="7"/>
  <c r="BL422" i="7"/>
  <c r="BK422" i="7"/>
  <c r="BJ422" i="7"/>
  <c r="BI422" i="7"/>
  <c r="BH422" i="7"/>
  <c r="BG422" i="7"/>
  <c r="DD421" i="7"/>
  <c r="DC421" i="7"/>
  <c r="DB421" i="7"/>
  <c r="DA421" i="7"/>
  <c r="CZ421" i="7"/>
  <c r="CY421" i="7"/>
  <c r="CX421" i="7"/>
  <c r="CW421" i="7"/>
  <c r="CV421" i="7"/>
  <c r="CU421" i="7"/>
  <c r="CT421" i="7"/>
  <c r="CS421" i="7"/>
  <c r="CR421" i="7"/>
  <c r="CQ421" i="7"/>
  <c r="CP421" i="7"/>
  <c r="CO421" i="7"/>
  <c r="CN421" i="7"/>
  <c r="CM421" i="7"/>
  <c r="CL421" i="7"/>
  <c r="CK421" i="7"/>
  <c r="CJ421" i="7"/>
  <c r="CI421" i="7"/>
  <c r="CH421" i="7"/>
  <c r="CG421" i="7"/>
  <c r="CF421" i="7"/>
  <c r="CE421" i="7"/>
  <c r="CD421" i="7"/>
  <c r="CC421" i="7"/>
  <c r="CB421" i="7"/>
  <c r="CA421" i="7"/>
  <c r="BZ421" i="7"/>
  <c r="BY421" i="7"/>
  <c r="BX421" i="7"/>
  <c r="BW421" i="7"/>
  <c r="BV421" i="7"/>
  <c r="BU421" i="7"/>
  <c r="BT421" i="7"/>
  <c r="BS421" i="7"/>
  <c r="BR421" i="7"/>
  <c r="BQ421" i="7"/>
  <c r="BP421" i="7"/>
  <c r="BO421" i="7"/>
  <c r="BN421" i="7"/>
  <c r="BM421" i="7"/>
  <c r="BL421" i="7"/>
  <c r="BK421" i="7"/>
  <c r="BJ421" i="7"/>
  <c r="BI421" i="7"/>
  <c r="BH421" i="7"/>
  <c r="BG421" i="7"/>
  <c r="DD420" i="7"/>
  <c r="DC420" i="7"/>
  <c r="DB420" i="7"/>
  <c r="DA420" i="7"/>
  <c r="CZ420" i="7"/>
  <c r="CY420" i="7"/>
  <c r="CX420" i="7"/>
  <c r="CW420" i="7"/>
  <c r="CV420" i="7"/>
  <c r="CU420" i="7"/>
  <c r="CT420" i="7"/>
  <c r="CS420" i="7"/>
  <c r="CR420" i="7"/>
  <c r="CQ420" i="7"/>
  <c r="CP420" i="7"/>
  <c r="CO420" i="7"/>
  <c r="CN420" i="7"/>
  <c r="CM420" i="7"/>
  <c r="CL420" i="7"/>
  <c r="CK420" i="7"/>
  <c r="CJ420" i="7"/>
  <c r="CI420" i="7"/>
  <c r="CH420" i="7"/>
  <c r="CG420" i="7"/>
  <c r="CF420" i="7"/>
  <c r="CE420" i="7"/>
  <c r="CD420" i="7"/>
  <c r="CC420" i="7"/>
  <c r="CB420" i="7"/>
  <c r="CA420" i="7"/>
  <c r="BZ420" i="7"/>
  <c r="BY420" i="7"/>
  <c r="BX420" i="7"/>
  <c r="BW420" i="7"/>
  <c r="BV420" i="7"/>
  <c r="BU420" i="7"/>
  <c r="BT420" i="7"/>
  <c r="BS420" i="7"/>
  <c r="BR420" i="7"/>
  <c r="BQ420" i="7"/>
  <c r="BP420" i="7"/>
  <c r="BO420" i="7"/>
  <c r="BN420" i="7"/>
  <c r="BM420" i="7"/>
  <c r="BL420" i="7"/>
  <c r="BK420" i="7"/>
  <c r="BJ420" i="7"/>
  <c r="BI420" i="7"/>
  <c r="BH420" i="7"/>
  <c r="BG420" i="7"/>
  <c r="DD419" i="7"/>
  <c r="DC419" i="7"/>
  <c r="DB419" i="7"/>
  <c r="DA419" i="7"/>
  <c r="CZ419" i="7"/>
  <c r="CY419" i="7"/>
  <c r="CX419" i="7"/>
  <c r="CW419" i="7"/>
  <c r="CV419" i="7"/>
  <c r="CU419" i="7"/>
  <c r="CT419" i="7"/>
  <c r="CS419" i="7"/>
  <c r="CR419" i="7"/>
  <c r="CQ419" i="7"/>
  <c r="CP419" i="7"/>
  <c r="CO419" i="7"/>
  <c r="CN419" i="7"/>
  <c r="CM419" i="7"/>
  <c r="CL419" i="7"/>
  <c r="CK419" i="7"/>
  <c r="CJ419" i="7"/>
  <c r="CI419" i="7"/>
  <c r="CH419" i="7"/>
  <c r="CG419" i="7"/>
  <c r="CF419" i="7"/>
  <c r="CE419" i="7"/>
  <c r="CD419" i="7"/>
  <c r="CC419" i="7"/>
  <c r="CB419" i="7"/>
  <c r="CA419" i="7"/>
  <c r="BZ419" i="7"/>
  <c r="BY419" i="7"/>
  <c r="BX419" i="7"/>
  <c r="BW419" i="7"/>
  <c r="BV419" i="7"/>
  <c r="BU419" i="7"/>
  <c r="BT419" i="7"/>
  <c r="BS419" i="7"/>
  <c r="BR419" i="7"/>
  <c r="BQ419" i="7"/>
  <c r="BP419" i="7"/>
  <c r="BO419" i="7"/>
  <c r="BN419" i="7"/>
  <c r="BM419" i="7"/>
  <c r="BL419" i="7"/>
  <c r="BK419" i="7"/>
  <c r="BJ419" i="7"/>
  <c r="BI419" i="7"/>
  <c r="BH419" i="7"/>
  <c r="BG419" i="7"/>
  <c r="DD418" i="7"/>
  <c r="DC418" i="7"/>
  <c r="DB418" i="7"/>
  <c r="DA418" i="7"/>
  <c r="CZ418" i="7"/>
  <c r="CY418" i="7"/>
  <c r="CX418" i="7"/>
  <c r="CW418" i="7"/>
  <c r="CV418" i="7"/>
  <c r="CU418" i="7"/>
  <c r="CT418" i="7"/>
  <c r="CS418" i="7"/>
  <c r="CR418" i="7"/>
  <c r="CQ418" i="7"/>
  <c r="CP418" i="7"/>
  <c r="CO418" i="7"/>
  <c r="CN418" i="7"/>
  <c r="CM418" i="7"/>
  <c r="CL418" i="7"/>
  <c r="CK418" i="7"/>
  <c r="CJ418" i="7"/>
  <c r="CI418" i="7"/>
  <c r="CH418" i="7"/>
  <c r="CG418" i="7"/>
  <c r="CF418" i="7"/>
  <c r="CE418" i="7"/>
  <c r="CD418" i="7"/>
  <c r="CC418" i="7"/>
  <c r="CB418" i="7"/>
  <c r="CA418" i="7"/>
  <c r="BZ418" i="7"/>
  <c r="BY418" i="7"/>
  <c r="BX418" i="7"/>
  <c r="BW418" i="7"/>
  <c r="BV418" i="7"/>
  <c r="BU418" i="7"/>
  <c r="BT418" i="7"/>
  <c r="BS418" i="7"/>
  <c r="BR418" i="7"/>
  <c r="BQ418" i="7"/>
  <c r="BP418" i="7"/>
  <c r="BO418" i="7"/>
  <c r="BN418" i="7"/>
  <c r="BM418" i="7"/>
  <c r="BL418" i="7"/>
  <c r="BK418" i="7"/>
  <c r="BJ418" i="7"/>
  <c r="BI418" i="7"/>
  <c r="BH418" i="7"/>
  <c r="BG418" i="7"/>
  <c r="DD417" i="7"/>
  <c r="DC417" i="7"/>
  <c r="DB417" i="7"/>
  <c r="DA417" i="7"/>
  <c r="CZ417" i="7"/>
  <c r="CY417" i="7"/>
  <c r="CX417" i="7"/>
  <c r="CW417" i="7"/>
  <c r="CV417" i="7"/>
  <c r="CU417" i="7"/>
  <c r="CT417" i="7"/>
  <c r="CS417" i="7"/>
  <c r="CR417" i="7"/>
  <c r="CQ417" i="7"/>
  <c r="CP417" i="7"/>
  <c r="CO417" i="7"/>
  <c r="CN417" i="7"/>
  <c r="CM417" i="7"/>
  <c r="CL417" i="7"/>
  <c r="CK417" i="7"/>
  <c r="CJ417" i="7"/>
  <c r="CI417" i="7"/>
  <c r="CH417" i="7"/>
  <c r="CG417" i="7"/>
  <c r="CF417" i="7"/>
  <c r="CE417" i="7"/>
  <c r="CD417" i="7"/>
  <c r="CC417" i="7"/>
  <c r="CB417" i="7"/>
  <c r="CA417" i="7"/>
  <c r="BZ417" i="7"/>
  <c r="BY417" i="7"/>
  <c r="BX417" i="7"/>
  <c r="BW417" i="7"/>
  <c r="BV417" i="7"/>
  <c r="BU417" i="7"/>
  <c r="BT417" i="7"/>
  <c r="BS417" i="7"/>
  <c r="BR417" i="7"/>
  <c r="BQ417" i="7"/>
  <c r="BP417" i="7"/>
  <c r="BO417" i="7"/>
  <c r="BN417" i="7"/>
  <c r="BM417" i="7"/>
  <c r="BL417" i="7"/>
  <c r="BK417" i="7"/>
  <c r="BJ417" i="7"/>
  <c r="BI417" i="7"/>
  <c r="BH417" i="7"/>
  <c r="BG417" i="7"/>
  <c r="DD416" i="7"/>
  <c r="DC416" i="7"/>
  <c r="DB416" i="7"/>
  <c r="DA416" i="7"/>
  <c r="CZ416" i="7"/>
  <c r="CY416" i="7"/>
  <c r="CX416" i="7"/>
  <c r="CW416" i="7"/>
  <c r="CV416" i="7"/>
  <c r="CU416" i="7"/>
  <c r="CT416" i="7"/>
  <c r="CS416" i="7"/>
  <c r="CR416" i="7"/>
  <c r="CQ416" i="7"/>
  <c r="CP416" i="7"/>
  <c r="CO416" i="7"/>
  <c r="CN416" i="7"/>
  <c r="CM416" i="7"/>
  <c r="CL416" i="7"/>
  <c r="CK416" i="7"/>
  <c r="CJ416" i="7"/>
  <c r="CI416" i="7"/>
  <c r="CH416" i="7"/>
  <c r="CG416" i="7"/>
  <c r="CF416" i="7"/>
  <c r="CE416" i="7"/>
  <c r="CD416" i="7"/>
  <c r="CC416" i="7"/>
  <c r="CB416" i="7"/>
  <c r="CA416" i="7"/>
  <c r="BZ416" i="7"/>
  <c r="BY416" i="7"/>
  <c r="BX416" i="7"/>
  <c r="BW416" i="7"/>
  <c r="BV416" i="7"/>
  <c r="BU416" i="7"/>
  <c r="BT416" i="7"/>
  <c r="BS416" i="7"/>
  <c r="BR416" i="7"/>
  <c r="BQ416" i="7"/>
  <c r="BP416" i="7"/>
  <c r="BO416" i="7"/>
  <c r="BN416" i="7"/>
  <c r="BM416" i="7"/>
  <c r="BL416" i="7"/>
  <c r="BK416" i="7"/>
  <c r="BJ416" i="7"/>
  <c r="BI416" i="7"/>
  <c r="BH416" i="7"/>
  <c r="BG416" i="7"/>
  <c r="DD415" i="7"/>
  <c r="DC415" i="7"/>
  <c r="DB415" i="7"/>
  <c r="DA415" i="7"/>
  <c r="CZ415" i="7"/>
  <c r="CY415" i="7"/>
  <c r="CX415" i="7"/>
  <c r="CW415" i="7"/>
  <c r="CV415" i="7"/>
  <c r="CU415" i="7"/>
  <c r="CT415" i="7"/>
  <c r="CS415" i="7"/>
  <c r="CR415" i="7"/>
  <c r="CQ415" i="7"/>
  <c r="CP415" i="7"/>
  <c r="CO415" i="7"/>
  <c r="CN415" i="7"/>
  <c r="CM415" i="7"/>
  <c r="CL415" i="7"/>
  <c r="CK415" i="7"/>
  <c r="CJ415" i="7"/>
  <c r="CI415" i="7"/>
  <c r="CH415" i="7"/>
  <c r="CG415" i="7"/>
  <c r="CF415" i="7"/>
  <c r="CE415" i="7"/>
  <c r="CD415" i="7"/>
  <c r="CC415" i="7"/>
  <c r="CB415" i="7"/>
  <c r="CA415" i="7"/>
  <c r="BZ415" i="7"/>
  <c r="BY415" i="7"/>
  <c r="BX415" i="7"/>
  <c r="BW415" i="7"/>
  <c r="BV415" i="7"/>
  <c r="BU415" i="7"/>
  <c r="BT415" i="7"/>
  <c r="BS415" i="7"/>
  <c r="BR415" i="7"/>
  <c r="BQ415" i="7"/>
  <c r="BP415" i="7"/>
  <c r="BO415" i="7"/>
  <c r="BN415" i="7"/>
  <c r="BM415" i="7"/>
  <c r="BL415" i="7"/>
  <c r="BK415" i="7"/>
  <c r="BJ415" i="7"/>
  <c r="BI415" i="7"/>
  <c r="BH415" i="7"/>
  <c r="BG415" i="7"/>
  <c r="DD414" i="7"/>
  <c r="DC414" i="7"/>
  <c r="DB414" i="7"/>
  <c r="DA414" i="7"/>
  <c r="CZ414" i="7"/>
  <c r="CY414" i="7"/>
  <c r="CX414" i="7"/>
  <c r="CW414" i="7"/>
  <c r="CV414" i="7"/>
  <c r="CU414" i="7"/>
  <c r="CT414" i="7"/>
  <c r="CS414" i="7"/>
  <c r="CR414" i="7"/>
  <c r="CQ414" i="7"/>
  <c r="CP414" i="7"/>
  <c r="CO414" i="7"/>
  <c r="CN414" i="7"/>
  <c r="CM414" i="7"/>
  <c r="CL414" i="7"/>
  <c r="CK414" i="7"/>
  <c r="CJ414" i="7"/>
  <c r="CI414" i="7"/>
  <c r="CH414" i="7"/>
  <c r="CG414" i="7"/>
  <c r="CF414" i="7"/>
  <c r="CE414" i="7"/>
  <c r="CD414" i="7"/>
  <c r="CC414" i="7"/>
  <c r="CB414" i="7"/>
  <c r="CA414" i="7"/>
  <c r="BZ414" i="7"/>
  <c r="BY414" i="7"/>
  <c r="BX414" i="7"/>
  <c r="BW414" i="7"/>
  <c r="BV414" i="7"/>
  <c r="BU414" i="7"/>
  <c r="BT414" i="7"/>
  <c r="BS414" i="7"/>
  <c r="BR414" i="7"/>
  <c r="BQ414" i="7"/>
  <c r="BP414" i="7"/>
  <c r="BO414" i="7"/>
  <c r="BN414" i="7"/>
  <c r="BM414" i="7"/>
  <c r="BL414" i="7"/>
  <c r="BK414" i="7"/>
  <c r="BJ414" i="7"/>
  <c r="BI414" i="7"/>
  <c r="BH414" i="7"/>
  <c r="BG414" i="7"/>
  <c r="DD413" i="7"/>
  <c r="DC413" i="7"/>
  <c r="DB413" i="7"/>
  <c r="DA413" i="7"/>
  <c r="CZ413" i="7"/>
  <c r="CY413" i="7"/>
  <c r="CX413" i="7"/>
  <c r="CW413" i="7"/>
  <c r="CV413" i="7"/>
  <c r="CU413" i="7"/>
  <c r="CT413" i="7"/>
  <c r="CS413" i="7"/>
  <c r="CR413" i="7"/>
  <c r="CQ413" i="7"/>
  <c r="CP413" i="7"/>
  <c r="CO413" i="7"/>
  <c r="CN413" i="7"/>
  <c r="CM413" i="7"/>
  <c r="CL413" i="7"/>
  <c r="CK413" i="7"/>
  <c r="CJ413" i="7"/>
  <c r="CI413" i="7"/>
  <c r="CH413" i="7"/>
  <c r="CG413" i="7"/>
  <c r="CF413" i="7"/>
  <c r="CE413" i="7"/>
  <c r="CD413" i="7"/>
  <c r="CC413" i="7"/>
  <c r="CB413" i="7"/>
  <c r="CA413" i="7"/>
  <c r="BZ413" i="7"/>
  <c r="BY413" i="7"/>
  <c r="BX413" i="7"/>
  <c r="BW413" i="7"/>
  <c r="BV413" i="7"/>
  <c r="BU413" i="7"/>
  <c r="BT413" i="7"/>
  <c r="BS413" i="7"/>
  <c r="BR413" i="7"/>
  <c r="BQ413" i="7"/>
  <c r="BP413" i="7"/>
  <c r="BO413" i="7"/>
  <c r="BN413" i="7"/>
  <c r="BM413" i="7"/>
  <c r="BL413" i="7"/>
  <c r="BK413" i="7"/>
  <c r="BJ413" i="7"/>
  <c r="BI413" i="7"/>
  <c r="BH413" i="7"/>
  <c r="BG413" i="7"/>
  <c r="DD412" i="7"/>
  <c r="DC412" i="7"/>
  <c r="DB412" i="7"/>
  <c r="DA412" i="7"/>
  <c r="CZ412" i="7"/>
  <c r="CY412" i="7"/>
  <c r="CX412" i="7"/>
  <c r="CW412" i="7"/>
  <c r="CV412" i="7"/>
  <c r="CU412" i="7"/>
  <c r="CT412" i="7"/>
  <c r="CS412" i="7"/>
  <c r="CR412" i="7"/>
  <c r="CQ412" i="7"/>
  <c r="CP412" i="7"/>
  <c r="CO412" i="7"/>
  <c r="CN412" i="7"/>
  <c r="CM412" i="7"/>
  <c r="CL412" i="7"/>
  <c r="CK412" i="7"/>
  <c r="CJ412" i="7"/>
  <c r="CI412" i="7"/>
  <c r="CH412" i="7"/>
  <c r="CG412" i="7"/>
  <c r="CF412" i="7"/>
  <c r="CE412" i="7"/>
  <c r="CD412" i="7"/>
  <c r="CC412" i="7"/>
  <c r="CB412" i="7"/>
  <c r="CA412" i="7"/>
  <c r="BZ412" i="7"/>
  <c r="BY412" i="7"/>
  <c r="BX412" i="7"/>
  <c r="BW412" i="7"/>
  <c r="BV412" i="7"/>
  <c r="BU412" i="7"/>
  <c r="BT412" i="7"/>
  <c r="BS412" i="7"/>
  <c r="BR412" i="7"/>
  <c r="BQ412" i="7"/>
  <c r="BP412" i="7"/>
  <c r="BO412" i="7"/>
  <c r="BN412" i="7"/>
  <c r="BM412" i="7"/>
  <c r="BL412" i="7"/>
  <c r="BK412" i="7"/>
  <c r="BJ412" i="7"/>
  <c r="BI412" i="7"/>
  <c r="BH412" i="7"/>
  <c r="BG412" i="7"/>
  <c r="DD411" i="7"/>
  <c r="DC411" i="7"/>
  <c r="DB411" i="7"/>
  <c r="DA411" i="7"/>
  <c r="CZ411" i="7"/>
  <c r="CY411" i="7"/>
  <c r="CX411" i="7"/>
  <c r="CW411" i="7"/>
  <c r="CV411" i="7"/>
  <c r="CU411" i="7"/>
  <c r="CT411" i="7"/>
  <c r="CS411" i="7"/>
  <c r="CR411" i="7"/>
  <c r="CQ411" i="7"/>
  <c r="CP411" i="7"/>
  <c r="CO411" i="7"/>
  <c r="CN411" i="7"/>
  <c r="CM411" i="7"/>
  <c r="CL411" i="7"/>
  <c r="CK411" i="7"/>
  <c r="CJ411" i="7"/>
  <c r="CI411" i="7"/>
  <c r="CH411" i="7"/>
  <c r="CG411" i="7"/>
  <c r="CF411" i="7"/>
  <c r="CE411" i="7"/>
  <c r="CD411" i="7"/>
  <c r="CC411" i="7"/>
  <c r="CB411" i="7"/>
  <c r="CA411" i="7"/>
  <c r="BZ411" i="7"/>
  <c r="BY411" i="7"/>
  <c r="BX411" i="7"/>
  <c r="BW411" i="7"/>
  <c r="BV411" i="7"/>
  <c r="BU411" i="7"/>
  <c r="BT411" i="7"/>
  <c r="BS411" i="7"/>
  <c r="BR411" i="7"/>
  <c r="BQ411" i="7"/>
  <c r="BP411" i="7"/>
  <c r="BO411" i="7"/>
  <c r="BN411" i="7"/>
  <c r="BM411" i="7"/>
  <c r="BL411" i="7"/>
  <c r="BK411" i="7"/>
  <c r="BJ411" i="7"/>
  <c r="DD410" i="7"/>
  <c r="DC410" i="7"/>
  <c r="DB410" i="7"/>
  <c r="DA410" i="7"/>
  <c r="CZ410" i="7"/>
  <c r="CY410" i="7"/>
  <c r="CX410" i="7"/>
  <c r="CW410" i="7"/>
  <c r="CV410" i="7"/>
  <c r="CU410" i="7"/>
  <c r="CT410" i="7"/>
  <c r="CS410" i="7"/>
  <c r="CR410" i="7"/>
  <c r="CQ410" i="7"/>
  <c r="CP410" i="7"/>
  <c r="CO410" i="7"/>
  <c r="CN410" i="7"/>
  <c r="CM410" i="7"/>
  <c r="CL410" i="7"/>
  <c r="CK410" i="7"/>
  <c r="CJ410" i="7"/>
  <c r="CI410" i="7"/>
  <c r="CH410" i="7"/>
  <c r="CG410" i="7"/>
  <c r="CF410" i="7"/>
  <c r="CE410" i="7"/>
  <c r="CD410" i="7"/>
  <c r="CC410" i="7"/>
  <c r="CB410" i="7"/>
  <c r="CA410" i="7"/>
  <c r="BZ410" i="7"/>
  <c r="BY410" i="7"/>
  <c r="BX410" i="7"/>
  <c r="BW410" i="7"/>
  <c r="BV410" i="7"/>
  <c r="BU410" i="7"/>
  <c r="BT410" i="7"/>
  <c r="BS410" i="7"/>
  <c r="BR410" i="7"/>
  <c r="BQ410" i="7"/>
  <c r="BP410" i="7"/>
  <c r="BO410" i="7"/>
  <c r="BN410" i="7"/>
  <c r="BM410" i="7"/>
  <c r="BL410" i="7"/>
  <c r="BK410" i="7"/>
  <c r="BJ410" i="7"/>
  <c r="BI410" i="7"/>
  <c r="BH410" i="7"/>
  <c r="BG410" i="7"/>
  <c r="DD409" i="7"/>
  <c r="DC409" i="7"/>
  <c r="DB409" i="7"/>
  <c r="DA409" i="7"/>
  <c r="CZ409" i="7"/>
  <c r="CY409" i="7"/>
  <c r="CX409" i="7"/>
  <c r="CW409" i="7"/>
  <c r="CV409" i="7"/>
  <c r="CU409" i="7"/>
  <c r="CT409" i="7"/>
  <c r="CS409" i="7"/>
  <c r="CR409" i="7"/>
  <c r="CQ409" i="7"/>
  <c r="CP409" i="7"/>
  <c r="CO409" i="7"/>
  <c r="CN409" i="7"/>
  <c r="CM409" i="7"/>
  <c r="CL409" i="7"/>
  <c r="CK409" i="7"/>
  <c r="CJ409" i="7"/>
  <c r="CI409" i="7"/>
  <c r="CH409" i="7"/>
  <c r="CG409" i="7"/>
  <c r="CF409" i="7"/>
  <c r="CE409" i="7"/>
  <c r="CD409" i="7"/>
  <c r="CC409" i="7"/>
  <c r="CB409" i="7"/>
  <c r="CA409" i="7"/>
  <c r="BZ409" i="7"/>
  <c r="BY409" i="7"/>
  <c r="BX409" i="7"/>
  <c r="BW409" i="7"/>
  <c r="BV409" i="7"/>
  <c r="BT409" i="7"/>
  <c r="BQ409" i="7"/>
  <c r="BP409" i="7"/>
  <c r="BO409" i="7"/>
  <c r="BN409" i="7"/>
  <c r="BM409" i="7"/>
  <c r="BL409" i="7"/>
  <c r="BK409" i="7"/>
  <c r="BJ409" i="7"/>
  <c r="BI409" i="7"/>
  <c r="BH409" i="7"/>
  <c r="BG409" i="7"/>
  <c r="BR409" i="7"/>
  <c r="DD408" i="7"/>
  <c r="DC408" i="7"/>
  <c r="DB408" i="7"/>
  <c r="DA408" i="7"/>
  <c r="CZ408" i="7"/>
  <c r="CY408" i="7"/>
  <c r="CX408" i="7"/>
  <c r="CW408" i="7"/>
  <c r="CV408" i="7"/>
  <c r="CU408" i="7"/>
  <c r="CT408" i="7"/>
  <c r="CS408" i="7"/>
  <c r="CR408" i="7"/>
  <c r="CQ408" i="7"/>
  <c r="CP408" i="7"/>
  <c r="CO408" i="7"/>
  <c r="CN408" i="7"/>
  <c r="CM408" i="7"/>
  <c r="CL408" i="7"/>
  <c r="CK408" i="7"/>
  <c r="CJ408" i="7"/>
  <c r="CI408" i="7"/>
  <c r="CH408" i="7"/>
  <c r="CG408" i="7"/>
  <c r="CF408" i="7"/>
  <c r="CE408" i="7"/>
  <c r="CD408" i="7"/>
  <c r="CC408" i="7"/>
  <c r="CB408" i="7"/>
  <c r="CA408" i="7"/>
  <c r="BZ408" i="7"/>
  <c r="BY408" i="7"/>
  <c r="BX408" i="7"/>
  <c r="BW408" i="7"/>
  <c r="BV408" i="7"/>
  <c r="BU408" i="7"/>
  <c r="BT408" i="7"/>
  <c r="BS408" i="7"/>
  <c r="BQ408" i="7"/>
  <c r="BP408" i="7"/>
  <c r="BO408" i="7"/>
  <c r="BM408" i="7"/>
  <c r="BK408" i="7"/>
  <c r="BJ408" i="7"/>
  <c r="BI408" i="7"/>
  <c r="BH408" i="7"/>
  <c r="BG408" i="7"/>
  <c r="BR408" i="7"/>
  <c r="DD407" i="7"/>
  <c r="DC407" i="7"/>
  <c r="DB407" i="7"/>
  <c r="DA407" i="7"/>
  <c r="CZ407" i="7"/>
  <c r="CY407" i="7"/>
  <c r="CX407" i="7"/>
  <c r="CW407" i="7"/>
  <c r="CV407" i="7"/>
  <c r="CU407" i="7"/>
  <c r="CT407" i="7"/>
  <c r="CS407" i="7"/>
  <c r="CR407" i="7"/>
  <c r="CQ407" i="7"/>
  <c r="CP407" i="7"/>
  <c r="CO407" i="7"/>
  <c r="CN407" i="7"/>
  <c r="CM407" i="7"/>
  <c r="CL407" i="7"/>
  <c r="CK407" i="7"/>
  <c r="CJ407" i="7"/>
  <c r="CI407" i="7"/>
  <c r="CH407" i="7"/>
  <c r="CG407" i="7"/>
  <c r="CF407" i="7"/>
  <c r="CE407" i="7"/>
  <c r="CD407" i="7"/>
  <c r="CC407" i="7"/>
  <c r="CB407" i="7"/>
  <c r="CA407" i="7"/>
  <c r="BZ407" i="7"/>
  <c r="BY407" i="7"/>
  <c r="BX407" i="7"/>
  <c r="BW407" i="7"/>
  <c r="BV407" i="7"/>
  <c r="BU407" i="7"/>
  <c r="BS407" i="7"/>
  <c r="BP407" i="7"/>
  <c r="BM407" i="7"/>
  <c r="BI407" i="7"/>
  <c r="BH407" i="7"/>
  <c r="BG407" i="7"/>
  <c r="BT407" i="7"/>
  <c r="DD406" i="7"/>
  <c r="DC406" i="7"/>
  <c r="DB406" i="7"/>
  <c r="DA406" i="7"/>
  <c r="CZ406" i="7"/>
  <c r="CY406" i="7"/>
  <c r="CX406" i="7"/>
  <c r="CW406" i="7"/>
  <c r="CV406" i="7"/>
  <c r="CU406" i="7"/>
  <c r="CT406" i="7"/>
  <c r="CS406" i="7"/>
  <c r="CR406" i="7"/>
  <c r="CQ406" i="7"/>
  <c r="CP406" i="7"/>
  <c r="CO406" i="7"/>
  <c r="CN406" i="7"/>
  <c r="CM406" i="7"/>
  <c r="CL406" i="7"/>
  <c r="CK406" i="7"/>
  <c r="CJ406" i="7"/>
  <c r="CI406" i="7"/>
  <c r="CH406" i="7"/>
  <c r="CG406" i="7"/>
  <c r="CF406" i="7"/>
  <c r="CE406" i="7"/>
  <c r="CD406" i="7"/>
  <c r="CC406" i="7"/>
  <c r="CB406" i="7"/>
  <c r="CA406" i="7"/>
  <c r="BZ406" i="7"/>
  <c r="BY406" i="7"/>
  <c r="BX406" i="7"/>
  <c r="BW406" i="7"/>
  <c r="BV406" i="7"/>
  <c r="BS406" i="7"/>
  <c r="BO406" i="7"/>
  <c r="BK406" i="7"/>
  <c r="BG406" i="7"/>
  <c r="BT406" i="7"/>
  <c r="DD405" i="7"/>
  <c r="DC405" i="7"/>
  <c r="DB405" i="7"/>
  <c r="DA405" i="7"/>
  <c r="CZ405" i="7"/>
  <c r="CY405" i="7"/>
  <c r="CX405" i="7"/>
  <c r="CW405" i="7"/>
  <c r="CV405" i="7"/>
  <c r="CU405" i="7"/>
  <c r="CT405" i="7"/>
  <c r="CS405" i="7"/>
  <c r="CR405" i="7"/>
  <c r="CQ405" i="7"/>
  <c r="CP405" i="7"/>
  <c r="CO405" i="7"/>
  <c r="CN405" i="7"/>
  <c r="CM405" i="7"/>
  <c r="CL405" i="7"/>
  <c r="CK405" i="7"/>
  <c r="CJ405" i="7"/>
  <c r="CI405" i="7"/>
  <c r="CH405" i="7"/>
  <c r="CG405" i="7"/>
  <c r="CF405" i="7"/>
  <c r="CE405" i="7"/>
  <c r="CD405" i="7"/>
  <c r="CC405" i="7"/>
  <c r="CB405" i="7"/>
  <c r="CA405" i="7"/>
  <c r="BZ405" i="7"/>
  <c r="BY405" i="7"/>
  <c r="BX405" i="7"/>
  <c r="BW405" i="7"/>
  <c r="BV405" i="7"/>
  <c r="BU405" i="7"/>
  <c r="BT405" i="7"/>
  <c r="BS405" i="7"/>
  <c r="BR405" i="7"/>
  <c r="BQ405" i="7"/>
  <c r="BP405" i="7"/>
  <c r="BO405" i="7"/>
  <c r="BN405" i="7"/>
  <c r="BM405" i="7"/>
  <c r="BL405" i="7"/>
  <c r="BK405" i="7"/>
  <c r="BJ405" i="7"/>
  <c r="BI405" i="7"/>
  <c r="BH405" i="7"/>
  <c r="BG405" i="7"/>
  <c r="DD404" i="7"/>
  <c r="DC404" i="7"/>
  <c r="DB404" i="7"/>
  <c r="DA404" i="7"/>
  <c r="CZ404" i="7"/>
  <c r="CY404" i="7"/>
  <c r="CX404" i="7"/>
  <c r="CW404" i="7"/>
  <c r="CV404" i="7"/>
  <c r="CU404" i="7"/>
  <c r="CT404" i="7"/>
  <c r="CS404" i="7"/>
  <c r="CR404" i="7"/>
  <c r="CQ404" i="7"/>
  <c r="CP404" i="7"/>
  <c r="CO404" i="7"/>
  <c r="CN404" i="7"/>
  <c r="CM404" i="7"/>
  <c r="CL404" i="7"/>
  <c r="CK404" i="7"/>
  <c r="CJ404" i="7"/>
  <c r="CI404" i="7"/>
  <c r="CH404" i="7"/>
  <c r="CG404" i="7"/>
  <c r="CF404" i="7"/>
  <c r="CE404" i="7"/>
  <c r="CD404" i="7"/>
  <c r="CC404" i="7"/>
  <c r="CB404" i="7"/>
  <c r="CA404" i="7"/>
  <c r="BZ404" i="7"/>
  <c r="BY404" i="7"/>
  <c r="BX404" i="7"/>
  <c r="BW404" i="7"/>
  <c r="BV404" i="7"/>
  <c r="BU404" i="7"/>
  <c r="BT404" i="7"/>
  <c r="BS404" i="7"/>
  <c r="BR404" i="7"/>
  <c r="BQ404" i="7"/>
  <c r="BP404" i="7"/>
  <c r="BO404" i="7"/>
  <c r="BN404" i="7"/>
  <c r="BM404" i="7"/>
  <c r="BL404" i="7"/>
  <c r="BK404" i="7"/>
  <c r="BJ404" i="7"/>
  <c r="BI404" i="7"/>
  <c r="BH404" i="7"/>
  <c r="BG404" i="7"/>
  <c r="DD403" i="7"/>
  <c r="DC403" i="7"/>
  <c r="DB403" i="7"/>
  <c r="DA403" i="7"/>
  <c r="CZ403" i="7"/>
  <c r="CY403" i="7"/>
  <c r="CX403" i="7"/>
  <c r="CW403" i="7"/>
  <c r="CV403" i="7"/>
  <c r="CU403" i="7"/>
  <c r="CT403" i="7"/>
  <c r="CS403" i="7"/>
  <c r="CR403" i="7"/>
  <c r="CQ403" i="7"/>
  <c r="CP403" i="7"/>
  <c r="CO403" i="7"/>
  <c r="CN403" i="7"/>
  <c r="CM403" i="7"/>
  <c r="CL403" i="7"/>
  <c r="CK403" i="7"/>
  <c r="CJ403" i="7"/>
  <c r="CI403" i="7"/>
  <c r="CH403" i="7"/>
  <c r="CG403" i="7"/>
  <c r="CF403" i="7"/>
  <c r="CE403" i="7"/>
  <c r="CD403" i="7"/>
  <c r="CC403" i="7"/>
  <c r="CB403" i="7"/>
  <c r="CA403" i="7"/>
  <c r="BZ403" i="7"/>
  <c r="BY403" i="7"/>
  <c r="BX403" i="7"/>
  <c r="BW403" i="7"/>
  <c r="BV403" i="7"/>
  <c r="BU403" i="7"/>
  <c r="BT403" i="7"/>
  <c r="BS403" i="7"/>
  <c r="BR403" i="7"/>
  <c r="BQ403" i="7"/>
  <c r="BP403" i="7"/>
  <c r="BO403" i="7"/>
  <c r="BN403" i="7"/>
  <c r="BM403" i="7"/>
  <c r="BL403" i="7"/>
  <c r="BK403" i="7"/>
  <c r="BJ403" i="7"/>
  <c r="BI403" i="7"/>
  <c r="BH403" i="7"/>
  <c r="BG403" i="7"/>
  <c r="DD402" i="7"/>
  <c r="DC402" i="7"/>
  <c r="DB402" i="7"/>
  <c r="DA402" i="7"/>
  <c r="CZ402" i="7"/>
  <c r="CY402" i="7"/>
  <c r="CX402" i="7"/>
  <c r="CW402" i="7"/>
  <c r="CV402" i="7"/>
  <c r="CU402" i="7"/>
  <c r="CT402" i="7"/>
  <c r="CS402" i="7"/>
  <c r="CR402" i="7"/>
  <c r="CQ402" i="7"/>
  <c r="CP402" i="7"/>
  <c r="CO402" i="7"/>
  <c r="CN402" i="7"/>
  <c r="CM402" i="7"/>
  <c r="CL402" i="7"/>
  <c r="CK402" i="7"/>
  <c r="CJ402" i="7"/>
  <c r="CI402" i="7"/>
  <c r="CH402" i="7"/>
  <c r="CG402" i="7"/>
  <c r="CF402" i="7"/>
  <c r="CE402" i="7"/>
  <c r="CD402" i="7"/>
  <c r="CC402" i="7"/>
  <c r="CB402" i="7"/>
  <c r="CA402" i="7"/>
  <c r="BZ402" i="7"/>
  <c r="BY402" i="7"/>
  <c r="BX402" i="7"/>
  <c r="BW402" i="7"/>
  <c r="BV402" i="7"/>
  <c r="BO402" i="7"/>
  <c r="BN402" i="7"/>
  <c r="BM402" i="7"/>
  <c r="BJ402" i="7"/>
  <c r="BI402" i="7"/>
  <c r="BH402" i="7"/>
  <c r="BG402" i="7"/>
  <c r="DD401" i="7"/>
  <c r="DC401" i="7"/>
  <c r="DB401" i="7"/>
  <c r="DA401" i="7"/>
  <c r="CZ401" i="7"/>
  <c r="CY401" i="7"/>
  <c r="CX401" i="7"/>
  <c r="CW401" i="7"/>
  <c r="CV401" i="7"/>
  <c r="CU401" i="7"/>
  <c r="CT401" i="7"/>
  <c r="CS401" i="7"/>
  <c r="CR401" i="7"/>
  <c r="CQ401" i="7"/>
  <c r="CP401" i="7"/>
  <c r="CO401" i="7"/>
  <c r="CN401" i="7"/>
  <c r="CM401" i="7"/>
  <c r="CL401" i="7"/>
  <c r="CK401" i="7"/>
  <c r="CJ401" i="7"/>
  <c r="CI401" i="7"/>
  <c r="CH401" i="7"/>
  <c r="CG401" i="7"/>
  <c r="CF401" i="7"/>
  <c r="CE401" i="7"/>
  <c r="CD401" i="7"/>
  <c r="CC401" i="7"/>
  <c r="CB401" i="7"/>
  <c r="CA401" i="7"/>
  <c r="BZ401" i="7"/>
  <c r="BY401" i="7"/>
  <c r="BX401" i="7"/>
  <c r="BW401" i="7"/>
  <c r="BV401" i="7"/>
  <c r="BH401" i="7"/>
  <c r="DD400" i="7"/>
  <c r="DC400" i="7"/>
  <c r="DB400" i="7"/>
  <c r="DA400" i="7"/>
  <c r="CZ400" i="7"/>
  <c r="CY400" i="7"/>
  <c r="CX400" i="7"/>
  <c r="CW400" i="7"/>
  <c r="CV400" i="7"/>
  <c r="CU400" i="7"/>
  <c r="CT400" i="7"/>
  <c r="CS400" i="7"/>
  <c r="CR400" i="7"/>
  <c r="CQ400" i="7"/>
  <c r="CP400" i="7"/>
  <c r="CO400" i="7"/>
  <c r="CN400" i="7"/>
  <c r="CM400" i="7"/>
  <c r="CL400" i="7"/>
  <c r="CK400" i="7"/>
  <c r="CJ400" i="7"/>
  <c r="CI400" i="7"/>
  <c r="CH400" i="7"/>
  <c r="CG400" i="7"/>
  <c r="CF400" i="7"/>
  <c r="CE400" i="7"/>
  <c r="CD400" i="7"/>
  <c r="CC400" i="7"/>
  <c r="CB400" i="7"/>
  <c r="CA400" i="7"/>
  <c r="BZ400" i="7"/>
  <c r="BY400" i="7"/>
  <c r="BX400" i="7"/>
  <c r="BW400" i="7"/>
  <c r="BV400" i="7"/>
  <c r="DD399" i="7"/>
  <c r="DC399" i="7"/>
  <c r="DB399" i="7"/>
  <c r="DA399" i="7"/>
  <c r="CZ399" i="7"/>
  <c r="CY399" i="7"/>
  <c r="CX399" i="7"/>
  <c r="CW399" i="7"/>
  <c r="CV399" i="7"/>
  <c r="CU399" i="7"/>
  <c r="CT399" i="7"/>
  <c r="CS399" i="7"/>
  <c r="CR399" i="7"/>
  <c r="CQ399" i="7"/>
  <c r="CP399" i="7"/>
  <c r="CO399" i="7"/>
  <c r="CN399" i="7"/>
  <c r="CM399" i="7"/>
  <c r="CL399" i="7"/>
  <c r="CK399" i="7"/>
  <c r="CJ399" i="7"/>
  <c r="CI399" i="7"/>
  <c r="CH399" i="7"/>
  <c r="CG399" i="7"/>
  <c r="CF399" i="7"/>
  <c r="CE399" i="7"/>
  <c r="CD399" i="7"/>
  <c r="CC399" i="7"/>
  <c r="CB399" i="7"/>
  <c r="CA399" i="7"/>
  <c r="BZ399" i="7"/>
  <c r="BY399" i="7"/>
  <c r="BX399" i="7"/>
  <c r="BW399" i="7"/>
  <c r="BV399" i="7"/>
  <c r="DD398" i="7"/>
  <c r="DC398" i="7"/>
  <c r="DB398" i="7"/>
  <c r="DA398" i="7"/>
  <c r="CZ398" i="7"/>
  <c r="CY398" i="7"/>
  <c r="CX398" i="7"/>
  <c r="CW398" i="7"/>
  <c r="CV398" i="7"/>
  <c r="CU398" i="7"/>
  <c r="CT398" i="7"/>
  <c r="CS398" i="7"/>
  <c r="CR398" i="7"/>
  <c r="CQ398" i="7"/>
  <c r="CP398" i="7"/>
  <c r="CO398" i="7"/>
  <c r="CN398" i="7"/>
  <c r="CM398" i="7"/>
  <c r="CL398" i="7"/>
  <c r="CK398" i="7"/>
  <c r="CJ398" i="7"/>
  <c r="CI398" i="7"/>
  <c r="CH398" i="7"/>
  <c r="CG398" i="7"/>
  <c r="CF398" i="7"/>
  <c r="CE398" i="7"/>
  <c r="CD398" i="7"/>
  <c r="CC398" i="7"/>
  <c r="CB398" i="7"/>
  <c r="CA398" i="7"/>
  <c r="BZ398" i="7"/>
  <c r="BY398" i="7"/>
  <c r="BX398" i="7"/>
  <c r="BW398" i="7"/>
  <c r="BV398" i="7"/>
  <c r="DD397" i="7"/>
  <c r="DC397" i="7"/>
  <c r="DB397" i="7"/>
  <c r="DA397" i="7"/>
  <c r="CZ397" i="7"/>
  <c r="CY397" i="7"/>
  <c r="CX397" i="7"/>
  <c r="CW397" i="7"/>
  <c r="CV397" i="7"/>
  <c r="CU397" i="7"/>
  <c r="CT397" i="7"/>
  <c r="CS397" i="7"/>
  <c r="CR397" i="7"/>
  <c r="CQ397" i="7"/>
  <c r="CP397" i="7"/>
  <c r="CO397" i="7"/>
  <c r="CN397" i="7"/>
  <c r="CM397" i="7"/>
  <c r="CL397" i="7"/>
  <c r="CK397" i="7"/>
  <c r="CJ397" i="7"/>
  <c r="CI397" i="7"/>
  <c r="CH397" i="7"/>
  <c r="CG397" i="7"/>
  <c r="CF397" i="7"/>
  <c r="CE397" i="7"/>
  <c r="CD397" i="7"/>
  <c r="CC397" i="7"/>
  <c r="CB397" i="7"/>
  <c r="CA397" i="7"/>
  <c r="BZ397" i="7"/>
  <c r="BY397" i="7"/>
  <c r="BX397" i="7"/>
  <c r="BW397" i="7"/>
  <c r="BV397" i="7"/>
  <c r="DD396" i="7"/>
  <c r="DC396" i="7"/>
  <c r="DB396" i="7"/>
  <c r="DA396" i="7"/>
  <c r="CZ396" i="7"/>
  <c r="CY396" i="7"/>
  <c r="CX396" i="7"/>
  <c r="CW396" i="7"/>
  <c r="CV396" i="7"/>
  <c r="CU396" i="7"/>
  <c r="CT396" i="7"/>
  <c r="CS396" i="7"/>
  <c r="CR396" i="7"/>
  <c r="CQ396" i="7"/>
  <c r="CP396" i="7"/>
  <c r="CO396" i="7"/>
  <c r="CN396" i="7"/>
  <c r="CM396" i="7"/>
  <c r="CL396" i="7"/>
  <c r="CK396" i="7"/>
  <c r="CJ396" i="7"/>
  <c r="CI396" i="7"/>
  <c r="CH396" i="7"/>
  <c r="CG396" i="7"/>
  <c r="CF396" i="7"/>
  <c r="CE396" i="7"/>
  <c r="CD396" i="7"/>
  <c r="CC396" i="7"/>
  <c r="CB396" i="7"/>
  <c r="CA396" i="7"/>
  <c r="BZ396" i="7"/>
  <c r="BY396" i="7"/>
  <c r="BX396" i="7"/>
  <c r="BW396" i="7"/>
  <c r="BV396" i="7"/>
  <c r="BU396" i="7"/>
  <c r="BT396" i="7"/>
  <c r="BS396" i="7"/>
  <c r="BR396" i="7"/>
  <c r="BQ396" i="7"/>
  <c r="BP396" i="7"/>
  <c r="BO396" i="7"/>
  <c r="BN396" i="7"/>
  <c r="BM396" i="7"/>
  <c r="BL396" i="7"/>
  <c r="BK396" i="7"/>
  <c r="BJ396" i="7"/>
  <c r="BI396" i="7"/>
  <c r="BH396" i="7"/>
  <c r="BG396" i="7"/>
  <c r="DD395" i="7"/>
  <c r="DC395" i="7"/>
  <c r="DB395" i="7"/>
  <c r="DA395" i="7"/>
  <c r="CZ395" i="7"/>
  <c r="CY395" i="7"/>
  <c r="CX395" i="7"/>
  <c r="CW395" i="7"/>
  <c r="CV395" i="7"/>
  <c r="CU395" i="7"/>
  <c r="CT395" i="7"/>
  <c r="CS395" i="7"/>
  <c r="CR395" i="7"/>
  <c r="CQ395" i="7"/>
  <c r="CP395" i="7"/>
  <c r="CO395" i="7"/>
  <c r="CN395" i="7"/>
  <c r="CM395" i="7"/>
  <c r="CL395" i="7"/>
  <c r="CK395" i="7"/>
  <c r="CJ395" i="7"/>
  <c r="CI395" i="7"/>
  <c r="CH395" i="7"/>
  <c r="CG395" i="7"/>
  <c r="CF395" i="7"/>
  <c r="CE395" i="7"/>
  <c r="CD395" i="7"/>
  <c r="CC395" i="7"/>
  <c r="CB395" i="7"/>
  <c r="CA395" i="7"/>
  <c r="BZ395" i="7"/>
  <c r="BY395" i="7"/>
  <c r="BX395" i="7"/>
  <c r="BW395" i="7"/>
  <c r="BV395" i="7"/>
  <c r="BT395" i="7"/>
  <c r="BN395" i="7"/>
  <c r="BJ395" i="7"/>
  <c r="BI395" i="7"/>
  <c r="BR395" i="7"/>
  <c r="DD394" i="7"/>
  <c r="DC394" i="7"/>
  <c r="DB394" i="7"/>
  <c r="DA394" i="7"/>
  <c r="CZ394" i="7"/>
  <c r="CY394" i="7"/>
  <c r="CX394" i="7"/>
  <c r="CW394" i="7"/>
  <c r="CV394" i="7"/>
  <c r="CU394" i="7"/>
  <c r="CT394" i="7"/>
  <c r="CS394" i="7"/>
  <c r="CR394" i="7"/>
  <c r="CQ394" i="7"/>
  <c r="CP394" i="7"/>
  <c r="CO394" i="7"/>
  <c r="CN394" i="7"/>
  <c r="CM394" i="7"/>
  <c r="CL394" i="7"/>
  <c r="CK394" i="7"/>
  <c r="CJ394" i="7"/>
  <c r="CI394" i="7"/>
  <c r="CH394" i="7"/>
  <c r="CG394" i="7"/>
  <c r="CF394" i="7"/>
  <c r="CE394" i="7"/>
  <c r="CD394" i="7"/>
  <c r="CC394" i="7"/>
  <c r="CB394" i="7"/>
  <c r="CA394" i="7"/>
  <c r="BZ394" i="7"/>
  <c r="BY394" i="7"/>
  <c r="BX394" i="7"/>
  <c r="BW394" i="7"/>
  <c r="BV394" i="7"/>
  <c r="BT394" i="7"/>
  <c r="DD393" i="7"/>
  <c r="DC393" i="7"/>
  <c r="DB393" i="7"/>
  <c r="DA393" i="7"/>
  <c r="CZ393" i="7"/>
  <c r="CY393" i="7"/>
  <c r="CX393" i="7"/>
  <c r="CW393" i="7"/>
  <c r="CV393" i="7"/>
  <c r="CU393" i="7"/>
  <c r="CT393" i="7"/>
  <c r="CS393" i="7"/>
  <c r="CR393" i="7"/>
  <c r="CQ393" i="7"/>
  <c r="CP393" i="7"/>
  <c r="CO393" i="7"/>
  <c r="CN393" i="7"/>
  <c r="CM393" i="7"/>
  <c r="CL393" i="7"/>
  <c r="CK393" i="7"/>
  <c r="CJ393" i="7"/>
  <c r="CI393" i="7"/>
  <c r="CH393" i="7"/>
  <c r="CG393" i="7"/>
  <c r="CF393" i="7"/>
  <c r="CE393" i="7"/>
  <c r="CD393" i="7"/>
  <c r="CC393" i="7"/>
  <c r="CB393" i="7"/>
  <c r="CA393" i="7"/>
  <c r="BZ393" i="7"/>
  <c r="BY393" i="7"/>
  <c r="BX393" i="7"/>
  <c r="BW393" i="7"/>
  <c r="BV393" i="7"/>
  <c r="BO393" i="7"/>
  <c r="DD388" i="7"/>
  <c r="DC388" i="7"/>
  <c r="DB388" i="7"/>
  <c r="DA388" i="7"/>
  <c r="CZ388" i="7"/>
  <c r="CY388" i="7"/>
  <c r="CX388" i="7"/>
  <c r="CW388" i="7"/>
  <c r="CV388" i="7"/>
  <c r="CU388" i="7"/>
  <c r="CT388" i="7"/>
  <c r="CS388" i="7"/>
  <c r="CR388" i="7"/>
  <c r="CQ388" i="7"/>
  <c r="CP388" i="7"/>
  <c r="CO388" i="7"/>
  <c r="CN388" i="7"/>
  <c r="CM388" i="7"/>
  <c r="CL388" i="7"/>
  <c r="CK388" i="7"/>
  <c r="CJ388" i="7"/>
  <c r="CI388" i="7"/>
  <c r="CH388" i="7"/>
  <c r="CG388" i="7"/>
  <c r="CF388" i="7"/>
  <c r="CE388" i="7"/>
  <c r="CD388" i="7"/>
  <c r="CC388" i="7"/>
  <c r="CB388" i="7"/>
  <c r="CA388" i="7"/>
  <c r="BZ388" i="7"/>
  <c r="BY388" i="7"/>
  <c r="BX388" i="7"/>
  <c r="BW388" i="7"/>
  <c r="BV388" i="7"/>
  <c r="BT388" i="7"/>
  <c r="DD387" i="7"/>
  <c r="DC387" i="7"/>
  <c r="DB387" i="7"/>
  <c r="DA387" i="7"/>
  <c r="CZ387" i="7"/>
  <c r="CY387" i="7"/>
  <c r="CX387" i="7"/>
  <c r="CW387" i="7"/>
  <c r="CV387" i="7"/>
  <c r="CU387" i="7"/>
  <c r="CT387" i="7"/>
  <c r="CS387" i="7"/>
  <c r="CR387" i="7"/>
  <c r="CQ387" i="7"/>
  <c r="CP387" i="7"/>
  <c r="CO387" i="7"/>
  <c r="CN387" i="7"/>
  <c r="CM387" i="7"/>
  <c r="CL387" i="7"/>
  <c r="CK387" i="7"/>
  <c r="CJ387" i="7"/>
  <c r="CI387" i="7"/>
  <c r="CH387" i="7"/>
  <c r="CG387" i="7"/>
  <c r="CF387" i="7"/>
  <c r="CE387" i="7"/>
  <c r="CD387" i="7"/>
  <c r="CC387" i="7"/>
  <c r="CB387" i="7"/>
  <c r="CA387" i="7"/>
  <c r="BZ387" i="7"/>
  <c r="BY387" i="7"/>
  <c r="BX387" i="7"/>
  <c r="BW387" i="7"/>
  <c r="BV387" i="7"/>
  <c r="BT387" i="7"/>
  <c r="DD386" i="7"/>
  <c r="DC386" i="7"/>
  <c r="DB386" i="7"/>
  <c r="DA386" i="7"/>
  <c r="CZ386" i="7"/>
  <c r="CY386" i="7"/>
  <c r="CX386" i="7"/>
  <c r="CW386" i="7"/>
  <c r="CV386" i="7"/>
  <c r="CU386" i="7"/>
  <c r="CT386" i="7"/>
  <c r="CS386" i="7"/>
  <c r="CR386" i="7"/>
  <c r="CQ386" i="7"/>
  <c r="CP386" i="7"/>
  <c r="CO386" i="7"/>
  <c r="CN386" i="7"/>
  <c r="CM386" i="7"/>
  <c r="CL386" i="7"/>
  <c r="CK386" i="7"/>
  <c r="CJ386" i="7"/>
  <c r="CI386" i="7"/>
  <c r="CH386" i="7"/>
  <c r="CG386" i="7"/>
  <c r="CF386" i="7"/>
  <c r="CE386" i="7"/>
  <c r="CD386" i="7"/>
  <c r="CC386" i="7"/>
  <c r="CB386" i="7"/>
  <c r="CA386" i="7"/>
  <c r="BZ386" i="7"/>
  <c r="BY386" i="7"/>
  <c r="BX386" i="7"/>
  <c r="BW386" i="7"/>
  <c r="BV386" i="7"/>
  <c r="BU386" i="7"/>
  <c r="BT386" i="7"/>
  <c r="BS386" i="7"/>
  <c r="BR386" i="7"/>
  <c r="BQ386" i="7"/>
  <c r="BP386" i="7"/>
  <c r="BO386" i="7"/>
  <c r="BN386" i="7"/>
  <c r="BM386" i="7"/>
  <c r="BL386" i="7"/>
  <c r="BK386" i="7"/>
  <c r="BJ386" i="7"/>
  <c r="BI386" i="7"/>
  <c r="BH386" i="7"/>
  <c r="BG386" i="7"/>
  <c r="DD385" i="7"/>
  <c r="DC385" i="7"/>
  <c r="DB385" i="7"/>
  <c r="DA385" i="7"/>
  <c r="CZ385" i="7"/>
  <c r="CY385" i="7"/>
  <c r="CX385" i="7"/>
  <c r="CW385" i="7"/>
  <c r="CV385" i="7"/>
  <c r="CU385" i="7"/>
  <c r="CT385" i="7"/>
  <c r="CS385" i="7"/>
  <c r="CR385" i="7"/>
  <c r="CQ385" i="7"/>
  <c r="CP385" i="7"/>
  <c r="CO385" i="7"/>
  <c r="CN385" i="7"/>
  <c r="CM385" i="7"/>
  <c r="CL385" i="7"/>
  <c r="CK385" i="7"/>
  <c r="CJ385" i="7"/>
  <c r="CI385" i="7"/>
  <c r="CH385" i="7"/>
  <c r="CG385" i="7"/>
  <c r="CF385" i="7"/>
  <c r="CE385" i="7"/>
  <c r="CD385" i="7"/>
  <c r="CC385" i="7"/>
  <c r="CB385" i="7"/>
  <c r="CA385" i="7"/>
  <c r="BZ385" i="7"/>
  <c r="BY385" i="7"/>
  <c r="BX385" i="7"/>
  <c r="BW385" i="7"/>
  <c r="BV385" i="7"/>
  <c r="BU385" i="7"/>
  <c r="BT385" i="7"/>
  <c r="BS385" i="7"/>
  <c r="BR385" i="7"/>
  <c r="BQ385" i="7"/>
  <c r="BP385" i="7"/>
  <c r="BO385" i="7"/>
  <c r="BN385" i="7"/>
  <c r="BM385" i="7"/>
  <c r="BL385" i="7"/>
  <c r="BK385" i="7"/>
  <c r="BJ385" i="7"/>
  <c r="BI385" i="7"/>
  <c r="BH385" i="7"/>
  <c r="BG385" i="7"/>
  <c r="DD384" i="7"/>
  <c r="DC384" i="7"/>
  <c r="DB384" i="7"/>
  <c r="DA384" i="7"/>
  <c r="CZ384" i="7"/>
  <c r="CY384" i="7"/>
  <c r="CX384" i="7"/>
  <c r="CW384" i="7"/>
  <c r="CV384" i="7"/>
  <c r="CU384" i="7"/>
  <c r="CT384" i="7"/>
  <c r="CS384" i="7"/>
  <c r="CR384" i="7"/>
  <c r="CQ384" i="7"/>
  <c r="CP384" i="7"/>
  <c r="CO384" i="7"/>
  <c r="CN384" i="7"/>
  <c r="CM384" i="7"/>
  <c r="CL384" i="7"/>
  <c r="CK384" i="7"/>
  <c r="CJ384" i="7"/>
  <c r="CI384" i="7"/>
  <c r="CH384" i="7"/>
  <c r="CG384" i="7"/>
  <c r="CF384" i="7"/>
  <c r="CE384" i="7"/>
  <c r="CD384" i="7"/>
  <c r="CC384" i="7"/>
  <c r="CB384" i="7"/>
  <c r="CA384" i="7"/>
  <c r="BZ384" i="7"/>
  <c r="BY384" i="7"/>
  <c r="BX384" i="7"/>
  <c r="BW384" i="7"/>
  <c r="BV384" i="7"/>
  <c r="BU384" i="7"/>
  <c r="BT384" i="7"/>
  <c r="BS384" i="7"/>
  <c r="BR384" i="7"/>
  <c r="BQ384" i="7"/>
  <c r="BP384" i="7"/>
  <c r="BO384" i="7"/>
  <c r="BN384" i="7"/>
  <c r="BM384" i="7"/>
  <c r="BL384" i="7"/>
  <c r="BK384" i="7"/>
  <c r="BJ384" i="7"/>
  <c r="DD383" i="7"/>
  <c r="DC383" i="7"/>
  <c r="DB383" i="7"/>
  <c r="DA383" i="7"/>
  <c r="CZ383" i="7"/>
  <c r="CY383" i="7"/>
  <c r="CX383" i="7"/>
  <c r="CW383" i="7"/>
  <c r="CV383" i="7"/>
  <c r="CU383" i="7"/>
  <c r="CT383" i="7"/>
  <c r="CS383" i="7"/>
  <c r="CR383" i="7"/>
  <c r="CQ383" i="7"/>
  <c r="CP383" i="7"/>
  <c r="CO383" i="7"/>
  <c r="CN383" i="7"/>
  <c r="CM383" i="7"/>
  <c r="CL383" i="7"/>
  <c r="CK383" i="7"/>
  <c r="CJ383" i="7"/>
  <c r="CI383" i="7"/>
  <c r="CH383" i="7"/>
  <c r="CG383" i="7"/>
  <c r="CF383" i="7"/>
  <c r="CE383" i="7"/>
  <c r="CD383" i="7"/>
  <c r="CC383" i="7"/>
  <c r="CB383" i="7"/>
  <c r="CA383" i="7"/>
  <c r="BZ383" i="7"/>
  <c r="BY383" i="7"/>
  <c r="BX383" i="7"/>
  <c r="BW383" i="7"/>
  <c r="BV383" i="7"/>
  <c r="BU383" i="7"/>
  <c r="BT383" i="7"/>
  <c r="BS383" i="7"/>
  <c r="BR383" i="7"/>
  <c r="BQ383" i="7"/>
  <c r="BP383" i="7"/>
  <c r="BO383" i="7"/>
  <c r="BN383" i="7"/>
  <c r="BM383" i="7"/>
  <c r="BL383" i="7"/>
  <c r="BK383" i="7"/>
  <c r="BJ383" i="7"/>
  <c r="BI383" i="7"/>
  <c r="BH383" i="7"/>
  <c r="BG383" i="7"/>
  <c r="DD382" i="7"/>
  <c r="DC382" i="7"/>
  <c r="DB382" i="7"/>
  <c r="DA382" i="7"/>
  <c r="CZ382" i="7"/>
  <c r="CY382" i="7"/>
  <c r="CX382" i="7"/>
  <c r="CW382" i="7"/>
  <c r="CV382" i="7"/>
  <c r="CU382" i="7"/>
  <c r="CT382" i="7"/>
  <c r="CS382" i="7"/>
  <c r="CR382" i="7"/>
  <c r="CQ382" i="7"/>
  <c r="CP382" i="7"/>
  <c r="CO382" i="7"/>
  <c r="CN382" i="7"/>
  <c r="CM382" i="7"/>
  <c r="CL382" i="7"/>
  <c r="CK382" i="7"/>
  <c r="CJ382" i="7"/>
  <c r="CI382" i="7"/>
  <c r="CH382" i="7"/>
  <c r="CG382" i="7"/>
  <c r="CF382" i="7"/>
  <c r="CE382" i="7"/>
  <c r="CD382" i="7"/>
  <c r="CC382" i="7"/>
  <c r="CB382" i="7"/>
  <c r="CA382" i="7"/>
  <c r="BZ382" i="7"/>
  <c r="BY382" i="7"/>
  <c r="BX382" i="7"/>
  <c r="BW382" i="7"/>
  <c r="BV382" i="7"/>
  <c r="BN382" i="7"/>
  <c r="BM382" i="7"/>
  <c r="BL382" i="7"/>
  <c r="BK382" i="7"/>
  <c r="BJ382" i="7"/>
  <c r="BI382" i="7"/>
  <c r="BH382" i="7"/>
  <c r="BG382" i="7"/>
  <c r="BU382" i="7"/>
  <c r="DD381" i="7"/>
  <c r="DC381" i="7"/>
  <c r="DB381" i="7"/>
  <c r="DA381" i="7"/>
  <c r="CZ381" i="7"/>
  <c r="CY381" i="7"/>
  <c r="CX381" i="7"/>
  <c r="CW381" i="7"/>
  <c r="CV381" i="7"/>
  <c r="CU381" i="7"/>
  <c r="CT381" i="7"/>
  <c r="CS381" i="7"/>
  <c r="CR381" i="7"/>
  <c r="CQ381" i="7"/>
  <c r="CP381" i="7"/>
  <c r="CO381" i="7"/>
  <c r="CN381" i="7"/>
  <c r="CM381" i="7"/>
  <c r="CL381" i="7"/>
  <c r="CK381" i="7"/>
  <c r="CJ381" i="7"/>
  <c r="CI381" i="7"/>
  <c r="CH381" i="7"/>
  <c r="CG381" i="7"/>
  <c r="CF381" i="7"/>
  <c r="CE381" i="7"/>
  <c r="CD381" i="7"/>
  <c r="CC381" i="7"/>
  <c r="CB381" i="7"/>
  <c r="CA381" i="7"/>
  <c r="BZ381" i="7"/>
  <c r="BY381" i="7"/>
  <c r="BX381" i="7"/>
  <c r="BW381" i="7"/>
  <c r="BV381" i="7"/>
  <c r="BU381" i="7"/>
  <c r="BT381" i="7"/>
  <c r="BS381" i="7"/>
  <c r="BR381" i="7"/>
  <c r="BQ381" i="7"/>
  <c r="BP381" i="7"/>
  <c r="BO381" i="7"/>
  <c r="BN381" i="7"/>
  <c r="BM381" i="7"/>
  <c r="BL381" i="7"/>
  <c r="BK381" i="7"/>
  <c r="BJ381" i="7"/>
  <c r="BI381" i="7"/>
  <c r="BH381" i="7"/>
  <c r="BG381" i="7"/>
  <c r="DD380" i="7"/>
  <c r="DC380" i="7"/>
  <c r="DB380" i="7"/>
  <c r="DA380" i="7"/>
  <c r="CZ380" i="7"/>
  <c r="CY380" i="7"/>
  <c r="CX380" i="7"/>
  <c r="CW380" i="7"/>
  <c r="CV380" i="7"/>
  <c r="CU380" i="7"/>
  <c r="CT380" i="7"/>
  <c r="CS380" i="7"/>
  <c r="CR380" i="7"/>
  <c r="CQ380" i="7"/>
  <c r="CP380" i="7"/>
  <c r="CO380" i="7"/>
  <c r="CN380" i="7"/>
  <c r="CM380" i="7"/>
  <c r="CL380" i="7"/>
  <c r="CK380" i="7"/>
  <c r="CJ380" i="7"/>
  <c r="CI380" i="7"/>
  <c r="CH380" i="7"/>
  <c r="CG380" i="7"/>
  <c r="CF380" i="7"/>
  <c r="CE380" i="7"/>
  <c r="CD380" i="7"/>
  <c r="CC380" i="7"/>
  <c r="CB380" i="7"/>
  <c r="CA380" i="7"/>
  <c r="BZ380" i="7"/>
  <c r="BY380" i="7"/>
  <c r="BX380" i="7"/>
  <c r="BW380" i="7"/>
  <c r="BV380" i="7"/>
  <c r="BT380" i="7"/>
  <c r="BS380" i="7"/>
  <c r="BR380" i="7"/>
  <c r="BQ380" i="7"/>
  <c r="BP380" i="7"/>
  <c r="BU380" i="7"/>
  <c r="DD379" i="7"/>
  <c r="DC379" i="7"/>
  <c r="DB379" i="7"/>
  <c r="DA379" i="7"/>
  <c r="CZ379" i="7"/>
  <c r="CY379" i="7"/>
  <c r="CX379" i="7"/>
  <c r="CW379" i="7"/>
  <c r="CV379" i="7"/>
  <c r="CU379" i="7"/>
  <c r="CT379" i="7"/>
  <c r="CS379" i="7"/>
  <c r="CR379" i="7"/>
  <c r="CQ379" i="7"/>
  <c r="CP379" i="7"/>
  <c r="CO379" i="7"/>
  <c r="CN379" i="7"/>
  <c r="CM379" i="7"/>
  <c r="CL379" i="7"/>
  <c r="CK379" i="7"/>
  <c r="CJ379" i="7"/>
  <c r="CI379" i="7"/>
  <c r="CH379" i="7"/>
  <c r="CG379" i="7"/>
  <c r="CF379" i="7"/>
  <c r="CE379" i="7"/>
  <c r="CD379" i="7"/>
  <c r="CC379" i="7"/>
  <c r="CB379" i="7"/>
  <c r="CA379" i="7"/>
  <c r="BZ379" i="7"/>
  <c r="BY379" i="7"/>
  <c r="BX379" i="7"/>
  <c r="BW379" i="7"/>
  <c r="BV379" i="7"/>
  <c r="BU379" i="7"/>
  <c r="BT379" i="7"/>
  <c r="BS379" i="7"/>
  <c r="BR379" i="7"/>
  <c r="BQ379" i="7"/>
  <c r="BP379" i="7"/>
  <c r="BO379" i="7"/>
  <c r="BN379" i="7"/>
  <c r="BM379" i="7"/>
  <c r="BL379" i="7"/>
  <c r="BK379" i="7"/>
  <c r="BJ379" i="7"/>
  <c r="BI379" i="7"/>
  <c r="BH379" i="7"/>
  <c r="BG379" i="7"/>
  <c r="DD378" i="7"/>
  <c r="DC378" i="7"/>
  <c r="DB378" i="7"/>
  <c r="DA378" i="7"/>
  <c r="CZ378" i="7"/>
  <c r="CY378" i="7"/>
  <c r="CX378" i="7"/>
  <c r="CW378" i="7"/>
  <c r="CV378" i="7"/>
  <c r="CU378" i="7"/>
  <c r="CT378" i="7"/>
  <c r="CS378" i="7"/>
  <c r="CR378" i="7"/>
  <c r="CQ378" i="7"/>
  <c r="CP378" i="7"/>
  <c r="CO378" i="7"/>
  <c r="CN378" i="7"/>
  <c r="CM378" i="7"/>
  <c r="CL378" i="7"/>
  <c r="CK378" i="7"/>
  <c r="CJ378" i="7"/>
  <c r="CI378" i="7"/>
  <c r="CH378" i="7"/>
  <c r="CG378" i="7"/>
  <c r="CF378" i="7"/>
  <c r="CE378" i="7"/>
  <c r="CD378" i="7"/>
  <c r="CC378" i="7"/>
  <c r="CB378" i="7"/>
  <c r="CA378" i="7"/>
  <c r="BZ378" i="7"/>
  <c r="BY378" i="7"/>
  <c r="BX378" i="7"/>
  <c r="BW378" i="7"/>
  <c r="BV378" i="7"/>
  <c r="BU378" i="7"/>
  <c r="BT378" i="7"/>
  <c r="BS378" i="7"/>
  <c r="BR378" i="7"/>
  <c r="BQ378" i="7"/>
  <c r="BP378" i="7"/>
  <c r="BO378" i="7"/>
  <c r="BN378" i="7"/>
  <c r="BM378" i="7"/>
  <c r="BL378" i="7"/>
  <c r="BK378" i="7"/>
  <c r="BJ378" i="7"/>
  <c r="BI378" i="7"/>
  <c r="BH378" i="7"/>
  <c r="BG378" i="7"/>
  <c r="DD377" i="7"/>
  <c r="DC377" i="7"/>
  <c r="DB377" i="7"/>
  <c r="DA377" i="7"/>
  <c r="CZ377" i="7"/>
  <c r="CY377" i="7"/>
  <c r="CX377" i="7"/>
  <c r="CW377" i="7"/>
  <c r="CV377" i="7"/>
  <c r="CU377" i="7"/>
  <c r="CT377" i="7"/>
  <c r="CS377" i="7"/>
  <c r="CR377" i="7"/>
  <c r="CQ377" i="7"/>
  <c r="CP377" i="7"/>
  <c r="CO377" i="7"/>
  <c r="CN377" i="7"/>
  <c r="CM377" i="7"/>
  <c r="CL377" i="7"/>
  <c r="CK377" i="7"/>
  <c r="CJ377" i="7"/>
  <c r="CI377" i="7"/>
  <c r="CH377" i="7"/>
  <c r="CG377" i="7"/>
  <c r="CF377" i="7"/>
  <c r="CE377" i="7"/>
  <c r="CD377" i="7"/>
  <c r="CC377" i="7"/>
  <c r="CB377" i="7"/>
  <c r="CA377" i="7"/>
  <c r="BZ377" i="7"/>
  <c r="BY377" i="7"/>
  <c r="BX377" i="7"/>
  <c r="BW377" i="7"/>
  <c r="BV377" i="7"/>
  <c r="BS377" i="7"/>
  <c r="BO377" i="7"/>
  <c r="BK377" i="7"/>
  <c r="BG377" i="7"/>
  <c r="BT377" i="7"/>
  <c r="DD376" i="7"/>
  <c r="DC376" i="7"/>
  <c r="DB376" i="7"/>
  <c r="DA376" i="7"/>
  <c r="CZ376" i="7"/>
  <c r="CY376" i="7"/>
  <c r="CX376" i="7"/>
  <c r="CW376" i="7"/>
  <c r="CV376" i="7"/>
  <c r="CU376" i="7"/>
  <c r="CT376" i="7"/>
  <c r="CS376" i="7"/>
  <c r="CR376" i="7"/>
  <c r="CQ376" i="7"/>
  <c r="CP376" i="7"/>
  <c r="CO376" i="7"/>
  <c r="CN376" i="7"/>
  <c r="CM376" i="7"/>
  <c r="CL376" i="7"/>
  <c r="CK376" i="7"/>
  <c r="CJ376" i="7"/>
  <c r="CI376" i="7"/>
  <c r="CH376" i="7"/>
  <c r="CG376" i="7"/>
  <c r="CF376" i="7"/>
  <c r="CE376" i="7"/>
  <c r="CD376" i="7"/>
  <c r="CC376" i="7"/>
  <c r="CB376" i="7"/>
  <c r="CA376" i="7"/>
  <c r="BZ376" i="7"/>
  <c r="BY376" i="7"/>
  <c r="BX376" i="7"/>
  <c r="BW376" i="7"/>
  <c r="BV376" i="7"/>
  <c r="BU376" i="7"/>
  <c r="BT376" i="7"/>
  <c r="BS376" i="7"/>
  <c r="BR376" i="7"/>
  <c r="BQ376" i="7"/>
  <c r="BP376" i="7"/>
  <c r="BO376" i="7"/>
  <c r="BN376" i="7"/>
  <c r="BM376" i="7"/>
  <c r="BL376" i="7"/>
  <c r="BK376" i="7"/>
  <c r="BJ376" i="7"/>
  <c r="BI376" i="7"/>
  <c r="BH376" i="7"/>
  <c r="BG376" i="7"/>
  <c r="DD375" i="7"/>
  <c r="DC375" i="7"/>
  <c r="DB375" i="7"/>
  <c r="DA375" i="7"/>
  <c r="CZ375" i="7"/>
  <c r="CY375" i="7"/>
  <c r="CX375" i="7"/>
  <c r="CW375" i="7"/>
  <c r="CV375" i="7"/>
  <c r="CU375" i="7"/>
  <c r="CT375" i="7"/>
  <c r="CS375" i="7"/>
  <c r="CR375" i="7"/>
  <c r="CQ375" i="7"/>
  <c r="CP375" i="7"/>
  <c r="CO375" i="7"/>
  <c r="CN375" i="7"/>
  <c r="CM375" i="7"/>
  <c r="CL375" i="7"/>
  <c r="CK375" i="7"/>
  <c r="CJ375" i="7"/>
  <c r="CI375" i="7"/>
  <c r="CH375" i="7"/>
  <c r="CG375" i="7"/>
  <c r="CF375" i="7"/>
  <c r="CE375" i="7"/>
  <c r="CD375" i="7"/>
  <c r="CC375" i="7"/>
  <c r="CB375" i="7"/>
  <c r="CA375" i="7"/>
  <c r="BZ375" i="7"/>
  <c r="BY375" i="7"/>
  <c r="BX375" i="7"/>
  <c r="BW375" i="7"/>
  <c r="BV375" i="7"/>
  <c r="BU375" i="7"/>
  <c r="BT375" i="7"/>
  <c r="BS375" i="7"/>
  <c r="BR375" i="7"/>
  <c r="BQ375" i="7"/>
  <c r="BP375" i="7"/>
  <c r="BO375" i="7"/>
  <c r="BN375" i="7"/>
  <c r="BM375" i="7"/>
  <c r="BL375" i="7"/>
  <c r="BK375" i="7"/>
  <c r="BJ375" i="7"/>
  <c r="DD374" i="7"/>
  <c r="DC374" i="7"/>
  <c r="DB374" i="7"/>
  <c r="DA374" i="7"/>
  <c r="CZ374" i="7"/>
  <c r="CY374" i="7"/>
  <c r="CX374" i="7"/>
  <c r="CW374" i="7"/>
  <c r="CV374" i="7"/>
  <c r="CU374" i="7"/>
  <c r="CT374" i="7"/>
  <c r="CS374" i="7"/>
  <c r="CR374" i="7"/>
  <c r="CQ374" i="7"/>
  <c r="CP374" i="7"/>
  <c r="CO374" i="7"/>
  <c r="CN374" i="7"/>
  <c r="CM374" i="7"/>
  <c r="CL374" i="7"/>
  <c r="CK374" i="7"/>
  <c r="CJ374" i="7"/>
  <c r="CI374" i="7"/>
  <c r="CH374" i="7"/>
  <c r="CG374" i="7"/>
  <c r="CF374" i="7"/>
  <c r="CE374" i="7"/>
  <c r="CD374" i="7"/>
  <c r="CC374" i="7"/>
  <c r="CB374" i="7"/>
  <c r="CA374" i="7"/>
  <c r="BZ374" i="7"/>
  <c r="BY374" i="7"/>
  <c r="BX374" i="7"/>
  <c r="BW374" i="7"/>
  <c r="BV374" i="7"/>
  <c r="BU374" i="7"/>
  <c r="BT374" i="7"/>
  <c r="BS374" i="7"/>
  <c r="BR374" i="7"/>
  <c r="BQ374" i="7"/>
  <c r="BP374" i="7"/>
  <c r="BO374" i="7"/>
  <c r="BN374" i="7"/>
  <c r="BM374" i="7"/>
  <c r="BL374" i="7"/>
  <c r="BK374" i="7"/>
  <c r="BJ374" i="7"/>
  <c r="BI374" i="7"/>
  <c r="BH374" i="7"/>
  <c r="BG374" i="7"/>
  <c r="DD373" i="7"/>
  <c r="DC373" i="7"/>
  <c r="DB373" i="7"/>
  <c r="DA373" i="7"/>
  <c r="CZ373" i="7"/>
  <c r="CY373" i="7"/>
  <c r="CX373" i="7"/>
  <c r="CW373" i="7"/>
  <c r="CV373" i="7"/>
  <c r="CU373" i="7"/>
  <c r="CT373" i="7"/>
  <c r="CS373" i="7"/>
  <c r="CR373" i="7"/>
  <c r="CQ373" i="7"/>
  <c r="CP373" i="7"/>
  <c r="CO373" i="7"/>
  <c r="CN373" i="7"/>
  <c r="CM373" i="7"/>
  <c r="CL373" i="7"/>
  <c r="CK373" i="7"/>
  <c r="CJ373" i="7"/>
  <c r="CI373" i="7"/>
  <c r="CH373" i="7"/>
  <c r="CG373" i="7"/>
  <c r="CF373" i="7"/>
  <c r="CE373" i="7"/>
  <c r="CD373" i="7"/>
  <c r="CC373" i="7"/>
  <c r="CB373" i="7"/>
  <c r="CA373" i="7"/>
  <c r="BZ373" i="7"/>
  <c r="BY373" i="7"/>
  <c r="BX373" i="7"/>
  <c r="BW373" i="7"/>
  <c r="BV373" i="7"/>
  <c r="BU373" i="7"/>
  <c r="BT373" i="7"/>
  <c r="BS373" i="7"/>
  <c r="BR373" i="7"/>
  <c r="BQ373" i="7"/>
  <c r="BP373" i="7"/>
  <c r="BO373" i="7"/>
  <c r="BN373" i="7"/>
  <c r="BM373" i="7"/>
  <c r="BL373" i="7"/>
  <c r="BK373" i="7"/>
  <c r="BJ373" i="7"/>
  <c r="BI373" i="7"/>
  <c r="BH373" i="7"/>
  <c r="BG373" i="7"/>
  <c r="DD372" i="7"/>
  <c r="DC372" i="7"/>
  <c r="DB372" i="7"/>
  <c r="DA372" i="7"/>
  <c r="CZ372" i="7"/>
  <c r="CY372" i="7"/>
  <c r="CX372" i="7"/>
  <c r="CW372" i="7"/>
  <c r="CV372" i="7"/>
  <c r="CU372" i="7"/>
  <c r="CT372" i="7"/>
  <c r="CS372" i="7"/>
  <c r="CR372" i="7"/>
  <c r="CQ372" i="7"/>
  <c r="CP372" i="7"/>
  <c r="CO372" i="7"/>
  <c r="CN372" i="7"/>
  <c r="CM372" i="7"/>
  <c r="CL372" i="7"/>
  <c r="CK372" i="7"/>
  <c r="CJ372" i="7"/>
  <c r="CI372" i="7"/>
  <c r="CH372" i="7"/>
  <c r="CG372" i="7"/>
  <c r="CF372" i="7"/>
  <c r="CE372" i="7"/>
  <c r="CD372" i="7"/>
  <c r="CC372" i="7"/>
  <c r="CB372" i="7"/>
  <c r="CA372" i="7"/>
  <c r="BZ372" i="7"/>
  <c r="BY372" i="7"/>
  <c r="BX372" i="7"/>
  <c r="BW372" i="7"/>
  <c r="BV372" i="7"/>
  <c r="BU372" i="7"/>
  <c r="BT372" i="7"/>
  <c r="BR372" i="7"/>
  <c r="BQ372" i="7"/>
  <c r="BP372" i="7"/>
  <c r="BO372" i="7"/>
  <c r="BN372" i="7"/>
  <c r="BM372" i="7"/>
  <c r="BL372" i="7"/>
  <c r="BK372" i="7"/>
  <c r="BJ372" i="7"/>
  <c r="BI372" i="7"/>
  <c r="BH372" i="7"/>
  <c r="BG372" i="7"/>
  <c r="BS372" i="7"/>
  <c r="DD371" i="7"/>
  <c r="DC371" i="7"/>
  <c r="DB371" i="7"/>
  <c r="DA371" i="7"/>
  <c r="CZ371" i="7"/>
  <c r="CY371" i="7"/>
  <c r="CX371" i="7"/>
  <c r="CW371" i="7"/>
  <c r="CV371" i="7"/>
  <c r="CU371" i="7"/>
  <c r="CT371" i="7"/>
  <c r="CS371" i="7"/>
  <c r="CR371" i="7"/>
  <c r="CQ371" i="7"/>
  <c r="CP371" i="7"/>
  <c r="CO371" i="7"/>
  <c r="CN371" i="7"/>
  <c r="CM371" i="7"/>
  <c r="CL371" i="7"/>
  <c r="CK371" i="7"/>
  <c r="CJ371" i="7"/>
  <c r="CI371" i="7"/>
  <c r="CH371" i="7"/>
  <c r="CG371" i="7"/>
  <c r="CF371" i="7"/>
  <c r="CE371" i="7"/>
  <c r="CD371" i="7"/>
  <c r="CC371" i="7"/>
  <c r="CB371" i="7"/>
  <c r="CA371" i="7"/>
  <c r="BZ371" i="7"/>
  <c r="BY371" i="7"/>
  <c r="BX371" i="7"/>
  <c r="BW371" i="7"/>
  <c r="BV371" i="7"/>
  <c r="BU371" i="7"/>
  <c r="BT371" i="7"/>
  <c r="BQ371" i="7"/>
  <c r="BP371" i="7"/>
  <c r="BN371" i="7"/>
  <c r="BL371" i="7"/>
  <c r="BJ371" i="7"/>
  <c r="BH371" i="7"/>
  <c r="BG371" i="7"/>
  <c r="BS371" i="7"/>
  <c r="DD370" i="7"/>
  <c r="DC370" i="7"/>
  <c r="DB370" i="7"/>
  <c r="DA370" i="7"/>
  <c r="CZ370" i="7"/>
  <c r="CY370" i="7"/>
  <c r="CX370" i="7"/>
  <c r="CW370" i="7"/>
  <c r="CV370" i="7"/>
  <c r="CU370" i="7"/>
  <c r="CT370" i="7"/>
  <c r="CS370" i="7"/>
  <c r="CR370" i="7"/>
  <c r="CQ370" i="7"/>
  <c r="CP370" i="7"/>
  <c r="CO370" i="7"/>
  <c r="CN370" i="7"/>
  <c r="CM370" i="7"/>
  <c r="CL370" i="7"/>
  <c r="CK370" i="7"/>
  <c r="CJ370" i="7"/>
  <c r="CI370" i="7"/>
  <c r="CH370" i="7"/>
  <c r="CG370" i="7"/>
  <c r="CF370" i="7"/>
  <c r="CE370" i="7"/>
  <c r="CD370" i="7"/>
  <c r="CC370" i="7"/>
  <c r="CB370" i="7"/>
  <c r="CA370" i="7"/>
  <c r="BZ370" i="7"/>
  <c r="BY370" i="7"/>
  <c r="BX370" i="7"/>
  <c r="BW370" i="7"/>
  <c r="BV370" i="7"/>
  <c r="BI370" i="7"/>
  <c r="BH370" i="7"/>
  <c r="BU370" i="7"/>
  <c r="DD369" i="7"/>
  <c r="DC369" i="7"/>
  <c r="DB369" i="7"/>
  <c r="DA369" i="7"/>
  <c r="CZ369" i="7"/>
  <c r="CY369" i="7"/>
  <c r="CX369" i="7"/>
  <c r="CW369" i="7"/>
  <c r="CV369" i="7"/>
  <c r="CU369" i="7"/>
  <c r="CT369" i="7"/>
  <c r="CS369" i="7"/>
  <c r="CR369" i="7"/>
  <c r="CQ369" i="7"/>
  <c r="CP369" i="7"/>
  <c r="CO369" i="7"/>
  <c r="CN369" i="7"/>
  <c r="CM369" i="7"/>
  <c r="CL369" i="7"/>
  <c r="CK369" i="7"/>
  <c r="CJ369" i="7"/>
  <c r="CI369" i="7"/>
  <c r="CH369" i="7"/>
  <c r="CG369" i="7"/>
  <c r="CF369" i="7"/>
  <c r="CE369" i="7"/>
  <c r="CD369" i="7"/>
  <c r="CC369" i="7"/>
  <c r="CB369" i="7"/>
  <c r="CA369" i="7"/>
  <c r="BZ369" i="7"/>
  <c r="BY369" i="7"/>
  <c r="BX369" i="7"/>
  <c r="BW369" i="7"/>
  <c r="BV369" i="7"/>
  <c r="BU369" i="7"/>
  <c r="BT369" i="7"/>
  <c r="BS369" i="7"/>
  <c r="BR369" i="7"/>
  <c r="BQ369" i="7"/>
  <c r="BP369" i="7"/>
  <c r="BO369" i="7"/>
  <c r="BN369" i="7"/>
  <c r="BM369" i="7"/>
  <c r="BL369" i="7"/>
  <c r="BK369" i="7"/>
  <c r="BJ369" i="7"/>
  <c r="BI369" i="7"/>
  <c r="BH369" i="7"/>
  <c r="BG369" i="7"/>
  <c r="DD368" i="7"/>
  <c r="DC368" i="7"/>
  <c r="DB368" i="7"/>
  <c r="DA368" i="7"/>
  <c r="CZ368" i="7"/>
  <c r="CY368" i="7"/>
  <c r="CX368" i="7"/>
  <c r="CW368" i="7"/>
  <c r="CV368" i="7"/>
  <c r="CU368" i="7"/>
  <c r="CT368" i="7"/>
  <c r="CS368" i="7"/>
  <c r="CR368" i="7"/>
  <c r="CQ368" i="7"/>
  <c r="CP368" i="7"/>
  <c r="CO368" i="7"/>
  <c r="CN368" i="7"/>
  <c r="CM368" i="7"/>
  <c r="CL368" i="7"/>
  <c r="CK368" i="7"/>
  <c r="CJ368" i="7"/>
  <c r="CI368" i="7"/>
  <c r="CH368" i="7"/>
  <c r="CG368" i="7"/>
  <c r="CF368" i="7"/>
  <c r="CE368" i="7"/>
  <c r="CD368" i="7"/>
  <c r="CC368" i="7"/>
  <c r="CB368" i="7"/>
  <c r="CA368" i="7"/>
  <c r="BZ368" i="7"/>
  <c r="BY368" i="7"/>
  <c r="BX368" i="7"/>
  <c r="BW368" i="7"/>
  <c r="BV368" i="7"/>
  <c r="BU368" i="7"/>
  <c r="BT368" i="7"/>
  <c r="BS368" i="7"/>
  <c r="BR368" i="7"/>
  <c r="BQ368" i="7"/>
  <c r="BP368" i="7"/>
  <c r="BO368" i="7"/>
  <c r="BN368" i="7"/>
  <c r="BM368" i="7"/>
  <c r="BL368" i="7"/>
  <c r="BK368" i="7"/>
  <c r="BJ368" i="7"/>
  <c r="BI368" i="7"/>
  <c r="BH368" i="7"/>
  <c r="BG368" i="7"/>
  <c r="DD367" i="7"/>
  <c r="DC367" i="7"/>
  <c r="DB367" i="7"/>
  <c r="DA367" i="7"/>
  <c r="CZ367" i="7"/>
  <c r="CY367" i="7"/>
  <c r="CX367" i="7"/>
  <c r="CW367" i="7"/>
  <c r="CV367" i="7"/>
  <c r="CU367" i="7"/>
  <c r="CT367" i="7"/>
  <c r="CS367" i="7"/>
  <c r="CR367" i="7"/>
  <c r="CQ367" i="7"/>
  <c r="CP367" i="7"/>
  <c r="CO367" i="7"/>
  <c r="CN367" i="7"/>
  <c r="CM367" i="7"/>
  <c r="CL367" i="7"/>
  <c r="CK367" i="7"/>
  <c r="CJ367" i="7"/>
  <c r="CI367" i="7"/>
  <c r="CH367" i="7"/>
  <c r="CG367" i="7"/>
  <c r="CF367" i="7"/>
  <c r="CE367" i="7"/>
  <c r="CD367" i="7"/>
  <c r="CC367" i="7"/>
  <c r="CB367" i="7"/>
  <c r="CA367" i="7"/>
  <c r="BZ367" i="7"/>
  <c r="BY367" i="7"/>
  <c r="BX367" i="7"/>
  <c r="BW367" i="7"/>
  <c r="BV367" i="7"/>
  <c r="BU367" i="7"/>
  <c r="BT367" i="7"/>
  <c r="BS367" i="7"/>
  <c r="BR367" i="7"/>
  <c r="BQ367" i="7"/>
  <c r="BP367" i="7"/>
  <c r="BO367" i="7"/>
  <c r="BN367" i="7"/>
  <c r="BM367" i="7"/>
  <c r="BL367" i="7"/>
  <c r="BK367" i="7"/>
  <c r="BJ367" i="7"/>
  <c r="BI367" i="7"/>
  <c r="BH367" i="7"/>
  <c r="BG367" i="7"/>
  <c r="DD366" i="7"/>
  <c r="DC366" i="7"/>
  <c r="DB366" i="7"/>
  <c r="DA366" i="7"/>
  <c r="CZ366" i="7"/>
  <c r="CY366" i="7"/>
  <c r="CX366" i="7"/>
  <c r="CW366" i="7"/>
  <c r="CV366" i="7"/>
  <c r="CU366" i="7"/>
  <c r="CT366" i="7"/>
  <c r="CS366" i="7"/>
  <c r="CR366" i="7"/>
  <c r="CQ366" i="7"/>
  <c r="CP366" i="7"/>
  <c r="CO366" i="7"/>
  <c r="CN366" i="7"/>
  <c r="CM366" i="7"/>
  <c r="CL366" i="7"/>
  <c r="CK366" i="7"/>
  <c r="CJ366" i="7"/>
  <c r="CI366" i="7"/>
  <c r="CH366" i="7"/>
  <c r="CG366" i="7"/>
  <c r="CF366" i="7"/>
  <c r="CE366" i="7"/>
  <c r="CD366" i="7"/>
  <c r="CC366" i="7"/>
  <c r="CB366" i="7"/>
  <c r="CA366" i="7"/>
  <c r="BZ366" i="7"/>
  <c r="BY366" i="7"/>
  <c r="BX366" i="7"/>
  <c r="BW366" i="7"/>
  <c r="BV366" i="7"/>
  <c r="BU366" i="7"/>
  <c r="BT366" i="7"/>
  <c r="BS366" i="7"/>
  <c r="BR366" i="7"/>
  <c r="BQ366" i="7"/>
  <c r="BP366" i="7"/>
  <c r="BO366" i="7"/>
  <c r="BN366" i="7"/>
  <c r="BM366" i="7"/>
  <c r="BL366" i="7"/>
  <c r="BK366" i="7"/>
  <c r="BJ366" i="7"/>
  <c r="DD365" i="7"/>
  <c r="DC365" i="7"/>
  <c r="DB365" i="7"/>
  <c r="DA365" i="7"/>
  <c r="CZ365" i="7"/>
  <c r="CY365" i="7"/>
  <c r="CX365" i="7"/>
  <c r="CW365" i="7"/>
  <c r="CV365" i="7"/>
  <c r="CU365" i="7"/>
  <c r="CT365" i="7"/>
  <c r="CS365" i="7"/>
  <c r="CR365" i="7"/>
  <c r="CQ365" i="7"/>
  <c r="CP365" i="7"/>
  <c r="CO365" i="7"/>
  <c r="CN365" i="7"/>
  <c r="CM365" i="7"/>
  <c r="CL365" i="7"/>
  <c r="CK365" i="7"/>
  <c r="CJ365" i="7"/>
  <c r="CI365" i="7"/>
  <c r="CH365" i="7"/>
  <c r="CG365" i="7"/>
  <c r="CF365" i="7"/>
  <c r="CE365" i="7"/>
  <c r="CD365" i="7"/>
  <c r="CC365" i="7"/>
  <c r="CB365" i="7"/>
  <c r="CA365" i="7"/>
  <c r="BZ365" i="7"/>
  <c r="BY365" i="7"/>
  <c r="BX365" i="7"/>
  <c r="BW365" i="7"/>
  <c r="BV365" i="7"/>
  <c r="BT365" i="7"/>
  <c r="BS365" i="7"/>
  <c r="BR365" i="7"/>
  <c r="BP365" i="7"/>
  <c r="BO365" i="7"/>
  <c r="BN365" i="7"/>
  <c r="BM365" i="7"/>
  <c r="BK365" i="7"/>
  <c r="BJ365" i="7"/>
  <c r="BH365" i="7"/>
  <c r="BG365" i="7"/>
  <c r="BL365" i="7"/>
  <c r="DD364" i="7"/>
  <c r="DC364" i="7"/>
  <c r="DB364" i="7"/>
  <c r="DA364" i="7"/>
  <c r="CZ364" i="7"/>
  <c r="CY364" i="7"/>
  <c r="CX364" i="7"/>
  <c r="CW364" i="7"/>
  <c r="CV364" i="7"/>
  <c r="CU364" i="7"/>
  <c r="CT364" i="7"/>
  <c r="CS364" i="7"/>
  <c r="CR364" i="7"/>
  <c r="CQ364" i="7"/>
  <c r="CP364" i="7"/>
  <c r="CO364" i="7"/>
  <c r="CN364" i="7"/>
  <c r="CM364" i="7"/>
  <c r="CL364" i="7"/>
  <c r="CK364" i="7"/>
  <c r="CJ364" i="7"/>
  <c r="CI364" i="7"/>
  <c r="CH364" i="7"/>
  <c r="CG364" i="7"/>
  <c r="CF364" i="7"/>
  <c r="CE364" i="7"/>
  <c r="CD364" i="7"/>
  <c r="CC364" i="7"/>
  <c r="CB364" i="7"/>
  <c r="CA364" i="7"/>
  <c r="BZ364" i="7"/>
  <c r="BY364" i="7"/>
  <c r="BX364" i="7"/>
  <c r="BW364" i="7"/>
  <c r="BV364" i="7"/>
  <c r="BL364" i="7"/>
  <c r="BG364" i="7"/>
  <c r="BT364" i="7"/>
  <c r="DD363" i="7"/>
  <c r="DC363" i="7"/>
  <c r="DB363" i="7"/>
  <c r="DA363" i="7"/>
  <c r="CZ363" i="7"/>
  <c r="CY363" i="7"/>
  <c r="CX363" i="7"/>
  <c r="CW363" i="7"/>
  <c r="CV363" i="7"/>
  <c r="CU363" i="7"/>
  <c r="CT363" i="7"/>
  <c r="CS363" i="7"/>
  <c r="CR363" i="7"/>
  <c r="CQ363" i="7"/>
  <c r="CP363" i="7"/>
  <c r="CO363" i="7"/>
  <c r="CN363" i="7"/>
  <c r="CM363" i="7"/>
  <c r="CL363" i="7"/>
  <c r="CK363" i="7"/>
  <c r="CJ363" i="7"/>
  <c r="CI363" i="7"/>
  <c r="CH363" i="7"/>
  <c r="CG363" i="7"/>
  <c r="CF363" i="7"/>
  <c r="CE363" i="7"/>
  <c r="CD363" i="7"/>
  <c r="CC363" i="7"/>
  <c r="CB363" i="7"/>
  <c r="CA363" i="7"/>
  <c r="BZ363" i="7"/>
  <c r="BY363" i="7"/>
  <c r="BX363" i="7"/>
  <c r="BW363" i="7"/>
  <c r="BV363" i="7"/>
  <c r="BU363" i="7"/>
  <c r="BT363" i="7"/>
  <c r="BS363" i="7"/>
  <c r="BR363" i="7"/>
  <c r="BQ363" i="7"/>
  <c r="BP363" i="7"/>
  <c r="BO363" i="7"/>
  <c r="BN363" i="7"/>
  <c r="BM363" i="7"/>
  <c r="BL363" i="7"/>
  <c r="BK363" i="7"/>
  <c r="BJ363" i="7"/>
  <c r="BI363" i="7"/>
  <c r="BH363" i="7"/>
  <c r="BG363" i="7"/>
  <c r="DD362" i="7"/>
  <c r="DC362" i="7"/>
  <c r="DB362" i="7"/>
  <c r="DA362" i="7"/>
  <c r="CZ362" i="7"/>
  <c r="CY362" i="7"/>
  <c r="CX362" i="7"/>
  <c r="CW362" i="7"/>
  <c r="CV362" i="7"/>
  <c r="CU362" i="7"/>
  <c r="CT362" i="7"/>
  <c r="CS362" i="7"/>
  <c r="CR362" i="7"/>
  <c r="CQ362" i="7"/>
  <c r="CP362" i="7"/>
  <c r="CO362" i="7"/>
  <c r="CN362" i="7"/>
  <c r="CM362" i="7"/>
  <c r="CL362" i="7"/>
  <c r="CK362" i="7"/>
  <c r="CJ362" i="7"/>
  <c r="CI362" i="7"/>
  <c r="CH362" i="7"/>
  <c r="CG362" i="7"/>
  <c r="CF362" i="7"/>
  <c r="CE362" i="7"/>
  <c r="CD362" i="7"/>
  <c r="CC362" i="7"/>
  <c r="CB362" i="7"/>
  <c r="CA362" i="7"/>
  <c r="BZ362" i="7"/>
  <c r="BY362" i="7"/>
  <c r="BX362" i="7"/>
  <c r="BW362" i="7"/>
  <c r="BV362" i="7"/>
  <c r="BU362" i="7"/>
  <c r="BT362" i="7"/>
  <c r="BS362" i="7"/>
  <c r="BR362" i="7"/>
  <c r="BQ362" i="7"/>
  <c r="BP362" i="7"/>
  <c r="BO362" i="7"/>
  <c r="BN362" i="7"/>
  <c r="BM362" i="7"/>
  <c r="BL362" i="7"/>
  <c r="BK362" i="7"/>
  <c r="BJ362" i="7"/>
  <c r="BI362" i="7"/>
  <c r="BH362" i="7"/>
  <c r="BG362" i="7"/>
  <c r="DD361" i="7"/>
  <c r="DC361" i="7"/>
  <c r="DB361" i="7"/>
  <c r="DA361" i="7"/>
  <c r="CZ361" i="7"/>
  <c r="CY361" i="7"/>
  <c r="CX361" i="7"/>
  <c r="CW361" i="7"/>
  <c r="CV361" i="7"/>
  <c r="CU361" i="7"/>
  <c r="CT361" i="7"/>
  <c r="CS361" i="7"/>
  <c r="CR361" i="7"/>
  <c r="CQ361" i="7"/>
  <c r="CP361" i="7"/>
  <c r="CO361" i="7"/>
  <c r="CN361" i="7"/>
  <c r="CM361" i="7"/>
  <c r="CL361" i="7"/>
  <c r="CK361" i="7"/>
  <c r="CJ361" i="7"/>
  <c r="CI361" i="7"/>
  <c r="CH361" i="7"/>
  <c r="CG361" i="7"/>
  <c r="CF361" i="7"/>
  <c r="CE361" i="7"/>
  <c r="CD361" i="7"/>
  <c r="CC361" i="7"/>
  <c r="CB361" i="7"/>
  <c r="CA361" i="7"/>
  <c r="BZ361" i="7"/>
  <c r="BY361" i="7"/>
  <c r="BX361" i="7"/>
  <c r="BW361" i="7"/>
  <c r="BV361" i="7"/>
  <c r="BU361" i="7"/>
  <c r="BT361" i="7"/>
  <c r="BS361" i="7"/>
  <c r="BR361" i="7"/>
  <c r="BQ361" i="7"/>
  <c r="BP361" i="7"/>
  <c r="BO361" i="7"/>
  <c r="BN361" i="7"/>
  <c r="BM361" i="7"/>
  <c r="BL361" i="7"/>
  <c r="BK361" i="7"/>
  <c r="BJ361" i="7"/>
  <c r="BI361" i="7"/>
  <c r="BH361" i="7"/>
  <c r="BG361" i="7"/>
  <c r="DD360" i="7"/>
  <c r="DC360" i="7"/>
  <c r="DB360" i="7"/>
  <c r="DA360" i="7"/>
  <c r="CZ360" i="7"/>
  <c r="CY360" i="7"/>
  <c r="CX360" i="7"/>
  <c r="CW360" i="7"/>
  <c r="CV360" i="7"/>
  <c r="CU360" i="7"/>
  <c r="CT360" i="7"/>
  <c r="CS360" i="7"/>
  <c r="CR360" i="7"/>
  <c r="CQ360" i="7"/>
  <c r="CP360" i="7"/>
  <c r="CO360" i="7"/>
  <c r="CN360" i="7"/>
  <c r="CM360" i="7"/>
  <c r="CL360" i="7"/>
  <c r="CK360" i="7"/>
  <c r="CJ360" i="7"/>
  <c r="CI360" i="7"/>
  <c r="CH360" i="7"/>
  <c r="CG360" i="7"/>
  <c r="CF360" i="7"/>
  <c r="CE360" i="7"/>
  <c r="CD360" i="7"/>
  <c r="CC360" i="7"/>
  <c r="CB360" i="7"/>
  <c r="CA360" i="7"/>
  <c r="BZ360" i="7"/>
  <c r="BY360" i="7"/>
  <c r="BX360" i="7"/>
  <c r="BW360" i="7"/>
  <c r="BV360" i="7"/>
  <c r="BU360" i="7"/>
  <c r="BT360" i="7"/>
  <c r="BS360" i="7"/>
  <c r="BR360" i="7"/>
  <c r="BQ360" i="7"/>
  <c r="BP360" i="7"/>
  <c r="BO360" i="7"/>
  <c r="BN360" i="7"/>
  <c r="BM360" i="7"/>
  <c r="BL360" i="7"/>
  <c r="BK360" i="7"/>
  <c r="BJ360" i="7"/>
  <c r="BI360" i="7"/>
  <c r="BG360" i="7"/>
  <c r="DD359" i="7"/>
  <c r="DC359" i="7"/>
  <c r="DB359" i="7"/>
  <c r="DA359" i="7"/>
  <c r="CZ359" i="7"/>
  <c r="CY359" i="7"/>
  <c r="CX359" i="7"/>
  <c r="CW359" i="7"/>
  <c r="CV359" i="7"/>
  <c r="CU359" i="7"/>
  <c r="CT359" i="7"/>
  <c r="CS359" i="7"/>
  <c r="CR359" i="7"/>
  <c r="CQ359" i="7"/>
  <c r="CP359" i="7"/>
  <c r="CO359" i="7"/>
  <c r="CN359" i="7"/>
  <c r="CM359" i="7"/>
  <c r="CL359" i="7"/>
  <c r="CK359" i="7"/>
  <c r="CJ359" i="7"/>
  <c r="CI359" i="7"/>
  <c r="CH359" i="7"/>
  <c r="CG359" i="7"/>
  <c r="CF359" i="7"/>
  <c r="CE359" i="7"/>
  <c r="CD359" i="7"/>
  <c r="CC359" i="7"/>
  <c r="CB359" i="7"/>
  <c r="CA359" i="7"/>
  <c r="BZ359" i="7"/>
  <c r="BY359" i="7"/>
  <c r="BX359" i="7"/>
  <c r="BW359" i="7"/>
  <c r="BV359" i="7"/>
  <c r="BU359" i="7"/>
  <c r="BT359" i="7"/>
  <c r="BS359" i="7"/>
  <c r="BR359" i="7"/>
  <c r="BQ359" i="7"/>
  <c r="BP359" i="7"/>
  <c r="BO359" i="7"/>
  <c r="BN359" i="7"/>
  <c r="BM359" i="7"/>
  <c r="BL359" i="7"/>
  <c r="BK359" i="7"/>
  <c r="BJ359" i="7"/>
  <c r="BI359" i="7"/>
  <c r="BH359" i="7"/>
  <c r="BG359" i="7"/>
  <c r="DD358" i="7"/>
  <c r="DC358" i="7"/>
  <c r="DB358" i="7"/>
  <c r="DA358" i="7"/>
  <c r="CZ358" i="7"/>
  <c r="CY358" i="7"/>
  <c r="CX358" i="7"/>
  <c r="CW358" i="7"/>
  <c r="CV358" i="7"/>
  <c r="CU358" i="7"/>
  <c r="CT358" i="7"/>
  <c r="CS358" i="7"/>
  <c r="CR358" i="7"/>
  <c r="CQ358" i="7"/>
  <c r="CP358" i="7"/>
  <c r="CO358" i="7"/>
  <c r="CN358" i="7"/>
  <c r="CM358" i="7"/>
  <c r="CL358" i="7"/>
  <c r="CK358" i="7"/>
  <c r="CJ358" i="7"/>
  <c r="CI358" i="7"/>
  <c r="CH358" i="7"/>
  <c r="CG358" i="7"/>
  <c r="CF358" i="7"/>
  <c r="CE358" i="7"/>
  <c r="CD358" i="7"/>
  <c r="CC358" i="7"/>
  <c r="CB358" i="7"/>
  <c r="CA358" i="7"/>
  <c r="BZ358" i="7"/>
  <c r="BY358" i="7"/>
  <c r="BX358" i="7"/>
  <c r="BW358" i="7"/>
  <c r="BV358" i="7"/>
  <c r="BU358" i="7"/>
  <c r="BT358" i="7"/>
  <c r="BS358" i="7"/>
  <c r="BR358" i="7"/>
  <c r="BQ358" i="7"/>
  <c r="BP358" i="7"/>
  <c r="BO358" i="7"/>
  <c r="BN358" i="7"/>
  <c r="BM358" i="7"/>
  <c r="BL358" i="7"/>
  <c r="BK358" i="7"/>
  <c r="BJ358" i="7"/>
  <c r="BI358" i="7"/>
  <c r="BH358" i="7"/>
  <c r="BG358" i="7"/>
  <c r="DD357" i="7"/>
  <c r="DC357" i="7"/>
  <c r="DB357" i="7"/>
  <c r="DA357" i="7"/>
  <c r="CZ357" i="7"/>
  <c r="CY357" i="7"/>
  <c r="CX357" i="7"/>
  <c r="CW357" i="7"/>
  <c r="CV357" i="7"/>
  <c r="CU357" i="7"/>
  <c r="CT357" i="7"/>
  <c r="CS357" i="7"/>
  <c r="CR357" i="7"/>
  <c r="CQ357" i="7"/>
  <c r="CP357" i="7"/>
  <c r="CO357" i="7"/>
  <c r="CN357" i="7"/>
  <c r="CM357" i="7"/>
  <c r="CL357" i="7"/>
  <c r="CK357" i="7"/>
  <c r="CJ357" i="7"/>
  <c r="CI357" i="7"/>
  <c r="CH357" i="7"/>
  <c r="CG357" i="7"/>
  <c r="CF357" i="7"/>
  <c r="CE357" i="7"/>
  <c r="CD357" i="7"/>
  <c r="CC357" i="7"/>
  <c r="CB357" i="7"/>
  <c r="CA357" i="7"/>
  <c r="BZ357" i="7"/>
  <c r="BY357" i="7"/>
  <c r="BX357" i="7"/>
  <c r="BW357" i="7"/>
  <c r="BV357" i="7"/>
  <c r="BU357" i="7"/>
  <c r="BT357" i="7"/>
  <c r="BS357" i="7"/>
  <c r="BR357" i="7"/>
  <c r="BQ357" i="7"/>
  <c r="BP357" i="7"/>
  <c r="BO357" i="7"/>
  <c r="BN357" i="7"/>
  <c r="BM357" i="7"/>
  <c r="BL357" i="7"/>
  <c r="BK357" i="7"/>
  <c r="BJ357" i="7"/>
  <c r="BI357" i="7"/>
  <c r="BH357" i="7"/>
  <c r="BG357" i="7"/>
  <c r="DD356" i="7"/>
  <c r="DC356" i="7"/>
  <c r="DB356" i="7"/>
  <c r="DA356" i="7"/>
  <c r="CZ356" i="7"/>
  <c r="CY356" i="7"/>
  <c r="CX356" i="7"/>
  <c r="CW356" i="7"/>
  <c r="CV356" i="7"/>
  <c r="CU356" i="7"/>
  <c r="CT356" i="7"/>
  <c r="CS356" i="7"/>
  <c r="CR356" i="7"/>
  <c r="CQ356" i="7"/>
  <c r="CP356" i="7"/>
  <c r="CO356" i="7"/>
  <c r="CN356" i="7"/>
  <c r="CM356" i="7"/>
  <c r="CL356" i="7"/>
  <c r="CK356" i="7"/>
  <c r="CJ356" i="7"/>
  <c r="CI356" i="7"/>
  <c r="CH356" i="7"/>
  <c r="CG356" i="7"/>
  <c r="CF356" i="7"/>
  <c r="CE356" i="7"/>
  <c r="CD356" i="7"/>
  <c r="CC356" i="7"/>
  <c r="CB356" i="7"/>
  <c r="CA356" i="7"/>
  <c r="BZ356" i="7"/>
  <c r="BY356" i="7"/>
  <c r="BX356" i="7"/>
  <c r="BW356" i="7"/>
  <c r="BV356" i="7"/>
  <c r="BU356" i="7"/>
  <c r="BT356" i="7"/>
  <c r="BS356" i="7"/>
  <c r="BR356" i="7"/>
  <c r="BQ356" i="7"/>
  <c r="BP356" i="7"/>
  <c r="BO356" i="7"/>
  <c r="BN356" i="7"/>
  <c r="BM356" i="7"/>
  <c r="BL356" i="7"/>
  <c r="BK356" i="7"/>
  <c r="BJ356" i="7"/>
  <c r="BI356" i="7"/>
  <c r="BH356" i="7"/>
  <c r="BG356" i="7"/>
  <c r="DD355" i="7"/>
  <c r="DC355" i="7"/>
  <c r="DB355" i="7"/>
  <c r="DA355" i="7"/>
  <c r="CZ355" i="7"/>
  <c r="CY355" i="7"/>
  <c r="CX355" i="7"/>
  <c r="CW355" i="7"/>
  <c r="CV355" i="7"/>
  <c r="CU355" i="7"/>
  <c r="CT355" i="7"/>
  <c r="CS355" i="7"/>
  <c r="CR355" i="7"/>
  <c r="CQ355" i="7"/>
  <c r="CP355" i="7"/>
  <c r="CO355" i="7"/>
  <c r="CN355" i="7"/>
  <c r="CM355" i="7"/>
  <c r="CL355" i="7"/>
  <c r="CK355" i="7"/>
  <c r="CJ355" i="7"/>
  <c r="CI355" i="7"/>
  <c r="CH355" i="7"/>
  <c r="CG355" i="7"/>
  <c r="CF355" i="7"/>
  <c r="CE355" i="7"/>
  <c r="CD355" i="7"/>
  <c r="CC355" i="7"/>
  <c r="CB355" i="7"/>
  <c r="CA355" i="7"/>
  <c r="BZ355" i="7"/>
  <c r="BY355" i="7"/>
  <c r="BX355" i="7"/>
  <c r="BW355" i="7"/>
  <c r="BV355" i="7"/>
  <c r="BU355" i="7"/>
  <c r="BT355" i="7"/>
  <c r="BS355" i="7"/>
  <c r="BR355" i="7"/>
  <c r="BQ355" i="7"/>
  <c r="BP355" i="7"/>
  <c r="BO355" i="7"/>
  <c r="BN355" i="7"/>
  <c r="BM355" i="7"/>
  <c r="BL355" i="7"/>
  <c r="BK355" i="7"/>
  <c r="BJ355" i="7"/>
  <c r="BI355" i="7"/>
  <c r="BH355" i="7"/>
  <c r="BG355" i="7"/>
  <c r="DD354" i="7"/>
  <c r="DC354" i="7"/>
  <c r="DB354" i="7"/>
  <c r="DA354" i="7"/>
  <c r="CZ354" i="7"/>
  <c r="CY354" i="7"/>
  <c r="CX354" i="7"/>
  <c r="CW354" i="7"/>
  <c r="CV354" i="7"/>
  <c r="CU354" i="7"/>
  <c r="CT354" i="7"/>
  <c r="CS354" i="7"/>
  <c r="CR354" i="7"/>
  <c r="CQ354" i="7"/>
  <c r="CP354" i="7"/>
  <c r="CO354" i="7"/>
  <c r="CN354" i="7"/>
  <c r="CM354" i="7"/>
  <c r="CL354" i="7"/>
  <c r="CK354" i="7"/>
  <c r="CJ354" i="7"/>
  <c r="CI354" i="7"/>
  <c r="CH354" i="7"/>
  <c r="CG354" i="7"/>
  <c r="CF354" i="7"/>
  <c r="CE354" i="7"/>
  <c r="CD354" i="7"/>
  <c r="CC354" i="7"/>
  <c r="CB354" i="7"/>
  <c r="CA354" i="7"/>
  <c r="BZ354" i="7"/>
  <c r="BY354" i="7"/>
  <c r="BX354" i="7"/>
  <c r="BW354" i="7"/>
  <c r="BV354" i="7"/>
  <c r="BU354" i="7"/>
  <c r="BT354" i="7"/>
  <c r="BS354" i="7"/>
  <c r="BR354" i="7"/>
  <c r="BQ354" i="7"/>
  <c r="BP354" i="7"/>
  <c r="BO354" i="7"/>
  <c r="BN354" i="7"/>
  <c r="BM354" i="7"/>
  <c r="BL354" i="7"/>
  <c r="BK354" i="7"/>
  <c r="BJ354" i="7"/>
  <c r="BI354" i="7"/>
  <c r="BH354" i="7"/>
  <c r="BG354" i="7"/>
  <c r="DD353" i="7"/>
  <c r="DC353" i="7"/>
  <c r="DB353" i="7"/>
  <c r="DA353" i="7"/>
  <c r="CZ353" i="7"/>
  <c r="CY353" i="7"/>
  <c r="CX353" i="7"/>
  <c r="CW353" i="7"/>
  <c r="CV353" i="7"/>
  <c r="CU353" i="7"/>
  <c r="CT353" i="7"/>
  <c r="CS353" i="7"/>
  <c r="CR353" i="7"/>
  <c r="CQ353" i="7"/>
  <c r="CP353" i="7"/>
  <c r="CO353" i="7"/>
  <c r="CN353" i="7"/>
  <c r="CM353" i="7"/>
  <c r="CL353" i="7"/>
  <c r="CK353" i="7"/>
  <c r="CJ353" i="7"/>
  <c r="CI353" i="7"/>
  <c r="CH353" i="7"/>
  <c r="CG353" i="7"/>
  <c r="CF353" i="7"/>
  <c r="CE353" i="7"/>
  <c r="CD353" i="7"/>
  <c r="CC353" i="7"/>
  <c r="CB353" i="7"/>
  <c r="CA353" i="7"/>
  <c r="BZ353" i="7"/>
  <c r="BY353" i="7"/>
  <c r="BX353" i="7"/>
  <c r="BW353" i="7"/>
  <c r="BV353" i="7"/>
  <c r="BU353" i="7"/>
  <c r="BT353" i="7"/>
  <c r="BS353" i="7"/>
  <c r="BR353" i="7"/>
  <c r="BQ353" i="7"/>
  <c r="BP353" i="7"/>
  <c r="BO353" i="7"/>
  <c r="BN353" i="7"/>
  <c r="BM353" i="7"/>
  <c r="BL353" i="7"/>
  <c r="BK353" i="7"/>
  <c r="BJ353" i="7"/>
  <c r="BI353" i="7"/>
  <c r="BH353" i="7"/>
  <c r="BG353" i="7"/>
  <c r="DD352" i="7"/>
  <c r="DC352" i="7"/>
  <c r="DB352" i="7"/>
  <c r="DA352" i="7"/>
  <c r="CZ352" i="7"/>
  <c r="CY352" i="7"/>
  <c r="CX352" i="7"/>
  <c r="CW352" i="7"/>
  <c r="CV352" i="7"/>
  <c r="CU352" i="7"/>
  <c r="CT352" i="7"/>
  <c r="CS352" i="7"/>
  <c r="CR352" i="7"/>
  <c r="CQ352" i="7"/>
  <c r="CP352" i="7"/>
  <c r="CO352" i="7"/>
  <c r="CN352" i="7"/>
  <c r="CM352" i="7"/>
  <c r="CL352" i="7"/>
  <c r="CK352" i="7"/>
  <c r="CJ352" i="7"/>
  <c r="CI352" i="7"/>
  <c r="CH352" i="7"/>
  <c r="CG352" i="7"/>
  <c r="CF352" i="7"/>
  <c r="CE352" i="7"/>
  <c r="CD352" i="7"/>
  <c r="CC352" i="7"/>
  <c r="CB352" i="7"/>
  <c r="CA352" i="7"/>
  <c r="BZ352" i="7"/>
  <c r="BY352" i="7"/>
  <c r="BX352" i="7"/>
  <c r="BW352" i="7"/>
  <c r="BV352" i="7"/>
  <c r="BU352" i="7"/>
  <c r="BT352" i="7"/>
  <c r="BS352" i="7"/>
  <c r="BR352" i="7"/>
  <c r="BQ352" i="7"/>
  <c r="BP352" i="7"/>
  <c r="BO352" i="7"/>
  <c r="BN352" i="7"/>
  <c r="BM352" i="7"/>
  <c r="BL352" i="7"/>
  <c r="BK352" i="7"/>
  <c r="BJ352" i="7"/>
  <c r="BI352" i="7"/>
  <c r="BH352" i="7"/>
  <c r="BG352" i="7"/>
  <c r="DD351" i="7"/>
  <c r="DC351" i="7"/>
  <c r="DB351" i="7"/>
  <c r="DA351" i="7"/>
  <c r="CZ351" i="7"/>
  <c r="CY351" i="7"/>
  <c r="CX351" i="7"/>
  <c r="CW351" i="7"/>
  <c r="CV351" i="7"/>
  <c r="CU351" i="7"/>
  <c r="CT351" i="7"/>
  <c r="CS351" i="7"/>
  <c r="CR351" i="7"/>
  <c r="CQ351" i="7"/>
  <c r="CP351" i="7"/>
  <c r="CO351" i="7"/>
  <c r="CN351" i="7"/>
  <c r="CM351" i="7"/>
  <c r="CL351" i="7"/>
  <c r="CK351" i="7"/>
  <c r="CJ351" i="7"/>
  <c r="CI351" i="7"/>
  <c r="CH351" i="7"/>
  <c r="CG351" i="7"/>
  <c r="CF351" i="7"/>
  <c r="CE351" i="7"/>
  <c r="CD351" i="7"/>
  <c r="CC351" i="7"/>
  <c r="CB351" i="7"/>
  <c r="CA351" i="7"/>
  <c r="BZ351" i="7"/>
  <c r="BY351" i="7"/>
  <c r="BX351" i="7"/>
  <c r="BW351" i="7"/>
  <c r="BV351" i="7"/>
  <c r="BU351" i="7"/>
  <c r="BT351" i="7"/>
  <c r="BS351" i="7"/>
  <c r="BR351" i="7"/>
  <c r="BQ351" i="7"/>
  <c r="BP351" i="7"/>
  <c r="BO351" i="7"/>
  <c r="BN351" i="7"/>
  <c r="BM351" i="7"/>
  <c r="BL351" i="7"/>
  <c r="BK351" i="7"/>
  <c r="BJ351" i="7"/>
  <c r="BI351" i="7"/>
  <c r="BH351" i="7"/>
  <c r="BG351" i="7"/>
  <c r="DD350" i="7"/>
  <c r="DC350" i="7"/>
  <c r="DB350" i="7"/>
  <c r="DA350" i="7"/>
  <c r="CZ350" i="7"/>
  <c r="CY350" i="7"/>
  <c r="CX350" i="7"/>
  <c r="CW350" i="7"/>
  <c r="CV350" i="7"/>
  <c r="CU350" i="7"/>
  <c r="CT350" i="7"/>
  <c r="CS350" i="7"/>
  <c r="CR350" i="7"/>
  <c r="CQ350" i="7"/>
  <c r="CP350" i="7"/>
  <c r="CO350" i="7"/>
  <c r="CN350" i="7"/>
  <c r="CM350" i="7"/>
  <c r="CL350" i="7"/>
  <c r="CK350" i="7"/>
  <c r="CJ350" i="7"/>
  <c r="CI350" i="7"/>
  <c r="CH350" i="7"/>
  <c r="CG350" i="7"/>
  <c r="CF350" i="7"/>
  <c r="CE350" i="7"/>
  <c r="CD350" i="7"/>
  <c r="CC350" i="7"/>
  <c r="CB350" i="7"/>
  <c r="CA350" i="7"/>
  <c r="BZ350" i="7"/>
  <c r="BY350" i="7"/>
  <c r="BX350" i="7"/>
  <c r="BW350" i="7"/>
  <c r="BV350" i="7"/>
  <c r="BU350" i="7"/>
  <c r="BT350" i="7"/>
  <c r="BS350" i="7"/>
  <c r="BR350" i="7"/>
  <c r="BQ350" i="7"/>
  <c r="BP350" i="7"/>
  <c r="BO350" i="7"/>
  <c r="BN350" i="7"/>
  <c r="BM350" i="7"/>
  <c r="BL350" i="7"/>
  <c r="BK350" i="7"/>
  <c r="BJ350" i="7"/>
  <c r="BI350" i="7"/>
  <c r="BH350" i="7"/>
  <c r="BG350" i="7"/>
  <c r="DD349" i="7"/>
  <c r="DC349" i="7"/>
  <c r="DB349" i="7"/>
  <c r="DA349" i="7"/>
  <c r="CZ349" i="7"/>
  <c r="CY349" i="7"/>
  <c r="CX349" i="7"/>
  <c r="CW349" i="7"/>
  <c r="CV349" i="7"/>
  <c r="CU349" i="7"/>
  <c r="CT349" i="7"/>
  <c r="CS349" i="7"/>
  <c r="CR349" i="7"/>
  <c r="CQ349" i="7"/>
  <c r="CP349" i="7"/>
  <c r="CO349" i="7"/>
  <c r="CN349" i="7"/>
  <c r="CM349" i="7"/>
  <c r="CL349" i="7"/>
  <c r="CK349" i="7"/>
  <c r="CJ349" i="7"/>
  <c r="CI349" i="7"/>
  <c r="CH349" i="7"/>
  <c r="CG349" i="7"/>
  <c r="CF349" i="7"/>
  <c r="CE349" i="7"/>
  <c r="CD349" i="7"/>
  <c r="CC349" i="7"/>
  <c r="CB349" i="7"/>
  <c r="CA349" i="7"/>
  <c r="BZ349" i="7"/>
  <c r="BY349" i="7"/>
  <c r="BX349" i="7"/>
  <c r="BW349" i="7"/>
  <c r="BV349" i="7"/>
  <c r="BU349" i="7"/>
  <c r="BT349" i="7"/>
  <c r="BS349" i="7"/>
  <c r="BR349" i="7"/>
  <c r="BQ349" i="7"/>
  <c r="BP349" i="7"/>
  <c r="BO349" i="7"/>
  <c r="BN349" i="7"/>
  <c r="BM349" i="7"/>
  <c r="BL349" i="7"/>
  <c r="BK349" i="7"/>
  <c r="BJ349" i="7"/>
  <c r="BI349" i="7"/>
  <c r="BH349" i="7"/>
  <c r="BG349" i="7"/>
  <c r="DD348" i="7"/>
  <c r="DC348" i="7"/>
  <c r="DB348" i="7"/>
  <c r="DA348" i="7"/>
  <c r="CZ348" i="7"/>
  <c r="CY348" i="7"/>
  <c r="CX348" i="7"/>
  <c r="CW348" i="7"/>
  <c r="CV348" i="7"/>
  <c r="CU348" i="7"/>
  <c r="CT348" i="7"/>
  <c r="CS348" i="7"/>
  <c r="CR348" i="7"/>
  <c r="CQ348" i="7"/>
  <c r="CP348" i="7"/>
  <c r="CO348" i="7"/>
  <c r="CN348" i="7"/>
  <c r="CM348" i="7"/>
  <c r="CL348" i="7"/>
  <c r="CK348" i="7"/>
  <c r="CJ348" i="7"/>
  <c r="CI348" i="7"/>
  <c r="CH348" i="7"/>
  <c r="CG348" i="7"/>
  <c r="CF348" i="7"/>
  <c r="CE348" i="7"/>
  <c r="CD348" i="7"/>
  <c r="CC348" i="7"/>
  <c r="CB348" i="7"/>
  <c r="CA348" i="7"/>
  <c r="BZ348" i="7"/>
  <c r="BY348" i="7"/>
  <c r="BX348" i="7"/>
  <c r="BW348" i="7"/>
  <c r="BV348" i="7"/>
  <c r="BU348" i="7"/>
  <c r="BT348" i="7"/>
  <c r="BS348" i="7"/>
  <c r="BR348" i="7"/>
  <c r="BQ348" i="7"/>
  <c r="BP348" i="7"/>
  <c r="BO348" i="7"/>
  <c r="BN348" i="7"/>
  <c r="BM348" i="7"/>
  <c r="BL348" i="7"/>
  <c r="BK348" i="7"/>
  <c r="BJ348" i="7"/>
  <c r="BI348" i="7"/>
  <c r="BH348" i="7"/>
  <c r="BG348" i="7"/>
  <c r="DD347" i="7"/>
  <c r="DC347" i="7"/>
  <c r="DB347" i="7"/>
  <c r="DA347" i="7"/>
  <c r="CZ347" i="7"/>
  <c r="CY347" i="7"/>
  <c r="CX347" i="7"/>
  <c r="CW347" i="7"/>
  <c r="CV347" i="7"/>
  <c r="CU347" i="7"/>
  <c r="CT347" i="7"/>
  <c r="CS347" i="7"/>
  <c r="CR347" i="7"/>
  <c r="CQ347" i="7"/>
  <c r="CP347" i="7"/>
  <c r="CO347" i="7"/>
  <c r="CN347" i="7"/>
  <c r="CM347" i="7"/>
  <c r="CL347" i="7"/>
  <c r="CK347" i="7"/>
  <c r="CJ347" i="7"/>
  <c r="CI347" i="7"/>
  <c r="CH347" i="7"/>
  <c r="CG347" i="7"/>
  <c r="CF347" i="7"/>
  <c r="CE347" i="7"/>
  <c r="CD347" i="7"/>
  <c r="CC347" i="7"/>
  <c r="CB347" i="7"/>
  <c r="CA347" i="7"/>
  <c r="BZ347" i="7"/>
  <c r="BY347" i="7"/>
  <c r="BX347" i="7"/>
  <c r="BW347" i="7"/>
  <c r="BV347" i="7"/>
  <c r="BU347" i="7"/>
  <c r="BT347" i="7"/>
  <c r="BS347" i="7"/>
  <c r="BR347" i="7"/>
  <c r="BQ347" i="7"/>
  <c r="BP347" i="7"/>
  <c r="BO347" i="7"/>
  <c r="BN347" i="7"/>
  <c r="BM347" i="7"/>
  <c r="BL347" i="7"/>
  <c r="BK347" i="7"/>
  <c r="BJ347" i="7"/>
  <c r="BI347" i="7"/>
  <c r="BH347" i="7"/>
  <c r="BG347" i="7"/>
  <c r="DD346" i="7"/>
  <c r="DC346" i="7"/>
  <c r="DB346" i="7"/>
  <c r="DA346" i="7"/>
  <c r="CZ346" i="7"/>
  <c r="CY346" i="7"/>
  <c r="CX346" i="7"/>
  <c r="CW346" i="7"/>
  <c r="CV346" i="7"/>
  <c r="CU346" i="7"/>
  <c r="CT346" i="7"/>
  <c r="CS346" i="7"/>
  <c r="CR346" i="7"/>
  <c r="CQ346" i="7"/>
  <c r="CP346" i="7"/>
  <c r="CO346" i="7"/>
  <c r="CN346" i="7"/>
  <c r="CM346" i="7"/>
  <c r="CL346" i="7"/>
  <c r="CK346" i="7"/>
  <c r="CJ346" i="7"/>
  <c r="CI346" i="7"/>
  <c r="CH346" i="7"/>
  <c r="CG346" i="7"/>
  <c r="CF346" i="7"/>
  <c r="CE346" i="7"/>
  <c r="CD346" i="7"/>
  <c r="CC346" i="7"/>
  <c r="CB346" i="7"/>
  <c r="CA346" i="7"/>
  <c r="BZ346" i="7"/>
  <c r="BY346" i="7"/>
  <c r="BX346" i="7"/>
  <c r="BW346" i="7"/>
  <c r="BV346" i="7"/>
  <c r="BU346" i="7"/>
  <c r="BT346" i="7"/>
  <c r="BS346" i="7"/>
  <c r="BR346" i="7"/>
  <c r="BQ346" i="7"/>
  <c r="BP346" i="7"/>
  <c r="BO346" i="7"/>
  <c r="BN346" i="7"/>
  <c r="BM346" i="7"/>
  <c r="BL346" i="7"/>
  <c r="BK346" i="7"/>
  <c r="BJ346" i="7"/>
  <c r="BI346" i="7"/>
  <c r="BH346" i="7"/>
  <c r="BG346" i="7"/>
  <c r="DD345" i="7"/>
  <c r="DC345" i="7"/>
  <c r="DB345" i="7"/>
  <c r="DA345" i="7"/>
  <c r="CZ345" i="7"/>
  <c r="CY345" i="7"/>
  <c r="CX345" i="7"/>
  <c r="CW345" i="7"/>
  <c r="CV345" i="7"/>
  <c r="CU345" i="7"/>
  <c r="CT345" i="7"/>
  <c r="CS345" i="7"/>
  <c r="CR345" i="7"/>
  <c r="CQ345" i="7"/>
  <c r="CP345" i="7"/>
  <c r="CO345" i="7"/>
  <c r="CN345" i="7"/>
  <c r="CM345" i="7"/>
  <c r="CL345" i="7"/>
  <c r="CK345" i="7"/>
  <c r="CJ345" i="7"/>
  <c r="CI345" i="7"/>
  <c r="CH345" i="7"/>
  <c r="CG345" i="7"/>
  <c r="CF345" i="7"/>
  <c r="CE345" i="7"/>
  <c r="CD345" i="7"/>
  <c r="CC345" i="7"/>
  <c r="CB345" i="7"/>
  <c r="CA345" i="7"/>
  <c r="BZ345" i="7"/>
  <c r="BY345" i="7"/>
  <c r="BX345" i="7"/>
  <c r="BW345" i="7"/>
  <c r="BV345" i="7"/>
  <c r="BU345" i="7"/>
  <c r="BT345" i="7"/>
  <c r="BS345" i="7"/>
  <c r="BR345" i="7"/>
  <c r="BQ345" i="7"/>
  <c r="BP345" i="7"/>
  <c r="BO345" i="7"/>
  <c r="BN345" i="7"/>
  <c r="BM345" i="7"/>
  <c r="BL345" i="7"/>
  <c r="BK345" i="7"/>
  <c r="BJ345" i="7"/>
  <c r="BI345" i="7"/>
  <c r="BH345" i="7"/>
  <c r="BG345" i="7"/>
  <c r="DD344" i="7"/>
  <c r="DC344" i="7"/>
  <c r="DB344" i="7"/>
  <c r="DA344" i="7"/>
  <c r="CZ344" i="7"/>
  <c r="CY344" i="7"/>
  <c r="CX344" i="7"/>
  <c r="CW344" i="7"/>
  <c r="CV344" i="7"/>
  <c r="CU344" i="7"/>
  <c r="CT344" i="7"/>
  <c r="CS344" i="7"/>
  <c r="CR344" i="7"/>
  <c r="CQ344" i="7"/>
  <c r="CP344" i="7"/>
  <c r="CO344" i="7"/>
  <c r="CN344" i="7"/>
  <c r="CM344" i="7"/>
  <c r="CL344" i="7"/>
  <c r="CK344" i="7"/>
  <c r="CJ344" i="7"/>
  <c r="CI344" i="7"/>
  <c r="CH344" i="7"/>
  <c r="CG344" i="7"/>
  <c r="CF344" i="7"/>
  <c r="CE344" i="7"/>
  <c r="CD344" i="7"/>
  <c r="CC344" i="7"/>
  <c r="CB344" i="7"/>
  <c r="CA344" i="7"/>
  <c r="BZ344" i="7"/>
  <c r="BY344" i="7"/>
  <c r="BX344" i="7"/>
  <c r="BW344" i="7"/>
  <c r="BV344" i="7"/>
  <c r="BU344" i="7"/>
  <c r="BT344" i="7"/>
  <c r="BS344" i="7"/>
  <c r="BR344" i="7"/>
  <c r="BQ344" i="7"/>
  <c r="BP344" i="7"/>
  <c r="BO344" i="7"/>
  <c r="BN344" i="7"/>
  <c r="BM344" i="7"/>
  <c r="BL344" i="7"/>
  <c r="BK344" i="7"/>
  <c r="BJ344" i="7"/>
  <c r="BI344" i="7"/>
  <c r="BH344" i="7"/>
  <c r="BG344" i="7"/>
  <c r="DD343" i="7"/>
  <c r="DC343" i="7"/>
  <c r="DB343" i="7"/>
  <c r="DA343" i="7"/>
  <c r="CZ343" i="7"/>
  <c r="CY343" i="7"/>
  <c r="CX343" i="7"/>
  <c r="CW343" i="7"/>
  <c r="CV343" i="7"/>
  <c r="CU343" i="7"/>
  <c r="CT343" i="7"/>
  <c r="CS343" i="7"/>
  <c r="CR343" i="7"/>
  <c r="CQ343" i="7"/>
  <c r="CP343" i="7"/>
  <c r="CO343" i="7"/>
  <c r="CN343" i="7"/>
  <c r="CM343" i="7"/>
  <c r="CL343" i="7"/>
  <c r="CK343" i="7"/>
  <c r="CJ343" i="7"/>
  <c r="CI343" i="7"/>
  <c r="CH343" i="7"/>
  <c r="CG343" i="7"/>
  <c r="CF343" i="7"/>
  <c r="CE343" i="7"/>
  <c r="CD343" i="7"/>
  <c r="CC343" i="7"/>
  <c r="CB343" i="7"/>
  <c r="CA343" i="7"/>
  <c r="BZ343" i="7"/>
  <c r="BY343" i="7"/>
  <c r="BX343" i="7"/>
  <c r="BW343" i="7"/>
  <c r="BV343" i="7"/>
  <c r="BU343" i="7"/>
  <c r="BT343" i="7"/>
  <c r="BS343" i="7"/>
  <c r="BR343" i="7"/>
  <c r="BQ343" i="7"/>
  <c r="BP343" i="7"/>
  <c r="BO343" i="7"/>
  <c r="BN343" i="7"/>
  <c r="BM343" i="7"/>
  <c r="BL343" i="7"/>
  <c r="BK343" i="7"/>
  <c r="BJ343" i="7"/>
  <c r="BI343" i="7"/>
  <c r="BH343" i="7"/>
  <c r="BG343" i="7"/>
  <c r="DD342" i="7"/>
  <c r="DC342" i="7"/>
  <c r="DB342" i="7"/>
  <c r="DA342" i="7"/>
  <c r="CZ342" i="7"/>
  <c r="CY342" i="7"/>
  <c r="CX342" i="7"/>
  <c r="CW342" i="7"/>
  <c r="CV342" i="7"/>
  <c r="CU342" i="7"/>
  <c r="CT342" i="7"/>
  <c r="CS342" i="7"/>
  <c r="CR342" i="7"/>
  <c r="CQ342" i="7"/>
  <c r="CP342" i="7"/>
  <c r="CO342" i="7"/>
  <c r="CN342" i="7"/>
  <c r="CM342" i="7"/>
  <c r="CL342" i="7"/>
  <c r="CK342" i="7"/>
  <c r="CJ342" i="7"/>
  <c r="CI342" i="7"/>
  <c r="CH342" i="7"/>
  <c r="CG342" i="7"/>
  <c r="CF342" i="7"/>
  <c r="CE342" i="7"/>
  <c r="CD342" i="7"/>
  <c r="CC342" i="7"/>
  <c r="CB342" i="7"/>
  <c r="CA342" i="7"/>
  <c r="BZ342" i="7"/>
  <c r="BY342" i="7"/>
  <c r="BX342" i="7"/>
  <c r="BW342" i="7"/>
  <c r="BV342" i="7"/>
  <c r="BU342" i="7"/>
  <c r="BT342" i="7"/>
  <c r="BS342" i="7"/>
  <c r="BR342" i="7"/>
  <c r="BQ342" i="7"/>
  <c r="BP342" i="7"/>
  <c r="BO342" i="7"/>
  <c r="BN342" i="7"/>
  <c r="BM342" i="7"/>
  <c r="BL342" i="7"/>
  <c r="BK342" i="7"/>
  <c r="BJ342" i="7"/>
  <c r="BI342" i="7"/>
  <c r="BH342" i="7"/>
  <c r="BG342" i="7"/>
  <c r="DD341" i="7"/>
  <c r="DC341" i="7"/>
  <c r="DB341" i="7"/>
  <c r="DA341" i="7"/>
  <c r="CZ341" i="7"/>
  <c r="CY341" i="7"/>
  <c r="CX341" i="7"/>
  <c r="CW341" i="7"/>
  <c r="CV341" i="7"/>
  <c r="CU341" i="7"/>
  <c r="CT341" i="7"/>
  <c r="CS341" i="7"/>
  <c r="CR341" i="7"/>
  <c r="CQ341" i="7"/>
  <c r="CP341" i="7"/>
  <c r="CO341" i="7"/>
  <c r="CN341" i="7"/>
  <c r="CM341" i="7"/>
  <c r="CL341" i="7"/>
  <c r="CK341" i="7"/>
  <c r="CJ341" i="7"/>
  <c r="CI341" i="7"/>
  <c r="CH341" i="7"/>
  <c r="CG341" i="7"/>
  <c r="CF341" i="7"/>
  <c r="CE341" i="7"/>
  <c r="CD341" i="7"/>
  <c r="CC341" i="7"/>
  <c r="CB341" i="7"/>
  <c r="CA341" i="7"/>
  <c r="BZ341" i="7"/>
  <c r="BY341" i="7"/>
  <c r="BX341" i="7"/>
  <c r="BW341" i="7"/>
  <c r="BV341" i="7"/>
  <c r="BU341" i="7"/>
  <c r="BT341" i="7"/>
  <c r="BS341" i="7"/>
  <c r="BR341" i="7"/>
  <c r="BQ341" i="7"/>
  <c r="BP341" i="7"/>
  <c r="BO341" i="7"/>
  <c r="BN341" i="7"/>
  <c r="BM341" i="7"/>
  <c r="BL341" i="7"/>
  <c r="BK341" i="7"/>
  <c r="BJ341" i="7"/>
  <c r="BI341" i="7"/>
  <c r="BH341" i="7"/>
  <c r="BG341" i="7"/>
  <c r="DD340" i="7"/>
  <c r="DC340" i="7"/>
  <c r="DB340" i="7"/>
  <c r="DA340" i="7"/>
  <c r="CZ340" i="7"/>
  <c r="CY340" i="7"/>
  <c r="CX340" i="7"/>
  <c r="CW340" i="7"/>
  <c r="CV340" i="7"/>
  <c r="CU340" i="7"/>
  <c r="CT340" i="7"/>
  <c r="CS340" i="7"/>
  <c r="CR340" i="7"/>
  <c r="CQ340" i="7"/>
  <c r="CP340" i="7"/>
  <c r="CO340" i="7"/>
  <c r="CN340" i="7"/>
  <c r="CM340" i="7"/>
  <c r="CL340" i="7"/>
  <c r="CK340" i="7"/>
  <c r="CJ340" i="7"/>
  <c r="CI340" i="7"/>
  <c r="CH340" i="7"/>
  <c r="CG340" i="7"/>
  <c r="CF340" i="7"/>
  <c r="CE340" i="7"/>
  <c r="CD340" i="7"/>
  <c r="CC340" i="7"/>
  <c r="CB340" i="7"/>
  <c r="CA340" i="7"/>
  <c r="BZ340" i="7"/>
  <c r="BY340" i="7"/>
  <c r="BX340" i="7"/>
  <c r="BW340" i="7"/>
  <c r="BV340" i="7"/>
  <c r="BU340" i="7"/>
  <c r="BT340" i="7"/>
  <c r="BS340" i="7"/>
  <c r="BR340" i="7"/>
  <c r="BQ340" i="7"/>
  <c r="BP340" i="7"/>
  <c r="BO340" i="7"/>
  <c r="BN340" i="7"/>
  <c r="BM340" i="7"/>
  <c r="BL340" i="7"/>
  <c r="BK340" i="7"/>
  <c r="BJ340" i="7"/>
  <c r="BI340" i="7"/>
  <c r="BH340" i="7"/>
  <c r="BG340" i="7"/>
  <c r="DD339" i="7"/>
  <c r="DC339" i="7"/>
  <c r="DB339" i="7"/>
  <c r="DA339" i="7"/>
  <c r="CZ339" i="7"/>
  <c r="CY339" i="7"/>
  <c r="CX339" i="7"/>
  <c r="CW339" i="7"/>
  <c r="CV339" i="7"/>
  <c r="CU339" i="7"/>
  <c r="CT339" i="7"/>
  <c r="CS339" i="7"/>
  <c r="CR339" i="7"/>
  <c r="CQ339" i="7"/>
  <c r="CP339" i="7"/>
  <c r="CO339" i="7"/>
  <c r="CN339" i="7"/>
  <c r="CM339" i="7"/>
  <c r="CL339" i="7"/>
  <c r="CK339" i="7"/>
  <c r="CJ339" i="7"/>
  <c r="CI339" i="7"/>
  <c r="CH339" i="7"/>
  <c r="CG339" i="7"/>
  <c r="CF339" i="7"/>
  <c r="CE339" i="7"/>
  <c r="CD339" i="7"/>
  <c r="CC339" i="7"/>
  <c r="CB339" i="7"/>
  <c r="CA339" i="7"/>
  <c r="BZ339" i="7"/>
  <c r="BY339" i="7"/>
  <c r="BX339" i="7"/>
  <c r="BW339" i="7"/>
  <c r="BV339" i="7"/>
  <c r="BU339" i="7"/>
  <c r="BT339" i="7"/>
  <c r="BS339" i="7"/>
  <c r="BR339" i="7"/>
  <c r="BQ339" i="7"/>
  <c r="BP339" i="7"/>
  <c r="BO339" i="7"/>
  <c r="BN339" i="7"/>
  <c r="BM339" i="7"/>
  <c r="BL339" i="7"/>
  <c r="BK339" i="7"/>
  <c r="BJ339" i="7"/>
  <c r="BI339" i="7"/>
  <c r="BH339" i="7"/>
  <c r="BG339" i="7"/>
  <c r="DD338" i="7"/>
  <c r="DC338" i="7"/>
  <c r="DB338" i="7"/>
  <c r="DA338" i="7"/>
  <c r="CZ338" i="7"/>
  <c r="CY338" i="7"/>
  <c r="CX338" i="7"/>
  <c r="CW338" i="7"/>
  <c r="CV338" i="7"/>
  <c r="CU338" i="7"/>
  <c r="CT338" i="7"/>
  <c r="CS338" i="7"/>
  <c r="CR338" i="7"/>
  <c r="CQ338" i="7"/>
  <c r="CP338" i="7"/>
  <c r="CO338" i="7"/>
  <c r="CN338" i="7"/>
  <c r="CM338" i="7"/>
  <c r="CL338" i="7"/>
  <c r="CK338" i="7"/>
  <c r="CJ338" i="7"/>
  <c r="CI338" i="7"/>
  <c r="CH338" i="7"/>
  <c r="CG338" i="7"/>
  <c r="CF338" i="7"/>
  <c r="CE338" i="7"/>
  <c r="CD338" i="7"/>
  <c r="CC338" i="7"/>
  <c r="CB338" i="7"/>
  <c r="CA338" i="7"/>
  <c r="BZ338" i="7"/>
  <c r="BY338" i="7"/>
  <c r="BX338" i="7"/>
  <c r="BW338" i="7"/>
  <c r="BV338" i="7"/>
  <c r="BU338" i="7"/>
  <c r="BT338" i="7"/>
  <c r="BS338" i="7"/>
  <c r="BR338" i="7"/>
  <c r="BQ338" i="7"/>
  <c r="BP338" i="7"/>
  <c r="BO338" i="7"/>
  <c r="BN338" i="7"/>
  <c r="BM338" i="7"/>
  <c r="BL338" i="7"/>
  <c r="BK338" i="7"/>
  <c r="BJ338" i="7"/>
  <c r="BI338" i="7"/>
  <c r="BH338" i="7"/>
  <c r="BG338" i="7"/>
  <c r="DD337" i="7"/>
  <c r="DC337" i="7"/>
  <c r="DB337" i="7"/>
  <c r="DA337" i="7"/>
  <c r="CZ337" i="7"/>
  <c r="CY337" i="7"/>
  <c r="CX337" i="7"/>
  <c r="CW337" i="7"/>
  <c r="CV337" i="7"/>
  <c r="CU337" i="7"/>
  <c r="CT337" i="7"/>
  <c r="CS337" i="7"/>
  <c r="CR337" i="7"/>
  <c r="CQ337" i="7"/>
  <c r="CP337" i="7"/>
  <c r="CO337" i="7"/>
  <c r="CN337" i="7"/>
  <c r="CM337" i="7"/>
  <c r="CL337" i="7"/>
  <c r="CK337" i="7"/>
  <c r="CJ337" i="7"/>
  <c r="CI337" i="7"/>
  <c r="CH337" i="7"/>
  <c r="CG337" i="7"/>
  <c r="CF337" i="7"/>
  <c r="CE337" i="7"/>
  <c r="CD337" i="7"/>
  <c r="CC337" i="7"/>
  <c r="CB337" i="7"/>
  <c r="CA337" i="7"/>
  <c r="BZ337" i="7"/>
  <c r="BY337" i="7"/>
  <c r="BX337" i="7"/>
  <c r="BW337" i="7"/>
  <c r="BV337" i="7"/>
  <c r="BU337" i="7"/>
  <c r="BT337" i="7"/>
  <c r="BS337" i="7"/>
  <c r="BR337" i="7"/>
  <c r="BQ337" i="7"/>
  <c r="BP337" i="7"/>
  <c r="BO337" i="7"/>
  <c r="BN337" i="7"/>
  <c r="BM337" i="7"/>
  <c r="BL337" i="7"/>
  <c r="BK337" i="7"/>
  <c r="BJ337" i="7"/>
  <c r="BI337" i="7"/>
  <c r="BH337" i="7"/>
  <c r="BG337" i="7"/>
  <c r="DD336" i="7"/>
  <c r="DC336" i="7"/>
  <c r="DB336" i="7"/>
  <c r="DA336" i="7"/>
  <c r="CZ336" i="7"/>
  <c r="CY336" i="7"/>
  <c r="CX336" i="7"/>
  <c r="CW336" i="7"/>
  <c r="CV336" i="7"/>
  <c r="CU336" i="7"/>
  <c r="CT336" i="7"/>
  <c r="CS336" i="7"/>
  <c r="CR336" i="7"/>
  <c r="CQ336" i="7"/>
  <c r="CP336" i="7"/>
  <c r="CO336" i="7"/>
  <c r="CN336" i="7"/>
  <c r="CM336" i="7"/>
  <c r="CL336" i="7"/>
  <c r="CK336" i="7"/>
  <c r="CJ336" i="7"/>
  <c r="CI336" i="7"/>
  <c r="CH336" i="7"/>
  <c r="CG336" i="7"/>
  <c r="CF336" i="7"/>
  <c r="CE336" i="7"/>
  <c r="CD336" i="7"/>
  <c r="CC336" i="7"/>
  <c r="CB336" i="7"/>
  <c r="CA336" i="7"/>
  <c r="BZ336" i="7"/>
  <c r="BY336" i="7"/>
  <c r="BX336" i="7"/>
  <c r="BW336" i="7"/>
  <c r="BV336" i="7"/>
  <c r="BU336" i="7"/>
  <c r="BT336" i="7"/>
  <c r="BS336" i="7"/>
  <c r="BR336" i="7"/>
  <c r="BQ336" i="7"/>
  <c r="BP336" i="7"/>
  <c r="BO336" i="7"/>
  <c r="BN336" i="7"/>
  <c r="BM336" i="7"/>
  <c r="BL336" i="7"/>
  <c r="BK336" i="7"/>
  <c r="BJ336" i="7"/>
  <c r="BI336" i="7"/>
  <c r="BH336" i="7"/>
  <c r="BG336" i="7"/>
  <c r="DD335" i="7"/>
  <c r="DC335" i="7"/>
  <c r="DB335" i="7"/>
  <c r="DA335" i="7"/>
  <c r="CZ335" i="7"/>
  <c r="CY335" i="7"/>
  <c r="CX335" i="7"/>
  <c r="CW335" i="7"/>
  <c r="CV335" i="7"/>
  <c r="CU335" i="7"/>
  <c r="CT335" i="7"/>
  <c r="CS335" i="7"/>
  <c r="CR335" i="7"/>
  <c r="CQ335" i="7"/>
  <c r="CP335" i="7"/>
  <c r="CO335" i="7"/>
  <c r="CN335" i="7"/>
  <c r="CM335" i="7"/>
  <c r="CL335" i="7"/>
  <c r="CK335" i="7"/>
  <c r="CJ335" i="7"/>
  <c r="CI335" i="7"/>
  <c r="CH335" i="7"/>
  <c r="CG335" i="7"/>
  <c r="CF335" i="7"/>
  <c r="CE335" i="7"/>
  <c r="CD335" i="7"/>
  <c r="CC335" i="7"/>
  <c r="CB335" i="7"/>
  <c r="CA335" i="7"/>
  <c r="BZ335" i="7"/>
  <c r="BY335" i="7"/>
  <c r="BX335" i="7"/>
  <c r="BW335" i="7"/>
  <c r="BV335" i="7"/>
  <c r="BU335" i="7"/>
  <c r="BT335" i="7"/>
  <c r="BS335" i="7"/>
  <c r="BR335" i="7"/>
  <c r="BQ335" i="7"/>
  <c r="BP335" i="7"/>
  <c r="BO335" i="7"/>
  <c r="BN335" i="7"/>
  <c r="BM335" i="7"/>
  <c r="BL335" i="7"/>
  <c r="BK335" i="7"/>
  <c r="BJ335" i="7"/>
  <c r="BI335" i="7"/>
  <c r="BH335" i="7"/>
  <c r="BG335" i="7"/>
  <c r="DD334" i="7"/>
  <c r="DC334" i="7"/>
  <c r="DB334" i="7"/>
  <c r="DA334" i="7"/>
  <c r="CZ334" i="7"/>
  <c r="CY334" i="7"/>
  <c r="CX334" i="7"/>
  <c r="CW334" i="7"/>
  <c r="CV334" i="7"/>
  <c r="CU334" i="7"/>
  <c r="CT334" i="7"/>
  <c r="CS334" i="7"/>
  <c r="CR334" i="7"/>
  <c r="CQ334" i="7"/>
  <c r="CP334" i="7"/>
  <c r="CO334" i="7"/>
  <c r="CN334" i="7"/>
  <c r="CM334" i="7"/>
  <c r="CL334" i="7"/>
  <c r="CK334" i="7"/>
  <c r="CJ334" i="7"/>
  <c r="CI334" i="7"/>
  <c r="CH334" i="7"/>
  <c r="CG334" i="7"/>
  <c r="CF334" i="7"/>
  <c r="CE334" i="7"/>
  <c r="CD334" i="7"/>
  <c r="CC334" i="7"/>
  <c r="CB334" i="7"/>
  <c r="CA334" i="7"/>
  <c r="BZ334" i="7"/>
  <c r="BY334" i="7"/>
  <c r="BX334" i="7"/>
  <c r="BW334" i="7"/>
  <c r="BV334" i="7"/>
  <c r="BU334" i="7"/>
  <c r="BT334" i="7"/>
  <c r="BS334" i="7"/>
  <c r="BR334" i="7"/>
  <c r="BQ334" i="7"/>
  <c r="BP334" i="7"/>
  <c r="BO334" i="7"/>
  <c r="BN334" i="7"/>
  <c r="BM334" i="7"/>
  <c r="BL334" i="7"/>
  <c r="BK334" i="7"/>
  <c r="BJ334" i="7"/>
  <c r="BI334" i="7"/>
  <c r="BH334" i="7"/>
  <c r="BG334" i="7"/>
  <c r="DD333" i="7"/>
  <c r="DC333" i="7"/>
  <c r="DB333" i="7"/>
  <c r="DA333" i="7"/>
  <c r="CZ333" i="7"/>
  <c r="CY333" i="7"/>
  <c r="CX333" i="7"/>
  <c r="CW333" i="7"/>
  <c r="CV333" i="7"/>
  <c r="CU333" i="7"/>
  <c r="CT333" i="7"/>
  <c r="CS333" i="7"/>
  <c r="CR333" i="7"/>
  <c r="CQ333" i="7"/>
  <c r="CP333" i="7"/>
  <c r="CO333" i="7"/>
  <c r="CN333" i="7"/>
  <c r="CM333" i="7"/>
  <c r="CL333" i="7"/>
  <c r="CK333" i="7"/>
  <c r="CJ333" i="7"/>
  <c r="CI333" i="7"/>
  <c r="CH333" i="7"/>
  <c r="CG333" i="7"/>
  <c r="CF333" i="7"/>
  <c r="CE333" i="7"/>
  <c r="CD333" i="7"/>
  <c r="CC333" i="7"/>
  <c r="CB333" i="7"/>
  <c r="CA333" i="7"/>
  <c r="BZ333" i="7"/>
  <c r="BY333" i="7"/>
  <c r="BX333" i="7"/>
  <c r="BW333" i="7"/>
  <c r="BV333" i="7"/>
  <c r="BU333" i="7"/>
  <c r="BT333" i="7"/>
  <c r="BS333" i="7"/>
  <c r="BR333" i="7"/>
  <c r="BQ333" i="7"/>
  <c r="BP333" i="7"/>
  <c r="BO333" i="7"/>
  <c r="BN333" i="7"/>
  <c r="BM333" i="7"/>
  <c r="BL333" i="7"/>
  <c r="BK333" i="7"/>
  <c r="BJ333" i="7"/>
  <c r="BI333" i="7"/>
  <c r="BH333" i="7"/>
  <c r="BG333" i="7"/>
  <c r="DD332" i="7"/>
  <c r="DC332" i="7"/>
  <c r="DB332" i="7"/>
  <c r="DA332" i="7"/>
  <c r="CZ332" i="7"/>
  <c r="CY332" i="7"/>
  <c r="CX332" i="7"/>
  <c r="CW332" i="7"/>
  <c r="CV332" i="7"/>
  <c r="CU332" i="7"/>
  <c r="CT332" i="7"/>
  <c r="CS332" i="7"/>
  <c r="CR332" i="7"/>
  <c r="CQ332" i="7"/>
  <c r="CP332" i="7"/>
  <c r="CO332" i="7"/>
  <c r="CN332" i="7"/>
  <c r="CM332" i="7"/>
  <c r="CL332" i="7"/>
  <c r="CK332" i="7"/>
  <c r="CJ332" i="7"/>
  <c r="CI332" i="7"/>
  <c r="CH332" i="7"/>
  <c r="CG332" i="7"/>
  <c r="CF332" i="7"/>
  <c r="CE332" i="7"/>
  <c r="CD332" i="7"/>
  <c r="CC332" i="7"/>
  <c r="CB332" i="7"/>
  <c r="CA332" i="7"/>
  <c r="BZ332" i="7"/>
  <c r="BY332" i="7"/>
  <c r="BX332" i="7"/>
  <c r="BW332" i="7"/>
  <c r="BV332" i="7"/>
  <c r="BU332" i="7"/>
  <c r="BT332" i="7"/>
  <c r="BS332" i="7"/>
  <c r="BR332" i="7"/>
  <c r="BQ332" i="7"/>
  <c r="BP332" i="7"/>
  <c r="BO332" i="7"/>
  <c r="BN332" i="7"/>
  <c r="BM332" i="7"/>
  <c r="BL332" i="7"/>
  <c r="BK332" i="7"/>
  <c r="BJ332" i="7"/>
  <c r="BI332" i="7"/>
  <c r="BH332" i="7"/>
  <c r="BG332" i="7"/>
  <c r="DD331" i="7"/>
  <c r="DC331" i="7"/>
  <c r="DB331" i="7"/>
  <c r="DA331" i="7"/>
  <c r="CZ331" i="7"/>
  <c r="CY331" i="7"/>
  <c r="CX331" i="7"/>
  <c r="CW331" i="7"/>
  <c r="CV331" i="7"/>
  <c r="CU331" i="7"/>
  <c r="CT331" i="7"/>
  <c r="CS331" i="7"/>
  <c r="CR331" i="7"/>
  <c r="CQ331" i="7"/>
  <c r="CP331" i="7"/>
  <c r="CO331" i="7"/>
  <c r="CN331" i="7"/>
  <c r="CM331" i="7"/>
  <c r="CL331" i="7"/>
  <c r="CK331" i="7"/>
  <c r="CJ331" i="7"/>
  <c r="CI331" i="7"/>
  <c r="CH331" i="7"/>
  <c r="CG331" i="7"/>
  <c r="CF331" i="7"/>
  <c r="CE331" i="7"/>
  <c r="CD331" i="7"/>
  <c r="CC331" i="7"/>
  <c r="CB331" i="7"/>
  <c r="CA331" i="7"/>
  <c r="BZ331" i="7"/>
  <c r="BY331" i="7"/>
  <c r="BX331" i="7"/>
  <c r="BW331" i="7"/>
  <c r="BV331" i="7"/>
  <c r="BU331" i="7"/>
  <c r="BT331" i="7"/>
  <c r="BS331" i="7"/>
  <c r="BR331" i="7"/>
  <c r="BQ331" i="7"/>
  <c r="BP331" i="7"/>
  <c r="BO331" i="7"/>
  <c r="BN331" i="7"/>
  <c r="BM331" i="7"/>
  <c r="BL331" i="7"/>
  <c r="BK331" i="7"/>
  <c r="BJ331" i="7"/>
  <c r="BI331" i="7"/>
  <c r="BH331" i="7"/>
  <c r="BG331" i="7"/>
  <c r="DD330" i="7"/>
  <c r="DC330" i="7"/>
  <c r="DB330" i="7"/>
  <c r="DA330" i="7"/>
  <c r="CZ330" i="7"/>
  <c r="CY330" i="7"/>
  <c r="CX330" i="7"/>
  <c r="CW330" i="7"/>
  <c r="CV330" i="7"/>
  <c r="CU330" i="7"/>
  <c r="CT330" i="7"/>
  <c r="CS330" i="7"/>
  <c r="CR330" i="7"/>
  <c r="CQ330" i="7"/>
  <c r="CP330" i="7"/>
  <c r="CO330" i="7"/>
  <c r="CN330" i="7"/>
  <c r="CM330" i="7"/>
  <c r="CL330" i="7"/>
  <c r="CK330" i="7"/>
  <c r="CJ330" i="7"/>
  <c r="CI330" i="7"/>
  <c r="CH330" i="7"/>
  <c r="CG330" i="7"/>
  <c r="CF330" i="7"/>
  <c r="CE330" i="7"/>
  <c r="CD330" i="7"/>
  <c r="CC330" i="7"/>
  <c r="CB330" i="7"/>
  <c r="CA330" i="7"/>
  <c r="BZ330" i="7"/>
  <c r="BY330" i="7"/>
  <c r="BX330" i="7"/>
  <c r="BW330" i="7"/>
  <c r="BV330" i="7"/>
  <c r="BU330" i="7"/>
  <c r="BT330" i="7"/>
  <c r="BS330" i="7"/>
  <c r="BR330" i="7"/>
  <c r="BQ330" i="7"/>
  <c r="BP330" i="7"/>
  <c r="BO330" i="7"/>
  <c r="BN330" i="7"/>
  <c r="BM330" i="7"/>
  <c r="BL330" i="7"/>
  <c r="BK330" i="7"/>
  <c r="BJ330" i="7"/>
  <c r="DD329" i="7"/>
  <c r="DC329" i="7"/>
  <c r="DB329" i="7"/>
  <c r="DA329" i="7"/>
  <c r="CZ329" i="7"/>
  <c r="CY329" i="7"/>
  <c r="CX329" i="7"/>
  <c r="CW329" i="7"/>
  <c r="CV329" i="7"/>
  <c r="CU329" i="7"/>
  <c r="CT329" i="7"/>
  <c r="CS329" i="7"/>
  <c r="CR329" i="7"/>
  <c r="CQ329" i="7"/>
  <c r="CP329" i="7"/>
  <c r="CO329" i="7"/>
  <c r="CN329" i="7"/>
  <c r="CM329" i="7"/>
  <c r="CL329" i="7"/>
  <c r="CK329" i="7"/>
  <c r="CJ329" i="7"/>
  <c r="CI329" i="7"/>
  <c r="CH329" i="7"/>
  <c r="CG329" i="7"/>
  <c r="CF329" i="7"/>
  <c r="CE329" i="7"/>
  <c r="CD329" i="7"/>
  <c r="CC329" i="7"/>
  <c r="CB329" i="7"/>
  <c r="CA329" i="7"/>
  <c r="BZ329" i="7"/>
  <c r="BY329" i="7"/>
  <c r="BX329" i="7"/>
  <c r="BW329" i="7"/>
  <c r="BV329" i="7"/>
  <c r="BU329" i="7"/>
  <c r="BT329" i="7"/>
  <c r="BS329" i="7"/>
  <c r="BR329" i="7"/>
  <c r="BQ329" i="7"/>
  <c r="BP329" i="7"/>
  <c r="BO329" i="7"/>
  <c r="BN329" i="7"/>
  <c r="BM329" i="7"/>
  <c r="BL329" i="7"/>
  <c r="BK329" i="7"/>
  <c r="BJ329" i="7"/>
  <c r="BI329" i="7"/>
  <c r="BH329" i="7"/>
  <c r="DD328" i="7"/>
  <c r="DC328" i="7"/>
  <c r="DB328" i="7"/>
  <c r="DA328" i="7"/>
  <c r="CZ328" i="7"/>
  <c r="CY328" i="7"/>
  <c r="CX328" i="7"/>
  <c r="CW328" i="7"/>
  <c r="CV328" i="7"/>
  <c r="CU328" i="7"/>
  <c r="CT328" i="7"/>
  <c r="CS328" i="7"/>
  <c r="CR328" i="7"/>
  <c r="CQ328" i="7"/>
  <c r="CP328" i="7"/>
  <c r="CO328" i="7"/>
  <c r="CN328" i="7"/>
  <c r="CM328" i="7"/>
  <c r="CL328" i="7"/>
  <c r="CK328" i="7"/>
  <c r="CJ328" i="7"/>
  <c r="CI328" i="7"/>
  <c r="CH328" i="7"/>
  <c r="CG328" i="7"/>
  <c r="CF328" i="7"/>
  <c r="CE328" i="7"/>
  <c r="CD328" i="7"/>
  <c r="CC328" i="7"/>
  <c r="CB328" i="7"/>
  <c r="CA328" i="7"/>
  <c r="BZ328" i="7"/>
  <c r="BY328" i="7"/>
  <c r="BX328" i="7"/>
  <c r="BW328" i="7"/>
  <c r="BV328" i="7"/>
  <c r="BU328" i="7"/>
  <c r="BT328" i="7"/>
  <c r="BS328" i="7"/>
  <c r="BR328" i="7"/>
  <c r="BQ328" i="7"/>
  <c r="BP328" i="7"/>
  <c r="BO328" i="7"/>
  <c r="BN328" i="7"/>
  <c r="BM328" i="7"/>
  <c r="BL328" i="7"/>
  <c r="BK328" i="7"/>
  <c r="BJ328" i="7"/>
  <c r="BI328" i="7"/>
  <c r="BH328" i="7"/>
  <c r="BG328" i="7"/>
  <c r="DD327" i="7"/>
  <c r="DC327" i="7"/>
  <c r="DB327" i="7"/>
  <c r="DA327" i="7"/>
  <c r="CZ327" i="7"/>
  <c r="CY327" i="7"/>
  <c r="CX327" i="7"/>
  <c r="CW327" i="7"/>
  <c r="CV327" i="7"/>
  <c r="CU327" i="7"/>
  <c r="CT327" i="7"/>
  <c r="CS327" i="7"/>
  <c r="CR327" i="7"/>
  <c r="CQ327" i="7"/>
  <c r="CP327" i="7"/>
  <c r="CO327" i="7"/>
  <c r="CN327" i="7"/>
  <c r="CM327" i="7"/>
  <c r="CL327" i="7"/>
  <c r="CK327" i="7"/>
  <c r="CJ327" i="7"/>
  <c r="CI327" i="7"/>
  <c r="CH327" i="7"/>
  <c r="CG327" i="7"/>
  <c r="CF327" i="7"/>
  <c r="CE327" i="7"/>
  <c r="CD327" i="7"/>
  <c r="CC327" i="7"/>
  <c r="CB327" i="7"/>
  <c r="CA327" i="7"/>
  <c r="BZ327" i="7"/>
  <c r="BY327" i="7"/>
  <c r="BX327" i="7"/>
  <c r="BW327" i="7"/>
  <c r="BV327" i="7"/>
  <c r="BU327" i="7"/>
  <c r="BT327" i="7"/>
  <c r="BS327" i="7"/>
  <c r="BR327" i="7"/>
  <c r="BQ327" i="7"/>
  <c r="BP327" i="7"/>
  <c r="BO327" i="7"/>
  <c r="BN327" i="7"/>
  <c r="BM327" i="7"/>
  <c r="BL327" i="7"/>
  <c r="BK327" i="7"/>
  <c r="BJ327" i="7"/>
  <c r="BI327" i="7"/>
  <c r="BH327" i="7"/>
  <c r="BG327" i="7"/>
  <c r="DD326" i="7"/>
  <c r="DC326" i="7"/>
  <c r="DB326" i="7"/>
  <c r="DA326" i="7"/>
  <c r="CZ326" i="7"/>
  <c r="CY326" i="7"/>
  <c r="CX326" i="7"/>
  <c r="CW326" i="7"/>
  <c r="CV326" i="7"/>
  <c r="CU326" i="7"/>
  <c r="CT326" i="7"/>
  <c r="CS326" i="7"/>
  <c r="CR326" i="7"/>
  <c r="CQ326" i="7"/>
  <c r="CP326" i="7"/>
  <c r="CO326" i="7"/>
  <c r="CN326" i="7"/>
  <c r="CM326" i="7"/>
  <c r="CL326" i="7"/>
  <c r="CK326" i="7"/>
  <c r="CJ326" i="7"/>
  <c r="CI326" i="7"/>
  <c r="CH326" i="7"/>
  <c r="CG326" i="7"/>
  <c r="CF326" i="7"/>
  <c r="CE326" i="7"/>
  <c r="CD326" i="7"/>
  <c r="CC326" i="7"/>
  <c r="CB326" i="7"/>
  <c r="CA326" i="7"/>
  <c r="BZ326" i="7"/>
  <c r="BY326" i="7"/>
  <c r="BX326" i="7"/>
  <c r="BW326" i="7"/>
  <c r="BV326" i="7"/>
  <c r="BU326" i="7"/>
  <c r="BT326" i="7"/>
  <c r="BS326" i="7"/>
  <c r="BR326" i="7"/>
  <c r="BQ326" i="7"/>
  <c r="BP326" i="7"/>
  <c r="BO326" i="7"/>
  <c r="BN326" i="7"/>
  <c r="BM326" i="7"/>
  <c r="BL326" i="7"/>
  <c r="BK326" i="7"/>
  <c r="BJ326" i="7"/>
  <c r="BI326" i="7"/>
  <c r="BH326" i="7"/>
  <c r="BG326" i="7"/>
  <c r="DD325" i="7"/>
  <c r="DC325" i="7"/>
  <c r="DB325" i="7"/>
  <c r="DA325" i="7"/>
  <c r="CZ325" i="7"/>
  <c r="CY325" i="7"/>
  <c r="CX325" i="7"/>
  <c r="CW325" i="7"/>
  <c r="CV325" i="7"/>
  <c r="CU325" i="7"/>
  <c r="CT325" i="7"/>
  <c r="CS325" i="7"/>
  <c r="CR325" i="7"/>
  <c r="CQ325" i="7"/>
  <c r="CP325" i="7"/>
  <c r="CO325" i="7"/>
  <c r="CN325" i="7"/>
  <c r="CM325" i="7"/>
  <c r="CL325" i="7"/>
  <c r="CK325" i="7"/>
  <c r="CJ325" i="7"/>
  <c r="CI325" i="7"/>
  <c r="CH325" i="7"/>
  <c r="CG325" i="7"/>
  <c r="CF325" i="7"/>
  <c r="CE325" i="7"/>
  <c r="CD325" i="7"/>
  <c r="CC325" i="7"/>
  <c r="CB325" i="7"/>
  <c r="CA325" i="7"/>
  <c r="BZ325" i="7"/>
  <c r="BY325" i="7"/>
  <c r="BX325" i="7"/>
  <c r="BW325" i="7"/>
  <c r="BV325" i="7"/>
  <c r="BU325" i="7"/>
  <c r="BT325" i="7"/>
  <c r="BS325" i="7"/>
  <c r="BR325" i="7"/>
  <c r="BQ325" i="7"/>
  <c r="BP325" i="7"/>
  <c r="BO325" i="7"/>
  <c r="BN325" i="7"/>
  <c r="BM325" i="7"/>
  <c r="BL325" i="7"/>
  <c r="BK325" i="7"/>
  <c r="BJ325" i="7"/>
  <c r="BI325" i="7"/>
  <c r="BH325" i="7"/>
  <c r="BG325" i="7"/>
  <c r="DD324" i="7"/>
  <c r="DC324" i="7"/>
  <c r="DB324" i="7"/>
  <c r="DA324" i="7"/>
  <c r="CZ324" i="7"/>
  <c r="CY324" i="7"/>
  <c r="CX324" i="7"/>
  <c r="CW324" i="7"/>
  <c r="CV324" i="7"/>
  <c r="CU324" i="7"/>
  <c r="CT324" i="7"/>
  <c r="CS324" i="7"/>
  <c r="CR324" i="7"/>
  <c r="CQ324" i="7"/>
  <c r="CP324" i="7"/>
  <c r="CO324" i="7"/>
  <c r="CN324" i="7"/>
  <c r="CM324" i="7"/>
  <c r="CL324" i="7"/>
  <c r="CK324" i="7"/>
  <c r="CJ324" i="7"/>
  <c r="CI324" i="7"/>
  <c r="CH324" i="7"/>
  <c r="CG324" i="7"/>
  <c r="CF324" i="7"/>
  <c r="CE324" i="7"/>
  <c r="CD324" i="7"/>
  <c r="CC324" i="7"/>
  <c r="CB324" i="7"/>
  <c r="CA324" i="7"/>
  <c r="BZ324" i="7"/>
  <c r="BY324" i="7"/>
  <c r="BX324" i="7"/>
  <c r="BW324" i="7"/>
  <c r="BV324" i="7"/>
  <c r="BU324" i="7"/>
  <c r="BT324" i="7"/>
  <c r="BS324" i="7"/>
  <c r="BR324" i="7"/>
  <c r="BQ324" i="7"/>
  <c r="BP324" i="7"/>
  <c r="BO324" i="7"/>
  <c r="BN324" i="7"/>
  <c r="BM324" i="7"/>
  <c r="BL324" i="7"/>
  <c r="BK324" i="7"/>
  <c r="BJ324" i="7"/>
  <c r="BI324" i="7"/>
  <c r="BH324" i="7"/>
  <c r="BG324" i="7"/>
  <c r="DD323" i="7"/>
  <c r="DC323" i="7"/>
  <c r="DB323" i="7"/>
  <c r="DA323" i="7"/>
  <c r="CZ323" i="7"/>
  <c r="CY323" i="7"/>
  <c r="CX323" i="7"/>
  <c r="CW323" i="7"/>
  <c r="CV323" i="7"/>
  <c r="CU323" i="7"/>
  <c r="CT323" i="7"/>
  <c r="CS323" i="7"/>
  <c r="CR323" i="7"/>
  <c r="CQ323" i="7"/>
  <c r="CP323" i="7"/>
  <c r="CO323" i="7"/>
  <c r="CN323" i="7"/>
  <c r="CM323" i="7"/>
  <c r="CL323" i="7"/>
  <c r="CK323" i="7"/>
  <c r="CJ323" i="7"/>
  <c r="CI323" i="7"/>
  <c r="CH323" i="7"/>
  <c r="CG323" i="7"/>
  <c r="CF323" i="7"/>
  <c r="CE323" i="7"/>
  <c r="CD323" i="7"/>
  <c r="CC323" i="7"/>
  <c r="CB323" i="7"/>
  <c r="CA323" i="7"/>
  <c r="BZ323" i="7"/>
  <c r="BY323" i="7"/>
  <c r="BX323" i="7"/>
  <c r="BW323" i="7"/>
  <c r="BV323" i="7"/>
  <c r="BU323" i="7"/>
  <c r="BT323" i="7"/>
  <c r="BS323" i="7"/>
  <c r="BR323" i="7"/>
  <c r="BQ323" i="7"/>
  <c r="BP323" i="7"/>
  <c r="BO323" i="7"/>
  <c r="BN323" i="7"/>
  <c r="BM323" i="7"/>
  <c r="BL323" i="7"/>
  <c r="BK323" i="7"/>
  <c r="BJ323" i="7"/>
  <c r="BI323" i="7"/>
  <c r="BH323" i="7"/>
  <c r="BG323" i="7"/>
  <c r="DD322" i="7"/>
  <c r="DC322" i="7"/>
  <c r="DB322" i="7"/>
  <c r="DA322" i="7"/>
  <c r="CZ322" i="7"/>
  <c r="CY322" i="7"/>
  <c r="CX322" i="7"/>
  <c r="CW322" i="7"/>
  <c r="CV322" i="7"/>
  <c r="CU322" i="7"/>
  <c r="CT322" i="7"/>
  <c r="CS322" i="7"/>
  <c r="CR322" i="7"/>
  <c r="CQ322" i="7"/>
  <c r="CP322" i="7"/>
  <c r="CO322" i="7"/>
  <c r="CN322" i="7"/>
  <c r="CM322" i="7"/>
  <c r="CL322" i="7"/>
  <c r="CK322" i="7"/>
  <c r="CJ322" i="7"/>
  <c r="CI322" i="7"/>
  <c r="CH322" i="7"/>
  <c r="CG322" i="7"/>
  <c r="CF322" i="7"/>
  <c r="CE322" i="7"/>
  <c r="CD322" i="7"/>
  <c r="CC322" i="7"/>
  <c r="CB322" i="7"/>
  <c r="CA322" i="7"/>
  <c r="BZ322" i="7"/>
  <c r="BY322" i="7"/>
  <c r="BX322" i="7"/>
  <c r="BW322" i="7"/>
  <c r="BV322" i="7"/>
  <c r="BU322" i="7"/>
  <c r="BT322" i="7"/>
  <c r="BS322" i="7"/>
  <c r="BR322" i="7"/>
  <c r="BQ322" i="7"/>
  <c r="BP322" i="7"/>
  <c r="BO322" i="7"/>
  <c r="BN322" i="7"/>
  <c r="BM322" i="7"/>
  <c r="BL322" i="7"/>
  <c r="BK322" i="7"/>
  <c r="BJ322" i="7"/>
  <c r="BI322" i="7"/>
  <c r="BH322" i="7"/>
  <c r="BG322" i="7"/>
  <c r="DD321" i="7"/>
  <c r="DC321" i="7"/>
  <c r="DB321" i="7"/>
  <c r="DA321" i="7"/>
  <c r="CZ321" i="7"/>
  <c r="CY321" i="7"/>
  <c r="CX321" i="7"/>
  <c r="CW321" i="7"/>
  <c r="CV321" i="7"/>
  <c r="CU321" i="7"/>
  <c r="CT321" i="7"/>
  <c r="CS321" i="7"/>
  <c r="CR321" i="7"/>
  <c r="CQ321" i="7"/>
  <c r="CP321" i="7"/>
  <c r="CO321" i="7"/>
  <c r="CN321" i="7"/>
  <c r="CM321" i="7"/>
  <c r="CL321" i="7"/>
  <c r="CK321" i="7"/>
  <c r="CJ321" i="7"/>
  <c r="CI321" i="7"/>
  <c r="CH321" i="7"/>
  <c r="CG321" i="7"/>
  <c r="CF321" i="7"/>
  <c r="CE321" i="7"/>
  <c r="CD321" i="7"/>
  <c r="CC321" i="7"/>
  <c r="CB321" i="7"/>
  <c r="CA321" i="7"/>
  <c r="BZ321" i="7"/>
  <c r="BY321" i="7"/>
  <c r="BX321" i="7"/>
  <c r="BW321" i="7"/>
  <c r="BV321" i="7"/>
  <c r="BU321" i="7"/>
  <c r="BT321" i="7"/>
  <c r="BS321" i="7"/>
  <c r="BR321" i="7"/>
  <c r="BQ321" i="7"/>
  <c r="BP321" i="7"/>
  <c r="BO321" i="7"/>
  <c r="BN321" i="7"/>
  <c r="BM321" i="7"/>
  <c r="BL321" i="7"/>
  <c r="BK321" i="7"/>
  <c r="BJ321" i="7"/>
  <c r="BI321" i="7"/>
  <c r="BH321" i="7"/>
  <c r="BG321" i="7"/>
  <c r="DD320" i="7"/>
  <c r="DC320" i="7"/>
  <c r="DB320" i="7"/>
  <c r="DA320" i="7"/>
  <c r="CZ320" i="7"/>
  <c r="CY320" i="7"/>
  <c r="CX320" i="7"/>
  <c r="CW320" i="7"/>
  <c r="CV320" i="7"/>
  <c r="CU320" i="7"/>
  <c r="CT320" i="7"/>
  <c r="CS320" i="7"/>
  <c r="CR320" i="7"/>
  <c r="CQ320" i="7"/>
  <c r="CP320" i="7"/>
  <c r="CO320" i="7"/>
  <c r="CN320" i="7"/>
  <c r="CM320" i="7"/>
  <c r="CL320" i="7"/>
  <c r="CK320" i="7"/>
  <c r="CJ320" i="7"/>
  <c r="CI320" i="7"/>
  <c r="CH320" i="7"/>
  <c r="CG320" i="7"/>
  <c r="CF320" i="7"/>
  <c r="CE320" i="7"/>
  <c r="CD320" i="7"/>
  <c r="CC320" i="7"/>
  <c r="CB320" i="7"/>
  <c r="CA320" i="7"/>
  <c r="BZ320" i="7"/>
  <c r="BY320" i="7"/>
  <c r="BX320" i="7"/>
  <c r="BW320" i="7"/>
  <c r="BV320" i="7"/>
  <c r="BU320" i="7"/>
  <c r="BT320" i="7"/>
  <c r="BS320" i="7"/>
  <c r="BR320" i="7"/>
  <c r="BQ320" i="7"/>
  <c r="BP320" i="7"/>
  <c r="BO320" i="7"/>
  <c r="BN320" i="7"/>
  <c r="BM320" i="7"/>
  <c r="BL320" i="7"/>
  <c r="BK320" i="7"/>
  <c r="BJ320" i="7"/>
  <c r="BI320" i="7"/>
  <c r="BH320" i="7"/>
  <c r="BG320" i="7"/>
  <c r="DD319" i="7"/>
  <c r="DC319" i="7"/>
  <c r="DB319" i="7"/>
  <c r="DA319" i="7"/>
  <c r="CZ319" i="7"/>
  <c r="CY319" i="7"/>
  <c r="CX319" i="7"/>
  <c r="CW319" i="7"/>
  <c r="CV319" i="7"/>
  <c r="CU319" i="7"/>
  <c r="CT319" i="7"/>
  <c r="CS319" i="7"/>
  <c r="CR319" i="7"/>
  <c r="CQ319" i="7"/>
  <c r="CP319" i="7"/>
  <c r="CO319" i="7"/>
  <c r="CN319" i="7"/>
  <c r="CM319" i="7"/>
  <c r="CL319" i="7"/>
  <c r="CK319" i="7"/>
  <c r="CJ319" i="7"/>
  <c r="CI319" i="7"/>
  <c r="CH319" i="7"/>
  <c r="CG319" i="7"/>
  <c r="CF319" i="7"/>
  <c r="CE319" i="7"/>
  <c r="CD319" i="7"/>
  <c r="CC319" i="7"/>
  <c r="CB319" i="7"/>
  <c r="CA319" i="7"/>
  <c r="BZ319" i="7"/>
  <c r="BY319" i="7"/>
  <c r="BX319" i="7"/>
  <c r="BW319" i="7"/>
  <c r="BV319" i="7"/>
  <c r="BU319" i="7"/>
  <c r="BT319" i="7"/>
  <c r="BS319" i="7"/>
  <c r="BR319" i="7"/>
  <c r="BQ319" i="7"/>
  <c r="BP319" i="7"/>
  <c r="BO319" i="7"/>
  <c r="BN319" i="7"/>
  <c r="BM319" i="7"/>
  <c r="BL319" i="7"/>
  <c r="BK319" i="7"/>
  <c r="BJ319" i="7"/>
  <c r="BI319" i="7"/>
  <c r="BH319" i="7"/>
  <c r="BG319" i="7"/>
  <c r="DD318" i="7"/>
  <c r="DC318" i="7"/>
  <c r="DB318" i="7"/>
  <c r="DA318" i="7"/>
  <c r="CZ318" i="7"/>
  <c r="CY318" i="7"/>
  <c r="CX318" i="7"/>
  <c r="CW318" i="7"/>
  <c r="CV318" i="7"/>
  <c r="CU318" i="7"/>
  <c r="CT318" i="7"/>
  <c r="CS318" i="7"/>
  <c r="CR318" i="7"/>
  <c r="CQ318" i="7"/>
  <c r="CP318" i="7"/>
  <c r="CO318" i="7"/>
  <c r="CN318" i="7"/>
  <c r="CM318" i="7"/>
  <c r="CL318" i="7"/>
  <c r="CK318" i="7"/>
  <c r="CJ318" i="7"/>
  <c r="CI318" i="7"/>
  <c r="CH318" i="7"/>
  <c r="CG318" i="7"/>
  <c r="CF318" i="7"/>
  <c r="CE318" i="7"/>
  <c r="CD318" i="7"/>
  <c r="CC318" i="7"/>
  <c r="CB318" i="7"/>
  <c r="CA318" i="7"/>
  <c r="BZ318" i="7"/>
  <c r="BY318" i="7"/>
  <c r="BX318" i="7"/>
  <c r="BW318" i="7"/>
  <c r="BV318" i="7"/>
  <c r="BU318" i="7"/>
  <c r="BT318" i="7"/>
  <c r="BS318" i="7"/>
  <c r="BR318" i="7"/>
  <c r="BQ318" i="7"/>
  <c r="BP318" i="7"/>
  <c r="BO318" i="7"/>
  <c r="BN318" i="7"/>
  <c r="BM318" i="7"/>
  <c r="BL318" i="7"/>
  <c r="BK318" i="7"/>
  <c r="BJ318" i="7"/>
  <c r="BI318" i="7"/>
  <c r="BH318" i="7"/>
  <c r="BG318" i="7"/>
  <c r="DD317" i="7"/>
  <c r="DC317" i="7"/>
  <c r="DB317" i="7"/>
  <c r="DA317" i="7"/>
  <c r="CZ317" i="7"/>
  <c r="CY317" i="7"/>
  <c r="CX317" i="7"/>
  <c r="CW317" i="7"/>
  <c r="CV317" i="7"/>
  <c r="CU317" i="7"/>
  <c r="CT317" i="7"/>
  <c r="CS317" i="7"/>
  <c r="CR317" i="7"/>
  <c r="CQ317" i="7"/>
  <c r="CP317" i="7"/>
  <c r="CO317" i="7"/>
  <c r="CN317" i="7"/>
  <c r="CM317" i="7"/>
  <c r="CL317" i="7"/>
  <c r="CK317" i="7"/>
  <c r="CJ317" i="7"/>
  <c r="CI317" i="7"/>
  <c r="CH317" i="7"/>
  <c r="CG317" i="7"/>
  <c r="CF317" i="7"/>
  <c r="CE317" i="7"/>
  <c r="CD317" i="7"/>
  <c r="CC317" i="7"/>
  <c r="CB317" i="7"/>
  <c r="CA317" i="7"/>
  <c r="BZ317" i="7"/>
  <c r="BY317" i="7"/>
  <c r="BX317" i="7"/>
  <c r="BW317" i="7"/>
  <c r="BV317" i="7"/>
  <c r="BU317" i="7"/>
  <c r="BT317" i="7"/>
  <c r="BS317" i="7"/>
  <c r="BR317" i="7"/>
  <c r="BQ317" i="7"/>
  <c r="BP317" i="7"/>
  <c r="BO317" i="7"/>
  <c r="BN317" i="7"/>
  <c r="BM317" i="7"/>
  <c r="BL317" i="7"/>
  <c r="BK317" i="7"/>
  <c r="BJ317" i="7"/>
  <c r="BI317" i="7"/>
  <c r="BH317" i="7"/>
  <c r="BG317" i="7"/>
  <c r="DD316" i="7"/>
  <c r="DC316" i="7"/>
  <c r="DB316" i="7"/>
  <c r="DA316" i="7"/>
  <c r="CZ316" i="7"/>
  <c r="CY316" i="7"/>
  <c r="CX316" i="7"/>
  <c r="CW316" i="7"/>
  <c r="CV316" i="7"/>
  <c r="CU316" i="7"/>
  <c r="CT316" i="7"/>
  <c r="CS316" i="7"/>
  <c r="CR316" i="7"/>
  <c r="CQ316" i="7"/>
  <c r="CP316" i="7"/>
  <c r="CO316" i="7"/>
  <c r="CN316" i="7"/>
  <c r="CM316" i="7"/>
  <c r="CL316" i="7"/>
  <c r="CK316" i="7"/>
  <c r="CJ316" i="7"/>
  <c r="CI316" i="7"/>
  <c r="CH316" i="7"/>
  <c r="CG316" i="7"/>
  <c r="CF316" i="7"/>
  <c r="CE316" i="7"/>
  <c r="CD316" i="7"/>
  <c r="CC316" i="7"/>
  <c r="CB316" i="7"/>
  <c r="CA316" i="7"/>
  <c r="BZ316" i="7"/>
  <c r="BY316" i="7"/>
  <c r="BX316" i="7"/>
  <c r="BW316" i="7"/>
  <c r="BV316" i="7"/>
  <c r="BU316" i="7"/>
  <c r="BT316" i="7"/>
  <c r="BS316" i="7"/>
  <c r="BR316" i="7"/>
  <c r="BQ316" i="7"/>
  <c r="BP316" i="7"/>
  <c r="BO316" i="7"/>
  <c r="BN316" i="7"/>
  <c r="BM316" i="7"/>
  <c r="BL316" i="7"/>
  <c r="BK316" i="7"/>
  <c r="BJ316" i="7"/>
  <c r="BI316" i="7"/>
  <c r="BH316" i="7"/>
  <c r="BG316" i="7"/>
  <c r="DD315" i="7"/>
  <c r="DC315" i="7"/>
  <c r="DB315" i="7"/>
  <c r="DA315" i="7"/>
  <c r="CZ315" i="7"/>
  <c r="CY315" i="7"/>
  <c r="CX315" i="7"/>
  <c r="CW315" i="7"/>
  <c r="CV315" i="7"/>
  <c r="CU315" i="7"/>
  <c r="CT315" i="7"/>
  <c r="CS315" i="7"/>
  <c r="CR315" i="7"/>
  <c r="CQ315" i="7"/>
  <c r="CP315" i="7"/>
  <c r="CO315" i="7"/>
  <c r="CN315" i="7"/>
  <c r="CM315" i="7"/>
  <c r="CL315" i="7"/>
  <c r="CK315" i="7"/>
  <c r="CJ315" i="7"/>
  <c r="CI315" i="7"/>
  <c r="CH315" i="7"/>
  <c r="CG315" i="7"/>
  <c r="CF315" i="7"/>
  <c r="CE315" i="7"/>
  <c r="CD315" i="7"/>
  <c r="CC315" i="7"/>
  <c r="CB315" i="7"/>
  <c r="CA315" i="7"/>
  <c r="BZ315" i="7"/>
  <c r="BY315" i="7"/>
  <c r="BX315" i="7"/>
  <c r="BW315" i="7"/>
  <c r="BV315" i="7"/>
  <c r="BU315" i="7"/>
  <c r="BT315" i="7"/>
  <c r="BS315" i="7"/>
  <c r="BR315" i="7"/>
  <c r="BQ315" i="7"/>
  <c r="BP315" i="7"/>
  <c r="BO315" i="7"/>
  <c r="BN315" i="7"/>
  <c r="BM315" i="7"/>
  <c r="BL315" i="7"/>
  <c r="BK315" i="7"/>
  <c r="BJ315" i="7"/>
  <c r="BI315" i="7"/>
  <c r="BH315" i="7"/>
  <c r="BG315" i="7"/>
  <c r="DD314" i="7"/>
  <c r="DC314" i="7"/>
  <c r="DB314" i="7"/>
  <c r="DA314" i="7"/>
  <c r="CZ314" i="7"/>
  <c r="CY314" i="7"/>
  <c r="CX314" i="7"/>
  <c r="CW314" i="7"/>
  <c r="CV314" i="7"/>
  <c r="CU314" i="7"/>
  <c r="CT314" i="7"/>
  <c r="CS314" i="7"/>
  <c r="CR314" i="7"/>
  <c r="CQ314" i="7"/>
  <c r="CP314" i="7"/>
  <c r="CO314" i="7"/>
  <c r="CN314" i="7"/>
  <c r="CM314" i="7"/>
  <c r="CL314" i="7"/>
  <c r="CK314" i="7"/>
  <c r="CJ314" i="7"/>
  <c r="CI314" i="7"/>
  <c r="CH314" i="7"/>
  <c r="CG314" i="7"/>
  <c r="CF314" i="7"/>
  <c r="CE314" i="7"/>
  <c r="CD314" i="7"/>
  <c r="CC314" i="7"/>
  <c r="CB314" i="7"/>
  <c r="CA314" i="7"/>
  <c r="BZ314" i="7"/>
  <c r="BY314" i="7"/>
  <c r="BX314" i="7"/>
  <c r="BW314" i="7"/>
  <c r="BV314" i="7"/>
  <c r="BU314" i="7"/>
  <c r="BT314" i="7"/>
  <c r="BS314" i="7"/>
  <c r="BR314" i="7"/>
  <c r="BQ314" i="7"/>
  <c r="BP314" i="7"/>
  <c r="BO314" i="7"/>
  <c r="BN314" i="7"/>
  <c r="BM314" i="7"/>
  <c r="BL314" i="7"/>
  <c r="BK314" i="7"/>
  <c r="BJ314" i="7"/>
  <c r="BI314" i="7"/>
  <c r="BH314" i="7"/>
  <c r="BG314" i="7"/>
  <c r="DD313" i="7"/>
  <c r="DC313" i="7"/>
  <c r="DB313" i="7"/>
  <c r="DA313" i="7"/>
  <c r="CZ313" i="7"/>
  <c r="CY313" i="7"/>
  <c r="CX313" i="7"/>
  <c r="CW313" i="7"/>
  <c r="CV313" i="7"/>
  <c r="CU313" i="7"/>
  <c r="CT313" i="7"/>
  <c r="CS313" i="7"/>
  <c r="CR313" i="7"/>
  <c r="CQ313" i="7"/>
  <c r="CP313" i="7"/>
  <c r="CO313" i="7"/>
  <c r="CN313" i="7"/>
  <c r="CM313" i="7"/>
  <c r="CL313" i="7"/>
  <c r="CK313" i="7"/>
  <c r="CJ313" i="7"/>
  <c r="CI313" i="7"/>
  <c r="CH313" i="7"/>
  <c r="CG313" i="7"/>
  <c r="CF313" i="7"/>
  <c r="CE313" i="7"/>
  <c r="CD313" i="7"/>
  <c r="CC313" i="7"/>
  <c r="CB313" i="7"/>
  <c r="CA313" i="7"/>
  <c r="BZ313" i="7"/>
  <c r="BY313" i="7"/>
  <c r="BX313" i="7"/>
  <c r="BW313" i="7"/>
  <c r="BV313" i="7"/>
  <c r="BU313" i="7"/>
  <c r="BT313" i="7"/>
  <c r="BS313" i="7"/>
  <c r="BR313" i="7"/>
  <c r="BQ313" i="7"/>
  <c r="BP313" i="7"/>
  <c r="BO313" i="7"/>
  <c r="BN313" i="7"/>
  <c r="BM313" i="7"/>
  <c r="BL313" i="7"/>
  <c r="BK313" i="7"/>
  <c r="BJ313" i="7"/>
  <c r="BI313" i="7"/>
  <c r="BH313" i="7"/>
  <c r="BG313" i="7"/>
  <c r="DD312" i="7"/>
  <c r="DC312" i="7"/>
  <c r="DB312" i="7"/>
  <c r="DA312" i="7"/>
  <c r="CZ312" i="7"/>
  <c r="CY312" i="7"/>
  <c r="CX312" i="7"/>
  <c r="CW312" i="7"/>
  <c r="CV312" i="7"/>
  <c r="CU312" i="7"/>
  <c r="CT312" i="7"/>
  <c r="CS312" i="7"/>
  <c r="CR312" i="7"/>
  <c r="CQ312" i="7"/>
  <c r="CP312" i="7"/>
  <c r="CO312" i="7"/>
  <c r="CN312" i="7"/>
  <c r="CM312" i="7"/>
  <c r="CL312" i="7"/>
  <c r="CK312" i="7"/>
  <c r="CJ312" i="7"/>
  <c r="CI312" i="7"/>
  <c r="CH312" i="7"/>
  <c r="CG312" i="7"/>
  <c r="CF312" i="7"/>
  <c r="CE312" i="7"/>
  <c r="CD312" i="7"/>
  <c r="CC312" i="7"/>
  <c r="CB312" i="7"/>
  <c r="CA312" i="7"/>
  <c r="BZ312" i="7"/>
  <c r="BY312" i="7"/>
  <c r="BX312" i="7"/>
  <c r="BW312" i="7"/>
  <c r="BV312" i="7"/>
  <c r="BU312" i="7"/>
  <c r="BT312" i="7"/>
  <c r="BS312" i="7"/>
  <c r="BR312" i="7"/>
  <c r="BQ312" i="7"/>
  <c r="BP312" i="7"/>
  <c r="BO312" i="7"/>
  <c r="BN312" i="7"/>
  <c r="BM312" i="7"/>
  <c r="BL312" i="7"/>
  <c r="BK312" i="7"/>
  <c r="BJ312" i="7"/>
  <c r="BI312" i="7"/>
  <c r="BH312" i="7"/>
  <c r="BG312" i="7"/>
  <c r="DD311" i="7"/>
  <c r="DC311" i="7"/>
  <c r="DB311" i="7"/>
  <c r="DA311" i="7"/>
  <c r="CZ311" i="7"/>
  <c r="CY311" i="7"/>
  <c r="CX311" i="7"/>
  <c r="CW311" i="7"/>
  <c r="CV311" i="7"/>
  <c r="CU311" i="7"/>
  <c r="CT311" i="7"/>
  <c r="CS311" i="7"/>
  <c r="CR311" i="7"/>
  <c r="CQ311" i="7"/>
  <c r="CP311" i="7"/>
  <c r="CO311" i="7"/>
  <c r="CN311" i="7"/>
  <c r="CM311" i="7"/>
  <c r="CL311" i="7"/>
  <c r="CK311" i="7"/>
  <c r="CJ311" i="7"/>
  <c r="CI311" i="7"/>
  <c r="CH311" i="7"/>
  <c r="CG311" i="7"/>
  <c r="CF311" i="7"/>
  <c r="CE311" i="7"/>
  <c r="CD311" i="7"/>
  <c r="CC311" i="7"/>
  <c r="CB311" i="7"/>
  <c r="CA311" i="7"/>
  <c r="BZ311" i="7"/>
  <c r="BY311" i="7"/>
  <c r="BX311" i="7"/>
  <c r="BW311" i="7"/>
  <c r="BV311" i="7"/>
  <c r="BU311" i="7"/>
  <c r="BT311" i="7"/>
  <c r="BS311" i="7"/>
  <c r="BR311" i="7"/>
  <c r="BQ311" i="7"/>
  <c r="BP311" i="7"/>
  <c r="BO311" i="7"/>
  <c r="BN311" i="7"/>
  <c r="BM311" i="7"/>
  <c r="BL311" i="7"/>
  <c r="BK311" i="7"/>
  <c r="BJ311" i="7"/>
  <c r="BI311" i="7"/>
  <c r="BH311" i="7"/>
  <c r="BG311" i="7"/>
  <c r="DD310" i="7"/>
  <c r="DC310" i="7"/>
  <c r="DB310" i="7"/>
  <c r="DA310" i="7"/>
  <c r="CZ310" i="7"/>
  <c r="CY310" i="7"/>
  <c r="CX310" i="7"/>
  <c r="CW310" i="7"/>
  <c r="CV310" i="7"/>
  <c r="CU310" i="7"/>
  <c r="CT310" i="7"/>
  <c r="CS310" i="7"/>
  <c r="CR310" i="7"/>
  <c r="CQ310" i="7"/>
  <c r="CP310" i="7"/>
  <c r="CO310" i="7"/>
  <c r="CN310" i="7"/>
  <c r="CM310" i="7"/>
  <c r="CL310" i="7"/>
  <c r="CK310" i="7"/>
  <c r="CJ310" i="7"/>
  <c r="CI310" i="7"/>
  <c r="CH310" i="7"/>
  <c r="CG310" i="7"/>
  <c r="CF310" i="7"/>
  <c r="CE310" i="7"/>
  <c r="CD310" i="7"/>
  <c r="CC310" i="7"/>
  <c r="CB310" i="7"/>
  <c r="CA310" i="7"/>
  <c r="BZ310" i="7"/>
  <c r="BY310" i="7"/>
  <c r="BX310" i="7"/>
  <c r="BW310" i="7"/>
  <c r="BV310" i="7"/>
  <c r="BU310" i="7"/>
  <c r="BT310" i="7"/>
  <c r="BS310" i="7"/>
  <c r="BR310" i="7"/>
  <c r="BQ310" i="7"/>
  <c r="BP310" i="7"/>
  <c r="BO310" i="7"/>
  <c r="BN310" i="7"/>
  <c r="BM310" i="7"/>
  <c r="BL310" i="7"/>
  <c r="BK310" i="7"/>
  <c r="BJ310" i="7"/>
  <c r="BI310" i="7"/>
  <c r="DD309" i="7"/>
  <c r="DC309" i="7"/>
  <c r="DB309" i="7"/>
  <c r="DA309" i="7"/>
  <c r="CZ309" i="7"/>
  <c r="CY309" i="7"/>
  <c r="CX309" i="7"/>
  <c r="CW309" i="7"/>
  <c r="CV309" i="7"/>
  <c r="CU309" i="7"/>
  <c r="CT309" i="7"/>
  <c r="CS309" i="7"/>
  <c r="CR309" i="7"/>
  <c r="CQ309" i="7"/>
  <c r="CP309" i="7"/>
  <c r="CO309" i="7"/>
  <c r="CN309" i="7"/>
  <c r="CM309" i="7"/>
  <c r="CL309" i="7"/>
  <c r="CK309" i="7"/>
  <c r="CJ309" i="7"/>
  <c r="CI309" i="7"/>
  <c r="CH309" i="7"/>
  <c r="CG309" i="7"/>
  <c r="CF309" i="7"/>
  <c r="CE309" i="7"/>
  <c r="CD309" i="7"/>
  <c r="CC309" i="7"/>
  <c r="CB309" i="7"/>
  <c r="CA309" i="7"/>
  <c r="BZ309" i="7"/>
  <c r="BY309" i="7"/>
  <c r="BX309" i="7"/>
  <c r="BW309" i="7"/>
  <c r="BV309" i="7"/>
  <c r="BU309" i="7"/>
  <c r="BT309" i="7"/>
  <c r="BS309" i="7"/>
  <c r="BR309" i="7"/>
  <c r="BQ309" i="7"/>
  <c r="BP309" i="7"/>
  <c r="BO309" i="7"/>
  <c r="BN309" i="7"/>
  <c r="BM309" i="7"/>
  <c r="BL309" i="7"/>
  <c r="BK309" i="7"/>
  <c r="BJ309" i="7"/>
  <c r="BI309" i="7"/>
  <c r="BH309" i="7"/>
  <c r="BG309" i="7"/>
  <c r="DD308" i="7"/>
  <c r="DC308" i="7"/>
  <c r="DB308" i="7"/>
  <c r="DA308" i="7"/>
  <c r="CZ308" i="7"/>
  <c r="CY308" i="7"/>
  <c r="CX308" i="7"/>
  <c r="CW308" i="7"/>
  <c r="CV308" i="7"/>
  <c r="CU308" i="7"/>
  <c r="CT308" i="7"/>
  <c r="CS308" i="7"/>
  <c r="CR308" i="7"/>
  <c r="CQ308" i="7"/>
  <c r="CP308" i="7"/>
  <c r="CO308" i="7"/>
  <c r="CN308" i="7"/>
  <c r="CM308" i="7"/>
  <c r="CL308" i="7"/>
  <c r="CK308" i="7"/>
  <c r="CJ308" i="7"/>
  <c r="CI308" i="7"/>
  <c r="CH308" i="7"/>
  <c r="CG308" i="7"/>
  <c r="CF308" i="7"/>
  <c r="CE308" i="7"/>
  <c r="CD308" i="7"/>
  <c r="CC308" i="7"/>
  <c r="CB308" i="7"/>
  <c r="CA308" i="7"/>
  <c r="BZ308" i="7"/>
  <c r="BY308" i="7"/>
  <c r="BX308" i="7"/>
  <c r="BW308" i="7"/>
  <c r="BV308" i="7"/>
  <c r="BU308" i="7"/>
  <c r="BT308" i="7"/>
  <c r="BS308" i="7"/>
  <c r="BR308" i="7"/>
  <c r="BQ308" i="7"/>
  <c r="BP308" i="7"/>
  <c r="BO308" i="7"/>
  <c r="BN308" i="7"/>
  <c r="BM308" i="7"/>
  <c r="BL308" i="7"/>
  <c r="BK308" i="7"/>
  <c r="BJ308" i="7"/>
  <c r="BI308" i="7"/>
  <c r="BH308" i="7"/>
  <c r="BG308" i="7"/>
  <c r="DD307" i="7"/>
  <c r="DC307" i="7"/>
  <c r="DB307" i="7"/>
  <c r="DA307" i="7"/>
  <c r="CZ307" i="7"/>
  <c r="CY307" i="7"/>
  <c r="CX307" i="7"/>
  <c r="CW307" i="7"/>
  <c r="CV307" i="7"/>
  <c r="CU307" i="7"/>
  <c r="CT307" i="7"/>
  <c r="CS307" i="7"/>
  <c r="CR307" i="7"/>
  <c r="CQ307" i="7"/>
  <c r="CP307" i="7"/>
  <c r="CO307" i="7"/>
  <c r="CN307" i="7"/>
  <c r="CM307" i="7"/>
  <c r="CL307" i="7"/>
  <c r="CK307" i="7"/>
  <c r="CJ307" i="7"/>
  <c r="CI307" i="7"/>
  <c r="CH307" i="7"/>
  <c r="CG307" i="7"/>
  <c r="CF307" i="7"/>
  <c r="CE307" i="7"/>
  <c r="CD307" i="7"/>
  <c r="CC307" i="7"/>
  <c r="CB307" i="7"/>
  <c r="CA307" i="7"/>
  <c r="BZ307" i="7"/>
  <c r="BY307" i="7"/>
  <c r="BX307" i="7"/>
  <c r="BW307" i="7"/>
  <c r="BV307" i="7"/>
  <c r="BU307" i="7"/>
  <c r="BT307" i="7"/>
  <c r="BS307" i="7"/>
  <c r="BR307" i="7"/>
  <c r="BQ307" i="7"/>
  <c r="BP307" i="7"/>
  <c r="BO307" i="7"/>
  <c r="BN307" i="7"/>
  <c r="BM307" i="7"/>
  <c r="BL307" i="7"/>
  <c r="BK307" i="7"/>
  <c r="BJ307" i="7"/>
  <c r="BI307" i="7"/>
  <c r="BH307" i="7"/>
  <c r="BG307" i="7"/>
  <c r="DD306" i="7"/>
  <c r="DC306" i="7"/>
  <c r="DB306" i="7"/>
  <c r="DA306" i="7"/>
  <c r="CZ306" i="7"/>
  <c r="CY306" i="7"/>
  <c r="CX306" i="7"/>
  <c r="CW306" i="7"/>
  <c r="CV306" i="7"/>
  <c r="CU306" i="7"/>
  <c r="CT306" i="7"/>
  <c r="CS306" i="7"/>
  <c r="CR306" i="7"/>
  <c r="CQ306" i="7"/>
  <c r="CP306" i="7"/>
  <c r="CO306" i="7"/>
  <c r="CN306" i="7"/>
  <c r="CM306" i="7"/>
  <c r="CL306" i="7"/>
  <c r="CK306" i="7"/>
  <c r="CJ306" i="7"/>
  <c r="CI306" i="7"/>
  <c r="CH306" i="7"/>
  <c r="CG306" i="7"/>
  <c r="CF306" i="7"/>
  <c r="CE306" i="7"/>
  <c r="CD306" i="7"/>
  <c r="CC306" i="7"/>
  <c r="CB306" i="7"/>
  <c r="CA306" i="7"/>
  <c r="BZ306" i="7"/>
  <c r="BY306" i="7"/>
  <c r="BX306" i="7"/>
  <c r="BW306" i="7"/>
  <c r="BV306" i="7"/>
  <c r="BU306" i="7"/>
  <c r="BT306" i="7"/>
  <c r="BS306" i="7"/>
  <c r="BR306" i="7"/>
  <c r="BQ306" i="7"/>
  <c r="BP306" i="7"/>
  <c r="BO306" i="7"/>
  <c r="BN306" i="7"/>
  <c r="BM306" i="7"/>
  <c r="BL306" i="7"/>
  <c r="BK306" i="7"/>
  <c r="BJ306" i="7"/>
  <c r="BI306" i="7"/>
  <c r="BH306" i="7"/>
  <c r="BG306" i="7"/>
  <c r="DD305" i="7"/>
  <c r="DC305" i="7"/>
  <c r="DB305" i="7"/>
  <c r="DA305" i="7"/>
  <c r="CZ305" i="7"/>
  <c r="CY305" i="7"/>
  <c r="CX305" i="7"/>
  <c r="CW305" i="7"/>
  <c r="CV305" i="7"/>
  <c r="CU305" i="7"/>
  <c r="CT305" i="7"/>
  <c r="CS305" i="7"/>
  <c r="CR305" i="7"/>
  <c r="CQ305" i="7"/>
  <c r="CP305" i="7"/>
  <c r="CO305" i="7"/>
  <c r="CN305" i="7"/>
  <c r="CM305" i="7"/>
  <c r="CL305" i="7"/>
  <c r="CK305" i="7"/>
  <c r="CJ305" i="7"/>
  <c r="CI305" i="7"/>
  <c r="CH305" i="7"/>
  <c r="CG305" i="7"/>
  <c r="CF305" i="7"/>
  <c r="CE305" i="7"/>
  <c r="CD305" i="7"/>
  <c r="CC305" i="7"/>
  <c r="CB305" i="7"/>
  <c r="CA305" i="7"/>
  <c r="BZ305" i="7"/>
  <c r="BY305" i="7"/>
  <c r="BX305" i="7"/>
  <c r="BW305" i="7"/>
  <c r="BV305" i="7"/>
  <c r="BU305" i="7"/>
  <c r="BT305" i="7"/>
  <c r="BS305" i="7"/>
  <c r="BR305" i="7"/>
  <c r="BQ305" i="7"/>
  <c r="BP305" i="7"/>
  <c r="BO305" i="7"/>
  <c r="BN305" i="7"/>
  <c r="BM305" i="7"/>
  <c r="BL305" i="7"/>
  <c r="BK305" i="7"/>
  <c r="BJ305" i="7"/>
  <c r="BI305" i="7"/>
  <c r="BH305" i="7"/>
  <c r="BG305" i="7"/>
  <c r="DD304" i="7"/>
  <c r="DC304" i="7"/>
  <c r="DB304" i="7"/>
  <c r="DA304" i="7"/>
  <c r="CZ304" i="7"/>
  <c r="CY304" i="7"/>
  <c r="CX304" i="7"/>
  <c r="CW304" i="7"/>
  <c r="CV304" i="7"/>
  <c r="CU304" i="7"/>
  <c r="CT304" i="7"/>
  <c r="CS304" i="7"/>
  <c r="CR304" i="7"/>
  <c r="CQ304" i="7"/>
  <c r="CP304" i="7"/>
  <c r="CO304" i="7"/>
  <c r="CN304" i="7"/>
  <c r="CM304" i="7"/>
  <c r="CL304" i="7"/>
  <c r="CK304" i="7"/>
  <c r="CJ304" i="7"/>
  <c r="CI304" i="7"/>
  <c r="CH304" i="7"/>
  <c r="CG304" i="7"/>
  <c r="CF304" i="7"/>
  <c r="CE304" i="7"/>
  <c r="CD304" i="7"/>
  <c r="CC304" i="7"/>
  <c r="CB304" i="7"/>
  <c r="CA304" i="7"/>
  <c r="BZ304" i="7"/>
  <c r="BY304" i="7"/>
  <c r="BX304" i="7"/>
  <c r="BW304" i="7"/>
  <c r="BV304" i="7"/>
  <c r="BU304" i="7"/>
  <c r="BT304" i="7"/>
  <c r="BS304" i="7"/>
  <c r="BR304" i="7"/>
  <c r="BP304" i="7"/>
  <c r="BO304" i="7"/>
  <c r="BN304" i="7"/>
  <c r="BM304" i="7"/>
  <c r="BL304" i="7"/>
  <c r="BK304" i="7"/>
  <c r="BJ304" i="7"/>
  <c r="BI304" i="7"/>
  <c r="BQ304" i="7"/>
  <c r="DD303" i="7"/>
  <c r="DC303" i="7"/>
  <c r="DB303" i="7"/>
  <c r="DA303" i="7"/>
  <c r="CZ303" i="7"/>
  <c r="CY303" i="7"/>
  <c r="CX303" i="7"/>
  <c r="CW303" i="7"/>
  <c r="CV303" i="7"/>
  <c r="CU303" i="7"/>
  <c r="CT303" i="7"/>
  <c r="CS303" i="7"/>
  <c r="CR303" i="7"/>
  <c r="CQ303" i="7"/>
  <c r="CP303" i="7"/>
  <c r="CO303" i="7"/>
  <c r="CN303" i="7"/>
  <c r="CM303" i="7"/>
  <c r="CL303" i="7"/>
  <c r="CK303" i="7"/>
  <c r="CJ303" i="7"/>
  <c r="CI303" i="7"/>
  <c r="CH303" i="7"/>
  <c r="CG303" i="7"/>
  <c r="CF303" i="7"/>
  <c r="CE303" i="7"/>
  <c r="CD303" i="7"/>
  <c r="CC303" i="7"/>
  <c r="CB303" i="7"/>
  <c r="CA303" i="7"/>
  <c r="BZ303" i="7"/>
  <c r="BY303" i="7"/>
  <c r="BX303" i="7"/>
  <c r="BW303" i="7"/>
  <c r="BV303" i="7"/>
  <c r="BU303" i="7"/>
  <c r="BT303" i="7"/>
  <c r="BS303" i="7"/>
  <c r="BR303" i="7"/>
  <c r="BQ303" i="7"/>
  <c r="BP303" i="7"/>
  <c r="BO303" i="7"/>
  <c r="BN303" i="7"/>
  <c r="BM303" i="7"/>
  <c r="BL303" i="7"/>
  <c r="BK303" i="7"/>
  <c r="BJ303" i="7"/>
  <c r="BI303" i="7"/>
  <c r="BH303" i="7"/>
  <c r="BG303" i="7"/>
  <c r="DD302" i="7"/>
  <c r="DC302" i="7"/>
  <c r="DB302" i="7"/>
  <c r="DA302" i="7"/>
  <c r="CZ302" i="7"/>
  <c r="CY302" i="7"/>
  <c r="CX302" i="7"/>
  <c r="CW302" i="7"/>
  <c r="CV302" i="7"/>
  <c r="CU302" i="7"/>
  <c r="CT302" i="7"/>
  <c r="CS302" i="7"/>
  <c r="CR302" i="7"/>
  <c r="CQ302" i="7"/>
  <c r="CP302" i="7"/>
  <c r="CO302" i="7"/>
  <c r="CN302" i="7"/>
  <c r="CM302" i="7"/>
  <c r="CL302" i="7"/>
  <c r="CK302" i="7"/>
  <c r="CJ302" i="7"/>
  <c r="CI302" i="7"/>
  <c r="CH302" i="7"/>
  <c r="CG302" i="7"/>
  <c r="CF302" i="7"/>
  <c r="CE302" i="7"/>
  <c r="CD302" i="7"/>
  <c r="CC302" i="7"/>
  <c r="CB302" i="7"/>
  <c r="CA302" i="7"/>
  <c r="BZ302" i="7"/>
  <c r="BY302" i="7"/>
  <c r="BX302" i="7"/>
  <c r="BW302" i="7"/>
  <c r="BV302" i="7"/>
  <c r="BU302" i="7"/>
  <c r="BT302" i="7"/>
  <c r="BS302" i="7"/>
  <c r="BR302" i="7"/>
  <c r="BQ302" i="7"/>
  <c r="BP302" i="7"/>
  <c r="BO302" i="7"/>
  <c r="BN302" i="7"/>
  <c r="BM302" i="7"/>
  <c r="BL302" i="7"/>
  <c r="BK302" i="7"/>
  <c r="BJ302" i="7"/>
  <c r="BI302" i="7"/>
  <c r="BH302" i="7"/>
  <c r="BG302" i="7"/>
  <c r="DD301" i="7"/>
  <c r="DC301" i="7"/>
  <c r="DB301" i="7"/>
  <c r="DA301" i="7"/>
  <c r="CZ301" i="7"/>
  <c r="CY301" i="7"/>
  <c r="CX301" i="7"/>
  <c r="CW301" i="7"/>
  <c r="CV301" i="7"/>
  <c r="CU301" i="7"/>
  <c r="CT301" i="7"/>
  <c r="CS301" i="7"/>
  <c r="CR301" i="7"/>
  <c r="CQ301" i="7"/>
  <c r="CP301" i="7"/>
  <c r="CO301" i="7"/>
  <c r="CN301" i="7"/>
  <c r="CM301" i="7"/>
  <c r="CL301" i="7"/>
  <c r="CK301" i="7"/>
  <c r="CJ301" i="7"/>
  <c r="CI301" i="7"/>
  <c r="CH301" i="7"/>
  <c r="CG301" i="7"/>
  <c r="CF301" i="7"/>
  <c r="CE301" i="7"/>
  <c r="CD301" i="7"/>
  <c r="CC301" i="7"/>
  <c r="CB301" i="7"/>
  <c r="CA301" i="7"/>
  <c r="BZ301" i="7"/>
  <c r="BY301" i="7"/>
  <c r="BX301" i="7"/>
  <c r="BW301" i="7"/>
  <c r="BV301" i="7"/>
  <c r="BU301" i="7"/>
  <c r="BT301" i="7"/>
  <c r="BS301" i="7"/>
  <c r="BR301" i="7"/>
  <c r="BQ301" i="7"/>
  <c r="BP301" i="7"/>
  <c r="BO301" i="7"/>
  <c r="BN301" i="7"/>
  <c r="BM301" i="7"/>
  <c r="BL301" i="7"/>
  <c r="BK301" i="7"/>
  <c r="BJ301" i="7"/>
  <c r="BI301" i="7"/>
  <c r="BH301" i="7"/>
  <c r="BG301" i="7"/>
  <c r="DD300" i="7"/>
  <c r="DC300" i="7"/>
  <c r="DB300" i="7"/>
  <c r="DA300" i="7"/>
  <c r="CZ300" i="7"/>
  <c r="CY300" i="7"/>
  <c r="CX300" i="7"/>
  <c r="CW300" i="7"/>
  <c r="CV300" i="7"/>
  <c r="CU300" i="7"/>
  <c r="CT300" i="7"/>
  <c r="CS300" i="7"/>
  <c r="CR300" i="7"/>
  <c r="CQ300" i="7"/>
  <c r="CP300" i="7"/>
  <c r="CO300" i="7"/>
  <c r="CN300" i="7"/>
  <c r="CM300" i="7"/>
  <c r="CL300" i="7"/>
  <c r="CK300" i="7"/>
  <c r="CJ300" i="7"/>
  <c r="CI300" i="7"/>
  <c r="CH300" i="7"/>
  <c r="CG300" i="7"/>
  <c r="CF300" i="7"/>
  <c r="CE300" i="7"/>
  <c r="CD300" i="7"/>
  <c r="CC300" i="7"/>
  <c r="CB300" i="7"/>
  <c r="CA300" i="7"/>
  <c r="BZ300" i="7"/>
  <c r="BY300" i="7"/>
  <c r="BX300" i="7"/>
  <c r="BW300" i="7"/>
  <c r="BV300" i="7"/>
  <c r="BU300" i="7"/>
  <c r="BT300" i="7"/>
  <c r="BS300" i="7"/>
  <c r="BR300" i="7"/>
  <c r="BQ300" i="7"/>
  <c r="BP300" i="7"/>
  <c r="BO300" i="7"/>
  <c r="BN300" i="7"/>
  <c r="BM300" i="7"/>
  <c r="BL300" i="7"/>
  <c r="BK300" i="7"/>
  <c r="BJ300" i="7"/>
  <c r="BI300" i="7"/>
  <c r="BH300" i="7"/>
  <c r="DD299" i="7"/>
  <c r="DC299" i="7"/>
  <c r="DB299" i="7"/>
  <c r="DA299" i="7"/>
  <c r="CZ299" i="7"/>
  <c r="CY299" i="7"/>
  <c r="CX299" i="7"/>
  <c r="CW299" i="7"/>
  <c r="CV299" i="7"/>
  <c r="CU299" i="7"/>
  <c r="CT299" i="7"/>
  <c r="CS299" i="7"/>
  <c r="CR299" i="7"/>
  <c r="CQ299" i="7"/>
  <c r="CP299" i="7"/>
  <c r="CO299" i="7"/>
  <c r="CN299" i="7"/>
  <c r="CM299" i="7"/>
  <c r="CL299" i="7"/>
  <c r="CK299" i="7"/>
  <c r="CJ299" i="7"/>
  <c r="CI299" i="7"/>
  <c r="CH299" i="7"/>
  <c r="CG299" i="7"/>
  <c r="CF299" i="7"/>
  <c r="CE299" i="7"/>
  <c r="CD299" i="7"/>
  <c r="CC299" i="7"/>
  <c r="CB299" i="7"/>
  <c r="CA299" i="7"/>
  <c r="BZ299" i="7"/>
  <c r="BY299" i="7"/>
  <c r="BX299" i="7"/>
  <c r="BW299" i="7"/>
  <c r="BV299" i="7"/>
  <c r="BU299" i="7"/>
  <c r="BT299" i="7"/>
  <c r="BS299" i="7"/>
  <c r="BR299" i="7"/>
  <c r="BQ299" i="7"/>
  <c r="BP299" i="7"/>
  <c r="BO299" i="7"/>
  <c r="BN299" i="7"/>
  <c r="BM299" i="7"/>
  <c r="BL299" i="7"/>
  <c r="BK299" i="7"/>
  <c r="BJ299" i="7"/>
  <c r="BI299" i="7"/>
  <c r="BH299" i="7"/>
  <c r="BG299" i="7"/>
  <c r="DD298" i="7"/>
  <c r="DC298" i="7"/>
  <c r="DB298" i="7"/>
  <c r="DA298" i="7"/>
  <c r="CZ298" i="7"/>
  <c r="CY298" i="7"/>
  <c r="CX298" i="7"/>
  <c r="CW298" i="7"/>
  <c r="CV298" i="7"/>
  <c r="CU298" i="7"/>
  <c r="CT298" i="7"/>
  <c r="CS298" i="7"/>
  <c r="CR298" i="7"/>
  <c r="CQ298" i="7"/>
  <c r="CP298" i="7"/>
  <c r="CO298" i="7"/>
  <c r="CN298" i="7"/>
  <c r="CM298" i="7"/>
  <c r="CL298" i="7"/>
  <c r="CK298" i="7"/>
  <c r="CJ298" i="7"/>
  <c r="CI298" i="7"/>
  <c r="CH298" i="7"/>
  <c r="CG298" i="7"/>
  <c r="CF298" i="7"/>
  <c r="CE298" i="7"/>
  <c r="CD298" i="7"/>
  <c r="CC298" i="7"/>
  <c r="CB298" i="7"/>
  <c r="CA298" i="7"/>
  <c r="BZ298" i="7"/>
  <c r="BY298" i="7"/>
  <c r="BX298" i="7"/>
  <c r="BW298" i="7"/>
  <c r="BV298" i="7"/>
  <c r="BU298" i="7"/>
  <c r="BT298" i="7"/>
  <c r="BS298" i="7"/>
  <c r="BR298" i="7"/>
  <c r="BQ298" i="7"/>
  <c r="BP298" i="7"/>
  <c r="BO298" i="7"/>
  <c r="BN298" i="7"/>
  <c r="BM298" i="7"/>
  <c r="BL298" i="7"/>
  <c r="BK298" i="7"/>
  <c r="BJ298" i="7"/>
  <c r="BI298" i="7"/>
  <c r="BH298" i="7"/>
  <c r="BG298" i="7"/>
  <c r="DD297" i="7"/>
  <c r="DC297" i="7"/>
  <c r="DB297" i="7"/>
  <c r="DA297" i="7"/>
  <c r="CZ297" i="7"/>
  <c r="CY297" i="7"/>
  <c r="CX297" i="7"/>
  <c r="CW297" i="7"/>
  <c r="CV297" i="7"/>
  <c r="CU297" i="7"/>
  <c r="CT297" i="7"/>
  <c r="CS297" i="7"/>
  <c r="CR297" i="7"/>
  <c r="CQ297" i="7"/>
  <c r="CP297" i="7"/>
  <c r="CO297" i="7"/>
  <c r="CN297" i="7"/>
  <c r="CM297" i="7"/>
  <c r="CL297" i="7"/>
  <c r="CK297" i="7"/>
  <c r="CJ297" i="7"/>
  <c r="CI297" i="7"/>
  <c r="CH297" i="7"/>
  <c r="CG297" i="7"/>
  <c r="CF297" i="7"/>
  <c r="CE297" i="7"/>
  <c r="CD297" i="7"/>
  <c r="CC297" i="7"/>
  <c r="CB297" i="7"/>
  <c r="CA297" i="7"/>
  <c r="BZ297" i="7"/>
  <c r="BY297" i="7"/>
  <c r="BX297" i="7"/>
  <c r="BW297" i="7"/>
  <c r="BV297" i="7"/>
  <c r="BU297" i="7"/>
  <c r="BT297" i="7"/>
  <c r="BS297" i="7"/>
  <c r="BR297" i="7"/>
  <c r="BQ297" i="7"/>
  <c r="BP297" i="7"/>
  <c r="BO297" i="7"/>
  <c r="BN297" i="7"/>
  <c r="BM297" i="7"/>
  <c r="BL297" i="7"/>
  <c r="BK297" i="7"/>
  <c r="BJ297" i="7"/>
  <c r="BI297" i="7"/>
  <c r="BH297" i="7"/>
  <c r="BG297" i="7"/>
  <c r="DD296" i="7"/>
  <c r="DC296" i="7"/>
  <c r="DB296" i="7"/>
  <c r="DA296" i="7"/>
  <c r="CZ296" i="7"/>
  <c r="CY296" i="7"/>
  <c r="CX296" i="7"/>
  <c r="CW296" i="7"/>
  <c r="CV296" i="7"/>
  <c r="CU296" i="7"/>
  <c r="CT296" i="7"/>
  <c r="CS296" i="7"/>
  <c r="CR296" i="7"/>
  <c r="CQ296" i="7"/>
  <c r="CP296" i="7"/>
  <c r="CO296" i="7"/>
  <c r="CN296" i="7"/>
  <c r="CM296" i="7"/>
  <c r="CL296" i="7"/>
  <c r="CK296" i="7"/>
  <c r="CJ296" i="7"/>
  <c r="CI296" i="7"/>
  <c r="CH296" i="7"/>
  <c r="CG296" i="7"/>
  <c r="CF296" i="7"/>
  <c r="CE296" i="7"/>
  <c r="CD296" i="7"/>
  <c r="CC296" i="7"/>
  <c r="CB296" i="7"/>
  <c r="CA296" i="7"/>
  <c r="BZ296" i="7"/>
  <c r="BY296" i="7"/>
  <c r="BX296" i="7"/>
  <c r="BW296" i="7"/>
  <c r="BV296" i="7"/>
  <c r="BU296" i="7"/>
  <c r="BT296" i="7"/>
  <c r="BS296" i="7"/>
  <c r="BR296" i="7"/>
  <c r="BQ296" i="7"/>
  <c r="BP296" i="7"/>
  <c r="BO296" i="7"/>
  <c r="BN296" i="7"/>
  <c r="BM296" i="7"/>
  <c r="BL296" i="7"/>
  <c r="BK296" i="7"/>
  <c r="BJ296" i="7"/>
  <c r="BI296" i="7"/>
  <c r="BH296" i="7"/>
  <c r="BG296" i="7"/>
  <c r="DD295" i="7"/>
  <c r="DC295" i="7"/>
  <c r="DB295" i="7"/>
  <c r="DA295" i="7"/>
  <c r="CZ295" i="7"/>
  <c r="CY295" i="7"/>
  <c r="CX295" i="7"/>
  <c r="CW295" i="7"/>
  <c r="CV295" i="7"/>
  <c r="CU295" i="7"/>
  <c r="CT295" i="7"/>
  <c r="CS295" i="7"/>
  <c r="CR295" i="7"/>
  <c r="CQ295" i="7"/>
  <c r="CP295" i="7"/>
  <c r="CO295" i="7"/>
  <c r="CN295" i="7"/>
  <c r="CM295" i="7"/>
  <c r="CL295" i="7"/>
  <c r="CK295" i="7"/>
  <c r="CJ295" i="7"/>
  <c r="CI295" i="7"/>
  <c r="CH295" i="7"/>
  <c r="CG295" i="7"/>
  <c r="CF295" i="7"/>
  <c r="CE295" i="7"/>
  <c r="CD295" i="7"/>
  <c r="CC295" i="7"/>
  <c r="CB295" i="7"/>
  <c r="CA295" i="7"/>
  <c r="BZ295" i="7"/>
  <c r="BY295" i="7"/>
  <c r="BX295" i="7"/>
  <c r="BW295" i="7"/>
  <c r="BV295" i="7"/>
  <c r="BU295" i="7"/>
  <c r="BT295" i="7"/>
  <c r="BS295" i="7"/>
  <c r="BR295" i="7"/>
  <c r="BQ295" i="7"/>
  <c r="BP295" i="7"/>
  <c r="BO295" i="7"/>
  <c r="BN295" i="7"/>
  <c r="BM295" i="7"/>
  <c r="BL295" i="7"/>
  <c r="BK295" i="7"/>
  <c r="BJ295" i="7"/>
  <c r="DD294" i="7"/>
  <c r="DC294" i="7"/>
  <c r="DB294" i="7"/>
  <c r="DA294" i="7"/>
  <c r="CZ294" i="7"/>
  <c r="CY294" i="7"/>
  <c r="CX294" i="7"/>
  <c r="CW294" i="7"/>
  <c r="CV294" i="7"/>
  <c r="CU294" i="7"/>
  <c r="CT294" i="7"/>
  <c r="CS294" i="7"/>
  <c r="CR294" i="7"/>
  <c r="CQ294" i="7"/>
  <c r="CP294" i="7"/>
  <c r="CO294" i="7"/>
  <c r="CN294" i="7"/>
  <c r="CM294" i="7"/>
  <c r="CL294" i="7"/>
  <c r="CK294" i="7"/>
  <c r="CJ294" i="7"/>
  <c r="CI294" i="7"/>
  <c r="CH294" i="7"/>
  <c r="CG294" i="7"/>
  <c r="CF294" i="7"/>
  <c r="CE294" i="7"/>
  <c r="CD294" i="7"/>
  <c r="CC294" i="7"/>
  <c r="CB294" i="7"/>
  <c r="CA294" i="7"/>
  <c r="BZ294" i="7"/>
  <c r="BY294" i="7"/>
  <c r="BX294" i="7"/>
  <c r="BW294" i="7"/>
  <c r="BV294" i="7"/>
  <c r="BU294" i="7"/>
  <c r="BS294" i="7"/>
  <c r="BR294" i="7"/>
  <c r="BQ294" i="7"/>
  <c r="BP294" i="7"/>
  <c r="BO294" i="7"/>
  <c r="BN294" i="7"/>
  <c r="BM294" i="7"/>
  <c r="BL294" i="7"/>
  <c r="BK294" i="7"/>
  <c r="BJ294" i="7"/>
  <c r="BI294" i="7"/>
  <c r="BH294" i="7"/>
  <c r="BG294" i="7"/>
  <c r="BT294" i="7"/>
  <c r="DD293" i="7"/>
  <c r="DC293" i="7"/>
  <c r="DB293" i="7"/>
  <c r="DA293" i="7"/>
  <c r="CZ293" i="7"/>
  <c r="CY293" i="7"/>
  <c r="CX293" i="7"/>
  <c r="CW293" i="7"/>
  <c r="CV293" i="7"/>
  <c r="CU293" i="7"/>
  <c r="CT293" i="7"/>
  <c r="CS293" i="7"/>
  <c r="CR293" i="7"/>
  <c r="CQ293" i="7"/>
  <c r="CP293" i="7"/>
  <c r="CO293" i="7"/>
  <c r="CN293" i="7"/>
  <c r="CM293" i="7"/>
  <c r="CL293" i="7"/>
  <c r="CK293" i="7"/>
  <c r="CJ293" i="7"/>
  <c r="CI293" i="7"/>
  <c r="CH293" i="7"/>
  <c r="CG293" i="7"/>
  <c r="CF293" i="7"/>
  <c r="CE293" i="7"/>
  <c r="CD293" i="7"/>
  <c r="CC293" i="7"/>
  <c r="CB293" i="7"/>
  <c r="CA293" i="7"/>
  <c r="BZ293" i="7"/>
  <c r="BY293" i="7"/>
  <c r="BX293" i="7"/>
  <c r="BW293" i="7"/>
  <c r="BV293" i="7"/>
  <c r="BU293" i="7"/>
  <c r="BT293" i="7"/>
  <c r="BS293" i="7"/>
  <c r="BR293" i="7"/>
  <c r="BQ293" i="7"/>
  <c r="BP293" i="7"/>
  <c r="BO293" i="7"/>
  <c r="BN293" i="7"/>
  <c r="BM293" i="7"/>
  <c r="BL293" i="7"/>
  <c r="BK293" i="7"/>
  <c r="BJ293" i="7"/>
  <c r="BI293" i="7"/>
  <c r="BG293" i="7"/>
  <c r="BH293" i="7"/>
  <c r="DD292" i="7"/>
  <c r="DC292" i="7"/>
  <c r="DB292" i="7"/>
  <c r="DA292" i="7"/>
  <c r="CZ292" i="7"/>
  <c r="CY292" i="7"/>
  <c r="CX292" i="7"/>
  <c r="CW292" i="7"/>
  <c r="CV292" i="7"/>
  <c r="CU292" i="7"/>
  <c r="CT292" i="7"/>
  <c r="CS292" i="7"/>
  <c r="CR292" i="7"/>
  <c r="CQ292" i="7"/>
  <c r="CP292" i="7"/>
  <c r="CO292" i="7"/>
  <c r="CN292" i="7"/>
  <c r="CM292" i="7"/>
  <c r="CL292" i="7"/>
  <c r="CK292" i="7"/>
  <c r="CJ292" i="7"/>
  <c r="CI292" i="7"/>
  <c r="CH292" i="7"/>
  <c r="CG292" i="7"/>
  <c r="CF292" i="7"/>
  <c r="CE292" i="7"/>
  <c r="CD292" i="7"/>
  <c r="CC292" i="7"/>
  <c r="CB292" i="7"/>
  <c r="CA292" i="7"/>
  <c r="BZ292" i="7"/>
  <c r="BY292" i="7"/>
  <c r="BX292" i="7"/>
  <c r="BW292" i="7"/>
  <c r="BV292" i="7"/>
  <c r="BU292" i="7"/>
  <c r="BT292" i="7"/>
  <c r="BS292" i="7"/>
  <c r="BR292" i="7"/>
  <c r="BQ292" i="7"/>
  <c r="BP292" i="7"/>
  <c r="BO292" i="7"/>
  <c r="BN292" i="7"/>
  <c r="BM292" i="7"/>
  <c r="BL292" i="7"/>
  <c r="BK292" i="7"/>
  <c r="BJ292" i="7"/>
  <c r="BI292" i="7"/>
  <c r="BH292" i="7"/>
  <c r="BG292" i="7"/>
  <c r="DD291" i="7"/>
  <c r="DC291" i="7"/>
  <c r="DB291" i="7"/>
  <c r="DA291" i="7"/>
  <c r="CZ291" i="7"/>
  <c r="CY291" i="7"/>
  <c r="CX291" i="7"/>
  <c r="CW291" i="7"/>
  <c r="CV291" i="7"/>
  <c r="CU291" i="7"/>
  <c r="CT291" i="7"/>
  <c r="CS291" i="7"/>
  <c r="CR291" i="7"/>
  <c r="CQ291" i="7"/>
  <c r="CP291" i="7"/>
  <c r="CO291" i="7"/>
  <c r="CN291" i="7"/>
  <c r="CM291" i="7"/>
  <c r="CL291" i="7"/>
  <c r="CK291" i="7"/>
  <c r="CJ291" i="7"/>
  <c r="CI291" i="7"/>
  <c r="CH291" i="7"/>
  <c r="CG291" i="7"/>
  <c r="CF291" i="7"/>
  <c r="CE291" i="7"/>
  <c r="CD291" i="7"/>
  <c r="CC291" i="7"/>
  <c r="CB291" i="7"/>
  <c r="CA291" i="7"/>
  <c r="BZ291" i="7"/>
  <c r="BY291" i="7"/>
  <c r="BX291" i="7"/>
  <c r="BW291" i="7"/>
  <c r="BV291" i="7"/>
  <c r="BU291" i="7"/>
  <c r="BT291" i="7"/>
  <c r="BS291" i="7"/>
  <c r="BR291" i="7"/>
  <c r="BQ291" i="7"/>
  <c r="BP291" i="7"/>
  <c r="BO291" i="7"/>
  <c r="BN291" i="7"/>
  <c r="BM291" i="7"/>
  <c r="BL291" i="7"/>
  <c r="BK291" i="7"/>
  <c r="BJ291" i="7"/>
  <c r="BI291" i="7"/>
  <c r="BH291" i="7"/>
  <c r="BG291" i="7"/>
  <c r="DD290" i="7"/>
  <c r="DC290" i="7"/>
  <c r="DB290" i="7"/>
  <c r="DA290" i="7"/>
  <c r="CZ290" i="7"/>
  <c r="CY290" i="7"/>
  <c r="CX290" i="7"/>
  <c r="CW290" i="7"/>
  <c r="CV290" i="7"/>
  <c r="CU290" i="7"/>
  <c r="CT290" i="7"/>
  <c r="CS290" i="7"/>
  <c r="CR290" i="7"/>
  <c r="CQ290" i="7"/>
  <c r="CP290" i="7"/>
  <c r="CO290" i="7"/>
  <c r="CN290" i="7"/>
  <c r="CM290" i="7"/>
  <c r="CL290" i="7"/>
  <c r="CK290" i="7"/>
  <c r="CJ290" i="7"/>
  <c r="CI290" i="7"/>
  <c r="CH290" i="7"/>
  <c r="CG290" i="7"/>
  <c r="CF290" i="7"/>
  <c r="CE290" i="7"/>
  <c r="CD290" i="7"/>
  <c r="CC290" i="7"/>
  <c r="CB290" i="7"/>
  <c r="CA290" i="7"/>
  <c r="BZ290" i="7"/>
  <c r="BY290" i="7"/>
  <c r="BX290" i="7"/>
  <c r="BW290" i="7"/>
  <c r="BV290" i="7"/>
  <c r="BU290" i="7"/>
  <c r="BT290" i="7"/>
  <c r="BS290" i="7"/>
  <c r="BR290" i="7"/>
  <c r="BQ290" i="7"/>
  <c r="BP290" i="7"/>
  <c r="BO290" i="7"/>
  <c r="BN290" i="7"/>
  <c r="BM290" i="7"/>
  <c r="BL290" i="7"/>
  <c r="BK290" i="7"/>
  <c r="BJ290" i="7"/>
  <c r="BI290" i="7"/>
  <c r="BH290" i="7"/>
  <c r="BG290" i="7"/>
  <c r="DD289" i="7"/>
  <c r="DC289" i="7"/>
  <c r="DB289" i="7"/>
  <c r="DA289" i="7"/>
  <c r="CZ289" i="7"/>
  <c r="CY289" i="7"/>
  <c r="CX289" i="7"/>
  <c r="CW289" i="7"/>
  <c r="CV289" i="7"/>
  <c r="CU289" i="7"/>
  <c r="CT289" i="7"/>
  <c r="CS289" i="7"/>
  <c r="CR289" i="7"/>
  <c r="CQ289" i="7"/>
  <c r="CP289" i="7"/>
  <c r="CO289" i="7"/>
  <c r="CN289" i="7"/>
  <c r="CM289" i="7"/>
  <c r="CL289" i="7"/>
  <c r="CK289" i="7"/>
  <c r="CJ289" i="7"/>
  <c r="CI289" i="7"/>
  <c r="CH289" i="7"/>
  <c r="CG289" i="7"/>
  <c r="CF289" i="7"/>
  <c r="CE289" i="7"/>
  <c r="CD289" i="7"/>
  <c r="CC289" i="7"/>
  <c r="CB289" i="7"/>
  <c r="CA289" i="7"/>
  <c r="BZ289" i="7"/>
  <c r="BY289" i="7"/>
  <c r="BX289" i="7"/>
  <c r="BW289" i="7"/>
  <c r="BV289" i="7"/>
  <c r="BU289" i="7"/>
  <c r="BT289" i="7"/>
  <c r="BS289" i="7"/>
  <c r="BR289" i="7"/>
  <c r="BQ289" i="7"/>
  <c r="BP289" i="7"/>
  <c r="BO289" i="7"/>
  <c r="BN289" i="7"/>
  <c r="BM289" i="7"/>
  <c r="BL289" i="7"/>
  <c r="BK289" i="7"/>
  <c r="BJ289" i="7"/>
  <c r="BI289" i="7"/>
  <c r="BH289" i="7"/>
  <c r="BG289" i="7"/>
  <c r="DD288" i="7"/>
  <c r="DC288" i="7"/>
  <c r="DB288" i="7"/>
  <c r="DA288" i="7"/>
  <c r="CZ288" i="7"/>
  <c r="CY288" i="7"/>
  <c r="CX288" i="7"/>
  <c r="CW288" i="7"/>
  <c r="CV288" i="7"/>
  <c r="CU288" i="7"/>
  <c r="CT288" i="7"/>
  <c r="CS288" i="7"/>
  <c r="CR288" i="7"/>
  <c r="CQ288" i="7"/>
  <c r="CP288" i="7"/>
  <c r="CO288" i="7"/>
  <c r="CN288" i="7"/>
  <c r="CM288" i="7"/>
  <c r="CL288" i="7"/>
  <c r="CK288" i="7"/>
  <c r="CJ288" i="7"/>
  <c r="CI288" i="7"/>
  <c r="CH288" i="7"/>
  <c r="CG288" i="7"/>
  <c r="CF288" i="7"/>
  <c r="CE288" i="7"/>
  <c r="CD288" i="7"/>
  <c r="CC288" i="7"/>
  <c r="CB288" i="7"/>
  <c r="CA288" i="7"/>
  <c r="BZ288" i="7"/>
  <c r="BY288" i="7"/>
  <c r="BX288" i="7"/>
  <c r="BW288" i="7"/>
  <c r="BV288" i="7"/>
  <c r="BU288" i="7"/>
  <c r="BT288" i="7"/>
  <c r="BS288" i="7"/>
  <c r="BR288" i="7"/>
  <c r="BQ288" i="7"/>
  <c r="BP288" i="7"/>
  <c r="BO288" i="7"/>
  <c r="BM288" i="7"/>
  <c r="BL288" i="7"/>
  <c r="BK288" i="7"/>
  <c r="BJ288" i="7"/>
  <c r="BI288" i="7"/>
  <c r="BH288" i="7"/>
  <c r="BG288" i="7"/>
  <c r="BN288" i="7"/>
  <c r="DD287" i="7"/>
  <c r="DC287" i="7"/>
  <c r="DB287" i="7"/>
  <c r="DA287" i="7"/>
  <c r="CZ287" i="7"/>
  <c r="CY287" i="7"/>
  <c r="CX287" i="7"/>
  <c r="CW287" i="7"/>
  <c r="CV287" i="7"/>
  <c r="CU287" i="7"/>
  <c r="CT287" i="7"/>
  <c r="CS287" i="7"/>
  <c r="CR287" i="7"/>
  <c r="CQ287" i="7"/>
  <c r="CP287" i="7"/>
  <c r="CO287" i="7"/>
  <c r="CN287" i="7"/>
  <c r="CM287" i="7"/>
  <c r="CL287" i="7"/>
  <c r="CK287" i="7"/>
  <c r="CJ287" i="7"/>
  <c r="CI287" i="7"/>
  <c r="CH287" i="7"/>
  <c r="CG287" i="7"/>
  <c r="CF287" i="7"/>
  <c r="CE287" i="7"/>
  <c r="CD287" i="7"/>
  <c r="CC287" i="7"/>
  <c r="CB287" i="7"/>
  <c r="CA287" i="7"/>
  <c r="BZ287" i="7"/>
  <c r="BY287" i="7"/>
  <c r="BX287" i="7"/>
  <c r="BW287" i="7"/>
  <c r="BV287" i="7"/>
  <c r="BU287" i="7"/>
  <c r="BT287" i="7"/>
  <c r="BS287" i="7"/>
  <c r="BR287" i="7"/>
  <c r="BQ287" i="7"/>
  <c r="BP287" i="7"/>
  <c r="BO287" i="7"/>
  <c r="BN287" i="7"/>
  <c r="BL287" i="7"/>
  <c r="BK287" i="7"/>
  <c r="BJ287" i="7"/>
  <c r="DD286" i="7"/>
  <c r="DC286" i="7"/>
  <c r="DB286" i="7"/>
  <c r="DA286" i="7"/>
  <c r="CZ286" i="7"/>
  <c r="CY286" i="7"/>
  <c r="CX286" i="7"/>
  <c r="CW286" i="7"/>
  <c r="CV286" i="7"/>
  <c r="CU286" i="7"/>
  <c r="CT286" i="7"/>
  <c r="CS286" i="7"/>
  <c r="CR286" i="7"/>
  <c r="CQ286" i="7"/>
  <c r="CP286" i="7"/>
  <c r="CO286" i="7"/>
  <c r="CN286" i="7"/>
  <c r="CM286" i="7"/>
  <c r="CL286" i="7"/>
  <c r="CK286" i="7"/>
  <c r="CJ286" i="7"/>
  <c r="CI286" i="7"/>
  <c r="CH286" i="7"/>
  <c r="CG286" i="7"/>
  <c r="CF286" i="7"/>
  <c r="CE286" i="7"/>
  <c r="CD286" i="7"/>
  <c r="CC286" i="7"/>
  <c r="CB286" i="7"/>
  <c r="CA286" i="7"/>
  <c r="BZ286" i="7"/>
  <c r="BY286" i="7"/>
  <c r="BX286" i="7"/>
  <c r="BW286" i="7"/>
  <c r="BV286" i="7"/>
  <c r="BU286" i="7"/>
  <c r="BT286" i="7"/>
  <c r="BS286" i="7"/>
  <c r="BR286" i="7"/>
  <c r="BQ286" i="7"/>
  <c r="BP286" i="7"/>
  <c r="BO286" i="7"/>
  <c r="BN286" i="7"/>
  <c r="BK286" i="7"/>
  <c r="BJ286" i="7"/>
  <c r="BI286" i="7"/>
  <c r="BH286" i="7"/>
  <c r="BG286" i="7"/>
  <c r="BL286" i="7"/>
  <c r="DD285" i="7"/>
  <c r="DC285" i="7"/>
  <c r="DB285" i="7"/>
  <c r="DA285" i="7"/>
  <c r="CZ285" i="7"/>
  <c r="CY285" i="7"/>
  <c r="CX285" i="7"/>
  <c r="CW285" i="7"/>
  <c r="CV285" i="7"/>
  <c r="CU285" i="7"/>
  <c r="CT285" i="7"/>
  <c r="CS285" i="7"/>
  <c r="CR285" i="7"/>
  <c r="CQ285" i="7"/>
  <c r="CP285" i="7"/>
  <c r="CO285" i="7"/>
  <c r="CN285" i="7"/>
  <c r="CM285" i="7"/>
  <c r="CL285" i="7"/>
  <c r="CK285" i="7"/>
  <c r="CJ285" i="7"/>
  <c r="CI285" i="7"/>
  <c r="CH285" i="7"/>
  <c r="CG285" i="7"/>
  <c r="CF285" i="7"/>
  <c r="CE285" i="7"/>
  <c r="CD285" i="7"/>
  <c r="CC285" i="7"/>
  <c r="CB285" i="7"/>
  <c r="CA285" i="7"/>
  <c r="BZ285" i="7"/>
  <c r="BY285" i="7"/>
  <c r="BX285" i="7"/>
  <c r="BW285" i="7"/>
  <c r="BV285" i="7"/>
  <c r="BU285" i="7"/>
  <c r="BT285" i="7"/>
  <c r="BS285" i="7"/>
  <c r="BR285" i="7"/>
  <c r="BQ285" i="7"/>
  <c r="BP285" i="7"/>
  <c r="BO285" i="7"/>
  <c r="BN285" i="7"/>
  <c r="BM285" i="7"/>
  <c r="BL285" i="7"/>
  <c r="BK285" i="7"/>
  <c r="BJ285" i="7"/>
  <c r="BI285" i="7"/>
  <c r="BH285" i="7"/>
  <c r="BG285" i="7"/>
  <c r="DD284" i="7"/>
  <c r="DC284" i="7"/>
  <c r="DB284" i="7"/>
  <c r="DA284" i="7"/>
  <c r="CZ284" i="7"/>
  <c r="CY284" i="7"/>
  <c r="CX284" i="7"/>
  <c r="CW284" i="7"/>
  <c r="CV284" i="7"/>
  <c r="CU284" i="7"/>
  <c r="CT284" i="7"/>
  <c r="CS284" i="7"/>
  <c r="CR284" i="7"/>
  <c r="CQ284" i="7"/>
  <c r="CP284" i="7"/>
  <c r="CO284" i="7"/>
  <c r="CN284" i="7"/>
  <c r="CM284" i="7"/>
  <c r="CL284" i="7"/>
  <c r="CK284" i="7"/>
  <c r="CJ284" i="7"/>
  <c r="CI284" i="7"/>
  <c r="CH284" i="7"/>
  <c r="CG284" i="7"/>
  <c r="CF284" i="7"/>
  <c r="CE284" i="7"/>
  <c r="CD284" i="7"/>
  <c r="CC284" i="7"/>
  <c r="CB284" i="7"/>
  <c r="CA284" i="7"/>
  <c r="BZ284" i="7"/>
  <c r="BY284" i="7"/>
  <c r="BX284" i="7"/>
  <c r="BW284" i="7"/>
  <c r="BV284" i="7"/>
  <c r="BU284" i="7"/>
  <c r="BT284" i="7"/>
  <c r="BS284" i="7"/>
  <c r="BR284" i="7"/>
  <c r="BQ284" i="7"/>
  <c r="BP284" i="7"/>
  <c r="BO284" i="7"/>
  <c r="BN284" i="7"/>
  <c r="BM284" i="7"/>
  <c r="BL284" i="7"/>
  <c r="BK284" i="7"/>
  <c r="BJ284" i="7"/>
  <c r="BI284" i="7"/>
  <c r="BH284" i="7"/>
  <c r="BG284" i="7"/>
  <c r="DD283" i="7"/>
  <c r="DC283" i="7"/>
  <c r="DB283" i="7"/>
  <c r="DA283" i="7"/>
  <c r="CZ283" i="7"/>
  <c r="CY283" i="7"/>
  <c r="CX283" i="7"/>
  <c r="CW283" i="7"/>
  <c r="CV283" i="7"/>
  <c r="CU283" i="7"/>
  <c r="CT283" i="7"/>
  <c r="CS283" i="7"/>
  <c r="CR283" i="7"/>
  <c r="CQ283" i="7"/>
  <c r="CP283" i="7"/>
  <c r="CO283" i="7"/>
  <c r="CN283" i="7"/>
  <c r="CM283" i="7"/>
  <c r="CL283" i="7"/>
  <c r="CK283" i="7"/>
  <c r="CJ283" i="7"/>
  <c r="CI283" i="7"/>
  <c r="CH283" i="7"/>
  <c r="CG283" i="7"/>
  <c r="CF283" i="7"/>
  <c r="CE283" i="7"/>
  <c r="CD283" i="7"/>
  <c r="CC283" i="7"/>
  <c r="CB283" i="7"/>
  <c r="CA283" i="7"/>
  <c r="BZ283" i="7"/>
  <c r="BY283" i="7"/>
  <c r="BX283" i="7"/>
  <c r="BW283" i="7"/>
  <c r="BV283" i="7"/>
  <c r="BU283" i="7"/>
  <c r="BT283" i="7"/>
  <c r="BS283" i="7"/>
  <c r="BR283" i="7"/>
  <c r="BQ283" i="7"/>
  <c r="BP283" i="7"/>
  <c r="BO283" i="7"/>
  <c r="BN283" i="7"/>
  <c r="BM283" i="7"/>
  <c r="BL283" i="7"/>
  <c r="BK283" i="7"/>
  <c r="BJ283" i="7"/>
  <c r="BI283" i="7"/>
  <c r="BH283" i="7"/>
  <c r="BG283" i="7"/>
  <c r="DD282" i="7"/>
  <c r="DC282" i="7"/>
  <c r="DB282" i="7"/>
  <c r="DA282" i="7"/>
  <c r="CZ282" i="7"/>
  <c r="CY282" i="7"/>
  <c r="CX282" i="7"/>
  <c r="CW282" i="7"/>
  <c r="CV282" i="7"/>
  <c r="CU282" i="7"/>
  <c r="CT282" i="7"/>
  <c r="CS282" i="7"/>
  <c r="CR282" i="7"/>
  <c r="CQ282" i="7"/>
  <c r="CP282" i="7"/>
  <c r="CO282" i="7"/>
  <c r="CN282" i="7"/>
  <c r="CM282" i="7"/>
  <c r="CL282" i="7"/>
  <c r="CK282" i="7"/>
  <c r="CJ282" i="7"/>
  <c r="CI282" i="7"/>
  <c r="CH282" i="7"/>
  <c r="CG282" i="7"/>
  <c r="CF282" i="7"/>
  <c r="CE282" i="7"/>
  <c r="CD282" i="7"/>
  <c r="CC282" i="7"/>
  <c r="CB282" i="7"/>
  <c r="CA282" i="7"/>
  <c r="BZ282" i="7"/>
  <c r="BY282" i="7"/>
  <c r="BX282" i="7"/>
  <c r="BW282" i="7"/>
  <c r="BV282" i="7"/>
  <c r="BU282" i="7"/>
  <c r="BT282" i="7"/>
  <c r="BS282" i="7"/>
  <c r="BR282" i="7"/>
  <c r="BQ282" i="7"/>
  <c r="BP282" i="7"/>
  <c r="BO282" i="7"/>
  <c r="BN282" i="7"/>
  <c r="BM282" i="7"/>
  <c r="BL282" i="7"/>
  <c r="BK282" i="7"/>
  <c r="BJ282" i="7"/>
  <c r="BI282" i="7"/>
  <c r="BH282" i="7"/>
  <c r="BG282" i="7"/>
  <c r="DD281" i="7"/>
  <c r="DC281" i="7"/>
  <c r="DB281" i="7"/>
  <c r="DA281" i="7"/>
  <c r="CZ281" i="7"/>
  <c r="CY281" i="7"/>
  <c r="CX281" i="7"/>
  <c r="CW281" i="7"/>
  <c r="CV281" i="7"/>
  <c r="CU281" i="7"/>
  <c r="CT281" i="7"/>
  <c r="CS281" i="7"/>
  <c r="CR281" i="7"/>
  <c r="CQ281" i="7"/>
  <c r="CP281" i="7"/>
  <c r="CO281" i="7"/>
  <c r="CN281" i="7"/>
  <c r="CM281" i="7"/>
  <c r="CL281" i="7"/>
  <c r="CK281" i="7"/>
  <c r="CJ281" i="7"/>
  <c r="CI281" i="7"/>
  <c r="CH281" i="7"/>
  <c r="CG281" i="7"/>
  <c r="CF281" i="7"/>
  <c r="CE281" i="7"/>
  <c r="CD281" i="7"/>
  <c r="CC281" i="7"/>
  <c r="CB281" i="7"/>
  <c r="CA281" i="7"/>
  <c r="BZ281" i="7"/>
  <c r="BY281" i="7"/>
  <c r="BX281" i="7"/>
  <c r="BW281" i="7"/>
  <c r="BV281" i="7"/>
  <c r="BU281" i="7"/>
  <c r="BT281" i="7"/>
  <c r="BS281" i="7"/>
  <c r="BR281" i="7"/>
  <c r="BQ281" i="7"/>
  <c r="BP281" i="7"/>
  <c r="BO281" i="7"/>
  <c r="BN281" i="7"/>
  <c r="BM281" i="7"/>
  <c r="BJ281" i="7"/>
  <c r="BI281" i="7"/>
  <c r="BH281" i="7"/>
  <c r="BG281" i="7"/>
  <c r="BL281" i="7"/>
  <c r="DD280" i="7"/>
  <c r="DC280" i="7"/>
  <c r="DB280" i="7"/>
  <c r="DA280" i="7"/>
  <c r="CZ280" i="7"/>
  <c r="CY280" i="7"/>
  <c r="CX280" i="7"/>
  <c r="CW280" i="7"/>
  <c r="CV280" i="7"/>
  <c r="CU280" i="7"/>
  <c r="CT280" i="7"/>
  <c r="CS280" i="7"/>
  <c r="CR280" i="7"/>
  <c r="CQ280" i="7"/>
  <c r="CP280" i="7"/>
  <c r="CO280" i="7"/>
  <c r="CN280" i="7"/>
  <c r="CM280" i="7"/>
  <c r="CL280" i="7"/>
  <c r="CK280" i="7"/>
  <c r="CJ280" i="7"/>
  <c r="CI280" i="7"/>
  <c r="CH280" i="7"/>
  <c r="CG280" i="7"/>
  <c r="CF280" i="7"/>
  <c r="CE280" i="7"/>
  <c r="CD280" i="7"/>
  <c r="CC280" i="7"/>
  <c r="CB280" i="7"/>
  <c r="CA280" i="7"/>
  <c r="BZ280" i="7"/>
  <c r="BY280" i="7"/>
  <c r="BX280" i="7"/>
  <c r="BW280" i="7"/>
  <c r="BV280" i="7"/>
  <c r="BU280" i="7"/>
  <c r="BT280" i="7"/>
  <c r="BS280" i="7"/>
  <c r="BR280" i="7"/>
  <c r="BQ280" i="7"/>
  <c r="BP280" i="7"/>
  <c r="BO280" i="7"/>
  <c r="BN280" i="7"/>
  <c r="BM280" i="7"/>
  <c r="BL280" i="7"/>
  <c r="BK280" i="7"/>
  <c r="BJ280" i="7"/>
  <c r="BI280" i="7"/>
  <c r="BH280" i="7"/>
  <c r="BG280" i="7"/>
  <c r="DD279" i="7"/>
  <c r="DC279" i="7"/>
  <c r="DB279" i="7"/>
  <c r="DA279" i="7"/>
  <c r="CZ279" i="7"/>
  <c r="CY279" i="7"/>
  <c r="CX279" i="7"/>
  <c r="CW279" i="7"/>
  <c r="CV279" i="7"/>
  <c r="CU279" i="7"/>
  <c r="CT279" i="7"/>
  <c r="CS279" i="7"/>
  <c r="CR279" i="7"/>
  <c r="CQ279" i="7"/>
  <c r="CP279" i="7"/>
  <c r="CO279" i="7"/>
  <c r="CN279" i="7"/>
  <c r="CM279" i="7"/>
  <c r="CL279" i="7"/>
  <c r="CK279" i="7"/>
  <c r="CJ279" i="7"/>
  <c r="CI279" i="7"/>
  <c r="CH279" i="7"/>
  <c r="CG279" i="7"/>
  <c r="CF279" i="7"/>
  <c r="CE279" i="7"/>
  <c r="CD279" i="7"/>
  <c r="CC279" i="7"/>
  <c r="CB279" i="7"/>
  <c r="CA279" i="7"/>
  <c r="BZ279" i="7"/>
  <c r="BY279" i="7"/>
  <c r="BX279" i="7"/>
  <c r="BW279" i="7"/>
  <c r="BV279" i="7"/>
  <c r="BU279" i="7"/>
  <c r="BT279" i="7"/>
  <c r="BS279" i="7"/>
  <c r="BR279" i="7"/>
  <c r="BQ279" i="7"/>
  <c r="BP279" i="7"/>
  <c r="BO279" i="7"/>
  <c r="BN279" i="7"/>
  <c r="BM279" i="7"/>
  <c r="BL279" i="7"/>
  <c r="BK279" i="7"/>
  <c r="BJ279" i="7"/>
  <c r="BI279" i="7"/>
  <c r="BH279" i="7"/>
  <c r="BG279" i="7"/>
  <c r="DD278" i="7"/>
  <c r="DC278" i="7"/>
  <c r="DB278" i="7"/>
  <c r="DA278" i="7"/>
  <c r="CZ278" i="7"/>
  <c r="CY278" i="7"/>
  <c r="CX278" i="7"/>
  <c r="CW278" i="7"/>
  <c r="CV278" i="7"/>
  <c r="CU278" i="7"/>
  <c r="CT278" i="7"/>
  <c r="CS278" i="7"/>
  <c r="CR278" i="7"/>
  <c r="CQ278" i="7"/>
  <c r="CP278" i="7"/>
  <c r="CO278" i="7"/>
  <c r="CN278" i="7"/>
  <c r="CM278" i="7"/>
  <c r="CL278" i="7"/>
  <c r="CK278" i="7"/>
  <c r="CJ278" i="7"/>
  <c r="CI278" i="7"/>
  <c r="CH278" i="7"/>
  <c r="CG278" i="7"/>
  <c r="CF278" i="7"/>
  <c r="CE278" i="7"/>
  <c r="CD278" i="7"/>
  <c r="CC278" i="7"/>
  <c r="CB278" i="7"/>
  <c r="CA278" i="7"/>
  <c r="BZ278" i="7"/>
  <c r="BY278" i="7"/>
  <c r="BX278" i="7"/>
  <c r="BW278" i="7"/>
  <c r="BV278" i="7"/>
  <c r="BU278" i="7"/>
  <c r="BT278" i="7"/>
  <c r="BS278" i="7"/>
  <c r="BR278" i="7"/>
  <c r="BQ278" i="7"/>
  <c r="BP278" i="7"/>
  <c r="BO278" i="7"/>
  <c r="BN278" i="7"/>
  <c r="BM278" i="7"/>
  <c r="BL278" i="7"/>
  <c r="BK278" i="7"/>
  <c r="BJ278" i="7"/>
  <c r="BI278" i="7"/>
  <c r="BH278" i="7"/>
  <c r="BG278" i="7"/>
  <c r="DD277" i="7"/>
  <c r="DC277" i="7"/>
  <c r="DB277" i="7"/>
  <c r="DA277" i="7"/>
  <c r="CZ277" i="7"/>
  <c r="CY277" i="7"/>
  <c r="CX277" i="7"/>
  <c r="CW277" i="7"/>
  <c r="CV277" i="7"/>
  <c r="CU277" i="7"/>
  <c r="CT277" i="7"/>
  <c r="CS277" i="7"/>
  <c r="CR277" i="7"/>
  <c r="CQ277" i="7"/>
  <c r="CP277" i="7"/>
  <c r="CO277" i="7"/>
  <c r="CN277" i="7"/>
  <c r="CM277" i="7"/>
  <c r="CL277" i="7"/>
  <c r="CK277" i="7"/>
  <c r="CJ277" i="7"/>
  <c r="CI277" i="7"/>
  <c r="CH277" i="7"/>
  <c r="CG277" i="7"/>
  <c r="CF277" i="7"/>
  <c r="CE277" i="7"/>
  <c r="CD277" i="7"/>
  <c r="CC277" i="7"/>
  <c r="CB277" i="7"/>
  <c r="CA277" i="7"/>
  <c r="BZ277" i="7"/>
  <c r="BY277" i="7"/>
  <c r="BX277" i="7"/>
  <c r="BW277" i="7"/>
  <c r="BV277" i="7"/>
  <c r="BU277" i="7"/>
  <c r="BT277" i="7"/>
  <c r="BS277" i="7"/>
  <c r="BR277" i="7"/>
  <c r="BQ277" i="7"/>
  <c r="BP277" i="7"/>
  <c r="BO277" i="7"/>
  <c r="BN277" i="7"/>
  <c r="BM277" i="7"/>
  <c r="BL277" i="7"/>
  <c r="BK277" i="7"/>
  <c r="BJ277" i="7"/>
  <c r="DD276" i="7"/>
  <c r="DC276" i="7"/>
  <c r="DB276" i="7"/>
  <c r="DA276" i="7"/>
  <c r="CZ276" i="7"/>
  <c r="CY276" i="7"/>
  <c r="CX276" i="7"/>
  <c r="CW276" i="7"/>
  <c r="CV276" i="7"/>
  <c r="CU276" i="7"/>
  <c r="CT276" i="7"/>
  <c r="CS276" i="7"/>
  <c r="CR276" i="7"/>
  <c r="CQ276" i="7"/>
  <c r="CP276" i="7"/>
  <c r="CO276" i="7"/>
  <c r="CN276" i="7"/>
  <c r="CM276" i="7"/>
  <c r="CL276" i="7"/>
  <c r="CK276" i="7"/>
  <c r="CJ276" i="7"/>
  <c r="CI276" i="7"/>
  <c r="CH276" i="7"/>
  <c r="CG276" i="7"/>
  <c r="CF276" i="7"/>
  <c r="CE276" i="7"/>
  <c r="CD276" i="7"/>
  <c r="CC276" i="7"/>
  <c r="CB276" i="7"/>
  <c r="CA276" i="7"/>
  <c r="BZ276" i="7"/>
  <c r="BY276" i="7"/>
  <c r="BX276" i="7"/>
  <c r="BW276" i="7"/>
  <c r="BV276" i="7"/>
  <c r="BU276" i="7"/>
  <c r="BT276" i="7"/>
  <c r="BS276" i="7"/>
  <c r="BR276" i="7"/>
  <c r="BQ276" i="7"/>
  <c r="BP276" i="7"/>
  <c r="BO276" i="7"/>
  <c r="BN276" i="7"/>
  <c r="BM276" i="7"/>
  <c r="BL276" i="7"/>
  <c r="BK276" i="7"/>
  <c r="BJ276" i="7"/>
  <c r="BI276" i="7"/>
  <c r="BH276" i="7"/>
  <c r="BG276" i="7"/>
  <c r="DD275" i="7"/>
  <c r="DC275" i="7"/>
  <c r="DB275" i="7"/>
  <c r="DA275" i="7"/>
  <c r="CZ275" i="7"/>
  <c r="CY275" i="7"/>
  <c r="CX275" i="7"/>
  <c r="CW275" i="7"/>
  <c r="CV275" i="7"/>
  <c r="CU275" i="7"/>
  <c r="CT275" i="7"/>
  <c r="CS275" i="7"/>
  <c r="CR275" i="7"/>
  <c r="CQ275" i="7"/>
  <c r="CP275" i="7"/>
  <c r="CO275" i="7"/>
  <c r="CN275" i="7"/>
  <c r="CM275" i="7"/>
  <c r="CL275" i="7"/>
  <c r="CK275" i="7"/>
  <c r="CJ275" i="7"/>
  <c r="CI275" i="7"/>
  <c r="CH275" i="7"/>
  <c r="CG275" i="7"/>
  <c r="CF275" i="7"/>
  <c r="CE275" i="7"/>
  <c r="CD275" i="7"/>
  <c r="CC275" i="7"/>
  <c r="CB275" i="7"/>
  <c r="CA275" i="7"/>
  <c r="BZ275" i="7"/>
  <c r="BY275" i="7"/>
  <c r="BX275" i="7"/>
  <c r="BW275" i="7"/>
  <c r="BV275" i="7"/>
  <c r="BU275" i="7"/>
  <c r="BT275" i="7"/>
  <c r="BS275" i="7"/>
  <c r="BR275" i="7"/>
  <c r="BQ275" i="7"/>
  <c r="BP275" i="7"/>
  <c r="BO275" i="7"/>
  <c r="BN275" i="7"/>
  <c r="BM275" i="7"/>
  <c r="BL275" i="7"/>
  <c r="BK275" i="7"/>
  <c r="BJ275" i="7"/>
  <c r="BI275" i="7"/>
  <c r="BH275" i="7"/>
  <c r="BG275" i="7"/>
  <c r="DD274" i="7"/>
  <c r="DC274" i="7"/>
  <c r="DB274" i="7"/>
  <c r="DA274" i="7"/>
  <c r="CZ274" i="7"/>
  <c r="CY274" i="7"/>
  <c r="CX274" i="7"/>
  <c r="CW274" i="7"/>
  <c r="CV274" i="7"/>
  <c r="CU274" i="7"/>
  <c r="CT274" i="7"/>
  <c r="CS274" i="7"/>
  <c r="CR274" i="7"/>
  <c r="CQ274" i="7"/>
  <c r="CP274" i="7"/>
  <c r="CO274" i="7"/>
  <c r="CN274" i="7"/>
  <c r="CM274" i="7"/>
  <c r="CL274" i="7"/>
  <c r="CK274" i="7"/>
  <c r="CJ274" i="7"/>
  <c r="CI274" i="7"/>
  <c r="CH274" i="7"/>
  <c r="CG274" i="7"/>
  <c r="CF274" i="7"/>
  <c r="CE274" i="7"/>
  <c r="CD274" i="7"/>
  <c r="CC274" i="7"/>
  <c r="CB274" i="7"/>
  <c r="CA274" i="7"/>
  <c r="BZ274" i="7"/>
  <c r="BY274" i="7"/>
  <c r="BX274" i="7"/>
  <c r="BW274" i="7"/>
  <c r="BV274" i="7"/>
  <c r="BU274" i="7"/>
  <c r="BT274" i="7"/>
  <c r="BS274" i="7"/>
  <c r="BR274" i="7"/>
  <c r="BQ274" i="7"/>
  <c r="BP274" i="7"/>
  <c r="BO274" i="7"/>
  <c r="BN274" i="7"/>
  <c r="BM274" i="7"/>
  <c r="BL274" i="7"/>
  <c r="BK274" i="7"/>
  <c r="BJ274" i="7"/>
  <c r="DD273" i="7"/>
  <c r="DC273" i="7"/>
  <c r="DB273" i="7"/>
  <c r="DA273" i="7"/>
  <c r="CZ273" i="7"/>
  <c r="CY273" i="7"/>
  <c r="CX273" i="7"/>
  <c r="CW273" i="7"/>
  <c r="CV273" i="7"/>
  <c r="CU273" i="7"/>
  <c r="CT273" i="7"/>
  <c r="CS273" i="7"/>
  <c r="CR273" i="7"/>
  <c r="CQ273" i="7"/>
  <c r="CP273" i="7"/>
  <c r="CO273" i="7"/>
  <c r="CN273" i="7"/>
  <c r="CM273" i="7"/>
  <c r="CL273" i="7"/>
  <c r="CK273" i="7"/>
  <c r="CJ273" i="7"/>
  <c r="CI273" i="7"/>
  <c r="CH273" i="7"/>
  <c r="CG273" i="7"/>
  <c r="CF273" i="7"/>
  <c r="CE273" i="7"/>
  <c r="CD273" i="7"/>
  <c r="CC273" i="7"/>
  <c r="CB273" i="7"/>
  <c r="CA273" i="7"/>
  <c r="BZ273" i="7"/>
  <c r="BY273" i="7"/>
  <c r="BX273" i="7"/>
  <c r="BW273" i="7"/>
  <c r="BV273" i="7"/>
  <c r="BU273" i="7"/>
  <c r="BT273" i="7"/>
  <c r="BS273" i="7"/>
  <c r="BR273" i="7"/>
  <c r="BQ273" i="7"/>
  <c r="BP273" i="7"/>
  <c r="BO273" i="7"/>
  <c r="BN273" i="7"/>
  <c r="BM273" i="7"/>
  <c r="BL273" i="7"/>
  <c r="BK273" i="7"/>
  <c r="BJ273" i="7"/>
  <c r="BI273" i="7"/>
  <c r="BH273" i="7"/>
  <c r="BG273" i="7"/>
  <c r="DD272" i="7"/>
  <c r="DC272" i="7"/>
  <c r="DB272" i="7"/>
  <c r="DA272" i="7"/>
  <c r="CZ272" i="7"/>
  <c r="CY272" i="7"/>
  <c r="CX272" i="7"/>
  <c r="CW272" i="7"/>
  <c r="CV272" i="7"/>
  <c r="CU272" i="7"/>
  <c r="CT272" i="7"/>
  <c r="CS272" i="7"/>
  <c r="CR272" i="7"/>
  <c r="CQ272" i="7"/>
  <c r="CP272" i="7"/>
  <c r="CO272" i="7"/>
  <c r="CN272" i="7"/>
  <c r="CM272" i="7"/>
  <c r="CL272" i="7"/>
  <c r="CK272" i="7"/>
  <c r="CJ272" i="7"/>
  <c r="CI272" i="7"/>
  <c r="CH272" i="7"/>
  <c r="CG272" i="7"/>
  <c r="CF272" i="7"/>
  <c r="CE272" i="7"/>
  <c r="CD272" i="7"/>
  <c r="CC272" i="7"/>
  <c r="CB272" i="7"/>
  <c r="CA272" i="7"/>
  <c r="BZ272" i="7"/>
  <c r="BY272" i="7"/>
  <c r="BX272" i="7"/>
  <c r="BW272" i="7"/>
  <c r="BV272" i="7"/>
  <c r="BU272" i="7"/>
  <c r="BT272" i="7"/>
  <c r="BS272" i="7"/>
  <c r="BR272" i="7"/>
  <c r="BQ272" i="7"/>
  <c r="BP272" i="7"/>
  <c r="BO272" i="7"/>
  <c r="BN272" i="7"/>
  <c r="BM272" i="7"/>
  <c r="BL272" i="7"/>
  <c r="BK272" i="7"/>
  <c r="BJ272" i="7"/>
  <c r="BI272" i="7"/>
  <c r="BH272" i="7"/>
  <c r="BG272" i="7"/>
  <c r="DD271" i="7"/>
  <c r="DC271" i="7"/>
  <c r="DB271" i="7"/>
  <c r="DA271" i="7"/>
  <c r="CZ271" i="7"/>
  <c r="CY271" i="7"/>
  <c r="CX271" i="7"/>
  <c r="CW271" i="7"/>
  <c r="CV271" i="7"/>
  <c r="CU271" i="7"/>
  <c r="CT271" i="7"/>
  <c r="CS271" i="7"/>
  <c r="CR271" i="7"/>
  <c r="CQ271" i="7"/>
  <c r="CP271" i="7"/>
  <c r="CO271" i="7"/>
  <c r="CN271" i="7"/>
  <c r="CM271" i="7"/>
  <c r="CL271" i="7"/>
  <c r="CK271" i="7"/>
  <c r="CJ271" i="7"/>
  <c r="CI271" i="7"/>
  <c r="CH271" i="7"/>
  <c r="CG271" i="7"/>
  <c r="CF271" i="7"/>
  <c r="CE271" i="7"/>
  <c r="CD271" i="7"/>
  <c r="CC271" i="7"/>
  <c r="CB271" i="7"/>
  <c r="CA271" i="7"/>
  <c r="BZ271" i="7"/>
  <c r="BY271" i="7"/>
  <c r="BX271" i="7"/>
  <c r="BW271" i="7"/>
  <c r="BV271" i="7"/>
  <c r="BU271" i="7"/>
  <c r="BT271" i="7"/>
  <c r="BS271" i="7"/>
  <c r="BR271" i="7"/>
  <c r="BQ271" i="7"/>
  <c r="BP271" i="7"/>
  <c r="BO271" i="7"/>
  <c r="BN271" i="7"/>
  <c r="BM271" i="7"/>
  <c r="BL271" i="7"/>
  <c r="BK271" i="7"/>
  <c r="BJ271" i="7"/>
  <c r="BI271" i="7"/>
  <c r="BH271" i="7"/>
  <c r="BG271" i="7"/>
  <c r="DD270" i="7"/>
  <c r="DC270" i="7"/>
  <c r="DB270" i="7"/>
  <c r="DA270" i="7"/>
  <c r="CZ270" i="7"/>
  <c r="CY270" i="7"/>
  <c r="CX270" i="7"/>
  <c r="CW270" i="7"/>
  <c r="CV270" i="7"/>
  <c r="CU270" i="7"/>
  <c r="CT270" i="7"/>
  <c r="CS270" i="7"/>
  <c r="CR270" i="7"/>
  <c r="CQ270" i="7"/>
  <c r="CP270" i="7"/>
  <c r="CO270" i="7"/>
  <c r="CN270" i="7"/>
  <c r="CM270" i="7"/>
  <c r="CL270" i="7"/>
  <c r="CK270" i="7"/>
  <c r="CJ270" i="7"/>
  <c r="CI270" i="7"/>
  <c r="CH270" i="7"/>
  <c r="CG270" i="7"/>
  <c r="CF270" i="7"/>
  <c r="CE270" i="7"/>
  <c r="CD270" i="7"/>
  <c r="CC270" i="7"/>
  <c r="CB270" i="7"/>
  <c r="CA270" i="7"/>
  <c r="BZ270" i="7"/>
  <c r="BY270" i="7"/>
  <c r="BX270" i="7"/>
  <c r="BW270" i="7"/>
  <c r="BV270" i="7"/>
  <c r="BU270" i="7"/>
  <c r="BT270" i="7"/>
  <c r="BS270" i="7"/>
  <c r="BR270" i="7"/>
  <c r="BQ270" i="7"/>
  <c r="BP270" i="7"/>
  <c r="BO270" i="7"/>
  <c r="BN270" i="7"/>
  <c r="BM270" i="7"/>
  <c r="BK270" i="7"/>
  <c r="BJ270" i="7"/>
  <c r="BG270" i="7"/>
  <c r="BL270" i="7"/>
  <c r="DD269" i="7"/>
  <c r="DC269" i="7"/>
  <c r="DB269" i="7"/>
  <c r="DA269" i="7"/>
  <c r="CZ269" i="7"/>
  <c r="CY269" i="7"/>
  <c r="CX269" i="7"/>
  <c r="CW269" i="7"/>
  <c r="CV269" i="7"/>
  <c r="CU269" i="7"/>
  <c r="CT269" i="7"/>
  <c r="CS269" i="7"/>
  <c r="CR269" i="7"/>
  <c r="CQ269" i="7"/>
  <c r="CP269" i="7"/>
  <c r="CO269" i="7"/>
  <c r="CN269" i="7"/>
  <c r="CM269" i="7"/>
  <c r="CL269" i="7"/>
  <c r="CK269" i="7"/>
  <c r="CJ269" i="7"/>
  <c r="CI269" i="7"/>
  <c r="CH269" i="7"/>
  <c r="CG269" i="7"/>
  <c r="CF269" i="7"/>
  <c r="CE269" i="7"/>
  <c r="CD269" i="7"/>
  <c r="CC269" i="7"/>
  <c r="CB269" i="7"/>
  <c r="CA269" i="7"/>
  <c r="BZ269" i="7"/>
  <c r="BY269" i="7"/>
  <c r="BX269" i="7"/>
  <c r="BW269" i="7"/>
  <c r="BV269" i="7"/>
  <c r="BU269" i="7"/>
  <c r="BT269" i="7"/>
  <c r="BS269" i="7"/>
  <c r="BR269" i="7"/>
  <c r="BQ269" i="7"/>
  <c r="BP269" i="7"/>
  <c r="BO269" i="7"/>
  <c r="BN269" i="7"/>
  <c r="BM269" i="7"/>
  <c r="BL269" i="7"/>
  <c r="BK269" i="7"/>
  <c r="BJ269" i="7"/>
  <c r="BI269" i="7"/>
  <c r="BH269" i="7"/>
  <c r="BG269" i="7"/>
  <c r="DD268" i="7"/>
  <c r="DC268" i="7"/>
  <c r="DB268" i="7"/>
  <c r="DA268" i="7"/>
  <c r="CZ268" i="7"/>
  <c r="CY268" i="7"/>
  <c r="CX268" i="7"/>
  <c r="CW268" i="7"/>
  <c r="CV268" i="7"/>
  <c r="CU268" i="7"/>
  <c r="CT268" i="7"/>
  <c r="CS268" i="7"/>
  <c r="CR268" i="7"/>
  <c r="CQ268" i="7"/>
  <c r="CP268" i="7"/>
  <c r="CO268" i="7"/>
  <c r="CN268" i="7"/>
  <c r="CM268" i="7"/>
  <c r="CL268" i="7"/>
  <c r="CK268" i="7"/>
  <c r="CJ268" i="7"/>
  <c r="CI268" i="7"/>
  <c r="CH268" i="7"/>
  <c r="CG268" i="7"/>
  <c r="CF268" i="7"/>
  <c r="CE268" i="7"/>
  <c r="CD268" i="7"/>
  <c r="CC268" i="7"/>
  <c r="CB268" i="7"/>
  <c r="CA268" i="7"/>
  <c r="BZ268" i="7"/>
  <c r="BY268" i="7"/>
  <c r="BX268" i="7"/>
  <c r="BW268" i="7"/>
  <c r="BV268" i="7"/>
  <c r="BU268" i="7"/>
  <c r="BT268" i="7"/>
  <c r="BS268" i="7"/>
  <c r="BR268" i="7"/>
  <c r="BQ268" i="7"/>
  <c r="BP268" i="7"/>
  <c r="BO268" i="7"/>
  <c r="BN268" i="7"/>
  <c r="BM268" i="7"/>
  <c r="BL268" i="7"/>
  <c r="BK268" i="7"/>
  <c r="BJ268" i="7"/>
  <c r="BI268" i="7"/>
  <c r="BH268" i="7"/>
  <c r="BG268" i="7"/>
  <c r="DD266" i="7"/>
  <c r="DC266" i="7"/>
  <c r="DB266" i="7"/>
  <c r="DA266" i="7"/>
  <c r="CZ266" i="7"/>
  <c r="CY266" i="7"/>
  <c r="CX266" i="7"/>
  <c r="CW266" i="7"/>
  <c r="CV266" i="7"/>
  <c r="CU266" i="7"/>
  <c r="CT266" i="7"/>
  <c r="CS266" i="7"/>
  <c r="CR266" i="7"/>
  <c r="CQ266" i="7"/>
  <c r="CP266" i="7"/>
  <c r="CO266" i="7"/>
  <c r="CN266" i="7"/>
  <c r="CM266" i="7"/>
  <c r="CL266" i="7"/>
  <c r="CK266" i="7"/>
  <c r="CJ266" i="7"/>
  <c r="CI266" i="7"/>
  <c r="CH266" i="7"/>
  <c r="CG266" i="7"/>
  <c r="CF266" i="7"/>
  <c r="CE266" i="7"/>
  <c r="CD266" i="7"/>
  <c r="CC266" i="7"/>
  <c r="CB266" i="7"/>
  <c r="CA266" i="7"/>
  <c r="BZ266" i="7"/>
  <c r="BY266" i="7"/>
  <c r="BX266" i="7"/>
  <c r="BW266" i="7"/>
  <c r="BV266" i="7"/>
  <c r="BU266" i="7"/>
  <c r="BT266" i="7"/>
  <c r="BS266" i="7"/>
  <c r="BR266" i="7"/>
  <c r="BQ266" i="7"/>
  <c r="BP266" i="7"/>
  <c r="BO266" i="7"/>
  <c r="BN266" i="7"/>
  <c r="BM266" i="7"/>
  <c r="BL266" i="7"/>
  <c r="BK266" i="7"/>
  <c r="BJ266" i="7"/>
  <c r="BI266" i="7"/>
  <c r="BH266" i="7"/>
  <c r="BG266" i="7"/>
  <c r="DD265" i="7"/>
  <c r="DC265" i="7"/>
  <c r="DB265" i="7"/>
  <c r="DA265" i="7"/>
  <c r="CZ265" i="7"/>
  <c r="CY265" i="7"/>
  <c r="CX265" i="7"/>
  <c r="CW265" i="7"/>
  <c r="CV265" i="7"/>
  <c r="CU265" i="7"/>
  <c r="CT265" i="7"/>
  <c r="CS265" i="7"/>
  <c r="CR265" i="7"/>
  <c r="CQ265" i="7"/>
  <c r="CP265" i="7"/>
  <c r="CO265" i="7"/>
  <c r="CN265" i="7"/>
  <c r="CM265" i="7"/>
  <c r="CL265" i="7"/>
  <c r="CK265" i="7"/>
  <c r="CJ265" i="7"/>
  <c r="CI265" i="7"/>
  <c r="CH265" i="7"/>
  <c r="CG265" i="7"/>
  <c r="CF265" i="7"/>
  <c r="CE265" i="7"/>
  <c r="CD265" i="7"/>
  <c r="CC265" i="7"/>
  <c r="CB265" i="7"/>
  <c r="CA265" i="7"/>
  <c r="BZ265" i="7"/>
  <c r="BY265" i="7"/>
  <c r="BX265" i="7"/>
  <c r="BW265" i="7"/>
  <c r="BV265" i="7"/>
  <c r="BU265" i="7"/>
  <c r="BT265" i="7"/>
  <c r="BS265" i="7"/>
  <c r="BR265" i="7"/>
  <c r="BQ265" i="7"/>
  <c r="BP265" i="7"/>
  <c r="BO265" i="7"/>
  <c r="BN265" i="7"/>
  <c r="BM265" i="7"/>
  <c r="BL265" i="7"/>
  <c r="BK265" i="7"/>
  <c r="BJ265" i="7"/>
  <c r="BI265" i="7"/>
  <c r="BH265" i="7"/>
  <c r="BG265" i="7"/>
  <c r="DD264" i="7"/>
  <c r="DC264" i="7"/>
  <c r="DB264" i="7"/>
  <c r="DA264" i="7"/>
  <c r="CZ264" i="7"/>
  <c r="CY264" i="7"/>
  <c r="CX264" i="7"/>
  <c r="CW264" i="7"/>
  <c r="CV264" i="7"/>
  <c r="CU264" i="7"/>
  <c r="CT264" i="7"/>
  <c r="CS264" i="7"/>
  <c r="CR264" i="7"/>
  <c r="CQ264" i="7"/>
  <c r="CP264" i="7"/>
  <c r="CO264" i="7"/>
  <c r="CN264" i="7"/>
  <c r="CM264" i="7"/>
  <c r="CL264" i="7"/>
  <c r="CK264" i="7"/>
  <c r="CJ264" i="7"/>
  <c r="CI264" i="7"/>
  <c r="CH264" i="7"/>
  <c r="CG264" i="7"/>
  <c r="CF264" i="7"/>
  <c r="CE264" i="7"/>
  <c r="CD264" i="7"/>
  <c r="CC264" i="7"/>
  <c r="CB264" i="7"/>
  <c r="CA264" i="7"/>
  <c r="BZ264" i="7"/>
  <c r="BY264" i="7"/>
  <c r="BX264" i="7"/>
  <c r="BW264" i="7"/>
  <c r="BV264" i="7"/>
  <c r="BU264" i="7"/>
  <c r="BT264" i="7"/>
  <c r="BS264" i="7"/>
  <c r="BR264" i="7"/>
  <c r="BQ264" i="7"/>
  <c r="BP264" i="7"/>
  <c r="BO264" i="7"/>
  <c r="BN264" i="7"/>
  <c r="BM264" i="7"/>
  <c r="BL264" i="7"/>
  <c r="BK264" i="7"/>
  <c r="BJ264" i="7"/>
  <c r="BI264" i="7"/>
  <c r="BH264" i="7"/>
  <c r="BG264" i="7"/>
  <c r="DD263" i="7"/>
  <c r="DC263" i="7"/>
  <c r="DB263" i="7"/>
  <c r="DA263" i="7"/>
  <c r="CZ263" i="7"/>
  <c r="CY263" i="7"/>
  <c r="CX263" i="7"/>
  <c r="CW263" i="7"/>
  <c r="CV263" i="7"/>
  <c r="CU263" i="7"/>
  <c r="CT263" i="7"/>
  <c r="CS263" i="7"/>
  <c r="CR263" i="7"/>
  <c r="CQ263" i="7"/>
  <c r="CP263" i="7"/>
  <c r="CO263" i="7"/>
  <c r="CN263" i="7"/>
  <c r="CM263" i="7"/>
  <c r="CL263" i="7"/>
  <c r="CK263" i="7"/>
  <c r="CJ263" i="7"/>
  <c r="CI263" i="7"/>
  <c r="CH263" i="7"/>
  <c r="CG263" i="7"/>
  <c r="CF263" i="7"/>
  <c r="CE263" i="7"/>
  <c r="CD263" i="7"/>
  <c r="CC263" i="7"/>
  <c r="CB263" i="7"/>
  <c r="CA263" i="7"/>
  <c r="BZ263" i="7"/>
  <c r="BY263" i="7"/>
  <c r="BX263" i="7"/>
  <c r="BW263" i="7"/>
  <c r="BV263" i="7"/>
  <c r="BU263" i="7"/>
  <c r="BT263" i="7"/>
  <c r="BS263" i="7"/>
  <c r="BR263" i="7"/>
  <c r="BQ263" i="7"/>
  <c r="BP263" i="7"/>
  <c r="BO263" i="7"/>
  <c r="BN263" i="7"/>
  <c r="BM263" i="7"/>
  <c r="BL263" i="7"/>
  <c r="BK263" i="7"/>
  <c r="BJ263" i="7"/>
  <c r="BI263" i="7"/>
  <c r="BH263" i="7"/>
  <c r="BG263" i="7"/>
  <c r="DD262" i="7"/>
  <c r="DC262" i="7"/>
  <c r="DB262" i="7"/>
  <c r="DA262" i="7"/>
  <c r="CZ262" i="7"/>
  <c r="CY262" i="7"/>
  <c r="CX262" i="7"/>
  <c r="CW262" i="7"/>
  <c r="CV262" i="7"/>
  <c r="CU262" i="7"/>
  <c r="CT262" i="7"/>
  <c r="CS262" i="7"/>
  <c r="CR262" i="7"/>
  <c r="CQ262" i="7"/>
  <c r="CP262" i="7"/>
  <c r="CO262" i="7"/>
  <c r="CN262" i="7"/>
  <c r="CM262" i="7"/>
  <c r="CL262" i="7"/>
  <c r="CK262" i="7"/>
  <c r="CJ262" i="7"/>
  <c r="CI262" i="7"/>
  <c r="CH262" i="7"/>
  <c r="CG262" i="7"/>
  <c r="CF262" i="7"/>
  <c r="CE262" i="7"/>
  <c r="CD262" i="7"/>
  <c r="CC262" i="7"/>
  <c r="CB262" i="7"/>
  <c r="CA262" i="7"/>
  <c r="BZ262" i="7"/>
  <c r="BY262" i="7"/>
  <c r="BX262" i="7"/>
  <c r="BW262" i="7"/>
  <c r="BV262" i="7"/>
  <c r="BU262" i="7"/>
  <c r="BT262" i="7"/>
  <c r="BS262" i="7"/>
  <c r="BR262" i="7"/>
  <c r="BQ262" i="7"/>
  <c r="BP262" i="7"/>
  <c r="BO262" i="7"/>
  <c r="BN262" i="7"/>
  <c r="BM262" i="7"/>
  <c r="BL262" i="7"/>
  <c r="BK262" i="7"/>
  <c r="BJ262" i="7"/>
  <c r="BI262" i="7"/>
  <c r="BH262" i="7"/>
  <c r="BG262" i="7"/>
  <c r="DD261" i="7"/>
  <c r="DC261" i="7"/>
  <c r="DB261" i="7"/>
  <c r="DA261" i="7"/>
  <c r="CZ261" i="7"/>
  <c r="CY261" i="7"/>
  <c r="CX261" i="7"/>
  <c r="CW261" i="7"/>
  <c r="CV261" i="7"/>
  <c r="CU261" i="7"/>
  <c r="CT261" i="7"/>
  <c r="CS261" i="7"/>
  <c r="CR261" i="7"/>
  <c r="CQ261" i="7"/>
  <c r="CP261" i="7"/>
  <c r="CO261" i="7"/>
  <c r="CN261" i="7"/>
  <c r="CM261" i="7"/>
  <c r="CL261" i="7"/>
  <c r="CK261" i="7"/>
  <c r="CJ261" i="7"/>
  <c r="CI261" i="7"/>
  <c r="CH261" i="7"/>
  <c r="CG261" i="7"/>
  <c r="CF261" i="7"/>
  <c r="CE261" i="7"/>
  <c r="CD261" i="7"/>
  <c r="CC261" i="7"/>
  <c r="CB261" i="7"/>
  <c r="CA261" i="7"/>
  <c r="BZ261" i="7"/>
  <c r="BY261" i="7"/>
  <c r="BX261" i="7"/>
  <c r="BW261" i="7"/>
  <c r="BV261" i="7"/>
  <c r="BU261" i="7"/>
  <c r="BT261" i="7"/>
  <c r="BS261" i="7"/>
  <c r="BR261" i="7"/>
  <c r="BQ261" i="7"/>
  <c r="BP261" i="7"/>
  <c r="BO261" i="7"/>
  <c r="BN261" i="7"/>
  <c r="BM261" i="7"/>
  <c r="BL261" i="7"/>
  <c r="BK261" i="7"/>
  <c r="BJ261" i="7"/>
  <c r="BI261" i="7"/>
  <c r="BH261" i="7"/>
  <c r="DD260" i="7"/>
  <c r="DC260" i="7"/>
  <c r="DB260" i="7"/>
  <c r="DA260" i="7"/>
  <c r="CZ260" i="7"/>
  <c r="CY260" i="7"/>
  <c r="CX260" i="7"/>
  <c r="CW260" i="7"/>
  <c r="CV260" i="7"/>
  <c r="CU260" i="7"/>
  <c r="CT260" i="7"/>
  <c r="CS260" i="7"/>
  <c r="CR260" i="7"/>
  <c r="CQ260" i="7"/>
  <c r="CP260" i="7"/>
  <c r="CO260" i="7"/>
  <c r="CN260" i="7"/>
  <c r="CM260" i="7"/>
  <c r="CL260" i="7"/>
  <c r="CK260" i="7"/>
  <c r="CJ260" i="7"/>
  <c r="CI260" i="7"/>
  <c r="CH260" i="7"/>
  <c r="CG260" i="7"/>
  <c r="CF260" i="7"/>
  <c r="CE260" i="7"/>
  <c r="CD260" i="7"/>
  <c r="CC260" i="7"/>
  <c r="CB260" i="7"/>
  <c r="CA260" i="7"/>
  <c r="BZ260" i="7"/>
  <c r="BY260" i="7"/>
  <c r="BX260" i="7"/>
  <c r="BW260" i="7"/>
  <c r="BV260" i="7"/>
  <c r="BU260" i="7"/>
  <c r="BT260" i="7"/>
  <c r="BS260" i="7"/>
  <c r="BR260" i="7"/>
  <c r="BQ260" i="7"/>
  <c r="BP260" i="7"/>
  <c r="BO260" i="7"/>
  <c r="BN260" i="7"/>
  <c r="BL260" i="7"/>
  <c r="BK260" i="7"/>
  <c r="BJ260" i="7"/>
  <c r="BI260" i="7"/>
  <c r="BH260" i="7"/>
  <c r="BG260" i="7"/>
  <c r="BM260" i="7"/>
  <c r="DD259" i="7"/>
  <c r="DC259" i="7"/>
  <c r="DB259" i="7"/>
  <c r="DA259" i="7"/>
  <c r="CZ259" i="7"/>
  <c r="CY259" i="7"/>
  <c r="CX259" i="7"/>
  <c r="CW259" i="7"/>
  <c r="CV259" i="7"/>
  <c r="CU259" i="7"/>
  <c r="CT259" i="7"/>
  <c r="CS259" i="7"/>
  <c r="CR259" i="7"/>
  <c r="CQ259" i="7"/>
  <c r="CP259" i="7"/>
  <c r="CO259" i="7"/>
  <c r="CN259" i="7"/>
  <c r="CM259" i="7"/>
  <c r="CL259" i="7"/>
  <c r="CK259" i="7"/>
  <c r="CJ259" i="7"/>
  <c r="CI259" i="7"/>
  <c r="CH259" i="7"/>
  <c r="CG259" i="7"/>
  <c r="CF259" i="7"/>
  <c r="CE259" i="7"/>
  <c r="CD259" i="7"/>
  <c r="CC259" i="7"/>
  <c r="CB259" i="7"/>
  <c r="CA259" i="7"/>
  <c r="BZ259" i="7"/>
  <c r="BY259" i="7"/>
  <c r="BX259" i="7"/>
  <c r="BW259" i="7"/>
  <c r="BV259" i="7"/>
  <c r="BU259" i="7"/>
  <c r="BT259" i="7"/>
  <c r="BS259" i="7"/>
  <c r="BR259" i="7"/>
  <c r="BQ259" i="7"/>
  <c r="BP259" i="7"/>
  <c r="BO259" i="7"/>
  <c r="BN259" i="7"/>
  <c r="BM259" i="7"/>
  <c r="BL259" i="7"/>
  <c r="BK259" i="7"/>
  <c r="BJ259" i="7"/>
  <c r="BI259" i="7"/>
  <c r="BH259" i="7"/>
  <c r="DD258" i="7"/>
  <c r="DC258" i="7"/>
  <c r="DB258" i="7"/>
  <c r="DA258" i="7"/>
  <c r="CZ258" i="7"/>
  <c r="CY258" i="7"/>
  <c r="CX258" i="7"/>
  <c r="CW258" i="7"/>
  <c r="CV258" i="7"/>
  <c r="CU258" i="7"/>
  <c r="CT258" i="7"/>
  <c r="CS258" i="7"/>
  <c r="CR258" i="7"/>
  <c r="CQ258" i="7"/>
  <c r="CP258" i="7"/>
  <c r="CO258" i="7"/>
  <c r="CN258" i="7"/>
  <c r="CM258" i="7"/>
  <c r="CL258" i="7"/>
  <c r="CK258" i="7"/>
  <c r="CJ258" i="7"/>
  <c r="CI258" i="7"/>
  <c r="CH258" i="7"/>
  <c r="CG258" i="7"/>
  <c r="CF258" i="7"/>
  <c r="CE258" i="7"/>
  <c r="CD258" i="7"/>
  <c r="CC258" i="7"/>
  <c r="CB258" i="7"/>
  <c r="CA258" i="7"/>
  <c r="BZ258" i="7"/>
  <c r="BY258" i="7"/>
  <c r="BX258" i="7"/>
  <c r="BW258" i="7"/>
  <c r="BV258" i="7"/>
  <c r="BU258" i="7"/>
  <c r="BT258" i="7"/>
  <c r="BS258" i="7"/>
  <c r="BR258" i="7"/>
  <c r="BQ258" i="7"/>
  <c r="BP258" i="7"/>
  <c r="BO258" i="7"/>
  <c r="BN258" i="7"/>
  <c r="BM258" i="7"/>
  <c r="BL258" i="7"/>
  <c r="BK258" i="7"/>
  <c r="BJ258" i="7"/>
  <c r="BI258" i="7"/>
  <c r="BH258" i="7"/>
  <c r="BG258" i="7"/>
  <c r="DD257" i="7"/>
  <c r="DC257" i="7"/>
  <c r="DB257" i="7"/>
  <c r="DA257" i="7"/>
  <c r="CZ257" i="7"/>
  <c r="CY257" i="7"/>
  <c r="CX257" i="7"/>
  <c r="CW257" i="7"/>
  <c r="CV257" i="7"/>
  <c r="CU257" i="7"/>
  <c r="CT257" i="7"/>
  <c r="CS257" i="7"/>
  <c r="CR257" i="7"/>
  <c r="CQ257" i="7"/>
  <c r="CP257" i="7"/>
  <c r="CO257" i="7"/>
  <c r="CN257" i="7"/>
  <c r="CM257" i="7"/>
  <c r="CL257" i="7"/>
  <c r="CK257" i="7"/>
  <c r="CJ257" i="7"/>
  <c r="CI257" i="7"/>
  <c r="CH257" i="7"/>
  <c r="CG257" i="7"/>
  <c r="CF257" i="7"/>
  <c r="CE257" i="7"/>
  <c r="CD257" i="7"/>
  <c r="CC257" i="7"/>
  <c r="CB257" i="7"/>
  <c r="CA257" i="7"/>
  <c r="BZ257" i="7"/>
  <c r="BY257" i="7"/>
  <c r="BX257" i="7"/>
  <c r="BW257" i="7"/>
  <c r="BV257" i="7"/>
  <c r="BU257" i="7"/>
  <c r="BT257" i="7"/>
  <c r="BS257" i="7"/>
  <c r="BR257" i="7"/>
  <c r="BQ257" i="7"/>
  <c r="BP257" i="7"/>
  <c r="BO257" i="7"/>
  <c r="BN257" i="7"/>
  <c r="BM257" i="7"/>
  <c r="BL257" i="7"/>
  <c r="BK257" i="7"/>
  <c r="BJ257" i="7"/>
  <c r="BI257" i="7"/>
  <c r="BH257" i="7"/>
  <c r="BG257" i="7"/>
  <c r="DD256" i="7"/>
  <c r="DC256" i="7"/>
  <c r="DB256" i="7"/>
  <c r="DA256" i="7"/>
  <c r="CZ256" i="7"/>
  <c r="CY256" i="7"/>
  <c r="CX256" i="7"/>
  <c r="CW256" i="7"/>
  <c r="CV256" i="7"/>
  <c r="CU256" i="7"/>
  <c r="CT256" i="7"/>
  <c r="CS256" i="7"/>
  <c r="CR256" i="7"/>
  <c r="CQ256" i="7"/>
  <c r="CP256" i="7"/>
  <c r="CO256" i="7"/>
  <c r="CN256" i="7"/>
  <c r="CM256" i="7"/>
  <c r="CL256" i="7"/>
  <c r="CK256" i="7"/>
  <c r="CJ256" i="7"/>
  <c r="CI256" i="7"/>
  <c r="CH256" i="7"/>
  <c r="CG256" i="7"/>
  <c r="CF256" i="7"/>
  <c r="CE256" i="7"/>
  <c r="CD256" i="7"/>
  <c r="CC256" i="7"/>
  <c r="CB256" i="7"/>
  <c r="CA256" i="7"/>
  <c r="BZ256" i="7"/>
  <c r="BY256" i="7"/>
  <c r="BX256" i="7"/>
  <c r="BW256" i="7"/>
  <c r="BV256" i="7"/>
  <c r="BU256" i="7"/>
  <c r="BT256" i="7"/>
  <c r="BS256" i="7"/>
  <c r="BR256" i="7"/>
  <c r="BQ256" i="7"/>
  <c r="BP256" i="7"/>
  <c r="BO256" i="7"/>
  <c r="BN256" i="7"/>
  <c r="BM256" i="7"/>
  <c r="BL256" i="7"/>
  <c r="BK256" i="7"/>
  <c r="BJ256" i="7"/>
  <c r="BI256" i="7"/>
  <c r="BH256" i="7"/>
  <c r="BG256" i="7"/>
  <c r="DD255" i="7"/>
  <c r="DC255" i="7"/>
  <c r="DB255" i="7"/>
  <c r="DA255" i="7"/>
  <c r="CZ255" i="7"/>
  <c r="CY255" i="7"/>
  <c r="CX255" i="7"/>
  <c r="CW255" i="7"/>
  <c r="CV255" i="7"/>
  <c r="CU255" i="7"/>
  <c r="CT255" i="7"/>
  <c r="CS255" i="7"/>
  <c r="CR255" i="7"/>
  <c r="CQ255" i="7"/>
  <c r="CP255" i="7"/>
  <c r="CO255" i="7"/>
  <c r="CN255" i="7"/>
  <c r="CM255" i="7"/>
  <c r="CL255" i="7"/>
  <c r="CK255" i="7"/>
  <c r="CJ255" i="7"/>
  <c r="CI255" i="7"/>
  <c r="CH255" i="7"/>
  <c r="CG255" i="7"/>
  <c r="CF255" i="7"/>
  <c r="CE255" i="7"/>
  <c r="CD255" i="7"/>
  <c r="CC255" i="7"/>
  <c r="CB255" i="7"/>
  <c r="CA255" i="7"/>
  <c r="BZ255" i="7"/>
  <c r="BY255" i="7"/>
  <c r="BX255" i="7"/>
  <c r="BW255" i="7"/>
  <c r="BV255" i="7"/>
  <c r="BU255" i="7"/>
  <c r="BT255" i="7"/>
  <c r="BS255" i="7"/>
  <c r="BR255" i="7"/>
  <c r="BQ255" i="7"/>
  <c r="BP255" i="7"/>
  <c r="BO255" i="7"/>
  <c r="BN255" i="7"/>
  <c r="BM255" i="7"/>
  <c r="BL255" i="7"/>
  <c r="BK255" i="7"/>
  <c r="BJ255" i="7"/>
  <c r="BI255" i="7"/>
  <c r="BH255" i="7"/>
  <c r="BG255" i="7"/>
  <c r="DD254" i="7"/>
  <c r="DC254" i="7"/>
  <c r="DB254" i="7"/>
  <c r="DA254" i="7"/>
  <c r="CZ254" i="7"/>
  <c r="CY254" i="7"/>
  <c r="CX254" i="7"/>
  <c r="CW254" i="7"/>
  <c r="CV254" i="7"/>
  <c r="CU254" i="7"/>
  <c r="CT254" i="7"/>
  <c r="CS254" i="7"/>
  <c r="CR254" i="7"/>
  <c r="CQ254" i="7"/>
  <c r="CP254" i="7"/>
  <c r="CO254" i="7"/>
  <c r="CN254" i="7"/>
  <c r="CM254" i="7"/>
  <c r="CL254" i="7"/>
  <c r="CK254" i="7"/>
  <c r="CJ254" i="7"/>
  <c r="CI254" i="7"/>
  <c r="CH254" i="7"/>
  <c r="CG254" i="7"/>
  <c r="CF254" i="7"/>
  <c r="CE254" i="7"/>
  <c r="CD254" i="7"/>
  <c r="CC254" i="7"/>
  <c r="CB254" i="7"/>
  <c r="CA254" i="7"/>
  <c r="BZ254" i="7"/>
  <c r="BY254" i="7"/>
  <c r="BX254" i="7"/>
  <c r="BW254" i="7"/>
  <c r="BV254" i="7"/>
  <c r="BU254" i="7"/>
  <c r="BT254" i="7"/>
  <c r="BS254" i="7"/>
  <c r="BR254" i="7"/>
  <c r="BQ254" i="7"/>
  <c r="BP254" i="7"/>
  <c r="BO254" i="7"/>
  <c r="BN254" i="7"/>
  <c r="BM254" i="7"/>
  <c r="BL254" i="7"/>
  <c r="BK254" i="7"/>
  <c r="BJ254" i="7"/>
  <c r="BI254" i="7"/>
  <c r="BH254" i="7"/>
  <c r="BG254" i="7"/>
  <c r="DD253" i="7"/>
  <c r="DC253" i="7"/>
  <c r="DB253" i="7"/>
  <c r="DA253" i="7"/>
  <c r="CZ253" i="7"/>
  <c r="CY253" i="7"/>
  <c r="CX253" i="7"/>
  <c r="CW253" i="7"/>
  <c r="CV253" i="7"/>
  <c r="CU253" i="7"/>
  <c r="CT253" i="7"/>
  <c r="CS253" i="7"/>
  <c r="CR253" i="7"/>
  <c r="CQ253" i="7"/>
  <c r="CP253" i="7"/>
  <c r="CO253" i="7"/>
  <c r="CN253" i="7"/>
  <c r="CM253" i="7"/>
  <c r="CL253" i="7"/>
  <c r="CK253" i="7"/>
  <c r="CJ253" i="7"/>
  <c r="CI253" i="7"/>
  <c r="CH253" i="7"/>
  <c r="CG253" i="7"/>
  <c r="CF253" i="7"/>
  <c r="CE253" i="7"/>
  <c r="CD253" i="7"/>
  <c r="CC253" i="7"/>
  <c r="CB253" i="7"/>
  <c r="CA253" i="7"/>
  <c r="BZ253" i="7"/>
  <c r="BY253" i="7"/>
  <c r="BX253" i="7"/>
  <c r="BW253" i="7"/>
  <c r="BV253" i="7"/>
  <c r="BU253" i="7"/>
  <c r="BT253" i="7"/>
  <c r="BS253" i="7"/>
  <c r="BR253" i="7"/>
  <c r="BQ253" i="7"/>
  <c r="BP253" i="7"/>
  <c r="BO253" i="7"/>
  <c r="BN253" i="7"/>
  <c r="BM253" i="7"/>
  <c r="BL253" i="7"/>
  <c r="BK253" i="7"/>
  <c r="BJ253" i="7"/>
  <c r="BI253" i="7"/>
  <c r="BH253" i="7"/>
  <c r="BG253" i="7"/>
  <c r="DD252" i="7"/>
  <c r="DC252" i="7"/>
  <c r="DB252" i="7"/>
  <c r="DA252" i="7"/>
  <c r="CZ252" i="7"/>
  <c r="CY252" i="7"/>
  <c r="CX252" i="7"/>
  <c r="CW252" i="7"/>
  <c r="CV252" i="7"/>
  <c r="CU252" i="7"/>
  <c r="CT252" i="7"/>
  <c r="CS252" i="7"/>
  <c r="CR252" i="7"/>
  <c r="CQ252" i="7"/>
  <c r="CP252" i="7"/>
  <c r="CO252" i="7"/>
  <c r="CN252" i="7"/>
  <c r="CM252" i="7"/>
  <c r="CL252" i="7"/>
  <c r="CK252" i="7"/>
  <c r="CJ252" i="7"/>
  <c r="CI252" i="7"/>
  <c r="CH252" i="7"/>
  <c r="CG252" i="7"/>
  <c r="CF252" i="7"/>
  <c r="CE252" i="7"/>
  <c r="CD252" i="7"/>
  <c r="CC252" i="7"/>
  <c r="CB252" i="7"/>
  <c r="CA252" i="7"/>
  <c r="BZ252" i="7"/>
  <c r="BY252" i="7"/>
  <c r="BX252" i="7"/>
  <c r="BW252" i="7"/>
  <c r="BV252" i="7"/>
  <c r="BU252" i="7"/>
  <c r="BT252" i="7"/>
  <c r="BS252" i="7"/>
  <c r="BR252" i="7"/>
  <c r="BQ252" i="7"/>
  <c r="BP252" i="7"/>
  <c r="BO252" i="7"/>
  <c r="BN252" i="7"/>
  <c r="BM252" i="7"/>
  <c r="BL252" i="7"/>
  <c r="BK252" i="7"/>
  <c r="BJ252" i="7"/>
  <c r="BI252" i="7"/>
  <c r="BH252" i="7"/>
  <c r="BG252" i="7"/>
  <c r="DD251" i="7"/>
  <c r="DC251" i="7"/>
  <c r="DB251" i="7"/>
  <c r="DA251" i="7"/>
  <c r="CZ251" i="7"/>
  <c r="CY251" i="7"/>
  <c r="CX251" i="7"/>
  <c r="CW251" i="7"/>
  <c r="CV251" i="7"/>
  <c r="CU251" i="7"/>
  <c r="CT251" i="7"/>
  <c r="CS251" i="7"/>
  <c r="CR251" i="7"/>
  <c r="CQ251" i="7"/>
  <c r="CP251" i="7"/>
  <c r="CO251" i="7"/>
  <c r="CN251" i="7"/>
  <c r="CM251" i="7"/>
  <c r="CL251" i="7"/>
  <c r="CK251" i="7"/>
  <c r="CJ251" i="7"/>
  <c r="CI251" i="7"/>
  <c r="CH251" i="7"/>
  <c r="CG251" i="7"/>
  <c r="CF251" i="7"/>
  <c r="CE251" i="7"/>
  <c r="CD251" i="7"/>
  <c r="CC251" i="7"/>
  <c r="CB251" i="7"/>
  <c r="CA251" i="7"/>
  <c r="BZ251" i="7"/>
  <c r="BY251" i="7"/>
  <c r="BX251" i="7"/>
  <c r="BW251" i="7"/>
  <c r="BV251" i="7"/>
  <c r="BU251" i="7"/>
  <c r="BT251" i="7"/>
  <c r="BS251" i="7"/>
  <c r="BR251" i="7"/>
  <c r="BQ251" i="7"/>
  <c r="BP251" i="7"/>
  <c r="BO251" i="7"/>
  <c r="BN251" i="7"/>
  <c r="BM251" i="7"/>
  <c r="BL251" i="7"/>
  <c r="BK251" i="7"/>
  <c r="BJ251" i="7"/>
  <c r="BI251" i="7"/>
  <c r="BH251" i="7"/>
  <c r="BG251" i="7"/>
  <c r="DD249" i="7"/>
  <c r="DC249" i="7"/>
  <c r="DB249" i="7"/>
  <c r="DA249" i="7"/>
  <c r="CZ249" i="7"/>
  <c r="CY249" i="7"/>
  <c r="CX249" i="7"/>
  <c r="CW249" i="7"/>
  <c r="CV249" i="7"/>
  <c r="CU249" i="7"/>
  <c r="CT249" i="7"/>
  <c r="CS249" i="7"/>
  <c r="CR249" i="7"/>
  <c r="CQ249" i="7"/>
  <c r="CP249" i="7"/>
  <c r="CO249" i="7"/>
  <c r="CN249" i="7"/>
  <c r="CM249" i="7"/>
  <c r="CL249" i="7"/>
  <c r="CK249" i="7"/>
  <c r="CJ249" i="7"/>
  <c r="CI249" i="7"/>
  <c r="CH249" i="7"/>
  <c r="CG249" i="7"/>
  <c r="CF249" i="7"/>
  <c r="CE249" i="7"/>
  <c r="CD249" i="7"/>
  <c r="CC249" i="7"/>
  <c r="CB249" i="7"/>
  <c r="CA249" i="7"/>
  <c r="BZ249" i="7"/>
  <c r="BY249" i="7"/>
  <c r="BX249" i="7"/>
  <c r="BW249" i="7"/>
  <c r="BV249" i="7"/>
  <c r="BU249" i="7"/>
  <c r="BT249" i="7"/>
  <c r="BS249" i="7"/>
  <c r="BR249" i="7"/>
  <c r="BQ249" i="7"/>
  <c r="BP249" i="7"/>
  <c r="BO249" i="7"/>
  <c r="BN249" i="7"/>
  <c r="BM249" i="7"/>
  <c r="BL249" i="7"/>
  <c r="BK249" i="7"/>
  <c r="BJ249" i="7"/>
  <c r="BI249" i="7"/>
  <c r="BH249" i="7"/>
  <c r="BG249" i="7"/>
  <c r="DD248" i="7"/>
  <c r="DC248" i="7"/>
  <c r="DB248" i="7"/>
  <c r="DA248" i="7"/>
  <c r="CZ248" i="7"/>
  <c r="CY248" i="7"/>
  <c r="CX248" i="7"/>
  <c r="CW248" i="7"/>
  <c r="CV248" i="7"/>
  <c r="CU248" i="7"/>
  <c r="CT248" i="7"/>
  <c r="CS248" i="7"/>
  <c r="CR248" i="7"/>
  <c r="CQ248" i="7"/>
  <c r="CP248" i="7"/>
  <c r="CO248" i="7"/>
  <c r="CN248" i="7"/>
  <c r="CM248" i="7"/>
  <c r="CL248" i="7"/>
  <c r="CK248" i="7"/>
  <c r="CJ248" i="7"/>
  <c r="CI248" i="7"/>
  <c r="CH248" i="7"/>
  <c r="CG248" i="7"/>
  <c r="CF248" i="7"/>
  <c r="CE248" i="7"/>
  <c r="CD248" i="7"/>
  <c r="CC248" i="7"/>
  <c r="CB248" i="7"/>
  <c r="CA248" i="7"/>
  <c r="BZ248" i="7"/>
  <c r="BY248" i="7"/>
  <c r="BX248" i="7"/>
  <c r="BW248" i="7"/>
  <c r="BV248" i="7"/>
  <c r="BU248" i="7"/>
  <c r="BT248" i="7"/>
  <c r="BS248" i="7"/>
  <c r="BR248" i="7"/>
  <c r="BQ248" i="7"/>
  <c r="BP248" i="7"/>
  <c r="BO248" i="7"/>
  <c r="BN248" i="7"/>
  <c r="BM248" i="7"/>
  <c r="BL248" i="7"/>
  <c r="BK248" i="7"/>
  <c r="BJ248" i="7"/>
  <c r="BI248" i="7"/>
  <c r="BH248" i="7"/>
  <c r="DD247" i="7"/>
  <c r="DC247" i="7"/>
  <c r="DB247" i="7"/>
  <c r="DA247" i="7"/>
  <c r="CZ247" i="7"/>
  <c r="CY247" i="7"/>
  <c r="CX247" i="7"/>
  <c r="CW247" i="7"/>
  <c r="CV247" i="7"/>
  <c r="CU247" i="7"/>
  <c r="CT247" i="7"/>
  <c r="CS247" i="7"/>
  <c r="CR247" i="7"/>
  <c r="CQ247" i="7"/>
  <c r="CP247" i="7"/>
  <c r="CO247" i="7"/>
  <c r="CN247" i="7"/>
  <c r="CM247" i="7"/>
  <c r="CL247" i="7"/>
  <c r="CK247" i="7"/>
  <c r="CJ247" i="7"/>
  <c r="CI247" i="7"/>
  <c r="CH247" i="7"/>
  <c r="CG247" i="7"/>
  <c r="CF247" i="7"/>
  <c r="CE247" i="7"/>
  <c r="CD247" i="7"/>
  <c r="CC247" i="7"/>
  <c r="CB247" i="7"/>
  <c r="CA247" i="7"/>
  <c r="BZ247" i="7"/>
  <c r="BY247" i="7"/>
  <c r="BX247" i="7"/>
  <c r="BW247" i="7"/>
  <c r="BV247" i="7"/>
  <c r="BU247" i="7"/>
  <c r="BT247" i="7"/>
  <c r="BS247" i="7"/>
  <c r="BR247" i="7"/>
  <c r="BQ247" i="7"/>
  <c r="BP247" i="7"/>
  <c r="BO247" i="7"/>
  <c r="BN247" i="7"/>
  <c r="BM247" i="7"/>
  <c r="BL247" i="7"/>
  <c r="BK247" i="7"/>
  <c r="BJ247" i="7"/>
  <c r="BI247" i="7"/>
  <c r="BH247" i="7"/>
  <c r="BG247" i="7"/>
  <c r="DD246" i="7"/>
  <c r="DC246" i="7"/>
  <c r="DB246" i="7"/>
  <c r="DA246" i="7"/>
  <c r="CZ246" i="7"/>
  <c r="CY246" i="7"/>
  <c r="CX246" i="7"/>
  <c r="CW246" i="7"/>
  <c r="CV246" i="7"/>
  <c r="CU246" i="7"/>
  <c r="CT246" i="7"/>
  <c r="CS246" i="7"/>
  <c r="CR246" i="7"/>
  <c r="CQ246" i="7"/>
  <c r="CP246" i="7"/>
  <c r="CO246" i="7"/>
  <c r="CN246" i="7"/>
  <c r="CM246" i="7"/>
  <c r="CL246" i="7"/>
  <c r="CK246" i="7"/>
  <c r="CJ246" i="7"/>
  <c r="CI246" i="7"/>
  <c r="CH246" i="7"/>
  <c r="CG246" i="7"/>
  <c r="CF246" i="7"/>
  <c r="CE246" i="7"/>
  <c r="CD246" i="7"/>
  <c r="CC246" i="7"/>
  <c r="CB246" i="7"/>
  <c r="CA246" i="7"/>
  <c r="BZ246" i="7"/>
  <c r="BY246" i="7"/>
  <c r="BX246" i="7"/>
  <c r="BW246" i="7"/>
  <c r="BV246" i="7"/>
  <c r="BU246" i="7"/>
  <c r="BT246" i="7"/>
  <c r="BS246" i="7"/>
  <c r="BR246" i="7"/>
  <c r="BQ246" i="7"/>
  <c r="BP246" i="7"/>
  <c r="BO246" i="7"/>
  <c r="BN246" i="7"/>
  <c r="BM246" i="7"/>
  <c r="BL246" i="7"/>
  <c r="BK246" i="7"/>
  <c r="BJ246" i="7"/>
  <c r="BI246" i="7"/>
  <c r="BH246" i="7"/>
  <c r="DD245" i="7"/>
  <c r="DC245" i="7"/>
  <c r="DB245" i="7"/>
  <c r="DA245" i="7"/>
  <c r="CZ245" i="7"/>
  <c r="CY245" i="7"/>
  <c r="CX245" i="7"/>
  <c r="CW245" i="7"/>
  <c r="CV245" i="7"/>
  <c r="CU245" i="7"/>
  <c r="CT245" i="7"/>
  <c r="CS245" i="7"/>
  <c r="CR245" i="7"/>
  <c r="CQ245" i="7"/>
  <c r="CP245" i="7"/>
  <c r="CO245" i="7"/>
  <c r="CN245" i="7"/>
  <c r="CM245" i="7"/>
  <c r="CL245" i="7"/>
  <c r="CK245" i="7"/>
  <c r="CJ245" i="7"/>
  <c r="CI245" i="7"/>
  <c r="CH245" i="7"/>
  <c r="CG245" i="7"/>
  <c r="CF245" i="7"/>
  <c r="CE245" i="7"/>
  <c r="CD245" i="7"/>
  <c r="CC245" i="7"/>
  <c r="CB245" i="7"/>
  <c r="CA245" i="7"/>
  <c r="BZ245" i="7"/>
  <c r="BY245" i="7"/>
  <c r="BX245" i="7"/>
  <c r="BW245" i="7"/>
  <c r="BV245" i="7"/>
  <c r="BU245" i="7"/>
  <c r="BT245" i="7"/>
  <c r="BS245" i="7"/>
  <c r="BR245" i="7"/>
  <c r="BQ245" i="7"/>
  <c r="BP245" i="7"/>
  <c r="BO245" i="7"/>
  <c r="BN245" i="7"/>
  <c r="BM245" i="7"/>
  <c r="BL245" i="7"/>
  <c r="BK245" i="7"/>
  <c r="BJ245" i="7"/>
  <c r="BI245" i="7"/>
  <c r="BH245" i="7"/>
  <c r="BG245" i="7"/>
  <c r="DD244" i="7"/>
  <c r="DC244" i="7"/>
  <c r="DB244" i="7"/>
  <c r="DA244" i="7"/>
  <c r="CZ244" i="7"/>
  <c r="CY244" i="7"/>
  <c r="CX244" i="7"/>
  <c r="CW244" i="7"/>
  <c r="CV244" i="7"/>
  <c r="CU244" i="7"/>
  <c r="CT244" i="7"/>
  <c r="CS244" i="7"/>
  <c r="CR244" i="7"/>
  <c r="CQ244" i="7"/>
  <c r="CP244" i="7"/>
  <c r="CO244" i="7"/>
  <c r="CN244" i="7"/>
  <c r="CM244" i="7"/>
  <c r="CL244" i="7"/>
  <c r="CK244" i="7"/>
  <c r="CJ244" i="7"/>
  <c r="CI244" i="7"/>
  <c r="CH244" i="7"/>
  <c r="CG244" i="7"/>
  <c r="CF244" i="7"/>
  <c r="CE244" i="7"/>
  <c r="CD244" i="7"/>
  <c r="CC244" i="7"/>
  <c r="CB244" i="7"/>
  <c r="CA244" i="7"/>
  <c r="BZ244" i="7"/>
  <c r="BY244" i="7"/>
  <c r="BX244" i="7"/>
  <c r="BW244" i="7"/>
  <c r="BV244" i="7"/>
  <c r="BU244" i="7"/>
  <c r="BT244" i="7"/>
  <c r="BS244" i="7"/>
  <c r="BR244" i="7"/>
  <c r="BQ244" i="7"/>
  <c r="BP244" i="7"/>
  <c r="BO244" i="7"/>
  <c r="BN244" i="7"/>
  <c r="BM244" i="7"/>
  <c r="BL244" i="7"/>
  <c r="BK244" i="7"/>
  <c r="BJ244" i="7"/>
  <c r="BI244" i="7"/>
  <c r="BH244" i="7"/>
  <c r="BG244" i="7"/>
  <c r="DD243" i="7"/>
  <c r="DC243" i="7"/>
  <c r="DB243" i="7"/>
  <c r="DA243" i="7"/>
  <c r="CZ243" i="7"/>
  <c r="CY243" i="7"/>
  <c r="CX243" i="7"/>
  <c r="CW243" i="7"/>
  <c r="CV243" i="7"/>
  <c r="CU243" i="7"/>
  <c r="CT243" i="7"/>
  <c r="CS243" i="7"/>
  <c r="CR243" i="7"/>
  <c r="CQ243" i="7"/>
  <c r="CP243" i="7"/>
  <c r="CO243" i="7"/>
  <c r="CN243" i="7"/>
  <c r="CM243" i="7"/>
  <c r="CL243" i="7"/>
  <c r="CK243" i="7"/>
  <c r="CJ243" i="7"/>
  <c r="CI243" i="7"/>
  <c r="CH243" i="7"/>
  <c r="CG243" i="7"/>
  <c r="CF243" i="7"/>
  <c r="CE243" i="7"/>
  <c r="CD243" i="7"/>
  <c r="CC243" i="7"/>
  <c r="CB243" i="7"/>
  <c r="CA243" i="7"/>
  <c r="BZ243" i="7"/>
  <c r="BY243" i="7"/>
  <c r="BX243" i="7"/>
  <c r="BW243" i="7"/>
  <c r="BV243" i="7"/>
  <c r="BU243" i="7"/>
  <c r="BT243" i="7"/>
  <c r="BS243" i="7"/>
  <c r="BR243" i="7"/>
  <c r="BQ243" i="7"/>
  <c r="BP243" i="7"/>
  <c r="BO243" i="7"/>
  <c r="BN243" i="7"/>
  <c r="BM243" i="7"/>
  <c r="BL243" i="7"/>
  <c r="BK243" i="7"/>
  <c r="BJ243" i="7"/>
  <c r="BI243" i="7"/>
  <c r="BH243" i="7"/>
  <c r="BG243" i="7"/>
  <c r="DD242" i="7"/>
  <c r="DC242" i="7"/>
  <c r="DB242" i="7"/>
  <c r="DA242" i="7"/>
  <c r="CZ242" i="7"/>
  <c r="CY242" i="7"/>
  <c r="CX242" i="7"/>
  <c r="CW242" i="7"/>
  <c r="CV242" i="7"/>
  <c r="CU242" i="7"/>
  <c r="CT242" i="7"/>
  <c r="CS242" i="7"/>
  <c r="CR242" i="7"/>
  <c r="CQ242" i="7"/>
  <c r="CP242" i="7"/>
  <c r="CO242" i="7"/>
  <c r="CN242" i="7"/>
  <c r="CM242" i="7"/>
  <c r="CL242" i="7"/>
  <c r="CK242" i="7"/>
  <c r="CJ242" i="7"/>
  <c r="CI242" i="7"/>
  <c r="CH242" i="7"/>
  <c r="CG242" i="7"/>
  <c r="CF242" i="7"/>
  <c r="CE242" i="7"/>
  <c r="CD242" i="7"/>
  <c r="CC242" i="7"/>
  <c r="CB242" i="7"/>
  <c r="CA242" i="7"/>
  <c r="BZ242" i="7"/>
  <c r="BY242" i="7"/>
  <c r="BX242" i="7"/>
  <c r="BW242" i="7"/>
  <c r="BV242" i="7"/>
  <c r="BU242" i="7"/>
  <c r="BT242" i="7"/>
  <c r="BS242" i="7"/>
  <c r="BR242" i="7"/>
  <c r="BQ242" i="7"/>
  <c r="BP242" i="7"/>
  <c r="BO242" i="7"/>
  <c r="BN242" i="7"/>
  <c r="BM242" i="7"/>
  <c r="BK242" i="7"/>
  <c r="BJ242" i="7"/>
  <c r="BH242" i="7"/>
  <c r="BI242" i="7"/>
  <c r="DD241" i="7"/>
  <c r="DC241" i="7"/>
  <c r="DB241" i="7"/>
  <c r="DA241" i="7"/>
  <c r="CZ241" i="7"/>
  <c r="CY241" i="7"/>
  <c r="CX241" i="7"/>
  <c r="CW241" i="7"/>
  <c r="CV241" i="7"/>
  <c r="CU241" i="7"/>
  <c r="CT241" i="7"/>
  <c r="CS241" i="7"/>
  <c r="CR241" i="7"/>
  <c r="CQ241" i="7"/>
  <c r="CP241" i="7"/>
  <c r="CO241" i="7"/>
  <c r="CN241" i="7"/>
  <c r="CM241" i="7"/>
  <c r="CL241" i="7"/>
  <c r="CK241" i="7"/>
  <c r="CJ241" i="7"/>
  <c r="CI241" i="7"/>
  <c r="CH241" i="7"/>
  <c r="CG241" i="7"/>
  <c r="CF241" i="7"/>
  <c r="CE241" i="7"/>
  <c r="CD241" i="7"/>
  <c r="CC241" i="7"/>
  <c r="CB241" i="7"/>
  <c r="CA241" i="7"/>
  <c r="BZ241" i="7"/>
  <c r="BY241" i="7"/>
  <c r="BX241" i="7"/>
  <c r="BW241" i="7"/>
  <c r="BV241" i="7"/>
  <c r="BU241" i="7"/>
  <c r="BT241" i="7"/>
  <c r="BS241" i="7"/>
  <c r="BR241" i="7"/>
  <c r="BQ241" i="7"/>
  <c r="BP241" i="7"/>
  <c r="BO241" i="7"/>
  <c r="BN241" i="7"/>
  <c r="BM241" i="7"/>
  <c r="BL241" i="7"/>
  <c r="BK241" i="7"/>
  <c r="BJ241" i="7"/>
  <c r="BI241" i="7"/>
  <c r="BH241" i="7"/>
  <c r="BG241" i="7"/>
  <c r="DD240" i="7"/>
  <c r="DC240" i="7"/>
  <c r="DB240" i="7"/>
  <c r="DA240" i="7"/>
  <c r="CZ240" i="7"/>
  <c r="CY240" i="7"/>
  <c r="CX240" i="7"/>
  <c r="CW240" i="7"/>
  <c r="CV240" i="7"/>
  <c r="CU240" i="7"/>
  <c r="CT240" i="7"/>
  <c r="CS240" i="7"/>
  <c r="CR240" i="7"/>
  <c r="CQ240" i="7"/>
  <c r="CP240" i="7"/>
  <c r="CO240" i="7"/>
  <c r="CN240" i="7"/>
  <c r="CM240" i="7"/>
  <c r="CL240" i="7"/>
  <c r="CK240" i="7"/>
  <c r="CJ240" i="7"/>
  <c r="CI240" i="7"/>
  <c r="CH240" i="7"/>
  <c r="CG240" i="7"/>
  <c r="CF240" i="7"/>
  <c r="CE240" i="7"/>
  <c r="CD240" i="7"/>
  <c r="CC240" i="7"/>
  <c r="CB240" i="7"/>
  <c r="CA240" i="7"/>
  <c r="BZ240" i="7"/>
  <c r="BY240" i="7"/>
  <c r="BX240" i="7"/>
  <c r="BW240" i="7"/>
  <c r="BV240" i="7"/>
  <c r="BU240" i="7"/>
  <c r="BT240" i="7"/>
  <c r="BS240" i="7"/>
  <c r="BR240" i="7"/>
  <c r="BQ240" i="7"/>
  <c r="BP240" i="7"/>
  <c r="BO240" i="7"/>
  <c r="BN240" i="7"/>
  <c r="BM240" i="7"/>
  <c r="BL240" i="7"/>
  <c r="BK240" i="7"/>
  <c r="BJ240" i="7"/>
  <c r="BI240" i="7"/>
  <c r="BH240" i="7"/>
  <c r="BG240" i="7"/>
  <c r="DD239" i="7"/>
  <c r="DC239" i="7"/>
  <c r="DB239" i="7"/>
  <c r="DA239" i="7"/>
  <c r="CZ239" i="7"/>
  <c r="CY239" i="7"/>
  <c r="CX239" i="7"/>
  <c r="CW239" i="7"/>
  <c r="CV239" i="7"/>
  <c r="CU239" i="7"/>
  <c r="CT239" i="7"/>
  <c r="CS239" i="7"/>
  <c r="CR239" i="7"/>
  <c r="CQ239" i="7"/>
  <c r="CP239" i="7"/>
  <c r="CO239" i="7"/>
  <c r="CN239" i="7"/>
  <c r="CM239" i="7"/>
  <c r="CL239" i="7"/>
  <c r="CK239" i="7"/>
  <c r="CJ239" i="7"/>
  <c r="CI239" i="7"/>
  <c r="CH239" i="7"/>
  <c r="CG239" i="7"/>
  <c r="CF239" i="7"/>
  <c r="CE239" i="7"/>
  <c r="CD239" i="7"/>
  <c r="CC239" i="7"/>
  <c r="CB239" i="7"/>
  <c r="CA239" i="7"/>
  <c r="BZ239" i="7"/>
  <c r="BY239" i="7"/>
  <c r="BX239" i="7"/>
  <c r="BW239" i="7"/>
  <c r="BV239" i="7"/>
  <c r="BU239" i="7"/>
  <c r="BT239" i="7"/>
  <c r="BS239" i="7"/>
  <c r="BR239" i="7"/>
  <c r="BQ239" i="7"/>
  <c r="BP239" i="7"/>
  <c r="BO239" i="7"/>
  <c r="BN239" i="7"/>
  <c r="BM239" i="7"/>
  <c r="BL239" i="7"/>
  <c r="BK239" i="7"/>
  <c r="BJ239" i="7"/>
  <c r="BI239" i="7"/>
  <c r="BH239" i="7"/>
  <c r="BG239" i="7"/>
  <c r="DD238" i="7"/>
  <c r="DC238" i="7"/>
  <c r="DB238" i="7"/>
  <c r="DA238" i="7"/>
  <c r="CZ238" i="7"/>
  <c r="CY238" i="7"/>
  <c r="CX238" i="7"/>
  <c r="CW238" i="7"/>
  <c r="CV238" i="7"/>
  <c r="CU238" i="7"/>
  <c r="CT238" i="7"/>
  <c r="CS238" i="7"/>
  <c r="CR238" i="7"/>
  <c r="CQ238" i="7"/>
  <c r="CP238" i="7"/>
  <c r="CO238" i="7"/>
  <c r="CN238" i="7"/>
  <c r="CM238" i="7"/>
  <c r="CL238" i="7"/>
  <c r="CK238" i="7"/>
  <c r="CJ238" i="7"/>
  <c r="CI238" i="7"/>
  <c r="CH238" i="7"/>
  <c r="CG238" i="7"/>
  <c r="CF238" i="7"/>
  <c r="CE238" i="7"/>
  <c r="CD238" i="7"/>
  <c r="CC238" i="7"/>
  <c r="CB238" i="7"/>
  <c r="CA238" i="7"/>
  <c r="BZ238" i="7"/>
  <c r="BY238" i="7"/>
  <c r="BX238" i="7"/>
  <c r="BW238" i="7"/>
  <c r="BV238" i="7"/>
  <c r="BU238" i="7"/>
  <c r="BT238" i="7"/>
  <c r="BS238" i="7"/>
  <c r="BR238" i="7"/>
  <c r="BQ238" i="7"/>
  <c r="BP238" i="7"/>
  <c r="BO238" i="7"/>
  <c r="BM238" i="7"/>
  <c r="BL238" i="7"/>
  <c r="BK238" i="7"/>
  <c r="BH238" i="7"/>
  <c r="BG238" i="7"/>
  <c r="BN238" i="7"/>
  <c r="DD237" i="7"/>
  <c r="DC237" i="7"/>
  <c r="DB237" i="7"/>
  <c r="DA237" i="7"/>
  <c r="CZ237" i="7"/>
  <c r="CY237" i="7"/>
  <c r="CX237" i="7"/>
  <c r="CW237" i="7"/>
  <c r="CV237" i="7"/>
  <c r="CU237" i="7"/>
  <c r="CT237" i="7"/>
  <c r="CS237" i="7"/>
  <c r="CR237" i="7"/>
  <c r="CQ237" i="7"/>
  <c r="CP237" i="7"/>
  <c r="CO237" i="7"/>
  <c r="CN237" i="7"/>
  <c r="CM237" i="7"/>
  <c r="CL237" i="7"/>
  <c r="CK237" i="7"/>
  <c r="CJ237" i="7"/>
  <c r="CI237" i="7"/>
  <c r="CH237" i="7"/>
  <c r="CG237" i="7"/>
  <c r="CF237" i="7"/>
  <c r="CE237" i="7"/>
  <c r="CD237" i="7"/>
  <c r="CC237" i="7"/>
  <c r="CB237" i="7"/>
  <c r="CA237" i="7"/>
  <c r="BZ237" i="7"/>
  <c r="BY237" i="7"/>
  <c r="BX237" i="7"/>
  <c r="BW237" i="7"/>
  <c r="BV237" i="7"/>
  <c r="BU237" i="7"/>
  <c r="BT237" i="7"/>
  <c r="BS237" i="7"/>
  <c r="BR237" i="7"/>
  <c r="BQ237" i="7"/>
  <c r="BP237" i="7"/>
  <c r="BO237" i="7"/>
  <c r="BN237" i="7"/>
  <c r="BM237" i="7"/>
  <c r="BL237" i="7"/>
  <c r="BK237" i="7"/>
  <c r="BJ237" i="7"/>
  <c r="BI237" i="7"/>
  <c r="BH237" i="7"/>
  <c r="BG237" i="7"/>
  <c r="DD236" i="7"/>
  <c r="DC236" i="7"/>
  <c r="DB236" i="7"/>
  <c r="DA236" i="7"/>
  <c r="CZ236" i="7"/>
  <c r="CY236" i="7"/>
  <c r="CX236" i="7"/>
  <c r="CW236" i="7"/>
  <c r="CV236" i="7"/>
  <c r="CU236" i="7"/>
  <c r="CT236" i="7"/>
  <c r="CS236" i="7"/>
  <c r="CR236" i="7"/>
  <c r="CQ236" i="7"/>
  <c r="CP236" i="7"/>
  <c r="CO236" i="7"/>
  <c r="CN236" i="7"/>
  <c r="CM236" i="7"/>
  <c r="CL236" i="7"/>
  <c r="CK236" i="7"/>
  <c r="CJ236" i="7"/>
  <c r="CI236" i="7"/>
  <c r="CH236" i="7"/>
  <c r="CG236" i="7"/>
  <c r="CF236" i="7"/>
  <c r="CE236" i="7"/>
  <c r="CD236" i="7"/>
  <c r="CC236" i="7"/>
  <c r="CB236" i="7"/>
  <c r="CA236" i="7"/>
  <c r="BZ236" i="7"/>
  <c r="BY236" i="7"/>
  <c r="BX236" i="7"/>
  <c r="BW236" i="7"/>
  <c r="BV236" i="7"/>
  <c r="BU236" i="7"/>
  <c r="BT236" i="7"/>
  <c r="BS236" i="7"/>
  <c r="BR236" i="7"/>
  <c r="BQ236" i="7"/>
  <c r="BP236" i="7"/>
  <c r="BO236" i="7"/>
  <c r="BN236" i="7"/>
  <c r="BM236" i="7"/>
  <c r="BL236" i="7"/>
  <c r="BK236" i="7"/>
  <c r="BJ236" i="7"/>
  <c r="BI236" i="7"/>
  <c r="BH236" i="7"/>
  <c r="BG236" i="7"/>
  <c r="DD235" i="7"/>
  <c r="DC235" i="7"/>
  <c r="DB235" i="7"/>
  <c r="DA235" i="7"/>
  <c r="CZ235" i="7"/>
  <c r="CY235" i="7"/>
  <c r="CX235" i="7"/>
  <c r="CW235" i="7"/>
  <c r="CV235" i="7"/>
  <c r="CU235" i="7"/>
  <c r="CT235" i="7"/>
  <c r="CS235" i="7"/>
  <c r="CR235" i="7"/>
  <c r="CQ235" i="7"/>
  <c r="CP235" i="7"/>
  <c r="CO235" i="7"/>
  <c r="CN235" i="7"/>
  <c r="CM235" i="7"/>
  <c r="CL235" i="7"/>
  <c r="CK235" i="7"/>
  <c r="CJ235" i="7"/>
  <c r="CI235" i="7"/>
  <c r="CH235" i="7"/>
  <c r="CG235" i="7"/>
  <c r="CF235" i="7"/>
  <c r="CE235" i="7"/>
  <c r="CD235" i="7"/>
  <c r="CC235" i="7"/>
  <c r="CB235" i="7"/>
  <c r="CA235" i="7"/>
  <c r="BZ235" i="7"/>
  <c r="BY235" i="7"/>
  <c r="BX235" i="7"/>
  <c r="BW235" i="7"/>
  <c r="BV235" i="7"/>
  <c r="BU235" i="7"/>
  <c r="BT235" i="7"/>
  <c r="BS235" i="7"/>
  <c r="BP235" i="7"/>
  <c r="BO235" i="7"/>
  <c r="BN235" i="7"/>
  <c r="BM235" i="7"/>
  <c r="BK235" i="7"/>
  <c r="BJ235" i="7"/>
  <c r="BI235" i="7"/>
  <c r="BR235" i="7"/>
  <c r="DD234" i="7"/>
  <c r="DC234" i="7"/>
  <c r="DB234" i="7"/>
  <c r="DA234" i="7"/>
  <c r="CZ234" i="7"/>
  <c r="CY234" i="7"/>
  <c r="CX234" i="7"/>
  <c r="CW234" i="7"/>
  <c r="CV234" i="7"/>
  <c r="CU234" i="7"/>
  <c r="CT234" i="7"/>
  <c r="CS234" i="7"/>
  <c r="CR234" i="7"/>
  <c r="CQ234" i="7"/>
  <c r="CP234" i="7"/>
  <c r="CO234" i="7"/>
  <c r="CN234" i="7"/>
  <c r="CM234" i="7"/>
  <c r="CL234" i="7"/>
  <c r="CK234" i="7"/>
  <c r="CJ234" i="7"/>
  <c r="CI234" i="7"/>
  <c r="CH234" i="7"/>
  <c r="CG234" i="7"/>
  <c r="CF234" i="7"/>
  <c r="CE234" i="7"/>
  <c r="CD234" i="7"/>
  <c r="CC234" i="7"/>
  <c r="CB234" i="7"/>
  <c r="CA234" i="7"/>
  <c r="BZ234" i="7"/>
  <c r="BY234" i="7"/>
  <c r="BX234" i="7"/>
  <c r="BW234" i="7"/>
  <c r="BV234" i="7"/>
  <c r="BU234" i="7"/>
  <c r="BT234" i="7"/>
  <c r="BS234" i="7"/>
  <c r="BR234" i="7"/>
  <c r="BQ234" i="7"/>
  <c r="BP234" i="7"/>
  <c r="BO234" i="7"/>
  <c r="BN234" i="7"/>
  <c r="BM234" i="7"/>
  <c r="BL234" i="7"/>
  <c r="BK234" i="7"/>
  <c r="BJ234" i="7"/>
  <c r="BI234" i="7"/>
  <c r="BH234" i="7"/>
  <c r="BG234" i="7"/>
  <c r="DD233" i="7"/>
  <c r="DC233" i="7"/>
  <c r="DB233" i="7"/>
  <c r="DA233" i="7"/>
  <c r="CZ233" i="7"/>
  <c r="CY233" i="7"/>
  <c r="CX233" i="7"/>
  <c r="CW233" i="7"/>
  <c r="CV233" i="7"/>
  <c r="CU233" i="7"/>
  <c r="CT233" i="7"/>
  <c r="CS233" i="7"/>
  <c r="CR233" i="7"/>
  <c r="CQ233" i="7"/>
  <c r="CP233" i="7"/>
  <c r="CO233" i="7"/>
  <c r="CN233" i="7"/>
  <c r="CM233" i="7"/>
  <c r="CL233" i="7"/>
  <c r="CK233" i="7"/>
  <c r="CJ233" i="7"/>
  <c r="CI233" i="7"/>
  <c r="CH233" i="7"/>
  <c r="CG233" i="7"/>
  <c r="CF233" i="7"/>
  <c r="CE233" i="7"/>
  <c r="CD233" i="7"/>
  <c r="CC233" i="7"/>
  <c r="CB233" i="7"/>
  <c r="CA233" i="7"/>
  <c r="BZ233" i="7"/>
  <c r="BY233" i="7"/>
  <c r="BX233" i="7"/>
  <c r="BW233" i="7"/>
  <c r="BV233" i="7"/>
  <c r="BU233" i="7"/>
  <c r="BT233" i="7"/>
  <c r="BS233" i="7"/>
  <c r="BR233" i="7"/>
  <c r="BQ233" i="7"/>
  <c r="BP233" i="7"/>
  <c r="BO233" i="7"/>
  <c r="BN233" i="7"/>
  <c r="BM233" i="7"/>
  <c r="BL233" i="7"/>
  <c r="BK233" i="7"/>
  <c r="BJ233" i="7"/>
  <c r="BI233" i="7"/>
  <c r="BH233" i="7"/>
  <c r="DD232" i="7"/>
  <c r="DC232" i="7"/>
  <c r="DB232" i="7"/>
  <c r="DA232" i="7"/>
  <c r="CZ232" i="7"/>
  <c r="CY232" i="7"/>
  <c r="CX232" i="7"/>
  <c r="CW232" i="7"/>
  <c r="CV232" i="7"/>
  <c r="CU232" i="7"/>
  <c r="CT232" i="7"/>
  <c r="CS232" i="7"/>
  <c r="CR232" i="7"/>
  <c r="CQ232" i="7"/>
  <c r="CP232" i="7"/>
  <c r="CO232" i="7"/>
  <c r="CN232" i="7"/>
  <c r="CM232" i="7"/>
  <c r="CL232" i="7"/>
  <c r="CK232" i="7"/>
  <c r="CJ232" i="7"/>
  <c r="CI232" i="7"/>
  <c r="CH232" i="7"/>
  <c r="CG232" i="7"/>
  <c r="CF232" i="7"/>
  <c r="CE232" i="7"/>
  <c r="CD232" i="7"/>
  <c r="CC232" i="7"/>
  <c r="CB232" i="7"/>
  <c r="CA232" i="7"/>
  <c r="BZ232" i="7"/>
  <c r="BY232" i="7"/>
  <c r="BX232" i="7"/>
  <c r="BW232" i="7"/>
  <c r="BV232" i="7"/>
  <c r="BU232" i="7"/>
  <c r="BT232" i="7"/>
  <c r="BS232" i="7"/>
  <c r="BR232" i="7"/>
  <c r="BQ232" i="7"/>
  <c r="BP232" i="7"/>
  <c r="BO232" i="7"/>
  <c r="BN232" i="7"/>
  <c r="BM232" i="7"/>
  <c r="BL232" i="7"/>
  <c r="BK232" i="7"/>
  <c r="BJ232" i="7"/>
  <c r="BI232" i="7"/>
  <c r="BH232" i="7"/>
  <c r="BG232" i="7"/>
  <c r="DD231" i="7"/>
  <c r="DC231" i="7"/>
  <c r="DB231" i="7"/>
  <c r="DA231" i="7"/>
  <c r="CZ231" i="7"/>
  <c r="CY231" i="7"/>
  <c r="CX231" i="7"/>
  <c r="CW231" i="7"/>
  <c r="CV231" i="7"/>
  <c r="CU231" i="7"/>
  <c r="CT231" i="7"/>
  <c r="CS231" i="7"/>
  <c r="CR231" i="7"/>
  <c r="CQ231" i="7"/>
  <c r="CP231" i="7"/>
  <c r="CO231" i="7"/>
  <c r="CN231" i="7"/>
  <c r="CM231" i="7"/>
  <c r="CL231" i="7"/>
  <c r="CK231" i="7"/>
  <c r="CJ231" i="7"/>
  <c r="CI231" i="7"/>
  <c r="CH231" i="7"/>
  <c r="CG231" i="7"/>
  <c r="CF231" i="7"/>
  <c r="CE231" i="7"/>
  <c r="CD231" i="7"/>
  <c r="CC231" i="7"/>
  <c r="CB231" i="7"/>
  <c r="CA231" i="7"/>
  <c r="BZ231" i="7"/>
  <c r="BY231" i="7"/>
  <c r="BX231" i="7"/>
  <c r="BW231" i="7"/>
  <c r="BV231" i="7"/>
  <c r="BU231" i="7"/>
  <c r="BT231" i="7"/>
  <c r="BS231" i="7"/>
  <c r="BR231" i="7"/>
  <c r="BQ231" i="7"/>
  <c r="BP231" i="7"/>
  <c r="BO231" i="7"/>
  <c r="BN231" i="7"/>
  <c r="BM231" i="7"/>
  <c r="BL231" i="7"/>
  <c r="BJ231" i="7"/>
  <c r="BI231" i="7"/>
  <c r="BG231" i="7"/>
  <c r="BH231" i="7"/>
  <c r="DD230" i="7"/>
  <c r="DC230" i="7"/>
  <c r="DB230" i="7"/>
  <c r="DA230" i="7"/>
  <c r="CZ230" i="7"/>
  <c r="CY230" i="7"/>
  <c r="CX230" i="7"/>
  <c r="CW230" i="7"/>
  <c r="CV230" i="7"/>
  <c r="CU230" i="7"/>
  <c r="CT230" i="7"/>
  <c r="CS230" i="7"/>
  <c r="CR230" i="7"/>
  <c r="CQ230" i="7"/>
  <c r="CP230" i="7"/>
  <c r="CO230" i="7"/>
  <c r="CN230" i="7"/>
  <c r="CM230" i="7"/>
  <c r="CL230" i="7"/>
  <c r="CK230" i="7"/>
  <c r="CJ230" i="7"/>
  <c r="CI230" i="7"/>
  <c r="CH230" i="7"/>
  <c r="CG230" i="7"/>
  <c r="CF230" i="7"/>
  <c r="CE230" i="7"/>
  <c r="CD230" i="7"/>
  <c r="CC230" i="7"/>
  <c r="CB230" i="7"/>
  <c r="CA230" i="7"/>
  <c r="BZ230" i="7"/>
  <c r="BY230" i="7"/>
  <c r="BX230" i="7"/>
  <c r="BW230" i="7"/>
  <c r="BV230" i="7"/>
  <c r="BU230" i="7"/>
  <c r="BT230" i="7"/>
  <c r="BS230" i="7"/>
  <c r="BR230" i="7"/>
  <c r="BQ230" i="7"/>
  <c r="BP230" i="7"/>
  <c r="BO230" i="7"/>
  <c r="BN230" i="7"/>
  <c r="BM230" i="7"/>
  <c r="BL230" i="7"/>
  <c r="BK230" i="7"/>
  <c r="BJ230" i="7"/>
  <c r="BI230" i="7"/>
  <c r="BH230" i="7"/>
  <c r="BG230" i="7"/>
  <c r="DD229" i="7"/>
  <c r="DC229" i="7"/>
  <c r="DB229" i="7"/>
  <c r="DA229" i="7"/>
  <c r="CZ229" i="7"/>
  <c r="CY229" i="7"/>
  <c r="CX229" i="7"/>
  <c r="CW229" i="7"/>
  <c r="CV229" i="7"/>
  <c r="CU229" i="7"/>
  <c r="CT229" i="7"/>
  <c r="CS229" i="7"/>
  <c r="CR229" i="7"/>
  <c r="CQ229" i="7"/>
  <c r="CP229" i="7"/>
  <c r="CO229" i="7"/>
  <c r="CN229" i="7"/>
  <c r="CM229" i="7"/>
  <c r="CL229" i="7"/>
  <c r="CK229" i="7"/>
  <c r="CJ229" i="7"/>
  <c r="CI229" i="7"/>
  <c r="CH229" i="7"/>
  <c r="CG229" i="7"/>
  <c r="CF229" i="7"/>
  <c r="CE229" i="7"/>
  <c r="CD229" i="7"/>
  <c r="CC229" i="7"/>
  <c r="CB229" i="7"/>
  <c r="CA229" i="7"/>
  <c r="BZ229" i="7"/>
  <c r="BY229" i="7"/>
  <c r="BX229" i="7"/>
  <c r="BW229" i="7"/>
  <c r="BV229" i="7"/>
  <c r="BU229" i="7"/>
  <c r="BT229" i="7"/>
  <c r="BS229" i="7"/>
  <c r="BR229" i="7"/>
  <c r="BQ229" i="7"/>
  <c r="BP229" i="7"/>
  <c r="BO229" i="7"/>
  <c r="BN229" i="7"/>
  <c r="BM229" i="7"/>
  <c r="BL229" i="7"/>
  <c r="BK229" i="7"/>
  <c r="BJ229" i="7"/>
  <c r="BI229" i="7"/>
  <c r="BH229" i="7"/>
  <c r="BG229" i="7"/>
  <c r="DD228" i="7"/>
  <c r="DC228" i="7"/>
  <c r="DB228" i="7"/>
  <c r="DA228" i="7"/>
  <c r="CZ228" i="7"/>
  <c r="CY228" i="7"/>
  <c r="CX228" i="7"/>
  <c r="CW228" i="7"/>
  <c r="CV228" i="7"/>
  <c r="CU228" i="7"/>
  <c r="CT228" i="7"/>
  <c r="CS228" i="7"/>
  <c r="CR228" i="7"/>
  <c r="CQ228" i="7"/>
  <c r="CP228" i="7"/>
  <c r="CO228" i="7"/>
  <c r="CN228" i="7"/>
  <c r="CM228" i="7"/>
  <c r="CL228" i="7"/>
  <c r="CK228" i="7"/>
  <c r="CJ228" i="7"/>
  <c r="CI228" i="7"/>
  <c r="CH228" i="7"/>
  <c r="CG228" i="7"/>
  <c r="CF228" i="7"/>
  <c r="CE228" i="7"/>
  <c r="CD228" i="7"/>
  <c r="CC228" i="7"/>
  <c r="CB228" i="7"/>
  <c r="CA228" i="7"/>
  <c r="BZ228" i="7"/>
  <c r="BY228" i="7"/>
  <c r="BX228" i="7"/>
  <c r="BW228" i="7"/>
  <c r="BV228" i="7"/>
  <c r="BU228" i="7"/>
  <c r="BT228" i="7"/>
  <c r="BS228" i="7"/>
  <c r="BR228" i="7"/>
  <c r="BQ228" i="7"/>
  <c r="BP228" i="7"/>
  <c r="BO228" i="7"/>
  <c r="BN228" i="7"/>
  <c r="BM228" i="7"/>
  <c r="BL228" i="7"/>
  <c r="BK228" i="7"/>
  <c r="BJ228" i="7"/>
  <c r="BI228" i="7"/>
  <c r="BH228" i="7"/>
  <c r="BG228" i="7"/>
  <c r="DD227" i="7"/>
  <c r="DC227" i="7"/>
  <c r="DB227" i="7"/>
  <c r="DA227" i="7"/>
  <c r="CZ227" i="7"/>
  <c r="CY227" i="7"/>
  <c r="CX227" i="7"/>
  <c r="CW227" i="7"/>
  <c r="CV227" i="7"/>
  <c r="CU227" i="7"/>
  <c r="CT227" i="7"/>
  <c r="CS227" i="7"/>
  <c r="CR227" i="7"/>
  <c r="CQ227" i="7"/>
  <c r="CP227" i="7"/>
  <c r="CO227" i="7"/>
  <c r="CN227" i="7"/>
  <c r="CM227" i="7"/>
  <c r="CL227" i="7"/>
  <c r="CK227" i="7"/>
  <c r="CJ227" i="7"/>
  <c r="CI227" i="7"/>
  <c r="CH227" i="7"/>
  <c r="CG227" i="7"/>
  <c r="CF227" i="7"/>
  <c r="CE227" i="7"/>
  <c r="CD227" i="7"/>
  <c r="CC227" i="7"/>
  <c r="CB227" i="7"/>
  <c r="CA227" i="7"/>
  <c r="BZ227" i="7"/>
  <c r="BY227" i="7"/>
  <c r="BX227" i="7"/>
  <c r="BW227" i="7"/>
  <c r="BV227" i="7"/>
  <c r="BU227" i="7"/>
  <c r="BT227" i="7"/>
  <c r="BS227" i="7"/>
  <c r="BR227" i="7"/>
  <c r="BQ227" i="7"/>
  <c r="BP227" i="7"/>
  <c r="BO227" i="7"/>
  <c r="BN227" i="7"/>
  <c r="BM227" i="7"/>
  <c r="BL227" i="7"/>
  <c r="BK227" i="7"/>
  <c r="BJ227" i="7"/>
  <c r="BI227" i="7"/>
  <c r="BH227" i="7"/>
  <c r="BG227" i="7"/>
  <c r="DD226" i="7"/>
  <c r="DC226" i="7"/>
  <c r="DB226" i="7"/>
  <c r="DA226" i="7"/>
  <c r="CZ226" i="7"/>
  <c r="CY226" i="7"/>
  <c r="CX226" i="7"/>
  <c r="CW226" i="7"/>
  <c r="CV226" i="7"/>
  <c r="CU226" i="7"/>
  <c r="CT226" i="7"/>
  <c r="CS226" i="7"/>
  <c r="CR226" i="7"/>
  <c r="CQ226" i="7"/>
  <c r="CP226" i="7"/>
  <c r="CO226" i="7"/>
  <c r="CN226" i="7"/>
  <c r="CM226" i="7"/>
  <c r="CL226" i="7"/>
  <c r="CK226" i="7"/>
  <c r="CJ226" i="7"/>
  <c r="CI226" i="7"/>
  <c r="CH226" i="7"/>
  <c r="CG226" i="7"/>
  <c r="CF226" i="7"/>
  <c r="CE226" i="7"/>
  <c r="CD226" i="7"/>
  <c r="CC226" i="7"/>
  <c r="CB226" i="7"/>
  <c r="CA226" i="7"/>
  <c r="BZ226" i="7"/>
  <c r="BY226" i="7"/>
  <c r="BX226" i="7"/>
  <c r="BW226" i="7"/>
  <c r="BV226" i="7"/>
  <c r="BU226" i="7"/>
  <c r="BT226" i="7"/>
  <c r="BS226" i="7"/>
  <c r="BR226" i="7"/>
  <c r="BQ226" i="7"/>
  <c r="BP226" i="7"/>
  <c r="BO226" i="7"/>
  <c r="BN226" i="7"/>
  <c r="BM226" i="7"/>
  <c r="BL226" i="7"/>
  <c r="BK226" i="7"/>
  <c r="BJ226" i="7"/>
  <c r="BI226" i="7"/>
  <c r="BH226" i="7"/>
  <c r="BG226" i="7"/>
  <c r="DD225" i="7"/>
  <c r="DC225" i="7"/>
  <c r="DB225" i="7"/>
  <c r="DA225" i="7"/>
  <c r="CZ225" i="7"/>
  <c r="CY225" i="7"/>
  <c r="CX225" i="7"/>
  <c r="CW225" i="7"/>
  <c r="CV225" i="7"/>
  <c r="CU225" i="7"/>
  <c r="CT225" i="7"/>
  <c r="CS225" i="7"/>
  <c r="CR225" i="7"/>
  <c r="CQ225" i="7"/>
  <c r="CP225" i="7"/>
  <c r="CO225" i="7"/>
  <c r="CN225" i="7"/>
  <c r="CM225" i="7"/>
  <c r="CL225" i="7"/>
  <c r="CK225" i="7"/>
  <c r="CJ225" i="7"/>
  <c r="CI225" i="7"/>
  <c r="CH225" i="7"/>
  <c r="CG225" i="7"/>
  <c r="CF225" i="7"/>
  <c r="CE225" i="7"/>
  <c r="CD225" i="7"/>
  <c r="CC225" i="7"/>
  <c r="CB225" i="7"/>
  <c r="CA225" i="7"/>
  <c r="BZ225" i="7"/>
  <c r="BY225" i="7"/>
  <c r="BX225" i="7"/>
  <c r="BW225" i="7"/>
  <c r="BV225" i="7"/>
  <c r="BU225" i="7"/>
  <c r="BT225" i="7"/>
  <c r="BS225" i="7"/>
  <c r="BR225" i="7"/>
  <c r="BQ225" i="7"/>
  <c r="BP225" i="7"/>
  <c r="BO225" i="7"/>
  <c r="BN225" i="7"/>
  <c r="BM225" i="7"/>
  <c r="BL225" i="7"/>
  <c r="BK225" i="7"/>
  <c r="BJ225" i="7"/>
  <c r="BI225" i="7"/>
  <c r="BH225" i="7"/>
  <c r="BG225" i="7"/>
  <c r="DD224" i="7"/>
  <c r="DC224" i="7"/>
  <c r="DB224" i="7"/>
  <c r="DA224" i="7"/>
  <c r="CZ224" i="7"/>
  <c r="CY224" i="7"/>
  <c r="CX224" i="7"/>
  <c r="CW224" i="7"/>
  <c r="CV224" i="7"/>
  <c r="CU224" i="7"/>
  <c r="CT224" i="7"/>
  <c r="CS224" i="7"/>
  <c r="CR224" i="7"/>
  <c r="CQ224" i="7"/>
  <c r="CP224" i="7"/>
  <c r="CO224" i="7"/>
  <c r="CN224" i="7"/>
  <c r="CM224" i="7"/>
  <c r="CL224" i="7"/>
  <c r="CK224" i="7"/>
  <c r="CJ224" i="7"/>
  <c r="CI224" i="7"/>
  <c r="CH224" i="7"/>
  <c r="CG224" i="7"/>
  <c r="CF224" i="7"/>
  <c r="CE224" i="7"/>
  <c r="CD224" i="7"/>
  <c r="CC224" i="7"/>
  <c r="CB224" i="7"/>
  <c r="CA224" i="7"/>
  <c r="BZ224" i="7"/>
  <c r="BY224" i="7"/>
  <c r="BX224" i="7"/>
  <c r="BW224" i="7"/>
  <c r="BV224" i="7"/>
  <c r="BU224" i="7"/>
  <c r="BT224" i="7"/>
  <c r="BS224" i="7"/>
  <c r="BR224" i="7"/>
  <c r="BQ224" i="7"/>
  <c r="BP224" i="7"/>
  <c r="BO224" i="7"/>
  <c r="BM224" i="7"/>
  <c r="BL224" i="7"/>
  <c r="BK224" i="7"/>
  <c r="BJ224" i="7"/>
  <c r="BH224" i="7"/>
  <c r="BI224" i="7"/>
  <c r="DD223" i="7"/>
  <c r="DC223" i="7"/>
  <c r="DB223" i="7"/>
  <c r="DA223" i="7"/>
  <c r="CZ223" i="7"/>
  <c r="CY223" i="7"/>
  <c r="CX223" i="7"/>
  <c r="CW223" i="7"/>
  <c r="CV223" i="7"/>
  <c r="CU223" i="7"/>
  <c r="CT223" i="7"/>
  <c r="CS223" i="7"/>
  <c r="CR223" i="7"/>
  <c r="CQ223" i="7"/>
  <c r="CP223" i="7"/>
  <c r="CO223" i="7"/>
  <c r="CN223" i="7"/>
  <c r="CM223" i="7"/>
  <c r="CL223" i="7"/>
  <c r="CK223" i="7"/>
  <c r="CJ223" i="7"/>
  <c r="CI223" i="7"/>
  <c r="CH223" i="7"/>
  <c r="CG223" i="7"/>
  <c r="CF223" i="7"/>
  <c r="CE223" i="7"/>
  <c r="CD223" i="7"/>
  <c r="CC223" i="7"/>
  <c r="CB223" i="7"/>
  <c r="CA223" i="7"/>
  <c r="BZ223" i="7"/>
  <c r="BY223" i="7"/>
  <c r="BX223" i="7"/>
  <c r="BW223" i="7"/>
  <c r="BV223" i="7"/>
  <c r="BU223" i="7"/>
  <c r="BT223" i="7"/>
  <c r="BS223" i="7"/>
  <c r="BQ223" i="7"/>
  <c r="BP223" i="7"/>
  <c r="BO223" i="7"/>
  <c r="BN223" i="7"/>
  <c r="BM223" i="7"/>
  <c r="BL223" i="7"/>
  <c r="BK223" i="7"/>
  <c r="BJ223" i="7"/>
  <c r="BI223" i="7"/>
  <c r="BH223" i="7"/>
  <c r="BG223" i="7"/>
  <c r="BR223" i="7"/>
  <c r="DD222" i="7"/>
  <c r="DC222" i="7"/>
  <c r="DB222" i="7"/>
  <c r="DA222" i="7"/>
  <c r="CZ222" i="7"/>
  <c r="CY222" i="7"/>
  <c r="CX222" i="7"/>
  <c r="CW222" i="7"/>
  <c r="CV222" i="7"/>
  <c r="CU222" i="7"/>
  <c r="CT222" i="7"/>
  <c r="CS222" i="7"/>
  <c r="CR222" i="7"/>
  <c r="CQ222" i="7"/>
  <c r="CP222" i="7"/>
  <c r="CO222" i="7"/>
  <c r="CN222" i="7"/>
  <c r="CM222" i="7"/>
  <c r="CL222" i="7"/>
  <c r="CK222" i="7"/>
  <c r="CJ222" i="7"/>
  <c r="CI222" i="7"/>
  <c r="CH222" i="7"/>
  <c r="CG222" i="7"/>
  <c r="CF222" i="7"/>
  <c r="CE222" i="7"/>
  <c r="CD222" i="7"/>
  <c r="CC222" i="7"/>
  <c r="CB222" i="7"/>
  <c r="CA222" i="7"/>
  <c r="BZ222" i="7"/>
  <c r="BY222" i="7"/>
  <c r="BX222" i="7"/>
  <c r="BW222" i="7"/>
  <c r="BV222" i="7"/>
  <c r="BU222" i="7"/>
  <c r="BT222" i="7"/>
  <c r="BS222" i="7"/>
  <c r="BR222" i="7"/>
  <c r="BQ222" i="7"/>
  <c r="BO222" i="7"/>
  <c r="BN222" i="7"/>
  <c r="BL222" i="7"/>
  <c r="BJ222" i="7"/>
  <c r="BI222" i="7"/>
  <c r="BH222" i="7"/>
  <c r="BM222" i="7"/>
  <c r="DD221" i="7"/>
  <c r="DC221" i="7"/>
  <c r="DB221" i="7"/>
  <c r="DA221" i="7"/>
  <c r="CZ221" i="7"/>
  <c r="CY221" i="7"/>
  <c r="CX221" i="7"/>
  <c r="CW221" i="7"/>
  <c r="CV221" i="7"/>
  <c r="CU221" i="7"/>
  <c r="CT221" i="7"/>
  <c r="CS221" i="7"/>
  <c r="CR221" i="7"/>
  <c r="CQ221" i="7"/>
  <c r="CP221" i="7"/>
  <c r="CO221" i="7"/>
  <c r="CN221" i="7"/>
  <c r="CM221" i="7"/>
  <c r="CL221" i="7"/>
  <c r="CK221" i="7"/>
  <c r="CJ221" i="7"/>
  <c r="CI221" i="7"/>
  <c r="CH221" i="7"/>
  <c r="CG221" i="7"/>
  <c r="CF221" i="7"/>
  <c r="CE221" i="7"/>
  <c r="CD221" i="7"/>
  <c r="CC221" i="7"/>
  <c r="CB221" i="7"/>
  <c r="CA221" i="7"/>
  <c r="BZ221" i="7"/>
  <c r="BY221" i="7"/>
  <c r="BX221" i="7"/>
  <c r="BW221" i="7"/>
  <c r="BV221" i="7"/>
  <c r="BU221" i="7"/>
  <c r="BT221" i="7"/>
  <c r="BS221" i="7"/>
  <c r="BR221" i="7"/>
  <c r="BQ221" i="7"/>
  <c r="BP221" i="7"/>
  <c r="BO221" i="7"/>
  <c r="BN221" i="7"/>
  <c r="BM221" i="7"/>
  <c r="BL221" i="7"/>
  <c r="BK221" i="7"/>
  <c r="BJ221" i="7"/>
  <c r="BI221" i="7"/>
  <c r="BH221" i="7"/>
  <c r="BG221" i="7"/>
  <c r="DD220" i="7"/>
  <c r="DC220" i="7"/>
  <c r="DB220" i="7"/>
  <c r="DA220" i="7"/>
  <c r="CZ220" i="7"/>
  <c r="CY220" i="7"/>
  <c r="CX220" i="7"/>
  <c r="CW220" i="7"/>
  <c r="CV220" i="7"/>
  <c r="CU220" i="7"/>
  <c r="CT220" i="7"/>
  <c r="CS220" i="7"/>
  <c r="CR220" i="7"/>
  <c r="CQ220" i="7"/>
  <c r="CP220" i="7"/>
  <c r="CO220" i="7"/>
  <c r="CN220" i="7"/>
  <c r="CM220" i="7"/>
  <c r="CL220" i="7"/>
  <c r="CK220" i="7"/>
  <c r="CJ220" i="7"/>
  <c r="CI220" i="7"/>
  <c r="CH220" i="7"/>
  <c r="CG220" i="7"/>
  <c r="CF220" i="7"/>
  <c r="CE220" i="7"/>
  <c r="CD220" i="7"/>
  <c r="CC220" i="7"/>
  <c r="CB220" i="7"/>
  <c r="CA220" i="7"/>
  <c r="BZ220" i="7"/>
  <c r="BY220" i="7"/>
  <c r="BX220" i="7"/>
  <c r="BW220" i="7"/>
  <c r="BV220" i="7"/>
  <c r="BU220" i="7"/>
  <c r="BT220" i="7"/>
  <c r="BS220" i="7"/>
  <c r="BR220" i="7"/>
  <c r="BQ220" i="7"/>
  <c r="BP220" i="7"/>
  <c r="BO220" i="7"/>
  <c r="BN220" i="7"/>
  <c r="BM220" i="7"/>
  <c r="BL220" i="7"/>
  <c r="BK220" i="7"/>
  <c r="BJ220" i="7"/>
  <c r="BI220" i="7"/>
  <c r="BH220" i="7"/>
  <c r="BG220" i="7"/>
  <c r="DD219" i="7"/>
  <c r="DC219" i="7"/>
  <c r="DB219" i="7"/>
  <c r="DA219" i="7"/>
  <c r="CZ219" i="7"/>
  <c r="CY219" i="7"/>
  <c r="CX219" i="7"/>
  <c r="CW219" i="7"/>
  <c r="CV219" i="7"/>
  <c r="CU219" i="7"/>
  <c r="CT219" i="7"/>
  <c r="CS219" i="7"/>
  <c r="CR219" i="7"/>
  <c r="CQ219" i="7"/>
  <c r="CP219" i="7"/>
  <c r="CO219" i="7"/>
  <c r="CN219" i="7"/>
  <c r="CM219" i="7"/>
  <c r="CL219" i="7"/>
  <c r="CK219" i="7"/>
  <c r="CJ219" i="7"/>
  <c r="CI219" i="7"/>
  <c r="CH219" i="7"/>
  <c r="CG219" i="7"/>
  <c r="CF219" i="7"/>
  <c r="CE219" i="7"/>
  <c r="CD219" i="7"/>
  <c r="CC219" i="7"/>
  <c r="CB219" i="7"/>
  <c r="CA219" i="7"/>
  <c r="BZ219" i="7"/>
  <c r="BY219" i="7"/>
  <c r="BX219" i="7"/>
  <c r="BW219" i="7"/>
  <c r="BV219" i="7"/>
  <c r="BU219" i="7"/>
  <c r="BT219" i="7"/>
  <c r="BS219" i="7"/>
  <c r="BR219" i="7"/>
  <c r="BQ219" i="7"/>
  <c r="BP219" i="7"/>
  <c r="BO219" i="7"/>
  <c r="BN219" i="7"/>
  <c r="BM219" i="7"/>
  <c r="BL219" i="7"/>
  <c r="BK219" i="7"/>
  <c r="BJ219" i="7"/>
  <c r="BI219" i="7"/>
  <c r="BH219" i="7"/>
  <c r="BG219" i="7"/>
  <c r="DD218" i="7"/>
  <c r="DC218" i="7"/>
  <c r="DB218" i="7"/>
  <c r="DA218" i="7"/>
  <c r="CZ218" i="7"/>
  <c r="CY218" i="7"/>
  <c r="CX218" i="7"/>
  <c r="CW218" i="7"/>
  <c r="CV218" i="7"/>
  <c r="CU218" i="7"/>
  <c r="CT218" i="7"/>
  <c r="CS218" i="7"/>
  <c r="CR218" i="7"/>
  <c r="CQ218" i="7"/>
  <c r="CP218" i="7"/>
  <c r="CO218" i="7"/>
  <c r="CN218" i="7"/>
  <c r="CM218" i="7"/>
  <c r="CL218" i="7"/>
  <c r="CK218" i="7"/>
  <c r="CJ218" i="7"/>
  <c r="CI218" i="7"/>
  <c r="CH218" i="7"/>
  <c r="CG218" i="7"/>
  <c r="CF218" i="7"/>
  <c r="CE218" i="7"/>
  <c r="CD218" i="7"/>
  <c r="CC218" i="7"/>
  <c r="CB218" i="7"/>
  <c r="CA218" i="7"/>
  <c r="BZ218" i="7"/>
  <c r="BY218" i="7"/>
  <c r="BX218" i="7"/>
  <c r="BW218" i="7"/>
  <c r="BV218" i="7"/>
  <c r="BU218" i="7"/>
  <c r="BT218" i="7"/>
  <c r="BS218" i="7"/>
  <c r="BR218" i="7"/>
  <c r="BQ218" i="7"/>
  <c r="BP218" i="7"/>
  <c r="BO218" i="7"/>
  <c r="BN218" i="7"/>
  <c r="BM218" i="7"/>
  <c r="BL218" i="7"/>
  <c r="BK218" i="7"/>
  <c r="BJ218" i="7"/>
  <c r="BI218" i="7"/>
  <c r="BH218" i="7"/>
  <c r="BG218" i="7"/>
  <c r="DD217" i="7"/>
  <c r="DC217" i="7"/>
  <c r="DB217" i="7"/>
  <c r="DA217" i="7"/>
  <c r="CZ217" i="7"/>
  <c r="CY217" i="7"/>
  <c r="CX217" i="7"/>
  <c r="CW217" i="7"/>
  <c r="CV217" i="7"/>
  <c r="CU217" i="7"/>
  <c r="CT217" i="7"/>
  <c r="CS217" i="7"/>
  <c r="CR217" i="7"/>
  <c r="CQ217" i="7"/>
  <c r="CP217" i="7"/>
  <c r="CO217" i="7"/>
  <c r="CN217" i="7"/>
  <c r="CM217" i="7"/>
  <c r="CL217" i="7"/>
  <c r="CK217" i="7"/>
  <c r="CJ217" i="7"/>
  <c r="CI217" i="7"/>
  <c r="CH217" i="7"/>
  <c r="CG217" i="7"/>
  <c r="CF217" i="7"/>
  <c r="CE217" i="7"/>
  <c r="CD217" i="7"/>
  <c r="CC217" i="7"/>
  <c r="CB217" i="7"/>
  <c r="CA217" i="7"/>
  <c r="BZ217" i="7"/>
  <c r="BY217" i="7"/>
  <c r="BX217" i="7"/>
  <c r="BW217" i="7"/>
  <c r="BV217" i="7"/>
  <c r="BU217" i="7"/>
  <c r="BT217" i="7"/>
  <c r="BS217" i="7"/>
  <c r="BR217" i="7"/>
  <c r="BQ217" i="7"/>
  <c r="BP217" i="7"/>
  <c r="BO217" i="7"/>
  <c r="BN217" i="7"/>
  <c r="BM217" i="7"/>
  <c r="BL217" i="7"/>
  <c r="BK217" i="7"/>
  <c r="BJ217" i="7"/>
  <c r="BI217" i="7"/>
  <c r="BH217" i="7"/>
  <c r="BG217" i="7"/>
  <c r="DD216" i="7"/>
  <c r="DC216" i="7"/>
  <c r="DB216" i="7"/>
  <c r="DA216" i="7"/>
  <c r="CZ216" i="7"/>
  <c r="CY216" i="7"/>
  <c r="CX216" i="7"/>
  <c r="CW216" i="7"/>
  <c r="CV216" i="7"/>
  <c r="CU216" i="7"/>
  <c r="CT216" i="7"/>
  <c r="CS216" i="7"/>
  <c r="CR216" i="7"/>
  <c r="CQ216" i="7"/>
  <c r="CP216" i="7"/>
  <c r="CO216" i="7"/>
  <c r="CN216" i="7"/>
  <c r="CM216" i="7"/>
  <c r="CL216" i="7"/>
  <c r="CK216" i="7"/>
  <c r="CJ216" i="7"/>
  <c r="CI216" i="7"/>
  <c r="CH216" i="7"/>
  <c r="CG216" i="7"/>
  <c r="CF216" i="7"/>
  <c r="CE216" i="7"/>
  <c r="CD216" i="7"/>
  <c r="CC216" i="7"/>
  <c r="CB216" i="7"/>
  <c r="CA216" i="7"/>
  <c r="BZ216" i="7"/>
  <c r="BY216" i="7"/>
  <c r="BX216" i="7"/>
  <c r="BW216" i="7"/>
  <c r="BV216" i="7"/>
  <c r="BU216" i="7"/>
  <c r="BT216" i="7"/>
  <c r="BS216" i="7"/>
  <c r="BR216" i="7"/>
  <c r="BQ216" i="7"/>
  <c r="BP216" i="7"/>
  <c r="BO216" i="7"/>
  <c r="BN216" i="7"/>
  <c r="BM216" i="7"/>
  <c r="BL216" i="7"/>
  <c r="BK216" i="7"/>
  <c r="BJ216" i="7"/>
  <c r="BI216" i="7"/>
  <c r="BH216" i="7"/>
  <c r="BG216" i="7"/>
  <c r="DD215" i="7"/>
  <c r="DC215" i="7"/>
  <c r="DB215" i="7"/>
  <c r="DA215" i="7"/>
  <c r="CZ215" i="7"/>
  <c r="CY215" i="7"/>
  <c r="CX215" i="7"/>
  <c r="CW215" i="7"/>
  <c r="CV215" i="7"/>
  <c r="CU215" i="7"/>
  <c r="CT215" i="7"/>
  <c r="CS215" i="7"/>
  <c r="CR215" i="7"/>
  <c r="CQ215" i="7"/>
  <c r="CP215" i="7"/>
  <c r="CO215" i="7"/>
  <c r="CN215" i="7"/>
  <c r="CM215" i="7"/>
  <c r="CL215" i="7"/>
  <c r="CK215" i="7"/>
  <c r="CJ215" i="7"/>
  <c r="CI215" i="7"/>
  <c r="CH215" i="7"/>
  <c r="CG215" i="7"/>
  <c r="CF215" i="7"/>
  <c r="CE215" i="7"/>
  <c r="CD215" i="7"/>
  <c r="CC215" i="7"/>
  <c r="CB215" i="7"/>
  <c r="CA215" i="7"/>
  <c r="BZ215" i="7"/>
  <c r="BY215" i="7"/>
  <c r="BX215" i="7"/>
  <c r="BW215" i="7"/>
  <c r="BV215" i="7"/>
  <c r="BU215" i="7"/>
  <c r="BT215" i="7"/>
  <c r="BS215" i="7"/>
  <c r="BR215" i="7"/>
  <c r="BQ215" i="7"/>
  <c r="BP215" i="7"/>
  <c r="BO215" i="7"/>
  <c r="BN215" i="7"/>
  <c r="BM215" i="7"/>
  <c r="BL215" i="7"/>
  <c r="BK215" i="7"/>
  <c r="BJ215" i="7"/>
  <c r="BI215" i="7"/>
  <c r="BH215" i="7"/>
  <c r="BG215" i="7"/>
  <c r="DD214" i="7"/>
  <c r="DC214" i="7"/>
  <c r="DB214" i="7"/>
  <c r="DA214" i="7"/>
  <c r="CZ214" i="7"/>
  <c r="CY214" i="7"/>
  <c r="CX214" i="7"/>
  <c r="CW214" i="7"/>
  <c r="CV214" i="7"/>
  <c r="CU214" i="7"/>
  <c r="CT214" i="7"/>
  <c r="CS214" i="7"/>
  <c r="CR214" i="7"/>
  <c r="CQ214" i="7"/>
  <c r="CP214" i="7"/>
  <c r="CO214" i="7"/>
  <c r="CN214" i="7"/>
  <c r="CM214" i="7"/>
  <c r="CL214" i="7"/>
  <c r="CK214" i="7"/>
  <c r="CJ214" i="7"/>
  <c r="CI214" i="7"/>
  <c r="CH214" i="7"/>
  <c r="CG214" i="7"/>
  <c r="CF214" i="7"/>
  <c r="CE214" i="7"/>
  <c r="CD214" i="7"/>
  <c r="CC214" i="7"/>
  <c r="CB214" i="7"/>
  <c r="CA214" i="7"/>
  <c r="BZ214" i="7"/>
  <c r="BY214" i="7"/>
  <c r="BX214" i="7"/>
  <c r="BW214" i="7"/>
  <c r="BV214" i="7"/>
  <c r="BU214" i="7"/>
  <c r="BT214" i="7"/>
  <c r="BS214" i="7"/>
  <c r="BR214" i="7"/>
  <c r="BQ214" i="7"/>
  <c r="BP214" i="7"/>
  <c r="BO214" i="7"/>
  <c r="BN214" i="7"/>
  <c r="BM214" i="7"/>
  <c r="BL214" i="7"/>
  <c r="BK214" i="7"/>
  <c r="BJ214" i="7"/>
  <c r="BI214" i="7"/>
  <c r="BH214" i="7"/>
  <c r="BG214" i="7"/>
  <c r="DD213" i="7"/>
  <c r="DC213" i="7"/>
  <c r="DB213" i="7"/>
  <c r="DA213" i="7"/>
  <c r="CZ213" i="7"/>
  <c r="CY213" i="7"/>
  <c r="CX213" i="7"/>
  <c r="CW213" i="7"/>
  <c r="CV213" i="7"/>
  <c r="CU213" i="7"/>
  <c r="CT213" i="7"/>
  <c r="CS213" i="7"/>
  <c r="CR213" i="7"/>
  <c r="CQ213" i="7"/>
  <c r="CP213" i="7"/>
  <c r="CO213" i="7"/>
  <c r="CN213" i="7"/>
  <c r="CM213" i="7"/>
  <c r="CL213" i="7"/>
  <c r="CK213" i="7"/>
  <c r="CJ213" i="7"/>
  <c r="CI213" i="7"/>
  <c r="CH213" i="7"/>
  <c r="CG213" i="7"/>
  <c r="CF213" i="7"/>
  <c r="CE213" i="7"/>
  <c r="CD213" i="7"/>
  <c r="CC213" i="7"/>
  <c r="CB213" i="7"/>
  <c r="CA213" i="7"/>
  <c r="BZ213" i="7"/>
  <c r="BY213" i="7"/>
  <c r="BX213" i="7"/>
  <c r="BW213" i="7"/>
  <c r="BV213" i="7"/>
  <c r="BU213" i="7"/>
  <c r="BT213" i="7"/>
  <c r="BS213" i="7"/>
  <c r="BR213" i="7"/>
  <c r="BQ213" i="7"/>
  <c r="BP213" i="7"/>
  <c r="BO213" i="7"/>
  <c r="BN213" i="7"/>
  <c r="BM213" i="7"/>
  <c r="BL213" i="7"/>
  <c r="BK213" i="7"/>
  <c r="BJ213" i="7"/>
  <c r="BI213" i="7"/>
  <c r="BH213" i="7"/>
  <c r="BG213" i="7"/>
  <c r="DD212" i="7"/>
  <c r="DC212" i="7"/>
  <c r="DB212" i="7"/>
  <c r="DA212" i="7"/>
  <c r="CZ212" i="7"/>
  <c r="CY212" i="7"/>
  <c r="CX212" i="7"/>
  <c r="CW212" i="7"/>
  <c r="CV212" i="7"/>
  <c r="CU212" i="7"/>
  <c r="CT212" i="7"/>
  <c r="CS212" i="7"/>
  <c r="CR212" i="7"/>
  <c r="CQ212" i="7"/>
  <c r="CP212" i="7"/>
  <c r="CO212" i="7"/>
  <c r="CN212" i="7"/>
  <c r="CM212" i="7"/>
  <c r="CL212" i="7"/>
  <c r="CK212" i="7"/>
  <c r="CJ212" i="7"/>
  <c r="CI212" i="7"/>
  <c r="CH212" i="7"/>
  <c r="CG212" i="7"/>
  <c r="CF212" i="7"/>
  <c r="CE212" i="7"/>
  <c r="CD212" i="7"/>
  <c r="CC212" i="7"/>
  <c r="CB212" i="7"/>
  <c r="CA212" i="7"/>
  <c r="BZ212" i="7"/>
  <c r="BY212" i="7"/>
  <c r="BX212" i="7"/>
  <c r="BW212" i="7"/>
  <c r="BV212" i="7"/>
  <c r="BU212" i="7"/>
  <c r="BT212" i="7"/>
  <c r="BS212" i="7"/>
  <c r="BR212" i="7"/>
  <c r="BQ212" i="7"/>
  <c r="BP212" i="7"/>
  <c r="BO212" i="7"/>
  <c r="BN212" i="7"/>
  <c r="BM212" i="7"/>
  <c r="BL212" i="7"/>
  <c r="BK212" i="7"/>
  <c r="BJ212" i="7"/>
  <c r="BI212" i="7"/>
  <c r="BH212" i="7"/>
  <c r="BG212" i="7"/>
  <c r="DD211" i="7"/>
  <c r="DC211" i="7"/>
  <c r="DB211" i="7"/>
  <c r="DA211" i="7"/>
  <c r="CZ211" i="7"/>
  <c r="CY211" i="7"/>
  <c r="CX211" i="7"/>
  <c r="CW211" i="7"/>
  <c r="CV211" i="7"/>
  <c r="CU211" i="7"/>
  <c r="CT211" i="7"/>
  <c r="CS211" i="7"/>
  <c r="CR211" i="7"/>
  <c r="CQ211" i="7"/>
  <c r="CP211" i="7"/>
  <c r="CO211" i="7"/>
  <c r="CN211" i="7"/>
  <c r="CM211" i="7"/>
  <c r="CL211" i="7"/>
  <c r="CK211" i="7"/>
  <c r="CJ211" i="7"/>
  <c r="CI211" i="7"/>
  <c r="CH211" i="7"/>
  <c r="CG211" i="7"/>
  <c r="CF211" i="7"/>
  <c r="CE211" i="7"/>
  <c r="CD211" i="7"/>
  <c r="CC211" i="7"/>
  <c r="CB211" i="7"/>
  <c r="CA211" i="7"/>
  <c r="BZ211" i="7"/>
  <c r="BY211" i="7"/>
  <c r="BX211" i="7"/>
  <c r="BW211" i="7"/>
  <c r="BV211" i="7"/>
  <c r="BU211" i="7"/>
  <c r="BT211" i="7"/>
  <c r="BS211" i="7"/>
  <c r="BR211" i="7"/>
  <c r="BQ211" i="7"/>
  <c r="BP211" i="7"/>
  <c r="BO211" i="7"/>
  <c r="BN211" i="7"/>
  <c r="BM211" i="7"/>
  <c r="BL211" i="7"/>
  <c r="BK211" i="7"/>
  <c r="BJ211" i="7"/>
  <c r="BI211" i="7"/>
  <c r="BH211" i="7"/>
  <c r="BG211" i="7"/>
  <c r="DD210" i="7"/>
  <c r="DC210" i="7"/>
  <c r="DB210" i="7"/>
  <c r="DA210" i="7"/>
  <c r="CZ210" i="7"/>
  <c r="CY210" i="7"/>
  <c r="CX210" i="7"/>
  <c r="CW210" i="7"/>
  <c r="CV210" i="7"/>
  <c r="CU210" i="7"/>
  <c r="CT210" i="7"/>
  <c r="CS210" i="7"/>
  <c r="CR210" i="7"/>
  <c r="CQ210" i="7"/>
  <c r="CP210" i="7"/>
  <c r="CO210" i="7"/>
  <c r="CN210" i="7"/>
  <c r="CM210" i="7"/>
  <c r="CL210" i="7"/>
  <c r="CK210" i="7"/>
  <c r="CJ210" i="7"/>
  <c r="CI210" i="7"/>
  <c r="CH210" i="7"/>
  <c r="CG210" i="7"/>
  <c r="CF210" i="7"/>
  <c r="CE210" i="7"/>
  <c r="CD210" i="7"/>
  <c r="CC210" i="7"/>
  <c r="CB210" i="7"/>
  <c r="CA210" i="7"/>
  <c r="BZ210" i="7"/>
  <c r="BY210" i="7"/>
  <c r="BX210" i="7"/>
  <c r="BW210" i="7"/>
  <c r="BV210" i="7"/>
  <c r="BU210" i="7"/>
  <c r="BT210" i="7"/>
  <c r="BS210" i="7"/>
  <c r="BR210" i="7"/>
  <c r="BQ210" i="7"/>
  <c r="BP210" i="7"/>
  <c r="BO210" i="7"/>
  <c r="BN210" i="7"/>
  <c r="BM210" i="7"/>
  <c r="BL210" i="7"/>
  <c r="BK210" i="7"/>
  <c r="BJ210" i="7"/>
  <c r="BI210" i="7"/>
  <c r="BH210" i="7"/>
  <c r="BG210" i="7"/>
  <c r="DD209" i="7"/>
  <c r="DC209" i="7"/>
  <c r="DB209" i="7"/>
  <c r="DA209" i="7"/>
  <c r="CZ209" i="7"/>
  <c r="CY209" i="7"/>
  <c r="CX209" i="7"/>
  <c r="CW209" i="7"/>
  <c r="CV209" i="7"/>
  <c r="CU209" i="7"/>
  <c r="CT209" i="7"/>
  <c r="CS209" i="7"/>
  <c r="CR209" i="7"/>
  <c r="CQ209" i="7"/>
  <c r="CP209" i="7"/>
  <c r="CO209" i="7"/>
  <c r="CN209" i="7"/>
  <c r="CM209" i="7"/>
  <c r="CL209" i="7"/>
  <c r="CK209" i="7"/>
  <c r="CJ209" i="7"/>
  <c r="CI209" i="7"/>
  <c r="CH209" i="7"/>
  <c r="CG209" i="7"/>
  <c r="CF209" i="7"/>
  <c r="CE209" i="7"/>
  <c r="CD209" i="7"/>
  <c r="CC209" i="7"/>
  <c r="CB209" i="7"/>
  <c r="CA209" i="7"/>
  <c r="BZ209" i="7"/>
  <c r="BY209" i="7"/>
  <c r="BX209" i="7"/>
  <c r="BW209" i="7"/>
  <c r="BV209" i="7"/>
  <c r="BU209" i="7"/>
  <c r="BT209" i="7"/>
  <c r="BS209" i="7"/>
  <c r="BR209" i="7"/>
  <c r="BQ209" i="7"/>
  <c r="BP209" i="7"/>
  <c r="BO209" i="7"/>
  <c r="BN209" i="7"/>
  <c r="BM209" i="7"/>
  <c r="BL209" i="7"/>
  <c r="BK209" i="7"/>
  <c r="BJ209" i="7"/>
  <c r="BI209" i="7"/>
  <c r="BH209" i="7"/>
  <c r="BG209" i="7"/>
  <c r="DD208" i="7"/>
  <c r="DC208" i="7"/>
  <c r="DB208" i="7"/>
  <c r="DA208" i="7"/>
  <c r="CZ208" i="7"/>
  <c r="CY208" i="7"/>
  <c r="CX208" i="7"/>
  <c r="CW208" i="7"/>
  <c r="CV208" i="7"/>
  <c r="CU208" i="7"/>
  <c r="CT208" i="7"/>
  <c r="CS208" i="7"/>
  <c r="CR208" i="7"/>
  <c r="CQ208" i="7"/>
  <c r="CP208" i="7"/>
  <c r="CO208" i="7"/>
  <c r="CN208" i="7"/>
  <c r="CM208" i="7"/>
  <c r="CL208" i="7"/>
  <c r="CK208" i="7"/>
  <c r="CJ208" i="7"/>
  <c r="CI208" i="7"/>
  <c r="CH208" i="7"/>
  <c r="CG208" i="7"/>
  <c r="CF208" i="7"/>
  <c r="CE208" i="7"/>
  <c r="CD208" i="7"/>
  <c r="CC208" i="7"/>
  <c r="CB208" i="7"/>
  <c r="CA208" i="7"/>
  <c r="BZ208" i="7"/>
  <c r="BY208" i="7"/>
  <c r="BX208" i="7"/>
  <c r="BW208" i="7"/>
  <c r="BV208" i="7"/>
  <c r="BU208" i="7"/>
  <c r="BT208" i="7"/>
  <c r="BS208" i="7"/>
  <c r="BR208" i="7"/>
  <c r="BQ208" i="7"/>
  <c r="BP208" i="7"/>
  <c r="BO208" i="7"/>
  <c r="BN208" i="7"/>
  <c r="BM208" i="7"/>
  <c r="BL208" i="7"/>
  <c r="BK208" i="7"/>
  <c r="BJ208" i="7"/>
  <c r="BI208" i="7"/>
  <c r="BH208" i="7"/>
  <c r="BG208" i="7"/>
  <c r="DD207" i="7"/>
  <c r="DC207" i="7"/>
  <c r="DB207" i="7"/>
  <c r="DA207" i="7"/>
  <c r="CZ207" i="7"/>
  <c r="CY207" i="7"/>
  <c r="CX207" i="7"/>
  <c r="CW207" i="7"/>
  <c r="CV207" i="7"/>
  <c r="CU207" i="7"/>
  <c r="CT207" i="7"/>
  <c r="CS207" i="7"/>
  <c r="CR207" i="7"/>
  <c r="CQ207" i="7"/>
  <c r="CP207" i="7"/>
  <c r="CO207" i="7"/>
  <c r="CN207" i="7"/>
  <c r="CM207" i="7"/>
  <c r="CL207" i="7"/>
  <c r="CK207" i="7"/>
  <c r="CJ207" i="7"/>
  <c r="CI207" i="7"/>
  <c r="CH207" i="7"/>
  <c r="CG207" i="7"/>
  <c r="CF207" i="7"/>
  <c r="CE207" i="7"/>
  <c r="CD207" i="7"/>
  <c r="CC207" i="7"/>
  <c r="CB207" i="7"/>
  <c r="CA207" i="7"/>
  <c r="BZ207" i="7"/>
  <c r="BY207" i="7"/>
  <c r="BX207" i="7"/>
  <c r="BW207" i="7"/>
  <c r="BV207" i="7"/>
  <c r="BU207" i="7"/>
  <c r="BT207" i="7"/>
  <c r="BS207" i="7"/>
  <c r="BR207" i="7"/>
  <c r="BQ207" i="7"/>
  <c r="BP207" i="7"/>
  <c r="BO207" i="7"/>
  <c r="BN207" i="7"/>
  <c r="BM207" i="7"/>
  <c r="BK207" i="7"/>
  <c r="BI207" i="7"/>
  <c r="BG207" i="7"/>
  <c r="BL207" i="7"/>
  <c r="DD206" i="7"/>
  <c r="DC206" i="7"/>
  <c r="DB206" i="7"/>
  <c r="DA206" i="7"/>
  <c r="CZ206" i="7"/>
  <c r="CY206" i="7"/>
  <c r="CX206" i="7"/>
  <c r="CW206" i="7"/>
  <c r="CV206" i="7"/>
  <c r="CU206" i="7"/>
  <c r="CT206" i="7"/>
  <c r="CS206" i="7"/>
  <c r="CR206" i="7"/>
  <c r="CQ206" i="7"/>
  <c r="CP206" i="7"/>
  <c r="CO206" i="7"/>
  <c r="CN206" i="7"/>
  <c r="CM206" i="7"/>
  <c r="CL206" i="7"/>
  <c r="CK206" i="7"/>
  <c r="CJ206" i="7"/>
  <c r="CI206" i="7"/>
  <c r="CH206" i="7"/>
  <c r="CG206" i="7"/>
  <c r="CF206" i="7"/>
  <c r="CE206" i="7"/>
  <c r="CD206" i="7"/>
  <c r="CC206" i="7"/>
  <c r="CB206" i="7"/>
  <c r="CA206" i="7"/>
  <c r="BZ206" i="7"/>
  <c r="BY206" i="7"/>
  <c r="BX206" i="7"/>
  <c r="BW206" i="7"/>
  <c r="BV206" i="7"/>
  <c r="BU206" i="7"/>
  <c r="BT206" i="7"/>
  <c r="BS206" i="7"/>
  <c r="BR206" i="7"/>
  <c r="BQ206" i="7"/>
  <c r="BP206" i="7"/>
  <c r="BO206" i="7"/>
  <c r="BN206" i="7"/>
  <c r="BM206" i="7"/>
  <c r="BL206" i="7"/>
  <c r="BK206" i="7"/>
  <c r="BJ206" i="7"/>
  <c r="BI206" i="7"/>
  <c r="BH206" i="7"/>
  <c r="BG206" i="7"/>
  <c r="DD205" i="7"/>
  <c r="DC205" i="7"/>
  <c r="DB205" i="7"/>
  <c r="DA205" i="7"/>
  <c r="CZ205" i="7"/>
  <c r="CY205" i="7"/>
  <c r="CX205" i="7"/>
  <c r="CW205" i="7"/>
  <c r="CV205" i="7"/>
  <c r="CU205" i="7"/>
  <c r="CT205" i="7"/>
  <c r="CS205" i="7"/>
  <c r="CR205" i="7"/>
  <c r="CQ205" i="7"/>
  <c r="CP205" i="7"/>
  <c r="CO205" i="7"/>
  <c r="CN205" i="7"/>
  <c r="CM205" i="7"/>
  <c r="CL205" i="7"/>
  <c r="CK205" i="7"/>
  <c r="CJ205" i="7"/>
  <c r="CI205" i="7"/>
  <c r="CH205" i="7"/>
  <c r="CG205" i="7"/>
  <c r="CF205" i="7"/>
  <c r="CE205" i="7"/>
  <c r="CD205" i="7"/>
  <c r="CC205" i="7"/>
  <c r="CB205" i="7"/>
  <c r="CA205" i="7"/>
  <c r="BZ205" i="7"/>
  <c r="BY205" i="7"/>
  <c r="BX205" i="7"/>
  <c r="BW205" i="7"/>
  <c r="BV205" i="7"/>
  <c r="BU205" i="7"/>
  <c r="BR205" i="7"/>
  <c r="BQ205" i="7"/>
  <c r="BP205" i="7"/>
  <c r="BO205" i="7"/>
  <c r="BN205" i="7"/>
  <c r="BM205" i="7"/>
  <c r="BL205" i="7"/>
  <c r="BK205" i="7"/>
  <c r="BJ205" i="7"/>
  <c r="BI205" i="7"/>
  <c r="BH205" i="7"/>
  <c r="BG205" i="7"/>
  <c r="DD204" i="7"/>
  <c r="DC204" i="7"/>
  <c r="DB204" i="7"/>
  <c r="DA204" i="7"/>
  <c r="CZ204" i="7"/>
  <c r="CY204" i="7"/>
  <c r="CX204" i="7"/>
  <c r="CW204" i="7"/>
  <c r="CV204" i="7"/>
  <c r="CU204" i="7"/>
  <c r="CT204" i="7"/>
  <c r="CS204" i="7"/>
  <c r="CR204" i="7"/>
  <c r="CQ204" i="7"/>
  <c r="CP204" i="7"/>
  <c r="CO204" i="7"/>
  <c r="CN204" i="7"/>
  <c r="CM204" i="7"/>
  <c r="CL204" i="7"/>
  <c r="CK204" i="7"/>
  <c r="CJ204" i="7"/>
  <c r="CI204" i="7"/>
  <c r="CH204" i="7"/>
  <c r="CG204" i="7"/>
  <c r="CF204" i="7"/>
  <c r="CE204" i="7"/>
  <c r="CD204" i="7"/>
  <c r="CC204" i="7"/>
  <c r="CB204" i="7"/>
  <c r="CA204" i="7"/>
  <c r="BZ204" i="7"/>
  <c r="BY204" i="7"/>
  <c r="BX204" i="7"/>
  <c r="BW204" i="7"/>
  <c r="BV204" i="7"/>
  <c r="BU204" i="7"/>
  <c r="BT204" i="7"/>
  <c r="BS204" i="7"/>
  <c r="BR204" i="7"/>
  <c r="BQ204" i="7"/>
  <c r="BO204" i="7"/>
  <c r="BN204" i="7"/>
  <c r="BM204" i="7"/>
  <c r="BL204" i="7"/>
  <c r="BK204" i="7"/>
  <c r="BJ204" i="7"/>
  <c r="BI204" i="7"/>
  <c r="BH204" i="7"/>
  <c r="BG204" i="7"/>
  <c r="BP204" i="7"/>
  <c r="DD203" i="7"/>
  <c r="DC203" i="7"/>
  <c r="DB203" i="7"/>
  <c r="DA203" i="7"/>
  <c r="CZ203" i="7"/>
  <c r="CY203" i="7"/>
  <c r="CX203" i="7"/>
  <c r="CW203" i="7"/>
  <c r="CV203" i="7"/>
  <c r="CU203" i="7"/>
  <c r="CT203" i="7"/>
  <c r="CS203" i="7"/>
  <c r="CR203" i="7"/>
  <c r="CQ203" i="7"/>
  <c r="CP203" i="7"/>
  <c r="CO203" i="7"/>
  <c r="CN203" i="7"/>
  <c r="CM203" i="7"/>
  <c r="CL203" i="7"/>
  <c r="CK203" i="7"/>
  <c r="CJ203" i="7"/>
  <c r="CI203" i="7"/>
  <c r="CH203" i="7"/>
  <c r="CG203" i="7"/>
  <c r="CF203" i="7"/>
  <c r="CE203" i="7"/>
  <c r="CD203" i="7"/>
  <c r="CC203" i="7"/>
  <c r="CB203" i="7"/>
  <c r="CA203" i="7"/>
  <c r="BZ203" i="7"/>
  <c r="BY203" i="7"/>
  <c r="BX203" i="7"/>
  <c r="BW203" i="7"/>
  <c r="BV203" i="7"/>
  <c r="BU203" i="7"/>
  <c r="BT203" i="7"/>
  <c r="BS203" i="7"/>
  <c r="BR203" i="7"/>
  <c r="BQ203" i="7"/>
  <c r="BP203" i="7"/>
  <c r="BO203" i="7"/>
  <c r="BN203" i="7"/>
  <c r="BM203" i="7"/>
  <c r="BL203" i="7"/>
  <c r="BK203" i="7"/>
  <c r="BJ203" i="7"/>
  <c r="BI203" i="7"/>
  <c r="BH203" i="7"/>
  <c r="BG203" i="7"/>
  <c r="DD202" i="7"/>
  <c r="DC202" i="7"/>
  <c r="DB202" i="7"/>
  <c r="DA202" i="7"/>
  <c r="CZ202" i="7"/>
  <c r="CY202" i="7"/>
  <c r="CX202" i="7"/>
  <c r="CW202" i="7"/>
  <c r="CV202" i="7"/>
  <c r="CU202" i="7"/>
  <c r="CT202" i="7"/>
  <c r="CS202" i="7"/>
  <c r="CR202" i="7"/>
  <c r="CQ202" i="7"/>
  <c r="CP202" i="7"/>
  <c r="CO202" i="7"/>
  <c r="CN202" i="7"/>
  <c r="CM202" i="7"/>
  <c r="CL202" i="7"/>
  <c r="CK202" i="7"/>
  <c r="CJ202" i="7"/>
  <c r="CI202" i="7"/>
  <c r="CH202" i="7"/>
  <c r="CG202" i="7"/>
  <c r="CF202" i="7"/>
  <c r="CE202" i="7"/>
  <c r="CD202" i="7"/>
  <c r="CC202" i="7"/>
  <c r="CB202" i="7"/>
  <c r="CA202" i="7"/>
  <c r="BZ202" i="7"/>
  <c r="BY202" i="7"/>
  <c r="BX202" i="7"/>
  <c r="BW202" i="7"/>
  <c r="BV202" i="7"/>
  <c r="BU202" i="7"/>
  <c r="BT202" i="7"/>
  <c r="BS202" i="7"/>
  <c r="BR202" i="7"/>
  <c r="BQ202" i="7"/>
  <c r="BP202" i="7"/>
  <c r="BO202" i="7"/>
  <c r="BN202" i="7"/>
  <c r="BM202" i="7"/>
  <c r="BL202" i="7"/>
  <c r="BK202" i="7"/>
  <c r="BJ202" i="7"/>
  <c r="BI202" i="7"/>
  <c r="BH202" i="7"/>
  <c r="BG202" i="7"/>
  <c r="DD201" i="7"/>
  <c r="DC201" i="7"/>
  <c r="DB201" i="7"/>
  <c r="DA201" i="7"/>
  <c r="CZ201" i="7"/>
  <c r="CY201" i="7"/>
  <c r="CX201" i="7"/>
  <c r="CW201" i="7"/>
  <c r="CV201" i="7"/>
  <c r="CU201" i="7"/>
  <c r="CT201" i="7"/>
  <c r="CS201" i="7"/>
  <c r="CR201" i="7"/>
  <c r="CQ201" i="7"/>
  <c r="CP201" i="7"/>
  <c r="CO201" i="7"/>
  <c r="CN201" i="7"/>
  <c r="CM201" i="7"/>
  <c r="CL201" i="7"/>
  <c r="CK201" i="7"/>
  <c r="CJ201" i="7"/>
  <c r="CI201" i="7"/>
  <c r="CH201" i="7"/>
  <c r="CG201" i="7"/>
  <c r="CF201" i="7"/>
  <c r="CE201" i="7"/>
  <c r="CD201" i="7"/>
  <c r="CC201" i="7"/>
  <c r="CB201" i="7"/>
  <c r="CA201" i="7"/>
  <c r="BZ201" i="7"/>
  <c r="BY201" i="7"/>
  <c r="BX201" i="7"/>
  <c r="BW201" i="7"/>
  <c r="BV201" i="7"/>
  <c r="BU201" i="7"/>
  <c r="BT201" i="7"/>
  <c r="BS201" i="7"/>
  <c r="BR201" i="7"/>
  <c r="BQ201" i="7"/>
  <c r="BP201" i="7"/>
  <c r="BO201" i="7"/>
  <c r="BN201" i="7"/>
  <c r="BM201" i="7"/>
  <c r="BL201" i="7"/>
  <c r="BK201" i="7"/>
  <c r="BJ201" i="7"/>
  <c r="BI201" i="7"/>
  <c r="BH201" i="7"/>
  <c r="BG201" i="7"/>
  <c r="DD200" i="7"/>
  <c r="DC200" i="7"/>
  <c r="DB200" i="7"/>
  <c r="DA200" i="7"/>
  <c r="CZ200" i="7"/>
  <c r="CY200" i="7"/>
  <c r="CX200" i="7"/>
  <c r="CW200" i="7"/>
  <c r="CV200" i="7"/>
  <c r="CU200" i="7"/>
  <c r="CT200" i="7"/>
  <c r="CS200" i="7"/>
  <c r="CR200" i="7"/>
  <c r="CQ200" i="7"/>
  <c r="CP200" i="7"/>
  <c r="CO200" i="7"/>
  <c r="CN200" i="7"/>
  <c r="CM200" i="7"/>
  <c r="CL200" i="7"/>
  <c r="CK200" i="7"/>
  <c r="CJ200" i="7"/>
  <c r="CI200" i="7"/>
  <c r="CH200" i="7"/>
  <c r="CG200" i="7"/>
  <c r="CF200" i="7"/>
  <c r="CE200" i="7"/>
  <c r="CD200" i="7"/>
  <c r="CC200" i="7"/>
  <c r="CB200" i="7"/>
  <c r="CA200" i="7"/>
  <c r="BZ200" i="7"/>
  <c r="BY200" i="7"/>
  <c r="BX200" i="7"/>
  <c r="BW200" i="7"/>
  <c r="BV200" i="7"/>
  <c r="BU200" i="7"/>
  <c r="BT200" i="7"/>
  <c r="BS200" i="7"/>
  <c r="BR200" i="7"/>
  <c r="BQ200" i="7"/>
  <c r="BP200" i="7"/>
  <c r="BO200" i="7"/>
  <c r="BN200" i="7"/>
  <c r="BM200" i="7"/>
  <c r="BL200" i="7"/>
  <c r="BK200" i="7"/>
  <c r="BJ200" i="7"/>
  <c r="BI200" i="7"/>
  <c r="BH200" i="7"/>
  <c r="BG200" i="7"/>
  <c r="DD199" i="7"/>
  <c r="DC199" i="7"/>
  <c r="DB199" i="7"/>
  <c r="DA199" i="7"/>
  <c r="CZ199" i="7"/>
  <c r="CY199" i="7"/>
  <c r="CX199" i="7"/>
  <c r="CW199" i="7"/>
  <c r="CV199" i="7"/>
  <c r="CU199" i="7"/>
  <c r="CT199" i="7"/>
  <c r="CS199" i="7"/>
  <c r="CR199" i="7"/>
  <c r="CQ199" i="7"/>
  <c r="CP199" i="7"/>
  <c r="CO199" i="7"/>
  <c r="CN199" i="7"/>
  <c r="CM199" i="7"/>
  <c r="CL199" i="7"/>
  <c r="CK199" i="7"/>
  <c r="CJ199" i="7"/>
  <c r="CI199" i="7"/>
  <c r="CH199" i="7"/>
  <c r="CG199" i="7"/>
  <c r="CF199" i="7"/>
  <c r="CE199" i="7"/>
  <c r="CD199" i="7"/>
  <c r="CC199" i="7"/>
  <c r="CB199" i="7"/>
  <c r="CA199" i="7"/>
  <c r="BZ199" i="7"/>
  <c r="BY199" i="7"/>
  <c r="BX199" i="7"/>
  <c r="BW199" i="7"/>
  <c r="BV199" i="7"/>
  <c r="BU199" i="7"/>
  <c r="BT199" i="7"/>
  <c r="BS199" i="7"/>
  <c r="BR199" i="7"/>
  <c r="BQ199" i="7"/>
  <c r="BP199" i="7"/>
  <c r="BO199" i="7"/>
  <c r="BN199" i="7"/>
  <c r="BM199" i="7"/>
  <c r="BL199" i="7"/>
  <c r="BK199" i="7"/>
  <c r="BJ199" i="7"/>
  <c r="BI199" i="7"/>
  <c r="BH199" i="7"/>
  <c r="BG199" i="7"/>
  <c r="DD198" i="7"/>
  <c r="DC198" i="7"/>
  <c r="DB198" i="7"/>
  <c r="DA198" i="7"/>
  <c r="CZ198" i="7"/>
  <c r="CY198" i="7"/>
  <c r="CX198" i="7"/>
  <c r="CW198" i="7"/>
  <c r="CV198" i="7"/>
  <c r="CU198" i="7"/>
  <c r="CT198" i="7"/>
  <c r="CS198" i="7"/>
  <c r="CR198" i="7"/>
  <c r="CQ198" i="7"/>
  <c r="CP198" i="7"/>
  <c r="CO198" i="7"/>
  <c r="CN198" i="7"/>
  <c r="CM198" i="7"/>
  <c r="CL198" i="7"/>
  <c r="CK198" i="7"/>
  <c r="CJ198" i="7"/>
  <c r="CI198" i="7"/>
  <c r="CH198" i="7"/>
  <c r="CG198" i="7"/>
  <c r="CF198" i="7"/>
  <c r="CE198" i="7"/>
  <c r="CD198" i="7"/>
  <c r="CC198" i="7"/>
  <c r="CB198" i="7"/>
  <c r="CA198" i="7"/>
  <c r="BZ198" i="7"/>
  <c r="BY198" i="7"/>
  <c r="BX198" i="7"/>
  <c r="BW198" i="7"/>
  <c r="BV198" i="7"/>
  <c r="BU198" i="7"/>
  <c r="BT198" i="7"/>
  <c r="BS198" i="7"/>
  <c r="BR198" i="7"/>
  <c r="BQ198" i="7"/>
  <c r="BP198" i="7"/>
  <c r="BO198" i="7"/>
  <c r="BN198" i="7"/>
  <c r="BM198" i="7"/>
  <c r="BL198" i="7"/>
  <c r="BK198" i="7"/>
  <c r="BJ198" i="7"/>
  <c r="BI198" i="7"/>
  <c r="BH198" i="7"/>
  <c r="BG198" i="7"/>
  <c r="DD197" i="7"/>
  <c r="DC197" i="7"/>
  <c r="DB197" i="7"/>
  <c r="DA197" i="7"/>
  <c r="CZ197" i="7"/>
  <c r="CY197" i="7"/>
  <c r="CX197" i="7"/>
  <c r="CW197" i="7"/>
  <c r="CV197" i="7"/>
  <c r="CU197" i="7"/>
  <c r="CT197" i="7"/>
  <c r="CS197" i="7"/>
  <c r="CR197" i="7"/>
  <c r="CQ197" i="7"/>
  <c r="CP197" i="7"/>
  <c r="CO197" i="7"/>
  <c r="CN197" i="7"/>
  <c r="CM197" i="7"/>
  <c r="CL197" i="7"/>
  <c r="CK197" i="7"/>
  <c r="CJ197" i="7"/>
  <c r="CI197" i="7"/>
  <c r="CH197" i="7"/>
  <c r="CG197" i="7"/>
  <c r="CF197" i="7"/>
  <c r="CE197" i="7"/>
  <c r="CD197" i="7"/>
  <c r="CC197" i="7"/>
  <c r="CB197" i="7"/>
  <c r="CA197" i="7"/>
  <c r="BZ197" i="7"/>
  <c r="BY197" i="7"/>
  <c r="BX197" i="7"/>
  <c r="BW197" i="7"/>
  <c r="BV197" i="7"/>
  <c r="BU197" i="7"/>
  <c r="BT197" i="7"/>
  <c r="BS197" i="7"/>
  <c r="BR197" i="7"/>
  <c r="BQ197" i="7"/>
  <c r="BP197" i="7"/>
  <c r="BO197" i="7"/>
  <c r="BN197" i="7"/>
  <c r="BM197" i="7"/>
  <c r="BL197" i="7"/>
  <c r="BK197" i="7"/>
  <c r="BJ197" i="7"/>
  <c r="BI197" i="7"/>
  <c r="BH197" i="7"/>
  <c r="BG197" i="7"/>
  <c r="DD196" i="7"/>
  <c r="DC196" i="7"/>
  <c r="DB196" i="7"/>
  <c r="DA196" i="7"/>
  <c r="CZ196" i="7"/>
  <c r="CY196" i="7"/>
  <c r="CX196" i="7"/>
  <c r="CW196" i="7"/>
  <c r="CV196" i="7"/>
  <c r="CU196" i="7"/>
  <c r="CT196" i="7"/>
  <c r="CS196" i="7"/>
  <c r="CR196" i="7"/>
  <c r="CQ196" i="7"/>
  <c r="CP196" i="7"/>
  <c r="CO196" i="7"/>
  <c r="CN196" i="7"/>
  <c r="CM196" i="7"/>
  <c r="CL196" i="7"/>
  <c r="CK196" i="7"/>
  <c r="CJ196" i="7"/>
  <c r="CI196" i="7"/>
  <c r="CH196" i="7"/>
  <c r="CG196" i="7"/>
  <c r="CF196" i="7"/>
  <c r="CE196" i="7"/>
  <c r="CD196" i="7"/>
  <c r="CC196" i="7"/>
  <c r="CB196" i="7"/>
  <c r="CA196" i="7"/>
  <c r="BZ196" i="7"/>
  <c r="BY196" i="7"/>
  <c r="BX196" i="7"/>
  <c r="BW196" i="7"/>
  <c r="BV196" i="7"/>
  <c r="BU196" i="7"/>
  <c r="BT196" i="7"/>
  <c r="BS196" i="7"/>
  <c r="BR196" i="7"/>
  <c r="BQ196" i="7"/>
  <c r="BP196" i="7"/>
  <c r="BO196" i="7"/>
  <c r="BN196" i="7"/>
  <c r="BM196" i="7"/>
  <c r="BL196" i="7"/>
  <c r="BK196" i="7"/>
  <c r="BJ196" i="7"/>
  <c r="BI196" i="7"/>
  <c r="BH196" i="7"/>
  <c r="BG196" i="7"/>
  <c r="DD195" i="7"/>
  <c r="DC195" i="7"/>
  <c r="DB195" i="7"/>
  <c r="DA195" i="7"/>
  <c r="CZ195" i="7"/>
  <c r="CY195" i="7"/>
  <c r="CX195" i="7"/>
  <c r="CW195" i="7"/>
  <c r="CV195" i="7"/>
  <c r="CU195" i="7"/>
  <c r="CT195" i="7"/>
  <c r="CS195" i="7"/>
  <c r="CR195" i="7"/>
  <c r="CQ195" i="7"/>
  <c r="CP195" i="7"/>
  <c r="CO195" i="7"/>
  <c r="CN195" i="7"/>
  <c r="CM195" i="7"/>
  <c r="CL195" i="7"/>
  <c r="CK195" i="7"/>
  <c r="CJ195" i="7"/>
  <c r="CI195" i="7"/>
  <c r="CH195" i="7"/>
  <c r="CG195" i="7"/>
  <c r="CF195" i="7"/>
  <c r="CE195" i="7"/>
  <c r="CD195" i="7"/>
  <c r="CC195" i="7"/>
  <c r="CB195" i="7"/>
  <c r="CA195" i="7"/>
  <c r="BZ195" i="7"/>
  <c r="BY195" i="7"/>
  <c r="BX195" i="7"/>
  <c r="BW195" i="7"/>
  <c r="BV195" i="7"/>
  <c r="BU195" i="7"/>
  <c r="BT195" i="7"/>
  <c r="BS195" i="7"/>
  <c r="BR195" i="7"/>
  <c r="BQ195" i="7"/>
  <c r="BP195" i="7"/>
  <c r="BO195" i="7"/>
  <c r="BN195" i="7"/>
  <c r="BM195" i="7"/>
  <c r="BL195" i="7"/>
  <c r="BK195" i="7"/>
  <c r="BJ195" i="7"/>
  <c r="BI195" i="7"/>
  <c r="BH195" i="7"/>
  <c r="BG195" i="7"/>
  <c r="DD194" i="7"/>
  <c r="DC194" i="7"/>
  <c r="DB194" i="7"/>
  <c r="DA194" i="7"/>
  <c r="CZ194" i="7"/>
  <c r="CY194" i="7"/>
  <c r="CX194" i="7"/>
  <c r="CW194" i="7"/>
  <c r="CV194" i="7"/>
  <c r="CU194" i="7"/>
  <c r="CT194" i="7"/>
  <c r="CS194" i="7"/>
  <c r="CR194" i="7"/>
  <c r="CQ194" i="7"/>
  <c r="CP194" i="7"/>
  <c r="CO194" i="7"/>
  <c r="CN194" i="7"/>
  <c r="CM194" i="7"/>
  <c r="CL194" i="7"/>
  <c r="CK194" i="7"/>
  <c r="CJ194" i="7"/>
  <c r="CI194" i="7"/>
  <c r="CH194" i="7"/>
  <c r="CG194" i="7"/>
  <c r="CF194" i="7"/>
  <c r="CE194" i="7"/>
  <c r="CD194" i="7"/>
  <c r="CC194" i="7"/>
  <c r="CB194" i="7"/>
  <c r="CA194" i="7"/>
  <c r="BZ194" i="7"/>
  <c r="BY194" i="7"/>
  <c r="BX194" i="7"/>
  <c r="BW194" i="7"/>
  <c r="BV194" i="7"/>
  <c r="BU194" i="7"/>
  <c r="BT194" i="7"/>
  <c r="BS194" i="7"/>
  <c r="BR194" i="7"/>
  <c r="BQ194" i="7"/>
  <c r="BP194" i="7"/>
  <c r="BO194" i="7"/>
  <c r="BN194" i="7"/>
  <c r="BM194" i="7"/>
  <c r="BL194" i="7"/>
  <c r="BK194" i="7"/>
  <c r="BJ194" i="7"/>
  <c r="BI194" i="7"/>
  <c r="BH194" i="7"/>
  <c r="BG194" i="7"/>
  <c r="DD193" i="7"/>
  <c r="DC193" i="7"/>
  <c r="DB193" i="7"/>
  <c r="DA193" i="7"/>
  <c r="CZ193" i="7"/>
  <c r="CY193" i="7"/>
  <c r="CX193" i="7"/>
  <c r="CW193" i="7"/>
  <c r="CV193" i="7"/>
  <c r="CU193" i="7"/>
  <c r="CT193" i="7"/>
  <c r="CS193" i="7"/>
  <c r="CR193" i="7"/>
  <c r="CQ193" i="7"/>
  <c r="CP193" i="7"/>
  <c r="CO193" i="7"/>
  <c r="CN193" i="7"/>
  <c r="CM193" i="7"/>
  <c r="CL193" i="7"/>
  <c r="CK193" i="7"/>
  <c r="CJ193" i="7"/>
  <c r="CI193" i="7"/>
  <c r="CH193" i="7"/>
  <c r="CG193" i="7"/>
  <c r="CF193" i="7"/>
  <c r="CE193" i="7"/>
  <c r="CD193" i="7"/>
  <c r="CC193" i="7"/>
  <c r="CB193" i="7"/>
  <c r="CA193" i="7"/>
  <c r="BZ193" i="7"/>
  <c r="BY193" i="7"/>
  <c r="BX193" i="7"/>
  <c r="BW193" i="7"/>
  <c r="BV193" i="7"/>
  <c r="BU193" i="7"/>
  <c r="BT193" i="7"/>
  <c r="BS193" i="7"/>
  <c r="BR193" i="7"/>
  <c r="BQ193" i="7"/>
  <c r="BP193" i="7"/>
  <c r="BO193" i="7"/>
  <c r="BN193" i="7"/>
  <c r="BM193" i="7"/>
  <c r="BL193" i="7"/>
  <c r="BK193" i="7"/>
  <c r="BJ193" i="7"/>
  <c r="BI193" i="7"/>
  <c r="BH193" i="7"/>
  <c r="BG193" i="7"/>
  <c r="DD192" i="7"/>
  <c r="DC192" i="7"/>
  <c r="DB192" i="7"/>
  <c r="DA192" i="7"/>
  <c r="CZ192" i="7"/>
  <c r="CY192" i="7"/>
  <c r="CX192" i="7"/>
  <c r="CW192" i="7"/>
  <c r="CV192" i="7"/>
  <c r="CU192" i="7"/>
  <c r="CT192" i="7"/>
  <c r="CS192" i="7"/>
  <c r="CR192" i="7"/>
  <c r="CQ192" i="7"/>
  <c r="CP192" i="7"/>
  <c r="CO192" i="7"/>
  <c r="CN192" i="7"/>
  <c r="CM192" i="7"/>
  <c r="CL192" i="7"/>
  <c r="CK192" i="7"/>
  <c r="CJ192" i="7"/>
  <c r="CI192" i="7"/>
  <c r="CH192" i="7"/>
  <c r="CG192" i="7"/>
  <c r="CF192" i="7"/>
  <c r="CE192" i="7"/>
  <c r="CD192" i="7"/>
  <c r="CC192" i="7"/>
  <c r="CB192" i="7"/>
  <c r="CA192" i="7"/>
  <c r="BZ192" i="7"/>
  <c r="BY192" i="7"/>
  <c r="BX192" i="7"/>
  <c r="BW192" i="7"/>
  <c r="BV192" i="7"/>
  <c r="BU192" i="7"/>
  <c r="BT192" i="7"/>
  <c r="BS192" i="7"/>
  <c r="BR192" i="7"/>
  <c r="BQ192" i="7"/>
  <c r="BP192" i="7"/>
  <c r="BO192" i="7"/>
  <c r="BN192" i="7"/>
  <c r="BM192" i="7"/>
  <c r="BL192" i="7"/>
  <c r="BK192" i="7"/>
  <c r="BJ192" i="7"/>
  <c r="BI192" i="7"/>
  <c r="BH192" i="7"/>
  <c r="BG192" i="7"/>
  <c r="DD191" i="7"/>
  <c r="DC191" i="7"/>
  <c r="DB191" i="7"/>
  <c r="DA191" i="7"/>
  <c r="CZ191" i="7"/>
  <c r="CY191" i="7"/>
  <c r="CX191" i="7"/>
  <c r="CW191" i="7"/>
  <c r="CV191" i="7"/>
  <c r="CU191" i="7"/>
  <c r="CT191" i="7"/>
  <c r="CS191" i="7"/>
  <c r="CR191" i="7"/>
  <c r="CQ191" i="7"/>
  <c r="CP191" i="7"/>
  <c r="CO191" i="7"/>
  <c r="CN191" i="7"/>
  <c r="CM191" i="7"/>
  <c r="CL191" i="7"/>
  <c r="CK191" i="7"/>
  <c r="CJ191" i="7"/>
  <c r="CI191" i="7"/>
  <c r="CH191" i="7"/>
  <c r="CG191" i="7"/>
  <c r="CF191" i="7"/>
  <c r="CE191" i="7"/>
  <c r="CD191" i="7"/>
  <c r="CC191" i="7"/>
  <c r="CB191" i="7"/>
  <c r="CA191" i="7"/>
  <c r="BZ191" i="7"/>
  <c r="BY191" i="7"/>
  <c r="BX191" i="7"/>
  <c r="BW191" i="7"/>
  <c r="BV191" i="7"/>
  <c r="BU191" i="7"/>
  <c r="BT191" i="7"/>
  <c r="BS191" i="7"/>
  <c r="BR191" i="7"/>
  <c r="BQ191" i="7"/>
  <c r="BP191" i="7"/>
  <c r="BO191" i="7"/>
  <c r="BN191" i="7"/>
  <c r="BM191" i="7"/>
  <c r="BL191" i="7"/>
  <c r="BK191" i="7"/>
  <c r="BJ191" i="7"/>
  <c r="BI191" i="7"/>
  <c r="BH191" i="7"/>
  <c r="BG191" i="7"/>
  <c r="DD190" i="7"/>
  <c r="DC190" i="7"/>
  <c r="DB190" i="7"/>
  <c r="DA190" i="7"/>
  <c r="CZ190" i="7"/>
  <c r="CY190" i="7"/>
  <c r="CX190" i="7"/>
  <c r="CW190" i="7"/>
  <c r="CV190" i="7"/>
  <c r="CU190" i="7"/>
  <c r="CT190" i="7"/>
  <c r="CS190" i="7"/>
  <c r="CR190" i="7"/>
  <c r="CQ190" i="7"/>
  <c r="CP190" i="7"/>
  <c r="CO190" i="7"/>
  <c r="CN190" i="7"/>
  <c r="CM190" i="7"/>
  <c r="CL190" i="7"/>
  <c r="CK190" i="7"/>
  <c r="CJ190" i="7"/>
  <c r="CI190" i="7"/>
  <c r="CH190" i="7"/>
  <c r="CG190" i="7"/>
  <c r="CF190" i="7"/>
  <c r="CE190" i="7"/>
  <c r="CD190" i="7"/>
  <c r="CC190" i="7"/>
  <c r="CB190" i="7"/>
  <c r="CA190" i="7"/>
  <c r="BZ190" i="7"/>
  <c r="BY190" i="7"/>
  <c r="BX190" i="7"/>
  <c r="BW190" i="7"/>
  <c r="BV190" i="7"/>
  <c r="BU190" i="7"/>
  <c r="BT190" i="7"/>
  <c r="BS190" i="7"/>
  <c r="BR190" i="7"/>
  <c r="BQ190" i="7"/>
  <c r="BP190" i="7"/>
  <c r="BO190" i="7"/>
  <c r="BN190" i="7"/>
  <c r="BM190" i="7"/>
  <c r="BL190" i="7"/>
  <c r="BK190" i="7"/>
  <c r="BJ190" i="7"/>
  <c r="BI190" i="7"/>
  <c r="BH190" i="7"/>
  <c r="BG190" i="7"/>
  <c r="DD189" i="7"/>
  <c r="DC189" i="7"/>
  <c r="DB189" i="7"/>
  <c r="DA189" i="7"/>
  <c r="CZ189" i="7"/>
  <c r="CY189" i="7"/>
  <c r="CX189" i="7"/>
  <c r="CW189" i="7"/>
  <c r="CV189" i="7"/>
  <c r="CU189" i="7"/>
  <c r="CT189" i="7"/>
  <c r="CS189" i="7"/>
  <c r="CR189" i="7"/>
  <c r="CQ189" i="7"/>
  <c r="CP189" i="7"/>
  <c r="CO189" i="7"/>
  <c r="CN189" i="7"/>
  <c r="CM189" i="7"/>
  <c r="CL189" i="7"/>
  <c r="CK189" i="7"/>
  <c r="CJ189" i="7"/>
  <c r="CI189" i="7"/>
  <c r="CH189" i="7"/>
  <c r="CG189" i="7"/>
  <c r="CF189" i="7"/>
  <c r="CE189" i="7"/>
  <c r="CD189" i="7"/>
  <c r="CC189" i="7"/>
  <c r="CB189" i="7"/>
  <c r="CA189" i="7"/>
  <c r="BZ189" i="7"/>
  <c r="BY189" i="7"/>
  <c r="BX189" i="7"/>
  <c r="BW189" i="7"/>
  <c r="BV189" i="7"/>
  <c r="BU189" i="7"/>
  <c r="BT189" i="7"/>
  <c r="BS189" i="7"/>
  <c r="BR189" i="7"/>
  <c r="BQ189" i="7"/>
  <c r="BP189" i="7"/>
  <c r="BO189" i="7"/>
  <c r="BN189" i="7"/>
  <c r="BM189" i="7"/>
  <c r="BL189" i="7"/>
  <c r="BK189" i="7"/>
  <c r="BJ189" i="7"/>
  <c r="BI189" i="7"/>
  <c r="BH189" i="7"/>
  <c r="BG189" i="7"/>
  <c r="DD187" i="7"/>
  <c r="DC187" i="7"/>
  <c r="DB187" i="7"/>
  <c r="DA187" i="7"/>
  <c r="CZ187" i="7"/>
  <c r="CY187" i="7"/>
  <c r="CX187" i="7"/>
  <c r="CW187" i="7"/>
  <c r="CV187" i="7"/>
  <c r="CU187" i="7"/>
  <c r="CT187" i="7"/>
  <c r="CS187" i="7"/>
  <c r="CR187" i="7"/>
  <c r="CQ187" i="7"/>
  <c r="CP187" i="7"/>
  <c r="CO187" i="7"/>
  <c r="CN187" i="7"/>
  <c r="CM187" i="7"/>
  <c r="CL187" i="7"/>
  <c r="CK187" i="7"/>
  <c r="CJ187" i="7"/>
  <c r="CI187" i="7"/>
  <c r="CH187" i="7"/>
  <c r="CG187" i="7"/>
  <c r="CF187" i="7"/>
  <c r="CE187" i="7"/>
  <c r="CD187" i="7"/>
  <c r="CC187" i="7"/>
  <c r="CB187" i="7"/>
  <c r="CA187" i="7"/>
  <c r="BZ187" i="7"/>
  <c r="BY187" i="7"/>
  <c r="BX187" i="7"/>
  <c r="BW187" i="7"/>
  <c r="BV187" i="7"/>
  <c r="BU187" i="7"/>
  <c r="BT187" i="7"/>
  <c r="BS187" i="7"/>
  <c r="BR187" i="7"/>
  <c r="BQ187" i="7"/>
  <c r="BP187" i="7"/>
  <c r="BO187" i="7"/>
  <c r="BN187" i="7"/>
  <c r="BM187" i="7"/>
  <c r="BL187" i="7"/>
  <c r="BK187" i="7"/>
  <c r="BJ187" i="7"/>
  <c r="BI187" i="7"/>
  <c r="BH187" i="7"/>
  <c r="BG187" i="7"/>
  <c r="DD186" i="7"/>
  <c r="DC186" i="7"/>
  <c r="DB186" i="7"/>
  <c r="DA186" i="7"/>
  <c r="CZ186" i="7"/>
  <c r="CY186" i="7"/>
  <c r="CX186" i="7"/>
  <c r="CW186" i="7"/>
  <c r="CV186" i="7"/>
  <c r="CU186" i="7"/>
  <c r="CT186" i="7"/>
  <c r="CS186" i="7"/>
  <c r="CR186" i="7"/>
  <c r="CQ186" i="7"/>
  <c r="CP186" i="7"/>
  <c r="CO186" i="7"/>
  <c r="CN186" i="7"/>
  <c r="CM186" i="7"/>
  <c r="CL186" i="7"/>
  <c r="CK186" i="7"/>
  <c r="CJ186" i="7"/>
  <c r="CI186" i="7"/>
  <c r="CH186" i="7"/>
  <c r="CG186" i="7"/>
  <c r="CF186" i="7"/>
  <c r="CE186" i="7"/>
  <c r="CD186" i="7"/>
  <c r="CC186" i="7"/>
  <c r="CB186" i="7"/>
  <c r="CA186" i="7"/>
  <c r="BZ186" i="7"/>
  <c r="BY186" i="7"/>
  <c r="BX186" i="7"/>
  <c r="BW186" i="7"/>
  <c r="BV186" i="7"/>
  <c r="BU186" i="7"/>
  <c r="BT186" i="7"/>
  <c r="BS186" i="7"/>
  <c r="BR186" i="7"/>
  <c r="BQ186" i="7"/>
  <c r="BP186" i="7"/>
  <c r="BO186" i="7"/>
  <c r="BN186" i="7"/>
  <c r="BM186" i="7"/>
  <c r="BL186" i="7"/>
  <c r="BK186" i="7"/>
  <c r="BJ186" i="7"/>
  <c r="BI186" i="7"/>
  <c r="BH186" i="7"/>
  <c r="BG186" i="7"/>
  <c r="DD185" i="7"/>
  <c r="DC185" i="7"/>
  <c r="DB185" i="7"/>
  <c r="DA185" i="7"/>
  <c r="CZ185" i="7"/>
  <c r="CY185" i="7"/>
  <c r="CX185" i="7"/>
  <c r="CW185" i="7"/>
  <c r="CV185" i="7"/>
  <c r="CU185" i="7"/>
  <c r="CT185" i="7"/>
  <c r="CS185" i="7"/>
  <c r="CR185" i="7"/>
  <c r="CQ185" i="7"/>
  <c r="CP185" i="7"/>
  <c r="CO185" i="7"/>
  <c r="CN185" i="7"/>
  <c r="CM185" i="7"/>
  <c r="CL185" i="7"/>
  <c r="CK185" i="7"/>
  <c r="CJ185" i="7"/>
  <c r="CI185" i="7"/>
  <c r="CH185" i="7"/>
  <c r="CG185" i="7"/>
  <c r="CF185" i="7"/>
  <c r="CE185" i="7"/>
  <c r="CD185" i="7"/>
  <c r="CC185" i="7"/>
  <c r="CB185" i="7"/>
  <c r="CA185" i="7"/>
  <c r="BZ185" i="7"/>
  <c r="BY185" i="7"/>
  <c r="BX185" i="7"/>
  <c r="BW185" i="7"/>
  <c r="BV185" i="7"/>
  <c r="BU185" i="7"/>
  <c r="BT185" i="7"/>
  <c r="BS185" i="7"/>
  <c r="BR185" i="7"/>
  <c r="BQ185" i="7"/>
  <c r="BP185" i="7"/>
  <c r="BO185" i="7"/>
  <c r="BN185" i="7"/>
  <c r="BM185" i="7"/>
  <c r="BL185" i="7"/>
  <c r="BK185" i="7"/>
  <c r="BJ185" i="7"/>
  <c r="BI185" i="7"/>
  <c r="BH185" i="7"/>
  <c r="BG185" i="7"/>
  <c r="DD184" i="7"/>
  <c r="DC184" i="7"/>
  <c r="DB184" i="7"/>
  <c r="DA184" i="7"/>
  <c r="CZ184" i="7"/>
  <c r="CY184" i="7"/>
  <c r="CX184" i="7"/>
  <c r="CW184" i="7"/>
  <c r="CV184" i="7"/>
  <c r="CU184" i="7"/>
  <c r="CT184" i="7"/>
  <c r="CS184" i="7"/>
  <c r="CR184" i="7"/>
  <c r="CQ184" i="7"/>
  <c r="CP184" i="7"/>
  <c r="CO184" i="7"/>
  <c r="CN184" i="7"/>
  <c r="CM184" i="7"/>
  <c r="CL184" i="7"/>
  <c r="CK184" i="7"/>
  <c r="CJ184" i="7"/>
  <c r="CI184" i="7"/>
  <c r="CH184" i="7"/>
  <c r="CG184" i="7"/>
  <c r="CF184" i="7"/>
  <c r="CE184" i="7"/>
  <c r="CD184" i="7"/>
  <c r="CC184" i="7"/>
  <c r="CB184" i="7"/>
  <c r="CA184" i="7"/>
  <c r="BZ184" i="7"/>
  <c r="BY184" i="7"/>
  <c r="BX184" i="7"/>
  <c r="BW184" i="7"/>
  <c r="BV184" i="7"/>
  <c r="BU184" i="7"/>
  <c r="BT184" i="7"/>
  <c r="BS184" i="7"/>
  <c r="BR184" i="7"/>
  <c r="BQ184" i="7"/>
  <c r="BP184" i="7"/>
  <c r="BO184" i="7"/>
  <c r="BN184" i="7"/>
  <c r="BM184" i="7"/>
  <c r="BL184" i="7"/>
  <c r="BK184" i="7"/>
  <c r="BJ184" i="7"/>
  <c r="BI184" i="7"/>
  <c r="BH184" i="7"/>
  <c r="DD183" i="7"/>
  <c r="DC183" i="7"/>
  <c r="DB183" i="7"/>
  <c r="DA183" i="7"/>
  <c r="CZ183" i="7"/>
  <c r="CY183" i="7"/>
  <c r="CX183" i="7"/>
  <c r="CW183" i="7"/>
  <c r="CV183" i="7"/>
  <c r="CU183" i="7"/>
  <c r="CT183" i="7"/>
  <c r="CS183" i="7"/>
  <c r="CR183" i="7"/>
  <c r="CQ183" i="7"/>
  <c r="CP183" i="7"/>
  <c r="CO183" i="7"/>
  <c r="CN183" i="7"/>
  <c r="CM183" i="7"/>
  <c r="CL183" i="7"/>
  <c r="CK183" i="7"/>
  <c r="CJ183" i="7"/>
  <c r="CI183" i="7"/>
  <c r="CH183" i="7"/>
  <c r="CG183" i="7"/>
  <c r="CF183" i="7"/>
  <c r="CE183" i="7"/>
  <c r="CD183" i="7"/>
  <c r="CC183" i="7"/>
  <c r="CB183" i="7"/>
  <c r="CA183" i="7"/>
  <c r="BZ183" i="7"/>
  <c r="BY183" i="7"/>
  <c r="BX183" i="7"/>
  <c r="BW183" i="7"/>
  <c r="BV183" i="7"/>
  <c r="BU183" i="7"/>
  <c r="BT183" i="7"/>
  <c r="BS183" i="7"/>
  <c r="BR183" i="7"/>
  <c r="BQ183" i="7"/>
  <c r="BP183" i="7"/>
  <c r="BO183" i="7"/>
  <c r="BN183" i="7"/>
  <c r="BM183" i="7"/>
  <c r="BL183" i="7"/>
  <c r="BK183" i="7"/>
  <c r="BJ183" i="7"/>
  <c r="BI183" i="7"/>
  <c r="BH183" i="7"/>
  <c r="BG183" i="7"/>
  <c r="DD182" i="7"/>
  <c r="DC182" i="7"/>
  <c r="DB182" i="7"/>
  <c r="DA182" i="7"/>
  <c r="CZ182" i="7"/>
  <c r="CY182" i="7"/>
  <c r="CX182" i="7"/>
  <c r="CW182" i="7"/>
  <c r="CV182" i="7"/>
  <c r="CU182" i="7"/>
  <c r="CT182" i="7"/>
  <c r="CS182" i="7"/>
  <c r="CR182" i="7"/>
  <c r="CQ182" i="7"/>
  <c r="CP182" i="7"/>
  <c r="CO182" i="7"/>
  <c r="CN182" i="7"/>
  <c r="CM182" i="7"/>
  <c r="CL182" i="7"/>
  <c r="CK182" i="7"/>
  <c r="CJ182" i="7"/>
  <c r="CI182" i="7"/>
  <c r="CH182" i="7"/>
  <c r="CG182" i="7"/>
  <c r="CF182" i="7"/>
  <c r="CE182" i="7"/>
  <c r="CD182" i="7"/>
  <c r="CC182" i="7"/>
  <c r="CB182" i="7"/>
  <c r="CA182" i="7"/>
  <c r="BZ182" i="7"/>
  <c r="BY182" i="7"/>
  <c r="BX182" i="7"/>
  <c r="BW182" i="7"/>
  <c r="BV182" i="7"/>
  <c r="BU182" i="7"/>
  <c r="BT182" i="7"/>
  <c r="BS182" i="7"/>
  <c r="BR182" i="7"/>
  <c r="BQ182" i="7"/>
  <c r="BP182" i="7"/>
  <c r="BO182" i="7"/>
  <c r="BN182" i="7"/>
  <c r="BM182" i="7"/>
  <c r="BL182" i="7"/>
  <c r="BK182" i="7"/>
  <c r="BJ182" i="7"/>
  <c r="BI182" i="7"/>
  <c r="BH182" i="7"/>
  <c r="BG182" i="7"/>
  <c r="DD181" i="7"/>
  <c r="DC181" i="7"/>
  <c r="DB181" i="7"/>
  <c r="DA181" i="7"/>
  <c r="CZ181" i="7"/>
  <c r="CY181" i="7"/>
  <c r="CX181" i="7"/>
  <c r="CW181" i="7"/>
  <c r="CV181" i="7"/>
  <c r="CU181" i="7"/>
  <c r="CT181" i="7"/>
  <c r="CS181" i="7"/>
  <c r="CR181" i="7"/>
  <c r="CQ181" i="7"/>
  <c r="CP181" i="7"/>
  <c r="CO181" i="7"/>
  <c r="CN181" i="7"/>
  <c r="CM181" i="7"/>
  <c r="CL181" i="7"/>
  <c r="CK181" i="7"/>
  <c r="CJ181" i="7"/>
  <c r="CI181" i="7"/>
  <c r="CH181" i="7"/>
  <c r="CG181" i="7"/>
  <c r="CF181" i="7"/>
  <c r="CE181" i="7"/>
  <c r="CD181" i="7"/>
  <c r="CC181" i="7"/>
  <c r="CB181" i="7"/>
  <c r="CA181" i="7"/>
  <c r="BZ181" i="7"/>
  <c r="BY181" i="7"/>
  <c r="BX181" i="7"/>
  <c r="BW181" i="7"/>
  <c r="BV181" i="7"/>
  <c r="BU181" i="7"/>
  <c r="BT181" i="7"/>
  <c r="BS181" i="7"/>
  <c r="BR181" i="7"/>
  <c r="BQ181" i="7"/>
  <c r="BP181" i="7"/>
  <c r="BO181" i="7"/>
  <c r="BN181" i="7"/>
  <c r="BM181" i="7"/>
  <c r="BL181" i="7"/>
  <c r="BK181" i="7"/>
  <c r="BJ181" i="7"/>
  <c r="BI181" i="7"/>
  <c r="BH181" i="7"/>
  <c r="BG181" i="7"/>
  <c r="DD180" i="7"/>
  <c r="DC180" i="7"/>
  <c r="DB180" i="7"/>
  <c r="DA180" i="7"/>
  <c r="CZ180" i="7"/>
  <c r="CY180" i="7"/>
  <c r="CX180" i="7"/>
  <c r="CW180" i="7"/>
  <c r="CV180" i="7"/>
  <c r="CU180" i="7"/>
  <c r="CT180" i="7"/>
  <c r="CS180" i="7"/>
  <c r="CR180" i="7"/>
  <c r="CQ180" i="7"/>
  <c r="CP180" i="7"/>
  <c r="CO180" i="7"/>
  <c r="CN180" i="7"/>
  <c r="CM180" i="7"/>
  <c r="CL180" i="7"/>
  <c r="CK180" i="7"/>
  <c r="CJ180" i="7"/>
  <c r="CI180" i="7"/>
  <c r="CH180" i="7"/>
  <c r="CG180" i="7"/>
  <c r="CF180" i="7"/>
  <c r="CE180" i="7"/>
  <c r="CD180" i="7"/>
  <c r="CC180" i="7"/>
  <c r="CB180" i="7"/>
  <c r="CA180" i="7"/>
  <c r="BZ180" i="7"/>
  <c r="BY180" i="7"/>
  <c r="BX180" i="7"/>
  <c r="BW180" i="7"/>
  <c r="BV180" i="7"/>
  <c r="BU180" i="7"/>
  <c r="BT180" i="7"/>
  <c r="BS180" i="7"/>
  <c r="BR180" i="7"/>
  <c r="BQ180" i="7"/>
  <c r="BP180" i="7"/>
  <c r="BO180" i="7"/>
  <c r="BN180" i="7"/>
  <c r="BM180" i="7"/>
  <c r="BL180" i="7"/>
  <c r="BK180" i="7"/>
  <c r="BJ180" i="7"/>
  <c r="BI180" i="7"/>
  <c r="BH180" i="7"/>
  <c r="BG180" i="7"/>
  <c r="DD179" i="7"/>
  <c r="DC179" i="7"/>
  <c r="DB179" i="7"/>
  <c r="DA179" i="7"/>
  <c r="CZ179" i="7"/>
  <c r="CY179" i="7"/>
  <c r="CX179" i="7"/>
  <c r="CW179" i="7"/>
  <c r="CV179" i="7"/>
  <c r="CU179" i="7"/>
  <c r="CT179" i="7"/>
  <c r="CS179" i="7"/>
  <c r="CR179" i="7"/>
  <c r="CQ179" i="7"/>
  <c r="CP179" i="7"/>
  <c r="CO179" i="7"/>
  <c r="CN179" i="7"/>
  <c r="CM179" i="7"/>
  <c r="CL179" i="7"/>
  <c r="CK179" i="7"/>
  <c r="CJ179" i="7"/>
  <c r="CI179" i="7"/>
  <c r="CH179" i="7"/>
  <c r="CG179" i="7"/>
  <c r="CF179" i="7"/>
  <c r="CE179" i="7"/>
  <c r="CD179" i="7"/>
  <c r="CC179" i="7"/>
  <c r="CB179" i="7"/>
  <c r="CA179" i="7"/>
  <c r="BZ179" i="7"/>
  <c r="BY179" i="7"/>
  <c r="BX179" i="7"/>
  <c r="BW179" i="7"/>
  <c r="BV179" i="7"/>
  <c r="BU179" i="7"/>
  <c r="BT179" i="7"/>
  <c r="BS179" i="7"/>
  <c r="BR179" i="7"/>
  <c r="BQ179" i="7"/>
  <c r="BP179" i="7"/>
  <c r="BO179" i="7"/>
  <c r="BN179" i="7"/>
  <c r="BM179" i="7"/>
  <c r="BL179" i="7"/>
  <c r="BK179" i="7"/>
  <c r="BJ179" i="7"/>
  <c r="BI179" i="7"/>
  <c r="BH179" i="7"/>
  <c r="BG179" i="7"/>
  <c r="DD178" i="7"/>
  <c r="DC178" i="7"/>
  <c r="DB178" i="7"/>
  <c r="DA178" i="7"/>
  <c r="CZ178" i="7"/>
  <c r="CY178" i="7"/>
  <c r="CX178" i="7"/>
  <c r="CW178" i="7"/>
  <c r="CV178" i="7"/>
  <c r="CU178" i="7"/>
  <c r="CT178" i="7"/>
  <c r="CS178" i="7"/>
  <c r="CR178" i="7"/>
  <c r="CQ178" i="7"/>
  <c r="CP178" i="7"/>
  <c r="CO178" i="7"/>
  <c r="CN178" i="7"/>
  <c r="CM178" i="7"/>
  <c r="CL178" i="7"/>
  <c r="CK178" i="7"/>
  <c r="CJ178" i="7"/>
  <c r="CI178" i="7"/>
  <c r="CH178" i="7"/>
  <c r="CG178" i="7"/>
  <c r="CF178" i="7"/>
  <c r="CE178" i="7"/>
  <c r="CD178" i="7"/>
  <c r="CC178" i="7"/>
  <c r="CB178" i="7"/>
  <c r="CA178" i="7"/>
  <c r="BZ178" i="7"/>
  <c r="BY178" i="7"/>
  <c r="BX178" i="7"/>
  <c r="BW178" i="7"/>
  <c r="BV178" i="7"/>
  <c r="BU178" i="7"/>
  <c r="BT178" i="7"/>
  <c r="BS178" i="7"/>
  <c r="BR178" i="7"/>
  <c r="BQ178" i="7"/>
  <c r="BP178" i="7"/>
  <c r="BO178" i="7"/>
  <c r="BN178" i="7"/>
  <c r="BM178" i="7"/>
  <c r="BL178" i="7"/>
  <c r="BK178" i="7"/>
  <c r="BJ178" i="7"/>
  <c r="BI178" i="7"/>
  <c r="BH178" i="7"/>
  <c r="DD177" i="7"/>
  <c r="DC177" i="7"/>
  <c r="DB177" i="7"/>
  <c r="DA177" i="7"/>
  <c r="CZ177" i="7"/>
  <c r="CY177" i="7"/>
  <c r="CX177" i="7"/>
  <c r="CW177" i="7"/>
  <c r="CV177" i="7"/>
  <c r="CU177" i="7"/>
  <c r="CT177" i="7"/>
  <c r="CS177" i="7"/>
  <c r="CR177" i="7"/>
  <c r="CQ177" i="7"/>
  <c r="CP177" i="7"/>
  <c r="CO177" i="7"/>
  <c r="CN177" i="7"/>
  <c r="CM177" i="7"/>
  <c r="CL177" i="7"/>
  <c r="CK177" i="7"/>
  <c r="CJ177" i="7"/>
  <c r="CI177" i="7"/>
  <c r="CH177" i="7"/>
  <c r="CG177" i="7"/>
  <c r="CF177" i="7"/>
  <c r="CE177" i="7"/>
  <c r="CD177" i="7"/>
  <c r="CC177" i="7"/>
  <c r="CB177" i="7"/>
  <c r="CA177" i="7"/>
  <c r="BZ177" i="7"/>
  <c r="BY177" i="7"/>
  <c r="BX177" i="7"/>
  <c r="BW177" i="7"/>
  <c r="BV177" i="7"/>
  <c r="BU177" i="7"/>
  <c r="BT177" i="7"/>
  <c r="BS177" i="7"/>
  <c r="BR177" i="7"/>
  <c r="BQ177" i="7"/>
  <c r="BP177" i="7"/>
  <c r="BO177" i="7"/>
  <c r="BN177" i="7"/>
  <c r="BM177" i="7"/>
  <c r="BL177" i="7"/>
  <c r="BK177" i="7"/>
  <c r="BJ177" i="7"/>
  <c r="BI177" i="7"/>
  <c r="BH177" i="7"/>
  <c r="BG177" i="7"/>
  <c r="DD176" i="7"/>
  <c r="DC176" i="7"/>
  <c r="DB176" i="7"/>
  <c r="DA176" i="7"/>
  <c r="CZ176" i="7"/>
  <c r="CY176" i="7"/>
  <c r="CX176" i="7"/>
  <c r="CW176" i="7"/>
  <c r="CV176" i="7"/>
  <c r="CU176" i="7"/>
  <c r="CT176" i="7"/>
  <c r="CS176" i="7"/>
  <c r="CR176" i="7"/>
  <c r="CQ176" i="7"/>
  <c r="CP176" i="7"/>
  <c r="CO176" i="7"/>
  <c r="CN176" i="7"/>
  <c r="CM176" i="7"/>
  <c r="CL176" i="7"/>
  <c r="CK176" i="7"/>
  <c r="CJ176" i="7"/>
  <c r="CI176" i="7"/>
  <c r="CH176" i="7"/>
  <c r="CG176" i="7"/>
  <c r="CF176" i="7"/>
  <c r="CE176" i="7"/>
  <c r="CD176" i="7"/>
  <c r="CC176" i="7"/>
  <c r="CB176" i="7"/>
  <c r="CA176" i="7"/>
  <c r="BZ176" i="7"/>
  <c r="BY176" i="7"/>
  <c r="BX176" i="7"/>
  <c r="BW176" i="7"/>
  <c r="BV176" i="7"/>
  <c r="BU176" i="7"/>
  <c r="BT176" i="7"/>
  <c r="BS176" i="7"/>
  <c r="BR176" i="7"/>
  <c r="BQ176" i="7"/>
  <c r="BP176" i="7"/>
  <c r="BO176" i="7"/>
  <c r="BN176" i="7"/>
  <c r="BM176" i="7"/>
  <c r="BL176" i="7"/>
  <c r="BK176" i="7"/>
  <c r="BJ176" i="7"/>
  <c r="BI176" i="7"/>
  <c r="BH176" i="7"/>
  <c r="BG176" i="7"/>
  <c r="DD175" i="7"/>
  <c r="DC175" i="7"/>
  <c r="DB175" i="7"/>
  <c r="DA175" i="7"/>
  <c r="CZ175" i="7"/>
  <c r="CY175" i="7"/>
  <c r="CX175" i="7"/>
  <c r="CW175" i="7"/>
  <c r="CV175" i="7"/>
  <c r="CU175" i="7"/>
  <c r="CT175" i="7"/>
  <c r="CS175" i="7"/>
  <c r="CR175" i="7"/>
  <c r="CQ175" i="7"/>
  <c r="CP175" i="7"/>
  <c r="CO175" i="7"/>
  <c r="CN175" i="7"/>
  <c r="CM175" i="7"/>
  <c r="CL175" i="7"/>
  <c r="CK175" i="7"/>
  <c r="CJ175" i="7"/>
  <c r="CI175" i="7"/>
  <c r="CH175" i="7"/>
  <c r="CG175" i="7"/>
  <c r="CF175" i="7"/>
  <c r="CE175" i="7"/>
  <c r="CD175" i="7"/>
  <c r="CC175" i="7"/>
  <c r="CB175" i="7"/>
  <c r="CA175" i="7"/>
  <c r="BZ175" i="7"/>
  <c r="BY175" i="7"/>
  <c r="BX175" i="7"/>
  <c r="BW175" i="7"/>
  <c r="BV175" i="7"/>
  <c r="BU175" i="7"/>
  <c r="BT175" i="7"/>
  <c r="BS175" i="7"/>
  <c r="BR175" i="7"/>
  <c r="BQ175" i="7"/>
  <c r="BP175" i="7"/>
  <c r="BO175" i="7"/>
  <c r="BN175" i="7"/>
  <c r="BM175" i="7"/>
  <c r="BL175" i="7"/>
  <c r="BK175" i="7"/>
  <c r="BJ175" i="7"/>
  <c r="BI175" i="7"/>
  <c r="BH175" i="7"/>
  <c r="BG175" i="7"/>
  <c r="DD174" i="7"/>
  <c r="DC174" i="7"/>
  <c r="DB174" i="7"/>
  <c r="DA174" i="7"/>
  <c r="CZ174" i="7"/>
  <c r="CY174" i="7"/>
  <c r="CX174" i="7"/>
  <c r="CW174" i="7"/>
  <c r="CV174" i="7"/>
  <c r="CU174" i="7"/>
  <c r="CT174" i="7"/>
  <c r="CS174" i="7"/>
  <c r="CR174" i="7"/>
  <c r="CQ174" i="7"/>
  <c r="CP174" i="7"/>
  <c r="CO174" i="7"/>
  <c r="CN174" i="7"/>
  <c r="CM174" i="7"/>
  <c r="CL174" i="7"/>
  <c r="CK174" i="7"/>
  <c r="CJ174" i="7"/>
  <c r="CI174" i="7"/>
  <c r="CH174" i="7"/>
  <c r="CG174" i="7"/>
  <c r="CF174" i="7"/>
  <c r="CE174" i="7"/>
  <c r="CD174" i="7"/>
  <c r="CC174" i="7"/>
  <c r="CB174" i="7"/>
  <c r="CA174" i="7"/>
  <c r="BZ174" i="7"/>
  <c r="BY174" i="7"/>
  <c r="BX174" i="7"/>
  <c r="BW174" i="7"/>
  <c r="BV174" i="7"/>
  <c r="BU174" i="7"/>
  <c r="BT174" i="7"/>
  <c r="BS174" i="7"/>
  <c r="BR174" i="7"/>
  <c r="BQ174" i="7"/>
  <c r="BP174" i="7"/>
  <c r="BO174" i="7"/>
  <c r="BN174" i="7"/>
  <c r="BM174" i="7"/>
  <c r="BL174" i="7"/>
  <c r="BK174" i="7"/>
  <c r="BJ174" i="7"/>
  <c r="BI174" i="7"/>
  <c r="BH174" i="7"/>
  <c r="BG174" i="7"/>
  <c r="DD173" i="7"/>
  <c r="DC173" i="7"/>
  <c r="DB173" i="7"/>
  <c r="DA173" i="7"/>
  <c r="CZ173" i="7"/>
  <c r="CY173" i="7"/>
  <c r="CX173" i="7"/>
  <c r="CW173" i="7"/>
  <c r="CV173" i="7"/>
  <c r="CU173" i="7"/>
  <c r="CT173" i="7"/>
  <c r="CS173" i="7"/>
  <c r="CR173" i="7"/>
  <c r="CQ173" i="7"/>
  <c r="CP173" i="7"/>
  <c r="CO173" i="7"/>
  <c r="CN173" i="7"/>
  <c r="CM173" i="7"/>
  <c r="CL173" i="7"/>
  <c r="CK173" i="7"/>
  <c r="CJ173" i="7"/>
  <c r="CI173" i="7"/>
  <c r="CH173" i="7"/>
  <c r="CG173" i="7"/>
  <c r="CF173" i="7"/>
  <c r="CE173" i="7"/>
  <c r="CD173" i="7"/>
  <c r="CC173" i="7"/>
  <c r="CB173" i="7"/>
  <c r="CA173" i="7"/>
  <c r="BZ173" i="7"/>
  <c r="BY173" i="7"/>
  <c r="BX173" i="7"/>
  <c r="BW173" i="7"/>
  <c r="BV173" i="7"/>
  <c r="BU173" i="7"/>
  <c r="BT173" i="7"/>
  <c r="BS173" i="7"/>
  <c r="BR173" i="7"/>
  <c r="BQ173" i="7"/>
  <c r="BP173" i="7"/>
  <c r="BO173" i="7"/>
  <c r="BN173" i="7"/>
  <c r="BM173" i="7"/>
  <c r="BL173" i="7"/>
  <c r="BK173" i="7"/>
  <c r="BJ173" i="7"/>
  <c r="BI173" i="7"/>
  <c r="BH173" i="7"/>
  <c r="BG173" i="7"/>
  <c r="DD172" i="7"/>
  <c r="DC172" i="7"/>
  <c r="DB172" i="7"/>
  <c r="DA172" i="7"/>
  <c r="CZ172" i="7"/>
  <c r="CY172" i="7"/>
  <c r="CX172" i="7"/>
  <c r="CW172" i="7"/>
  <c r="CV172" i="7"/>
  <c r="CU172" i="7"/>
  <c r="CT172" i="7"/>
  <c r="CS172" i="7"/>
  <c r="CR172" i="7"/>
  <c r="CQ172" i="7"/>
  <c r="CP172" i="7"/>
  <c r="CO172" i="7"/>
  <c r="CN172" i="7"/>
  <c r="CM172" i="7"/>
  <c r="CL172" i="7"/>
  <c r="CK172" i="7"/>
  <c r="CJ172" i="7"/>
  <c r="CI172" i="7"/>
  <c r="CH172" i="7"/>
  <c r="CG172" i="7"/>
  <c r="CF172" i="7"/>
  <c r="CE172" i="7"/>
  <c r="CD172" i="7"/>
  <c r="CC172" i="7"/>
  <c r="CB172" i="7"/>
  <c r="CA172" i="7"/>
  <c r="BZ172" i="7"/>
  <c r="BY172" i="7"/>
  <c r="BX172" i="7"/>
  <c r="BW172" i="7"/>
  <c r="BV172" i="7"/>
  <c r="BU172" i="7"/>
  <c r="BT172" i="7"/>
  <c r="BS172" i="7"/>
  <c r="BR172" i="7"/>
  <c r="BQ172" i="7"/>
  <c r="BP172" i="7"/>
  <c r="BO172" i="7"/>
  <c r="BN172" i="7"/>
  <c r="BM172" i="7"/>
  <c r="BL172" i="7"/>
  <c r="BK172" i="7"/>
  <c r="BJ172" i="7"/>
  <c r="BI172" i="7"/>
  <c r="BH172" i="7"/>
  <c r="BG172" i="7"/>
  <c r="DD171" i="7"/>
  <c r="DC171" i="7"/>
  <c r="DB171" i="7"/>
  <c r="DA171" i="7"/>
  <c r="CZ171" i="7"/>
  <c r="CY171" i="7"/>
  <c r="CX171" i="7"/>
  <c r="CW171" i="7"/>
  <c r="CV171" i="7"/>
  <c r="CU171" i="7"/>
  <c r="CT171" i="7"/>
  <c r="CS171" i="7"/>
  <c r="CR171" i="7"/>
  <c r="CQ171" i="7"/>
  <c r="CP171" i="7"/>
  <c r="CO171" i="7"/>
  <c r="CN171" i="7"/>
  <c r="CM171" i="7"/>
  <c r="CL171" i="7"/>
  <c r="CK171" i="7"/>
  <c r="CJ171" i="7"/>
  <c r="CI171" i="7"/>
  <c r="CH171" i="7"/>
  <c r="CG171" i="7"/>
  <c r="CF171" i="7"/>
  <c r="CE171" i="7"/>
  <c r="CD171" i="7"/>
  <c r="CC171" i="7"/>
  <c r="CB171" i="7"/>
  <c r="CA171" i="7"/>
  <c r="BZ171" i="7"/>
  <c r="BY171" i="7"/>
  <c r="BX171" i="7"/>
  <c r="BW171" i="7"/>
  <c r="BV171" i="7"/>
  <c r="BU171" i="7"/>
  <c r="BT171" i="7"/>
  <c r="BS171" i="7"/>
  <c r="BR171" i="7"/>
  <c r="BQ171" i="7"/>
  <c r="BP171" i="7"/>
  <c r="BO171" i="7"/>
  <c r="BN171" i="7"/>
  <c r="BM171" i="7"/>
  <c r="BL171" i="7"/>
  <c r="BK171" i="7"/>
  <c r="BJ171" i="7"/>
  <c r="BI171" i="7"/>
  <c r="BH171" i="7"/>
  <c r="BG171" i="7"/>
  <c r="DD170" i="7"/>
  <c r="DC170" i="7"/>
  <c r="DB170" i="7"/>
  <c r="DA170" i="7"/>
  <c r="CZ170" i="7"/>
  <c r="CY170" i="7"/>
  <c r="CX170" i="7"/>
  <c r="CW170" i="7"/>
  <c r="CV170" i="7"/>
  <c r="CU170" i="7"/>
  <c r="CT170" i="7"/>
  <c r="CS170" i="7"/>
  <c r="CR170" i="7"/>
  <c r="CQ170" i="7"/>
  <c r="CP170" i="7"/>
  <c r="CO170" i="7"/>
  <c r="CN170" i="7"/>
  <c r="CM170" i="7"/>
  <c r="CL170" i="7"/>
  <c r="CK170" i="7"/>
  <c r="CJ170" i="7"/>
  <c r="CI170" i="7"/>
  <c r="CH170" i="7"/>
  <c r="CG170" i="7"/>
  <c r="CF170" i="7"/>
  <c r="CE170" i="7"/>
  <c r="CD170" i="7"/>
  <c r="CC170" i="7"/>
  <c r="CB170" i="7"/>
  <c r="CA170" i="7"/>
  <c r="BZ170" i="7"/>
  <c r="BY170" i="7"/>
  <c r="BX170" i="7"/>
  <c r="BW170" i="7"/>
  <c r="BV170" i="7"/>
  <c r="BU170" i="7"/>
  <c r="BT170" i="7"/>
  <c r="BS170" i="7"/>
  <c r="BR170" i="7"/>
  <c r="BQ170" i="7"/>
  <c r="BP170" i="7"/>
  <c r="BO170" i="7"/>
  <c r="BN170" i="7"/>
  <c r="BM170" i="7"/>
  <c r="BL170" i="7"/>
  <c r="BK170" i="7"/>
  <c r="BJ170" i="7"/>
  <c r="BI170" i="7"/>
  <c r="BH170" i="7"/>
  <c r="BG170" i="7"/>
  <c r="DD169" i="7"/>
  <c r="DC169" i="7"/>
  <c r="DB169" i="7"/>
  <c r="DA169" i="7"/>
  <c r="CZ169" i="7"/>
  <c r="CY169" i="7"/>
  <c r="CX169" i="7"/>
  <c r="CW169" i="7"/>
  <c r="CV169" i="7"/>
  <c r="CU169" i="7"/>
  <c r="CT169" i="7"/>
  <c r="CS169" i="7"/>
  <c r="CR169" i="7"/>
  <c r="CQ169" i="7"/>
  <c r="CP169" i="7"/>
  <c r="CO169" i="7"/>
  <c r="CN169" i="7"/>
  <c r="CM169" i="7"/>
  <c r="CL169" i="7"/>
  <c r="CK169" i="7"/>
  <c r="CJ169" i="7"/>
  <c r="CI169" i="7"/>
  <c r="CH169" i="7"/>
  <c r="CG169" i="7"/>
  <c r="CF169" i="7"/>
  <c r="CE169" i="7"/>
  <c r="CD169" i="7"/>
  <c r="CC169" i="7"/>
  <c r="CB169" i="7"/>
  <c r="CA169" i="7"/>
  <c r="BZ169" i="7"/>
  <c r="BY169" i="7"/>
  <c r="BX169" i="7"/>
  <c r="BW169" i="7"/>
  <c r="BV169" i="7"/>
  <c r="BU169" i="7"/>
  <c r="BT169" i="7"/>
  <c r="BS169" i="7"/>
  <c r="BR169" i="7"/>
  <c r="BQ169" i="7"/>
  <c r="BP169" i="7"/>
  <c r="BO169" i="7"/>
  <c r="BN169" i="7"/>
  <c r="BM169" i="7"/>
  <c r="BL169" i="7"/>
  <c r="BK169" i="7"/>
  <c r="BJ169" i="7"/>
  <c r="BI169" i="7"/>
  <c r="BH169" i="7"/>
  <c r="DD168" i="7"/>
  <c r="DC168" i="7"/>
  <c r="DB168" i="7"/>
  <c r="DA168" i="7"/>
  <c r="CZ168" i="7"/>
  <c r="CY168" i="7"/>
  <c r="CX168" i="7"/>
  <c r="CW168" i="7"/>
  <c r="CV168" i="7"/>
  <c r="CU168" i="7"/>
  <c r="CT168" i="7"/>
  <c r="CS168" i="7"/>
  <c r="CR168" i="7"/>
  <c r="CQ168" i="7"/>
  <c r="CP168" i="7"/>
  <c r="CO168" i="7"/>
  <c r="CN168" i="7"/>
  <c r="CM168" i="7"/>
  <c r="CL168" i="7"/>
  <c r="CK168" i="7"/>
  <c r="CJ168" i="7"/>
  <c r="CI168" i="7"/>
  <c r="CH168" i="7"/>
  <c r="CG168" i="7"/>
  <c r="CF168" i="7"/>
  <c r="CE168" i="7"/>
  <c r="CD168" i="7"/>
  <c r="CC168" i="7"/>
  <c r="CB168" i="7"/>
  <c r="CA168" i="7"/>
  <c r="BZ168" i="7"/>
  <c r="BY168" i="7"/>
  <c r="BX168" i="7"/>
  <c r="BW168" i="7"/>
  <c r="BV168" i="7"/>
  <c r="BU168" i="7"/>
  <c r="BT168" i="7"/>
  <c r="BS168" i="7"/>
  <c r="BR168" i="7"/>
  <c r="BQ168" i="7"/>
  <c r="BP168" i="7"/>
  <c r="BO168" i="7"/>
  <c r="BN168" i="7"/>
  <c r="BM168" i="7"/>
  <c r="BL168" i="7"/>
  <c r="BK168" i="7"/>
  <c r="BJ168" i="7"/>
  <c r="BI168" i="7"/>
  <c r="BH168" i="7"/>
  <c r="BG168" i="7"/>
  <c r="DD167" i="7"/>
  <c r="DC167" i="7"/>
  <c r="DB167" i="7"/>
  <c r="DA167" i="7"/>
  <c r="CZ167" i="7"/>
  <c r="CY167" i="7"/>
  <c r="CX167" i="7"/>
  <c r="CW167" i="7"/>
  <c r="CV167" i="7"/>
  <c r="CU167" i="7"/>
  <c r="CT167" i="7"/>
  <c r="CS167" i="7"/>
  <c r="CR167" i="7"/>
  <c r="CQ167" i="7"/>
  <c r="CP167" i="7"/>
  <c r="CO167" i="7"/>
  <c r="CN167" i="7"/>
  <c r="CM167" i="7"/>
  <c r="CL167" i="7"/>
  <c r="CK167" i="7"/>
  <c r="CJ167" i="7"/>
  <c r="CI167" i="7"/>
  <c r="CH167" i="7"/>
  <c r="CG167" i="7"/>
  <c r="CF167" i="7"/>
  <c r="CE167" i="7"/>
  <c r="CD167" i="7"/>
  <c r="CC167" i="7"/>
  <c r="CB167" i="7"/>
  <c r="CA167" i="7"/>
  <c r="BZ167" i="7"/>
  <c r="BY167" i="7"/>
  <c r="BX167" i="7"/>
  <c r="BW167" i="7"/>
  <c r="BV167" i="7"/>
  <c r="BU167" i="7"/>
  <c r="BT167" i="7"/>
  <c r="BS167" i="7"/>
  <c r="BR167" i="7"/>
  <c r="BQ167" i="7"/>
  <c r="BP167" i="7"/>
  <c r="BO167" i="7"/>
  <c r="BN167" i="7"/>
  <c r="BM167" i="7"/>
  <c r="BL167" i="7"/>
  <c r="BK167" i="7"/>
  <c r="BJ167" i="7"/>
  <c r="BI167" i="7"/>
  <c r="BH167" i="7"/>
  <c r="BG167" i="7"/>
  <c r="DD166" i="7"/>
  <c r="DC166" i="7"/>
  <c r="DB166" i="7"/>
  <c r="DA166" i="7"/>
  <c r="CZ166" i="7"/>
  <c r="CY166" i="7"/>
  <c r="CX166" i="7"/>
  <c r="CW166" i="7"/>
  <c r="CV166" i="7"/>
  <c r="CU166" i="7"/>
  <c r="CT166" i="7"/>
  <c r="CS166" i="7"/>
  <c r="CR166" i="7"/>
  <c r="CQ166" i="7"/>
  <c r="CP166" i="7"/>
  <c r="CO166" i="7"/>
  <c r="CN166" i="7"/>
  <c r="CM166" i="7"/>
  <c r="CL166" i="7"/>
  <c r="CK166" i="7"/>
  <c r="CJ166" i="7"/>
  <c r="CI166" i="7"/>
  <c r="CH166" i="7"/>
  <c r="CG166" i="7"/>
  <c r="CF166" i="7"/>
  <c r="CE166" i="7"/>
  <c r="CD166" i="7"/>
  <c r="CC166" i="7"/>
  <c r="CB166" i="7"/>
  <c r="CA166" i="7"/>
  <c r="BZ166" i="7"/>
  <c r="BY166" i="7"/>
  <c r="BX166" i="7"/>
  <c r="BW166" i="7"/>
  <c r="BV166" i="7"/>
  <c r="BU166" i="7"/>
  <c r="BT166" i="7"/>
  <c r="BS166" i="7"/>
  <c r="BR166" i="7"/>
  <c r="BQ166" i="7"/>
  <c r="BP166" i="7"/>
  <c r="BO166" i="7"/>
  <c r="BN166" i="7"/>
  <c r="BM166" i="7"/>
  <c r="BL166" i="7"/>
  <c r="BK166" i="7"/>
  <c r="BJ166" i="7"/>
  <c r="BI166" i="7"/>
  <c r="BH166" i="7"/>
  <c r="BG166" i="7"/>
  <c r="DD165" i="7"/>
  <c r="DC165" i="7"/>
  <c r="DB165" i="7"/>
  <c r="DA165" i="7"/>
  <c r="CZ165" i="7"/>
  <c r="CY165" i="7"/>
  <c r="CX165" i="7"/>
  <c r="CW165" i="7"/>
  <c r="CV165" i="7"/>
  <c r="CU165" i="7"/>
  <c r="CT165" i="7"/>
  <c r="CS165" i="7"/>
  <c r="CR165" i="7"/>
  <c r="CQ165" i="7"/>
  <c r="CP165" i="7"/>
  <c r="CO165" i="7"/>
  <c r="CN165" i="7"/>
  <c r="CM165" i="7"/>
  <c r="CL165" i="7"/>
  <c r="CK165" i="7"/>
  <c r="CJ165" i="7"/>
  <c r="CI165" i="7"/>
  <c r="CH165" i="7"/>
  <c r="CG165" i="7"/>
  <c r="CF165" i="7"/>
  <c r="CE165" i="7"/>
  <c r="CD165" i="7"/>
  <c r="CC165" i="7"/>
  <c r="CB165" i="7"/>
  <c r="CA165" i="7"/>
  <c r="BZ165" i="7"/>
  <c r="BY165" i="7"/>
  <c r="BX165" i="7"/>
  <c r="BW165" i="7"/>
  <c r="BV165" i="7"/>
  <c r="BU165" i="7"/>
  <c r="BT165" i="7"/>
  <c r="BS165" i="7"/>
  <c r="BR165" i="7"/>
  <c r="BQ165" i="7"/>
  <c r="BP165" i="7"/>
  <c r="BO165" i="7"/>
  <c r="BN165" i="7"/>
  <c r="BM165" i="7"/>
  <c r="BL165" i="7"/>
  <c r="BK165" i="7"/>
  <c r="BJ165" i="7"/>
  <c r="BI165" i="7"/>
  <c r="BH165" i="7"/>
  <c r="BG165" i="7"/>
  <c r="DD164" i="7"/>
  <c r="DC164" i="7"/>
  <c r="DB164" i="7"/>
  <c r="DA164" i="7"/>
  <c r="CZ164" i="7"/>
  <c r="CY164" i="7"/>
  <c r="CX164" i="7"/>
  <c r="CW164" i="7"/>
  <c r="CV164" i="7"/>
  <c r="CU164" i="7"/>
  <c r="CT164" i="7"/>
  <c r="CS164" i="7"/>
  <c r="CR164" i="7"/>
  <c r="CQ164" i="7"/>
  <c r="CP164" i="7"/>
  <c r="CO164" i="7"/>
  <c r="CN164" i="7"/>
  <c r="CM164" i="7"/>
  <c r="CL164" i="7"/>
  <c r="CK164" i="7"/>
  <c r="CJ164" i="7"/>
  <c r="CI164" i="7"/>
  <c r="CH164" i="7"/>
  <c r="CG164" i="7"/>
  <c r="CF164" i="7"/>
  <c r="CE164" i="7"/>
  <c r="CD164" i="7"/>
  <c r="CC164" i="7"/>
  <c r="CB164" i="7"/>
  <c r="CA164" i="7"/>
  <c r="BZ164" i="7"/>
  <c r="BY164" i="7"/>
  <c r="BX164" i="7"/>
  <c r="BW164" i="7"/>
  <c r="BV164" i="7"/>
  <c r="BU164" i="7"/>
  <c r="BT164" i="7"/>
  <c r="BS164" i="7"/>
  <c r="BR164" i="7"/>
  <c r="BQ164" i="7"/>
  <c r="BP164" i="7"/>
  <c r="BO164" i="7"/>
  <c r="BN164" i="7"/>
  <c r="BM164" i="7"/>
  <c r="BL164" i="7"/>
  <c r="BK164" i="7"/>
  <c r="BJ164" i="7"/>
  <c r="BI164" i="7"/>
  <c r="BH164" i="7"/>
  <c r="BG164" i="7"/>
  <c r="DD163" i="7"/>
  <c r="DC163" i="7"/>
  <c r="DB163" i="7"/>
  <c r="DA163" i="7"/>
  <c r="CZ163" i="7"/>
  <c r="CY163" i="7"/>
  <c r="CX163" i="7"/>
  <c r="CW163" i="7"/>
  <c r="CV163" i="7"/>
  <c r="CU163" i="7"/>
  <c r="CT163" i="7"/>
  <c r="CS163" i="7"/>
  <c r="CR163" i="7"/>
  <c r="CQ163" i="7"/>
  <c r="CP163" i="7"/>
  <c r="CO163" i="7"/>
  <c r="CN163" i="7"/>
  <c r="CM163" i="7"/>
  <c r="CL163" i="7"/>
  <c r="CK163" i="7"/>
  <c r="CJ163" i="7"/>
  <c r="CI163" i="7"/>
  <c r="CH163" i="7"/>
  <c r="CG163" i="7"/>
  <c r="CF163" i="7"/>
  <c r="CE163" i="7"/>
  <c r="CD163" i="7"/>
  <c r="CC163" i="7"/>
  <c r="CB163" i="7"/>
  <c r="CA163" i="7"/>
  <c r="BZ163" i="7"/>
  <c r="BY163" i="7"/>
  <c r="BX163" i="7"/>
  <c r="BW163" i="7"/>
  <c r="BV163" i="7"/>
  <c r="BU163" i="7"/>
  <c r="BT163" i="7"/>
  <c r="BS163" i="7"/>
  <c r="BR163" i="7"/>
  <c r="BQ163" i="7"/>
  <c r="BP163" i="7"/>
  <c r="BO163" i="7"/>
  <c r="BN163" i="7"/>
  <c r="BM163" i="7"/>
  <c r="BL163" i="7"/>
  <c r="BK163" i="7"/>
  <c r="BJ163" i="7"/>
  <c r="BI163" i="7"/>
  <c r="BH163" i="7"/>
  <c r="BG163" i="7"/>
  <c r="DD162" i="7"/>
  <c r="DC162" i="7"/>
  <c r="DB162" i="7"/>
  <c r="DA162" i="7"/>
  <c r="CZ162" i="7"/>
  <c r="CY162" i="7"/>
  <c r="CX162" i="7"/>
  <c r="CW162" i="7"/>
  <c r="CV162" i="7"/>
  <c r="CU162" i="7"/>
  <c r="CT162" i="7"/>
  <c r="CS162" i="7"/>
  <c r="CR162" i="7"/>
  <c r="CQ162" i="7"/>
  <c r="CP162" i="7"/>
  <c r="CO162" i="7"/>
  <c r="CN162" i="7"/>
  <c r="CM162" i="7"/>
  <c r="CL162" i="7"/>
  <c r="CK162" i="7"/>
  <c r="CJ162" i="7"/>
  <c r="CI162" i="7"/>
  <c r="CH162" i="7"/>
  <c r="CG162" i="7"/>
  <c r="CF162" i="7"/>
  <c r="CE162" i="7"/>
  <c r="CD162" i="7"/>
  <c r="CC162" i="7"/>
  <c r="CB162" i="7"/>
  <c r="CA162" i="7"/>
  <c r="BZ162" i="7"/>
  <c r="BY162" i="7"/>
  <c r="BX162" i="7"/>
  <c r="BW162" i="7"/>
  <c r="BV162" i="7"/>
  <c r="BU162" i="7"/>
  <c r="BT162" i="7"/>
  <c r="BS162" i="7"/>
  <c r="BR162" i="7"/>
  <c r="BQ162" i="7"/>
  <c r="BP162" i="7"/>
  <c r="BO162" i="7"/>
  <c r="BN162" i="7"/>
  <c r="BM162" i="7"/>
  <c r="BL162" i="7"/>
  <c r="BK162" i="7"/>
  <c r="BJ162" i="7"/>
  <c r="BI162" i="7"/>
  <c r="BH162" i="7"/>
  <c r="BG162" i="7"/>
  <c r="DD161" i="7"/>
  <c r="DC161" i="7"/>
  <c r="DB161" i="7"/>
  <c r="DA161" i="7"/>
  <c r="CZ161" i="7"/>
  <c r="CY161" i="7"/>
  <c r="CX161" i="7"/>
  <c r="CW161" i="7"/>
  <c r="CV161" i="7"/>
  <c r="CU161" i="7"/>
  <c r="CT161" i="7"/>
  <c r="CS161" i="7"/>
  <c r="CR161" i="7"/>
  <c r="CQ161" i="7"/>
  <c r="CP161" i="7"/>
  <c r="CO161" i="7"/>
  <c r="CN161" i="7"/>
  <c r="CM161" i="7"/>
  <c r="CL161" i="7"/>
  <c r="CK161" i="7"/>
  <c r="CJ161" i="7"/>
  <c r="CI161" i="7"/>
  <c r="CH161" i="7"/>
  <c r="CG161" i="7"/>
  <c r="CF161" i="7"/>
  <c r="CE161" i="7"/>
  <c r="CD161" i="7"/>
  <c r="CC161" i="7"/>
  <c r="CB161" i="7"/>
  <c r="CA161" i="7"/>
  <c r="BZ161" i="7"/>
  <c r="BY161" i="7"/>
  <c r="BX161" i="7"/>
  <c r="BW161" i="7"/>
  <c r="BV161" i="7"/>
  <c r="BU161" i="7"/>
  <c r="BT161" i="7"/>
  <c r="BS161" i="7"/>
  <c r="BR161" i="7"/>
  <c r="BQ161" i="7"/>
  <c r="BP161" i="7"/>
  <c r="BO161" i="7"/>
  <c r="BN161" i="7"/>
  <c r="BM161" i="7"/>
  <c r="BL161" i="7"/>
  <c r="BK161" i="7"/>
  <c r="BJ161" i="7"/>
  <c r="BI161" i="7"/>
  <c r="BH161" i="7"/>
  <c r="BG161" i="7"/>
  <c r="DD160" i="7"/>
  <c r="DC160" i="7"/>
  <c r="DB160" i="7"/>
  <c r="DA160" i="7"/>
  <c r="CZ160" i="7"/>
  <c r="CY160" i="7"/>
  <c r="CX160" i="7"/>
  <c r="CW160" i="7"/>
  <c r="CV160" i="7"/>
  <c r="CU160" i="7"/>
  <c r="CT160" i="7"/>
  <c r="CS160" i="7"/>
  <c r="CR160" i="7"/>
  <c r="CQ160" i="7"/>
  <c r="CP160" i="7"/>
  <c r="CO160" i="7"/>
  <c r="CN160" i="7"/>
  <c r="CM160" i="7"/>
  <c r="CL160" i="7"/>
  <c r="CK160" i="7"/>
  <c r="CJ160" i="7"/>
  <c r="CI160" i="7"/>
  <c r="CH160" i="7"/>
  <c r="CG160" i="7"/>
  <c r="CF160" i="7"/>
  <c r="CE160" i="7"/>
  <c r="CD160" i="7"/>
  <c r="CC160" i="7"/>
  <c r="CB160" i="7"/>
  <c r="CA160" i="7"/>
  <c r="BZ160" i="7"/>
  <c r="BY160" i="7"/>
  <c r="BX160" i="7"/>
  <c r="BW160" i="7"/>
  <c r="BV160" i="7"/>
  <c r="BU160" i="7"/>
  <c r="BT160" i="7"/>
  <c r="BS160" i="7"/>
  <c r="BR160" i="7"/>
  <c r="BQ160" i="7"/>
  <c r="BP160" i="7"/>
  <c r="BO160" i="7"/>
  <c r="BN160" i="7"/>
  <c r="BM160" i="7"/>
  <c r="BL160" i="7"/>
  <c r="BK160" i="7"/>
  <c r="BJ160" i="7"/>
  <c r="BI160" i="7"/>
  <c r="BH160" i="7"/>
  <c r="BG160" i="7"/>
  <c r="DD159" i="7"/>
  <c r="DC159" i="7"/>
  <c r="DB159" i="7"/>
  <c r="DA159" i="7"/>
  <c r="CZ159" i="7"/>
  <c r="CY159" i="7"/>
  <c r="CX159" i="7"/>
  <c r="CW159" i="7"/>
  <c r="CV159" i="7"/>
  <c r="CU159" i="7"/>
  <c r="CT159" i="7"/>
  <c r="CS159" i="7"/>
  <c r="CR159" i="7"/>
  <c r="CQ159" i="7"/>
  <c r="CP159" i="7"/>
  <c r="CO159" i="7"/>
  <c r="CN159" i="7"/>
  <c r="CM159" i="7"/>
  <c r="CL159" i="7"/>
  <c r="CK159" i="7"/>
  <c r="CJ159" i="7"/>
  <c r="CI159" i="7"/>
  <c r="CH159" i="7"/>
  <c r="CG159" i="7"/>
  <c r="CF159" i="7"/>
  <c r="CE159" i="7"/>
  <c r="CD159" i="7"/>
  <c r="CC159" i="7"/>
  <c r="CB159" i="7"/>
  <c r="CA159" i="7"/>
  <c r="BZ159" i="7"/>
  <c r="BY159" i="7"/>
  <c r="BX159" i="7"/>
  <c r="BW159" i="7"/>
  <c r="BV159" i="7"/>
  <c r="BU159" i="7"/>
  <c r="BT159" i="7"/>
  <c r="BS159" i="7"/>
  <c r="BR159" i="7"/>
  <c r="BQ159" i="7"/>
  <c r="BP159" i="7"/>
  <c r="BO159" i="7"/>
  <c r="BN159" i="7"/>
  <c r="BM159" i="7"/>
  <c r="BL159" i="7"/>
  <c r="BK159" i="7"/>
  <c r="BJ159" i="7"/>
  <c r="BI159" i="7"/>
  <c r="BH159" i="7"/>
  <c r="BG159" i="7"/>
  <c r="DD158" i="7"/>
  <c r="DC158" i="7"/>
  <c r="DB158" i="7"/>
  <c r="DA158" i="7"/>
  <c r="CZ158" i="7"/>
  <c r="CY158" i="7"/>
  <c r="CX158" i="7"/>
  <c r="CW158" i="7"/>
  <c r="CV158" i="7"/>
  <c r="CU158" i="7"/>
  <c r="CT158" i="7"/>
  <c r="CS158" i="7"/>
  <c r="CR158" i="7"/>
  <c r="CQ158" i="7"/>
  <c r="CP158" i="7"/>
  <c r="CO158" i="7"/>
  <c r="CN158" i="7"/>
  <c r="CM158" i="7"/>
  <c r="CL158" i="7"/>
  <c r="CK158" i="7"/>
  <c r="CJ158" i="7"/>
  <c r="CI158" i="7"/>
  <c r="CH158" i="7"/>
  <c r="CG158" i="7"/>
  <c r="CF158" i="7"/>
  <c r="CE158" i="7"/>
  <c r="CD158" i="7"/>
  <c r="CC158" i="7"/>
  <c r="CB158" i="7"/>
  <c r="CA158" i="7"/>
  <c r="BZ158" i="7"/>
  <c r="BY158" i="7"/>
  <c r="BX158" i="7"/>
  <c r="BW158" i="7"/>
  <c r="BV158" i="7"/>
  <c r="BU158" i="7"/>
  <c r="BT158" i="7"/>
  <c r="BS158" i="7"/>
  <c r="BR158" i="7"/>
  <c r="BQ158" i="7"/>
  <c r="BP158" i="7"/>
  <c r="BO158" i="7"/>
  <c r="BN158" i="7"/>
  <c r="BM158" i="7"/>
  <c r="BL158" i="7"/>
  <c r="BK158" i="7"/>
  <c r="BJ158" i="7"/>
  <c r="BI158" i="7"/>
  <c r="BH158" i="7"/>
  <c r="BG158" i="7"/>
  <c r="DD157" i="7"/>
  <c r="DC157" i="7"/>
  <c r="DB157" i="7"/>
  <c r="DA157" i="7"/>
  <c r="CZ157" i="7"/>
  <c r="CY157" i="7"/>
  <c r="CX157" i="7"/>
  <c r="CW157" i="7"/>
  <c r="CV157" i="7"/>
  <c r="CU157" i="7"/>
  <c r="CT157" i="7"/>
  <c r="CS157" i="7"/>
  <c r="CR157" i="7"/>
  <c r="CQ157" i="7"/>
  <c r="CP157" i="7"/>
  <c r="CO157" i="7"/>
  <c r="CN157" i="7"/>
  <c r="CM157" i="7"/>
  <c r="CL157" i="7"/>
  <c r="CK157" i="7"/>
  <c r="CJ157" i="7"/>
  <c r="CI157" i="7"/>
  <c r="CH157" i="7"/>
  <c r="CG157" i="7"/>
  <c r="CF157" i="7"/>
  <c r="CE157" i="7"/>
  <c r="CD157" i="7"/>
  <c r="CC157" i="7"/>
  <c r="CB157" i="7"/>
  <c r="CA157" i="7"/>
  <c r="BZ157" i="7"/>
  <c r="BY157" i="7"/>
  <c r="BX157" i="7"/>
  <c r="BW157" i="7"/>
  <c r="BV157" i="7"/>
  <c r="BU157" i="7"/>
  <c r="BT157" i="7"/>
  <c r="BS157" i="7"/>
  <c r="BR157" i="7"/>
  <c r="BQ157" i="7"/>
  <c r="BP157" i="7"/>
  <c r="BO157" i="7"/>
  <c r="BN157" i="7"/>
  <c r="BM157" i="7"/>
  <c r="BL157" i="7"/>
  <c r="BK157" i="7"/>
  <c r="BJ157" i="7"/>
  <c r="BI157" i="7"/>
  <c r="BH157" i="7"/>
  <c r="BG157" i="7"/>
  <c r="DD156" i="7"/>
  <c r="DC156" i="7"/>
  <c r="DB156" i="7"/>
  <c r="DA156" i="7"/>
  <c r="CZ156" i="7"/>
  <c r="CY156" i="7"/>
  <c r="CX156" i="7"/>
  <c r="CW156" i="7"/>
  <c r="CV156" i="7"/>
  <c r="CU156" i="7"/>
  <c r="CT156" i="7"/>
  <c r="CS156" i="7"/>
  <c r="CR156" i="7"/>
  <c r="CQ156" i="7"/>
  <c r="CP156" i="7"/>
  <c r="CO156" i="7"/>
  <c r="CN156" i="7"/>
  <c r="CM156" i="7"/>
  <c r="CL156" i="7"/>
  <c r="CK156" i="7"/>
  <c r="CJ156" i="7"/>
  <c r="CI156" i="7"/>
  <c r="CH156" i="7"/>
  <c r="CG156" i="7"/>
  <c r="CF156" i="7"/>
  <c r="CE156" i="7"/>
  <c r="CD156" i="7"/>
  <c r="CC156" i="7"/>
  <c r="CB156" i="7"/>
  <c r="CA156" i="7"/>
  <c r="BZ156" i="7"/>
  <c r="BY156" i="7"/>
  <c r="BX156" i="7"/>
  <c r="BW156" i="7"/>
  <c r="BV156" i="7"/>
  <c r="BU156" i="7"/>
  <c r="BT156" i="7"/>
  <c r="BS156" i="7"/>
  <c r="BR156" i="7"/>
  <c r="BQ156" i="7"/>
  <c r="BP156" i="7"/>
  <c r="BO156" i="7"/>
  <c r="BN156" i="7"/>
  <c r="BM156" i="7"/>
  <c r="BL156" i="7"/>
  <c r="BK156" i="7"/>
  <c r="BJ156" i="7"/>
  <c r="BI156" i="7"/>
  <c r="BH156" i="7"/>
  <c r="BG156" i="7"/>
  <c r="DD155" i="7"/>
  <c r="DC155" i="7"/>
  <c r="DB155" i="7"/>
  <c r="DA155" i="7"/>
  <c r="CZ155" i="7"/>
  <c r="CY155" i="7"/>
  <c r="CX155" i="7"/>
  <c r="CW155" i="7"/>
  <c r="CV155" i="7"/>
  <c r="CU155" i="7"/>
  <c r="CT155" i="7"/>
  <c r="CS155" i="7"/>
  <c r="CR155" i="7"/>
  <c r="CQ155" i="7"/>
  <c r="CP155" i="7"/>
  <c r="CO155" i="7"/>
  <c r="CN155" i="7"/>
  <c r="CM155" i="7"/>
  <c r="CL155" i="7"/>
  <c r="CK155" i="7"/>
  <c r="CJ155" i="7"/>
  <c r="CI155" i="7"/>
  <c r="CH155" i="7"/>
  <c r="CG155" i="7"/>
  <c r="CF155" i="7"/>
  <c r="CE155" i="7"/>
  <c r="CD155" i="7"/>
  <c r="CC155" i="7"/>
  <c r="CB155" i="7"/>
  <c r="CA155" i="7"/>
  <c r="BZ155" i="7"/>
  <c r="BY155" i="7"/>
  <c r="BX155" i="7"/>
  <c r="BW155" i="7"/>
  <c r="BV155" i="7"/>
  <c r="BU155" i="7"/>
  <c r="BT155" i="7"/>
  <c r="BS155" i="7"/>
  <c r="BR155" i="7"/>
  <c r="BQ155" i="7"/>
  <c r="BP155" i="7"/>
  <c r="BO155" i="7"/>
  <c r="BN155" i="7"/>
  <c r="BM155" i="7"/>
  <c r="BL155" i="7"/>
  <c r="BK155" i="7"/>
  <c r="BJ155" i="7"/>
  <c r="BI155" i="7"/>
  <c r="BH155" i="7"/>
  <c r="BG155" i="7"/>
  <c r="DD154" i="7"/>
  <c r="DC154" i="7"/>
  <c r="DB154" i="7"/>
  <c r="DA154" i="7"/>
  <c r="CZ154" i="7"/>
  <c r="CY154" i="7"/>
  <c r="CX154" i="7"/>
  <c r="CW154" i="7"/>
  <c r="CV154" i="7"/>
  <c r="CU154" i="7"/>
  <c r="CT154" i="7"/>
  <c r="CS154" i="7"/>
  <c r="CR154" i="7"/>
  <c r="CQ154" i="7"/>
  <c r="CP154" i="7"/>
  <c r="CO154" i="7"/>
  <c r="CN154" i="7"/>
  <c r="CM154" i="7"/>
  <c r="CL154" i="7"/>
  <c r="CK154" i="7"/>
  <c r="CJ154" i="7"/>
  <c r="CI154" i="7"/>
  <c r="CH154" i="7"/>
  <c r="CG154" i="7"/>
  <c r="CF154" i="7"/>
  <c r="CE154" i="7"/>
  <c r="CD154" i="7"/>
  <c r="CC154" i="7"/>
  <c r="CB154" i="7"/>
  <c r="CA154" i="7"/>
  <c r="BZ154" i="7"/>
  <c r="BY154" i="7"/>
  <c r="BX154" i="7"/>
  <c r="BW154" i="7"/>
  <c r="BV154" i="7"/>
  <c r="BU154" i="7"/>
  <c r="BT154" i="7"/>
  <c r="BS154" i="7"/>
  <c r="BR154" i="7"/>
  <c r="BQ154" i="7"/>
  <c r="BP154" i="7"/>
  <c r="BO154" i="7"/>
  <c r="BN154" i="7"/>
  <c r="BM154" i="7"/>
  <c r="BL154" i="7"/>
  <c r="BK154" i="7"/>
  <c r="BJ154" i="7"/>
  <c r="BI154" i="7"/>
  <c r="BH154" i="7"/>
  <c r="DD153" i="7"/>
  <c r="DC153" i="7"/>
  <c r="DB153" i="7"/>
  <c r="DA153" i="7"/>
  <c r="CZ153" i="7"/>
  <c r="CY153" i="7"/>
  <c r="CX153" i="7"/>
  <c r="CW153" i="7"/>
  <c r="CV153" i="7"/>
  <c r="CU153" i="7"/>
  <c r="CT153" i="7"/>
  <c r="CS153" i="7"/>
  <c r="CR153" i="7"/>
  <c r="CQ153" i="7"/>
  <c r="CP153" i="7"/>
  <c r="CO153" i="7"/>
  <c r="CN153" i="7"/>
  <c r="CM153" i="7"/>
  <c r="CL153" i="7"/>
  <c r="CK153" i="7"/>
  <c r="CJ153" i="7"/>
  <c r="CI153" i="7"/>
  <c r="CH153" i="7"/>
  <c r="CG153" i="7"/>
  <c r="CF153" i="7"/>
  <c r="CE153" i="7"/>
  <c r="CD153" i="7"/>
  <c r="CC153" i="7"/>
  <c r="CB153" i="7"/>
  <c r="CA153" i="7"/>
  <c r="BZ153" i="7"/>
  <c r="BY153" i="7"/>
  <c r="BX153" i="7"/>
  <c r="BW153" i="7"/>
  <c r="BV153" i="7"/>
  <c r="BU153" i="7"/>
  <c r="BT153" i="7"/>
  <c r="BS153" i="7"/>
  <c r="BR153" i="7"/>
  <c r="BQ153" i="7"/>
  <c r="BP153" i="7"/>
  <c r="BO153" i="7"/>
  <c r="BN153" i="7"/>
  <c r="BM153" i="7"/>
  <c r="BL153" i="7"/>
  <c r="BK153" i="7"/>
  <c r="BJ153" i="7"/>
  <c r="BI153" i="7"/>
  <c r="BH153" i="7"/>
  <c r="BG153" i="7"/>
  <c r="DD152" i="7"/>
  <c r="DC152" i="7"/>
  <c r="DB152" i="7"/>
  <c r="DA152" i="7"/>
  <c r="CZ152" i="7"/>
  <c r="CY152" i="7"/>
  <c r="CX152" i="7"/>
  <c r="CW152" i="7"/>
  <c r="CV152" i="7"/>
  <c r="CU152" i="7"/>
  <c r="CT152" i="7"/>
  <c r="CS152" i="7"/>
  <c r="CR152" i="7"/>
  <c r="CQ152" i="7"/>
  <c r="CP152" i="7"/>
  <c r="CO152" i="7"/>
  <c r="CN152" i="7"/>
  <c r="CM152" i="7"/>
  <c r="CL152" i="7"/>
  <c r="CK152" i="7"/>
  <c r="CJ152" i="7"/>
  <c r="CI152" i="7"/>
  <c r="CH152" i="7"/>
  <c r="CG152" i="7"/>
  <c r="CF152" i="7"/>
  <c r="CE152" i="7"/>
  <c r="CD152" i="7"/>
  <c r="CC152" i="7"/>
  <c r="CB152" i="7"/>
  <c r="CA152" i="7"/>
  <c r="BZ152" i="7"/>
  <c r="BY152" i="7"/>
  <c r="BX152" i="7"/>
  <c r="BW152" i="7"/>
  <c r="BV152" i="7"/>
  <c r="BU152" i="7"/>
  <c r="BT152" i="7"/>
  <c r="BS152" i="7"/>
  <c r="BR152" i="7"/>
  <c r="BQ152" i="7"/>
  <c r="BP152" i="7"/>
  <c r="BO152" i="7"/>
  <c r="BN152" i="7"/>
  <c r="BM152" i="7"/>
  <c r="BL152" i="7"/>
  <c r="BK152" i="7"/>
  <c r="BJ152" i="7"/>
  <c r="BI152" i="7"/>
  <c r="BH152" i="7"/>
  <c r="BG152" i="7"/>
  <c r="DD151" i="7"/>
  <c r="DC151" i="7"/>
  <c r="DB151" i="7"/>
  <c r="DA151" i="7"/>
  <c r="CZ151" i="7"/>
  <c r="CY151" i="7"/>
  <c r="CX151" i="7"/>
  <c r="CW151" i="7"/>
  <c r="CV151" i="7"/>
  <c r="CU151" i="7"/>
  <c r="CT151" i="7"/>
  <c r="CS151" i="7"/>
  <c r="CR151" i="7"/>
  <c r="CQ151" i="7"/>
  <c r="CP151" i="7"/>
  <c r="CO151" i="7"/>
  <c r="CN151" i="7"/>
  <c r="CM151" i="7"/>
  <c r="CL151" i="7"/>
  <c r="CK151" i="7"/>
  <c r="CJ151" i="7"/>
  <c r="CI151" i="7"/>
  <c r="CH151" i="7"/>
  <c r="CG151" i="7"/>
  <c r="CF151" i="7"/>
  <c r="CE151" i="7"/>
  <c r="CD151" i="7"/>
  <c r="CC151" i="7"/>
  <c r="CB151" i="7"/>
  <c r="CA151" i="7"/>
  <c r="BZ151" i="7"/>
  <c r="BY151" i="7"/>
  <c r="BX151" i="7"/>
  <c r="BW151" i="7"/>
  <c r="BV151" i="7"/>
  <c r="BU151" i="7"/>
  <c r="BT151" i="7"/>
  <c r="BS151" i="7"/>
  <c r="BR151" i="7"/>
  <c r="BQ151" i="7"/>
  <c r="BP151" i="7"/>
  <c r="BO151" i="7"/>
  <c r="BN151" i="7"/>
  <c r="BM151" i="7"/>
  <c r="BL151" i="7"/>
  <c r="BK151" i="7"/>
  <c r="BJ151" i="7"/>
  <c r="BI151" i="7"/>
  <c r="BH151" i="7"/>
  <c r="BG151" i="7"/>
  <c r="DD150" i="7"/>
  <c r="DC150" i="7"/>
  <c r="DB150" i="7"/>
  <c r="DA150" i="7"/>
  <c r="CZ150" i="7"/>
  <c r="CY150" i="7"/>
  <c r="CX150" i="7"/>
  <c r="CW150" i="7"/>
  <c r="CV150" i="7"/>
  <c r="CU150" i="7"/>
  <c r="CT150" i="7"/>
  <c r="CS150" i="7"/>
  <c r="CR150" i="7"/>
  <c r="CQ150" i="7"/>
  <c r="CP150" i="7"/>
  <c r="CO150" i="7"/>
  <c r="CN150" i="7"/>
  <c r="CM150" i="7"/>
  <c r="CL150" i="7"/>
  <c r="CK150" i="7"/>
  <c r="CJ150" i="7"/>
  <c r="CI150" i="7"/>
  <c r="CH150" i="7"/>
  <c r="CG150" i="7"/>
  <c r="CF150" i="7"/>
  <c r="CE150" i="7"/>
  <c r="CD150" i="7"/>
  <c r="CC150" i="7"/>
  <c r="CB150" i="7"/>
  <c r="CA150" i="7"/>
  <c r="BZ150" i="7"/>
  <c r="BY150" i="7"/>
  <c r="BX150" i="7"/>
  <c r="BW150" i="7"/>
  <c r="BV150" i="7"/>
  <c r="BU150" i="7"/>
  <c r="BT150" i="7"/>
  <c r="BS150" i="7"/>
  <c r="BR150" i="7"/>
  <c r="BQ150" i="7"/>
  <c r="BP150" i="7"/>
  <c r="BO150" i="7"/>
  <c r="BN150" i="7"/>
  <c r="BM150" i="7"/>
  <c r="BL150" i="7"/>
  <c r="BK150" i="7"/>
  <c r="BJ150" i="7"/>
  <c r="BI150" i="7"/>
  <c r="BH150" i="7"/>
  <c r="BG150" i="7"/>
  <c r="DD149" i="7"/>
  <c r="DC149" i="7"/>
  <c r="DB149" i="7"/>
  <c r="DA149" i="7"/>
  <c r="CZ149" i="7"/>
  <c r="CY149" i="7"/>
  <c r="CX149" i="7"/>
  <c r="CW149" i="7"/>
  <c r="CV149" i="7"/>
  <c r="CU149" i="7"/>
  <c r="CT149" i="7"/>
  <c r="CS149" i="7"/>
  <c r="CR149" i="7"/>
  <c r="CQ149" i="7"/>
  <c r="CP149" i="7"/>
  <c r="CO149" i="7"/>
  <c r="CN149" i="7"/>
  <c r="CM149" i="7"/>
  <c r="CL149" i="7"/>
  <c r="CK149" i="7"/>
  <c r="CJ149" i="7"/>
  <c r="CI149" i="7"/>
  <c r="CH149" i="7"/>
  <c r="CG149" i="7"/>
  <c r="CF149" i="7"/>
  <c r="CE149" i="7"/>
  <c r="CD149" i="7"/>
  <c r="CC149" i="7"/>
  <c r="CB149" i="7"/>
  <c r="CA149" i="7"/>
  <c r="BZ149" i="7"/>
  <c r="BY149" i="7"/>
  <c r="BX149" i="7"/>
  <c r="BW149" i="7"/>
  <c r="BV149" i="7"/>
  <c r="BU149" i="7"/>
  <c r="BT149" i="7"/>
  <c r="BS149" i="7"/>
  <c r="BR149" i="7"/>
  <c r="BQ149" i="7"/>
  <c r="BP149" i="7"/>
  <c r="BO149" i="7"/>
  <c r="BN149" i="7"/>
  <c r="BM149" i="7"/>
  <c r="BL149" i="7"/>
  <c r="BK149" i="7"/>
  <c r="BJ149" i="7"/>
  <c r="BI149" i="7"/>
  <c r="BH149" i="7"/>
  <c r="BG149" i="7"/>
  <c r="DD148" i="7"/>
  <c r="DC148" i="7"/>
  <c r="DB148" i="7"/>
  <c r="DA148" i="7"/>
  <c r="CZ148" i="7"/>
  <c r="CY148" i="7"/>
  <c r="CX148" i="7"/>
  <c r="CW148" i="7"/>
  <c r="CV148" i="7"/>
  <c r="CU148" i="7"/>
  <c r="CT148" i="7"/>
  <c r="CS148" i="7"/>
  <c r="CR148" i="7"/>
  <c r="CQ148" i="7"/>
  <c r="CP148" i="7"/>
  <c r="CO148" i="7"/>
  <c r="CN148" i="7"/>
  <c r="CM148" i="7"/>
  <c r="CL148" i="7"/>
  <c r="CK148" i="7"/>
  <c r="CJ148" i="7"/>
  <c r="CI148" i="7"/>
  <c r="CH148" i="7"/>
  <c r="CG148" i="7"/>
  <c r="CF148" i="7"/>
  <c r="CE148" i="7"/>
  <c r="CD148" i="7"/>
  <c r="CC148" i="7"/>
  <c r="CB148" i="7"/>
  <c r="CA148" i="7"/>
  <c r="BZ148" i="7"/>
  <c r="BY148" i="7"/>
  <c r="BX148" i="7"/>
  <c r="BW148" i="7"/>
  <c r="BV148" i="7"/>
  <c r="BU148" i="7"/>
  <c r="BT148" i="7"/>
  <c r="BS148" i="7"/>
  <c r="BR148" i="7"/>
  <c r="BQ148" i="7"/>
  <c r="BP148" i="7"/>
  <c r="BO148" i="7"/>
  <c r="BN148" i="7"/>
  <c r="BM148" i="7"/>
  <c r="BL148" i="7"/>
  <c r="BK148" i="7"/>
  <c r="BJ148" i="7"/>
  <c r="BI148" i="7"/>
  <c r="BH148" i="7"/>
  <c r="BG148" i="7"/>
  <c r="DD147" i="7"/>
  <c r="DC147" i="7"/>
  <c r="DB147" i="7"/>
  <c r="DA147" i="7"/>
  <c r="CZ147" i="7"/>
  <c r="CY147" i="7"/>
  <c r="CX147" i="7"/>
  <c r="CW147" i="7"/>
  <c r="CV147" i="7"/>
  <c r="CU147" i="7"/>
  <c r="CT147" i="7"/>
  <c r="CS147" i="7"/>
  <c r="CR147" i="7"/>
  <c r="CQ147" i="7"/>
  <c r="CP147" i="7"/>
  <c r="CO147" i="7"/>
  <c r="CN147" i="7"/>
  <c r="CM147" i="7"/>
  <c r="CL147" i="7"/>
  <c r="CK147" i="7"/>
  <c r="CJ147" i="7"/>
  <c r="CI147" i="7"/>
  <c r="CH147" i="7"/>
  <c r="CG147" i="7"/>
  <c r="CF147" i="7"/>
  <c r="CE147" i="7"/>
  <c r="CD147" i="7"/>
  <c r="CC147" i="7"/>
  <c r="CB147" i="7"/>
  <c r="CA147" i="7"/>
  <c r="BZ147" i="7"/>
  <c r="BY147" i="7"/>
  <c r="BX147" i="7"/>
  <c r="BW147" i="7"/>
  <c r="BV147" i="7"/>
  <c r="BU147" i="7"/>
  <c r="BT147" i="7"/>
  <c r="BS147" i="7"/>
  <c r="BR147" i="7"/>
  <c r="BQ147" i="7"/>
  <c r="BP147" i="7"/>
  <c r="BO147" i="7"/>
  <c r="BN147" i="7"/>
  <c r="BM147" i="7"/>
  <c r="BL147" i="7"/>
  <c r="BK147" i="7"/>
  <c r="BJ147" i="7"/>
  <c r="BI147" i="7"/>
  <c r="BH147" i="7"/>
  <c r="DD146" i="7"/>
  <c r="DC146" i="7"/>
  <c r="DB146" i="7"/>
  <c r="DA146" i="7"/>
  <c r="CZ146" i="7"/>
  <c r="CY146" i="7"/>
  <c r="CX146" i="7"/>
  <c r="CW146" i="7"/>
  <c r="CV146" i="7"/>
  <c r="CU146" i="7"/>
  <c r="CT146" i="7"/>
  <c r="CS146" i="7"/>
  <c r="CR146" i="7"/>
  <c r="CQ146" i="7"/>
  <c r="CP146" i="7"/>
  <c r="CO146" i="7"/>
  <c r="CN146" i="7"/>
  <c r="CM146" i="7"/>
  <c r="CL146" i="7"/>
  <c r="CK146" i="7"/>
  <c r="CJ146" i="7"/>
  <c r="CI146" i="7"/>
  <c r="CH146" i="7"/>
  <c r="CG146" i="7"/>
  <c r="CF146" i="7"/>
  <c r="CE146" i="7"/>
  <c r="CD146" i="7"/>
  <c r="CC146" i="7"/>
  <c r="CB146" i="7"/>
  <c r="CA146" i="7"/>
  <c r="BZ146" i="7"/>
  <c r="BY146" i="7"/>
  <c r="BX146" i="7"/>
  <c r="BW146" i="7"/>
  <c r="BV146" i="7"/>
  <c r="BU146" i="7"/>
  <c r="BT146" i="7"/>
  <c r="BS146" i="7"/>
  <c r="BR146" i="7"/>
  <c r="BQ146" i="7"/>
  <c r="BP146" i="7"/>
  <c r="BO146" i="7"/>
  <c r="BN146" i="7"/>
  <c r="BM146" i="7"/>
  <c r="BL146" i="7"/>
  <c r="BK146" i="7"/>
  <c r="BJ146" i="7"/>
  <c r="BI146" i="7"/>
  <c r="BH146" i="7"/>
  <c r="BG146" i="7"/>
  <c r="DD145" i="7"/>
  <c r="DC145" i="7"/>
  <c r="DB145" i="7"/>
  <c r="DA145" i="7"/>
  <c r="CZ145" i="7"/>
  <c r="CY145" i="7"/>
  <c r="CX145" i="7"/>
  <c r="CW145" i="7"/>
  <c r="CV145" i="7"/>
  <c r="CU145" i="7"/>
  <c r="CT145" i="7"/>
  <c r="CS145" i="7"/>
  <c r="CR145" i="7"/>
  <c r="CQ145" i="7"/>
  <c r="CP145" i="7"/>
  <c r="CO145" i="7"/>
  <c r="CN145" i="7"/>
  <c r="CM145" i="7"/>
  <c r="CL145" i="7"/>
  <c r="CK145" i="7"/>
  <c r="CJ145" i="7"/>
  <c r="CI145" i="7"/>
  <c r="CH145" i="7"/>
  <c r="CG145" i="7"/>
  <c r="CF145" i="7"/>
  <c r="CE145" i="7"/>
  <c r="CD145" i="7"/>
  <c r="CC145" i="7"/>
  <c r="CB145" i="7"/>
  <c r="CA145" i="7"/>
  <c r="BZ145" i="7"/>
  <c r="BY145" i="7"/>
  <c r="BX145" i="7"/>
  <c r="BW145" i="7"/>
  <c r="BV145" i="7"/>
  <c r="BU145" i="7"/>
  <c r="BT145" i="7"/>
  <c r="BS145" i="7"/>
  <c r="BR145" i="7"/>
  <c r="BQ145" i="7"/>
  <c r="BP145" i="7"/>
  <c r="BO145" i="7"/>
  <c r="BN145" i="7"/>
  <c r="BM145" i="7"/>
  <c r="BL145" i="7"/>
  <c r="BK145" i="7"/>
  <c r="BJ145" i="7"/>
  <c r="BI145" i="7"/>
  <c r="BH145" i="7"/>
  <c r="BG145" i="7"/>
  <c r="DD144" i="7"/>
  <c r="DC144" i="7"/>
  <c r="DB144" i="7"/>
  <c r="DA144" i="7"/>
  <c r="CZ144" i="7"/>
  <c r="CY144" i="7"/>
  <c r="CX144" i="7"/>
  <c r="CW144" i="7"/>
  <c r="CV144" i="7"/>
  <c r="CU144" i="7"/>
  <c r="CT144" i="7"/>
  <c r="CS144" i="7"/>
  <c r="CR144" i="7"/>
  <c r="CQ144" i="7"/>
  <c r="CP144" i="7"/>
  <c r="CO144" i="7"/>
  <c r="CN144" i="7"/>
  <c r="CM144" i="7"/>
  <c r="CL144" i="7"/>
  <c r="CK144" i="7"/>
  <c r="CJ144" i="7"/>
  <c r="CI144" i="7"/>
  <c r="CH144" i="7"/>
  <c r="CG144" i="7"/>
  <c r="CF144" i="7"/>
  <c r="CE144" i="7"/>
  <c r="CD144" i="7"/>
  <c r="CC144" i="7"/>
  <c r="CB144" i="7"/>
  <c r="CA144" i="7"/>
  <c r="BZ144" i="7"/>
  <c r="BY144" i="7"/>
  <c r="BX144" i="7"/>
  <c r="BW144" i="7"/>
  <c r="BV144" i="7"/>
  <c r="BU144" i="7"/>
  <c r="BT144" i="7"/>
  <c r="BS144" i="7"/>
  <c r="BR144" i="7"/>
  <c r="BQ144" i="7"/>
  <c r="BP144" i="7"/>
  <c r="BO144" i="7"/>
  <c r="BN144" i="7"/>
  <c r="BM144" i="7"/>
  <c r="BL144" i="7"/>
  <c r="BK144" i="7"/>
  <c r="BJ144" i="7"/>
  <c r="BI144" i="7"/>
  <c r="BH144" i="7"/>
  <c r="BG144" i="7"/>
  <c r="DD143" i="7"/>
  <c r="DC143" i="7"/>
  <c r="DB143" i="7"/>
  <c r="DA143" i="7"/>
  <c r="CZ143" i="7"/>
  <c r="CY143" i="7"/>
  <c r="CX143" i="7"/>
  <c r="CW143" i="7"/>
  <c r="CV143" i="7"/>
  <c r="CU143" i="7"/>
  <c r="CT143" i="7"/>
  <c r="CS143" i="7"/>
  <c r="CR143" i="7"/>
  <c r="CQ143" i="7"/>
  <c r="CP143" i="7"/>
  <c r="CO143" i="7"/>
  <c r="CN143" i="7"/>
  <c r="CM143" i="7"/>
  <c r="CL143" i="7"/>
  <c r="CK143" i="7"/>
  <c r="CJ143" i="7"/>
  <c r="CI143" i="7"/>
  <c r="CH143" i="7"/>
  <c r="CG143" i="7"/>
  <c r="CF143" i="7"/>
  <c r="CE143" i="7"/>
  <c r="CD143" i="7"/>
  <c r="CC143" i="7"/>
  <c r="CB143" i="7"/>
  <c r="CA143" i="7"/>
  <c r="BZ143" i="7"/>
  <c r="BY143" i="7"/>
  <c r="BX143" i="7"/>
  <c r="BW143" i="7"/>
  <c r="BV143" i="7"/>
  <c r="BU143" i="7"/>
  <c r="BT143" i="7"/>
  <c r="BS143" i="7"/>
  <c r="BR143" i="7"/>
  <c r="BQ143" i="7"/>
  <c r="BP143" i="7"/>
  <c r="BO143" i="7"/>
  <c r="BN143" i="7"/>
  <c r="BM143" i="7"/>
  <c r="BL143" i="7"/>
  <c r="BK143" i="7"/>
  <c r="BJ143" i="7"/>
  <c r="BI143" i="7"/>
  <c r="BH143" i="7"/>
  <c r="BG143" i="7"/>
  <c r="DD142" i="7"/>
  <c r="DC142" i="7"/>
  <c r="DB142" i="7"/>
  <c r="DA142" i="7"/>
  <c r="CZ142" i="7"/>
  <c r="CY142" i="7"/>
  <c r="CX142" i="7"/>
  <c r="CW142" i="7"/>
  <c r="CV142" i="7"/>
  <c r="CU142" i="7"/>
  <c r="CT142" i="7"/>
  <c r="CS142" i="7"/>
  <c r="CR142" i="7"/>
  <c r="CQ142" i="7"/>
  <c r="CP142" i="7"/>
  <c r="CO142" i="7"/>
  <c r="CN142" i="7"/>
  <c r="CM142" i="7"/>
  <c r="CL142" i="7"/>
  <c r="CK142" i="7"/>
  <c r="CJ142" i="7"/>
  <c r="CI142" i="7"/>
  <c r="CH142" i="7"/>
  <c r="CG142" i="7"/>
  <c r="CF142" i="7"/>
  <c r="CE142" i="7"/>
  <c r="CD142" i="7"/>
  <c r="CC142" i="7"/>
  <c r="CB142" i="7"/>
  <c r="CA142" i="7"/>
  <c r="BZ142" i="7"/>
  <c r="BY142" i="7"/>
  <c r="BX142" i="7"/>
  <c r="BW142" i="7"/>
  <c r="BV142" i="7"/>
  <c r="BU142" i="7"/>
  <c r="BT142" i="7"/>
  <c r="BS142" i="7"/>
  <c r="BR142" i="7"/>
  <c r="BQ142" i="7"/>
  <c r="BP142" i="7"/>
  <c r="BO142" i="7"/>
  <c r="BN142" i="7"/>
  <c r="BM142" i="7"/>
  <c r="BL142" i="7"/>
  <c r="BK142" i="7"/>
  <c r="BJ142" i="7"/>
  <c r="BI142" i="7"/>
  <c r="BH142" i="7"/>
  <c r="BG142" i="7"/>
  <c r="DD141" i="7"/>
  <c r="DC141" i="7"/>
  <c r="DB141" i="7"/>
  <c r="DA141" i="7"/>
  <c r="CZ141" i="7"/>
  <c r="CY141" i="7"/>
  <c r="CX141" i="7"/>
  <c r="CW141" i="7"/>
  <c r="CV141" i="7"/>
  <c r="CU141" i="7"/>
  <c r="CT141" i="7"/>
  <c r="CS141" i="7"/>
  <c r="CR141" i="7"/>
  <c r="CQ141" i="7"/>
  <c r="CP141" i="7"/>
  <c r="CO141" i="7"/>
  <c r="CN141" i="7"/>
  <c r="CM141" i="7"/>
  <c r="CL141" i="7"/>
  <c r="CK141" i="7"/>
  <c r="CJ141" i="7"/>
  <c r="CI141" i="7"/>
  <c r="CH141" i="7"/>
  <c r="CG141" i="7"/>
  <c r="CF141" i="7"/>
  <c r="CE141" i="7"/>
  <c r="CD141" i="7"/>
  <c r="CC141" i="7"/>
  <c r="CB141" i="7"/>
  <c r="CA141" i="7"/>
  <c r="BZ141" i="7"/>
  <c r="BY141" i="7"/>
  <c r="BX141" i="7"/>
  <c r="BW141" i="7"/>
  <c r="BV141" i="7"/>
  <c r="BU141" i="7"/>
  <c r="BT141" i="7"/>
  <c r="BS141" i="7"/>
  <c r="BR141" i="7"/>
  <c r="BQ141" i="7"/>
  <c r="BP141" i="7"/>
  <c r="BO141" i="7"/>
  <c r="BN141" i="7"/>
  <c r="BM141" i="7"/>
  <c r="BL141" i="7"/>
  <c r="BK141" i="7"/>
  <c r="BJ141" i="7"/>
  <c r="BI141" i="7"/>
  <c r="BH141" i="7"/>
  <c r="BG141" i="7"/>
  <c r="DD140" i="7"/>
  <c r="DC140" i="7"/>
  <c r="DB140" i="7"/>
  <c r="DA140" i="7"/>
  <c r="CZ140" i="7"/>
  <c r="CY140" i="7"/>
  <c r="CX140" i="7"/>
  <c r="CW140" i="7"/>
  <c r="CV140" i="7"/>
  <c r="CU140" i="7"/>
  <c r="CT140" i="7"/>
  <c r="CS140" i="7"/>
  <c r="CR140" i="7"/>
  <c r="CQ140" i="7"/>
  <c r="CP140" i="7"/>
  <c r="CO140" i="7"/>
  <c r="CN140" i="7"/>
  <c r="CM140" i="7"/>
  <c r="CL140" i="7"/>
  <c r="CK140" i="7"/>
  <c r="CJ140" i="7"/>
  <c r="CI140" i="7"/>
  <c r="CH140" i="7"/>
  <c r="CG140" i="7"/>
  <c r="CF140" i="7"/>
  <c r="CE140" i="7"/>
  <c r="CD140" i="7"/>
  <c r="CC140" i="7"/>
  <c r="CB140" i="7"/>
  <c r="CA140" i="7"/>
  <c r="BZ140" i="7"/>
  <c r="BY140" i="7"/>
  <c r="BX140" i="7"/>
  <c r="BW140" i="7"/>
  <c r="BV140" i="7"/>
  <c r="BU140" i="7"/>
  <c r="BT140" i="7"/>
  <c r="BS140" i="7"/>
  <c r="BR140" i="7"/>
  <c r="BQ140" i="7"/>
  <c r="BP140" i="7"/>
  <c r="BO140" i="7"/>
  <c r="BN140" i="7"/>
  <c r="BM140" i="7"/>
  <c r="BL140" i="7"/>
  <c r="BK140" i="7"/>
  <c r="BJ140" i="7"/>
  <c r="BI140" i="7"/>
  <c r="BH140" i="7"/>
  <c r="BG140" i="7"/>
  <c r="DD139" i="7"/>
  <c r="DC139" i="7"/>
  <c r="DB139" i="7"/>
  <c r="DA139" i="7"/>
  <c r="CZ139" i="7"/>
  <c r="CY139" i="7"/>
  <c r="CX139" i="7"/>
  <c r="CW139" i="7"/>
  <c r="CV139" i="7"/>
  <c r="CU139" i="7"/>
  <c r="CT139" i="7"/>
  <c r="CS139" i="7"/>
  <c r="CR139" i="7"/>
  <c r="CQ139" i="7"/>
  <c r="CP139" i="7"/>
  <c r="CO139" i="7"/>
  <c r="CN139" i="7"/>
  <c r="CM139" i="7"/>
  <c r="CL139" i="7"/>
  <c r="CK139" i="7"/>
  <c r="CJ139" i="7"/>
  <c r="CI139" i="7"/>
  <c r="CH139" i="7"/>
  <c r="CG139" i="7"/>
  <c r="CF139" i="7"/>
  <c r="CE139" i="7"/>
  <c r="CD139" i="7"/>
  <c r="CC139" i="7"/>
  <c r="CB139" i="7"/>
  <c r="CA139" i="7"/>
  <c r="BZ139" i="7"/>
  <c r="BY139" i="7"/>
  <c r="BX139" i="7"/>
  <c r="BW139" i="7"/>
  <c r="BV139" i="7"/>
  <c r="BU139" i="7"/>
  <c r="BT139" i="7"/>
  <c r="BS139" i="7"/>
  <c r="BR139" i="7"/>
  <c r="BQ139" i="7"/>
  <c r="BP139" i="7"/>
  <c r="BO139" i="7"/>
  <c r="BN139" i="7"/>
  <c r="BM139" i="7"/>
  <c r="BL139" i="7"/>
  <c r="BK139" i="7"/>
  <c r="BJ139" i="7"/>
  <c r="BI139" i="7"/>
  <c r="BH139" i="7"/>
  <c r="BG139" i="7"/>
  <c r="DD138" i="7"/>
  <c r="DC138" i="7"/>
  <c r="DB138" i="7"/>
  <c r="DA138" i="7"/>
  <c r="CZ138" i="7"/>
  <c r="CY138" i="7"/>
  <c r="CX138" i="7"/>
  <c r="CW138" i="7"/>
  <c r="CV138" i="7"/>
  <c r="CU138" i="7"/>
  <c r="CT138" i="7"/>
  <c r="CS138" i="7"/>
  <c r="CR138" i="7"/>
  <c r="CQ138" i="7"/>
  <c r="CP138" i="7"/>
  <c r="CO138" i="7"/>
  <c r="CN138" i="7"/>
  <c r="CM138" i="7"/>
  <c r="CL138" i="7"/>
  <c r="CK138" i="7"/>
  <c r="CJ138" i="7"/>
  <c r="CI138" i="7"/>
  <c r="CH138" i="7"/>
  <c r="CG138" i="7"/>
  <c r="CF138" i="7"/>
  <c r="CE138" i="7"/>
  <c r="CD138" i="7"/>
  <c r="CC138" i="7"/>
  <c r="CB138" i="7"/>
  <c r="CA138" i="7"/>
  <c r="BZ138" i="7"/>
  <c r="BY138" i="7"/>
  <c r="BX138" i="7"/>
  <c r="BW138" i="7"/>
  <c r="BV138" i="7"/>
  <c r="BU138" i="7"/>
  <c r="BT138" i="7"/>
  <c r="BS138" i="7"/>
  <c r="BR138" i="7"/>
  <c r="BQ138" i="7"/>
  <c r="BP138" i="7"/>
  <c r="BO138" i="7"/>
  <c r="BN138" i="7"/>
  <c r="BM138" i="7"/>
  <c r="BL138" i="7"/>
  <c r="BK138" i="7"/>
  <c r="BJ138" i="7"/>
  <c r="BI138" i="7"/>
  <c r="BH138" i="7"/>
  <c r="BG138" i="7"/>
  <c r="DD137" i="7"/>
  <c r="DC137" i="7"/>
  <c r="DB137" i="7"/>
  <c r="DA137" i="7"/>
  <c r="CZ137" i="7"/>
  <c r="CY137" i="7"/>
  <c r="CX137" i="7"/>
  <c r="CW137" i="7"/>
  <c r="CV137" i="7"/>
  <c r="CU137" i="7"/>
  <c r="CT137" i="7"/>
  <c r="CS137" i="7"/>
  <c r="CR137" i="7"/>
  <c r="CQ137" i="7"/>
  <c r="CP137" i="7"/>
  <c r="CO137" i="7"/>
  <c r="CN137" i="7"/>
  <c r="CM137" i="7"/>
  <c r="CL137" i="7"/>
  <c r="CK137" i="7"/>
  <c r="CJ137" i="7"/>
  <c r="CI137" i="7"/>
  <c r="CH137" i="7"/>
  <c r="CG137" i="7"/>
  <c r="CF137" i="7"/>
  <c r="CE137" i="7"/>
  <c r="CD137" i="7"/>
  <c r="CC137" i="7"/>
  <c r="CB137" i="7"/>
  <c r="CA137" i="7"/>
  <c r="BZ137" i="7"/>
  <c r="BY137" i="7"/>
  <c r="BX137" i="7"/>
  <c r="BW137" i="7"/>
  <c r="BV137" i="7"/>
  <c r="BU137" i="7"/>
  <c r="BT137" i="7"/>
  <c r="BS137" i="7"/>
  <c r="BR137" i="7"/>
  <c r="BQ137" i="7"/>
  <c r="BP137" i="7"/>
  <c r="BO137" i="7"/>
  <c r="BN137" i="7"/>
  <c r="BM137" i="7"/>
  <c r="BL137" i="7"/>
  <c r="BK137" i="7"/>
  <c r="BJ137" i="7"/>
  <c r="BI137" i="7"/>
  <c r="BH137" i="7"/>
  <c r="BG137" i="7"/>
  <c r="DD136" i="7"/>
  <c r="DC136" i="7"/>
  <c r="DB136" i="7"/>
  <c r="DA136" i="7"/>
  <c r="CZ136" i="7"/>
  <c r="CY136" i="7"/>
  <c r="CX136" i="7"/>
  <c r="CW136" i="7"/>
  <c r="CV136" i="7"/>
  <c r="CU136" i="7"/>
  <c r="CT136" i="7"/>
  <c r="CS136" i="7"/>
  <c r="CR136" i="7"/>
  <c r="CQ136" i="7"/>
  <c r="CP136" i="7"/>
  <c r="CO136" i="7"/>
  <c r="CN136" i="7"/>
  <c r="CM136" i="7"/>
  <c r="CL136" i="7"/>
  <c r="CK136" i="7"/>
  <c r="CJ136" i="7"/>
  <c r="CI136" i="7"/>
  <c r="CH136" i="7"/>
  <c r="CG136" i="7"/>
  <c r="CF136" i="7"/>
  <c r="CE136" i="7"/>
  <c r="CD136" i="7"/>
  <c r="CC136" i="7"/>
  <c r="CB136" i="7"/>
  <c r="CA136" i="7"/>
  <c r="BZ136" i="7"/>
  <c r="BY136" i="7"/>
  <c r="BX136" i="7"/>
  <c r="BW136" i="7"/>
  <c r="BV136" i="7"/>
  <c r="BU136" i="7"/>
  <c r="BT136" i="7"/>
  <c r="BS136" i="7"/>
  <c r="BR136" i="7"/>
  <c r="BQ136" i="7"/>
  <c r="BP136" i="7"/>
  <c r="BO136" i="7"/>
  <c r="BN136" i="7"/>
  <c r="BM136" i="7"/>
  <c r="BL136" i="7"/>
  <c r="BK136" i="7"/>
  <c r="BJ136" i="7"/>
  <c r="BI136" i="7"/>
  <c r="BH136" i="7"/>
  <c r="BG136" i="7"/>
  <c r="DD135" i="7"/>
  <c r="DC135" i="7"/>
  <c r="DB135" i="7"/>
  <c r="DA135" i="7"/>
  <c r="CZ135" i="7"/>
  <c r="CY135" i="7"/>
  <c r="CX135" i="7"/>
  <c r="CW135" i="7"/>
  <c r="CV135" i="7"/>
  <c r="CU135" i="7"/>
  <c r="CT135" i="7"/>
  <c r="CS135" i="7"/>
  <c r="CR135" i="7"/>
  <c r="CQ135" i="7"/>
  <c r="CP135" i="7"/>
  <c r="CO135" i="7"/>
  <c r="CN135" i="7"/>
  <c r="CM135" i="7"/>
  <c r="CL135" i="7"/>
  <c r="CK135" i="7"/>
  <c r="CJ135" i="7"/>
  <c r="CI135" i="7"/>
  <c r="CH135" i="7"/>
  <c r="CG135" i="7"/>
  <c r="CF135" i="7"/>
  <c r="CE135" i="7"/>
  <c r="CD135" i="7"/>
  <c r="CC135" i="7"/>
  <c r="CB135" i="7"/>
  <c r="CA135" i="7"/>
  <c r="BZ135" i="7"/>
  <c r="BY135" i="7"/>
  <c r="BX135" i="7"/>
  <c r="BW135" i="7"/>
  <c r="BV135" i="7"/>
  <c r="BU135" i="7"/>
  <c r="BT135" i="7"/>
  <c r="BS135" i="7"/>
  <c r="BR135" i="7"/>
  <c r="BQ135" i="7"/>
  <c r="BP135" i="7"/>
  <c r="BO135" i="7"/>
  <c r="BN135" i="7"/>
  <c r="BM135" i="7"/>
  <c r="BL135" i="7"/>
  <c r="BK135" i="7"/>
  <c r="BJ135" i="7"/>
  <c r="BI135" i="7"/>
  <c r="BH135" i="7"/>
  <c r="BG135" i="7"/>
  <c r="DD134" i="7"/>
  <c r="DC134" i="7"/>
  <c r="DB134" i="7"/>
  <c r="DA134" i="7"/>
  <c r="CZ134" i="7"/>
  <c r="CY134" i="7"/>
  <c r="CX134" i="7"/>
  <c r="CW134" i="7"/>
  <c r="CV134" i="7"/>
  <c r="CU134" i="7"/>
  <c r="CT134" i="7"/>
  <c r="CS134" i="7"/>
  <c r="CR134" i="7"/>
  <c r="CQ134" i="7"/>
  <c r="CP134" i="7"/>
  <c r="CO134" i="7"/>
  <c r="CN134" i="7"/>
  <c r="CM134" i="7"/>
  <c r="CL134" i="7"/>
  <c r="CK134" i="7"/>
  <c r="CJ134" i="7"/>
  <c r="CI134" i="7"/>
  <c r="CH134" i="7"/>
  <c r="CG134" i="7"/>
  <c r="CF134" i="7"/>
  <c r="CE134" i="7"/>
  <c r="CD134" i="7"/>
  <c r="CC134" i="7"/>
  <c r="CB134" i="7"/>
  <c r="CA134" i="7"/>
  <c r="BZ134" i="7"/>
  <c r="BY134" i="7"/>
  <c r="BX134" i="7"/>
  <c r="BW134" i="7"/>
  <c r="BV134" i="7"/>
  <c r="BU134" i="7"/>
  <c r="BT134" i="7"/>
  <c r="BS134" i="7"/>
  <c r="BR134" i="7"/>
  <c r="BQ134" i="7"/>
  <c r="BP134" i="7"/>
  <c r="BO134" i="7"/>
  <c r="BN134" i="7"/>
  <c r="BM134" i="7"/>
  <c r="BL134" i="7"/>
  <c r="BK134" i="7"/>
  <c r="BJ134" i="7"/>
  <c r="BI134" i="7"/>
  <c r="BH134" i="7"/>
  <c r="BG134" i="7"/>
  <c r="DD133" i="7"/>
  <c r="DC133" i="7"/>
  <c r="DB133" i="7"/>
  <c r="DA133" i="7"/>
  <c r="CZ133" i="7"/>
  <c r="CY133" i="7"/>
  <c r="CX133" i="7"/>
  <c r="CW133" i="7"/>
  <c r="CV133" i="7"/>
  <c r="CU133" i="7"/>
  <c r="CT133" i="7"/>
  <c r="CS133" i="7"/>
  <c r="CR133" i="7"/>
  <c r="CQ133" i="7"/>
  <c r="CP133" i="7"/>
  <c r="CO133" i="7"/>
  <c r="CN133" i="7"/>
  <c r="CM133" i="7"/>
  <c r="CL133" i="7"/>
  <c r="CK133" i="7"/>
  <c r="CJ133" i="7"/>
  <c r="CI133" i="7"/>
  <c r="CH133" i="7"/>
  <c r="CG133" i="7"/>
  <c r="CF133" i="7"/>
  <c r="CE133" i="7"/>
  <c r="CD133" i="7"/>
  <c r="CC133" i="7"/>
  <c r="CB133" i="7"/>
  <c r="CA133" i="7"/>
  <c r="BZ133" i="7"/>
  <c r="BY133" i="7"/>
  <c r="BX133" i="7"/>
  <c r="BW133" i="7"/>
  <c r="BV133" i="7"/>
  <c r="BU133" i="7"/>
  <c r="BT133" i="7"/>
  <c r="BS133" i="7"/>
  <c r="BR133" i="7"/>
  <c r="BQ133" i="7"/>
  <c r="BP133" i="7"/>
  <c r="BO133" i="7"/>
  <c r="BN133" i="7"/>
  <c r="BM133" i="7"/>
  <c r="BL133" i="7"/>
  <c r="BK133" i="7"/>
  <c r="BJ133" i="7"/>
  <c r="DD132" i="7"/>
  <c r="DC132" i="7"/>
  <c r="DB132" i="7"/>
  <c r="DA132" i="7"/>
  <c r="CZ132" i="7"/>
  <c r="CY132" i="7"/>
  <c r="CX132" i="7"/>
  <c r="CW132" i="7"/>
  <c r="CV132" i="7"/>
  <c r="CU132" i="7"/>
  <c r="CT132" i="7"/>
  <c r="CS132" i="7"/>
  <c r="CR132" i="7"/>
  <c r="CQ132" i="7"/>
  <c r="CP132" i="7"/>
  <c r="CO132" i="7"/>
  <c r="CN132" i="7"/>
  <c r="CM132" i="7"/>
  <c r="CL132" i="7"/>
  <c r="CK132" i="7"/>
  <c r="CJ132" i="7"/>
  <c r="CI132" i="7"/>
  <c r="CH132" i="7"/>
  <c r="CG132" i="7"/>
  <c r="CF132" i="7"/>
  <c r="CE132" i="7"/>
  <c r="CD132" i="7"/>
  <c r="CC132" i="7"/>
  <c r="CB132" i="7"/>
  <c r="CA132" i="7"/>
  <c r="BZ132" i="7"/>
  <c r="BY132" i="7"/>
  <c r="BX132" i="7"/>
  <c r="BW132" i="7"/>
  <c r="BV132" i="7"/>
  <c r="BU132" i="7"/>
  <c r="BT132" i="7"/>
  <c r="BS132" i="7"/>
  <c r="BR132" i="7"/>
  <c r="BQ132" i="7"/>
  <c r="BP132" i="7"/>
  <c r="BO132" i="7"/>
  <c r="BN132" i="7"/>
  <c r="BM132" i="7"/>
  <c r="BL132" i="7"/>
  <c r="BK132" i="7"/>
  <c r="BJ132" i="7"/>
  <c r="BI132" i="7"/>
  <c r="BH132" i="7"/>
  <c r="BG132" i="7"/>
  <c r="DD131" i="7"/>
  <c r="DC131" i="7"/>
  <c r="DB131" i="7"/>
  <c r="DA131" i="7"/>
  <c r="CZ131" i="7"/>
  <c r="CY131" i="7"/>
  <c r="CX131" i="7"/>
  <c r="CW131" i="7"/>
  <c r="CV131" i="7"/>
  <c r="CU131" i="7"/>
  <c r="CT131" i="7"/>
  <c r="CS131" i="7"/>
  <c r="CR131" i="7"/>
  <c r="CQ131" i="7"/>
  <c r="CP131" i="7"/>
  <c r="CO131" i="7"/>
  <c r="CN131" i="7"/>
  <c r="CM131" i="7"/>
  <c r="CL131" i="7"/>
  <c r="CK131" i="7"/>
  <c r="CJ131" i="7"/>
  <c r="CI131" i="7"/>
  <c r="CH131" i="7"/>
  <c r="CG131" i="7"/>
  <c r="CF131" i="7"/>
  <c r="CE131" i="7"/>
  <c r="CD131" i="7"/>
  <c r="CC131" i="7"/>
  <c r="CB131" i="7"/>
  <c r="CA131" i="7"/>
  <c r="BZ131" i="7"/>
  <c r="BY131" i="7"/>
  <c r="BX131" i="7"/>
  <c r="BW131" i="7"/>
  <c r="BV131" i="7"/>
  <c r="BU131" i="7"/>
  <c r="BT131" i="7"/>
  <c r="BS131" i="7"/>
  <c r="BR131" i="7"/>
  <c r="BQ131" i="7"/>
  <c r="BP131" i="7"/>
  <c r="BO131" i="7"/>
  <c r="BN131" i="7"/>
  <c r="BM131" i="7"/>
  <c r="BL131" i="7"/>
  <c r="BK131" i="7"/>
  <c r="BJ131" i="7"/>
  <c r="DD130" i="7"/>
  <c r="DC130" i="7"/>
  <c r="DB130" i="7"/>
  <c r="DA130" i="7"/>
  <c r="CZ130" i="7"/>
  <c r="CY130" i="7"/>
  <c r="CX130" i="7"/>
  <c r="CW130" i="7"/>
  <c r="CV130" i="7"/>
  <c r="CU130" i="7"/>
  <c r="CT130" i="7"/>
  <c r="CS130" i="7"/>
  <c r="CR130" i="7"/>
  <c r="CQ130" i="7"/>
  <c r="CP130" i="7"/>
  <c r="CO130" i="7"/>
  <c r="CN130" i="7"/>
  <c r="CM130" i="7"/>
  <c r="CL130" i="7"/>
  <c r="CK130" i="7"/>
  <c r="CJ130" i="7"/>
  <c r="CI130" i="7"/>
  <c r="CH130" i="7"/>
  <c r="CG130" i="7"/>
  <c r="CF130" i="7"/>
  <c r="CE130" i="7"/>
  <c r="CD130" i="7"/>
  <c r="CC130" i="7"/>
  <c r="CB130" i="7"/>
  <c r="CA130" i="7"/>
  <c r="BZ130" i="7"/>
  <c r="BY130" i="7"/>
  <c r="BX130" i="7"/>
  <c r="BW130" i="7"/>
  <c r="BV130" i="7"/>
  <c r="BU130" i="7"/>
  <c r="BT130" i="7"/>
  <c r="BS130" i="7"/>
  <c r="BR130" i="7"/>
  <c r="BQ130" i="7"/>
  <c r="BP130" i="7"/>
  <c r="BO130" i="7"/>
  <c r="BN130" i="7"/>
  <c r="BM130" i="7"/>
  <c r="BL130" i="7"/>
  <c r="BK130" i="7"/>
  <c r="BJ130" i="7"/>
  <c r="BI130" i="7"/>
  <c r="BH130" i="7"/>
  <c r="BG130" i="7"/>
  <c r="DD129" i="7"/>
  <c r="DC129" i="7"/>
  <c r="DB129" i="7"/>
  <c r="DA129" i="7"/>
  <c r="CZ129" i="7"/>
  <c r="CY129" i="7"/>
  <c r="CX129" i="7"/>
  <c r="CW129" i="7"/>
  <c r="CV129" i="7"/>
  <c r="CU129" i="7"/>
  <c r="CT129" i="7"/>
  <c r="CS129" i="7"/>
  <c r="CR129" i="7"/>
  <c r="CQ129" i="7"/>
  <c r="CP129" i="7"/>
  <c r="CO129" i="7"/>
  <c r="CN129" i="7"/>
  <c r="CM129" i="7"/>
  <c r="CL129" i="7"/>
  <c r="CK129" i="7"/>
  <c r="CJ129" i="7"/>
  <c r="CI129" i="7"/>
  <c r="CH129" i="7"/>
  <c r="CG129" i="7"/>
  <c r="CF129" i="7"/>
  <c r="CE129" i="7"/>
  <c r="CD129" i="7"/>
  <c r="CC129" i="7"/>
  <c r="CB129" i="7"/>
  <c r="CA129" i="7"/>
  <c r="BZ129" i="7"/>
  <c r="BY129" i="7"/>
  <c r="BX129" i="7"/>
  <c r="BW129" i="7"/>
  <c r="BV129" i="7"/>
  <c r="BU129" i="7"/>
  <c r="BT129" i="7"/>
  <c r="BS129" i="7"/>
  <c r="BR129" i="7"/>
  <c r="BQ129" i="7"/>
  <c r="BP129" i="7"/>
  <c r="BO129" i="7"/>
  <c r="BN129" i="7"/>
  <c r="BM129" i="7"/>
  <c r="BL129" i="7"/>
  <c r="BK129" i="7"/>
  <c r="BJ129" i="7"/>
  <c r="BI129" i="7"/>
  <c r="BH129" i="7"/>
  <c r="DD128" i="7"/>
  <c r="DC128" i="7"/>
  <c r="DB128" i="7"/>
  <c r="DA128" i="7"/>
  <c r="CZ128" i="7"/>
  <c r="CY128" i="7"/>
  <c r="CX128" i="7"/>
  <c r="CW128" i="7"/>
  <c r="CV128" i="7"/>
  <c r="CU128" i="7"/>
  <c r="CT128" i="7"/>
  <c r="CS128" i="7"/>
  <c r="CR128" i="7"/>
  <c r="CQ128" i="7"/>
  <c r="CP128" i="7"/>
  <c r="CO128" i="7"/>
  <c r="CN128" i="7"/>
  <c r="CM128" i="7"/>
  <c r="CL128" i="7"/>
  <c r="CK128" i="7"/>
  <c r="CJ128" i="7"/>
  <c r="CI128" i="7"/>
  <c r="CH128" i="7"/>
  <c r="CG128" i="7"/>
  <c r="CF128" i="7"/>
  <c r="CE128" i="7"/>
  <c r="CD128" i="7"/>
  <c r="CC128" i="7"/>
  <c r="CB128" i="7"/>
  <c r="CA128" i="7"/>
  <c r="BZ128" i="7"/>
  <c r="BY128" i="7"/>
  <c r="BX128" i="7"/>
  <c r="BW128" i="7"/>
  <c r="BV128" i="7"/>
  <c r="BU128" i="7"/>
  <c r="BT128" i="7"/>
  <c r="BS128" i="7"/>
  <c r="BP128" i="7"/>
  <c r="BH128" i="7"/>
  <c r="BL128" i="7"/>
  <c r="DD127" i="7"/>
  <c r="DC127" i="7"/>
  <c r="DB127" i="7"/>
  <c r="DA127" i="7"/>
  <c r="CZ127" i="7"/>
  <c r="CY127" i="7"/>
  <c r="CX127" i="7"/>
  <c r="CW127" i="7"/>
  <c r="CV127" i="7"/>
  <c r="CU127" i="7"/>
  <c r="CT127" i="7"/>
  <c r="CS127" i="7"/>
  <c r="CR127" i="7"/>
  <c r="CQ127" i="7"/>
  <c r="CP127" i="7"/>
  <c r="CO127" i="7"/>
  <c r="CN127" i="7"/>
  <c r="CM127" i="7"/>
  <c r="CL127" i="7"/>
  <c r="CK127" i="7"/>
  <c r="CJ127" i="7"/>
  <c r="CI127" i="7"/>
  <c r="CH127" i="7"/>
  <c r="CG127" i="7"/>
  <c r="CF127" i="7"/>
  <c r="CE127" i="7"/>
  <c r="CD127" i="7"/>
  <c r="CC127" i="7"/>
  <c r="CB127" i="7"/>
  <c r="CA127" i="7"/>
  <c r="BZ127" i="7"/>
  <c r="BY127" i="7"/>
  <c r="BX127" i="7"/>
  <c r="BW127" i="7"/>
  <c r="BV127" i="7"/>
  <c r="BU127" i="7"/>
  <c r="BT127" i="7"/>
  <c r="BS127" i="7"/>
  <c r="BR127" i="7"/>
  <c r="BQ127" i="7"/>
  <c r="BP127" i="7"/>
  <c r="BO127" i="7"/>
  <c r="BN127" i="7"/>
  <c r="BM127" i="7"/>
  <c r="BL127" i="7"/>
  <c r="BK127" i="7"/>
  <c r="BJ127" i="7"/>
  <c r="BI127" i="7"/>
  <c r="BH127" i="7"/>
  <c r="BG127" i="7"/>
  <c r="DD126" i="7"/>
  <c r="DC126" i="7"/>
  <c r="DB126" i="7"/>
  <c r="DA126" i="7"/>
  <c r="CZ126" i="7"/>
  <c r="CY126" i="7"/>
  <c r="CX126" i="7"/>
  <c r="CW126" i="7"/>
  <c r="CV126" i="7"/>
  <c r="CU126" i="7"/>
  <c r="CT126" i="7"/>
  <c r="CS126" i="7"/>
  <c r="CR126" i="7"/>
  <c r="CQ126" i="7"/>
  <c r="CP126" i="7"/>
  <c r="CO126" i="7"/>
  <c r="CN126" i="7"/>
  <c r="CM126" i="7"/>
  <c r="CL126" i="7"/>
  <c r="CK126" i="7"/>
  <c r="CJ126" i="7"/>
  <c r="CI126" i="7"/>
  <c r="CH126" i="7"/>
  <c r="CG126" i="7"/>
  <c r="CF126" i="7"/>
  <c r="CE126" i="7"/>
  <c r="CD126" i="7"/>
  <c r="CC126" i="7"/>
  <c r="CB126" i="7"/>
  <c r="CA126" i="7"/>
  <c r="BZ126" i="7"/>
  <c r="BY126" i="7"/>
  <c r="BX126" i="7"/>
  <c r="BW126" i="7"/>
  <c r="BV126" i="7"/>
  <c r="BU126" i="7"/>
  <c r="BT126" i="7"/>
  <c r="BS126" i="7"/>
  <c r="BR126" i="7"/>
  <c r="BQ126" i="7"/>
  <c r="BP126" i="7"/>
  <c r="BO126" i="7"/>
  <c r="BN126" i="7"/>
  <c r="BM126" i="7"/>
  <c r="BL126" i="7"/>
  <c r="BK126" i="7"/>
  <c r="BJ126" i="7"/>
  <c r="BI126" i="7"/>
  <c r="BH126" i="7"/>
  <c r="BG126" i="7"/>
  <c r="DD125" i="7"/>
  <c r="DC125" i="7"/>
  <c r="DB125" i="7"/>
  <c r="DA125" i="7"/>
  <c r="CZ125" i="7"/>
  <c r="CY125" i="7"/>
  <c r="CX125" i="7"/>
  <c r="CW125" i="7"/>
  <c r="CV125" i="7"/>
  <c r="CU125" i="7"/>
  <c r="CT125" i="7"/>
  <c r="CS125" i="7"/>
  <c r="CR125" i="7"/>
  <c r="CQ125" i="7"/>
  <c r="CP125" i="7"/>
  <c r="CO125" i="7"/>
  <c r="CN125" i="7"/>
  <c r="CM125" i="7"/>
  <c r="CL125" i="7"/>
  <c r="CK125" i="7"/>
  <c r="CJ125" i="7"/>
  <c r="CI125" i="7"/>
  <c r="CH125" i="7"/>
  <c r="CG125" i="7"/>
  <c r="CF125" i="7"/>
  <c r="CE125" i="7"/>
  <c r="CD125" i="7"/>
  <c r="CC125" i="7"/>
  <c r="CB125" i="7"/>
  <c r="CA125" i="7"/>
  <c r="BZ125" i="7"/>
  <c r="BY125" i="7"/>
  <c r="BX125" i="7"/>
  <c r="BW125" i="7"/>
  <c r="BV125" i="7"/>
  <c r="BU125" i="7"/>
  <c r="BT125" i="7"/>
  <c r="BS125" i="7"/>
  <c r="BR125" i="7"/>
  <c r="BQ125" i="7"/>
  <c r="BP125" i="7"/>
  <c r="BO125" i="7"/>
  <c r="BN125" i="7"/>
  <c r="BM125" i="7"/>
  <c r="BL125" i="7"/>
  <c r="BK125" i="7"/>
  <c r="BJ125" i="7"/>
  <c r="BI125" i="7"/>
  <c r="BH125" i="7"/>
  <c r="BG125" i="7"/>
  <c r="DD124" i="7"/>
  <c r="DC124" i="7"/>
  <c r="DB124" i="7"/>
  <c r="DA124" i="7"/>
  <c r="CZ124" i="7"/>
  <c r="CY124" i="7"/>
  <c r="CX124" i="7"/>
  <c r="CW124" i="7"/>
  <c r="CV124" i="7"/>
  <c r="CU124" i="7"/>
  <c r="CT124" i="7"/>
  <c r="CS124" i="7"/>
  <c r="CR124" i="7"/>
  <c r="CQ124" i="7"/>
  <c r="CP124" i="7"/>
  <c r="CO124" i="7"/>
  <c r="CN124" i="7"/>
  <c r="CM124" i="7"/>
  <c r="CL124" i="7"/>
  <c r="CK124" i="7"/>
  <c r="CJ124" i="7"/>
  <c r="CI124" i="7"/>
  <c r="CH124" i="7"/>
  <c r="CG124" i="7"/>
  <c r="CF124" i="7"/>
  <c r="CE124" i="7"/>
  <c r="CD124" i="7"/>
  <c r="CC124" i="7"/>
  <c r="CB124" i="7"/>
  <c r="CA124" i="7"/>
  <c r="BZ124" i="7"/>
  <c r="BY124" i="7"/>
  <c r="BX124" i="7"/>
  <c r="BW124" i="7"/>
  <c r="BV124" i="7"/>
  <c r="BU124" i="7"/>
  <c r="BT124" i="7"/>
  <c r="BS124" i="7"/>
  <c r="BR124" i="7"/>
  <c r="BQ124" i="7"/>
  <c r="BP124" i="7"/>
  <c r="BO124" i="7"/>
  <c r="BN124" i="7"/>
  <c r="BM124" i="7"/>
  <c r="BL124" i="7"/>
  <c r="BK124" i="7"/>
  <c r="BJ124" i="7"/>
  <c r="BI124" i="7"/>
  <c r="BH124" i="7"/>
  <c r="BG124" i="7"/>
  <c r="DD123" i="7"/>
  <c r="DC123" i="7"/>
  <c r="DB123" i="7"/>
  <c r="DA123" i="7"/>
  <c r="CZ123" i="7"/>
  <c r="CY123" i="7"/>
  <c r="CX123" i="7"/>
  <c r="CW123" i="7"/>
  <c r="CV123" i="7"/>
  <c r="CU123" i="7"/>
  <c r="CT123" i="7"/>
  <c r="CS123" i="7"/>
  <c r="CR123" i="7"/>
  <c r="CQ123" i="7"/>
  <c r="CP123" i="7"/>
  <c r="CO123" i="7"/>
  <c r="CN123" i="7"/>
  <c r="CM123" i="7"/>
  <c r="CL123" i="7"/>
  <c r="CK123" i="7"/>
  <c r="CJ123" i="7"/>
  <c r="CI123" i="7"/>
  <c r="CH123" i="7"/>
  <c r="CG123" i="7"/>
  <c r="CF123" i="7"/>
  <c r="CE123" i="7"/>
  <c r="CD123" i="7"/>
  <c r="CC123" i="7"/>
  <c r="CB123" i="7"/>
  <c r="CA123" i="7"/>
  <c r="BZ123" i="7"/>
  <c r="BY123" i="7"/>
  <c r="BX123" i="7"/>
  <c r="BW123" i="7"/>
  <c r="BV123" i="7"/>
  <c r="BU123" i="7"/>
  <c r="BT123" i="7"/>
  <c r="BS123" i="7"/>
  <c r="BR123" i="7"/>
  <c r="BQ123" i="7"/>
  <c r="BP123" i="7"/>
  <c r="BO123" i="7"/>
  <c r="BN123" i="7"/>
  <c r="BM123" i="7"/>
  <c r="BL123" i="7"/>
  <c r="BK123" i="7"/>
  <c r="BJ123" i="7"/>
  <c r="BI123" i="7"/>
  <c r="BH123" i="7"/>
  <c r="BG123" i="7"/>
  <c r="DD122" i="7"/>
  <c r="DC122" i="7"/>
  <c r="DB122" i="7"/>
  <c r="DA122" i="7"/>
  <c r="CZ122" i="7"/>
  <c r="CY122" i="7"/>
  <c r="CX122" i="7"/>
  <c r="CW122" i="7"/>
  <c r="CV122" i="7"/>
  <c r="CU122" i="7"/>
  <c r="CT122" i="7"/>
  <c r="CS122" i="7"/>
  <c r="CR122" i="7"/>
  <c r="CQ122" i="7"/>
  <c r="CP122" i="7"/>
  <c r="CO122" i="7"/>
  <c r="CN122" i="7"/>
  <c r="CM122" i="7"/>
  <c r="CL122" i="7"/>
  <c r="CK122" i="7"/>
  <c r="CJ122" i="7"/>
  <c r="CI122" i="7"/>
  <c r="CH122" i="7"/>
  <c r="CG122" i="7"/>
  <c r="CF122" i="7"/>
  <c r="CE122" i="7"/>
  <c r="CD122" i="7"/>
  <c r="CC122" i="7"/>
  <c r="CB122" i="7"/>
  <c r="CA122" i="7"/>
  <c r="BZ122" i="7"/>
  <c r="BY122" i="7"/>
  <c r="BX122" i="7"/>
  <c r="BW122" i="7"/>
  <c r="BV122" i="7"/>
  <c r="BU122" i="7"/>
  <c r="BT122" i="7"/>
  <c r="BS122" i="7"/>
  <c r="BR122" i="7"/>
  <c r="BQ122" i="7"/>
  <c r="BP122" i="7"/>
  <c r="BO122" i="7"/>
  <c r="BN122" i="7"/>
  <c r="BM122" i="7"/>
  <c r="BL122" i="7"/>
  <c r="BK122" i="7"/>
  <c r="BJ122" i="7"/>
  <c r="BI122" i="7"/>
  <c r="BH122" i="7"/>
  <c r="BG122" i="7"/>
  <c r="DD121" i="7"/>
  <c r="DC121" i="7"/>
  <c r="DB121" i="7"/>
  <c r="DA121" i="7"/>
  <c r="CZ121" i="7"/>
  <c r="CY121" i="7"/>
  <c r="CX121" i="7"/>
  <c r="CW121" i="7"/>
  <c r="CV121" i="7"/>
  <c r="CU121" i="7"/>
  <c r="CT121" i="7"/>
  <c r="CS121" i="7"/>
  <c r="CR121" i="7"/>
  <c r="CQ121" i="7"/>
  <c r="CP121" i="7"/>
  <c r="CO121" i="7"/>
  <c r="CN121" i="7"/>
  <c r="CM121" i="7"/>
  <c r="CL121" i="7"/>
  <c r="CK121" i="7"/>
  <c r="CJ121" i="7"/>
  <c r="CI121" i="7"/>
  <c r="CH121" i="7"/>
  <c r="CG121" i="7"/>
  <c r="CF121" i="7"/>
  <c r="CE121" i="7"/>
  <c r="CD121" i="7"/>
  <c r="CC121" i="7"/>
  <c r="CB121" i="7"/>
  <c r="CA121" i="7"/>
  <c r="BZ121" i="7"/>
  <c r="BY121" i="7"/>
  <c r="BX121" i="7"/>
  <c r="BW121" i="7"/>
  <c r="BV121" i="7"/>
  <c r="BU121" i="7"/>
  <c r="BT121" i="7"/>
  <c r="BS121" i="7"/>
  <c r="BR121" i="7"/>
  <c r="BQ121" i="7"/>
  <c r="BP121" i="7"/>
  <c r="BO121" i="7"/>
  <c r="BN121" i="7"/>
  <c r="BM121" i="7"/>
  <c r="BL121" i="7"/>
  <c r="BK121" i="7"/>
  <c r="BJ121" i="7"/>
  <c r="BI121" i="7"/>
  <c r="BH121" i="7"/>
  <c r="BG121" i="7"/>
  <c r="DD120" i="7"/>
  <c r="DC120" i="7"/>
  <c r="DB120" i="7"/>
  <c r="DA120" i="7"/>
  <c r="CZ120" i="7"/>
  <c r="CY120" i="7"/>
  <c r="CX120" i="7"/>
  <c r="CW120" i="7"/>
  <c r="CV120" i="7"/>
  <c r="CU120" i="7"/>
  <c r="CT120" i="7"/>
  <c r="CS120" i="7"/>
  <c r="CR120" i="7"/>
  <c r="CQ120" i="7"/>
  <c r="CP120" i="7"/>
  <c r="CO120" i="7"/>
  <c r="CN120" i="7"/>
  <c r="CM120" i="7"/>
  <c r="CL120" i="7"/>
  <c r="CK120" i="7"/>
  <c r="CJ120" i="7"/>
  <c r="CI120" i="7"/>
  <c r="CH120" i="7"/>
  <c r="CG120" i="7"/>
  <c r="CF120" i="7"/>
  <c r="CE120" i="7"/>
  <c r="CD120" i="7"/>
  <c r="CC120" i="7"/>
  <c r="CB120" i="7"/>
  <c r="CA120" i="7"/>
  <c r="BZ120" i="7"/>
  <c r="BY120" i="7"/>
  <c r="BX120" i="7"/>
  <c r="BW120" i="7"/>
  <c r="BV120" i="7"/>
  <c r="BU120" i="7"/>
  <c r="BT120" i="7"/>
  <c r="BS120" i="7"/>
  <c r="BR120" i="7"/>
  <c r="BQ120" i="7"/>
  <c r="BP120" i="7"/>
  <c r="BO120" i="7"/>
  <c r="BN120" i="7"/>
  <c r="BM120" i="7"/>
  <c r="BL120" i="7"/>
  <c r="BK120" i="7"/>
  <c r="BJ120" i="7"/>
  <c r="BI120" i="7"/>
  <c r="BH120" i="7"/>
  <c r="BG120" i="7"/>
  <c r="DD119" i="7"/>
  <c r="DC119" i="7"/>
  <c r="DB119" i="7"/>
  <c r="DA119" i="7"/>
  <c r="CZ119" i="7"/>
  <c r="CY119" i="7"/>
  <c r="CX119" i="7"/>
  <c r="CW119" i="7"/>
  <c r="CV119" i="7"/>
  <c r="CU119" i="7"/>
  <c r="CT119" i="7"/>
  <c r="CS119" i="7"/>
  <c r="CR119" i="7"/>
  <c r="CQ119" i="7"/>
  <c r="CP119" i="7"/>
  <c r="CO119" i="7"/>
  <c r="CN119" i="7"/>
  <c r="CM119" i="7"/>
  <c r="CL119" i="7"/>
  <c r="CK119" i="7"/>
  <c r="CJ119" i="7"/>
  <c r="CI119" i="7"/>
  <c r="CH119" i="7"/>
  <c r="CG119" i="7"/>
  <c r="CF119" i="7"/>
  <c r="CE119" i="7"/>
  <c r="CD119" i="7"/>
  <c r="CC119" i="7"/>
  <c r="CB119" i="7"/>
  <c r="CA119" i="7"/>
  <c r="BZ119" i="7"/>
  <c r="BY119" i="7"/>
  <c r="BX119" i="7"/>
  <c r="BW119" i="7"/>
  <c r="BV119" i="7"/>
  <c r="BU119" i="7"/>
  <c r="BT119" i="7"/>
  <c r="BS119" i="7"/>
  <c r="BR119" i="7"/>
  <c r="BQ119" i="7"/>
  <c r="BP119" i="7"/>
  <c r="BO119" i="7"/>
  <c r="BN119" i="7"/>
  <c r="BM119" i="7"/>
  <c r="BL119" i="7"/>
  <c r="BK119" i="7"/>
  <c r="BJ119" i="7"/>
  <c r="BI119" i="7"/>
  <c r="BH119" i="7"/>
  <c r="BG119" i="7"/>
  <c r="DD118" i="7"/>
  <c r="DC118" i="7"/>
  <c r="DB118" i="7"/>
  <c r="DA118" i="7"/>
  <c r="CZ118" i="7"/>
  <c r="CY118" i="7"/>
  <c r="CX118" i="7"/>
  <c r="CW118" i="7"/>
  <c r="CV118" i="7"/>
  <c r="CU118" i="7"/>
  <c r="CT118" i="7"/>
  <c r="CS118" i="7"/>
  <c r="CR118" i="7"/>
  <c r="CQ118" i="7"/>
  <c r="CP118" i="7"/>
  <c r="CO118" i="7"/>
  <c r="CN118" i="7"/>
  <c r="CM118" i="7"/>
  <c r="CL118" i="7"/>
  <c r="CK118" i="7"/>
  <c r="CJ118" i="7"/>
  <c r="CI118" i="7"/>
  <c r="CH118" i="7"/>
  <c r="CG118" i="7"/>
  <c r="CF118" i="7"/>
  <c r="CE118" i="7"/>
  <c r="CD118" i="7"/>
  <c r="CC118" i="7"/>
  <c r="CB118" i="7"/>
  <c r="CA118" i="7"/>
  <c r="BZ118" i="7"/>
  <c r="BY118" i="7"/>
  <c r="BX118" i="7"/>
  <c r="BW118" i="7"/>
  <c r="BV118" i="7"/>
  <c r="BU118" i="7"/>
  <c r="BT118" i="7"/>
  <c r="BS118" i="7"/>
  <c r="BR118" i="7"/>
  <c r="BQ118" i="7"/>
  <c r="BP118" i="7"/>
  <c r="BO118" i="7"/>
  <c r="BN118" i="7"/>
  <c r="BM118" i="7"/>
  <c r="BL118" i="7"/>
  <c r="BK118" i="7"/>
  <c r="BJ118" i="7"/>
  <c r="BI118" i="7"/>
  <c r="BH118" i="7"/>
  <c r="DD117" i="7"/>
  <c r="DC117" i="7"/>
  <c r="DB117" i="7"/>
  <c r="DA117" i="7"/>
  <c r="CZ117" i="7"/>
  <c r="CY117" i="7"/>
  <c r="CX117" i="7"/>
  <c r="CW117" i="7"/>
  <c r="CV117" i="7"/>
  <c r="CU117" i="7"/>
  <c r="CT117" i="7"/>
  <c r="CS117" i="7"/>
  <c r="CR117" i="7"/>
  <c r="CQ117" i="7"/>
  <c r="CP117" i="7"/>
  <c r="CO117" i="7"/>
  <c r="CN117" i="7"/>
  <c r="CM117" i="7"/>
  <c r="CL117" i="7"/>
  <c r="CK117" i="7"/>
  <c r="CJ117" i="7"/>
  <c r="CI117" i="7"/>
  <c r="CH117" i="7"/>
  <c r="CG117" i="7"/>
  <c r="CF117" i="7"/>
  <c r="CE117" i="7"/>
  <c r="CD117" i="7"/>
  <c r="CC117" i="7"/>
  <c r="CB117" i="7"/>
  <c r="CA117" i="7"/>
  <c r="BZ117" i="7"/>
  <c r="BY117" i="7"/>
  <c r="BX117" i="7"/>
  <c r="BW117" i="7"/>
  <c r="BV117" i="7"/>
  <c r="BU117" i="7"/>
  <c r="BT117" i="7"/>
  <c r="BS117" i="7"/>
  <c r="BR117" i="7"/>
  <c r="BQ117" i="7"/>
  <c r="BP117" i="7"/>
  <c r="BO117" i="7"/>
  <c r="BN117" i="7"/>
  <c r="BM117" i="7"/>
  <c r="BL117" i="7"/>
  <c r="BK117" i="7"/>
  <c r="BJ117" i="7"/>
  <c r="BI117" i="7"/>
  <c r="BH117" i="7"/>
  <c r="DD116" i="7"/>
  <c r="DC116" i="7"/>
  <c r="DB116" i="7"/>
  <c r="DA116" i="7"/>
  <c r="CZ116" i="7"/>
  <c r="CY116" i="7"/>
  <c r="CX116" i="7"/>
  <c r="CW116" i="7"/>
  <c r="CV116" i="7"/>
  <c r="CU116" i="7"/>
  <c r="CT116" i="7"/>
  <c r="CS116" i="7"/>
  <c r="CR116" i="7"/>
  <c r="CQ116" i="7"/>
  <c r="CP116" i="7"/>
  <c r="CO116" i="7"/>
  <c r="CN116" i="7"/>
  <c r="CM116" i="7"/>
  <c r="CL116" i="7"/>
  <c r="CK116" i="7"/>
  <c r="CJ116" i="7"/>
  <c r="CI116" i="7"/>
  <c r="CH116" i="7"/>
  <c r="CG116" i="7"/>
  <c r="CF116" i="7"/>
  <c r="CE116" i="7"/>
  <c r="CD116" i="7"/>
  <c r="CC116" i="7"/>
  <c r="CB116" i="7"/>
  <c r="CA116" i="7"/>
  <c r="BZ116" i="7"/>
  <c r="BY116" i="7"/>
  <c r="BX116" i="7"/>
  <c r="BW116" i="7"/>
  <c r="BV116" i="7"/>
  <c r="BU116" i="7"/>
  <c r="BT116" i="7"/>
  <c r="BS116" i="7"/>
  <c r="BR116" i="7"/>
  <c r="BQ116" i="7"/>
  <c r="BP116" i="7"/>
  <c r="BO116" i="7"/>
  <c r="BN116" i="7"/>
  <c r="BM116" i="7"/>
  <c r="BL116" i="7"/>
  <c r="BK116" i="7"/>
  <c r="BJ116" i="7"/>
  <c r="BI116" i="7"/>
  <c r="BH116" i="7"/>
  <c r="BG116" i="7"/>
  <c r="DD115" i="7"/>
  <c r="DC115" i="7"/>
  <c r="DB115" i="7"/>
  <c r="DA115" i="7"/>
  <c r="CZ115" i="7"/>
  <c r="CY115" i="7"/>
  <c r="CX115" i="7"/>
  <c r="CW115" i="7"/>
  <c r="CV115" i="7"/>
  <c r="CU115" i="7"/>
  <c r="CT115" i="7"/>
  <c r="CS115" i="7"/>
  <c r="CR115" i="7"/>
  <c r="CQ115" i="7"/>
  <c r="CP115" i="7"/>
  <c r="CO115" i="7"/>
  <c r="CN115" i="7"/>
  <c r="CM115" i="7"/>
  <c r="CL115" i="7"/>
  <c r="CK115" i="7"/>
  <c r="CJ115" i="7"/>
  <c r="CI115" i="7"/>
  <c r="CH115" i="7"/>
  <c r="CG115" i="7"/>
  <c r="CF115" i="7"/>
  <c r="CE115" i="7"/>
  <c r="CD115" i="7"/>
  <c r="CC115" i="7"/>
  <c r="CB115" i="7"/>
  <c r="CA115" i="7"/>
  <c r="BZ115" i="7"/>
  <c r="BY115" i="7"/>
  <c r="BX115" i="7"/>
  <c r="BW115" i="7"/>
  <c r="BV115" i="7"/>
  <c r="BU115" i="7"/>
  <c r="BT115" i="7"/>
  <c r="BS115" i="7"/>
  <c r="BR115" i="7"/>
  <c r="BQ115" i="7"/>
  <c r="BP115" i="7"/>
  <c r="BO115" i="7"/>
  <c r="BN115" i="7"/>
  <c r="BM115" i="7"/>
  <c r="BL115" i="7"/>
  <c r="BK115" i="7"/>
  <c r="BJ115" i="7"/>
  <c r="BI115" i="7"/>
  <c r="BH115" i="7"/>
  <c r="BG115" i="7"/>
  <c r="DD114" i="7"/>
  <c r="DC114" i="7"/>
  <c r="DB114" i="7"/>
  <c r="DA114" i="7"/>
  <c r="CZ114" i="7"/>
  <c r="CY114" i="7"/>
  <c r="CX114" i="7"/>
  <c r="CW114" i="7"/>
  <c r="CV114" i="7"/>
  <c r="CU114" i="7"/>
  <c r="CT114" i="7"/>
  <c r="CS114" i="7"/>
  <c r="CR114" i="7"/>
  <c r="CQ114" i="7"/>
  <c r="CP114" i="7"/>
  <c r="CO114" i="7"/>
  <c r="CN114" i="7"/>
  <c r="CM114" i="7"/>
  <c r="CL114" i="7"/>
  <c r="CK114" i="7"/>
  <c r="CJ114" i="7"/>
  <c r="CI114" i="7"/>
  <c r="CH114" i="7"/>
  <c r="CG114" i="7"/>
  <c r="CF114" i="7"/>
  <c r="CE114" i="7"/>
  <c r="CD114" i="7"/>
  <c r="CC114" i="7"/>
  <c r="CB114" i="7"/>
  <c r="CA114" i="7"/>
  <c r="BZ114" i="7"/>
  <c r="BY114" i="7"/>
  <c r="BX114" i="7"/>
  <c r="BW114" i="7"/>
  <c r="BV114" i="7"/>
  <c r="BU114" i="7"/>
  <c r="BT114" i="7"/>
  <c r="BS114" i="7"/>
  <c r="BR114" i="7"/>
  <c r="BQ114" i="7"/>
  <c r="BP114" i="7"/>
  <c r="BO114" i="7"/>
  <c r="BN114" i="7"/>
  <c r="BM114" i="7"/>
  <c r="BL114" i="7"/>
  <c r="BK114" i="7"/>
  <c r="BJ114" i="7"/>
  <c r="BI114" i="7"/>
  <c r="BH114" i="7"/>
  <c r="DD113" i="7"/>
  <c r="DC113" i="7"/>
  <c r="DB113" i="7"/>
  <c r="DA113" i="7"/>
  <c r="CZ113" i="7"/>
  <c r="CY113" i="7"/>
  <c r="CX113" i="7"/>
  <c r="CW113" i="7"/>
  <c r="CV113" i="7"/>
  <c r="CU113" i="7"/>
  <c r="CT113" i="7"/>
  <c r="CS113" i="7"/>
  <c r="CR113" i="7"/>
  <c r="CQ113" i="7"/>
  <c r="CP113" i="7"/>
  <c r="CO113" i="7"/>
  <c r="CN113" i="7"/>
  <c r="CM113" i="7"/>
  <c r="CL113" i="7"/>
  <c r="CK113" i="7"/>
  <c r="CJ113" i="7"/>
  <c r="CI113" i="7"/>
  <c r="CH113" i="7"/>
  <c r="CG113" i="7"/>
  <c r="CF113" i="7"/>
  <c r="CE113" i="7"/>
  <c r="CD113" i="7"/>
  <c r="CC113" i="7"/>
  <c r="CB113" i="7"/>
  <c r="CA113" i="7"/>
  <c r="BZ113" i="7"/>
  <c r="BY113" i="7"/>
  <c r="BX113" i="7"/>
  <c r="BW113" i="7"/>
  <c r="BV113" i="7"/>
  <c r="BU113" i="7"/>
  <c r="BT113" i="7"/>
  <c r="BS113" i="7"/>
  <c r="BR113" i="7"/>
  <c r="BQ113" i="7"/>
  <c r="BP113" i="7"/>
  <c r="BO113" i="7"/>
  <c r="BN113" i="7"/>
  <c r="BM113" i="7"/>
  <c r="BL113" i="7"/>
  <c r="BK113" i="7"/>
  <c r="BJ113" i="7"/>
  <c r="DD112" i="7"/>
  <c r="DC112" i="7"/>
  <c r="DB112" i="7"/>
  <c r="DA112" i="7"/>
  <c r="CZ112" i="7"/>
  <c r="CY112" i="7"/>
  <c r="CX112" i="7"/>
  <c r="CW112" i="7"/>
  <c r="CV112" i="7"/>
  <c r="CU112" i="7"/>
  <c r="CT112" i="7"/>
  <c r="CS112" i="7"/>
  <c r="CR112" i="7"/>
  <c r="CQ112" i="7"/>
  <c r="CP112" i="7"/>
  <c r="CO112" i="7"/>
  <c r="CN112" i="7"/>
  <c r="CM112" i="7"/>
  <c r="CL112" i="7"/>
  <c r="CK112" i="7"/>
  <c r="CJ112" i="7"/>
  <c r="CI112" i="7"/>
  <c r="CH112" i="7"/>
  <c r="CG112" i="7"/>
  <c r="CF112" i="7"/>
  <c r="CE112" i="7"/>
  <c r="CD112" i="7"/>
  <c r="CC112" i="7"/>
  <c r="CB112" i="7"/>
  <c r="CA112" i="7"/>
  <c r="BZ112" i="7"/>
  <c r="BY112" i="7"/>
  <c r="BX112" i="7"/>
  <c r="BW112" i="7"/>
  <c r="BV112" i="7"/>
  <c r="BU112" i="7"/>
  <c r="BT112" i="7"/>
  <c r="BS112" i="7"/>
  <c r="BR112" i="7"/>
  <c r="BQ112" i="7"/>
  <c r="BP112" i="7"/>
  <c r="BO112" i="7"/>
  <c r="BN112" i="7"/>
  <c r="BM112" i="7"/>
  <c r="BL112" i="7"/>
  <c r="BK112" i="7"/>
  <c r="BJ112" i="7"/>
  <c r="BI112" i="7"/>
  <c r="BH112" i="7"/>
  <c r="BG112" i="7"/>
  <c r="DD111" i="7"/>
  <c r="DC111" i="7"/>
  <c r="DB111" i="7"/>
  <c r="DA111" i="7"/>
  <c r="CZ111" i="7"/>
  <c r="CY111" i="7"/>
  <c r="CX111" i="7"/>
  <c r="CW111" i="7"/>
  <c r="CV111" i="7"/>
  <c r="CU111" i="7"/>
  <c r="CT111" i="7"/>
  <c r="CS111" i="7"/>
  <c r="CR111" i="7"/>
  <c r="CQ111" i="7"/>
  <c r="CP111" i="7"/>
  <c r="CO111" i="7"/>
  <c r="CN111" i="7"/>
  <c r="CM111" i="7"/>
  <c r="CL111" i="7"/>
  <c r="CK111" i="7"/>
  <c r="CJ111" i="7"/>
  <c r="CI111" i="7"/>
  <c r="CH111" i="7"/>
  <c r="CG111" i="7"/>
  <c r="CF111" i="7"/>
  <c r="CE111" i="7"/>
  <c r="CD111" i="7"/>
  <c r="CC111" i="7"/>
  <c r="CB111" i="7"/>
  <c r="CA111" i="7"/>
  <c r="BZ111" i="7"/>
  <c r="BY111" i="7"/>
  <c r="BX111" i="7"/>
  <c r="BW111" i="7"/>
  <c r="BV111" i="7"/>
  <c r="BU111" i="7"/>
  <c r="BT111" i="7"/>
  <c r="BS111" i="7"/>
  <c r="BR111" i="7"/>
  <c r="BQ111" i="7"/>
  <c r="BP111" i="7"/>
  <c r="BO111" i="7"/>
  <c r="BN111" i="7"/>
  <c r="BM111" i="7"/>
  <c r="BL111" i="7"/>
  <c r="BK111" i="7"/>
  <c r="BJ111" i="7"/>
  <c r="BI111" i="7"/>
  <c r="BH111" i="7"/>
  <c r="BG111" i="7"/>
  <c r="DD110" i="7"/>
  <c r="DC110" i="7"/>
  <c r="DB110" i="7"/>
  <c r="DA110" i="7"/>
  <c r="CZ110" i="7"/>
  <c r="CY110" i="7"/>
  <c r="CX110" i="7"/>
  <c r="CW110" i="7"/>
  <c r="CV110" i="7"/>
  <c r="CU110" i="7"/>
  <c r="CT110" i="7"/>
  <c r="CS110" i="7"/>
  <c r="CR110" i="7"/>
  <c r="CQ110" i="7"/>
  <c r="CP110" i="7"/>
  <c r="CO110" i="7"/>
  <c r="CN110" i="7"/>
  <c r="CM110" i="7"/>
  <c r="CL110" i="7"/>
  <c r="CK110" i="7"/>
  <c r="CJ110" i="7"/>
  <c r="CI110" i="7"/>
  <c r="CH110" i="7"/>
  <c r="CG110" i="7"/>
  <c r="CF110" i="7"/>
  <c r="CE110" i="7"/>
  <c r="CD110" i="7"/>
  <c r="CC110" i="7"/>
  <c r="CB110" i="7"/>
  <c r="CA110" i="7"/>
  <c r="BZ110" i="7"/>
  <c r="BY110" i="7"/>
  <c r="BX110" i="7"/>
  <c r="BW110" i="7"/>
  <c r="BV110" i="7"/>
  <c r="BU110" i="7"/>
  <c r="BT110" i="7"/>
  <c r="BS110" i="7"/>
  <c r="BR110" i="7"/>
  <c r="BQ110" i="7"/>
  <c r="BP110" i="7"/>
  <c r="BO110" i="7"/>
  <c r="BN110" i="7"/>
  <c r="BM110" i="7"/>
  <c r="BL110" i="7"/>
  <c r="BK110" i="7"/>
  <c r="BJ110" i="7"/>
  <c r="BI110" i="7"/>
  <c r="BH110" i="7"/>
  <c r="BG110" i="7"/>
  <c r="DD109" i="7"/>
  <c r="DC109" i="7"/>
  <c r="DB109" i="7"/>
  <c r="DA109" i="7"/>
  <c r="CZ109" i="7"/>
  <c r="CY109" i="7"/>
  <c r="CX109" i="7"/>
  <c r="CW109" i="7"/>
  <c r="CV109" i="7"/>
  <c r="CU109" i="7"/>
  <c r="CT109" i="7"/>
  <c r="CS109" i="7"/>
  <c r="CR109" i="7"/>
  <c r="CQ109" i="7"/>
  <c r="CP109" i="7"/>
  <c r="CO109" i="7"/>
  <c r="CN109" i="7"/>
  <c r="CM109" i="7"/>
  <c r="CL109" i="7"/>
  <c r="CK109" i="7"/>
  <c r="CJ109" i="7"/>
  <c r="CI109" i="7"/>
  <c r="CH109" i="7"/>
  <c r="CG109" i="7"/>
  <c r="CF109" i="7"/>
  <c r="CE109" i="7"/>
  <c r="CD109" i="7"/>
  <c r="CC109" i="7"/>
  <c r="CB109" i="7"/>
  <c r="CA109" i="7"/>
  <c r="BZ109" i="7"/>
  <c r="BY109" i="7"/>
  <c r="BX109" i="7"/>
  <c r="BW109" i="7"/>
  <c r="BV109" i="7"/>
  <c r="BU109" i="7"/>
  <c r="BT109" i="7"/>
  <c r="BS109" i="7"/>
  <c r="BR109" i="7"/>
  <c r="BQ109" i="7"/>
  <c r="BP109" i="7"/>
  <c r="BO109" i="7"/>
  <c r="BN109" i="7"/>
  <c r="BM109" i="7"/>
  <c r="BL109" i="7"/>
  <c r="BK109" i="7"/>
  <c r="BJ109" i="7"/>
  <c r="BI109" i="7"/>
  <c r="BH109" i="7"/>
  <c r="BG109" i="7"/>
  <c r="DD108" i="7"/>
  <c r="DC108" i="7"/>
  <c r="DB108" i="7"/>
  <c r="DA108" i="7"/>
  <c r="CZ108" i="7"/>
  <c r="CY108" i="7"/>
  <c r="CX108" i="7"/>
  <c r="CW108" i="7"/>
  <c r="CV108" i="7"/>
  <c r="CU108" i="7"/>
  <c r="CT108" i="7"/>
  <c r="CS108" i="7"/>
  <c r="CR108" i="7"/>
  <c r="CQ108" i="7"/>
  <c r="CP108" i="7"/>
  <c r="CO108" i="7"/>
  <c r="CN108" i="7"/>
  <c r="CM108" i="7"/>
  <c r="CL108" i="7"/>
  <c r="CK108" i="7"/>
  <c r="CJ108" i="7"/>
  <c r="CI108" i="7"/>
  <c r="CH108" i="7"/>
  <c r="CG108" i="7"/>
  <c r="CF108" i="7"/>
  <c r="CE108" i="7"/>
  <c r="CD108" i="7"/>
  <c r="CC108" i="7"/>
  <c r="CB108" i="7"/>
  <c r="CA108" i="7"/>
  <c r="BZ108" i="7"/>
  <c r="BY108" i="7"/>
  <c r="BX108" i="7"/>
  <c r="BW108" i="7"/>
  <c r="BV108" i="7"/>
  <c r="BU108" i="7"/>
  <c r="BT108" i="7"/>
  <c r="BS108" i="7"/>
  <c r="BR108" i="7"/>
  <c r="BQ108" i="7"/>
  <c r="BP108" i="7"/>
  <c r="BO108" i="7"/>
  <c r="BN108" i="7"/>
  <c r="BM108" i="7"/>
  <c r="BL108" i="7"/>
  <c r="BK108" i="7"/>
  <c r="BJ108" i="7"/>
  <c r="BI108" i="7"/>
  <c r="BH108" i="7"/>
  <c r="BG108" i="7"/>
  <c r="DD107" i="7"/>
  <c r="DC107" i="7"/>
  <c r="DB107" i="7"/>
  <c r="DA107" i="7"/>
  <c r="CZ107" i="7"/>
  <c r="CY107" i="7"/>
  <c r="CX107" i="7"/>
  <c r="CW107" i="7"/>
  <c r="CV107" i="7"/>
  <c r="CU107" i="7"/>
  <c r="CT107" i="7"/>
  <c r="CS107" i="7"/>
  <c r="CR107" i="7"/>
  <c r="CQ107" i="7"/>
  <c r="CP107" i="7"/>
  <c r="CO107" i="7"/>
  <c r="CN107" i="7"/>
  <c r="CM107" i="7"/>
  <c r="CL107" i="7"/>
  <c r="CK107" i="7"/>
  <c r="CJ107" i="7"/>
  <c r="CI107" i="7"/>
  <c r="CH107" i="7"/>
  <c r="CG107" i="7"/>
  <c r="CF107" i="7"/>
  <c r="CE107" i="7"/>
  <c r="CD107" i="7"/>
  <c r="CC107" i="7"/>
  <c r="CB107" i="7"/>
  <c r="CA107" i="7"/>
  <c r="BZ107" i="7"/>
  <c r="BY107" i="7"/>
  <c r="BX107" i="7"/>
  <c r="BW107" i="7"/>
  <c r="BV107" i="7"/>
  <c r="BU107" i="7"/>
  <c r="BT107" i="7"/>
  <c r="BS107" i="7"/>
  <c r="BR107" i="7"/>
  <c r="BQ107" i="7"/>
  <c r="BP107" i="7"/>
  <c r="BO107" i="7"/>
  <c r="BN107" i="7"/>
  <c r="BM107" i="7"/>
  <c r="BL107" i="7"/>
  <c r="BK107" i="7"/>
  <c r="BJ107" i="7"/>
  <c r="BI107" i="7"/>
  <c r="BH107" i="7"/>
  <c r="BG107" i="7"/>
  <c r="DD106" i="7"/>
  <c r="DC106" i="7"/>
  <c r="DB106" i="7"/>
  <c r="DA106" i="7"/>
  <c r="CZ106" i="7"/>
  <c r="CY106" i="7"/>
  <c r="CX106" i="7"/>
  <c r="CW106" i="7"/>
  <c r="CV106" i="7"/>
  <c r="CU106" i="7"/>
  <c r="CT106" i="7"/>
  <c r="CS106" i="7"/>
  <c r="CR106" i="7"/>
  <c r="CQ106" i="7"/>
  <c r="CP106" i="7"/>
  <c r="CO106" i="7"/>
  <c r="CN106" i="7"/>
  <c r="CM106" i="7"/>
  <c r="CL106" i="7"/>
  <c r="CK106" i="7"/>
  <c r="CJ106" i="7"/>
  <c r="CI106" i="7"/>
  <c r="CH106" i="7"/>
  <c r="CG106" i="7"/>
  <c r="CF106" i="7"/>
  <c r="CE106" i="7"/>
  <c r="CD106" i="7"/>
  <c r="CC106" i="7"/>
  <c r="CB106" i="7"/>
  <c r="CA106" i="7"/>
  <c r="BZ106" i="7"/>
  <c r="BY106" i="7"/>
  <c r="BX106" i="7"/>
  <c r="BW106" i="7"/>
  <c r="BV106" i="7"/>
  <c r="BU106" i="7"/>
  <c r="BT106" i="7"/>
  <c r="BS106" i="7"/>
  <c r="BR106" i="7"/>
  <c r="BQ106" i="7"/>
  <c r="BP106" i="7"/>
  <c r="BO106" i="7"/>
  <c r="BN106" i="7"/>
  <c r="BM106" i="7"/>
  <c r="BL106" i="7"/>
  <c r="BK106" i="7"/>
  <c r="BJ106" i="7"/>
  <c r="BI106" i="7"/>
  <c r="BH106" i="7"/>
  <c r="DD105" i="7"/>
  <c r="DC105" i="7"/>
  <c r="DB105" i="7"/>
  <c r="DA105" i="7"/>
  <c r="CZ105" i="7"/>
  <c r="CY105" i="7"/>
  <c r="CX105" i="7"/>
  <c r="CW105" i="7"/>
  <c r="CV105" i="7"/>
  <c r="CU105" i="7"/>
  <c r="CT105" i="7"/>
  <c r="CS105" i="7"/>
  <c r="CR105" i="7"/>
  <c r="CQ105" i="7"/>
  <c r="CP105" i="7"/>
  <c r="CO105" i="7"/>
  <c r="CN105" i="7"/>
  <c r="CM105" i="7"/>
  <c r="CL105" i="7"/>
  <c r="CK105" i="7"/>
  <c r="CJ105" i="7"/>
  <c r="CI105" i="7"/>
  <c r="CH105" i="7"/>
  <c r="CG105" i="7"/>
  <c r="CF105" i="7"/>
  <c r="CE105" i="7"/>
  <c r="CD105" i="7"/>
  <c r="CC105" i="7"/>
  <c r="CB105" i="7"/>
  <c r="CA105" i="7"/>
  <c r="BZ105" i="7"/>
  <c r="BY105" i="7"/>
  <c r="BX105" i="7"/>
  <c r="BW105" i="7"/>
  <c r="BV105" i="7"/>
  <c r="BU105" i="7"/>
  <c r="BT105" i="7"/>
  <c r="BS105" i="7"/>
  <c r="BR105" i="7"/>
  <c r="BQ105" i="7"/>
  <c r="BP105" i="7"/>
  <c r="BO105" i="7"/>
  <c r="BN105" i="7"/>
  <c r="BM105" i="7"/>
  <c r="BL105" i="7"/>
  <c r="BK105" i="7"/>
  <c r="BJ105" i="7"/>
  <c r="BI105" i="7"/>
  <c r="BG105" i="7"/>
  <c r="DD104" i="7"/>
  <c r="DC104" i="7"/>
  <c r="DB104" i="7"/>
  <c r="DA104" i="7"/>
  <c r="CZ104" i="7"/>
  <c r="CY104" i="7"/>
  <c r="CX104" i="7"/>
  <c r="CW104" i="7"/>
  <c r="CV104" i="7"/>
  <c r="CU104" i="7"/>
  <c r="CT104" i="7"/>
  <c r="CS104" i="7"/>
  <c r="CR104" i="7"/>
  <c r="CQ104" i="7"/>
  <c r="CP104" i="7"/>
  <c r="CO104" i="7"/>
  <c r="CN104" i="7"/>
  <c r="CM104" i="7"/>
  <c r="CL104" i="7"/>
  <c r="CK104" i="7"/>
  <c r="CJ104" i="7"/>
  <c r="CI104" i="7"/>
  <c r="CH104" i="7"/>
  <c r="CG104" i="7"/>
  <c r="CF104" i="7"/>
  <c r="CE104" i="7"/>
  <c r="CD104" i="7"/>
  <c r="CC104" i="7"/>
  <c r="CB104" i="7"/>
  <c r="CA104" i="7"/>
  <c r="BZ104" i="7"/>
  <c r="BY104" i="7"/>
  <c r="BX104" i="7"/>
  <c r="BW104" i="7"/>
  <c r="BV104" i="7"/>
  <c r="BU104" i="7"/>
  <c r="BT104" i="7"/>
  <c r="BS104" i="7"/>
  <c r="BR104" i="7"/>
  <c r="BQ104" i="7"/>
  <c r="BP104" i="7"/>
  <c r="BO104" i="7"/>
  <c r="BN104" i="7"/>
  <c r="BM104" i="7"/>
  <c r="BL104" i="7"/>
  <c r="BK104" i="7"/>
  <c r="BJ104" i="7"/>
  <c r="BI104" i="7"/>
  <c r="BH104" i="7"/>
  <c r="BG104" i="7"/>
  <c r="DD103" i="7"/>
  <c r="DC103" i="7"/>
  <c r="DB103" i="7"/>
  <c r="DA103" i="7"/>
  <c r="CZ103" i="7"/>
  <c r="CY103" i="7"/>
  <c r="CX103" i="7"/>
  <c r="CW103" i="7"/>
  <c r="CV103" i="7"/>
  <c r="CU103" i="7"/>
  <c r="CT103" i="7"/>
  <c r="CS103" i="7"/>
  <c r="CR103" i="7"/>
  <c r="CQ103" i="7"/>
  <c r="CP103" i="7"/>
  <c r="CO103" i="7"/>
  <c r="CN103" i="7"/>
  <c r="CM103" i="7"/>
  <c r="CL103" i="7"/>
  <c r="CK103" i="7"/>
  <c r="CJ103" i="7"/>
  <c r="CI103" i="7"/>
  <c r="CH103" i="7"/>
  <c r="CG103" i="7"/>
  <c r="CF103" i="7"/>
  <c r="CE103" i="7"/>
  <c r="CD103" i="7"/>
  <c r="CC103" i="7"/>
  <c r="CB103" i="7"/>
  <c r="CA103" i="7"/>
  <c r="BZ103" i="7"/>
  <c r="BY103" i="7"/>
  <c r="BX103" i="7"/>
  <c r="BW103" i="7"/>
  <c r="BV103" i="7"/>
  <c r="BU103" i="7"/>
  <c r="BT103" i="7"/>
  <c r="BS103" i="7"/>
  <c r="BR103" i="7"/>
  <c r="BQ103" i="7"/>
  <c r="BP103" i="7"/>
  <c r="BO103" i="7"/>
  <c r="BN103" i="7"/>
  <c r="BM103" i="7"/>
  <c r="BL103" i="7"/>
  <c r="BK103" i="7"/>
  <c r="BJ103" i="7"/>
  <c r="BI103" i="7"/>
  <c r="BH103" i="7"/>
  <c r="DD102" i="7"/>
  <c r="DC102" i="7"/>
  <c r="DB102" i="7"/>
  <c r="DA102" i="7"/>
  <c r="CZ102" i="7"/>
  <c r="CY102" i="7"/>
  <c r="CX102" i="7"/>
  <c r="CW102" i="7"/>
  <c r="CV102" i="7"/>
  <c r="CU102" i="7"/>
  <c r="CT102" i="7"/>
  <c r="CS102" i="7"/>
  <c r="CR102" i="7"/>
  <c r="CQ102" i="7"/>
  <c r="CP102" i="7"/>
  <c r="CO102" i="7"/>
  <c r="CN102" i="7"/>
  <c r="CM102" i="7"/>
  <c r="CL102" i="7"/>
  <c r="CK102" i="7"/>
  <c r="CJ102" i="7"/>
  <c r="CI102" i="7"/>
  <c r="CH102" i="7"/>
  <c r="CG102" i="7"/>
  <c r="CF102" i="7"/>
  <c r="CE102" i="7"/>
  <c r="CD102" i="7"/>
  <c r="CC102" i="7"/>
  <c r="CB102" i="7"/>
  <c r="CA102" i="7"/>
  <c r="BZ102" i="7"/>
  <c r="BY102" i="7"/>
  <c r="BX102" i="7"/>
  <c r="BW102" i="7"/>
  <c r="BV102" i="7"/>
  <c r="BU102" i="7"/>
  <c r="BT102" i="7"/>
  <c r="BS102" i="7"/>
  <c r="BR102" i="7"/>
  <c r="BQ102" i="7"/>
  <c r="BP102" i="7"/>
  <c r="BO102" i="7"/>
  <c r="BN102" i="7"/>
  <c r="BM102" i="7"/>
  <c r="BL102" i="7"/>
  <c r="BK102" i="7"/>
  <c r="BJ102" i="7"/>
  <c r="BI102" i="7"/>
  <c r="BH102" i="7"/>
  <c r="BG102" i="7"/>
  <c r="DD101" i="7"/>
  <c r="DC101" i="7"/>
  <c r="DB101" i="7"/>
  <c r="DA101" i="7"/>
  <c r="CZ101" i="7"/>
  <c r="CY101" i="7"/>
  <c r="CX101" i="7"/>
  <c r="CW101" i="7"/>
  <c r="CV101" i="7"/>
  <c r="CU101" i="7"/>
  <c r="CT101" i="7"/>
  <c r="CS101" i="7"/>
  <c r="CR101" i="7"/>
  <c r="CQ101" i="7"/>
  <c r="CP101" i="7"/>
  <c r="CO101" i="7"/>
  <c r="CN101" i="7"/>
  <c r="CM101" i="7"/>
  <c r="CL101" i="7"/>
  <c r="CK101" i="7"/>
  <c r="CJ101" i="7"/>
  <c r="CI101" i="7"/>
  <c r="CH101" i="7"/>
  <c r="CG101" i="7"/>
  <c r="CF101" i="7"/>
  <c r="CE101" i="7"/>
  <c r="CD101" i="7"/>
  <c r="CC101" i="7"/>
  <c r="CB101" i="7"/>
  <c r="CA101" i="7"/>
  <c r="BZ101" i="7"/>
  <c r="BY101" i="7"/>
  <c r="BX101" i="7"/>
  <c r="BW101" i="7"/>
  <c r="BV101" i="7"/>
  <c r="BU101" i="7"/>
  <c r="BT101" i="7"/>
  <c r="BS101" i="7"/>
  <c r="BR101" i="7"/>
  <c r="BQ101" i="7"/>
  <c r="BP101" i="7"/>
  <c r="BO101" i="7"/>
  <c r="BN101" i="7"/>
  <c r="BM101" i="7"/>
  <c r="BL101" i="7"/>
  <c r="BK101" i="7"/>
  <c r="BJ101" i="7"/>
  <c r="BI101" i="7"/>
  <c r="BH101" i="7"/>
  <c r="BG101" i="7"/>
  <c r="DD100" i="7"/>
  <c r="DC100" i="7"/>
  <c r="DB100" i="7"/>
  <c r="DA100" i="7"/>
  <c r="CZ100" i="7"/>
  <c r="CY100" i="7"/>
  <c r="CX100" i="7"/>
  <c r="CW100" i="7"/>
  <c r="CV100" i="7"/>
  <c r="CU100" i="7"/>
  <c r="CT100" i="7"/>
  <c r="CS100" i="7"/>
  <c r="CR100" i="7"/>
  <c r="CQ100" i="7"/>
  <c r="CP100" i="7"/>
  <c r="CO100" i="7"/>
  <c r="CN100" i="7"/>
  <c r="CM100" i="7"/>
  <c r="CL100" i="7"/>
  <c r="CK100" i="7"/>
  <c r="CJ100" i="7"/>
  <c r="CI100" i="7"/>
  <c r="CH100" i="7"/>
  <c r="CG100" i="7"/>
  <c r="CF100" i="7"/>
  <c r="CE100" i="7"/>
  <c r="CD100" i="7"/>
  <c r="CC100" i="7"/>
  <c r="CB100" i="7"/>
  <c r="CA100" i="7"/>
  <c r="BZ100" i="7"/>
  <c r="BY100" i="7"/>
  <c r="BX100" i="7"/>
  <c r="BW100" i="7"/>
  <c r="BV100" i="7"/>
  <c r="BU100" i="7"/>
  <c r="BT100" i="7"/>
  <c r="BS100" i="7"/>
  <c r="BR100" i="7"/>
  <c r="BQ100" i="7"/>
  <c r="BP100" i="7"/>
  <c r="BO100" i="7"/>
  <c r="BN100" i="7"/>
  <c r="BM100" i="7"/>
  <c r="BL100" i="7"/>
  <c r="BK100" i="7"/>
  <c r="BJ100" i="7"/>
  <c r="BI100" i="7"/>
  <c r="BH100" i="7"/>
  <c r="BG100" i="7"/>
  <c r="DD99" i="7"/>
  <c r="DC99" i="7"/>
  <c r="DB99" i="7"/>
  <c r="DA99" i="7"/>
  <c r="CZ99" i="7"/>
  <c r="CY99" i="7"/>
  <c r="CX99" i="7"/>
  <c r="CW99" i="7"/>
  <c r="CV99" i="7"/>
  <c r="CU99" i="7"/>
  <c r="CT99" i="7"/>
  <c r="CS99" i="7"/>
  <c r="CR99" i="7"/>
  <c r="CQ99" i="7"/>
  <c r="CP99" i="7"/>
  <c r="CO99" i="7"/>
  <c r="CN99" i="7"/>
  <c r="CM99" i="7"/>
  <c r="CL99" i="7"/>
  <c r="CK99" i="7"/>
  <c r="CJ99" i="7"/>
  <c r="CI99" i="7"/>
  <c r="CH99" i="7"/>
  <c r="CG99" i="7"/>
  <c r="CF99" i="7"/>
  <c r="CE99" i="7"/>
  <c r="CD99" i="7"/>
  <c r="CC99" i="7"/>
  <c r="CB99" i="7"/>
  <c r="CA99" i="7"/>
  <c r="BZ99" i="7"/>
  <c r="BY99" i="7"/>
  <c r="BX99" i="7"/>
  <c r="BW99" i="7"/>
  <c r="BV99" i="7"/>
  <c r="BU99" i="7"/>
  <c r="BT99" i="7"/>
  <c r="BS99" i="7"/>
  <c r="BR99" i="7"/>
  <c r="BQ99" i="7"/>
  <c r="BP99" i="7"/>
  <c r="BO99" i="7"/>
  <c r="BN99" i="7"/>
  <c r="BM99" i="7"/>
  <c r="BL99" i="7"/>
  <c r="BK99" i="7"/>
  <c r="BJ99" i="7"/>
  <c r="BI99" i="7"/>
  <c r="BH99" i="7"/>
  <c r="BG99" i="7"/>
  <c r="DD98" i="7"/>
  <c r="DC98" i="7"/>
  <c r="DB98" i="7"/>
  <c r="DA98" i="7"/>
  <c r="CZ98" i="7"/>
  <c r="CY98" i="7"/>
  <c r="CX98" i="7"/>
  <c r="CW98" i="7"/>
  <c r="CV98" i="7"/>
  <c r="CU98" i="7"/>
  <c r="CT98" i="7"/>
  <c r="CS98" i="7"/>
  <c r="CR98" i="7"/>
  <c r="CQ98" i="7"/>
  <c r="CP98" i="7"/>
  <c r="CO98" i="7"/>
  <c r="CN98" i="7"/>
  <c r="CM98" i="7"/>
  <c r="CL98" i="7"/>
  <c r="CK98" i="7"/>
  <c r="CJ98" i="7"/>
  <c r="CI98" i="7"/>
  <c r="CH98" i="7"/>
  <c r="CG98" i="7"/>
  <c r="CF98" i="7"/>
  <c r="CE98" i="7"/>
  <c r="CD98" i="7"/>
  <c r="CC98" i="7"/>
  <c r="CB98" i="7"/>
  <c r="CA98" i="7"/>
  <c r="BZ98" i="7"/>
  <c r="BY98" i="7"/>
  <c r="BX98" i="7"/>
  <c r="BW98" i="7"/>
  <c r="BV98" i="7"/>
  <c r="BU98" i="7"/>
  <c r="BT98" i="7"/>
  <c r="BS98" i="7"/>
  <c r="BR98" i="7"/>
  <c r="BQ98" i="7"/>
  <c r="BP98" i="7"/>
  <c r="BO98" i="7"/>
  <c r="BN98" i="7"/>
  <c r="BM98" i="7"/>
  <c r="BL98" i="7"/>
  <c r="BK98" i="7"/>
  <c r="BJ98" i="7"/>
  <c r="BI98" i="7"/>
  <c r="BH98" i="7"/>
  <c r="BG98" i="7"/>
  <c r="DD97" i="7"/>
  <c r="DC97" i="7"/>
  <c r="DB97" i="7"/>
  <c r="DA97" i="7"/>
  <c r="CZ97" i="7"/>
  <c r="CY97" i="7"/>
  <c r="CX97" i="7"/>
  <c r="CW97" i="7"/>
  <c r="CV97" i="7"/>
  <c r="CU97" i="7"/>
  <c r="CT97" i="7"/>
  <c r="CS97" i="7"/>
  <c r="CR97" i="7"/>
  <c r="CQ97" i="7"/>
  <c r="CP97" i="7"/>
  <c r="CO97" i="7"/>
  <c r="CN97" i="7"/>
  <c r="CM97" i="7"/>
  <c r="CL97" i="7"/>
  <c r="CK97" i="7"/>
  <c r="CJ97" i="7"/>
  <c r="CI97" i="7"/>
  <c r="CH97" i="7"/>
  <c r="CG97" i="7"/>
  <c r="CF97" i="7"/>
  <c r="CE97" i="7"/>
  <c r="CD97" i="7"/>
  <c r="CC97" i="7"/>
  <c r="CB97" i="7"/>
  <c r="CA97" i="7"/>
  <c r="BZ97" i="7"/>
  <c r="BY97" i="7"/>
  <c r="BX97" i="7"/>
  <c r="BW97" i="7"/>
  <c r="BV97" i="7"/>
  <c r="BU97" i="7"/>
  <c r="BT97" i="7"/>
  <c r="BS97" i="7"/>
  <c r="BR97" i="7"/>
  <c r="BQ97" i="7"/>
  <c r="BP97" i="7"/>
  <c r="BO97" i="7"/>
  <c r="BN97" i="7"/>
  <c r="BM97" i="7"/>
  <c r="BL97" i="7"/>
  <c r="BK97" i="7"/>
  <c r="BJ97" i="7"/>
  <c r="BI97" i="7"/>
  <c r="BH97" i="7"/>
  <c r="BG97" i="7"/>
  <c r="DD96" i="7"/>
  <c r="DC96" i="7"/>
  <c r="DB96" i="7"/>
  <c r="DA96" i="7"/>
  <c r="CZ96" i="7"/>
  <c r="CY96" i="7"/>
  <c r="CX96" i="7"/>
  <c r="CW96" i="7"/>
  <c r="CV96" i="7"/>
  <c r="CU96" i="7"/>
  <c r="CT96" i="7"/>
  <c r="CS96" i="7"/>
  <c r="CR96" i="7"/>
  <c r="CQ96" i="7"/>
  <c r="CP96" i="7"/>
  <c r="CO96" i="7"/>
  <c r="CN96" i="7"/>
  <c r="CM96" i="7"/>
  <c r="CL96" i="7"/>
  <c r="CK96" i="7"/>
  <c r="CJ96" i="7"/>
  <c r="CI96" i="7"/>
  <c r="CH96" i="7"/>
  <c r="CG96" i="7"/>
  <c r="CF96" i="7"/>
  <c r="CE96" i="7"/>
  <c r="CD96" i="7"/>
  <c r="CC96" i="7"/>
  <c r="CB96" i="7"/>
  <c r="CA96" i="7"/>
  <c r="BZ96" i="7"/>
  <c r="BY96" i="7"/>
  <c r="BX96" i="7"/>
  <c r="BW96" i="7"/>
  <c r="BV96" i="7"/>
  <c r="BU96" i="7"/>
  <c r="BT96" i="7"/>
  <c r="BS96" i="7"/>
  <c r="BR96" i="7"/>
  <c r="BQ96" i="7"/>
  <c r="BP96" i="7"/>
  <c r="BO96" i="7"/>
  <c r="BN96" i="7"/>
  <c r="BM96" i="7"/>
  <c r="BL96" i="7"/>
  <c r="BK96" i="7"/>
  <c r="BJ96" i="7"/>
  <c r="BI96" i="7"/>
  <c r="BH96" i="7"/>
  <c r="BG96" i="7"/>
  <c r="DD95" i="7"/>
  <c r="DC95" i="7"/>
  <c r="DB95" i="7"/>
  <c r="DA95" i="7"/>
  <c r="CZ95" i="7"/>
  <c r="CY95" i="7"/>
  <c r="CX95" i="7"/>
  <c r="CW95" i="7"/>
  <c r="CV95" i="7"/>
  <c r="CU95" i="7"/>
  <c r="CT95" i="7"/>
  <c r="CS95" i="7"/>
  <c r="CR95" i="7"/>
  <c r="CQ95" i="7"/>
  <c r="CP95" i="7"/>
  <c r="CO95" i="7"/>
  <c r="CN95" i="7"/>
  <c r="CM95" i="7"/>
  <c r="CL95" i="7"/>
  <c r="CK95" i="7"/>
  <c r="CJ95" i="7"/>
  <c r="CI95" i="7"/>
  <c r="CH95" i="7"/>
  <c r="CG95" i="7"/>
  <c r="CF95" i="7"/>
  <c r="CE95" i="7"/>
  <c r="CD95" i="7"/>
  <c r="CC95" i="7"/>
  <c r="CB95" i="7"/>
  <c r="CA95" i="7"/>
  <c r="BZ95" i="7"/>
  <c r="BY95" i="7"/>
  <c r="BX95" i="7"/>
  <c r="BW95" i="7"/>
  <c r="BV95" i="7"/>
  <c r="BU95" i="7"/>
  <c r="BT95" i="7"/>
  <c r="BS95" i="7"/>
  <c r="BR95" i="7"/>
  <c r="BQ95" i="7"/>
  <c r="BP95" i="7"/>
  <c r="BO95" i="7"/>
  <c r="BN95" i="7"/>
  <c r="BM95" i="7"/>
  <c r="BL95" i="7"/>
  <c r="BK95" i="7"/>
  <c r="BJ95" i="7"/>
  <c r="BI95" i="7"/>
  <c r="BH95" i="7"/>
  <c r="BG95" i="7"/>
  <c r="DD94" i="7"/>
  <c r="DC94" i="7"/>
  <c r="DB94" i="7"/>
  <c r="DA94" i="7"/>
  <c r="CZ94" i="7"/>
  <c r="CY94" i="7"/>
  <c r="CX94" i="7"/>
  <c r="CW94" i="7"/>
  <c r="CV94" i="7"/>
  <c r="CU94" i="7"/>
  <c r="CT94" i="7"/>
  <c r="CS94" i="7"/>
  <c r="CR94" i="7"/>
  <c r="CQ94" i="7"/>
  <c r="CP94" i="7"/>
  <c r="CO94" i="7"/>
  <c r="CN94" i="7"/>
  <c r="CM94" i="7"/>
  <c r="CL94" i="7"/>
  <c r="CK94" i="7"/>
  <c r="CJ94" i="7"/>
  <c r="CI94" i="7"/>
  <c r="CH94" i="7"/>
  <c r="CG94" i="7"/>
  <c r="CF94" i="7"/>
  <c r="CE94" i="7"/>
  <c r="CD94" i="7"/>
  <c r="CC94" i="7"/>
  <c r="CB94" i="7"/>
  <c r="CA94" i="7"/>
  <c r="BZ94" i="7"/>
  <c r="BY94" i="7"/>
  <c r="BX94" i="7"/>
  <c r="BW94" i="7"/>
  <c r="BV94" i="7"/>
  <c r="BU94" i="7"/>
  <c r="BT94" i="7"/>
  <c r="BS94" i="7"/>
  <c r="BR94" i="7"/>
  <c r="BQ94" i="7"/>
  <c r="BP94" i="7"/>
  <c r="BO94" i="7"/>
  <c r="BN94" i="7"/>
  <c r="BM94" i="7"/>
  <c r="BL94" i="7"/>
  <c r="BK94" i="7"/>
  <c r="BJ94" i="7"/>
  <c r="BI94" i="7"/>
  <c r="BH94" i="7"/>
  <c r="DD93" i="7"/>
  <c r="DC93" i="7"/>
  <c r="DB93" i="7"/>
  <c r="DA93" i="7"/>
  <c r="CZ93" i="7"/>
  <c r="CY93" i="7"/>
  <c r="CX93" i="7"/>
  <c r="CW93" i="7"/>
  <c r="CV93" i="7"/>
  <c r="CU93" i="7"/>
  <c r="CT93" i="7"/>
  <c r="CS93" i="7"/>
  <c r="CR93" i="7"/>
  <c r="CQ93" i="7"/>
  <c r="CP93" i="7"/>
  <c r="CO93" i="7"/>
  <c r="CN93" i="7"/>
  <c r="CM93" i="7"/>
  <c r="CL93" i="7"/>
  <c r="CK93" i="7"/>
  <c r="CJ93" i="7"/>
  <c r="CI93" i="7"/>
  <c r="CH93" i="7"/>
  <c r="CG93" i="7"/>
  <c r="CF93" i="7"/>
  <c r="CE93" i="7"/>
  <c r="CD93" i="7"/>
  <c r="CC93" i="7"/>
  <c r="CB93" i="7"/>
  <c r="CA93" i="7"/>
  <c r="BZ93" i="7"/>
  <c r="BY93" i="7"/>
  <c r="BX93" i="7"/>
  <c r="BW93" i="7"/>
  <c r="BV93" i="7"/>
  <c r="BU93" i="7"/>
  <c r="BT93" i="7"/>
  <c r="BS93" i="7"/>
  <c r="BR93" i="7"/>
  <c r="BQ93" i="7"/>
  <c r="BP93" i="7"/>
  <c r="BO93" i="7"/>
  <c r="BN93" i="7"/>
  <c r="BM93" i="7"/>
  <c r="BL93" i="7"/>
  <c r="BK93" i="7"/>
  <c r="BJ93" i="7"/>
  <c r="BI93" i="7"/>
  <c r="BH93" i="7"/>
  <c r="BG93" i="7"/>
  <c r="DD92" i="7"/>
  <c r="DC92" i="7"/>
  <c r="DB92" i="7"/>
  <c r="DA92" i="7"/>
  <c r="CZ92" i="7"/>
  <c r="CY92" i="7"/>
  <c r="CX92" i="7"/>
  <c r="CW92" i="7"/>
  <c r="CV92" i="7"/>
  <c r="CU92" i="7"/>
  <c r="CT92" i="7"/>
  <c r="CS92" i="7"/>
  <c r="CR92" i="7"/>
  <c r="CQ92" i="7"/>
  <c r="CP92" i="7"/>
  <c r="CO92" i="7"/>
  <c r="CN92" i="7"/>
  <c r="CM92" i="7"/>
  <c r="CL92" i="7"/>
  <c r="CK92" i="7"/>
  <c r="CJ92" i="7"/>
  <c r="CI92" i="7"/>
  <c r="CH92" i="7"/>
  <c r="CG92" i="7"/>
  <c r="CF92" i="7"/>
  <c r="CE92" i="7"/>
  <c r="CD92" i="7"/>
  <c r="CC92" i="7"/>
  <c r="CB92" i="7"/>
  <c r="CA92" i="7"/>
  <c r="BZ92" i="7"/>
  <c r="BY92" i="7"/>
  <c r="BX92" i="7"/>
  <c r="BW92" i="7"/>
  <c r="BV92" i="7"/>
  <c r="BU92" i="7"/>
  <c r="BS92" i="7"/>
  <c r="BR92" i="7"/>
  <c r="BQ92" i="7"/>
  <c r="BP92" i="7"/>
  <c r="BO92" i="7"/>
  <c r="BN92" i="7"/>
  <c r="BM92" i="7"/>
  <c r="BL92" i="7"/>
  <c r="BK92" i="7"/>
  <c r="BJ92" i="7"/>
  <c r="BI92" i="7"/>
  <c r="BH92" i="7"/>
  <c r="BG92" i="7"/>
  <c r="BT92" i="7"/>
  <c r="DD91" i="7"/>
  <c r="DC91" i="7"/>
  <c r="DB91" i="7"/>
  <c r="DA91" i="7"/>
  <c r="CZ91" i="7"/>
  <c r="CY91" i="7"/>
  <c r="CX91" i="7"/>
  <c r="CW91" i="7"/>
  <c r="CV91" i="7"/>
  <c r="CU91" i="7"/>
  <c r="CT91" i="7"/>
  <c r="CS91" i="7"/>
  <c r="CR91" i="7"/>
  <c r="CQ91" i="7"/>
  <c r="CP91" i="7"/>
  <c r="CO91" i="7"/>
  <c r="CN91" i="7"/>
  <c r="CM91" i="7"/>
  <c r="CL91" i="7"/>
  <c r="CK91" i="7"/>
  <c r="CJ91" i="7"/>
  <c r="CI91" i="7"/>
  <c r="CH91" i="7"/>
  <c r="CG91" i="7"/>
  <c r="CF91" i="7"/>
  <c r="CE91" i="7"/>
  <c r="CD91" i="7"/>
  <c r="CC91" i="7"/>
  <c r="CB91" i="7"/>
  <c r="CA91" i="7"/>
  <c r="BZ91" i="7"/>
  <c r="BY91" i="7"/>
  <c r="BX91" i="7"/>
  <c r="BW91" i="7"/>
  <c r="BV91" i="7"/>
  <c r="BU91" i="7"/>
  <c r="BT91" i="7"/>
  <c r="BS91" i="7"/>
  <c r="BR91" i="7"/>
  <c r="BQ91" i="7"/>
  <c r="BP91" i="7"/>
  <c r="BO91" i="7"/>
  <c r="BN91" i="7"/>
  <c r="BM91" i="7"/>
  <c r="BL91" i="7"/>
  <c r="BK91" i="7"/>
  <c r="BJ91" i="7"/>
  <c r="BI91" i="7"/>
  <c r="BH91" i="7"/>
  <c r="BG91" i="7"/>
  <c r="DD90" i="7"/>
  <c r="DC90" i="7"/>
  <c r="DB90" i="7"/>
  <c r="DA90" i="7"/>
  <c r="CZ90" i="7"/>
  <c r="CY90" i="7"/>
  <c r="CX90" i="7"/>
  <c r="CW90" i="7"/>
  <c r="CV90" i="7"/>
  <c r="CU90" i="7"/>
  <c r="CT90" i="7"/>
  <c r="CS90" i="7"/>
  <c r="CR90" i="7"/>
  <c r="CQ90" i="7"/>
  <c r="CP90" i="7"/>
  <c r="CO90" i="7"/>
  <c r="CN90" i="7"/>
  <c r="CM90" i="7"/>
  <c r="CL90" i="7"/>
  <c r="CK90" i="7"/>
  <c r="CJ90" i="7"/>
  <c r="CI90" i="7"/>
  <c r="CH90" i="7"/>
  <c r="CG90" i="7"/>
  <c r="CF90" i="7"/>
  <c r="CE90" i="7"/>
  <c r="CD90" i="7"/>
  <c r="CC90" i="7"/>
  <c r="CB90" i="7"/>
  <c r="CA90" i="7"/>
  <c r="BZ90" i="7"/>
  <c r="BY90" i="7"/>
  <c r="BX90" i="7"/>
  <c r="BW90" i="7"/>
  <c r="BV90" i="7"/>
  <c r="BT90" i="7"/>
  <c r="BR90" i="7"/>
  <c r="BQ90" i="7"/>
  <c r="BP90" i="7"/>
  <c r="BO90" i="7"/>
  <c r="BN90" i="7"/>
  <c r="BM90" i="7"/>
  <c r="BL90" i="7"/>
  <c r="BK90" i="7"/>
  <c r="BJ90" i="7"/>
  <c r="BI90" i="7"/>
  <c r="DD89" i="7"/>
  <c r="DC89" i="7"/>
  <c r="DB89" i="7"/>
  <c r="DA89" i="7"/>
  <c r="CZ89" i="7"/>
  <c r="CY89" i="7"/>
  <c r="CX89" i="7"/>
  <c r="CW89" i="7"/>
  <c r="CV89" i="7"/>
  <c r="CU89" i="7"/>
  <c r="CT89" i="7"/>
  <c r="CS89" i="7"/>
  <c r="CR89" i="7"/>
  <c r="CQ89" i="7"/>
  <c r="CP89" i="7"/>
  <c r="CO89" i="7"/>
  <c r="CN89" i="7"/>
  <c r="CM89" i="7"/>
  <c r="CL89" i="7"/>
  <c r="CK89" i="7"/>
  <c r="CJ89" i="7"/>
  <c r="CI89" i="7"/>
  <c r="CH89" i="7"/>
  <c r="CG89" i="7"/>
  <c r="CF89" i="7"/>
  <c r="CE89" i="7"/>
  <c r="CD89" i="7"/>
  <c r="CC89" i="7"/>
  <c r="CB89" i="7"/>
  <c r="CA89" i="7"/>
  <c r="BZ89" i="7"/>
  <c r="BY89" i="7"/>
  <c r="BX89" i="7"/>
  <c r="BW89" i="7"/>
  <c r="BV89" i="7"/>
  <c r="BU89" i="7"/>
  <c r="BT89" i="7"/>
  <c r="BS89" i="7"/>
  <c r="BM89" i="7"/>
  <c r="BL89" i="7"/>
  <c r="BJ89" i="7"/>
  <c r="BH89" i="7"/>
  <c r="BG89" i="7"/>
  <c r="DD88" i="7"/>
  <c r="DC88" i="7"/>
  <c r="DB88" i="7"/>
  <c r="DA88" i="7"/>
  <c r="CZ88" i="7"/>
  <c r="CY88" i="7"/>
  <c r="CX88" i="7"/>
  <c r="CW88" i="7"/>
  <c r="CV88" i="7"/>
  <c r="CU88" i="7"/>
  <c r="CT88" i="7"/>
  <c r="CS88" i="7"/>
  <c r="CR88" i="7"/>
  <c r="CQ88" i="7"/>
  <c r="CP88" i="7"/>
  <c r="CO88" i="7"/>
  <c r="CN88" i="7"/>
  <c r="CM88" i="7"/>
  <c r="CL88" i="7"/>
  <c r="CK88" i="7"/>
  <c r="CJ88" i="7"/>
  <c r="CI88" i="7"/>
  <c r="CH88" i="7"/>
  <c r="CG88" i="7"/>
  <c r="CF88" i="7"/>
  <c r="CE88" i="7"/>
  <c r="CD88" i="7"/>
  <c r="CC88" i="7"/>
  <c r="CB88" i="7"/>
  <c r="CA88" i="7"/>
  <c r="BZ88" i="7"/>
  <c r="BY88" i="7"/>
  <c r="BX88" i="7"/>
  <c r="BW88" i="7"/>
  <c r="BV88" i="7"/>
  <c r="BU88" i="7"/>
  <c r="BT88" i="7"/>
  <c r="BS88" i="7"/>
  <c r="BR88" i="7"/>
  <c r="BQ88" i="7"/>
  <c r="BP88" i="7"/>
  <c r="BO88" i="7"/>
  <c r="BN88" i="7"/>
  <c r="BM88" i="7"/>
  <c r="BL88" i="7"/>
  <c r="BK88" i="7"/>
  <c r="BJ88" i="7"/>
  <c r="BI88" i="7"/>
  <c r="BH88" i="7"/>
  <c r="BG88" i="7"/>
  <c r="DD87" i="7"/>
  <c r="DC87" i="7"/>
  <c r="DB87" i="7"/>
  <c r="DA87" i="7"/>
  <c r="CZ87" i="7"/>
  <c r="CY87" i="7"/>
  <c r="CX87" i="7"/>
  <c r="CW87" i="7"/>
  <c r="CV87" i="7"/>
  <c r="CU87" i="7"/>
  <c r="CT87" i="7"/>
  <c r="CS87" i="7"/>
  <c r="CR87" i="7"/>
  <c r="CQ87" i="7"/>
  <c r="CP87" i="7"/>
  <c r="CO87" i="7"/>
  <c r="CN87" i="7"/>
  <c r="CM87" i="7"/>
  <c r="CL87" i="7"/>
  <c r="CK87" i="7"/>
  <c r="CJ87" i="7"/>
  <c r="CI87" i="7"/>
  <c r="CH87" i="7"/>
  <c r="CG87" i="7"/>
  <c r="CF87" i="7"/>
  <c r="CE87" i="7"/>
  <c r="CD87" i="7"/>
  <c r="CC87" i="7"/>
  <c r="CB87" i="7"/>
  <c r="CA87" i="7"/>
  <c r="BZ87" i="7"/>
  <c r="BY87" i="7"/>
  <c r="BX87" i="7"/>
  <c r="BW87" i="7"/>
  <c r="BV87" i="7"/>
  <c r="BU87" i="7"/>
  <c r="BT87" i="7"/>
  <c r="BS87" i="7"/>
  <c r="BR87" i="7"/>
  <c r="BQ87" i="7"/>
  <c r="BP87" i="7"/>
  <c r="BO87" i="7"/>
  <c r="BN87" i="7"/>
  <c r="BM87" i="7"/>
  <c r="BL87" i="7"/>
  <c r="BK87" i="7"/>
  <c r="BJ87" i="7"/>
  <c r="BI87" i="7"/>
  <c r="BH87" i="7"/>
  <c r="BG87" i="7"/>
  <c r="DD86" i="7"/>
  <c r="DC86" i="7"/>
  <c r="DB86" i="7"/>
  <c r="DA86" i="7"/>
  <c r="CZ86" i="7"/>
  <c r="CY86" i="7"/>
  <c r="CX86" i="7"/>
  <c r="CW86" i="7"/>
  <c r="CV86" i="7"/>
  <c r="CU86" i="7"/>
  <c r="CT86" i="7"/>
  <c r="CS86" i="7"/>
  <c r="CR86" i="7"/>
  <c r="CQ86" i="7"/>
  <c r="CP86" i="7"/>
  <c r="CO86" i="7"/>
  <c r="CN86" i="7"/>
  <c r="CM86" i="7"/>
  <c r="CL86" i="7"/>
  <c r="CK86" i="7"/>
  <c r="CJ86" i="7"/>
  <c r="CI86" i="7"/>
  <c r="CH86" i="7"/>
  <c r="CG86" i="7"/>
  <c r="CF86" i="7"/>
  <c r="CE86" i="7"/>
  <c r="CD86" i="7"/>
  <c r="CC86" i="7"/>
  <c r="CB86" i="7"/>
  <c r="CA86" i="7"/>
  <c r="BZ86" i="7"/>
  <c r="BY86" i="7"/>
  <c r="BX86" i="7"/>
  <c r="BW86" i="7"/>
  <c r="BV86" i="7"/>
  <c r="BU86" i="7"/>
  <c r="BT86" i="7"/>
  <c r="BS86" i="7"/>
  <c r="BR86" i="7"/>
  <c r="BQ86" i="7"/>
  <c r="BP86" i="7"/>
  <c r="BO86" i="7"/>
  <c r="BN86" i="7"/>
  <c r="BM86" i="7"/>
  <c r="BL86" i="7"/>
  <c r="BK86" i="7"/>
  <c r="BJ86" i="7"/>
  <c r="BI86" i="7"/>
  <c r="BH86" i="7"/>
  <c r="BG86" i="7"/>
  <c r="DD85" i="7"/>
  <c r="DC85" i="7"/>
  <c r="DB85" i="7"/>
  <c r="DA85" i="7"/>
  <c r="CZ85" i="7"/>
  <c r="CY85" i="7"/>
  <c r="CX85" i="7"/>
  <c r="CW85" i="7"/>
  <c r="CV85" i="7"/>
  <c r="CU85" i="7"/>
  <c r="CT85" i="7"/>
  <c r="CS85" i="7"/>
  <c r="CR85" i="7"/>
  <c r="CQ85" i="7"/>
  <c r="CP85" i="7"/>
  <c r="CO85" i="7"/>
  <c r="CN85" i="7"/>
  <c r="CM85" i="7"/>
  <c r="CL85" i="7"/>
  <c r="CK85" i="7"/>
  <c r="CJ85" i="7"/>
  <c r="CI85" i="7"/>
  <c r="CH85" i="7"/>
  <c r="CG85" i="7"/>
  <c r="CF85" i="7"/>
  <c r="CE85" i="7"/>
  <c r="CD85" i="7"/>
  <c r="CC85" i="7"/>
  <c r="CB85" i="7"/>
  <c r="CA85" i="7"/>
  <c r="BZ85" i="7"/>
  <c r="BY85" i="7"/>
  <c r="BX85" i="7"/>
  <c r="BW85" i="7"/>
  <c r="BV85" i="7"/>
  <c r="BU85" i="7"/>
  <c r="BT85" i="7"/>
  <c r="BS85" i="7"/>
  <c r="BR85" i="7"/>
  <c r="BQ85" i="7"/>
  <c r="BP85" i="7"/>
  <c r="BO85" i="7"/>
  <c r="BN85" i="7"/>
  <c r="BM85" i="7"/>
  <c r="BL85" i="7"/>
  <c r="BK85" i="7"/>
  <c r="BJ85" i="7"/>
  <c r="BI85" i="7"/>
  <c r="BH85" i="7"/>
  <c r="BG85" i="7"/>
  <c r="DD84" i="7"/>
  <c r="DC84" i="7"/>
  <c r="DB84" i="7"/>
  <c r="DA84" i="7"/>
  <c r="CZ84" i="7"/>
  <c r="CY84" i="7"/>
  <c r="CX84" i="7"/>
  <c r="CW84" i="7"/>
  <c r="CV84" i="7"/>
  <c r="CU84" i="7"/>
  <c r="CT84" i="7"/>
  <c r="CS84" i="7"/>
  <c r="CR84" i="7"/>
  <c r="CQ84" i="7"/>
  <c r="CP84" i="7"/>
  <c r="CO84" i="7"/>
  <c r="CN84" i="7"/>
  <c r="CM84" i="7"/>
  <c r="CL84" i="7"/>
  <c r="CK84" i="7"/>
  <c r="CJ84" i="7"/>
  <c r="CI84" i="7"/>
  <c r="CH84" i="7"/>
  <c r="CG84" i="7"/>
  <c r="CF84" i="7"/>
  <c r="CE84" i="7"/>
  <c r="CD84" i="7"/>
  <c r="CC84" i="7"/>
  <c r="CB84" i="7"/>
  <c r="CA84" i="7"/>
  <c r="BZ84" i="7"/>
  <c r="BY84" i="7"/>
  <c r="BX84" i="7"/>
  <c r="BW84" i="7"/>
  <c r="BV84" i="7"/>
  <c r="BU84" i="7"/>
  <c r="BT84" i="7"/>
  <c r="BS84" i="7"/>
  <c r="BR84" i="7"/>
  <c r="BQ84" i="7"/>
  <c r="BP84" i="7"/>
  <c r="BO84" i="7"/>
  <c r="BN84" i="7"/>
  <c r="BM84" i="7"/>
  <c r="BL84" i="7"/>
  <c r="BK84" i="7"/>
  <c r="BJ84" i="7"/>
  <c r="BI84" i="7"/>
  <c r="BH84" i="7"/>
  <c r="BG84" i="7"/>
  <c r="DD83" i="7"/>
  <c r="DC83" i="7"/>
  <c r="DB83" i="7"/>
  <c r="DA83" i="7"/>
  <c r="CZ83" i="7"/>
  <c r="CY83" i="7"/>
  <c r="CX83" i="7"/>
  <c r="CW83" i="7"/>
  <c r="CV83" i="7"/>
  <c r="CU83" i="7"/>
  <c r="CT83" i="7"/>
  <c r="CS83" i="7"/>
  <c r="CR83" i="7"/>
  <c r="CQ83" i="7"/>
  <c r="CP83" i="7"/>
  <c r="CO83" i="7"/>
  <c r="CN83" i="7"/>
  <c r="CM83" i="7"/>
  <c r="CL83" i="7"/>
  <c r="CK83" i="7"/>
  <c r="CJ83" i="7"/>
  <c r="CI83" i="7"/>
  <c r="CH83" i="7"/>
  <c r="CG83" i="7"/>
  <c r="CF83" i="7"/>
  <c r="CE83" i="7"/>
  <c r="CD83" i="7"/>
  <c r="CC83" i="7"/>
  <c r="CB83" i="7"/>
  <c r="CA83" i="7"/>
  <c r="BZ83" i="7"/>
  <c r="BY83" i="7"/>
  <c r="BX83" i="7"/>
  <c r="BW83" i="7"/>
  <c r="BV83" i="7"/>
  <c r="BU83" i="7"/>
  <c r="BT83" i="7"/>
  <c r="BS83" i="7"/>
  <c r="BR83" i="7"/>
  <c r="BQ83" i="7"/>
  <c r="BP83" i="7"/>
  <c r="BO83" i="7"/>
  <c r="BN83" i="7"/>
  <c r="BM83" i="7"/>
  <c r="BL83" i="7"/>
  <c r="BK83" i="7"/>
  <c r="BJ83" i="7"/>
  <c r="BI83" i="7"/>
  <c r="BH83" i="7"/>
  <c r="BG83" i="7"/>
  <c r="DD82" i="7"/>
  <c r="DC82" i="7"/>
  <c r="DB82" i="7"/>
  <c r="DA82" i="7"/>
  <c r="CZ82" i="7"/>
  <c r="CY82" i="7"/>
  <c r="CX82" i="7"/>
  <c r="CW82" i="7"/>
  <c r="CV82" i="7"/>
  <c r="CU82" i="7"/>
  <c r="CT82" i="7"/>
  <c r="CS82" i="7"/>
  <c r="CR82" i="7"/>
  <c r="CQ82" i="7"/>
  <c r="CP82" i="7"/>
  <c r="CO82" i="7"/>
  <c r="CN82" i="7"/>
  <c r="CM82" i="7"/>
  <c r="CL82" i="7"/>
  <c r="CK82" i="7"/>
  <c r="CJ82" i="7"/>
  <c r="CI82" i="7"/>
  <c r="CH82" i="7"/>
  <c r="CG82" i="7"/>
  <c r="CF82" i="7"/>
  <c r="CE82" i="7"/>
  <c r="CD82" i="7"/>
  <c r="CC82" i="7"/>
  <c r="CB82" i="7"/>
  <c r="CA82" i="7"/>
  <c r="BZ82" i="7"/>
  <c r="BY82" i="7"/>
  <c r="BX82" i="7"/>
  <c r="BW82" i="7"/>
  <c r="BV82" i="7"/>
  <c r="BU82" i="7"/>
  <c r="BT82" i="7"/>
  <c r="BS82" i="7"/>
  <c r="BR82" i="7"/>
  <c r="BQ82" i="7"/>
  <c r="BP82" i="7"/>
  <c r="BO82" i="7"/>
  <c r="BN82" i="7"/>
  <c r="BM82" i="7"/>
  <c r="BL82" i="7"/>
  <c r="BK82" i="7"/>
  <c r="BJ82" i="7"/>
  <c r="BI82" i="7"/>
  <c r="BH82" i="7"/>
  <c r="BG82" i="7"/>
  <c r="DD81" i="7"/>
  <c r="DC81" i="7"/>
  <c r="DB81" i="7"/>
  <c r="DA81" i="7"/>
  <c r="CZ81" i="7"/>
  <c r="CY81" i="7"/>
  <c r="CX81" i="7"/>
  <c r="CW81" i="7"/>
  <c r="CV81" i="7"/>
  <c r="CU81" i="7"/>
  <c r="CT81" i="7"/>
  <c r="CS81" i="7"/>
  <c r="CR81" i="7"/>
  <c r="CQ81" i="7"/>
  <c r="CP81" i="7"/>
  <c r="CO81" i="7"/>
  <c r="CN81" i="7"/>
  <c r="CM81" i="7"/>
  <c r="CL81" i="7"/>
  <c r="CK81" i="7"/>
  <c r="CJ81" i="7"/>
  <c r="CI81" i="7"/>
  <c r="CH81" i="7"/>
  <c r="CG81" i="7"/>
  <c r="CF81" i="7"/>
  <c r="CE81" i="7"/>
  <c r="CD81" i="7"/>
  <c r="CC81" i="7"/>
  <c r="CB81" i="7"/>
  <c r="CA81" i="7"/>
  <c r="BZ81" i="7"/>
  <c r="BY81" i="7"/>
  <c r="BX81" i="7"/>
  <c r="BW81" i="7"/>
  <c r="BV81" i="7"/>
  <c r="BU81" i="7"/>
  <c r="BT81" i="7"/>
  <c r="BS81" i="7"/>
  <c r="BR81" i="7"/>
  <c r="BQ81" i="7"/>
  <c r="BP81" i="7"/>
  <c r="BO81" i="7"/>
  <c r="BN81" i="7"/>
  <c r="BM81" i="7"/>
  <c r="BL81" i="7"/>
  <c r="BK81" i="7"/>
  <c r="BJ81" i="7"/>
  <c r="BI81" i="7"/>
  <c r="BH81" i="7"/>
  <c r="BG81" i="7"/>
  <c r="DD80" i="7"/>
  <c r="DC80" i="7"/>
  <c r="DB80" i="7"/>
  <c r="DA80" i="7"/>
  <c r="CZ80" i="7"/>
  <c r="CY80" i="7"/>
  <c r="CX80" i="7"/>
  <c r="CW80" i="7"/>
  <c r="CV80" i="7"/>
  <c r="CU80" i="7"/>
  <c r="CT80" i="7"/>
  <c r="CS80" i="7"/>
  <c r="CR80" i="7"/>
  <c r="CQ80" i="7"/>
  <c r="CP80" i="7"/>
  <c r="CO80" i="7"/>
  <c r="CN80" i="7"/>
  <c r="CM80" i="7"/>
  <c r="CL80" i="7"/>
  <c r="CK80" i="7"/>
  <c r="CJ80" i="7"/>
  <c r="CI80" i="7"/>
  <c r="CH80" i="7"/>
  <c r="CG80" i="7"/>
  <c r="CF80" i="7"/>
  <c r="CE80" i="7"/>
  <c r="CD80" i="7"/>
  <c r="CC80" i="7"/>
  <c r="CB80" i="7"/>
  <c r="CA80" i="7"/>
  <c r="BZ80" i="7"/>
  <c r="BY80" i="7"/>
  <c r="BX80" i="7"/>
  <c r="BW80" i="7"/>
  <c r="BV80" i="7"/>
  <c r="BU80" i="7"/>
  <c r="BT80" i="7"/>
  <c r="BS80" i="7"/>
  <c r="BR80" i="7"/>
  <c r="BQ80" i="7"/>
  <c r="BP80" i="7"/>
  <c r="BO80" i="7"/>
  <c r="BN80" i="7"/>
  <c r="BM80" i="7"/>
  <c r="BL80" i="7"/>
  <c r="BK80" i="7"/>
  <c r="BJ80" i="7"/>
  <c r="BI80" i="7"/>
  <c r="BH80" i="7"/>
  <c r="BG80" i="7"/>
  <c r="DD79" i="7"/>
  <c r="DC79" i="7"/>
  <c r="DB79" i="7"/>
  <c r="DA79" i="7"/>
  <c r="CZ79" i="7"/>
  <c r="CY79" i="7"/>
  <c r="CX79" i="7"/>
  <c r="CW79" i="7"/>
  <c r="CV79" i="7"/>
  <c r="CU79" i="7"/>
  <c r="CT79" i="7"/>
  <c r="CS79" i="7"/>
  <c r="CR79" i="7"/>
  <c r="CQ79" i="7"/>
  <c r="CP79" i="7"/>
  <c r="CO79" i="7"/>
  <c r="CN79" i="7"/>
  <c r="CM79" i="7"/>
  <c r="CL79" i="7"/>
  <c r="CK79" i="7"/>
  <c r="CJ79" i="7"/>
  <c r="CI79" i="7"/>
  <c r="CH79" i="7"/>
  <c r="CG79" i="7"/>
  <c r="CF79" i="7"/>
  <c r="CE79" i="7"/>
  <c r="CD79" i="7"/>
  <c r="CC79" i="7"/>
  <c r="CB79" i="7"/>
  <c r="CA79" i="7"/>
  <c r="BZ79" i="7"/>
  <c r="BY79" i="7"/>
  <c r="BX79" i="7"/>
  <c r="BW79" i="7"/>
  <c r="BV79" i="7"/>
  <c r="BU79" i="7"/>
  <c r="BT79" i="7"/>
  <c r="BS79" i="7"/>
  <c r="BR79" i="7"/>
  <c r="BQ79" i="7"/>
  <c r="BP79" i="7"/>
  <c r="BO79" i="7"/>
  <c r="BN79" i="7"/>
  <c r="BM79" i="7"/>
  <c r="BL79" i="7"/>
  <c r="BK79" i="7"/>
  <c r="BJ79" i="7"/>
  <c r="BI79" i="7"/>
  <c r="BH79" i="7"/>
  <c r="BG79" i="7"/>
  <c r="DD78" i="7"/>
  <c r="DC78" i="7"/>
  <c r="DB78" i="7"/>
  <c r="DA78" i="7"/>
  <c r="CZ78" i="7"/>
  <c r="CY78" i="7"/>
  <c r="CX78" i="7"/>
  <c r="CW78" i="7"/>
  <c r="CV78" i="7"/>
  <c r="CU78" i="7"/>
  <c r="CT78" i="7"/>
  <c r="CS78" i="7"/>
  <c r="CR78" i="7"/>
  <c r="CQ78" i="7"/>
  <c r="CP78" i="7"/>
  <c r="CO78" i="7"/>
  <c r="CN78" i="7"/>
  <c r="CM78" i="7"/>
  <c r="CL78" i="7"/>
  <c r="CK78" i="7"/>
  <c r="CJ78" i="7"/>
  <c r="CI78" i="7"/>
  <c r="CH78" i="7"/>
  <c r="CG78" i="7"/>
  <c r="CF78" i="7"/>
  <c r="CE78" i="7"/>
  <c r="CD78" i="7"/>
  <c r="CC78" i="7"/>
  <c r="CB78" i="7"/>
  <c r="CA78" i="7"/>
  <c r="BZ78" i="7"/>
  <c r="BY78" i="7"/>
  <c r="BX78" i="7"/>
  <c r="BW78" i="7"/>
  <c r="BV78" i="7"/>
  <c r="BU78" i="7"/>
  <c r="BT78" i="7"/>
  <c r="BS78" i="7"/>
  <c r="BR78" i="7"/>
  <c r="BQ78" i="7"/>
  <c r="BP78" i="7"/>
  <c r="BO78" i="7"/>
  <c r="BN78" i="7"/>
  <c r="BM78" i="7"/>
  <c r="BL78" i="7"/>
  <c r="BK78" i="7"/>
  <c r="BJ78" i="7"/>
  <c r="BI78" i="7"/>
  <c r="BH78" i="7"/>
  <c r="BG78" i="7"/>
  <c r="DD77" i="7"/>
  <c r="DC77" i="7"/>
  <c r="DB77" i="7"/>
  <c r="DA77" i="7"/>
  <c r="CZ77" i="7"/>
  <c r="CY77" i="7"/>
  <c r="CX77" i="7"/>
  <c r="CW77" i="7"/>
  <c r="CV77" i="7"/>
  <c r="CU77" i="7"/>
  <c r="CT77" i="7"/>
  <c r="CS77" i="7"/>
  <c r="CR77" i="7"/>
  <c r="CQ77" i="7"/>
  <c r="CP77" i="7"/>
  <c r="CO77" i="7"/>
  <c r="CN77" i="7"/>
  <c r="CM77" i="7"/>
  <c r="CL77" i="7"/>
  <c r="CK77" i="7"/>
  <c r="CJ77" i="7"/>
  <c r="CI77" i="7"/>
  <c r="CH77" i="7"/>
  <c r="CG77" i="7"/>
  <c r="CF77" i="7"/>
  <c r="CE77" i="7"/>
  <c r="CD77" i="7"/>
  <c r="CC77" i="7"/>
  <c r="CB77" i="7"/>
  <c r="CA77" i="7"/>
  <c r="BZ77" i="7"/>
  <c r="BY77" i="7"/>
  <c r="BX77" i="7"/>
  <c r="BW77" i="7"/>
  <c r="BV77" i="7"/>
  <c r="BU77" i="7"/>
  <c r="BT77" i="7"/>
  <c r="BS77" i="7"/>
  <c r="BR77" i="7"/>
  <c r="BQ77" i="7"/>
  <c r="BP77" i="7"/>
  <c r="BO77" i="7"/>
  <c r="BN77" i="7"/>
  <c r="BM77" i="7"/>
  <c r="BL77" i="7"/>
  <c r="BK77" i="7"/>
  <c r="BJ77" i="7"/>
  <c r="BI77" i="7"/>
  <c r="BH77" i="7"/>
  <c r="BG77" i="7"/>
  <c r="DD76" i="7"/>
  <c r="DC76" i="7"/>
  <c r="DB76" i="7"/>
  <c r="DA76" i="7"/>
  <c r="CZ76" i="7"/>
  <c r="CY76" i="7"/>
  <c r="CX76" i="7"/>
  <c r="CW76" i="7"/>
  <c r="CV76" i="7"/>
  <c r="CU76" i="7"/>
  <c r="CT76" i="7"/>
  <c r="CS76" i="7"/>
  <c r="CR76" i="7"/>
  <c r="CQ76" i="7"/>
  <c r="CP76" i="7"/>
  <c r="CO76" i="7"/>
  <c r="CN76" i="7"/>
  <c r="CM76" i="7"/>
  <c r="CL76" i="7"/>
  <c r="CK76" i="7"/>
  <c r="CJ76" i="7"/>
  <c r="CI76" i="7"/>
  <c r="CH76" i="7"/>
  <c r="CG76" i="7"/>
  <c r="CF76" i="7"/>
  <c r="CE76" i="7"/>
  <c r="CD76" i="7"/>
  <c r="CC76" i="7"/>
  <c r="CB76" i="7"/>
  <c r="CA76" i="7"/>
  <c r="BZ76" i="7"/>
  <c r="BY76" i="7"/>
  <c r="BX76" i="7"/>
  <c r="BW76" i="7"/>
  <c r="BV76" i="7"/>
  <c r="BU76" i="7"/>
  <c r="BT76" i="7"/>
  <c r="BS76" i="7"/>
  <c r="BR76" i="7"/>
  <c r="BQ76" i="7"/>
  <c r="BP76" i="7"/>
  <c r="BO76" i="7"/>
  <c r="BN76" i="7"/>
  <c r="BM76" i="7"/>
  <c r="BL76" i="7"/>
  <c r="BK76" i="7"/>
  <c r="BJ76" i="7"/>
  <c r="BI76" i="7"/>
  <c r="BH76" i="7"/>
  <c r="BG76" i="7"/>
  <c r="DD75" i="7"/>
  <c r="DC75" i="7"/>
  <c r="DB75" i="7"/>
  <c r="DA75" i="7"/>
  <c r="CZ75" i="7"/>
  <c r="CY75" i="7"/>
  <c r="CX75" i="7"/>
  <c r="CW75" i="7"/>
  <c r="CV75" i="7"/>
  <c r="CU75" i="7"/>
  <c r="CT75" i="7"/>
  <c r="CS75" i="7"/>
  <c r="CR75" i="7"/>
  <c r="CQ75" i="7"/>
  <c r="CP75" i="7"/>
  <c r="CO75" i="7"/>
  <c r="CN75" i="7"/>
  <c r="CM75" i="7"/>
  <c r="CL75" i="7"/>
  <c r="CK75" i="7"/>
  <c r="CJ75" i="7"/>
  <c r="CI75" i="7"/>
  <c r="CH75" i="7"/>
  <c r="CG75" i="7"/>
  <c r="CF75" i="7"/>
  <c r="CE75" i="7"/>
  <c r="CD75" i="7"/>
  <c r="CC75" i="7"/>
  <c r="CB75" i="7"/>
  <c r="CA75" i="7"/>
  <c r="BZ75" i="7"/>
  <c r="BY75" i="7"/>
  <c r="BX75" i="7"/>
  <c r="BW75" i="7"/>
  <c r="BV75" i="7"/>
  <c r="BU75" i="7"/>
  <c r="BT75" i="7"/>
  <c r="BS75" i="7"/>
  <c r="BR75" i="7"/>
  <c r="BQ75" i="7"/>
  <c r="BP75" i="7"/>
  <c r="BO75" i="7"/>
  <c r="BN75" i="7"/>
  <c r="BM75" i="7"/>
  <c r="BL75" i="7"/>
  <c r="BK75" i="7"/>
  <c r="BJ75" i="7"/>
  <c r="BI75" i="7"/>
  <c r="BH75" i="7"/>
  <c r="BG75" i="7"/>
  <c r="DD74" i="7"/>
  <c r="DC74" i="7"/>
  <c r="DB74" i="7"/>
  <c r="DA74" i="7"/>
  <c r="CZ74" i="7"/>
  <c r="CY74" i="7"/>
  <c r="CX74" i="7"/>
  <c r="CW74" i="7"/>
  <c r="CV74" i="7"/>
  <c r="CU74" i="7"/>
  <c r="CT74" i="7"/>
  <c r="CS74" i="7"/>
  <c r="CR74" i="7"/>
  <c r="CQ74" i="7"/>
  <c r="CP74" i="7"/>
  <c r="CO74" i="7"/>
  <c r="CN74" i="7"/>
  <c r="CM74" i="7"/>
  <c r="CL74" i="7"/>
  <c r="CK74" i="7"/>
  <c r="CJ74" i="7"/>
  <c r="CI74" i="7"/>
  <c r="CH74" i="7"/>
  <c r="CG74" i="7"/>
  <c r="CF74" i="7"/>
  <c r="CE74" i="7"/>
  <c r="CD74" i="7"/>
  <c r="CC74" i="7"/>
  <c r="CB74" i="7"/>
  <c r="CA74" i="7"/>
  <c r="BZ74" i="7"/>
  <c r="BY74" i="7"/>
  <c r="BX74" i="7"/>
  <c r="BW74" i="7"/>
  <c r="BV74" i="7"/>
  <c r="BU74" i="7"/>
  <c r="BT74" i="7"/>
  <c r="BS74" i="7"/>
  <c r="BR74" i="7"/>
  <c r="BQ74" i="7"/>
  <c r="BP74" i="7"/>
  <c r="BO74" i="7"/>
  <c r="BN74" i="7"/>
  <c r="BM74" i="7"/>
  <c r="BL74" i="7"/>
  <c r="BK74" i="7"/>
  <c r="BJ74" i="7"/>
  <c r="BI74" i="7"/>
  <c r="BH74" i="7"/>
  <c r="BG74" i="7"/>
  <c r="DD73" i="7"/>
  <c r="DC73" i="7"/>
  <c r="DB73" i="7"/>
  <c r="DA73" i="7"/>
  <c r="CZ73" i="7"/>
  <c r="CY73" i="7"/>
  <c r="CX73" i="7"/>
  <c r="CW73" i="7"/>
  <c r="CV73" i="7"/>
  <c r="CU73" i="7"/>
  <c r="CT73" i="7"/>
  <c r="CS73" i="7"/>
  <c r="CR73" i="7"/>
  <c r="CQ73" i="7"/>
  <c r="CP73" i="7"/>
  <c r="CO73" i="7"/>
  <c r="CN73" i="7"/>
  <c r="CM73" i="7"/>
  <c r="CL73" i="7"/>
  <c r="CK73" i="7"/>
  <c r="CJ73" i="7"/>
  <c r="CI73" i="7"/>
  <c r="CH73" i="7"/>
  <c r="CG73" i="7"/>
  <c r="CF73" i="7"/>
  <c r="CE73" i="7"/>
  <c r="CD73" i="7"/>
  <c r="CC73" i="7"/>
  <c r="CB73" i="7"/>
  <c r="CA73" i="7"/>
  <c r="BZ73" i="7"/>
  <c r="BY73" i="7"/>
  <c r="BX73" i="7"/>
  <c r="BW73" i="7"/>
  <c r="BV73" i="7"/>
  <c r="BU73" i="7"/>
  <c r="BT73" i="7"/>
  <c r="BS73" i="7"/>
  <c r="BR73" i="7"/>
  <c r="BQ73" i="7"/>
  <c r="BP73" i="7"/>
  <c r="BO73" i="7"/>
  <c r="BN73" i="7"/>
  <c r="BM73" i="7"/>
  <c r="BL73" i="7"/>
  <c r="BK73" i="7"/>
  <c r="BJ73" i="7"/>
  <c r="BI73" i="7"/>
  <c r="BH73" i="7"/>
  <c r="DD72" i="7"/>
  <c r="DC72" i="7"/>
  <c r="DB72" i="7"/>
  <c r="DA72" i="7"/>
  <c r="CZ72" i="7"/>
  <c r="CY72" i="7"/>
  <c r="CX72" i="7"/>
  <c r="CW72" i="7"/>
  <c r="CV72" i="7"/>
  <c r="CU72" i="7"/>
  <c r="CT72" i="7"/>
  <c r="CS72" i="7"/>
  <c r="CR72" i="7"/>
  <c r="CQ72" i="7"/>
  <c r="CP72" i="7"/>
  <c r="CO72" i="7"/>
  <c r="CN72" i="7"/>
  <c r="CM72" i="7"/>
  <c r="CL72" i="7"/>
  <c r="CK72" i="7"/>
  <c r="CJ72" i="7"/>
  <c r="CI72" i="7"/>
  <c r="CH72" i="7"/>
  <c r="CG72" i="7"/>
  <c r="CF72" i="7"/>
  <c r="CE72" i="7"/>
  <c r="CD72" i="7"/>
  <c r="CC72" i="7"/>
  <c r="CB72" i="7"/>
  <c r="CA72" i="7"/>
  <c r="BZ72" i="7"/>
  <c r="BY72" i="7"/>
  <c r="BX72" i="7"/>
  <c r="BW72" i="7"/>
  <c r="BV72" i="7"/>
  <c r="BU72" i="7"/>
  <c r="BT72" i="7"/>
  <c r="BS72" i="7"/>
  <c r="BR72" i="7"/>
  <c r="BQ72" i="7"/>
  <c r="BP72" i="7"/>
  <c r="BO72" i="7"/>
  <c r="BN72" i="7"/>
  <c r="BM72" i="7"/>
  <c r="BL72" i="7"/>
  <c r="BK72" i="7"/>
  <c r="BJ72" i="7"/>
  <c r="BI72" i="7"/>
  <c r="BH72" i="7"/>
  <c r="BG72" i="7"/>
  <c r="DD71" i="7"/>
  <c r="DC71" i="7"/>
  <c r="DB71" i="7"/>
  <c r="DA71" i="7"/>
  <c r="CZ71" i="7"/>
  <c r="CY71" i="7"/>
  <c r="CX71" i="7"/>
  <c r="CW71" i="7"/>
  <c r="CV71" i="7"/>
  <c r="CU71" i="7"/>
  <c r="CT71" i="7"/>
  <c r="CS71" i="7"/>
  <c r="CR71" i="7"/>
  <c r="CQ71" i="7"/>
  <c r="CP71" i="7"/>
  <c r="CO71" i="7"/>
  <c r="CN71" i="7"/>
  <c r="CM71" i="7"/>
  <c r="CL71" i="7"/>
  <c r="CK71" i="7"/>
  <c r="CJ71" i="7"/>
  <c r="CI71" i="7"/>
  <c r="CH71" i="7"/>
  <c r="CG71" i="7"/>
  <c r="CF71" i="7"/>
  <c r="CE71" i="7"/>
  <c r="CD71" i="7"/>
  <c r="CC71" i="7"/>
  <c r="CB71" i="7"/>
  <c r="CA71" i="7"/>
  <c r="BZ71" i="7"/>
  <c r="BY71" i="7"/>
  <c r="BX71" i="7"/>
  <c r="BW71" i="7"/>
  <c r="BV71" i="7"/>
  <c r="BU71" i="7"/>
  <c r="BT71" i="7"/>
  <c r="BR71" i="7"/>
  <c r="BQ71" i="7"/>
  <c r="BP71" i="7"/>
  <c r="BO71" i="7"/>
  <c r="BN71" i="7"/>
  <c r="BM71" i="7"/>
  <c r="BL71" i="7"/>
  <c r="BK71" i="7"/>
  <c r="BJ71" i="7"/>
  <c r="BH71" i="7"/>
  <c r="BS71" i="7"/>
  <c r="DD70" i="7"/>
  <c r="DC70" i="7"/>
  <c r="DB70" i="7"/>
  <c r="DA70" i="7"/>
  <c r="CZ70" i="7"/>
  <c r="CY70" i="7"/>
  <c r="CX70" i="7"/>
  <c r="CW70" i="7"/>
  <c r="CV70" i="7"/>
  <c r="CU70" i="7"/>
  <c r="CT70" i="7"/>
  <c r="CS70" i="7"/>
  <c r="CR70" i="7"/>
  <c r="CQ70" i="7"/>
  <c r="CP70" i="7"/>
  <c r="CO70" i="7"/>
  <c r="CN70" i="7"/>
  <c r="CM70" i="7"/>
  <c r="CL70" i="7"/>
  <c r="CK70" i="7"/>
  <c r="CJ70" i="7"/>
  <c r="CI70" i="7"/>
  <c r="CH70" i="7"/>
  <c r="CG70" i="7"/>
  <c r="CF70" i="7"/>
  <c r="CE70" i="7"/>
  <c r="CD70" i="7"/>
  <c r="CC70" i="7"/>
  <c r="CB70" i="7"/>
  <c r="CA70" i="7"/>
  <c r="BZ70" i="7"/>
  <c r="BY70" i="7"/>
  <c r="BX70" i="7"/>
  <c r="BW70" i="7"/>
  <c r="BV70" i="7"/>
  <c r="BU70" i="7"/>
  <c r="BT70" i="7"/>
  <c r="BS70" i="7"/>
  <c r="BR70" i="7"/>
  <c r="BQ70" i="7"/>
  <c r="BP70" i="7"/>
  <c r="BO70" i="7"/>
  <c r="BN70" i="7"/>
  <c r="BM70" i="7"/>
  <c r="BL70" i="7"/>
  <c r="BK70" i="7"/>
  <c r="BJ70" i="7"/>
  <c r="BI70" i="7"/>
  <c r="BH70" i="7"/>
  <c r="BG70" i="7"/>
  <c r="DD69" i="7"/>
  <c r="DC69" i="7"/>
  <c r="DB69" i="7"/>
  <c r="DA69" i="7"/>
  <c r="CZ69" i="7"/>
  <c r="CY69" i="7"/>
  <c r="CX69" i="7"/>
  <c r="CW69" i="7"/>
  <c r="CV69" i="7"/>
  <c r="CU69" i="7"/>
  <c r="CT69" i="7"/>
  <c r="CS69" i="7"/>
  <c r="CR69" i="7"/>
  <c r="CQ69" i="7"/>
  <c r="CP69" i="7"/>
  <c r="CO69" i="7"/>
  <c r="CN69" i="7"/>
  <c r="CM69" i="7"/>
  <c r="CL69" i="7"/>
  <c r="CK69" i="7"/>
  <c r="CJ69" i="7"/>
  <c r="CI69" i="7"/>
  <c r="CH69" i="7"/>
  <c r="CG69" i="7"/>
  <c r="CF69" i="7"/>
  <c r="CE69" i="7"/>
  <c r="CD69" i="7"/>
  <c r="CC69" i="7"/>
  <c r="CB69" i="7"/>
  <c r="CA69" i="7"/>
  <c r="BZ69" i="7"/>
  <c r="BY69" i="7"/>
  <c r="BX69" i="7"/>
  <c r="BW69" i="7"/>
  <c r="BV69" i="7"/>
  <c r="BU69" i="7"/>
  <c r="BT69" i="7"/>
  <c r="BS69" i="7"/>
  <c r="BR69" i="7"/>
  <c r="BQ69" i="7"/>
  <c r="BP69" i="7"/>
  <c r="BO69" i="7"/>
  <c r="BN69" i="7"/>
  <c r="BM69" i="7"/>
  <c r="BL69" i="7"/>
  <c r="BK69" i="7"/>
  <c r="BJ69" i="7"/>
  <c r="BI69" i="7"/>
  <c r="BH69" i="7"/>
  <c r="BG69" i="7"/>
  <c r="DD68" i="7"/>
  <c r="DC68" i="7"/>
  <c r="DB68" i="7"/>
  <c r="DA68" i="7"/>
  <c r="CZ68" i="7"/>
  <c r="CY68" i="7"/>
  <c r="CX68" i="7"/>
  <c r="CW68" i="7"/>
  <c r="CV68" i="7"/>
  <c r="CU68" i="7"/>
  <c r="CT68" i="7"/>
  <c r="CS68" i="7"/>
  <c r="CR68" i="7"/>
  <c r="CQ68" i="7"/>
  <c r="CP68" i="7"/>
  <c r="CO68" i="7"/>
  <c r="CN68" i="7"/>
  <c r="CM68" i="7"/>
  <c r="CL68" i="7"/>
  <c r="CK68" i="7"/>
  <c r="CJ68" i="7"/>
  <c r="CI68" i="7"/>
  <c r="CH68" i="7"/>
  <c r="CG68" i="7"/>
  <c r="CF68" i="7"/>
  <c r="CE68" i="7"/>
  <c r="CD68" i="7"/>
  <c r="CC68" i="7"/>
  <c r="CB68" i="7"/>
  <c r="CA68" i="7"/>
  <c r="BZ68" i="7"/>
  <c r="BY68" i="7"/>
  <c r="BX68" i="7"/>
  <c r="BW68" i="7"/>
  <c r="BV68" i="7"/>
  <c r="BU68" i="7"/>
  <c r="BT68" i="7"/>
  <c r="BS68" i="7"/>
  <c r="BR68" i="7"/>
  <c r="BQ68" i="7"/>
  <c r="BP68" i="7"/>
  <c r="BO68" i="7"/>
  <c r="BN68" i="7"/>
  <c r="BM68" i="7"/>
  <c r="BL68" i="7"/>
  <c r="BK68" i="7"/>
  <c r="BJ68" i="7"/>
  <c r="BI68" i="7"/>
  <c r="BH68" i="7"/>
  <c r="BG68" i="7"/>
  <c r="DD67" i="7"/>
  <c r="DC67" i="7"/>
  <c r="DB67" i="7"/>
  <c r="DA67" i="7"/>
  <c r="CZ67" i="7"/>
  <c r="CY67" i="7"/>
  <c r="CX67" i="7"/>
  <c r="CW67" i="7"/>
  <c r="CV67" i="7"/>
  <c r="CU67" i="7"/>
  <c r="CT67" i="7"/>
  <c r="CS67" i="7"/>
  <c r="CR67" i="7"/>
  <c r="CQ67" i="7"/>
  <c r="CP67" i="7"/>
  <c r="CO67" i="7"/>
  <c r="CN67" i="7"/>
  <c r="CM67" i="7"/>
  <c r="CL67" i="7"/>
  <c r="CK67" i="7"/>
  <c r="CJ67" i="7"/>
  <c r="CI67" i="7"/>
  <c r="CH67" i="7"/>
  <c r="CG67" i="7"/>
  <c r="CF67" i="7"/>
  <c r="CE67" i="7"/>
  <c r="CD67" i="7"/>
  <c r="CC67" i="7"/>
  <c r="CB67" i="7"/>
  <c r="CA67" i="7"/>
  <c r="BZ67" i="7"/>
  <c r="BY67" i="7"/>
  <c r="BX67" i="7"/>
  <c r="BW67" i="7"/>
  <c r="BV67" i="7"/>
  <c r="BU67" i="7"/>
  <c r="BT67" i="7"/>
  <c r="BS67" i="7"/>
  <c r="BR67" i="7"/>
  <c r="BP67" i="7"/>
  <c r="BI67" i="7"/>
  <c r="BL67" i="7"/>
  <c r="DD66" i="7"/>
  <c r="DC66" i="7"/>
  <c r="DB66" i="7"/>
  <c r="DA66" i="7"/>
  <c r="CZ66" i="7"/>
  <c r="CY66" i="7"/>
  <c r="CX66" i="7"/>
  <c r="CW66" i="7"/>
  <c r="CV66" i="7"/>
  <c r="CU66" i="7"/>
  <c r="CT66" i="7"/>
  <c r="CS66" i="7"/>
  <c r="CR66" i="7"/>
  <c r="CQ66" i="7"/>
  <c r="CP66" i="7"/>
  <c r="CO66" i="7"/>
  <c r="CN66" i="7"/>
  <c r="CM66" i="7"/>
  <c r="CL66" i="7"/>
  <c r="CK66" i="7"/>
  <c r="CJ66" i="7"/>
  <c r="CI66" i="7"/>
  <c r="CH66" i="7"/>
  <c r="CG66" i="7"/>
  <c r="CF66" i="7"/>
  <c r="CE66" i="7"/>
  <c r="CD66" i="7"/>
  <c r="CC66" i="7"/>
  <c r="CB66" i="7"/>
  <c r="CA66" i="7"/>
  <c r="BZ66" i="7"/>
  <c r="BY66" i="7"/>
  <c r="BX66" i="7"/>
  <c r="BW66" i="7"/>
  <c r="BV66" i="7"/>
  <c r="BU66" i="7"/>
  <c r="BT66" i="7"/>
  <c r="BS66" i="7"/>
  <c r="BR66" i="7"/>
  <c r="BQ66" i="7"/>
  <c r="BP66" i="7"/>
  <c r="BO66" i="7"/>
  <c r="BN66" i="7"/>
  <c r="BM66" i="7"/>
  <c r="BL66" i="7"/>
  <c r="BK66" i="7"/>
  <c r="BJ66" i="7"/>
  <c r="BI66" i="7"/>
  <c r="BH66" i="7"/>
  <c r="BG66" i="7"/>
  <c r="DD65" i="7"/>
  <c r="DC65" i="7"/>
  <c r="DB65" i="7"/>
  <c r="DA65" i="7"/>
  <c r="CZ65" i="7"/>
  <c r="CY65" i="7"/>
  <c r="CX65" i="7"/>
  <c r="CW65" i="7"/>
  <c r="CV65" i="7"/>
  <c r="CU65" i="7"/>
  <c r="CT65" i="7"/>
  <c r="CS65" i="7"/>
  <c r="CR65" i="7"/>
  <c r="CQ65" i="7"/>
  <c r="CP65" i="7"/>
  <c r="CO65" i="7"/>
  <c r="CN65" i="7"/>
  <c r="CM65" i="7"/>
  <c r="CL65" i="7"/>
  <c r="CK65" i="7"/>
  <c r="CJ65" i="7"/>
  <c r="CI65" i="7"/>
  <c r="CH65" i="7"/>
  <c r="CG65" i="7"/>
  <c r="CF65" i="7"/>
  <c r="CE65" i="7"/>
  <c r="CD65" i="7"/>
  <c r="CC65" i="7"/>
  <c r="CB65" i="7"/>
  <c r="CA65" i="7"/>
  <c r="BZ65" i="7"/>
  <c r="BY65" i="7"/>
  <c r="BX65" i="7"/>
  <c r="BW65" i="7"/>
  <c r="BV65" i="7"/>
  <c r="BU65" i="7"/>
  <c r="BT65" i="7"/>
  <c r="BS65" i="7"/>
  <c r="BR65" i="7"/>
  <c r="BQ65" i="7"/>
  <c r="BP65" i="7"/>
  <c r="BO65" i="7"/>
  <c r="BN65" i="7"/>
  <c r="BM65" i="7"/>
  <c r="BL65" i="7"/>
  <c r="BK65" i="7"/>
  <c r="BJ65" i="7"/>
  <c r="BI65" i="7"/>
  <c r="BH65" i="7"/>
  <c r="BG65" i="7"/>
  <c r="DD64" i="7"/>
  <c r="DC64" i="7"/>
  <c r="DB64" i="7"/>
  <c r="DA64" i="7"/>
  <c r="CZ64" i="7"/>
  <c r="CY64" i="7"/>
  <c r="CX64" i="7"/>
  <c r="CW64" i="7"/>
  <c r="CV64" i="7"/>
  <c r="CU64" i="7"/>
  <c r="CT64" i="7"/>
  <c r="CS64" i="7"/>
  <c r="CR64" i="7"/>
  <c r="CQ64" i="7"/>
  <c r="CP64" i="7"/>
  <c r="CO64" i="7"/>
  <c r="CN64" i="7"/>
  <c r="CM64" i="7"/>
  <c r="CL64" i="7"/>
  <c r="CK64" i="7"/>
  <c r="CJ64" i="7"/>
  <c r="CI64" i="7"/>
  <c r="CH64" i="7"/>
  <c r="CG64" i="7"/>
  <c r="CF64" i="7"/>
  <c r="CE64" i="7"/>
  <c r="CD64" i="7"/>
  <c r="CC64" i="7"/>
  <c r="CB64" i="7"/>
  <c r="CA64" i="7"/>
  <c r="BZ64" i="7"/>
  <c r="BY64" i="7"/>
  <c r="BX64" i="7"/>
  <c r="BW64" i="7"/>
  <c r="BV64" i="7"/>
  <c r="BU64" i="7"/>
  <c r="BT64" i="7"/>
  <c r="BS64" i="7"/>
  <c r="BR64" i="7"/>
  <c r="BQ64" i="7"/>
  <c r="BP64" i="7"/>
  <c r="BO64" i="7"/>
  <c r="BN64" i="7"/>
  <c r="BM64" i="7"/>
  <c r="BL64" i="7"/>
  <c r="BK64" i="7"/>
  <c r="BJ64" i="7"/>
  <c r="BI64" i="7"/>
  <c r="BH64" i="7"/>
  <c r="BG64" i="7"/>
  <c r="DD63" i="7"/>
  <c r="DC63" i="7"/>
  <c r="DB63" i="7"/>
  <c r="DA63" i="7"/>
  <c r="CZ63" i="7"/>
  <c r="CY63" i="7"/>
  <c r="CX63" i="7"/>
  <c r="CW63" i="7"/>
  <c r="CV63" i="7"/>
  <c r="CU63" i="7"/>
  <c r="CT63" i="7"/>
  <c r="CS63" i="7"/>
  <c r="CR63" i="7"/>
  <c r="CQ63" i="7"/>
  <c r="CP63" i="7"/>
  <c r="CO63" i="7"/>
  <c r="CN63" i="7"/>
  <c r="CM63" i="7"/>
  <c r="CL63" i="7"/>
  <c r="CK63" i="7"/>
  <c r="CJ63" i="7"/>
  <c r="CI63" i="7"/>
  <c r="CH63" i="7"/>
  <c r="CG63" i="7"/>
  <c r="CF63" i="7"/>
  <c r="CE63" i="7"/>
  <c r="CD63" i="7"/>
  <c r="CC63" i="7"/>
  <c r="CB63" i="7"/>
  <c r="CA63" i="7"/>
  <c r="BZ63" i="7"/>
  <c r="BY63" i="7"/>
  <c r="BX63" i="7"/>
  <c r="BW63" i="7"/>
  <c r="BV63" i="7"/>
  <c r="BU63" i="7"/>
  <c r="BT63" i="7"/>
  <c r="BS63" i="7"/>
  <c r="BR63" i="7"/>
  <c r="BQ63" i="7"/>
  <c r="BP63" i="7"/>
  <c r="BO63" i="7"/>
  <c r="BN63" i="7"/>
  <c r="BM63" i="7"/>
  <c r="BL63" i="7"/>
  <c r="BK63" i="7"/>
  <c r="BJ63" i="7"/>
  <c r="BI63" i="7"/>
  <c r="BH63" i="7"/>
  <c r="BG63" i="7"/>
  <c r="DD62" i="7"/>
  <c r="DC62" i="7"/>
  <c r="DB62" i="7"/>
  <c r="DA62" i="7"/>
  <c r="CZ62" i="7"/>
  <c r="CY62" i="7"/>
  <c r="CX62" i="7"/>
  <c r="CW62" i="7"/>
  <c r="CV62" i="7"/>
  <c r="CU62" i="7"/>
  <c r="CT62" i="7"/>
  <c r="CS62" i="7"/>
  <c r="CR62" i="7"/>
  <c r="CQ62" i="7"/>
  <c r="CP62" i="7"/>
  <c r="CO62" i="7"/>
  <c r="CN62" i="7"/>
  <c r="CM62" i="7"/>
  <c r="CL62" i="7"/>
  <c r="CK62" i="7"/>
  <c r="CJ62" i="7"/>
  <c r="CI62" i="7"/>
  <c r="CH62" i="7"/>
  <c r="CG62" i="7"/>
  <c r="CF62" i="7"/>
  <c r="CE62" i="7"/>
  <c r="CD62" i="7"/>
  <c r="CC62" i="7"/>
  <c r="CB62" i="7"/>
  <c r="CA62" i="7"/>
  <c r="BZ62" i="7"/>
  <c r="BY62" i="7"/>
  <c r="BX62" i="7"/>
  <c r="BW62" i="7"/>
  <c r="BV62" i="7"/>
  <c r="BU62" i="7"/>
  <c r="BT62" i="7"/>
  <c r="BS62" i="7"/>
  <c r="BR62" i="7"/>
  <c r="BQ62" i="7"/>
  <c r="BP62" i="7"/>
  <c r="BO62" i="7"/>
  <c r="BN62" i="7"/>
  <c r="BM62" i="7"/>
  <c r="BL62" i="7"/>
  <c r="BK62" i="7"/>
  <c r="BJ62" i="7"/>
  <c r="BI62" i="7"/>
  <c r="BH62" i="7"/>
  <c r="BG62" i="7"/>
  <c r="DD61" i="7"/>
  <c r="DC61" i="7"/>
  <c r="DB61" i="7"/>
  <c r="DA61" i="7"/>
  <c r="CZ61" i="7"/>
  <c r="CY61" i="7"/>
  <c r="CX61" i="7"/>
  <c r="CW61" i="7"/>
  <c r="CV61" i="7"/>
  <c r="CU61" i="7"/>
  <c r="CT61" i="7"/>
  <c r="CS61" i="7"/>
  <c r="CR61" i="7"/>
  <c r="CQ61" i="7"/>
  <c r="CP61" i="7"/>
  <c r="CO61" i="7"/>
  <c r="CN61" i="7"/>
  <c r="CM61" i="7"/>
  <c r="CL61" i="7"/>
  <c r="CK61" i="7"/>
  <c r="CJ61" i="7"/>
  <c r="CI61" i="7"/>
  <c r="CH61" i="7"/>
  <c r="CG61" i="7"/>
  <c r="CF61" i="7"/>
  <c r="CE61" i="7"/>
  <c r="CD61" i="7"/>
  <c r="CC61" i="7"/>
  <c r="CB61" i="7"/>
  <c r="CA61" i="7"/>
  <c r="BZ61" i="7"/>
  <c r="BY61" i="7"/>
  <c r="BX61" i="7"/>
  <c r="BW61" i="7"/>
  <c r="BV61" i="7"/>
  <c r="BU61" i="7"/>
  <c r="BT61" i="7"/>
  <c r="BS61" i="7"/>
  <c r="BR61" i="7"/>
  <c r="BQ61" i="7"/>
  <c r="BP61" i="7"/>
  <c r="BO61" i="7"/>
  <c r="BN61" i="7"/>
  <c r="BM61" i="7"/>
  <c r="BL61" i="7"/>
  <c r="BK61" i="7"/>
  <c r="BJ61" i="7"/>
  <c r="BI61" i="7"/>
  <c r="BH61" i="7"/>
  <c r="BG61" i="7"/>
  <c r="DD60" i="7"/>
  <c r="DC60" i="7"/>
  <c r="DB60" i="7"/>
  <c r="DA60" i="7"/>
  <c r="CZ60" i="7"/>
  <c r="CY60" i="7"/>
  <c r="CX60" i="7"/>
  <c r="CW60" i="7"/>
  <c r="CV60" i="7"/>
  <c r="CU60" i="7"/>
  <c r="CT60" i="7"/>
  <c r="CS60" i="7"/>
  <c r="CR60" i="7"/>
  <c r="CQ60" i="7"/>
  <c r="CP60" i="7"/>
  <c r="CO60" i="7"/>
  <c r="CN60" i="7"/>
  <c r="CM60" i="7"/>
  <c r="CL60" i="7"/>
  <c r="CK60" i="7"/>
  <c r="CJ60" i="7"/>
  <c r="CI60" i="7"/>
  <c r="CH60" i="7"/>
  <c r="CG60" i="7"/>
  <c r="CF60" i="7"/>
  <c r="CE60" i="7"/>
  <c r="CD60" i="7"/>
  <c r="CC60" i="7"/>
  <c r="CB60" i="7"/>
  <c r="CA60" i="7"/>
  <c r="BZ60" i="7"/>
  <c r="BY60" i="7"/>
  <c r="BX60" i="7"/>
  <c r="BW60" i="7"/>
  <c r="BV60" i="7"/>
  <c r="BU60" i="7"/>
  <c r="BT60" i="7"/>
  <c r="BS60" i="7"/>
  <c r="BR60" i="7"/>
  <c r="BQ60" i="7"/>
  <c r="BP60" i="7"/>
  <c r="BO60" i="7"/>
  <c r="BN60" i="7"/>
  <c r="BM60" i="7"/>
  <c r="BL60" i="7"/>
  <c r="BK60" i="7"/>
  <c r="BJ60" i="7"/>
  <c r="BI60" i="7"/>
  <c r="BH60" i="7"/>
  <c r="BG60" i="7"/>
  <c r="DD59" i="7"/>
  <c r="DC59" i="7"/>
  <c r="DB59" i="7"/>
  <c r="DA59" i="7"/>
  <c r="CZ59" i="7"/>
  <c r="CY59" i="7"/>
  <c r="CX59" i="7"/>
  <c r="CW59" i="7"/>
  <c r="CV59" i="7"/>
  <c r="CU59" i="7"/>
  <c r="CT59" i="7"/>
  <c r="CS59" i="7"/>
  <c r="CR59" i="7"/>
  <c r="CQ59" i="7"/>
  <c r="CP59" i="7"/>
  <c r="CO59" i="7"/>
  <c r="CN59" i="7"/>
  <c r="CM59" i="7"/>
  <c r="CL59" i="7"/>
  <c r="CK59" i="7"/>
  <c r="CJ59" i="7"/>
  <c r="CI59" i="7"/>
  <c r="CH59" i="7"/>
  <c r="CG59" i="7"/>
  <c r="CF59" i="7"/>
  <c r="CE59" i="7"/>
  <c r="CD59" i="7"/>
  <c r="CC59" i="7"/>
  <c r="CB59" i="7"/>
  <c r="CA59" i="7"/>
  <c r="BZ59" i="7"/>
  <c r="BY59" i="7"/>
  <c r="BX59" i="7"/>
  <c r="BW59" i="7"/>
  <c r="BV59" i="7"/>
  <c r="BU59" i="7"/>
  <c r="BT59" i="7"/>
  <c r="BS59" i="7"/>
  <c r="BR59" i="7"/>
  <c r="BQ59" i="7"/>
  <c r="BP59" i="7"/>
  <c r="BO59" i="7"/>
  <c r="BN59" i="7"/>
  <c r="BM59" i="7"/>
  <c r="BL59" i="7"/>
  <c r="BK59" i="7"/>
  <c r="BJ59" i="7"/>
  <c r="BI59" i="7"/>
  <c r="BH59" i="7"/>
  <c r="BG59" i="7"/>
  <c r="DD58" i="7"/>
  <c r="DC58" i="7"/>
  <c r="DB58" i="7"/>
  <c r="DA58" i="7"/>
  <c r="CZ58" i="7"/>
  <c r="CY58" i="7"/>
  <c r="CX58" i="7"/>
  <c r="CW58" i="7"/>
  <c r="CV58" i="7"/>
  <c r="CU58" i="7"/>
  <c r="CT58" i="7"/>
  <c r="CS58" i="7"/>
  <c r="CR58" i="7"/>
  <c r="CQ58" i="7"/>
  <c r="CP58" i="7"/>
  <c r="CO58" i="7"/>
  <c r="CN58" i="7"/>
  <c r="CM58" i="7"/>
  <c r="CL58" i="7"/>
  <c r="CK58" i="7"/>
  <c r="CJ58" i="7"/>
  <c r="CI58" i="7"/>
  <c r="CH58" i="7"/>
  <c r="CG58" i="7"/>
  <c r="CF58" i="7"/>
  <c r="CE58" i="7"/>
  <c r="CD58" i="7"/>
  <c r="CC58" i="7"/>
  <c r="CB58" i="7"/>
  <c r="CA58" i="7"/>
  <c r="BZ58" i="7"/>
  <c r="BY58" i="7"/>
  <c r="BX58" i="7"/>
  <c r="BW58" i="7"/>
  <c r="BV58" i="7"/>
  <c r="BU58" i="7"/>
  <c r="BT58" i="7"/>
  <c r="BS58" i="7"/>
  <c r="BR58" i="7"/>
  <c r="BQ58" i="7"/>
  <c r="BP58" i="7"/>
  <c r="BO58" i="7"/>
  <c r="BN58" i="7"/>
  <c r="BM58" i="7"/>
  <c r="BL58" i="7"/>
  <c r="BK58" i="7"/>
  <c r="BJ58" i="7"/>
  <c r="BI58" i="7"/>
  <c r="BH58" i="7"/>
  <c r="DD57" i="7"/>
  <c r="DC57" i="7"/>
  <c r="DB57" i="7"/>
  <c r="DA57" i="7"/>
  <c r="CZ57" i="7"/>
  <c r="CY57" i="7"/>
  <c r="CX57" i="7"/>
  <c r="CW57" i="7"/>
  <c r="CV57" i="7"/>
  <c r="CU57" i="7"/>
  <c r="CT57" i="7"/>
  <c r="CS57" i="7"/>
  <c r="CR57" i="7"/>
  <c r="CQ57" i="7"/>
  <c r="CP57" i="7"/>
  <c r="CO57" i="7"/>
  <c r="CN57" i="7"/>
  <c r="CM57" i="7"/>
  <c r="CL57" i="7"/>
  <c r="CK57" i="7"/>
  <c r="CJ57" i="7"/>
  <c r="CI57" i="7"/>
  <c r="CH57" i="7"/>
  <c r="CG57" i="7"/>
  <c r="CF57" i="7"/>
  <c r="CE57" i="7"/>
  <c r="CD57" i="7"/>
  <c r="CC57" i="7"/>
  <c r="CB57" i="7"/>
  <c r="CA57" i="7"/>
  <c r="BZ57" i="7"/>
  <c r="BY57" i="7"/>
  <c r="BX57" i="7"/>
  <c r="BW57" i="7"/>
  <c r="BV57" i="7"/>
  <c r="BU57" i="7"/>
  <c r="BT57" i="7"/>
  <c r="BS57" i="7"/>
  <c r="BR57" i="7"/>
  <c r="BQ57" i="7"/>
  <c r="BP57" i="7"/>
  <c r="BO57" i="7"/>
  <c r="BN57" i="7"/>
  <c r="BM57" i="7"/>
  <c r="BL57" i="7"/>
  <c r="BK57" i="7"/>
  <c r="BJ57" i="7"/>
  <c r="BI57" i="7"/>
  <c r="BH57" i="7"/>
  <c r="DD56" i="7"/>
  <c r="DC56" i="7"/>
  <c r="DB56" i="7"/>
  <c r="DA56" i="7"/>
  <c r="CZ56" i="7"/>
  <c r="CY56" i="7"/>
  <c r="CX56" i="7"/>
  <c r="CW56" i="7"/>
  <c r="CV56" i="7"/>
  <c r="CU56" i="7"/>
  <c r="CT56" i="7"/>
  <c r="CS56" i="7"/>
  <c r="CR56" i="7"/>
  <c r="CQ56" i="7"/>
  <c r="CP56" i="7"/>
  <c r="CO56" i="7"/>
  <c r="CN56" i="7"/>
  <c r="CM56" i="7"/>
  <c r="CL56" i="7"/>
  <c r="CK56" i="7"/>
  <c r="CJ56" i="7"/>
  <c r="CI56" i="7"/>
  <c r="CH56" i="7"/>
  <c r="CG56" i="7"/>
  <c r="CF56" i="7"/>
  <c r="CE56" i="7"/>
  <c r="CD56" i="7"/>
  <c r="CC56" i="7"/>
  <c r="CB56" i="7"/>
  <c r="CA56" i="7"/>
  <c r="BZ56" i="7"/>
  <c r="BY56" i="7"/>
  <c r="BX56" i="7"/>
  <c r="BW56" i="7"/>
  <c r="BV56" i="7"/>
  <c r="BU56" i="7"/>
  <c r="BT56" i="7"/>
  <c r="BS56" i="7"/>
  <c r="BR56" i="7"/>
  <c r="BQ56" i="7"/>
  <c r="BP56" i="7"/>
  <c r="BO56" i="7"/>
  <c r="BN56" i="7"/>
  <c r="BM56" i="7"/>
  <c r="BL56" i="7"/>
  <c r="BK56" i="7"/>
  <c r="BJ56" i="7"/>
  <c r="BI56" i="7"/>
  <c r="BH56" i="7"/>
  <c r="BG56" i="7"/>
  <c r="DD55" i="7"/>
  <c r="DC55" i="7"/>
  <c r="DB55" i="7"/>
  <c r="DA55" i="7"/>
  <c r="CZ55" i="7"/>
  <c r="CY55" i="7"/>
  <c r="CX55" i="7"/>
  <c r="CW55" i="7"/>
  <c r="CV55" i="7"/>
  <c r="CU55" i="7"/>
  <c r="CT55" i="7"/>
  <c r="CS55" i="7"/>
  <c r="CR55" i="7"/>
  <c r="CQ55" i="7"/>
  <c r="CP55" i="7"/>
  <c r="CO55" i="7"/>
  <c r="CN55" i="7"/>
  <c r="CM55" i="7"/>
  <c r="CL55" i="7"/>
  <c r="CK55" i="7"/>
  <c r="CJ55" i="7"/>
  <c r="CI55" i="7"/>
  <c r="CH55" i="7"/>
  <c r="CG55" i="7"/>
  <c r="CF55" i="7"/>
  <c r="CE55" i="7"/>
  <c r="CD55" i="7"/>
  <c r="CC55" i="7"/>
  <c r="CB55" i="7"/>
  <c r="CA55" i="7"/>
  <c r="BZ55" i="7"/>
  <c r="BY55" i="7"/>
  <c r="BX55" i="7"/>
  <c r="BW55" i="7"/>
  <c r="BV55" i="7"/>
  <c r="BU55" i="7"/>
  <c r="BT55" i="7"/>
  <c r="BS55" i="7"/>
  <c r="BR55" i="7"/>
  <c r="BQ55" i="7"/>
  <c r="BP55" i="7"/>
  <c r="BO55" i="7"/>
  <c r="BN55" i="7"/>
  <c r="BM55" i="7"/>
  <c r="BL55" i="7"/>
  <c r="BK55" i="7"/>
  <c r="BJ55" i="7"/>
  <c r="BI55" i="7"/>
  <c r="BH55" i="7"/>
  <c r="BG55" i="7"/>
  <c r="DD54" i="7"/>
  <c r="DC54" i="7"/>
  <c r="DB54" i="7"/>
  <c r="DA54" i="7"/>
  <c r="CZ54" i="7"/>
  <c r="CY54" i="7"/>
  <c r="CX54" i="7"/>
  <c r="CW54" i="7"/>
  <c r="CV54" i="7"/>
  <c r="CU54" i="7"/>
  <c r="CT54" i="7"/>
  <c r="CS54" i="7"/>
  <c r="CR54" i="7"/>
  <c r="CQ54" i="7"/>
  <c r="CP54" i="7"/>
  <c r="CO54" i="7"/>
  <c r="CN54" i="7"/>
  <c r="CM54" i="7"/>
  <c r="CL54" i="7"/>
  <c r="CK54" i="7"/>
  <c r="CJ54" i="7"/>
  <c r="CI54" i="7"/>
  <c r="CH54" i="7"/>
  <c r="CG54" i="7"/>
  <c r="CF54" i="7"/>
  <c r="CE54" i="7"/>
  <c r="CD54" i="7"/>
  <c r="CC54" i="7"/>
  <c r="CB54" i="7"/>
  <c r="CA54" i="7"/>
  <c r="BZ54" i="7"/>
  <c r="BY54" i="7"/>
  <c r="BX54" i="7"/>
  <c r="BW54" i="7"/>
  <c r="BV54" i="7"/>
  <c r="BU54" i="7"/>
  <c r="BT54" i="7"/>
  <c r="BS54" i="7"/>
  <c r="BR54" i="7"/>
  <c r="BQ54" i="7"/>
  <c r="BP54" i="7"/>
  <c r="BO54" i="7"/>
  <c r="BN54" i="7"/>
  <c r="BM54" i="7"/>
  <c r="BL54" i="7"/>
  <c r="BK54" i="7"/>
  <c r="BJ54" i="7"/>
  <c r="BI54" i="7"/>
  <c r="BH54" i="7"/>
  <c r="DD53" i="7"/>
  <c r="DC53" i="7"/>
  <c r="DB53" i="7"/>
  <c r="DA53" i="7"/>
  <c r="CZ53" i="7"/>
  <c r="CY53" i="7"/>
  <c r="CX53" i="7"/>
  <c r="CW53" i="7"/>
  <c r="CV53" i="7"/>
  <c r="CU53" i="7"/>
  <c r="CT53" i="7"/>
  <c r="CS53" i="7"/>
  <c r="CR53" i="7"/>
  <c r="CQ53" i="7"/>
  <c r="CP53" i="7"/>
  <c r="CO53" i="7"/>
  <c r="CN53" i="7"/>
  <c r="CM53" i="7"/>
  <c r="CL53" i="7"/>
  <c r="CK53" i="7"/>
  <c r="CJ53" i="7"/>
  <c r="CI53" i="7"/>
  <c r="CH53" i="7"/>
  <c r="CG53" i="7"/>
  <c r="CF53" i="7"/>
  <c r="CE53" i="7"/>
  <c r="CD53" i="7"/>
  <c r="CC53" i="7"/>
  <c r="CB53" i="7"/>
  <c r="CA53" i="7"/>
  <c r="BZ53" i="7"/>
  <c r="BY53" i="7"/>
  <c r="BX53" i="7"/>
  <c r="BW53" i="7"/>
  <c r="BV53" i="7"/>
  <c r="BU53" i="7"/>
  <c r="BT53" i="7"/>
  <c r="BS53" i="7"/>
  <c r="BR53" i="7"/>
  <c r="BQ53" i="7"/>
  <c r="BP53" i="7"/>
  <c r="BO53" i="7"/>
  <c r="BN53" i="7"/>
  <c r="BM53" i="7"/>
  <c r="BL53" i="7"/>
  <c r="BK53" i="7"/>
  <c r="BJ53" i="7"/>
  <c r="BI53" i="7"/>
  <c r="BH53" i="7"/>
  <c r="BG53" i="7"/>
  <c r="DD52" i="7"/>
  <c r="DC52" i="7"/>
  <c r="DB52" i="7"/>
  <c r="DA52" i="7"/>
  <c r="CZ52" i="7"/>
  <c r="CY52" i="7"/>
  <c r="CX52" i="7"/>
  <c r="CW52" i="7"/>
  <c r="CV52" i="7"/>
  <c r="CU52" i="7"/>
  <c r="CT52" i="7"/>
  <c r="CS52" i="7"/>
  <c r="CR52" i="7"/>
  <c r="CQ52" i="7"/>
  <c r="CP52" i="7"/>
  <c r="CO52" i="7"/>
  <c r="CN52" i="7"/>
  <c r="CM52" i="7"/>
  <c r="CL52" i="7"/>
  <c r="CK52" i="7"/>
  <c r="CJ52" i="7"/>
  <c r="CI52" i="7"/>
  <c r="CH52" i="7"/>
  <c r="CG52" i="7"/>
  <c r="CF52" i="7"/>
  <c r="CE52" i="7"/>
  <c r="CD52" i="7"/>
  <c r="CC52" i="7"/>
  <c r="CB52" i="7"/>
  <c r="CA52" i="7"/>
  <c r="BZ52" i="7"/>
  <c r="BY52" i="7"/>
  <c r="BX52" i="7"/>
  <c r="BW52" i="7"/>
  <c r="BV52" i="7"/>
  <c r="BU52" i="7"/>
  <c r="BT52" i="7"/>
  <c r="BS52" i="7"/>
  <c r="BR52" i="7"/>
  <c r="BQ52" i="7"/>
  <c r="BP52" i="7"/>
  <c r="BO52" i="7"/>
  <c r="BN52" i="7"/>
  <c r="BM52" i="7"/>
  <c r="BL52" i="7"/>
  <c r="BK52" i="7"/>
  <c r="BJ52" i="7"/>
  <c r="BI52" i="7"/>
  <c r="BH52" i="7"/>
  <c r="BG52" i="7"/>
  <c r="DD51" i="7"/>
  <c r="DC51" i="7"/>
  <c r="DB51" i="7"/>
  <c r="DA51" i="7"/>
  <c r="CZ51" i="7"/>
  <c r="CY51" i="7"/>
  <c r="CX51" i="7"/>
  <c r="CW51" i="7"/>
  <c r="CV51" i="7"/>
  <c r="CU51" i="7"/>
  <c r="CT51" i="7"/>
  <c r="CS51" i="7"/>
  <c r="CR51" i="7"/>
  <c r="CQ51" i="7"/>
  <c r="CP51" i="7"/>
  <c r="CO51" i="7"/>
  <c r="CN51" i="7"/>
  <c r="CM51" i="7"/>
  <c r="CL51" i="7"/>
  <c r="CK51" i="7"/>
  <c r="CJ51" i="7"/>
  <c r="CI51" i="7"/>
  <c r="CH51" i="7"/>
  <c r="CG51" i="7"/>
  <c r="CF51" i="7"/>
  <c r="CE51" i="7"/>
  <c r="CD51" i="7"/>
  <c r="CC51" i="7"/>
  <c r="CB51" i="7"/>
  <c r="CA51" i="7"/>
  <c r="BZ51" i="7"/>
  <c r="BY51" i="7"/>
  <c r="BX51" i="7"/>
  <c r="BW51" i="7"/>
  <c r="BV51" i="7"/>
  <c r="BU51" i="7"/>
  <c r="BT51" i="7"/>
  <c r="BS51" i="7"/>
  <c r="BR51" i="7"/>
  <c r="BQ51" i="7"/>
  <c r="BP51" i="7"/>
  <c r="BO51" i="7"/>
  <c r="BN51" i="7"/>
  <c r="BM51" i="7"/>
  <c r="BL51" i="7"/>
  <c r="BK51" i="7"/>
  <c r="BJ51" i="7"/>
  <c r="BI51" i="7"/>
  <c r="BH51" i="7"/>
  <c r="BG51" i="7"/>
  <c r="DD50" i="7"/>
  <c r="DC50" i="7"/>
  <c r="DB50" i="7"/>
  <c r="DA50" i="7"/>
  <c r="CZ50" i="7"/>
  <c r="CY50" i="7"/>
  <c r="CX50" i="7"/>
  <c r="CW50" i="7"/>
  <c r="CV50" i="7"/>
  <c r="CU50" i="7"/>
  <c r="CT50" i="7"/>
  <c r="CS50" i="7"/>
  <c r="CR50" i="7"/>
  <c r="CQ50" i="7"/>
  <c r="CP50" i="7"/>
  <c r="CO50" i="7"/>
  <c r="CN50" i="7"/>
  <c r="CM50" i="7"/>
  <c r="CL50" i="7"/>
  <c r="CK50" i="7"/>
  <c r="CJ50" i="7"/>
  <c r="CI50" i="7"/>
  <c r="CH50" i="7"/>
  <c r="CG50" i="7"/>
  <c r="CF50" i="7"/>
  <c r="CE50" i="7"/>
  <c r="CD50" i="7"/>
  <c r="CC50" i="7"/>
  <c r="CB50" i="7"/>
  <c r="CA50" i="7"/>
  <c r="BZ50" i="7"/>
  <c r="BY50" i="7"/>
  <c r="BX50" i="7"/>
  <c r="BW50" i="7"/>
  <c r="BV50" i="7"/>
  <c r="BU50" i="7"/>
  <c r="BT50" i="7"/>
  <c r="BS50" i="7"/>
  <c r="BR50" i="7"/>
  <c r="BQ50" i="7"/>
  <c r="BP50" i="7"/>
  <c r="BO50" i="7"/>
  <c r="BN50" i="7"/>
  <c r="BM50" i="7"/>
  <c r="BL50" i="7"/>
  <c r="BK50" i="7"/>
  <c r="BJ50" i="7"/>
  <c r="BI50" i="7"/>
  <c r="BH50" i="7"/>
  <c r="BG50" i="7"/>
  <c r="DD49" i="7"/>
  <c r="DC49" i="7"/>
  <c r="DB49" i="7"/>
  <c r="DA49" i="7"/>
  <c r="CZ49" i="7"/>
  <c r="CY49" i="7"/>
  <c r="CX49" i="7"/>
  <c r="CW49" i="7"/>
  <c r="CV49" i="7"/>
  <c r="CU49" i="7"/>
  <c r="CT49" i="7"/>
  <c r="CS49" i="7"/>
  <c r="CR49" i="7"/>
  <c r="CQ49" i="7"/>
  <c r="CP49" i="7"/>
  <c r="CO49" i="7"/>
  <c r="CN49" i="7"/>
  <c r="CM49" i="7"/>
  <c r="CL49" i="7"/>
  <c r="CK49" i="7"/>
  <c r="CJ49" i="7"/>
  <c r="CI49" i="7"/>
  <c r="CH49" i="7"/>
  <c r="CG49" i="7"/>
  <c r="CF49" i="7"/>
  <c r="CE49" i="7"/>
  <c r="CD49" i="7"/>
  <c r="CC49" i="7"/>
  <c r="CB49" i="7"/>
  <c r="CA49" i="7"/>
  <c r="BZ49" i="7"/>
  <c r="BY49" i="7"/>
  <c r="BX49" i="7"/>
  <c r="BW49" i="7"/>
  <c r="BV49" i="7"/>
  <c r="BU49" i="7"/>
  <c r="BT49" i="7"/>
  <c r="BS49" i="7"/>
  <c r="BR49" i="7"/>
  <c r="BQ49" i="7"/>
  <c r="BP49" i="7"/>
  <c r="BO49" i="7"/>
  <c r="BN49" i="7"/>
  <c r="BM49" i="7"/>
  <c r="BL49" i="7"/>
  <c r="BK49" i="7"/>
  <c r="BJ49" i="7"/>
  <c r="BI49" i="7"/>
  <c r="BH49" i="7"/>
  <c r="BG49" i="7"/>
  <c r="DD48" i="7"/>
  <c r="DC48" i="7"/>
  <c r="DB48" i="7"/>
  <c r="DA48" i="7"/>
  <c r="CZ48" i="7"/>
  <c r="CY48" i="7"/>
  <c r="CX48" i="7"/>
  <c r="CW48" i="7"/>
  <c r="CV48" i="7"/>
  <c r="CU48" i="7"/>
  <c r="CT48" i="7"/>
  <c r="CS48" i="7"/>
  <c r="CR48" i="7"/>
  <c r="CQ48" i="7"/>
  <c r="CP48" i="7"/>
  <c r="CO48" i="7"/>
  <c r="CN48" i="7"/>
  <c r="CM48" i="7"/>
  <c r="CL48" i="7"/>
  <c r="CK48" i="7"/>
  <c r="CJ48" i="7"/>
  <c r="CI48" i="7"/>
  <c r="CH48" i="7"/>
  <c r="CG48" i="7"/>
  <c r="CF48" i="7"/>
  <c r="CE48" i="7"/>
  <c r="CD48" i="7"/>
  <c r="CC48" i="7"/>
  <c r="CB48" i="7"/>
  <c r="CA48" i="7"/>
  <c r="BZ48" i="7"/>
  <c r="BY48" i="7"/>
  <c r="BX48" i="7"/>
  <c r="BW48" i="7"/>
  <c r="BV48" i="7"/>
  <c r="BU48" i="7"/>
  <c r="BT48" i="7"/>
  <c r="BS48" i="7"/>
  <c r="BR48" i="7"/>
  <c r="BQ48" i="7"/>
  <c r="BP48" i="7"/>
  <c r="BO48" i="7"/>
  <c r="BN48" i="7"/>
  <c r="BM48" i="7"/>
  <c r="BL48" i="7"/>
  <c r="BK48" i="7"/>
  <c r="BJ48" i="7"/>
  <c r="DD47" i="7"/>
  <c r="DC47" i="7"/>
  <c r="DB47" i="7"/>
  <c r="DA47" i="7"/>
  <c r="CZ47" i="7"/>
  <c r="CY47" i="7"/>
  <c r="CX47" i="7"/>
  <c r="CW47" i="7"/>
  <c r="CV47" i="7"/>
  <c r="CU47" i="7"/>
  <c r="CT47" i="7"/>
  <c r="CS47" i="7"/>
  <c r="CR47" i="7"/>
  <c r="CQ47" i="7"/>
  <c r="CP47" i="7"/>
  <c r="CO47" i="7"/>
  <c r="CN47" i="7"/>
  <c r="CM47" i="7"/>
  <c r="CL47" i="7"/>
  <c r="CK47" i="7"/>
  <c r="CJ47" i="7"/>
  <c r="CI47" i="7"/>
  <c r="CH47" i="7"/>
  <c r="CG47" i="7"/>
  <c r="CF47" i="7"/>
  <c r="CE47" i="7"/>
  <c r="CD47" i="7"/>
  <c r="CC47" i="7"/>
  <c r="CB47" i="7"/>
  <c r="CA47" i="7"/>
  <c r="BZ47" i="7"/>
  <c r="BY47" i="7"/>
  <c r="BX47" i="7"/>
  <c r="BW47" i="7"/>
  <c r="BV47" i="7"/>
  <c r="BU47" i="7"/>
  <c r="BT47" i="7"/>
  <c r="BS47" i="7"/>
  <c r="BR47" i="7"/>
  <c r="BQ47" i="7"/>
  <c r="BP47" i="7"/>
  <c r="BO47" i="7"/>
  <c r="BN47" i="7"/>
  <c r="BM47" i="7"/>
  <c r="BL47" i="7"/>
  <c r="BK47" i="7"/>
  <c r="BJ47" i="7"/>
  <c r="BI47" i="7"/>
  <c r="BH47" i="7"/>
  <c r="BG47" i="7"/>
  <c r="DD46" i="7"/>
  <c r="DC46" i="7"/>
  <c r="DB46" i="7"/>
  <c r="DA46" i="7"/>
  <c r="CZ46" i="7"/>
  <c r="CY46" i="7"/>
  <c r="CX46" i="7"/>
  <c r="CW46" i="7"/>
  <c r="CV46" i="7"/>
  <c r="CU46" i="7"/>
  <c r="CT46" i="7"/>
  <c r="CS46" i="7"/>
  <c r="CR46" i="7"/>
  <c r="CQ46" i="7"/>
  <c r="CP46" i="7"/>
  <c r="CO46" i="7"/>
  <c r="CN46" i="7"/>
  <c r="CM46" i="7"/>
  <c r="CL46" i="7"/>
  <c r="CK46" i="7"/>
  <c r="CJ46" i="7"/>
  <c r="CI46" i="7"/>
  <c r="CH46" i="7"/>
  <c r="CG46" i="7"/>
  <c r="CF46" i="7"/>
  <c r="CE46" i="7"/>
  <c r="CD46" i="7"/>
  <c r="CC46" i="7"/>
  <c r="CB46" i="7"/>
  <c r="CA46" i="7"/>
  <c r="BZ46" i="7"/>
  <c r="BY46" i="7"/>
  <c r="BX46" i="7"/>
  <c r="BW46" i="7"/>
  <c r="BV46" i="7"/>
  <c r="BU46" i="7"/>
  <c r="BS46" i="7"/>
  <c r="BQ46" i="7"/>
  <c r="BO46" i="7"/>
  <c r="BM46" i="7"/>
  <c r="BK46" i="7"/>
  <c r="BI46" i="7"/>
  <c r="BG46" i="7"/>
  <c r="BT46" i="7"/>
  <c r="DD45" i="7"/>
  <c r="DC45" i="7"/>
  <c r="DB45" i="7"/>
  <c r="DA45" i="7"/>
  <c r="CZ45" i="7"/>
  <c r="CY45" i="7"/>
  <c r="CX45" i="7"/>
  <c r="CW45" i="7"/>
  <c r="CV45" i="7"/>
  <c r="CU45" i="7"/>
  <c r="CT45" i="7"/>
  <c r="CS45" i="7"/>
  <c r="CR45" i="7"/>
  <c r="CQ45" i="7"/>
  <c r="CP45" i="7"/>
  <c r="CO45" i="7"/>
  <c r="CN45" i="7"/>
  <c r="CM45" i="7"/>
  <c r="CL45" i="7"/>
  <c r="CK45" i="7"/>
  <c r="CJ45" i="7"/>
  <c r="CI45" i="7"/>
  <c r="CH45" i="7"/>
  <c r="CG45" i="7"/>
  <c r="CF45" i="7"/>
  <c r="CE45" i="7"/>
  <c r="CD45" i="7"/>
  <c r="CC45" i="7"/>
  <c r="CB45" i="7"/>
  <c r="CA45" i="7"/>
  <c r="BZ45" i="7"/>
  <c r="BY45" i="7"/>
  <c r="BX45" i="7"/>
  <c r="BW45" i="7"/>
  <c r="BV45" i="7"/>
  <c r="BU45" i="7"/>
  <c r="BT45" i="7"/>
  <c r="BS45" i="7"/>
  <c r="BR45" i="7"/>
  <c r="BQ45" i="7"/>
  <c r="BP45" i="7"/>
  <c r="BO45" i="7"/>
  <c r="BN45" i="7"/>
  <c r="BM45" i="7"/>
  <c r="BL45" i="7"/>
  <c r="BK45" i="7"/>
  <c r="BJ45" i="7"/>
  <c r="BI45" i="7"/>
  <c r="BH45" i="7"/>
  <c r="BG45" i="7"/>
  <c r="DD44" i="7"/>
  <c r="DC44" i="7"/>
  <c r="DB44" i="7"/>
  <c r="DA44" i="7"/>
  <c r="CZ44" i="7"/>
  <c r="CY44" i="7"/>
  <c r="CX44" i="7"/>
  <c r="CW44" i="7"/>
  <c r="CV44" i="7"/>
  <c r="CU44" i="7"/>
  <c r="CT44" i="7"/>
  <c r="CS44" i="7"/>
  <c r="CR44" i="7"/>
  <c r="CQ44" i="7"/>
  <c r="CP44" i="7"/>
  <c r="CO44" i="7"/>
  <c r="CN44" i="7"/>
  <c r="CM44" i="7"/>
  <c r="CL44" i="7"/>
  <c r="CK44" i="7"/>
  <c r="CJ44" i="7"/>
  <c r="CI44" i="7"/>
  <c r="CH44" i="7"/>
  <c r="CG44" i="7"/>
  <c r="CF44" i="7"/>
  <c r="CE44" i="7"/>
  <c r="CD44" i="7"/>
  <c r="CC44" i="7"/>
  <c r="CB44" i="7"/>
  <c r="CA44" i="7"/>
  <c r="BZ44" i="7"/>
  <c r="BY44" i="7"/>
  <c r="BX44" i="7"/>
  <c r="BW44" i="7"/>
  <c r="BV44" i="7"/>
  <c r="BU44" i="7"/>
  <c r="BT44" i="7"/>
  <c r="BS44" i="7"/>
  <c r="BR44" i="7"/>
  <c r="BQ44" i="7"/>
  <c r="BP44" i="7"/>
  <c r="BO44" i="7"/>
  <c r="BN44" i="7"/>
  <c r="BM44" i="7"/>
  <c r="BL44" i="7"/>
  <c r="BK44" i="7"/>
  <c r="BJ44" i="7"/>
  <c r="BI44" i="7"/>
  <c r="BH44" i="7"/>
  <c r="BG44" i="7"/>
  <c r="DD43" i="7"/>
  <c r="DC43" i="7"/>
  <c r="DB43" i="7"/>
  <c r="DA43" i="7"/>
  <c r="CZ43" i="7"/>
  <c r="CY43" i="7"/>
  <c r="CX43" i="7"/>
  <c r="CW43" i="7"/>
  <c r="CV43" i="7"/>
  <c r="CU43" i="7"/>
  <c r="CT43" i="7"/>
  <c r="CS43" i="7"/>
  <c r="CR43" i="7"/>
  <c r="CQ43" i="7"/>
  <c r="CP43" i="7"/>
  <c r="CO43" i="7"/>
  <c r="CN43" i="7"/>
  <c r="CM43" i="7"/>
  <c r="CL43" i="7"/>
  <c r="CK43" i="7"/>
  <c r="CJ43" i="7"/>
  <c r="CI43" i="7"/>
  <c r="CH43" i="7"/>
  <c r="CG43" i="7"/>
  <c r="CF43" i="7"/>
  <c r="CE43" i="7"/>
  <c r="CD43" i="7"/>
  <c r="CC43" i="7"/>
  <c r="CB43" i="7"/>
  <c r="CA43" i="7"/>
  <c r="BZ43" i="7"/>
  <c r="BY43" i="7"/>
  <c r="BX43" i="7"/>
  <c r="BW43" i="7"/>
  <c r="BV43" i="7"/>
  <c r="BU43" i="7"/>
  <c r="BT43" i="7"/>
  <c r="BS43" i="7"/>
  <c r="BR43" i="7"/>
  <c r="BQ43" i="7"/>
  <c r="BP43" i="7"/>
  <c r="BO43" i="7"/>
  <c r="BN43" i="7"/>
  <c r="BM43" i="7"/>
  <c r="BL43" i="7"/>
  <c r="BK43" i="7"/>
  <c r="BJ43" i="7"/>
  <c r="BI43" i="7"/>
  <c r="BH43" i="7"/>
  <c r="DD42" i="7"/>
  <c r="DC42" i="7"/>
  <c r="DB42" i="7"/>
  <c r="DA42" i="7"/>
  <c r="CZ42" i="7"/>
  <c r="CY42" i="7"/>
  <c r="CX42" i="7"/>
  <c r="CW42" i="7"/>
  <c r="CV42" i="7"/>
  <c r="CU42" i="7"/>
  <c r="CT42" i="7"/>
  <c r="CS42" i="7"/>
  <c r="CR42" i="7"/>
  <c r="CQ42" i="7"/>
  <c r="CP42" i="7"/>
  <c r="CO42" i="7"/>
  <c r="CN42" i="7"/>
  <c r="CM42" i="7"/>
  <c r="CL42" i="7"/>
  <c r="CK42" i="7"/>
  <c r="CJ42" i="7"/>
  <c r="CI42" i="7"/>
  <c r="CH42" i="7"/>
  <c r="CG42" i="7"/>
  <c r="CF42" i="7"/>
  <c r="CE42" i="7"/>
  <c r="CD42" i="7"/>
  <c r="CC42" i="7"/>
  <c r="CB42" i="7"/>
  <c r="CA42" i="7"/>
  <c r="BZ42" i="7"/>
  <c r="BY42" i="7"/>
  <c r="BX42" i="7"/>
  <c r="BW42" i="7"/>
  <c r="BV42" i="7"/>
  <c r="BU42" i="7"/>
  <c r="BT42" i="7"/>
  <c r="BS42" i="7"/>
  <c r="BR42" i="7"/>
  <c r="BQ42" i="7"/>
  <c r="BP42" i="7"/>
  <c r="BO42" i="7"/>
  <c r="BN42" i="7"/>
  <c r="BM42" i="7"/>
  <c r="BL42" i="7"/>
  <c r="BK42" i="7"/>
  <c r="BJ42" i="7"/>
  <c r="BI42" i="7"/>
  <c r="BH42" i="7"/>
  <c r="DD41" i="7"/>
  <c r="DC41" i="7"/>
  <c r="DB41" i="7"/>
  <c r="DA41" i="7"/>
  <c r="CZ41" i="7"/>
  <c r="CY41" i="7"/>
  <c r="CX41" i="7"/>
  <c r="CW41" i="7"/>
  <c r="CV41" i="7"/>
  <c r="CU41" i="7"/>
  <c r="CT41" i="7"/>
  <c r="CS41" i="7"/>
  <c r="CR41" i="7"/>
  <c r="CQ41" i="7"/>
  <c r="CP41" i="7"/>
  <c r="CO41" i="7"/>
  <c r="CN41" i="7"/>
  <c r="CM41" i="7"/>
  <c r="CL41" i="7"/>
  <c r="CK41" i="7"/>
  <c r="CJ41" i="7"/>
  <c r="CI41" i="7"/>
  <c r="CH41" i="7"/>
  <c r="CG41" i="7"/>
  <c r="CF41" i="7"/>
  <c r="CE41" i="7"/>
  <c r="CD41" i="7"/>
  <c r="CC41" i="7"/>
  <c r="CB41" i="7"/>
  <c r="CA41" i="7"/>
  <c r="BZ41" i="7"/>
  <c r="BY41" i="7"/>
  <c r="BX41" i="7"/>
  <c r="BW41" i="7"/>
  <c r="BV41" i="7"/>
  <c r="BU41" i="7"/>
  <c r="BT41" i="7"/>
  <c r="BS41" i="7"/>
  <c r="BR41" i="7"/>
  <c r="BQ41" i="7"/>
  <c r="BP41" i="7"/>
  <c r="BO41" i="7"/>
  <c r="BN41" i="7"/>
  <c r="BM41" i="7"/>
  <c r="BL41" i="7"/>
  <c r="BK41" i="7"/>
  <c r="BJ41" i="7"/>
  <c r="BI41" i="7"/>
  <c r="BH41" i="7"/>
  <c r="BG41" i="7"/>
  <c r="DD40" i="7"/>
  <c r="DC40" i="7"/>
  <c r="DB40" i="7"/>
  <c r="DA40" i="7"/>
  <c r="CZ40" i="7"/>
  <c r="CY40" i="7"/>
  <c r="CX40" i="7"/>
  <c r="CW40" i="7"/>
  <c r="CV40" i="7"/>
  <c r="CU40" i="7"/>
  <c r="CT40" i="7"/>
  <c r="CS40" i="7"/>
  <c r="CR40" i="7"/>
  <c r="CQ40" i="7"/>
  <c r="CP40" i="7"/>
  <c r="CO40" i="7"/>
  <c r="CN40" i="7"/>
  <c r="CM40" i="7"/>
  <c r="CL40" i="7"/>
  <c r="CK40" i="7"/>
  <c r="CJ40" i="7"/>
  <c r="CI40" i="7"/>
  <c r="CH40" i="7"/>
  <c r="CG40" i="7"/>
  <c r="CF40" i="7"/>
  <c r="CE40" i="7"/>
  <c r="CD40" i="7"/>
  <c r="CC40" i="7"/>
  <c r="CB40" i="7"/>
  <c r="CA40" i="7"/>
  <c r="BZ40" i="7"/>
  <c r="BY40" i="7"/>
  <c r="BX40" i="7"/>
  <c r="BW40" i="7"/>
  <c r="BV40" i="7"/>
  <c r="BU40" i="7"/>
  <c r="BT40" i="7"/>
  <c r="BS40" i="7"/>
  <c r="BR40" i="7"/>
  <c r="BQ40" i="7"/>
  <c r="BP40" i="7"/>
  <c r="BO40" i="7"/>
  <c r="BN40" i="7"/>
  <c r="BM40" i="7"/>
  <c r="BL40" i="7"/>
  <c r="BK40" i="7"/>
  <c r="BJ40" i="7"/>
  <c r="BI40" i="7"/>
  <c r="BH40" i="7"/>
  <c r="BG40" i="7"/>
  <c r="DD39" i="7"/>
  <c r="DC39" i="7"/>
  <c r="DB39" i="7"/>
  <c r="DA39" i="7"/>
  <c r="CZ39" i="7"/>
  <c r="CY39" i="7"/>
  <c r="CX39" i="7"/>
  <c r="CW39" i="7"/>
  <c r="CV39" i="7"/>
  <c r="CU39" i="7"/>
  <c r="CT39" i="7"/>
  <c r="CS39" i="7"/>
  <c r="CR39" i="7"/>
  <c r="CQ39" i="7"/>
  <c r="CP39" i="7"/>
  <c r="CO39" i="7"/>
  <c r="CN39" i="7"/>
  <c r="CM39" i="7"/>
  <c r="CL39" i="7"/>
  <c r="CK39" i="7"/>
  <c r="CJ39" i="7"/>
  <c r="CI39" i="7"/>
  <c r="CH39" i="7"/>
  <c r="CG39" i="7"/>
  <c r="CF39" i="7"/>
  <c r="CE39" i="7"/>
  <c r="CD39" i="7"/>
  <c r="CC39" i="7"/>
  <c r="CB39" i="7"/>
  <c r="CA39" i="7"/>
  <c r="BZ39" i="7"/>
  <c r="BY39" i="7"/>
  <c r="BX39" i="7"/>
  <c r="BW39" i="7"/>
  <c r="BV39" i="7"/>
  <c r="BU39" i="7"/>
  <c r="BT39" i="7"/>
  <c r="BS39" i="7"/>
  <c r="BR39" i="7"/>
  <c r="BQ39" i="7"/>
  <c r="BP39" i="7"/>
  <c r="BO39" i="7"/>
  <c r="BN39" i="7"/>
  <c r="BM39" i="7"/>
  <c r="BL39" i="7"/>
  <c r="BK39" i="7"/>
  <c r="BJ39" i="7"/>
  <c r="BI39" i="7"/>
  <c r="BH39" i="7"/>
  <c r="BG39" i="7"/>
  <c r="DD38" i="7"/>
  <c r="DC38" i="7"/>
  <c r="DB38" i="7"/>
  <c r="DA38" i="7"/>
  <c r="CZ38" i="7"/>
  <c r="CY38" i="7"/>
  <c r="CX38" i="7"/>
  <c r="CW38" i="7"/>
  <c r="CV38" i="7"/>
  <c r="CU38" i="7"/>
  <c r="CT38" i="7"/>
  <c r="CS38" i="7"/>
  <c r="CR38" i="7"/>
  <c r="CQ38" i="7"/>
  <c r="CP38" i="7"/>
  <c r="CO38" i="7"/>
  <c r="CN38" i="7"/>
  <c r="CM38" i="7"/>
  <c r="CL38" i="7"/>
  <c r="CK38" i="7"/>
  <c r="CJ38" i="7"/>
  <c r="CI38" i="7"/>
  <c r="CH38" i="7"/>
  <c r="CG38" i="7"/>
  <c r="CF38" i="7"/>
  <c r="CE38" i="7"/>
  <c r="CD38" i="7"/>
  <c r="CC38" i="7"/>
  <c r="CB38" i="7"/>
  <c r="CA38" i="7"/>
  <c r="BZ38" i="7"/>
  <c r="BY38" i="7"/>
  <c r="BX38" i="7"/>
  <c r="BW38" i="7"/>
  <c r="BV38" i="7"/>
  <c r="BU38" i="7"/>
  <c r="BT38" i="7"/>
  <c r="BS38" i="7"/>
  <c r="BR38" i="7"/>
  <c r="BQ38" i="7"/>
  <c r="BP38" i="7"/>
  <c r="BO38" i="7"/>
  <c r="BN38" i="7"/>
  <c r="BM38" i="7"/>
  <c r="BL38" i="7"/>
  <c r="BK38" i="7"/>
  <c r="BJ38" i="7"/>
  <c r="BI38" i="7"/>
  <c r="BH38" i="7"/>
  <c r="BG38" i="7"/>
  <c r="DD37" i="7"/>
  <c r="DC37" i="7"/>
  <c r="DB37" i="7"/>
  <c r="DA37" i="7"/>
  <c r="CZ37" i="7"/>
  <c r="CY37" i="7"/>
  <c r="CX37" i="7"/>
  <c r="CW37" i="7"/>
  <c r="CV37" i="7"/>
  <c r="CU37" i="7"/>
  <c r="CT37" i="7"/>
  <c r="CS37" i="7"/>
  <c r="CR37" i="7"/>
  <c r="CQ37" i="7"/>
  <c r="CP37" i="7"/>
  <c r="CO37" i="7"/>
  <c r="CN37" i="7"/>
  <c r="CM37" i="7"/>
  <c r="CL37" i="7"/>
  <c r="CK37" i="7"/>
  <c r="CJ37" i="7"/>
  <c r="CI37" i="7"/>
  <c r="CH37" i="7"/>
  <c r="CG37" i="7"/>
  <c r="CF37" i="7"/>
  <c r="CE37" i="7"/>
  <c r="CD37" i="7"/>
  <c r="CC37" i="7"/>
  <c r="CB37" i="7"/>
  <c r="CA37" i="7"/>
  <c r="BZ37" i="7"/>
  <c r="BY37" i="7"/>
  <c r="BX37" i="7"/>
  <c r="BW37" i="7"/>
  <c r="BV37" i="7"/>
  <c r="BS37" i="7"/>
  <c r="BO37" i="7"/>
  <c r="BK37" i="7"/>
  <c r="BT37" i="7"/>
  <c r="DD36" i="7"/>
  <c r="DC36" i="7"/>
  <c r="DB36" i="7"/>
  <c r="DA36" i="7"/>
  <c r="CZ36" i="7"/>
  <c r="CY36" i="7"/>
  <c r="CX36" i="7"/>
  <c r="CW36" i="7"/>
  <c r="CV36" i="7"/>
  <c r="CU36" i="7"/>
  <c r="CT36" i="7"/>
  <c r="CS36" i="7"/>
  <c r="CR36" i="7"/>
  <c r="CQ36" i="7"/>
  <c r="CP36" i="7"/>
  <c r="CO36" i="7"/>
  <c r="CN36" i="7"/>
  <c r="CM36" i="7"/>
  <c r="CL36" i="7"/>
  <c r="CK36" i="7"/>
  <c r="CJ36" i="7"/>
  <c r="CI36" i="7"/>
  <c r="CH36" i="7"/>
  <c r="CG36" i="7"/>
  <c r="CF36" i="7"/>
  <c r="CE36" i="7"/>
  <c r="CD36" i="7"/>
  <c r="CC36" i="7"/>
  <c r="CB36" i="7"/>
  <c r="CA36" i="7"/>
  <c r="BZ36" i="7"/>
  <c r="BY36" i="7"/>
  <c r="BX36" i="7"/>
  <c r="BW36" i="7"/>
  <c r="BV36" i="7"/>
  <c r="BU36" i="7"/>
  <c r="BT36" i="7"/>
  <c r="BS36" i="7"/>
  <c r="BR36" i="7"/>
  <c r="BQ36" i="7"/>
  <c r="BP36" i="7"/>
  <c r="BO36" i="7"/>
  <c r="BN36" i="7"/>
  <c r="BM36" i="7"/>
  <c r="BL36" i="7"/>
  <c r="BK36" i="7"/>
  <c r="BJ36" i="7"/>
  <c r="BI36" i="7"/>
  <c r="BH36" i="7"/>
  <c r="BG36" i="7"/>
  <c r="DD35" i="7"/>
  <c r="DC35" i="7"/>
  <c r="DB35" i="7"/>
  <c r="DA35" i="7"/>
  <c r="CZ35" i="7"/>
  <c r="CY35" i="7"/>
  <c r="CX35" i="7"/>
  <c r="CW35" i="7"/>
  <c r="CV35" i="7"/>
  <c r="CU35" i="7"/>
  <c r="CT35" i="7"/>
  <c r="CS35" i="7"/>
  <c r="CR35" i="7"/>
  <c r="CQ35" i="7"/>
  <c r="CP35" i="7"/>
  <c r="CO35" i="7"/>
  <c r="CN35" i="7"/>
  <c r="CM35" i="7"/>
  <c r="CL35" i="7"/>
  <c r="CK35" i="7"/>
  <c r="CJ35" i="7"/>
  <c r="CI35" i="7"/>
  <c r="CH35" i="7"/>
  <c r="CG35" i="7"/>
  <c r="CF35" i="7"/>
  <c r="CE35" i="7"/>
  <c r="CD35" i="7"/>
  <c r="CC35" i="7"/>
  <c r="CB35" i="7"/>
  <c r="CA35" i="7"/>
  <c r="BZ35" i="7"/>
  <c r="BY35" i="7"/>
  <c r="BX35" i="7"/>
  <c r="BW35" i="7"/>
  <c r="BV35" i="7"/>
  <c r="BU35" i="7"/>
  <c r="BT35" i="7"/>
  <c r="BS35" i="7"/>
  <c r="BR35" i="7"/>
  <c r="BQ35" i="7"/>
  <c r="BP35" i="7"/>
  <c r="BO35" i="7"/>
  <c r="BN35" i="7"/>
  <c r="BM35" i="7"/>
  <c r="BL35" i="7"/>
  <c r="BK35" i="7"/>
  <c r="BJ35" i="7"/>
  <c r="BI35" i="7"/>
  <c r="BH35" i="7"/>
  <c r="BG35" i="7"/>
  <c r="DD34" i="7"/>
  <c r="DC34" i="7"/>
  <c r="DB34" i="7"/>
  <c r="DA34" i="7"/>
  <c r="CZ34" i="7"/>
  <c r="CY34" i="7"/>
  <c r="CX34" i="7"/>
  <c r="CW34" i="7"/>
  <c r="CV34" i="7"/>
  <c r="CU34" i="7"/>
  <c r="CT34" i="7"/>
  <c r="CS34" i="7"/>
  <c r="CR34" i="7"/>
  <c r="CQ34" i="7"/>
  <c r="CP34" i="7"/>
  <c r="CO34" i="7"/>
  <c r="CN34" i="7"/>
  <c r="CM34" i="7"/>
  <c r="CL34" i="7"/>
  <c r="CK34" i="7"/>
  <c r="CJ34" i="7"/>
  <c r="CI34" i="7"/>
  <c r="CH34" i="7"/>
  <c r="CG34" i="7"/>
  <c r="CF34" i="7"/>
  <c r="CE34" i="7"/>
  <c r="CD34" i="7"/>
  <c r="CC34" i="7"/>
  <c r="CB34" i="7"/>
  <c r="CA34" i="7"/>
  <c r="BZ34" i="7"/>
  <c r="BY34" i="7"/>
  <c r="BX34" i="7"/>
  <c r="BW34" i="7"/>
  <c r="BV34" i="7"/>
  <c r="BU34" i="7"/>
  <c r="BT34" i="7"/>
  <c r="BS34" i="7"/>
  <c r="BR34" i="7"/>
  <c r="BQ34" i="7"/>
  <c r="BP34" i="7"/>
  <c r="BO34" i="7"/>
  <c r="BN34" i="7"/>
  <c r="BM34" i="7"/>
  <c r="BL34" i="7"/>
  <c r="BK34" i="7"/>
  <c r="BJ34" i="7"/>
  <c r="BI34" i="7"/>
  <c r="BH34" i="7"/>
  <c r="BG34" i="7"/>
  <c r="DD33" i="7"/>
  <c r="DC33" i="7"/>
  <c r="DB33" i="7"/>
  <c r="DA33" i="7"/>
  <c r="CZ33" i="7"/>
  <c r="CY33" i="7"/>
  <c r="CX33" i="7"/>
  <c r="CW33" i="7"/>
  <c r="CV33" i="7"/>
  <c r="CU33" i="7"/>
  <c r="CT33" i="7"/>
  <c r="CS33" i="7"/>
  <c r="CR33" i="7"/>
  <c r="CQ33" i="7"/>
  <c r="CP33" i="7"/>
  <c r="CO33" i="7"/>
  <c r="CN33" i="7"/>
  <c r="CM33" i="7"/>
  <c r="CL33" i="7"/>
  <c r="CK33" i="7"/>
  <c r="CJ33" i="7"/>
  <c r="CI33" i="7"/>
  <c r="CH33" i="7"/>
  <c r="CG33" i="7"/>
  <c r="CF33" i="7"/>
  <c r="CE33" i="7"/>
  <c r="CD33" i="7"/>
  <c r="CC33" i="7"/>
  <c r="CB33" i="7"/>
  <c r="CA33" i="7"/>
  <c r="BZ33" i="7"/>
  <c r="BY33" i="7"/>
  <c r="BX33" i="7"/>
  <c r="BW33" i="7"/>
  <c r="BV33" i="7"/>
  <c r="BU33" i="7"/>
  <c r="BT33" i="7"/>
  <c r="BS33" i="7"/>
  <c r="BR33" i="7"/>
  <c r="BQ33" i="7"/>
  <c r="BP33" i="7"/>
  <c r="BO33" i="7"/>
  <c r="BN33" i="7"/>
  <c r="BM33" i="7"/>
  <c r="BL33" i="7"/>
  <c r="BK33" i="7"/>
  <c r="BJ33" i="7"/>
  <c r="BI33" i="7"/>
  <c r="BH33" i="7"/>
  <c r="BG33" i="7"/>
  <c r="DD32" i="7"/>
  <c r="DC32" i="7"/>
  <c r="DB32" i="7"/>
  <c r="DA32" i="7"/>
  <c r="CZ32" i="7"/>
  <c r="CY32" i="7"/>
  <c r="CX32" i="7"/>
  <c r="CW32" i="7"/>
  <c r="CV32" i="7"/>
  <c r="CU32" i="7"/>
  <c r="CT32" i="7"/>
  <c r="CS32" i="7"/>
  <c r="CR32" i="7"/>
  <c r="CQ32" i="7"/>
  <c r="CP32" i="7"/>
  <c r="CO32" i="7"/>
  <c r="CN32" i="7"/>
  <c r="CM32" i="7"/>
  <c r="CL32" i="7"/>
  <c r="CK32" i="7"/>
  <c r="CJ32" i="7"/>
  <c r="CI32" i="7"/>
  <c r="CH32" i="7"/>
  <c r="CG32" i="7"/>
  <c r="CF32" i="7"/>
  <c r="CE32" i="7"/>
  <c r="CD32" i="7"/>
  <c r="CC32" i="7"/>
  <c r="CB32" i="7"/>
  <c r="CA32" i="7"/>
  <c r="BZ32" i="7"/>
  <c r="BY32" i="7"/>
  <c r="BX32" i="7"/>
  <c r="BW32" i="7"/>
  <c r="BV32" i="7"/>
  <c r="BU32" i="7"/>
  <c r="BT32" i="7"/>
  <c r="BS32" i="7"/>
  <c r="BR32" i="7"/>
  <c r="BQ32" i="7"/>
  <c r="BP32" i="7"/>
  <c r="BO32" i="7"/>
  <c r="BN32" i="7"/>
  <c r="BM32" i="7"/>
  <c r="BL32" i="7"/>
  <c r="BK32" i="7"/>
  <c r="BJ32" i="7"/>
  <c r="BI32" i="7"/>
  <c r="BH32" i="7"/>
  <c r="BG32" i="7"/>
  <c r="DD31" i="7"/>
  <c r="DC31" i="7"/>
  <c r="DB31" i="7"/>
  <c r="DA31" i="7"/>
  <c r="CZ31" i="7"/>
  <c r="CY31" i="7"/>
  <c r="CX31" i="7"/>
  <c r="CW31" i="7"/>
  <c r="CV31" i="7"/>
  <c r="CU31" i="7"/>
  <c r="CT31" i="7"/>
  <c r="CS31" i="7"/>
  <c r="CR31" i="7"/>
  <c r="CQ31" i="7"/>
  <c r="CP31" i="7"/>
  <c r="CO31" i="7"/>
  <c r="CN31" i="7"/>
  <c r="CM31" i="7"/>
  <c r="CL31" i="7"/>
  <c r="CK31" i="7"/>
  <c r="CJ31" i="7"/>
  <c r="CI31" i="7"/>
  <c r="CH31" i="7"/>
  <c r="CG31" i="7"/>
  <c r="CF31" i="7"/>
  <c r="CE31" i="7"/>
  <c r="CD31" i="7"/>
  <c r="CC31" i="7"/>
  <c r="CB31" i="7"/>
  <c r="CA31" i="7"/>
  <c r="BZ31" i="7"/>
  <c r="BY31" i="7"/>
  <c r="BX31" i="7"/>
  <c r="BW31" i="7"/>
  <c r="BV31" i="7"/>
  <c r="BU31" i="7"/>
  <c r="BT31" i="7"/>
  <c r="BS31" i="7"/>
  <c r="BR31" i="7"/>
  <c r="BQ31" i="7"/>
  <c r="BP31" i="7"/>
  <c r="BO31" i="7"/>
  <c r="BN31" i="7"/>
  <c r="BM31" i="7"/>
  <c r="BL31" i="7"/>
  <c r="BK31" i="7"/>
  <c r="BJ31" i="7"/>
  <c r="BI31" i="7"/>
  <c r="DD30" i="7"/>
  <c r="DC30" i="7"/>
  <c r="DB30" i="7"/>
  <c r="DA30" i="7"/>
  <c r="CZ30" i="7"/>
  <c r="CY30" i="7"/>
  <c r="CX30" i="7"/>
  <c r="CW30" i="7"/>
  <c r="CV30" i="7"/>
  <c r="CU30" i="7"/>
  <c r="CT30" i="7"/>
  <c r="CS30" i="7"/>
  <c r="CR30" i="7"/>
  <c r="CQ30" i="7"/>
  <c r="CP30" i="7"/>
  <c r="CO30" i="7"/>
  <c r="CN30" i="7"/>
  <c r="CM30" i="7"/>
  <c r="CL30" i="7"/>
  <c r="CK30" i="7"/>
  <c r="CJ30" i="7"/>
  <c r="CI30" i="7"/>
  <c r="CH30" i="7"/>
  <c r="CG30" i="7"/>
  <c r="CF30" i="7"/>
  <c r="CE30" i="7"/>
  <c r="CD30" i="7"/>
  <c r="CC30" i="7"/>
  <c r="CB30" i="7"/>
  <c r="CA30" i="7"/>
  <c r="BZ30" i="7"/>
  <c r="BY30" i="7"/>
  <c r="BX30" i="7"/>
  <c r="BW30" i="7"/>
  <c r="BV30" i="7"/>
  <c r="BU30" i="7"/>
  <c r="BT30" i="7"/>
  <c r="BS30" i="7"/>
  <c r="BR30" i="7"/>
  <c r="BQ30" i="7"/>
  <c r="BP30" i="7"/>
  <c r="BO30" i="7"/>
  <c r="BN30" i="7"/>
  <c r="BM30" i="7"/>
  <c r="BL30" i="7"/>
  <c r="BK30" i="7"/>
  <c r="BJ30" i="7"/>
  <c r="BI30" i="7"/>
  <c r="BH30" i="7"/>
  <c r="DD29" i="7"/>
  <c r="DC29" i="7"/>
  <c r="DB29" i="7"/>
  <c r="DA29" i="7"/>
  <c r="CZ29" i="7"/>
  <c r="CY29" i="7"/>
  <c r="CX29" i="7"/>
  <c r="CW29" i="7"/>
  <c r="CV29" i="7"/>
  <c r="CU29" i="7"/>
  <c r="CT29" i="7"/>
  <c r="CS29" i="7"/>
  <c r="CR29" i="7"/>
  <c r="CQ29" i="7"/>
  <c r="CP29" i="7"/>
  <c r="CO29" i="7"/>
  <c r="CN29" i="7"/>
  <c r="CM29" i="7"/>
  <c r="CL29" i="7"/>
  <c r="CK29" i="7"/>
  <c r="CJ29" i="7"/>
  <c r="CI29" i="7"/>
  <c r="CH29" i="7"/>
  <c r="CG29" i="7"/>
  <c r="CF29" i="7"/>
  <c r="CE29" i="7"/>
  <c r="CD29" i="7"/>
  <c r="CC29" i="7"/>
  <c r="CB29" i="7"/>
  <c r="CA29" i="7"/>
  <c r="BZ29" i="7"/>
  <c r="BY29" i="7"/>
  <c r="BX29" i="7"/>
  <c r="BW29" i="7"/>
  <c r="BV29" i="7"/>
  <c r="BU29" i="7"/>
  <c r="BT29" i="7"/>
  <c r="BS29" i="7"/>
  <c r="BR29" i="7"/>
  <c r="BQ29" i="7"/>
  <c r="BP29" i="7"/>
  <c r="BO29" i="7"/>
  <c r="BN29" i="7"/>
  <c r="BM29" i="7"/>
  <c r="BL29" i="7"/>
  <c r="BK29" i="7"/>
  <c r="BJ29" i="7"/>
  <c r="BI29" i="7"/>
  <c r="BH29" i="7"/>
  <c r="BG29" i="7"/>
  <c r="DD28" i="7"/>
  <c r="DC28" i="7"/>
  <c r="DB28" i="7"/>
  <c r="DA28" i="7"/>
  <c r="CZ28" i="7"/>
  <c r="CY28" i="7"/>
  <c r="CX28" i="7"/>
  <c r="CW28" i="7"/>
  <c r="CV28" i="7"/>
  <c r="CU28" i="7"/>
  <c r="CT28" i="7"/>
  <c r="CS28" i="7"/>
  <c r="CR28" i="7"/>
  <c r="CQ28" i="7"/>
  <c r="CP28" i="7"/>
  <c r="CO28" i="7"/>
  <c r="CN28" i="7"/>
  <c r="CM28" i="7"/>
  <c r="CL28" i="7"/>
  <c r="CK28" i="7"/>
  <c r="CJ28" i="7"/>
  <c r="CI28" i="7"/>
  <c r="CH28" i="7"/>
  <c r="CG28" i="7"/>
  <c r="CF28" i="7"/>
  <c r="CE28" i="7"/>
  <c r="CD28" i="7"/>
  <c r="CC28" i="7"/>
  <c r="CB28" i="7"/>
  <c r="CA28" i="7"/>
  <c r="BZ28" i="7"/>
  <c r="BY28" i="7"/>
  <c r="BX28" i="7"/>
  <c r="BW28" i="7"/>
  <c r="BV28" i="7"/>
  <c r="BU28" i="7"/>
  <c r="BT28" i="7"/>
  <c r="BS28" i="7"/>
  <c r="BR28" i="7"/>
  <c r="BQ28" i="7"/>
  <c r="BP28" i="7"/>
  <c r="BO28" i="7"/>
  <c r="BN28" i="7"/>
  <c r="BM28" i="7"/>
  <c r="BL28" i="7"/>
  <c r="BK28" i="7"/>
  <c r="BJ28" i="7"/>
  <c r="BI28" i="7"/>
  <c r="BH28" i="7"/>
  <c r="BG28" i="7"/>
  <c r="DD27" i="7"/>
  <c r="DC27" i="7"/>
  <c r="DB27" i="7"/>
  <c r="DA27" i="7"/>
  <c r="CZ27" i="7"/>
  <c r="CY27" i="7"/>
  <c r="CX27" i="7"/>
  <c r="CW27" i="7"/>
  <c r="CV27" i="7"/>
  <c r="CU27" i="7"/>
  <c r="CT27" i="7"/>
  <c r="CS27" i="7"/>
  <c r="CR27" i="7"/>
  <c r="CQ27" i="7"/>
  <c r="CP27" i="7"/>
  <c r="CO27" i="7"/>
  <c r="CN27" i="7"/>
  <c r="CM27" i="7"/>
  <c r="CL27" i="7"/>
  <c r="CK27" i="7"/>
  <c r="CJ27" i="7"/>
  <c r="CI27" i="7"/>
  <c r="CH27" i="7"/>
  <c r="CG27" i="7"/>
  <c r="CF27" i="7"/>
  <c r="CE27" i="7"/>
  <c r="CD27" i="7"/>
  <c r="CC27" i="7"/>
  <c r="CB27" i="7"/>
  <c r="CA27" i="7"/>
  <c r="BZ27" i="7"/>
  <c r="BY27" i="7"/>
  <c r="BX27" i="7"/>
  <c r="BW27" i="7"/>
  <c r="BV27" i="7"/>
  <c r="BU27" i="7"/>
  <c r="BT27" i="7"/>
  <c r="BS27" i="7"/>
  <c r="BR27" i="7"/>
  <c r="BQ27" i="7"/>
  <c r="BP27" i="7"/>
  <c r="BO27" i="7"/>
  <c r="BN27" i="7"/>
  <c r="BM27" i="7"/>
  <c r="BL27" i="7"/>
  <c r="BK27" i="7"/>
  <c r="BJ27" i="7"/>
  <c r="BI27" i="7"/>
  <c r="BH27" i="7"/>
  <c r="BG27" i="7"/>
  <c r="DD26" i="7"/>
  <c r="DC26" i="7"/>
  <c r="DB26" i="7"/>
  <c r="DA26" i="7"/>
  <c r="CZ26" i="7"/>
  <c r="CY26" i="7"/>
  <c r="CX26" i="7"/>
  <c r="CW26" i="7"/>
  <c r="CV26" i="7"/>
  <c r="CU26" i="7"/>
  <c r="CT26" i="7"/>
  <c r="CS26" i="7"/>
  <c r="CR26" i="7"/>
  <c r="CQ26" i="7"/>
  <c r="CP26" i="7"/>
  <c r="CO26" i="7"/>
  <c r="CN26" i="7"/>
  <c r="CM26" i="7"/>
  <c r="CL26" i="7"/>
  <c r="CK26" i="7"/>
  <c r="CJ26" i="7"/>
  <c r="CI26" i="7"/>
  <c r="CH26" i="7"/>
  <c r="CG26" i="7"/>
  <c r="CF26" i="7"/>
  <c r="CE26" i="7"/>
  <c r="CD26" i="7"/>
  <c r="CC26" i="7"/>
  <c r="CB26" i="7"/>
  <c r="CA26" i="7"/>
  <c r="BZ26" i="7"/>
  <c r="BY26" i="7"/>
  <c r="BX26" i="7"/>
  <c r="BW26" i="7"/>
  <c r="BV26" i="7"/>
  <c r="BU26" i="7"/>
  <c r="BT26" i="7"/>
  <c r="BS26" i="7"/>
  <c r="BR26" i="7"/>
  <c r="BQ26" i="7"/>
  <c r="BP26" i="7"/>
  <c r="BO26" i="7"/>
  <c r="BN26" i="7"/>
  <c r="BM26" i="7"/>
  <c r="BL26" i="7"/>
  <c r="BK26" i="7"/>
  <c r="BJ26" i="7"/>
  <c r="BI26" i="7"/>
  <c r="BH26" i="7"/>
  <c r="BG26" i="7"/>
  <c r="DD25" i="7"/>
  <c r="DC25" i="7"/>
  <c r="DB25" i="7"/>
  <c r="DA25" i="7"/>
  <c r="CZ25" i="7"/>
  <c r="CY25" i="7"/>
  <c r="CX25" i="7"/>
  <c r="CW25" i="7"/>
  <c r="CV25" i="7"/>
  <c r="CU25" i="7"/>
  <c r="CT25" i="7"/>
  <c r="CS25" i="7"/>
  <c r="CR25" i="7"/>
  <c r="CQ25" i="7"/>
  <c r="CP25" i="7"/>
  <c r="CO25" i="7"/>
  <c r="CN25" i="7"/>
  <c r="CM25" i="7"/>
  <c r="CL25" i="7"/>
  <c r="CK25" i="7"/>
  <c r="CJ25" i="7"/>
  <c r="CI25" i="7"/>
  <c r="CH25" i="7"/>
  <c r="CG25" i="7"/>
  <c r="CF25" i="7"/>
  <c r="CE25" i="7"/>
  <c r="CD25" i="7"/>
  <c r="CC25" i="7"/>
  <c r="CB25" i="7"/>
  <c r="CA25" i="7"/>
  <c r="BZ25" i="7"/>
  <c r="BY25" i="7"/>
  <c r="BX25" i="7"/>
  <c r="BW25" i="7"/>
  <c r="BV25" i="7"/>
  <c r="BU25" i="7"/>
  <c r="BT25" i="7"/>
  <c r="BS25" i="7"/>
  <c r="BR25" i="7"/>
  <c r="BQ25" i="7"/>
  <c r="BP25" i="7"/>
  <c r="BO25" i="7"/>
  <c r="BN25" i="7"/>
  <c r="BM25" i="7"/>
  <c r="BL25" i="7"/>
  <c r="BK25" i="7"/>
  <c r="BJ25" i="7"/>
  <c r="BI25" i="7"/>
  <c r="BH25"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W16" i="7" l="1"/>
  <c r="BY16" i="7"/>
  <c r="CA16" i="7"/>
  <c r="CC16" i="7"/>
  <c r="CE16" i="7"/>
  <c r="CG16" i="7"/>
  <c r="CI16" i="7"/>
  <c r="CK16" i="7"/>
  <c r="CM16" i="7"/>
  <c r="CO16" i="7"/>
  <c r="CQ16" i="7"/>
  <c r="CS16" i="7"/>
  <c r="CU16" i="7"/>
  <c r="CW16" i="7"/>
  <c r="CY16" i="7"/>
  <c r="DA16" i="7"/>
  <c r="DC16" i="7"/>
  <c r="BV16" i="7"/>
  <c r="BX16" i="7"/>
  <c r="BZ16" i="7"/>
  <c r="CB16" i="7"/>
  <c r="CD16" i="7"/>
  <c r="CF16" i="7"/>
  <c r="CH16" i="7"/>
  <c r="CJ16" i="7"/>
  <c r="CL16" i="7"/>
  <c r="CN16" i="7"/>
  <c r="CP16" i="7"/>
  <c r="CR16" i="7"/>
  <c r="CT16" i="7"/>
  <c r="CV16" i="7"/>
  <c r="CX16" i="7"/>
  <c r="CZ16" i="7"/>
  <c r="DB16" i="7"/>
  <c r="DD16" i="7"/>
  <c r="BT205" i="7"/>
  <c r="BS205" i="7"/>
  <c r="BI37" i="7"/>
  <c r="BM37" i="7"/>
  <c r="BQ37" i="7"/>
  <c r="BU37" i="7"/>
  <c r="BM286" i="7"/>
  <c r="BI287" i="7"/>
  <c r="BM287" i="7"/>
  <c r="BK364" i="7"/>
  <c r="BM364" i="7"/>
  <c r="BQ364" i="7"/>
  <c r="BU364" i="7"/>
  <c r="BQ365" i="7"/>
  <c r="BU365" i="7"/>
  <c r="BI387" i="7"/>
  <c r="BM387" i="7"/>
  <c r="BQ387" i="7"/>
  <c r="BU387" i="7"/>
  <c r="BI388" i="7"/>
  <c r="BM388" i="7"/>
  <c r="BQ388" i="7"/>
  <c r="BU388" i="7"/>
  <c r="BI393" i="7"/>
  <c r="BM393" i="7"/>
  <c r="BS393" i="7"/>
  <c r="BI394" i="7"/>
  <c r="BM394" i="7"/>
  <c r="BQ394" i="7"/>
  <c r="BU394" i="7"/>
  <c r="BK395" i="7"/>
  <c r="BQ395" i="7"/>
  <c r="BK231" i="7"/>
  <c r="BQ235" i="7"/>
  <c r="BI238" i="7"/>
  <c r="BG246" i="7"/>
  <c r="BI270" i="7"/>
  <c r="BK281" i="7"/>
  <c r="BI364" i="7"/>
  <c r="BO364" i="7"/>
  <c r="BS364" i="7"/>
  <c r="BI365" i="7"/>
  <c r="BI377" i="7"/>
  <c r="BM377" i="7"/>
  <c r="BQ377" i="7"/>
  <c r="BU377" i="7"/>
  <c r="BG387" i="7"/>
  <c r="BK387" i="7"/>
  <c r="BO387" i="7"/>
  <c r="BS387" i="7"/>
  <c r="BG388" i="7"/>
  <c r="BK388" i="7"/>
  <c r="BO388" i="7"/>
  <c r="BS388" i="7"/>
  <c r="BG393" i="7"/>
  <c r="BK393" i="7"/>
  <c r="BG394" i="7"/>
  <c r="BK394" i="7"/>
  <c r="BO394" i="7"/>
  <c r="BS394" i="7"/>
  <c r="BG395" i="7"/>
  <c r="BM395" i="7"/>
  <c r="BO395" i="7"/>
  <c r="BS395" i="7"/>
  <c r="BU395" i="7"/>
  <c r="BI406" i="7"/>
  <c r="BM406" i="7"/>
  <c r="BQ406" i="7"/>
  <c r="BU406" i="7"/>
  <c r="BK407" i="7"/>
  <c r="BO407" i="7"/>
  <c r="BQ407" i="7"/>
  <c r="BS409" i="7"/>
  <c r="BU409" i="7"/>
  <c r="BK508" i="7"/>
  <c r="BQ89" i="7"/>
  <c r="BO89" i="7"/>
  <c r="BK89" i="7"/>
  <c r="BI89" i="7"/>
  <c r="BN89" i="7"/>
  <c r="BR89" i="7"/>
  <c r="BU90" i="7"/>
  <c r="BS90" i="7"/>
  <c r="BQ67" i="7"/>
  <c r="BO67" i="7"/>
  <c r="BM67" i="7"/>
  <c r="BK67" i="7"/>
  <c r="BH67" i="7"/>
  <c r="BJ67" i="7"/>
  <c r="BN67" i="7"/>
  <c r="BP89" i="7"/>
  <c r="BH105" i="7"/>
  <c r="BQ128" i="7"/>
  <c r="BO128" i="7"/>
  <c r="BM128" i="7"/>
  <c r="BK128" i="7"/>
  <c r="BI128" i="7"/>
  <c r="BG128" i="7"/>
  <c r="BJ128" i="7"/>
  <c r="BN128" i="7"/>
  <c r="BR128" i="7"/>
  <c r="BP222" i="7"/>
  <c r="BN224" i="7"/>
  <c r="BL242" i="7"/>
  <c r="BJ370" i="7"/>
  <c r="BL370" i="7"/>
  <c r="BN370" i="7"/>
  <c r="BP370" i="7"/>
  <c r="BR370" i="7"/>
  <c r="BT370" i="7"/>
  <c r="BR371" i="7"/>
  <c r="BJ380" i="7"/>
  <c r="BL380" i="7"/>
  <c r="BN380" i="7"/>
  <c r="BP382" i="7"/>
  <c r="BR382" i="7"/>
  <c r="BT382" i="7"/>
  <c r="BU397" i="7"/>
  <c r="BS397" i="7"/>
  <c r="BQ397" i="7"/>
  <c r="BO397" i="7"/>
  <c r="BM397" i="7"/>
  <c r="BK397" i="7"/>
  <c r="BI397" i="7"/>
  <c r="BG397" i="7"/>
  <c r="BJ397" i="7"/>
  <c r="BN397" i="7"/>
  <c r="BR397" i="7"/>
  <c r="BU398" i="7"/>
  <c r="BS398" i="7"/>
  <c r="BQ398" i="7"/>
  <c r="BO398" i="7"/>
  <c r="BM398" i="7"/>
  <c r="BK398" i="7"/>
  <c r="BI398" i="7"/>
  <c r="BG398" i="7"/>
  <c r="BJ398" i="7"/>
  <c r="BN398" i="7"/>
  <c r="BR398" i="7"/>
  <c r="BU399" i="7"/>
  <c r="BS399" i="7"/>
  <c r="BQ399" i="7"/>
  <c r="BO399" i="7"/>
  <c r="BM399" i="7"/>
  <c r="BK399" i="7"/>
  <c r="BI399" i="7"/>
  <c r="BG399" i="7"/>
  <c r="BJ399" i="7"/>
  <c r="BN399" i="7"/>
  <c r="BR399" i="7"/>
  <c r="BU400" i="7"/>
  <c r="BS400" i="7"/>
  <c r="BQ400" i="7"/>
  <c r="BO400" i="7"/>
  <c r="BM400" i="7"/>
  <c r="BK400" i="7"/>
  <c r="BI400" i="7"/>
  <c r="BG400" i="7"/>
  <c r="BJ400" i="7"/>
  <c r="BN400" i="7"/>
  <c r="BR400" i="7"/>
  <c r="BU401" i="7"/>
  <c r="BS401" i="7"/>
  <c r="BQ401" i="7"/>
  <c r="BO401" i="7"/>
  <c r="BM401" i="7"/>
  <c r="BK401" i="7"/>
  <c r="BI401" i="7"/>
  <c r="BG401" i="7"/>
  <c r="BJ401" i="7"/>
  <c r="BN401" i="7"/>
  <c r="BR401" i="7"/>
  <c r="BU402" i="7"/>
  <c r="BS402" i="7"/>
  <c r="BQ402" i="7"/>
  <c r="BK402" i="7"/>
  <c r="BR402" i="7"/>
  <c r="BH37" i="7"/>
  <c r="BJ37" i="7"/>
  <c r="BL37" i="7"/>
  <c r="BN37" i="7"/>
  <c r="BP37" i="7"/>
  <c r="BR37" i="7"/>
  <c r="BH46" i="7"/>
  <c r="BJ46" i="7"/>
  <c r="BL46" i="7"/>
  <c r="BN46" i="7"/>
  <c r="BP46" i="7"/>
  <c r="BR46" i="7"/>
  <c r="BH207" i="7"/>
  <c r="BJ207" i="7"/>
  <c r="BG222" i="7"/>
  <c r="BK222" i="7"/>
  <c r="BH235" i="7"/>
  <c r="BL235" i="7"/>
  <c r="BJ238" i="7"/>
  <c r="BH270" i="7"/>
  <c r="BJ364" i="7"/>
  <c r="BN364" i="7"/>
  <c r="BP364" i="7"/>
  <c r="BR364" i="7"/>
  <c r="BG370" i="7"/>
  <c r="BK370" i="7"/>
  <c r="BM370" i="7"/>
  <c r="BO370" i="7"/>
  <c r="BQ370" i="7"/>
  <c r="BS370" i="7"/>
  <c r="BI371" i="7"/>
  <c r="BK371" i="7"/>
  <c r="BM371" i="7"/>
  <c r="BO371" i="7"/>
  <c r="BH377" i="7"/>
  <c r="BJ377" i="7"/>
  <c r="BL377" i="7"/>
  <c r="BN377" i="7"/>
  <c r="BP377" i="7"/>
  <c r="BR377" i="7"/>
  <c r="BK380" i="7"/>
  <c r="BM380" i="7"/>
  <c r="BO380" i="7"/>
  <c r="BO382" i="7"/>
  <c r="BQ382" i="7"/>
  <c r="BS382" i="7"/>
  <c r="BH387" i="7"/>
  <c r="BJ387" i="7"/>
  <c r="BL387" i="7"/>
  <c r="BN387" i="7"/>
  <c r="BP387" i="7"/>
  <c r="BR387" i="7"/>
  <c r="BH388" i="7"/>
  <c r="BJ388" i="7"/>
  <c r="BL388" i="7"/>
  <c r="BN388" i="7"/>
  <c r="BP388" i="7"/>
  <c r="BR388" i="7"/>
  <c r="BT393" i="7"/>
  <c r="BR393" i="7"/>
  <c r="BP393" i="7"/>
  <c r="BH393" i="7"/>
  <c r="BJ393" i="7"/>
  <c r="BL393" i="7"/>
  <c r="BN393" i="7"/>
  <c r="BQ393" i="7"/>
  <c r="BU393" i="7"/>
  <c r="BH397" i="7"/>
  <c r="BL397" i="7"/>
  <c r="BP397" i="7"/>
  <c r="BT397" i="7"/>
  <c r="BH398" i="7"/>
  <c r="BL398" i="7"/>
  <c r="BP398" i="7"/>
  <c r="BT398" i="7"/>
  <c r="BH399" i="7"/>
  <c r="BL399" i="7"/>
  <c r="BP399" i="7"/>
  <c r="BT399" i="7"/>
  <c r="BH400" i="7"/>
  <c r="BL400" i="7"/>
  <c r="BP400" i="7"/>
  <c r="BT400" i="7"/>
  <c r="BL401" i="7"/>
  <c r="BP401" i="7"/>
  <c r="BT401" i="7"/>
  <c r="BL402" i="7"/>
  <c r="BP402" i="7"/>
  <c r="BT402" i="7"/>
  <c r="BH503" i="7"/>
  <c r="BJ503" i="7"/>
  <c r="BN503" i="7"/>
  <c r="BR503" i="7"/>
  <c r="BT503" i="7"/>
  <c r="BH394" i="7"/>
  <c r="BJ394" i="7"/>
  <c r="BL394" i="7"/>
  <c r="BN394" i="7"/>
  <c r="BP394" i="7"/>
  <c r="BR394" i="7"/>
  <c r="BH395" i="7"/>
  <c r="BL395" i="7"/>
  <c r="BP395" i="7"/>
  <c r="BH406" i="7"/>
  <c r="BJ406" i="7"/>
  <c r="BL406" i="7"/>
  <c r="BN406" i="7"/>
  <c r="BP406" i="7"/>
  <c r="BR406" i="7"/>
  <c r="BJ407" i="7"/>
  <c r="BL407" i="7"/>
  <c r="BN407" i="7"/>
  <c r="BR407" i="7"/>
  <c r="BL408" i="7"/>
  <c r="BN408" i="7"/>
  <c r="BG503" i="7"/>
  <c r="BI503" i="7"/>
  <c r="BM503" i="7"/>
  <c r="BO503" i="7"/>
  <c r="BH509" i="7"/>
  <c r="BL509" i="7"/>
  <c r="BP509" i="7"/>
  <c r="BK16" i="7" l="1"/>
  <c r="BP16" i="7"/>
  <c r="BL16" i="7"/>
  <c r="BS16" i="7"/>
  <c r="BR16" i="7"/>
  <c r="BN16" i="7"/>
  <c r="BJ16" i="7"/>
  <c r="BU16" i="7"/>
  <c r="BM16" i="7"/>
  <c r="BO16" i="7"/>
  <c r="BQ16" i="7"/>
  <c r="BT16" i="7"/>
  <c r="Q2" i="3"/>
  <c r="S2" i="3"/>
  <c r="S614" i="3"/>
  <c r="S613" i="3"/>
  <c r="S601" i="3"/>
  <c r="S600" i="3"/>
  <c r="S592" i="3"/>
  <c r="S591" i="3"/>
  <c r="S590" i="3"/>
  <c r="S589" i="3"/>
  <c r="S585" i="3"/>
  <c r="S584" i="3"/>
  <c r="S578" i="3"/>
  <c r="S577" i="3"/>
  <c r="S573" i="3"/>
  <c r="S572" i="3"/>
  <c r="S569" i="3"/>
  <c r="S568" i="3"/>
  <c r="S550" i="3"/>
  <c r="S549" i="3"/>
  <c r="S548" i="3"/>
  <c r="S547" i="3"/>
  <c r="S541" i="3"/>
  <c r="S540" i="3"/>
  <c r="S535" i="3"/>
  <c r="S534" i="3"/>
  <c r="S533" i="3"/>
  <c r="S532" i="3"/>
  <c r="S525" i="3"/>
  <c r="S524" i="3"/>
  <c r="S513" i="3"/>
  <c r="S512" i="3"/>
  <c r="S511" i="3"/>
  <c r="S510" i="3"/>
  <c r="S506" i="3"/>
  <c r="S505" i="3"/>
  <c r="S502" i="3"/>
  <c r="S501" i="3"/>
  <c r="S454" i="3"/>
  <c r="S453" i="3"/>
  <c r="S452" i="3"/>
  <c r="S451" i="3"/>
  <c r="S442" i="3"/>
  <c r="S441" i="3"/>
  <c r="S434" i="3"/>
  <c r="S433" i="3"/>
  <c r="S424" i="3"/>
  <c r="S423" i="3"/>
  <c r="S412" i="3"/>
  <c r="S411" i="3"/>
  <c r="S404" i="3"/>
  <c r="S403" i="3"/>
  <c r="S402" i="3"/>
  <c r="S401" i="3"/>
  <c r="S400" i="3"/>
  <c r="S396" i="3"/>
  <c r="S395" i="3"/>
  <c r="S391" i="3"/>
  <c r="S390" i="3"/>
  <c r="S389" i="3"/>
  <c r="S388" i="3"/>
  <c r="S382" i="3"/>
  <c r="S381" i="3"/>
  <c r="S375" i="3"/>
  <c r="S374" i="3"/>
  <c r="S370" i="3"/>
  <c r="S369" i="3"/>
  <c r="S365" i="3"/>
  <c r="S364" i="3"/>
  <c r="S353" i="3"/>
  <c r="S352" i="3"/>
  <c r="S351" i="3"/>
  <c r="S350" i="3"/>
  <c r="S345" i="3"/>
  <c r="S344" i="3"/>
  <c r="S339" i="3"/>
  <c r="S338" i="3"/>
  <c r="S333" i="3"/>
  <c r="S332" i="3"/>
  <c r="S326" i="3"/>
  <c r="S325" i="3"/>
  <c r="S318" i="3"/>
  <c r="S317" i="3"/>
  <c r="S310" i="3"/>
  <c r="S309" i="3"/>
  <c r="S302" i="3"/>
  <c r="S301" i="3"/>
  <c r="S294" i="3"/>
  <c r="S293" i="3"/>
  <c r="S289" i="3"/>
  <c r="S288" i="3"/>
  <c r="S285" i="3"/>
  <c r="S284" i="3"/>
  <c r="S280" i="3"/>
  <c r="S279" i="3"/>
  <c r="S275" i="3"/>
  <c r="S274" i="3"/>
  <c r="S273" i="3"/>
  <c r="S272" i="3"/>
  <c r="S268" i="3"/>
  <c r="S267" i="3"/>
  <c r="S263" i="3"/>
  <c r="S262" i="3"/>
  <c r="S246" i="3"/>
  <c r="S245" i="3"/>
  <c r="S244" i="3"/>
  <c r="S240" i="3"/>
  <c r="S239" i="3"/>
  <c r="S234" i="3"/>
  <c r="S233" i="3"/>
  <c r="S219" i="3"/>
  <c r="S218" i="3"/>
  <c r="S214" i="3"/>
  <c r="S213" i="3"/>
  <c r="S208" i="3"/>
  <c r="S207" i="3"/>
  <c r="S205" i="3"/>
  <c r="S204" i="3"/>
  <c r="S203" i="3"/>
  <c r="S202" i="3"/>
  <c r="S198" i="3"/>
  <c r="S197" i="3"/>
  <c r="S195" i="3"/>
  <c r="S194" i="3"/>
  <c r="S191" i="3"/>
  <c r="S190" i="3"/>
  <c r="S185" i="3"/>
  <c r="S184" i="3"/>
  <c r="S175" i="3"/>
  <c r="S174" i="3"/>
  <c r="S173" i="3"/>
  <c r="S172" i="3"/>
  <c r="S171" i="3"/>
  <c r="S168" i="3"/>
  <c r="S167" i="3"/>
  <c r="S120" i="3"/>
  <c r="S119" i="3"/>
  <c r="S118" i="3"/>
  <c r="S110" i="3"/>
  <c r="S109" i="3"/>
  <c r="S108" i="3"/>
  <c r="S103" i="3"/>
  <c r="S102" i="3"/>
  <c r="S98" i="3"/>
  <c r="S97" i="3"/>
  <c r="S87" i="3"/>
  <c r="S86" i="3"/>
  <c r="S84" i="3"/>
  <c r="S83" i="3"/>
  <c r="S71" i="3"/>
  <c r="S70" i="3"/>
  <c r="S69" i="3"/>
  <c r="S68" i="3"/>
  <c r="S62" i="3"/>
  <c r="S61" i="3"/>
  <c r="S57" i="3"/>
  <c r="S56" i="3"/>
  <c r="S52" i="3"/>
  <c r="S51" i="3"/>
  <c r="S45" i="3"/>
  <c r="S44" i="3"/>
  <c r="S38" i="3"/>
  <c r="S37" i="3"/>
  <c r="S29" i="3"/>
  <c r="S28" i="3"/>
  <c r="S23" i="3"/>
  <c r="S22" i="3"/>
  <c r="S17" i="3"/>
  <c r="S16" i="3"/>
  <c r="S11" i="3"/>
  <c r="S10" i="3"/>
  <c r="S5" i="3"/>
  <c r="S4" i="3"/>
  <c r="S3" i="3"/>
  <c r="T2" i="3"/>
  <c r="T614" i="3"/>
  <c r="T613" i="3"/>
  <c r="T601" i="3"/>
  <c r="T600" i="3"/>
  <c r="T592" i="3"/>
  <c r="T591" i="3"/>
  <c r="T590" i="3"/>
  <c r="T589" i="3"/>
  <c r="T585" i="3"/>
  <c r="T584" i="3"/>
  <c r="T578" i="3"/>
  <c r="T577" i="3"/>
  <c r="T573" i="3"/>
  <c r="T572" i="3"/>
  <c r="T569" i="3"/>
  <c r="T568" i="3"/>
  <c r="T550" i="3"/>
  <c r="T549" i="3"/>
  <c r="T548" i="3"/>
  <c r="T547" i="3"/>
  <c r="T541" i="3"/>
  <c r="T540" i="3"/>
  <c r="T535" i="3"/>
  <c r="T534" i="3"/>
  <c r="T533" i="3"/>
  <c r="T532" i="3"/>
  <c r="T525" i="3"/>
  <c r="T524" i="3"/>
  <c r="T513" i="3"/>
  <c r="T512" i="3"/>
  <c r="T511" i="3"/>
  <c r="T510" i="3"/>
  <c r="T506" i="3"/>
  <c r="T505" i="3"/>
  <c r="T502" i="3"/>
  <c r="T501" i="3"/>
  <c r="T454" i="3"/>
  <c r="T453" i="3"/>
  <c r="T452" i="3"/>
  <c r="T451" i="3"/>
  <c r="T442" i="3"/>
  <c r="T441" i="3"/>
  <c r="T434" i="3"/>
  <c r="T433" i="3"/>
  <c r="T424" i="3"/>
  <c r="T423" i="3"/>
  <c r="T412" i="3"/>
  <c r="T411" i="3"/>
  <c r="T404" i="3"/>
  <c r="T403" i="3"/>
  <c r="T402" i="3"/>
  <c r="T401" i="3"/>
  <c r="T400" i="3"/>
  <c r="T396" i="3"/>
  <c r="T395" i="3"/>
  <c r="T391" i="3"/>
  <c r="T390" i="3"/>
  <c r="T389" i="3"/>
  <c r="T388" i="3"/>
  <c r="T382" i="3"/>
  <c r="T381" i="3"/>
  <c r="T375" i="3"/>
  <c r="T374" i="3"/>
  <c r="T370" i="3"/>
  <c r="T369" i="3"/>
  <c r="T365" i="3"/>
  <c r="T364" i="3"/>
  <c r="T353" i="3"/>
  <c r="T352" i="3"/>
  <c r="T351" i="3"/>
  <c r="T350" i="3"/>
  <c r="T345" i="3"/>
  <c r="T344" i="3"/>
  <c r="T339" i="3"/>
  <c r="T338" i="3"/>
  <c r="T333" i="3"/>
  <c r="T332" i="3"/>
  <c r="T326" i="3"/>
  <c r="T325" i="3"/>
  <c r="T318" i="3"/>
  <c r="T317" i="3"/>
  <c r="T310" i="3"/>
  <c r="T309" i="3"/>
  <c r="T302" i="3"/>
  <c r="T301" i="3"/>
  <c r="T294" i="3"/>
  <c r="T293" i="3"/>
  <c r="T289" i="3"/>
  <c r="T288" i="3"/>
  <c r="T285" i="3"/>
  <c r="T284" i="3"/>
  <c r="T280" i="3"/>
  <c r="T279" i="3"/>
  <c r="T275" i="3"/>
  <c r="T274" i="3"/>
  <c r="T273" i="3"/>
  <c r="T272" i="3"/>
  <c r="T268" i="3"/>
  <c r="T267" i="3"/>
  <c r="T263" i="3"/>
  <c r="T262" i="3"/>
  <c r="T246" i="3"/>
  <c r="T245" i="3"/>
  <c r="T244" i="3"/>
  <c r="T240" i="3"/>
  <c r="T239" i="3"/>
  <c r="T234" i="3"/>
  <c r="T233" i="3"/>
  <c r="T219" i="3"/>
  <c r="T218" i="3"/>
  <c r="T214" i="3"/>
  <c r="T213" i="3"/>
  <c r="T208" i="3"/>
  <c r="T207" i="3"/>
  <c r="T205" i="3"/>
  <c r="T204" i="3"/>
  <c r="T203" i="3"/>
  <c r="T202" i="3"/>
  <c r="T198" i="3"/>
  <c r="T197" i="3"/>
  <c r="T195" i="3"/>
  <c r="T194" i="3"/>
  <c r="T191" i="3"/>
  <c r="T190" i="3"/>
  <c r="T185" i="3"/>
  <c r="T184" i="3"/>
  <c r="T175" i="3"/>
  <c r="T174" i="3"/>
  <c r="T173" i="3"/>
  <c r="T172" i="3"/>
  <c r="T171" i="3"/>
  <c r="T168" i="3"/>
  <c r="T167" i="3"/>
  <c r="T120" i="3"/>
  <c r="T119" i="3"/>
  <c r="T118" i="3"/>
  <c r="T110" i="3"/>
  <c r="T109" i="3"/>
  <c r="T108" i="3"/>
  <c r="T103" i="3"/>
  <c r="T102" i="3"/>
  <c r="T98" i="3"/>
  <c r="T97" i="3"/>
  <c r="T87" i="3"/>
  <c r="T86" i="3"/>
  <c r="T84" i="3"/>
  <c r="T83" i="3"/>
  <c r="T71" i="3"/>
  <c r="T70" i="3"/>
  <c r="T69" i="3"/>
  <c r="T68" i="3"/>
  <c r="T62" i="3"/>
  <c r="T61" i="3"/>
  <c r="T57" i="3"/>
  <c r="T56" i="3"/>
  <c r="T52" i="3"/>
  <c r="T51" i="3"/>
  <c r="T45" i="3"/>
  <c r="T44" i="3"/>
  <c r="T38" i="3"/>
  <c r="T37" i="3"/>
  <c r="T29" i="3"/>
  <c r="T28" i="3"/>
  <c r="T23" i="3"/>
  <c r="T22" i="3"/>
  <c r="T17" i="3"/>
  <c r="T16" i="3"/>
  <c r="T11" i="3"/>
  <c r="T10" i="3"/>
  <c r="T5" i="3"/>
  <c r="T4" i="3"/>
  <c r="T3" i="3"/>
  <c r="X22" i="1"/>
  <c r="D12" i="7" s="1"/>
  <c r="X21" i="1"/>
  <c r="D11" i="7" s="1"/>
  <c r="X20" i="1"/>
  <c r="D10" i="7" s="1"/>
  <c r="X19" i="1"/>
  <c r="D9" i="7" s="1"/>
  <c r="X18" i="1"/>
  <c r="D8" i="7" s="1"/>
  <c r="X17" i="1"/>
  <c r="D7" i="7" s="1"/>
  <c r="X16" i="1"/>
  <c r="D6" i="7" s="1"/>
  <c r="X15" i="1"/>
  <c r="D5" i="7" s="1"/>
  <c r="X14" i="1"/>
  <c r="D4" i="7" s="1"/>
  <c r="X13" i="1"/>
  <c r="D3" i="7" s="1"/>
  <c r="Q29" i="3"/>
  <c r="Q28" i="3"/>
  <c r="Q23" i="3"/>
  <c r="Q22" i="3"/>
  <c r="Q17" i="3"/>
  <c r="Q16" i="3"/>
  <c r="Q11" i="3"/>
  <c r="Q10" i="3"/>
  <c r="Q5" i="3"/>
  <c r="Q4" i="3"/>
  <c r="Q3" i="3"/>
  <c r="Q614" i="3"/>
  <c r="Q613" i="3"/>
  <c r="Q601" i="3"/>
  <c r="Q600" i="3"/>
  <c r="Q592" i="3"/>
  <c r="Q591" i="3"/>
  <c r="Q590" i="3"/>
  <c r="Q589" i="3"/>
  <c r="Q585" i="3"/>
  <c r="Q584" i="3"/>
  <c r="Q578" i="3"/>
  <c r="Q577" i="3"/>
  <c r="Q573" i="3"/>
  <c r="Q572" i="3"/>
  <c r="Q569" i="3"/>
  <c r="Q568" i="3"/>
  <c r="Q550" i="3"/>
  <c r="Q549" i="3"/>
  <c r="Q548" i="3"/>
  <c r="Q547" i="3"/>
  <c r="Q541" i="3"/>
  <c r="Q540" i="3"/>
  <c r="Q535" i="3"/>
  <c r="Q534" i="3"/>
  <c r="Q533" i="3"/>
  <c r="Q532" i="3"/>
  <c r="Q525" i="3"/>
  <c r="Q524" i="3"/>
  <c r="Q513" i="3"/>
  <c r="Q512" i="3"/>
  <c r="Q511" i="3"/>
  <c r="Q510" i="3"/>
  <c r="Q506" i="3"/>
  <c r="Q505" i="3"/>
  <c r="Q502" i="3"/>
  <c r="Q501" i="3"/>
  <c r="Q454" i="3"/>
  <c r="Q453" i="3"/>
  <c r="Q452" i="3"/>
  <c r="Q451" i="3"/>
  <c r="Q442" i="3"/>
  <c r="Q441" i="3"/>
  <c r="Q434" i="3"/>
  <c r="Q433" i="3"/>
  <c r="Q424" i="3"/>
  <c r="Q423" i="3"/>
  <c r="Q412" i="3"/>
  <c r="Q411" i="3"/>
  <c r="Q404" i="3"/>
  <c r="Q403" i="3"/>
  <c r="Q402" i="3"/>
  <c r="Q401" i="3"/>
  <c r="Q400" i="3"/>
  <c r="Q396" i="3"/>
  <c r="Q395" i="3"/>
  <c r="Q391" i="3"/>
  <c r="Q390" i="3"/>
  <c r="Q389" i="3"/>
  <c r="Q388" i="3"/>
  <c r="Q382" i="3"/>
  <c r="Q381" i="3"/>
  <c r="Q375" i="3"/>
  <c r="Q374" i="3"/>
  <c r="Q370" i="3"/>
  <c r="Q369" i="3"/>
  <c r="Q365" i="3"/>
  <c r="Q364" i="3"/>
  <c r="Q353" i="3"/>
  <c r="Q352" i="3"/>
  <c r="Q351" i="3"/>
  <c r="Q350" i="3"/>
  <c r="Q345" i="3"/>
  <c r="Q344" i="3"/>
  <c r="Q339" i="3"/>
  <c r="Q338" i="3"/>
  <c r="Q333" i="3"/>
  <c r="Q332" i="3"/>
  <c r="Q326" i="3"/>
  <c r="Q325" i="3"/>
  <c r="Q318" i="3"/>
  <c r="Q317" i="3"/>
  <c r="Q310" i="3"/>
  <c r="Q309" i="3"/>
  <c r="Q302" i="3"/>
  <c r="Q301" i="3"/>
  <c r="Q294" i="3"/>
  <c r="Q293" i="3"/>
  <c r="Q289" i="3"/>
  <c r="Q288" i="3"/>
  <c r="Q285" i="3"/>
  <c r="Q284" i="3"/>
  <c r="Q280" i="3"/>
  <c r="Q279" i="3"/>
  <c r="Q275" i="3"/>
  <c r="Q274" i="3"/>
  <c r="Q273" i="3"/>
  <c r="Q272" i="3"/>
  <c r="Q268" i="3"/>
  <c r="Q267" i="3"/>
  <c r="Q263" i="3"/>
  <c r="Q262" i="3"/>
  <c r="Q246" i="3"/>
  <c r="Q245" i="3"/>
  <c r="Q244" i="3"/>
  <c r="Q240" i="3"/>
  <c r="Q239" i="3"/>
  <c r="Q234" i="3"/>
  <c r="Q233" i="3"/>
  <c r="Q219" i="3"/>
  <c r="Q218" i="3"/>
  <c r="Q214" i="3"/>
  <c r="Q213" i="3"/>
  <c r="Q208" i="3"/>
  <c r="Q207" i="3"/>
  <c r="Q205" i="3"/>
  <c r="Q204" i="3"/>
  <c r="Q203" i="3"/>
  <c r="Q202" i="3"/>
  <c r="Q198" i="3"/>
  <c r="Q197" i="3"/>
  <c r="Q195" i="3"/>
  <c r="Q194" i="3"/>
  <c r="Q191" i="3"/>
  <c r="Q190" i="3"/>
  <c r="Q185" i="3"/>
  <c r="Q184" i="3"/>
  <c r="Q175" i="3"/>
  <c r="Q174" i="3"/>
  <c r="Q173" i="3"/>
  <c r="Q172" i="3"/>
  <c r="Q171" i="3"/>
  <c r="Q168" i="3"/>
  <c r="Q167" i="3"/>
  <c r="Q120" i="3"/>
  <c r="Q119" i="3"/>
  <c r="Q118" i="3"/>
  <c r="Q110" i="3"/>
  <c r="Q109" i="3"/>
  <c r="Q108" i="3"/>
  <c r="Q103" i="3"/>
  <c r="Q102" i="3"/>
  <c r="Q98" i="3"/>
  <c r="Q97" i="3"/>
  <c r="Q87" i="3"/>
  <c r="Q86" i="3"/>
  <c r="Q84" i="3"/>
  <c r="Q83" i="3"/>
  <c r="Q71" i="3"/>
  <c r="Q70" i="3"/>
  <c r="Q69" i="3"/>
  <c r="Q68" i="3"/>
  <c r="Q62" i="3"/>
  <c r="Q61" i="3"/>
  <c r="Q57" i="3"/>
  <c r="Q56" i="3"/>
  <c r="Q52" i="3"/>
  <c r="Q51" i="3"/>
  <c r="Q45" i="3"/>
  <c r="Q44" i="3"/>
  <c r="Q38" i="3"/>
  <c r="Q37" i="3"/>
  <c r="N27" i="3"/>
  <c r="R27" i="3" s="1"/>
  <c r="N26" i="3"/>
  <c r="R26" i="3" s="1"/>
  <c r="N25" i="3"/>
  <c r="R25" i="3" s="1"/>
  <c r="N24" i="3"/>
  <c r="R24" i="3" s="1"/>
  <c r="N21" i="3"/>
  <c r="R21" i="3" s="1"/>
  <c r="N20" i="3"/>
  <c r="R20" i="3" s="1"/>
  <c r="N19" i="3"/>
  <c r="R19" i="3" s="1"/>
  <c r="N18" i="3"/>
  <c r="R18" i="3" s="1"/>
  <c r="N15" i="3"/>
  <c r="R15" i="3" s="1"/>
  <c r="N14" i="3"/>
  <c r="R14" i="3" s="1"/>
  <c r="N13" i="3"/>
  <c r="R13" i="3" s="1"/>
  <c r="N12" i="3"/>
  <c r="R12" i="3" s="1"/>
  <c r="N9" i="3"/>
  <c r="R9" i="3" s="1"/>
  <c r="N8" i="3"/>
  <c r="R8" i="3" s="1"/>
  <c r="N7" i="3"/>
  <c r="R7" i="3" s="1"/>
  <c r="N6" i="3"/>
  <c r="J613" i="3"/>
  <c r="J600" i="3"/>
  <c r="J591" i="3"/>
  <c r="J589" i="3"/>
  <c r="J584" i="3"/>
  <c r="J577" i="3"/>
  <c r="J572" i="3"/>
  <c r="J568" i="3"/>
  <c r="J549" i="3"/>
  <c r="J547" i="3"/>
  <c r="J540" i="3"/>
  <c r="J534" i="3"/>
  <c r="J532" i="3"/>
  <c r="J524" i="3"/>
  <c r="J512" i="3"/>
  <c r="J510" i="3"/>
  <c r="J505" i="3"/>
  <c r="J501" i="3"/>
  <c r="J453" i="3"/>
  <c r="J451" i="3"/>
  <c r="J441" i="3"/>
  <c r="J433" i="3"/>
  <c r="J423" i="3"/>
  <c r="J411" i="3"/>
  <c r="J403" i="3"/>
  <c r="J402" i="3"/>
  <c r="J400" i="3"/>
  <c r="J395" i="3"/>
  <c r="J390" i="3"/>
  <c r="J388" i="3"/>
  <c r="J381" i="3"/>
  <c r="J369" i="3"/>
  <c r="J364" i="3"/>
  <c r="J352" i="3"/>
  <c r="J350" i="3"/>
  <c r="J344" i="3"/>
  <c r="J338" i="3"/>
  <c r="J332" i="3"/>
  <c r="J325" i="3"/>
  <c r="J317" i="3"/>
  <c r="J309" i="3"/>
  <c r="J301" i="3"/>
  <c r="J293" i="3"/>
  <c r="J288" i="3"/>
  <c r="J284" i="3"/>
  <c r="J279" i="3"/>
  <c r="J274" i="3"/>
  <c r="J272" i="3"/>
  <c r="J267" i="3"/>
  <c r="J262" i="3"/>
  <c r="J244" i="3"/>
  <c r="J239" i="3"/>
  <c r="J218" i="3"/>
  <c r="J213" i="3"/>
  <c r="J207" i="3"/>
  <c r="J204" i="3"/>
  <c r="J202" i="3"/>
  <c r="J197" i="3"/>
  <c r="J194" i="3"/>
  <c r="J190" i="3"/>
  <c r="J184" i="3"/>
  <c r="J174" i="3"/>
  <c r="J172" i="3"/>
  <c r="J169" i="3"/>
  <c r="J167" i="3"/>
  <c r="J119" i="3"/>
  <c r="J109" i="3"/>
  <c r="J102" i="3"/>
  <c r="J97" i="3"/>
  <c r="J86" i="3"/>
  <c r="J83" i="3"/>
  <c r="J70" i="3"/>
  <c r="J68" i="3"/>
  <c r="J61" i="3"/>
  <c r="J56" i="3"/>
  <c r="J51" i="3"/>
  <c r="J44" i="3"/>
  <c r="J37" i="3"/>
  <c r="J36" i="3"/>
  <c r="J35" i="3"/>
  <c r="J34" i="3"/>
  <c r="J33" i="3"/>
  <c r="J32" i="3"/>
  <c r="J31" i="3"/>
  <c r="J30" i="3"/>
  <c r="J28" i="3"/>
  <c r="J22" i="3"/>
  <c r="J16" i="3"/>
  <c r="J10" i="3"/>
  <c r="J4" i="3"/>
  <c r="J2" i="3"/>
  <c r="CK9" i="4"/>
  <c r="AI5" i="3"/>
  <c r="J5" i="3" s="1"/>
  <c r="AI4" i="3"/>
  <c r="AI3" i="3"/>
  <c r="J3" i="3" s="1"/>
  <c r="AI2" i="3"/>
  <c r="D23" i="7" l="1"/>
  <c r="D29" i="7"/>
  <c r="D35" i="7"/>
  <c r="D41" i="7"/>
  <c r="D47" i="7"/>
  <c r="D56" i="7"/>
  <c r="D63" i="7"/>
  <c r="D70" i="7"/>
  <c r="D75" i="7"/>
  <c r="D80" i="7"/>
  <c r="D87" i="7"/>
  <c r="D89" i="7"/>
  <c r="D102" i="7"/>
  <c r="D105" i="7"/>
  <c r="D116" i="7"/>
  <c r="D121" i="7"/>
  <c r="D127" i="7"/>
  <c r="D136" i="7"/>
  <c r="D138" i="7"/>
  <c r="D186" i="7"/>
  <c r="D190" i="7"/>
  <c r="D192" i="7"/>
  <c r="D202" i="7"/>
  <c r="D208" i="7"/>
  <c r="D212" i="7"/>
  <c r="D215" i="7"/>
  <c r="D220" i="7"/>
  <c r="D222" i="7"/>
  <c r="D225" i="7"/>
  <c r="D231" i="7"/>
  <c r="D236" i="7"/>
  <c r="D251" i="7"/>
  <c r="D257" i="7"/>
  <c r="D262" i="7"/>
  <c r="D264" i="7"/>
  <c r="D281" i="7"/>
  <c r="D286" i="7"/>
  <c r="D291" i="7"/>
  <c r="D293" i="7"/>
  <c r="D298" i="7"/>
  <c r="D303" i="7"/>
  <c r="D307" i="7"/>
  <c r="D312" i="7"/>
  <c r="D320" i="7"/>
  <c r="D328" i="7"/>
  <c r="D336" i="7"/>
  <c r="D344" i="7"/>
  <c r="D351" i="7"/>
  <c r="D357" i="7"/>
  <c r="D363" i="7"/>
  <c r="D369" i="7"/>
  <c r="D371" i="7"/>
  <c r="D383" i="7"/>
  <c r="D388" i="7"/>
  <c r="D393" i="7"/>
  <c r="D400" i="7"/>
  <c r="D407" i="7"/>
  <c r="D409" i="7"/>
  <c r="D414" i="7"/>
  <c r="D419" i="7"/>
  <c r="D421" i="7"/>
  <c r="D429" i="7"/>
  <c r="D441" i="7"/>
  <c r="D451" i="7"/>
  <c r="D459" i="7"/>
  <c r="D469" i="7"/>
  <c r="D471" i="7"/>
  <c r="D519" i="7"/>
  <c r="D523" i="7"/>
  <c r="D528" i="7"/>
  <c r="D530" i="7"/>
  <c r="D542" i="7"/>
  <c r="D550" i="7"/>
  <c r="D552" i="7"/>
  <c r="D558" i="7"/>
  <c r="D565" i="7"/>
  <c r="D567" i="7"/>
  <c r="D586" i="7"/>
  <c r="D590" i="7"/>
  <c r="D595" i="7"/>
  <c r="D602" i="7"/>
  <c r="D607" i="7"/>
  <c r="D609" i="7"/>
  <c r="D618" i="7"/>
  <c r="D631" i="7"/>
  <c r="D22" i="7"/>
  <c r="D28" i="7"/>
  <c r="D34" i="7"/>
  <c r="D40" i="7"/>
  <c r="D46" i="7"/>
  <c r="D55" i="7"/>
  <c r="D62" i="7"/>
  <c r="D69" i="7"/>
  <c r="D74" i="7"/>
  <c r="D79" i="7"/>
  <c r="D86" i="7"/>
  <c r="D88" i="7"/>
  <c r="D101" i="7"/>
  <c r="D104" i="7"/>
  <c r="D115" i="7"/>
  <c r="D120" i="7"/>
  <c r="D126" i="7"/>
  <c r="D128" i="7"/>
  <c r="D137" i="7"/>
  <c r="D185" i="7"/>
  <c r="D189" i="7"/>
  <c r="D191" i="7"/>
  <c r="D193" i="7"/>
  <c r="D203" i="7"/>
  <c r="D209" i="7"/>
  <c r="D213" i="7"/>
  <c r="D216" i="7"/>
  <c r="D221" i="7"/>
  <c r="D223" i="7"/>
  <c r="D226" i="7"/>
  <c r="D232" i="7"/>
  <c r="D237" i="7"/>
  <c r="D252" i="7"/>
  <c r="D258" i="7"/>
  <c r="D263" i="7"/>
  <c r="D280" i="7"/>
  <c r="D285" i="7"/>
  <c r="D290" i="7"/>
  <c r="D292" i="7"/>
  <c r="D297" i="7"/>
  <c r="D302" i="7"/>
  <c r="D306" i="7"/>
  <c r="D311" i="7"/>
  <c r="D319" i="7"/>
  <c r="D327" i="7"/>
  <c r="D335" i="7"/>
  <c r="D343" i="7"/>
  <c r="D350" i="7"/>
  <c r="D356" i="7"/>
  <c r="D362" i="7"/>
  <c r="D368" i="7"/>
  <c r="D370" i="7"/>
  <c r="D382" i="7"/>
  <c r="D387" i="7"/>
  <c r="D392" i="7"/>
  <c r="D399" i="7"/>
  <c r="D406" i="7"/>
  <c r="D408" i="7"/>
  <c r="D413" i="7"/>
  <c r="D418" i="7"/>
  <c r="D420" i="7"/>
  <c r="D422" i="7"/>
  <c r="D430" i="7"/>
  <c r="D442" i="7"/>
  <c r="D452" i="7"/>
  <c r="D460" i="7"/>
  <c r="D470" i="7"/>
  <c r="D472" i="7"/>
  <c r="D520" i="7"/>
  <c r="D524" i="7"/>
  <c r="D529" i="7"/>
  <c r="D531" i="7"/>
  <c r="D543" i="7"/>
  <c r="D551" i="7"/>
  <c r="D553" i="7"/>
  <c r="D559" i="7"/>
  <c r="D566" i="7"/>
  <c r="D568" i="7"/>
  <c r="D587" i="7"/>
  <c r="D591" i="7"/>
  <c r="D596" i="7"/>
  <c r="D603" i="7"/>
  <c r="D608" i="7"/>
  <c r="D610" i="7"/>
  <c r="D619" i="7"/>
  <c r="D632" i="7"/>
  <c r="D20" i="7"/>
  <c r="R6" i="3"/>
  <c r="B3" i="3"/>
  <c r="B4" i="3" s="1"/>
  <c r="B5" i="3" s="1"/>
  <c r="D21" i="7"/>
  <c r="Y7" i="3"/>
  <c r="AB7" i="3"/>
  <c r="Y9" i="3"/>
  <c r="AB9" i="3"/>
  <c r="Y13" i="3"/>
  <c r="AB13" i="3"/>
  <c r="Y15" i="3"/>
  <c r="AB15" i="3"/>
  <c r="Y19" i="3"/>
  <c r="AB19" i="3"/>
  <c r="Y21" i="3"/>
  <c r="AB21" i="3"/>
  <c r="Y25" i="3"/>
  <c r="AB25" i="3"/>
  <c r="Y27" i="3"/>
  <c r="AB27" i="3"/>
  <c r="Y6" i="3"/>
  <c r="AB6" i="3"/>
  <c r="Y8" i="3"/>
  <c r="AB8" i="3"/>
  <c r="Y12" i="3"/>
  <c r="AB12" i="3"/>
  <c r="Y14" i="3"/>
  <c r="AB14" i="3"/>
  <c r="Y18" i="3"/>
  <c r="AB18" i="3"/>
  <c r="Y20" i="3"/>
  <c r="AB20" i="3"/>
  <c r="Y24" i="3"/>
  <c r="AB24" i="3"/>
  <c r="Y26" i="3"/>
  <c r="AB26" i="3"/>
  <c r="Z6" i="3"/>
  <c r="X6" i="3"/>
  <c r="AA6" i="3"/>
  <c r="Z8" i="3"/>
  <c r="X8" i="3"/>
  <c r="AA8" i="3"/>
  <c r="AU12" i="3"/>
  <c r="Z12" i="3"/>
  <c r="X12" i="3"/>
  <c r="AA12" i="3"/>
  <c r="AU14" i="3"/>
  <c r="Z14" i="3"/>
  <c r="X14" i="3"/>
  <c r="AA14" i="3"/>
  <c r="Z18" i="3"/>
  <c r="X18" i="3"/>
  <c r="AA18" i="3"/>
  <c r="Z20" i="3"/>
  <c r="X20" i="3"/>
  <c r="AA20" i="3"/>
  <c r="Z24" i="3"/>
  <c r="X24" i="3"/>
  <c r="AA24" i="3"/>
  <c r="Z26" i="3"/>
  <c r="X26" i="3"/>
  <c r="AA26" i="3"/>
  <c r="Z7" i="3"/>
  <c r="AA7" i="3"/>
  <c r="X7" i="3"/>
  <c r="Z9" i="3"/>
  <c r="AA9" i="3"/>
  <c r="X9" i="3"/>
  <c r="AU13" i="3"/>
  <c r="Z13" i="3"/>
  <c r="AA13" i="3"/>
  <c r="X13" i="3"/>
  <c r="AU15" i="3"/>
  <c r="Z15" i="3"/>
  <c r="AA15" i="3"/>
  <c r="X15" i="3"/>
  <c r="Z19" i="3"/>
  <c r="AA19" i="3"/>
  <c r="X19" i="3"/>
  <c r="Z21" i="3"/>
  <c r="AA21" i="3"/>
  <c r="X21" i="3"/>
  <c r="Z25" i="3"/>
  <c r="AA25" i="3"/>
  <c r="X25" i="3"/>
  <c r="Z27" i="3"/>
  <c r="AA27" i="3"/>
  <c r="X27" i="3"/>
  <c r="AU6" i="3"/>
  <c r="V6" i="3" s="1"/>
  <c r="AU8" i="3"/>
  <c r="V8" i="3" s="1"/>
  <c r="AU18" i="3"/>
  <c r="V18" i="3" s="1"/>
  <c r="AU20" i="3"/>
  <c r="V20" i="3" s="1"/>
  <c r="AU24" i="3"/>
  <c r="V24" i="3" s="1"/>
  <c r="AU26" i="3"/>
  <c r="V26" i="3" s="1"/>
  <c r="AU7" i="3"/>
  <c r="V7" i="3" s="1"/>
  <c r="AU9" i="3"/>
  <c r="V9" i="3" s="1"/>
  <c r="AU19" i="3"/>
  <c r="V19" i="3" s="1"/>
  <c r="AU21" i="3"/>
  <c r="V21" i="3" s="1"/>
  <c r="AU25" i="3"/>
  <c r="V25" i="3" s="1"/>
  <c r="AU27" i="3"/>
  <c r="V27" i="3" s="1"/>
  <c r="AV6" i="3"/>
  <c r="AW6" i="3" s="1"/>
  <c r="AV8" i="3"/>
  <c r="AW8" i="3" s="1"/>
  <c r="AV12" i="3"/>
  <c r="AW12" i="3" s="1"/>
  <c r="AV14" i="3"/>
  <c r="AW14" i="3" s="1"/>
  <c r="AV18" i="3"/>
  <c r="AW18" i="3" s="1"/>
  <c r="AV20" i="3"/>
  <c r="AW20" i="3" s="1"/>
  <c r="AV24" i="3"/>
  <c r="AW24" i="3" s="1"/>
  <c r="W24" i="3" s="1"/>
  <c r="AV26" i="3"/>
  <c r="AW26" i="3" s="1"/>
  <c r="W26" i="3" s="1"/>
  <c r="AV7" i="3"/>
  <c r="AW7" i="3" s="1"/>
  <c r="AV9" i="3"/>
  <c r="AW9" i="3" s="1"/>
  <c r="AV13" i="3"/>
  <c r="AW13" i="3" s="1"/>
  <c r="AV15" i="3"/>
  <c r="AW15" i="3" s="1"/>
  <c r="AV19" i="3"/>
  <c r="AW19" i="3" s="1"/>
  <c r="AV21" i="3"/>
  <c r="AW21" i="3" s="1"/>
  <c r="AV25" i="3"/>
  <c r="AW25" i="3" s="1"/>
  <c r="W25" i="3" s="1"/>
  <c r="AV27" i="3"/>
  <c r="AW27" i="3" s="1"/>
  <c r="W27" i="3" s="1"/>
  <c r="B25" i="7"/>
  <c r="B27" i="7"/>
  <c r="B31" i="7"/>
  <c r="B33" i="7"/>
  <c r="B37" i="7"/>
  <c r="B39" i="7"/>
  <c r="B43" i="7"/>
  <c r="B45" i="7"/>
  <c r="B24" i="7"/>
  <c r="B26" i="7"/>
  <c r="B30" i="7"/>
  <c r="B32" i="7"/>
  <c r="B36" i="7"/>
  <c r="B38" i="7"/>
  <c r="B42" i="7"/>
  <c r="B44" i="7"/>
  <c r="K5" i="3"/>
  <c r="K4" i="3" s="1"/>
  <c r="K3" i="3"/>
  <c r="K2" i="3" s="1"/>
  <c r="I6" i="3"/>
  <c r="I4" i="3"/>
  <c r="I8" i="3"/>
  <c r="I7" i="3"/>
  <c r="I9" i="3"/>
  <c r="AZ15" i="7" l="1"/>
  <c r="AZ16" i="7" s="1"/>
  <c r="AX15" i="7"/>
  <c r="AX16" i="7" s="1"/>
  <c r="AV15" i="7"/>
  <c r="AV16" i="7" s="1"/>
  <c r="AR15" i="7"/>
  <c r="AR16" i="7" s="1"/>
  <c r="AP15" i="7"/>
  <c r="AP16" i="7" s="1"/>
  <c r="AN15" i="7"/>
  <c r="AN16" i="7" s="1"/>
  <c r="AL15" i="7"/>
  <c r="AL16" i="7" s="1"/>
  <c r="AJ15" i="7"/>
  <c r="AJ16" i="7" s="1"/>
  <c r="AH15" i="7"/>
  <c r="AH16" i="7" s="1"/>
  <c r="AB15" i="7"/>
  <c r="AB16" i="7" s="1"/>
  <c r="Z15" i="7"/>
  <c r="Z16" i="7" s="1"/>
  <c r="X15" i="7"/>
  <c r="X16" i="7" s="1"/>
  <c r="V15" i="7"/>
  <c r="V16" i="7" s="1"/>
  <c r="T15" i="7"/>
  <c r="T16" i="7" s="1"/>
  <c r="P15" i="7"/>
  <c r="P16" i="7" s="1"/>
  <c r="N15" i="7"/>
  <c r="N16" i="7" s="1"/>
  <c r="L15" i="7"/>
  <c r="L16" i="7" s="1"/>
  <c r="BC15" i="7"/>
  <c r="BC16" i="7" s="1"/>
  <c r="BA15" i="7"/>
  <c r="BA16" i="7" s="1"/>
  <c r="AU15" i="7"/>
  <c r="AU16" i="7" s="1"/>
  <c r="AS15" i="7"/>
  <c r="AS16" i="7" s="1"/>
  <c r="AQ15" i="7"/>
  <c r="AQ16" i="7" s="1"/>
  <c r="AO15" i="7"/>
  <c r="AO16" i="7" s="1"/>
  <c r="AK15" i="7"/>
  <c r="AK16" i="7" s="1"/>
  <c r="AI15" i="7"/>
  <c r="AI16" i="7" s="1"/>
  <c r="AG15" i="7"/>
  <c r="AG16" i="7" s="1"/>
  <c r="AE15" i="7"/>
  <c r="AE16" i="7" s="1"/>
  <c r="AC15" i="7"/>
  <c r="AC16" i="7" s="1"/>
  <c r="Y15" i="7"/>
  <c r="Y16" i="7" s="1"/>
  <c r="U15" i="7"/>
  <c r="U16" i="7" s="1"/>
  <c r="S15" i="7"/>
  <c r="S16" i="7" s="1"/>
  <c r="Q15" i="7"/>
  <c r="Q16" i="7" s="1"/>
  <c r="O15" i="7"/>
  <c r="O16" i="7" s="1"/>
  <c r="K15" i="7"/>
  <c r="K16" i="7" s="1"/>
  <c r="N2" i="2"/>
  <c r="N5" i="2" s="1"/>
  <c r="N4" i="2" l="1"/>
  <c r="N8" i="2" s="1"/>
  <c r="U569" i="3"/>
  <c r="U191" i="3"/>
  <c r="U317" i="3"/>
  <c r="U424" i="3"/>
  <c r="U197" i="3"/>
  <c r="U613" i="3"/>
  <c r="U3" i="3"/>
  <c r="U501" i="3"/>
  <c r="U5" i="3"/>
  <c r="U549" i="3"/>
  <c r="U412" i="3"/>
  <c r="U339" i="3"/>
  <c r="U400" i="3"/>
  <c r="U285" i="3"/>
  <c r="U302" i="3"/>
  <c r="U87" i="3"/>
  <c r="U194" i="3"/>
  <c r="U69" i="3"/>
  <c r="U578" i="3"/>
  <c r="U382" i="3"/>
  <c r="U195" i="3"/>
  <c r="U16" i="3"/>
  <c r="U434" i="3"/>
  <c r="U395" i="3"/>
  <c r="U56" i="3"/>
  <c r="U268" i="3"/>
  <c r="U119" i="3"/>
  <c r="U205" i="3"/>
  <c r="U600" i="3"/>
  <c r="U310" i="3"/>
  <c r="U376" i="3"/>
  <c r="U202" i="3"/>
  <c r="U401" i="3"/>
  <c r="U214" i="3"/>
  <c r="U572" i="3"/>
  <c r="U45" i="3"/>
  <c r="U208" i="3"/>
  <c r="U403" i="3"/>
  <c r="U601" i="3"/>
  <c r="U102" i="3"/>
  <c r="U534" i="3"/>
  <c r="U380" i="3"/>
  <c r="U244" i="3"/>
  <c r="U589" i="3"/>
  <c r="U384" i="3"/>
  <c r="U506" i="3"/>
  <c r="U338" i="3"/>
  <c r="U63" i="3"/>
  <c r="U364" i="3"/>
  <c r="U28" i="3"/>
  <c r="U541" i="3"/>
  <c r="U452" i="3"/>
  <c r="U68" i="3"/>
  <c r="U4" i="3"/>
  <c r="U365" i="3"/>
  <c r="U64" i="3"/>
  <c r="U67" i="3"/>
  <c r="U325" i="3"/>
  <c r="U505" i="3"/>
  <c r="U65" i="3"/>
  <c r="U568" i="3"/>
  <c r="U41" i="3"/>
  <c r="U219" i="3"/>
  <c r="U377" i="3"/>
  <c r="U237" i="3"/>
  <c r="U453" i="3"/>
  <c r="U190" i="3"/>
  <c r="U274" i="3"/>
  <c r="U240" i="3"/>
  <c r="U301" i="3"/>
  <c r="U391" i="3"/>
  <c r="U120" i="3"/>
  <c r="U29" i="3"/>
  <c r="U585" i="3"/>
  <c r="U540" i="3"/>
  <c r="U40" i="3"/>
  <c r="U51" i="3"/>
  <c r="U279" i="3"/>
  <c r="U591" i="3"/>
  <c r="U387" i="3"/>
  <c r="U592" i="3"/>
  <c r="U345" i="3"/>
  <c r="U352" i="3"/>
  <c r="U22" i="3"/>
  <c r="U184" i="3"/>
  <c r="U39" i="3"/>
  <c r="U10" i="3"/>
  <c r="U110" i="3"/>
  <c r="U263" i="3"/>
  <c r="U533" i="3"/>
  <c r="U83" i="3"/>
  <c r="U86" i="3"/>
  <c r="U273" i="3"/>
  <c r="U52" i="3"/>
  <c r="U172" i="3"/>
  <c r="U284" i="3"/>
  <c r="U174" i="3"/>
  <c r="U454" i="3"/>
  <c r="U294" i="3"/>
  <c r="U386" i="3"/>
  <c r="U451" i="3"/>
  <c r="U511" i="3"/>
  <c r="U43" i="3"/>
  <c r="U238" i="3"/>
  <c r="U350" i="3"/>
  <c r="U173" i="3"/>
  <c r="U532" i="3"/>
  <c r="U433" i="3"/>
  <c r="U614" i="3"/>
  <c r="U233" i="3"/>
  <c r="U23" i="3"/>
  <c r="U66" i="3"/>
  <c r="U388" i="3"/>
  <c r="U280" i="3"/>
  <c r="U84" i="3"/>
  <c r="U70" i="3"/>
  <c r="U510" i="3"/>
  <c r="U525" i="3"/>
  <c r="U198" i="3"/>
  <c r="U37" i="3"/>
  <c r="U590" i="3"/>
  <c r="U353" i="3"/>
  <c r="U318" i="3"/>
  <c r="U513" i="3"/>
  <c r="U547" i="3"/>
  <c r="U262" i="3"/>
  <c r="U577" i="3"/>
  <c r="U441" i="3"/>
  <c r="U236" i="3"/>
  <c r="U344" i="3"/>
  <c r="U98" i="3"/>
  <c r="U332" i="3"/>
  <c r="U375" i="3"/>
  <c r="U109" i="3"/>
  <c r="U71" i="3"/>
  <c r="U402" i="3"/>
  <c r="U61" i="3"/>
  <c r="U218" i="3"/>
  <c r="U369" i="3"/>
  <c r="U333" i="3"/>
  <c r="U44" i="3"/>
  <c r="U103" i="3"/>
  <c r="U168" i="3"/>
  <c r="U385" i="3"/>
  <c r="U57" i="3"/>
  <c r="U234" i="3"/>
  <c r="U502" i="3"/>
  <c r="U171" i="3"/>
  <c r="U275" i="3"/>
  <c r="U404" i="3"/>
  <c r="U235" i="3"/>
  <c r="U17" i="3"/>
  <c r="U267" i="3"/>
  <c r="U423" i="3"/>
  <c r="U213" i="3"/>
  <c r="U293" i="3"/>
  <c r="U245" i="3"/>
  <c r="U185" i="3"/>
  <c r="U396" i="3"/>
  <c r="U378" i="3"/>
  <c r="U550" i="3"/>
  <c r="U411" i="3"/>
  <c r="U351" i="3"/>
  <c r="U535" i="3"/>
  <c r="U207" i="3"/>
  <c r="U370" i="3"/>
  <c r="U548" i="3"/>
  <c r="U42" i="3"/>
  <c r="U309" i="3"/>
  <c r="U118" i="3"/>
  <c r="U11" i="3"/>
  <c r="U203" i="3"/>
  <c r="U524" i="3"/>
  <c r="U374" i="3"/>
  <c r="U383" i="3"/>
  <c r="U167" i="3"/>
  <c r="U289" i="3"/>
  <c r="U62" i="3"/>
  <c r="U239" i="3"/>
  <c r="U442" i="3"/>
  <c r="U389" i="3"/>
  <c r="U326" i="3"/>
  <c r="U584" i="3"/>
  <c r="U108" i="3"/>
  <c r="U175" i="3"/>
  <c r="U97" i="3"/>
  <c r="U379" i="3"/>
  <c r="U390" i="3"/>
  <c r="U381" i="3"/>
  <c r="U38" i="3"/>
  <c r="U204" i="3"/>
  <c r="U573" i="3"/>
  <c r="U246" i="3"/>
  <c r="U272" i="3"/>
  <c r="U288" i="3"/>
  <c r="U512" i="3"/>
  <c r="N6" i="2" l="1"/>
  <c r="N7" i="2" s="1"/>
  <c r="N9" i="2" s="1"/>
  <c r="BT5" i="1" s="1"/>
  <c r="BJ6" i="1"/>
  <c r="BD15" i="7" l="1"/>
  <c r="BD16" i="7" s="1"/>
  <c r="J15" i="7"/>
  <c r="AY15" i="7"/>
  <c r="AY16" i="7" s="1"/>
  <c r="BB15" i="7"/>
  <c r="BB16" i="7" s="1"/>
  <c r="AT15" i="7"/>
  <c r="AT16" i="7" s="1"/>
  <c r="AW15" i="7"/>
  <c r="AW16" i="7" s="1"/>
  <c r="AF15" i="7"/>
  <c r="AF16" i="7" s="1"/>
  <c r="AM15" i="7"/>
  <c r="AM16" i="7" s="1"/>
  <c r="AA15" i="7"/>
  <c r="AA16" i="7" s="1"/>
  <c r="AD15" i="7"/>
  <c r="AD16" i="7" s="1"/>
  <c r="R15" i="7"/>
  <c r="R16" i="7" s="1"/>
  <c r="W15" i="7"/>
  <c r="W16" i="7" s="1"/>
  <c r="I15" i="7"/>
  <c r="M15" i="7"/>
  <c r="M16" i="7" s="1"/>
  <c r="H15" i="7"/>
  <c r="G15" i="7"/>
  <c r="J16" i="7"/>
  <c r="AD13" i="5"/>
  <c r="BJ3" i="1"/>
  <c r="AR9" i="1"/>
  <c r="AA9" i="1"/>
  <c r="AA7" i="1"/>
  <c r="AA6" i="1"/>
  <c r="AS13" i="1" s="1"/>
  <c r="J6" i="1"/>
  <c r="J8" i="1"/>
  <c r="J7" i="1"/>
  <c r="Q5" i="1"/>
  <c r="Q4" i="1"/>
  <c r="Q3" i="1"/>
  <c r="Z518" i="5"/>
  <c r="Z517" i="5"/>
  <c r="Y517" i="5" s="1"/>
  <c r="Z516" i="5"/>
  <c r="Y516" i="5" s="1"/>
  <c r="Z515" i="5"/>
  <c r="Y515" i="5" s="1"/>
  <c r="Z514" i="5"/>
  <c r="Y514" i="5" s="1"/>
  <c r="Z513" i="5"/>
  <c r="Y513" i="5" s="1"/>
  <c r="Z512" i="5"/>
  <c r="Y512" i="5" s="1"/>
  <c r="Z511" i="5"/>
  <c r="Y511" i="5" s="1"/>
  <c r="Z510" i="5"/>
  <c r="Y510" i="5" s="1"/>
  <c r="Z509" i="5"/>
  <c r="Y509" i="5" s="1"/>
  <c r="Z508" i="5"/>
  <c r="Y508" i="5" s="1"/>
  <c r="Z507" i="5"/>
  <c r="Y507" i="5" s="1"/>
  <c r="Z506" i="5"/>
  <c r="Y506" i="5" s="1"/>
  <c r="Z505" i="5"/>
  <c r="Y505" i="5" s="1"/>
  <c r="Z504" i="5"/>
  <c r="Y504" i="5" s="1"/>
  <c r="Z503" i="5"/>
  <c r="Z502" i="5"/>
  <c r="Z501" i="5"/>
  <c r="Y501" i="5" s="1"/>
  <c r="Z500" i="5"/>
  <c r="Z499" i="5"/>
  <c r="Z498" i="5"/>
  <c r="Z497" i="5"/>
  <c r="Z496" i="5"/>
  <c r="Z495" i="5"/>
  <c r="Y495" i="5" s="1"/>
  <c r="Z494" i="5"/>
  <c r="Y494" i="5" s="1"/>
  <c r="Z493" i="5"/>
  <c r="Y493" i="5" s="1"/>
  <c r="Z492" i="5"/>
  <c r="Y492" i="5" s="1"/>
  <c r="Z491" i="5"/>
  <c r="Z490" i="5"/>
  <c r="Y490" i="5" s="1"/>
  <c r="Z489" i="5"/>
  <c r="Y489" i="5" s="1"/>
  <c r="Z488" i="5"/>
  <c r="Y488" i="5" s="1"/>
  <c r="Z487" i="5"/>
  <c r="Y487" i="5" s="1"/>
  <c r="Z486" i="5"/>
  <c r="Y486" i="5" s="1"/>
  <c r="Z485" i="5"/>
  <c r="Y485" i="5" s="1"/>
  <c r="Z484" i="5"/>
  <c r="Y484" i="5" s="1"/>
  <c r="Z483" i="5"/>
  <c r="Z482" i="5"/>
  <c r="Y482" i="5" s="1"/>
  <c r="Z481" i="5"/>
  <c r="Y481" i="5" s="1"/>
  <c r="Z480" i="5"/>
  <c r="Y480" i="5" s="1"/>
  <c r="Z479" i="5"/>
  <c r="Y479" i="5" s="1"/>
  <c r="Z478" i="5"/>
  <c r="Y478" i="5" s="1"/>
  <c r="Z477" i="5"/>
  <c r="Y477" i="5" s="1"/>
  <c r="Z476" i="5"/>
  <c r="Y476" i="5" s="1"/>
  <c r="Z475" i="5"/>
  <c r="Z474" i="5"/>
  <c r="Y474" i="5" s="1"/>
  <c r="Z473" i="5"/>
  <c r="Y473" i="5" s="1"/>
  <c r="Z472" i="5"/>
  <c r="Y472" i="5" s="1"/>
  <c r="Z471" i="5"/>
  <c r="Y471" i="5" s="1"/>
  <c r="Z470" i="5"/>
  <c r="Y470" i="5" s="1"/>
  <c r="Z469" i="5"/>
  <c r="Y469" i="5" s="1"/>
  <c r="Z468" i="5"/>
  <c r="Y468" i="5" s="1"/>
  <c r="Z467" i="5"/>
  <c r="Z466" i="5"/>
  <c r="Y466" i="5" s="1"/>
  <c r="Z465" i="5"/>
  <c r="Z464" i="5"/>
  <c r="Z463" i="5"/>
  <c r="Z462" i="5"/>
  <c r="Y462" i="5" s="1"/>
  <c r="Z461" i="5"/>
  <c r="Y461" i="5" s="1"/>
  <c r="Z460" i="5"/>
  <c r="Y460" i="5" s="1"/>
  <c r="Z459" i="5"/>
  <c r="Y459" i="5" s="1"/>
  <c r="Z458" i="5"/>
  <c r="Y458" i="5" s="1"/>
  <c r="Z457" i="5"/>
  <c r="Z456" i="5"/>
  <c r="Z455" i="5"/>
  <c r="Z454" i="5"/>
  <c r="Z453" i="5"/>
  <c r="Z452" i="5"/>
  <c r="Z451" i="5"/>
  <c r="Y451" i="5" s="1"/>
  <c r="Z450" i="5"/>
  <c r="Y450" i="5" s="1"/>
  <c r="Z449" i="5"/>
  <c r="Z448" i="5"/>
  <c r="Y448" i="5" s="1"/>
  <c r="Z447" i="5"/>
  <c r="Y447" i="5" s="1"/>
  <c r="Z446" i="5"/>
  <c r="Z445" i="5"/>
  <c r="Z444" i="5"/>
  <c r="Z443" i="5"/>
  <c r="Z442" i="5"/>
  <c r="Z441" i="5"/>
  <c r="Z440" i="5"/>
  <c r="Z439" i="5"/>
  <c r="Y439" i="5" s="1"/>
  <c r="Z438" i="5"/>
  <c r="Y438" i="5" s="1"/>
  <c r="Z437" i="5"/>
  <c r="Y437" i="5" s="1"/>
  <c r="Z436" i="5"/>
  <c r="Z435" i="5"/>
  <c r="Z434" i="5"/>
  <c r="Z433" i="5"/>
  <c r="Z432" i="5"/>
  <c r="Z431" i="5"/>
  <c r="Y431" i="5" s="1"/>
  <c r="Z430" i="5"/>
  <c r="Y430" i="5" s="1"/>
  <c r="Z429" i="5"/>
  <c r="Z428" i="5"/>
  <c r="Y428" i="5" s="1"/>
  <c r="Z427" i="5"/>
  <c r="Z426" i="5"/>
  <c r="Y426" i="5" s="1"/>
  <c r="Z425" i="5"/>
  <c r="Z424" i="5"/>
  <c r="Y424" i="5" s="1"/>
  <c r="Z423" i="5"/>
  <c r="Z422" i="5"/>
  <c r="Y422" i="5" s="1"/>
  <c r="Z421" i="5"/>
  <c r="Z420" i="5"/>
  <c r="Y420" i="5" s="1"/>
  <c r="Z419" i="5"/>
  <c r="Z418" i="5"/>
  <c r="Y418" i="5" s="1"/>
  <c r="Z417" i="5"/>
  <c r="Z416" i="5"/>
  <c r="Y416" i="5" s="1"/>
  <c r="Z415" i="5"/>
  <c r="Z414" i="5"/>
  <c r="Y414" i="5" s="1"/>
  <c r="Z413" i="5"/>
  <c r="Z412" i="5"/>
  <c r="Y412" i="5" s="1"/>
  <c r="Z411" i="5"/>
  <c r="Z410" i="5"/>
  <c r="Y410" i="5" s="1"/>
  <c r="Z409" i="5"/>
  <c r="Z408" i="5"/>
  <c r="Y408" i="5" s="1"/>
  <c r="Z407" i="5"/>
  <c r="Y407" i="5" s="1"/>
  <c r="Z406" i="5"/>
  <c r="Y406" i="5" s="1"/>
  <c r="Z405" i="5"/>
  <c r="Y405" i="5" s="1"/>
  <c r="Z404" i="5"/>
  <c r="Y404" i="5" s="1"/>
  <c r="Z403" i="5"/>
  <c r="Y403" i="5" s="1"/>
  <c r="Z402" i="5"/>
  <c r="Y402" i="5" s="1"/>
  <c r="Z401" i="5"/>
  <c r="Z400" i="5"/>
  <c r="Y400" i="5" s="1"/>
  <c r="Z399" i="5"/>
  <c r="Y399" i="5" s="1"/>
  <c r="Z398" i="5"/>
  <c r="Y398" i="5" s="1"/>
  <c r="Z397" i="5"/>
  <c r="Y397" i="5" s="1"/>
  <c r="Z396" i="5"/>
  <c r="Y396" i="5" s="1"/>
  <c r="Z395" i="5"/>
  <c r="Y395" i="5" s="1"/>
  <c r="Z394" i="5"/>
  <c r="Y394" i="5" s="1"/>
  <c r="Z393" i="5"/>
  <c r="Z392" i="5"/>
  <c r="Y392" i="5" s="1"/>
  <c r="Z391" i="5"/>
  <c r="Y391" i="5" s="1"/>
  <c r="Z390" i="5"/>
  <c r="Z389" i="5"/>
  <c r="Z388" i="5"/>
  <c r="Z387" i="5"/>
  <c r="Z386" i="5"/>
  <c r="Y386" i="5" s="1"/>
  <c r="Z385" i="5"/>
  <c r="Y385" i="5" s="1"/>
  <c r="Z384" i="5"/>
  <c r="Y384" i="5" s="1"/>
  <c r="Z383" i="5"/>
  <c r="Z382" i="5"/>
  <c r="Y382" i="5" s="1"/>
  <c r="Z381" i="5"/>
  <c r="Z380" i="5"/>
  <c r="Z379" i="5"/>
  <c r="Z378" i="5"/>
  <c r="Z377" i="5"/>
  <c r="Z376" i="5"/>
  <c r="Y376" i="5" s="1"/>
  <c r="Z375" i="5"/>
  <c r="Y375" i="5" s="1"/>
  <c r="Z374" i="5"/>
  <c r="Y374" i="5" s="1"/>
  <c r="Z373" i="5"/>
  <c r="Y373" i="5" s="1"/>
  <c r="Z372" i="5"/>
  <c r="Y372" i="5" s="1"/>
  <c r="Z371" i="5"/>
  <c r="Z370" i="5"/>
  <c r="Y370" i="5" s="1"/>
  <c r="Z369" i="5"/>
  <c r="Y369" i="5" s="1"/>
  <c r="Z368" i="5"/>
  <c r="Y368" i="5" s="1"/>
  <c r="Z367" i="5"/>
  <c r="Y367" i="5" s="1"/>
  <c r="Z366" i="5"/>
  <c r="Y366" i="5" s="1"/>
  <c r="Z365" i="5"/>
  <c r="Z364" i="5"/>
  <c r="Y364" i="5" s="1"/>
  <c r="Z363" i="5"/>
  <c r="Y363" i="5" s="1"/>
  <c r="Z362" i="5"/>
  <c r="Y362" i="5" s="1"/>
  <c r="Z361" i="5"/>
  <c r="Y361" i="5" s="1"/>
  <c r="Z360" i="5"/>
  <c r="Y360" i="5" s="1"/>
  <c r="Z359" i="5"/>
  <c r="Z358" i="5"/>
  <c r="Y358" i="5" s="1"/>
  <c r="Z357" i="5"/>
  <c r="Y357" i="5" s="1"/>
  <c r="Z356" i="5"/>
  <c r="Z355" i="5"/>
  <c r="Y355" i="5" s="1"/>
  <c r="Z354" i="5"/>
  <c r="Y354" i="5" s="1"/>
  <c r="Z353" i="5"/>
  <c r="Y353" i="5" s="1"/>
  <c r="Z352" i="5"/>
  <c r="Y352" i="5" s="1"/>
  <c r="Z351" i="5"/>
  <c r="Z350" i="5"/>
  <c r="Z349" i="5"/>
  <c r="Z348" i="5"/>
  <c r="Z347" i="5"/>
  <c r="Z346" i="5"/>
  <c r="Z345" i="5"/>
  <c r="Z344" i="5"/>
  <c r="Z343" i="5"/>
  <c r="Z342" i="5"/>
  <c r="Z341" i="5"/>
  <c r="Z340" i="5"/>
  <c r="Z339" i="5"/>
  <c r="Z338" i="5"/>
  <c r="Y338" i="5" s="1"/>
  <c r="Z337" i="5"/>
  <c r="Y337" i="5" s="1"/>
  <c r="Z336" i="5"/>
  <c r="Z335" i="5"/>
  <c r="Z334" i="5"/>
  <c r="Z333" i="5"/>
  <c r="Y333" i="5" s="1"/>
  <c r="Z332" i="5"/>
  <c r="Y332" i="5" s="1"/>
  <c r="Z331" i="5"/>
  <c r="Z330" i="5"/>
  <c r="Z329" i="5"/>
  <c r="Z328" i="5"/>
  <c r="Z327" i="5"/>
  <c r="Z326" i="5"/>
  <c r="Y326" i="5" s="1"/>
  <c r="Z325" i="5"/>
  <c r="Y325" i="5" s="1"/>
  <c r="Z324" i="5"/>
  <c r="Y324" i="5" s="1"/>
  <c r="Z323" i="5"/>
  <c r="Y323" i="5" s="1"/>
  <c r="Z322" i="5"/>
  <c r="Y322" i="5" s="1"/>
  <c r="Z321" i="5"/>
  <c r="Z320" i="5"/>
  <c r="Y320" i="5" s="1"/>
  <c r="Z319" i="5"/>
  <c r="Y319" i="5" s="1"/>
  <c r="Z318" i="5"/>
  <c r="Y318" i="5" s="1"/>
  <c r="Z317" i="5"/>
  <c r="Y317" i="5" s="1"/>
  <c r="Z316" i="5"/>
  <c r="Y316" i="5" s="1"/>
  <c r="Z315" i="5"/>
  <c r="Y315" i="5" s="1"/>
  <c r="Z314" i="5"/>
  <c r="Y314" i="5" s="1"/>
  <c r="Z313" i="5"/>
  <c r="Z312" i="5"/>
  <c r="Y312" i="5" s="1"/>
  <c r="Z311" i="5"/>
  <c r="Y311" i="5" s="1"/>
  <c r="Z310" i="5"/>
  <c r="Y310" i="5" s="1"/>
  <c r="Z309" i="5"/>
  <c r="Y309" i="5" s="1"/>
  <c r="Z308" i="5"/>
  <c r="Z307" i="5"/>
  <c r="Z306" i="5"/>
  <c r="Z305" i="5"/>
  <c r="Y305" i="5" s="1"/>
  <c r="Z304" i="5"/>
  <c r="Y304" i="5" s="1"/>
  <c r="Z303" i="5"/>
  <c r="Z302" i="5"/>
  <c r="Y302" i="5" s="1"/>
  <c r="Z301" i="5"/>
  <c r="Y301" i="5" s="1"/>
  <c r="Z300" i="5"/>
  <c r="Y300" i="5" s="1"/>
  <c r="Z299" i="5"/>
  <c r="Y299" i="5" s="1"/>
  <c r="Z298" i="5"/>
  <c r="Y298" i="5" s="1"/>
  <c r="Z297" i="5"/>
  <c r="Y297" i="5" s="1"/>
  <c r="Z296" i="5"/>
  <c r="Y296" i="5" s="1"/>
  <c r="Z295" i="5"/>
  <c r="Z294" i="5"/>
  <c r="Y294" i="5" s="1"/>
  <c r="Z293" i="5"/>
  <c r="Y293" i="5" s="1"/>
  <c r="Z292" i="5"/>
  <c r="Y292" i="5" s="1"/>
  <c r="Z291" i="5"/>
  <c r="Y291" i="5" s="1"/>
  <c r="Z290" i="5"/>
  <c r="Y290" i="5" s="1"/>
  <c r="Z289" i="5"/>
  <c r="Y289" i="5" s="1"/>
  <c r="Z288" i="5"/>
  <c r="Y288" i="5" s="1"/>
  <c r="Z287" i="5"/>
  <c r="Z286" i="5"/>
  <c r="Y286" i="5" s="1"/>
  <c r="Z285" i="5"/>
  <c r="Y285" i="5" s="1"/>
  <c r="Z284" i="5"/>
  <c r="Y284" i="5" s="1"/>
  <c r="Z283" i="5"/>
  <c r="Y283" i="5" s="1"/>
  <c r="Z282" i="5"/>
  <c r="Y282" i="5" s="1"/>
  <c r="Z281" i="5"/>
  <c r="Y281" i="5" s="1"/>
  <c r="Z280" i="5"/>
  <c r="Y280" i="5" s="1"/>
  <c r="Z279" i="5"/>
  <c r="Z278" i="5"/>
  <c r="Y278" i="5" s="1"/>
  <c r="Z277" i="5"/>
  <c r="Y277" i="5" s="1"/>
  <c r="Z276" i="5"/>
  <c r="Y276" i="5" s="1"/>
  <c r="Z275" i="5"/>
  <c r="Y275" i="5" s="1"/>
  <c r="Z274" i="5"/>
  <c r="Y274" i="5" s="1"/>
  <c r="Z273" i="5"/>
  <c r="Y273" i="5" s="1"/>
  <c r="Z272" i="5"/>
  <c r="Y272" i="5" s="1"/>
  <c r="Z271" i="5"/>
  <c r="Z270" i="5"/>
  <c r="Y270" i="5" s="1"/>
  <c r="Z269" i="5"/>
  <c r="Y269" i="5" s="1"/>
  <c r="Z268" i="5"/>
  <c r="Y268" i="5" s="1"/>
  <c r="Z267" i="5"/>
  <c r="Y267" i="5" s="1"/>
  <c r="Z266" i="5"/>
  <c r="Y266" i="5" s="1"/>
  <c r="Z265" i="5"/>
  <c r="Y265" i="5" s="1"/>
  <c r="Z264" i="5"/>
  <c r="Y264" i="5" s="1"/>
  <c r="Z263" i="5"/>
  <c r="Z262" i="5"/>
  <c r="Y262" i="5" s="1"/>
  <c r="Z261" i="5"/>
  <c r="Y261" i="5" s="1"/>
  <c r="Z260" i="5"/>
  <c r="Y260" i="5" s="1"/>
  <c r="Z259" i="5"/>
  <c r="Y259" i="5" s="1"/>
  <c r="Z258" i="5"/>
  <c r="Y258" i="5" s="1"/>
  <c r="Z257" i="5"/>
  <c r="Y257" i="5" s="1"/>
  <c r="Z256" i="5"/>
  <c r="Y256" i="5" s="1"/>
  <c r="Z255" i="5"/>
  <c r="Z254" i="5"/>
  <c r="Y254" i="5" s="1"/>
  <c r="Z253" i="5"/>
  <c r="Y253" i="5" s="1"/>
  <c r="Z252" i="5"/>
  <c r="Y252" i="5" s="1"/>
  <c r="Z251" i="5"/>
  <c r="Y251" i="5" s="1"/>
  <c r="Z250" i="5"/>
  <c r="Y250" i="5" s="1"/>
  <c r="Z249" i="5"/>
  <c r="Y249" i="5" s="1"/>
  <c r="Z248" i="5"/>
  <c r="Y248" i="5" s="1"/>
  <c r="Z247" i="5"/>
  <c r="Y247" i="5" s="1"/>
  <c r="Z246" i="5"/>
  <c r="Y246" i="5" s="1"/>
  <c r="Z245" i="5"/>
  <c r="Y245" i="5" s="1"/>
  <c r="Z244" i="5"/>
  <c r="Y244" i="5" s="1"/>
  <c r="Z243" i="5"/>
  <c r="Z242" i="5"/>
  <c r="Y242" i="5" s="1"/>
  <c r="Z241" i="5"/>
  <c r="Z240" i="5"/>
  <c r="Y240" i="5" s="1"/>
  <c r="Z239" i="5"/>
  <c r="Z238" i="5"/>
  <c r="Y238" i="5" s="1"/>
  <c r="Z237" i="5"/>
  <c r="Z236" i="5"/>
  <c r="Y236" i="5" s="1"/>
  <c r="Z235" i="5"/>
  <c r="Z234" i="5"/>
  <c r="Y234" i="5" s="1"/>
  <c r="Z233" i="5"/>
  <c r="Z232" i="5"/>
  <c r="Y232" i="5" s="1"/>
  <c r="Z231" i="5"/>
  <c r="Z230" i="5"/>
  <c r="Y230" i="5" s="1"/>
  <c r="Z229" i="5"/>
  <c r="Z228" i="5"/>
  <c r="Y228" i="5" s="1"/>
  <c r="Z227" i="5"/>
  <c r="Z226" i="5"/>
  <c r="Y226" i="5" s="1"/>
  <c r="Z225" i="5"/>
  <c r="Z224" i="5"/>
  <c r="Y224" i="5" s="1"/>
  <c r="Z223" i="5"/>
  <c r="Z222" i="5"/>
  <c r="Y222" i="5" s="1"/>
  <c r="Z221" i="5"/>
  <c r="Z220" i="5"/>
  <c r="Y220" i="5" s="1"/>
  <c r="Z219" i="5"/>
  <c r="Z218" i="5"/>
  <c r="Y218" i="5" s="1"/>
  <c r="Z217" i="5"/>
  <c r="Z216" i="5"/>
  <c r="Y216" i="5" s="1"/>
  <c r="Z215" i="5"/>
  <c r="Z214" i="5"/>
  <c r="Y214" i="5" s="1"/>
  <c r="Z213" i="5"/>
  <c r="Z212" i="5"/>
  <c r="Y212" i="5" s="1"/>
  <c r="Z211" i="5"/>
  <c r="Z210" i="5"/>
  <c r="Y210" i="5" s="1"/>
  <c r="Z209" i="5"/>
  <c r="Z208" i="5"/>
  <c r="Y208" i="5" s="1"/>
  <c r="Z207" i="5"/>
  <c r="Z206" i="5"/>
  <c r="Y206" i="5" s="1"/>
  <c r="Z205" i="5"/>
  <c r="Z204" i="5"/>
  <c r="Y204" i="5" s="1"/>
  <c r="Z203" i="5"/>
  <c r="Z202" i="5"/>
  <c r="Y202" i="5" s="1"/>
  <c r="Z201" i="5"/>
  <c r="Z200" i="5"/>
  <c r="Y200" i="5" s="1"/>
  <c r="Z199" i="5"/>
  <c r="Z198" i="5"/>
  <c r="Y198" i="5" s="1"/>
  <c r="Z197" i="5"/>
  <c r="Z196" i="5"/>
  <c r="Y196" i="5" s="1"/>
  <c r="Z195" i="5"/>
  <c r="Z194" i="5"/>
  <c r="Y194" i="5" s="1"/>
  <c r="Z193" i="5"/>
  <c r="Z192" i="5"/>
  <c r="Y192" i="5" s="1"/>
  <c r="Z191" i="5"/>
  <c r="Z190" i="5"/>
  <c r="Y190" i="5" s="1"/>
  <c r="Z189" i="5"/>
  <c r="Z188" i="5"/>
  <c r="Y188" i="5" s="1"/>
  <c r="Z187" i="5"/>
  <c r="Z186" i="5"/>
  <c r="Y186" i="5" s="1"/>
  <c r="Z185" i="5"/>
  <c r="Z184" i="5"/>
  <c r="Y184" i="5" s="1"/>
  <c r="Z183" i="5"/>
  <c r="Z182" i="5"/>
  <c r="Y182" i="5" s="1"/>
  <c r="Z181" i="5"/>
  <c r="Z180" i="5"/>
  <c r="Y180" i="5" s="1"/>
  <c r="Z179" i="5"/>
  <c r="Z178" i="5"/>
  <c r="Y178" i="5" s="1"/>
  <c r="Z177" i="5"/>
  <c r="Z176" i="5"/>
  <c r="Y176" i="5" s="1"/>
  <c r="Z175" i="5"/>
  <c r="Z174" i="5"/>
  <c r="Y174" i="5" s="1"/>
  <c r="Z173" i="5"/>
  <c r="Z172" i="5"/>
  <c r="Y172" i="5" s="1"/>
  <c r="Z171" i="5"/>
  <c r="Z170" i="5"/>
  <c r="Y170" i="5" s="1"/>
  <c r="Z169" i="5"/>
  <c r="Z168" i="5"/>
  <c r="Y168" i="5" s="1"/>
  <c r="Z167" i="5"/>
  <c r="Z166" i="5"/>
  <c r="Y166" i="5" s="1"/>
  <c r="Z165" i="5"/>
  <c r="Z164" i="5"/>
  <c r="Y164" i="5" s="1"/>
  <c r="Z163" i="5"/>
  <c r="Z162" i="5"/>
  <c r="Z161" i="5"/>
  <c r="Z160" i="5"/>
  <c r="Z159" i="5"/>
  <c r="Z158" i="5"/>
  <c r="Z157" i="5"/>
  <c r="Z156" i="5"/>
  <c r="Y156" i="5" s="1"/>
  <c r="Z155" i="5"/>
  <c r="Z154" i="5"/>
  <c r="Y154" i="5" s="1"/>
  <c r="Z153" i="5"/>
  <c r="Y153" i="5" s="1"/>
  <c r="Z152" i="5"/>
  <c r="Y152" i="5" s="1"/>
  <c r="Z151" i="5"/>
  <c r="Y151" i="5" s="1"/>
  <c r="Z150" i="5"/>
  <c r="Y150" i="5" s="1"/>
  <c r="Z149" i="5"/>
  <c r="Y149" i="5" s="1"/>
  <c r="Z148" i="5"/>
  <c r="Y148" i="5" s="1"/>
  <c r="Z147" i="5"/>
  <c r="Z146" i="5"/>
  <c r="Y146" i="5" s="1"/>
  <c r="Z145" i="5"/>
  <c r="Y145" i="5" s="1"/>
  <c r="Z144" i="5"/>
  <c r="Y144" i="5" s="1"/>
  <c r="Z143" i="5"/>
  <c r="Y143" i="5" s="1"/>
  <c r="Z142" i="5"/>
  <c r="Y142" i="5" s="1"/>
  <c r="Z141" i="5"/>
  <c r="Z140" i="5"/>
  <c r="Y140" i="5" s="1"/>
  <c r="Z139" i="5"/>
  <c r="Y139" i="5" s="1"/>
  <c r="Z138" i="5"/>
  <c r="Y138" i="5" s="1"/>
  <c r="Z137" i="5"/>
  <c r="Y137" i="5" s="1"/>
  <c r="Z136" i="5"/>
  <c r="Y136" i="5" s="1"/>
  <c r="Z135" i="5"/>
  <c r="Z134" i="5"/>
  <c r="Z133" i="5"/>
  <c r="Z132" i="5"/>
  <c r="Z131" i="5"/>
  <c r="Z130" i="5"/>
  <c r="Z129" i="5"/>
  <c r="Y129" i="5" s="1"/>
  <c r="Z128" i="5"/>
  <c r="Y128" i="5" s="1"/>
  <c r="Z127" i="5"/>
  <c r="Y127" i="5" s="1"/>
  <c r="Z126" i="5"/>
  <c r="Y126" i="5" s="1"/>
  <c r="Z125" i="5"/>
  <c r="Y125" i="5" s="1"/>
  <c r="Z124" i="5"/>
  <c r="Y124" i="5" s="1"/>
  <c r="Z123" i="5"/>
  <c r="Y123" i="5" s="1"/>
  <c r="Z122" i="5"/>
  <c r="Y122" i="5" s="1"/>
  <c r="Z121" i="5"/>
  <c r="Y121" i="5" s="1"/>
  <c r="Z120" i="5"/>
  <c r="Z119" i="5"/>
  <c r="Y119" i="5" s="1"/>
  <c r="Z118" i="5"/>
  <c r="Y118" i="5" s="1"/>
  <c r="Z117" i="5"/>
  <c r="Z116" i="5"/>
  <c r="Y116" i="5" s="1"/>
  <c r="Z115" i="5"/>
  <c r="Z114" i="5"/>
  <c r="Y114" i="5" s="1"/>
  <c r="Z113" i="5"/>
  <c r="Z112" i="5"/>
  <c r="Y112" i="5" s="1"/>
  <c r="Z111" i="5"/>
  <c r="Z110" i="5"/>
  <c r="Z109" i="5"/>
  <c r="Y109" i="5" s="1"/>
  <c r="Z108" i="5"/>
  <c r="Y108" i="5" s="1"/>
  <c r="Z107" i="5"/>
  <c r="Y107" i="5" s="1"/>
  <c r="Z106" i="5"/>
  <c r="Y106" i="5" s="1"/>
  <c r="Z105" i="5"/>
  <c r="Y105" i="5" s="1"/>
  <c r="Z104" i="5"/>
  <c r="Z103" i="5"/>
  <c r="Z102" i="5"/>
  <c r="Z101" i="5"/>
  <c r="Z100" i="5"/>
  <c r="Z99" i="5"/>
  <c r="Z98" i="5"/>
  <c r="Z97" i="5"/>
  <c r="Z96" i="5"/>
  <c r="Z95" i="5"/>
  <c r="Z94" i="5"/>
  <c r="Z93" i="5"/>
  <c r="Z92" i="5"/>
  <c r="Z91" i="5"/>
  <c r="Z90" i="5"/>
  <c r="Z89" i="5"/>
  <c r="Z88" i="5"/>
  <c r="Z87" i="5"/>
  <c r="Z86" i="5"/>
  <c r="Z85" i="5"/>
  <c r="Z84" i="5"/>
  <c r="Z83" i="5"/>
  <c r="Z82" i="5"/>
  <c r="Z81" i="5"/>
  <c r="Z80" i="5"/>
  <c r="Z79" i="5"/>
  <c r="Z78" i="5"/>
  <c r="Z77" i="5"/>
  <c r="Z76" i="5"/>
  <c r="Z75" i="5"/>
  <c r="Z74" i="5"/>
  <c r="Z73" i="5"/>
  <c r="Z72" i="5"/>
  <c r="Z71" i="5"/>
  <c r="Z70" i="5"/>
  <c r="Z69" i="5"/>
  <c r="Z68" i="5"/>
  <c r="Z67" i="5"/>
  <c r="Z66" i="5"/>
  <c r="Z65" i="5"/>
  <c r="Z64" i="5"/>
  <c r="Y64" i="5" s="1"/>
  <c r="Z63" i="5"/>
  <c r="Z62" i="5"/>
  <c r="Y62" i="5" s="1"/>
  <c r="Z61" i="5"/>
  <c r="Y61" i="5" s="1"/>
  <c r="Z60" i="5"/>
  <c r="Y60" i="5" s="1"/>
  <c r="Z59" i="5"/>
  <c r="Y59" i="5" s="1"/>
  <c r="Z58" i="5"/>
  <c r="Y58" i="5" s="1"/>
  <c r="Z57" i="5"/>
  <c r="Y57" i="5" s="1"/>
  <c r="Z56" i="5"/>
  <c r="Y56" i="5" s="1"/>
  <c r="Z55" i="5"/>
  <c r="Z54" i="5"/>
  <c r="Y54" i="5" s="1"/>
  <c r="Z53" i="5"/>
  <c r="Y53" i="5" s="1"/>
  <c r="Z52" i="5"/>
  <c r="Y52" i="5" s="1"/>
  <c r="Z51" i="5"/>
  <c r="Y51" i="5" s="1"/>
  <c r="Z50" i="5"/>
  <c r="Y50" i="5" s="1"/>
  <c r="Z49" i="5"/>
  <c r="Z48" i="5"/>
  <c r="Z47" i="5"/>
  <c r="Y47" i="5" s="1"/>
  <c r="Z46" i="5"/>
  <c r="Z45" i="5"/>
  <c r="Z44" i="5"/>
  <c r="Z43" i="5"/>
  <c r="Z42" i="5"/>
  <c r="Z41" i="5"/>
  <c r="Z40" i="5"/>
  <c r="Z39" i="5"/>
  <c r="Z38" i="5"/>
  <c r="Z37" i="5"/>
  <c r="Z36" i="5"/>
  <c r="Z35" i="5"/>
  <c r="Z34" i="5"/>
  <c r="Y34" i="5" s="1"/>
  <c r="Z33" i="5"/>
  <c r="Z32" i="5"/>
  <c r="Y32" i="5" s="1"/>
  <c r="Z31" i="5"/>
  <c r="Y31" i="5" s="1"/>
  <c r="Z30" i="5"/>
  <c r="Y30" i="5" s="1"/>
  <c r="Z29" i="5"/>
  <c r="Y29" i="5" s="1"/>
  <c r="Z28" i="5"/>
  <c r="Z27" i="5"/>
  <c r="Z26" i="5"/>
  <c r="Y26" i="5" s="1"/>
  <c r="Z25" i="5"/>
  <c r="Y25" i="5" s="1"/>
  <c r="Z24" i="5"/>
  <c r="Y24" i="5" s="1"/>
  <c r="Z23" i="5"/>
  <c r="Z22" i="5"/>
  <c r="Y22" i="5" s="1"/>
  <c r="Z21" i="5"/>
  <c r="Y21" i="5" s="1"/>
  <c r="Z20" i="5"/>
  <c r="Y20" i="5" s="1"/>
  <c r="Z19" i="5"/>
  <c r="Y19" i="5" s="1"/>
  <c r="Z18" i="5"/>
  <c r="Y18" i="5" s="1"/>
  <c r="Z17" i="5"/>
  <c r="Y17" i="5" s="1"/>
  <c r="Z16" i="5"/>
  <c r="Y16" i="5" s="1"/>
  <c r="Z15" i="5"/>
  <c r="Z14" i="5"/>
  <c r="Y14" i="5" s="1"/>
  <c r="Z13" i="5"/>
  <c r="Y13" i="5" s="1"/>
  <c r="Z12" i="5"/>
  <c r="Y12" i="5" s="1"/>
  <c r="Z11" i="5"/>
  <c r="Y11" i="5" s="1"/>
  <c r="Z10" i="5"/>
  <c r="Y10" i="5" s="1"/>
  <c r="Z9" i="5"/>
  <c r="Y9" i="5" s="1"/>
  <c r="Z8" i="5"/>
  <c r="Y8" i="5" s="1"/>
  <c r="Z7" i="5"/>
  <c r="Z6" i="5"/>
  <c r="Y6" i="5" s="1"/>
  <c r="Z5" i="5"/>
  <c r="Y5" i="5" s="1"/>
  <c r="Z4" i="5"/>
  <c r="Y4" i="5" s="1"/>
  <c r="Z3" i="5"/>
  <c r="Y3" i="5" s="1"/>
  <c r="Z2" i="5"/>
  <c r="Y2" i="5" s="1"/>
  <c r="Y365" i="5"/>
  <c r="Y518" i="5"/>
  <c r="Y491" i="5"/>
  <c r="Y483" i="5"/>
  <c r="Y475" i="5"/>
  <c r="Y467" i="5"/>
  <c r="Y449" i="5"/>
  <c r="Y429" i="5"/>
  <c r="Y427" i="5"/>
  <c r="Y425" i="5"/>
  <c r="Y423" i="5"/>
  <c r="Y421" i="5"/>
  <c r="Y419" i="5"/>
  <c r="Y417" i="5"/>
  <c r="Y415" i="5"/>
  <c r="Y413" i="5"/>
  <c r="Y409" i="5"/>
  <c r="Y401" i="5"/>
  <c r="Y393" i="5"/>
  <c r="Y371" i="5"/>
  <c r="Y359" i="5"/>
  <c r="Y351" i="5"/>
  <c r="Y321" i="5"/>
  <c r="Y313" i="5"/>
  <c r="Y303" i="5"/>
  <c r="Y295" i="5"/>
  <c r="Y287" i="5"/>
  <c r="Y279" i="5"/>
  <c r="Y271" i="5"/>
  <c r="Y263" i="5"/>
  <c r="Y255" i="5"/>
  <c r="Y243" i="5"/>
  <c r="Y241" i="5"/>
  <c r="Y239" i="5"/>
  <c r="Y237" i="5"/>
  <c r="Y235" i="5"/>
  <c r="Y233" i="5"/>
  <c r="Y231" i="5"/>
  <c r="Y229" i="5"/>
  <c r="Y227" i="5"/>
  <c r="Y225" i="5"/>
  <c r="Y223" i="5"/>
  <c r="Y221" i="5"/>
  <c r="Y219" i="5"/>
  <c r="Y217" i="5"/>
  <c r="Y215" i="5"/>
  <c r="Y213" i="5"/>
  <c r="Y211" i="5"/>
  <c r="Y209" i="5"/>
  <c r="Y207" i="5"/>
  <c r="Y205" i="5"/>
  <c r="Y203" i="5"/>
  <c r="Y201" i="5"/>
  <c r="Y199" i="5"/>
  <c r="Y197" i="5"/>
  <c r="Y195" i="5"/>
  <c r="Y193" i="5"/>
  <c r="Y191" i="5"/>
  <c r="Y189" i="5"/>
  <c r="Y187" i="5"/>
  <c r="Y185" i="5"/>
  <c r="Y183" i="5"/>
  <c r="Y181" i="5"/>
  <c r="Y179" i="5"/>
  <c r="Y177" i="5"/>
  <c r="Y175" i="5"/>
  <c r="Y173" i="5"/>
  <c r="Y171" i="5"/>
  <c r="Y169" i="5"/>
  <c r="Y167" i="5"/>
  <c r="Y165" i="5"/>
  <c r="Y155" i="5"/>
  <c r="Y147" i="5"/>
  <c r="Y120" i="5"/>
  <c r="Y117" i="5"/>
  <c r="Y115" i="5"/>
  <c r="Y113" i="5"/>
  <c r="Y111" i="5"/>
  <c r="Y101" i="5"/>
  <c r="Y94" i="5"/>
  <c r="Y93" i="5"/>
  <c r="Y92" i="5"/>
  <c r="Y91" i="5"/>
  <c r="Y90" i="5"/>
  <c r="Y83" i="5"/>
  <c r="Y82" i="5"/>
  <c r="Y81" i="5"/>
  <c r="Y80" i="5"/>
  <c r="Y79" i="5"/>
  <c r="Y78" i="5"/>
  <c r="Y77" i="5"/>
  <c r="W76" i="5"/>
  <c r="W77" i="5" s="1"/>
  <c r="W78" i="5" s="1"/>
  <c r="W79" i="5" s="1"/>
  <c r="W80" i="5" s="1"/>
  <c r="W81" i="5" s="1"/>
  <c r="W82" i="5" s="1"/>
  <c r="Y63" i="5"/>
  <c r="Y55" i="5"/>
  <c r="Y33" i="5"/>
  <c r="Y23" i="5"/>
  <c r="Y15" i="5"/>
  <c r="Y7" i="5"/>
  <c r="E12" i="7"/>
  <c r="Q22" i="1" s="1"/>
  <c r="AE22" i="1" s="1"/>
  <c r="AZ22" i="1" s="1"/>
  <c r="EG13" i="1" s="1"/>
  <c r="ES13" i="1" s="1"/>
  <c r="E11" i="7"/>
  <c r="Q21" i="1" s="1"/>
  <c r="AE21" i="1" s="1"/>
  <c r="AZ21" i="1" s="1"/>
  <c r="CA17" i="1" s="1"/>
  <c r="CV17" i="1" s="1"/>
  <c r="E10" i="7"/>
  <c r="Q20" i="1" s="1"/>
  <c r="AE20" i="1" s="1"/>
  <c r="AZ20" i="1" s="1"/>
  <c r="E9" i="7"/>
  <c r="Q19" i="1" s="1"/>
  <c r="AE19" i="1" s="1"/>
  <c r="E8" i="7"/>
  <c r="Q18" i="1" s="1"/>
  <c r="AE18" i="1" s="1"/>
  <c r="AZ18" i="1" s="1"/>
  <c r="H4" i="2" s="1"/>
  <c r="E7" i="7"/>
  <c r="Q17" i="1" s="1"/>
  <c r="AE17" i="1" s="1"/>
  <c r="AZ17" i="1" s="1"/>
  <c r="E6" i="7"/>
  <c r="Q16" i="1" s="1"/>
  <c r="AE16" i="1" s="1"/>
  <c r="AZ16" i="1" s="1"/>
  <c r="E5" i="7"/>
  <c r="Q15" i="1" s="1"/>
  <c r="AE15" i="1" s="1"/>
  <c r="AZ15" i="1" s="1"/>
  <c r="E4" i="7"/>
  <c r="Q14" i="1" s="1"/>
  <c r="AE14" i="1" s="1"/>
  <c r="AZ14" i="1" s="1"/>
  <c r="E3" i="7"/>
  <c r="Q13" i="1" s="1"/>
  <c r="AE13" i="1" s="1"/>
  <c r="BL18" i="4"/>
  <c r="BL17" i="4"/>
  <c r="M169" i="3"/>
  <c r="A187" i="7" s="1"/>
  <c r="M36" i="3"/>
  <c r="A54" i="7" s="1"/>
  <c r="M32" i="3"/>
  <c r="A50" i="7" s="1"/>
  <c r="M33" i="3"/>
  <c r="A51" i="7" s="1"/>
  <c r="M34" i="3"/>
  <c r="A52" i="7" s="1"/>
  <c r="M35" i="3"/>
  <c r="A53" i="7" s="1"/>
  <c r="M31" i="3"/>
  <c r="A49" i="7" s="1"/>
  <c r="M30" i="3"/>
  <c r="A48" i="7" s="1"/>
  <c r="N616" i="3"/>
  <c r="R616" i="3" s="1"/>
  <c r="N617" i="3"/>
  <c r="R617" i="3" s="1"/>
  <c r="N618" i="3"/>
  <c r="R618" i="3" s="1"/>
  <c r="N619" i="3"/>
  <c r="R619" i="3" s="1"/>
  <c r="N620" i="3"/>
  <c r="R620" i="3" s="1"/>
  <c r="N615" i="3"/>
  <c r="R615" i="3" s="1"/>
  <c r="N603" i="3"/>
  <c r="R603" i="3" s="1"/>
  <c r="N604" i="3"/>
  <c r="R604" i="3" s="1"/>
  <c r="N605" i="3"/>
  <c r="R605" i="3" s="1"/>
  <c r="N606" i="3"/>
  <c r="R606" i="3" s="1"/>
  <c r="N607" i="3"/>
  <c r="R607" i="3" s="1"/>
  <c r="N608" i="3"/>
  <c r="R608" i="3" s="1"/>
  <c r="N609" i="3"/>
  <c r="R609" i="3" s="1"/>
  <c r="N610" i="3"/>
  <c r="R610" i="3" s="1"/>
  <c r="N611" i="3"/>
  <c r="R611" i="3" s="1"/>
  <c r="N612" i="3"/>
  <c r="R612" i="3" s="1"/>
  <c r="N602" i="3"/>
  <c r="R602" i="3" s="1"/>
  <c r="N594" i="3"/>
  <c r="R594" i="3" s="1"/>
  <c r="N595" i="3"/>
  <c r="R595" i="3" s="1"/>
  <c r="N596" i="3"/>
  <c r="R596" i="3" s="1"/>
  <c r="N597" i="3"/>
  <c r="R597" i="3" s="1"/>
  <c r="N598" i="3"/>
  <c r="R598" i="3" s="1"/>
  <c r="N599" i="3"/>
  <c r="R599" i="3" s="1"/>
  <c r="N593" i="3"/>
  <c r="R593" i="3" s="1"/>
  <c r="N587" i="3"/>
  <c r="R587" i="3" s="1"/>
  <c r="N588" i="3"/>
  <c r="R588" i="3" s="1"/>
  <c r="N586" i="3"/>
  <c r="R586" i="3" s="1"/>
  <c r="N580" i="3"/>
  <c r="R580" i="3" s="1"/>
  <c r="N581" i="3"/>
  <c r="R581" i="3" s="1"/>
  <c r="N582" i="3"/>
  <c r="R582" i="3" s="1"/>
  <c r="N583" i="3"/>
  <c r="R583" i="3" s="1"/>
  <c r="N579" i="3"/>
  <c r="R579" i="3" s="1"/>
  <c r="N575" i="3"/>
  <c r="R575" i="3" s="1"/>
  <c r="N576" i="3"/>
  <c r="R576" i="3" s="1"/>
  <c r="N574" i="3"/>
  <c r="R574" i="3" s="1"/>
  <c r="N571" i="3"/>
  <c r="R571" i="3" s="1"/>
  <c r="N570" i="3"/>
  <c r="R570" i="3" s="1"/>
  <c r="N552" i="3"/>
  <c r="R552" i="3" s="1"/>
  <c r="N553" i="3"/>
  <c r="R553" i="3" s="1"/>
  <c r="N554" i="3"/>
  <c r="R554" i="3" s="1"/>
  <c r="N555" i="3"/>
  <c r="R555" i="3" s="1"/>
  <c r="N556" i="3"/>
  <c r="R556" i="3" s="1"/>
  <c r="N557" i="3"/>
  <c r="R557" i="3" s="1"/>
  <c r="N558" i="3"/>
  <c r="R558" i="3" s="1"/>
  <c r="N559" i="3"/>
  <c r="R559" i="3" s="1"/>
  <c r="N560" i="3"/>
  <c r="R560" i="3" s="1"/>
  <c r="N561" i="3"/>
  <c r="R561" i="3" s="1"/>
  <c r="N562" i="3"/>
  <c r="R562" i="3" s="1"/>
  <c r="N563" i="3"/>
  <c r="R563" i="3" s="1"/>
  <c r="N564" i="3"/>
  <c r="R564" i="3" s="1"/>
  <c r="N565" i="3"/>
  <c r="R565" i="3" s="1"/>
  <c r="N566" i="3"/>
  <c r="R566" i="3" s="1"/>
  <c r="N567" i="3"/>
  <c r="R567" i="3" s="1"/>
  <c r="N551" i="3"/>
  <c r="R551" i="3" s="1"/>
  <c r="N543" i="3"/>
  <c r="R543" i="3" s="1"/>
  <c r="N544" i="3"/>
  <c r="R544" i="3" s="1"/>
  <c r="N545" i="3"/>
  <c r="R545" i="3" s="1"/>
  <c r="N546" i="3"/>
  <c r="R546" i="3" s="1"/>
  <c r="N542" i="3"/>
  <c r="R542" i="3" s="1"/>
  <c r="N537" i="3"/>
  <c r="R537" i="3" s="1"/>
  <c r="N538" i="3"/>
  <c r="R538" i="3" s="1"/>
  <c r="N539" i="3"/>
  <c r="R539" i="3" s="1"/>
  <c r="N536" i="3"/>
  <c r="R536" i="3" s="1"/>
  <c r="N527" i="3"/>
  <c r="R527" i="3" s="1"/>
  <c r="N528" i="3"/>
  <c r="R528" i="3" s="1"/>
  <c r="N529" i="3"/>
  <c r="R529" i="3" s="1"/>
  <c r="N530" i="3"/>
  <c r="R530" i="3" s="1"/>
  <c r="N531" i="3"/>
  <c r="R531" i="3" s="1"/>
  <c r="N526" i="3"/>
  <c r="R526" i="3" s="1"/>
  <c r="N515" i="3"/>
  <c r="R515" i="3" s="1"/>
  <c r="N516" i="3"/>
  <c r="R516" i="3" s="1"/>
  <c r="N517" i="3"/>
  <c r="R517" i="3" s="1"/>
  <c r="N518" i="3"/>
  <c r="R518" i="3" s="1"/>
  <c r="N519" i="3"/>
  <c r="R519" i="3" s="1"/>
  <c r="N520" i="3"/>
  <c r="R520" i="3" s="1"/>
  <c r="N521" i="3"/>
  <c r="R521" i="3" s="1"/>
  <c r="N522" i="3"/>
  <c r="R522" i="3" s="1"/>
  <c r="N523" i="3"/>
  <c r="R523" i="3" s="1"/>
  <c r="N514" i="3"/>
  <c r="R514" i="3" s="1"/>
  <c r="N508" i="3"/>
  <c r="R508" i="3" s="1"/>
  <c r="N509" i="3"/>
  <c r="R509" i="3" s="1"/>
  <c r="N507" i="3"/>
  <c r="R507" i="3" s="1"/>
  <c r="N504" i="3"/>
  <c r="R504" i="3" s="1"/>
  <c r="N503" i="3"/>
  <c r="R503" i="3" s="1"/>
  <c r="N500" i="3"/>
  <c r="R500" i="3" s="1"/>
  <c r="N499" i="3"/>
  <c r="R499" i="3" s="1"/>
  <c r="N498" i="3"/>
  <c r="R498" i="3" s="1"/>
  <c r="N497" i="3"/>
  <c r="R497" i="3" s="1"/>
  <c r="N496" i="3"/>
  <c r="R496" i="3" s="1"/>
  <c r="N495" i="3"/>
  <c r="R495" i="3" s="1"/>
  <c r="N494" i="3"/>
  <c r="R494" i="3" s="1"/>
  <c r="N493" i="3"/>
  <c r="R493" i="3" s="1"/>
  <c r="N492" i="3"/>
  <c r="R492" i="3" s="1"/>
  <c r="N491" i="3"/>
  <c r="R491" i="3" s="1"/>
  <c r="N490" i="3"/>
  <c r="R490" i="3" s="1"/>
  <c r="N489" i="3"/>
  <c r="R489" i="3" s="1"/>
  <c r="N488" i="3"/>
  <c r="R488" i="3" s="1"/>
  <c r="N487" i="3"/>
  <c r="R487" i="3" s="1"/>
  <c r="N486" i="3"/>
  <c r="R486" i="3" s="1"/>
  <c r="N485" i="3"/>
  <c r="R485" i="3" s="1"/>
  <c r="N484" i="3"/>
  <c r="R484" i="3" s="1"/>
  <c r="N483" i="3"/>
  <c r="R483" i="3" s="1"/>
  <c r="N482" i="3"/>
  <c r="R482" i="3" s="1"/>
  <c r="N481" i="3"/>
  <c r="R481" i="3" s="1"/>
  <c r="N480" i="3"/>
  <c r="R480" i="3" s="1"/>
  <c r="N479" i="3"/>
  <c r="R479" i="3" s="1"/>
  <c r="N478" i="3"/>
  <c r="R478" i="3" s="1"/>
  <c r="N477" i="3"/>
  <c r="R477" i="3" s="1"/>
  <c r="N476" i="3"/>
  <c r="R476" i="3" s="1"/>
  <c r="N475" i="3"/>
  <c r="R475" i="3" s="1"/>
  <c r="N474" i="3"/>
  <c r="R474" i="3" s="1"/>
  <c r="N473" i="3"/>
  <c r="R473" i="3" s="1"/>
  <c r="N472" i="3"/>
  <c r="R472" i="3" s="1"/>
  <c r="N471" i="3"/>
  <c r="R471" i="3" s="1"/>
  <c r="N470" i="3"/>
  <c r="R470" i="3" s="1"/>
  <c r="N469" i="3"/>
  <c r="R469" i="3" s="1"/>
  <c r="N468" i="3"/>
  <c r="R468" i="3" s="1"/>
  <c r="N467" i="3"/>
  <c r="R467" i="3" s="1"/>
  <c r="N466" i="3"/>
  <c r="R466" i="3" s="1"/>
  <c r="N465" i="3"/>
  <c r="R465" i="3" s="1"/>
  <c r="N464" i="3"/>
  <c r="R464" i="3" s="1"/>
  <c r="N463" i="3"/>
  <c r="R463" i="3" s="1"/>
  <c r="N462" i="3"/>
  <c r="R462" i="3" s="1"/>
  <c r="N461" i="3"/>
  <c r="R461" i="3" s="1"/>
  <c r="N460" i="3"/>
  <c r="R460" i="3" s="1"/>
  <c r="N459" i="3"/>
  <c r="R459" i="3" s="1"/>
  <c r="N458" i="3"/>
  <c r="R458" i="3" s="1"/>
  <c r="N457" i="3"/>
  <c r="R457" i="3" s="1"/>
  <c r="N456" i="3"/>
  <c r="R456" i="3" s="1"/>
  <c r="N455" i="3"/>
  <c r="R455" i="3" s="1"/>
  <c r="N450" i="3"/>
  <c r="R450" i="3" s="1"/>
  <c r="N449" i="3"/>
  <c r="R449" i="3" s="1"/>
  <c r="N448" i="3"/>
  <c r="R448" i="3" s="1"/>
  <c r="N447" i="3"/>
  <c r="R447" i="3" s="1"/>
  <c r="N446" i="3"/>
  <c r="R446" i="3" s="1"/>
  <c r="N445" i="3"/>
  <c r="R445" i="3" s="1"/>
  <c r="N444" i="3"/>
  <c r="R444" i="3" s="1"/>
  <c r="N443" i="3"/>
  <c r="R443" i="3" s="1"/>
  <c r="N440" i="3"/>
  <c r="N439" i="3"/>
  <c r="N438" i="3"/>
  <c r="N437" i="3"/>
  <c r="N436" i="3"/>
  <c r="N435" i="3"/>
  <c r="N432" i="3"/>
  <c r="N431" i="3"/>
  <c r="N430" i="3"/>
  <c r="N429" i="3"/>
  <c r="N428" i="3"/>
  <c r="N427" i="3"/>
  <c r="N426" i="3"/>
  <c r="N425" i="3"/>
  <c r="N422" i="3"/>
  <c r="N421" i="3"/>
  <c r="N420" i="3"/>
  <c r="N419" i="3"/>
  <c r="N418" i="3"/>
  <c r="N417" i="3"/>
  <c r="N416" i="3"/>
  <c r="N415" i="3"/>
  <c r="N414" i="3"/>
  <c r="N413" i="3"/>
  <c r="N398" i="3"/>
  <c r="R398" i="3" s="1"/>
  <c r="N399" i="3"/>
  <c r="R399" i="3" s="1"/>
  <c r="N397" i="3"/>
  <c r="R397" i="3" s="1"/>
  <c r="N393" i="3"/>
  <c r="R393" i="3" s="1"/>
  <c r="N394" i="3"/>
  <c r="R394" i="3" s="1"/>
  <c r="N392" i="3"/>
  <c r="R392" i="3" s="1"/>
  <c r="N384" i="3"/>
  <c r="R384" i="3" s="1"/>
  <c r="N385" i="3"/>
  <c r="R385" i="3" s="1"/>
  <c r="N386" i="3"/>
  <c r="R386" i="3" s="1"/>
  <c r="N387" i="3"/>
  <c r="R387" i="3" s="1"/>
  <c r="N383" i="3"/>
  <c r="R383" i="3" s="1"/>
  <c r="N377" i="3"/>
  <c r="R377" i="3" s="1"/>
  <c r="N378" i="3"/>
  <c r="R378" i="3" s="1"/>
  <c r="N379" i="3"/>
  <c r="R379" i="3" s="1"/>
  <c r="N380" i="3"/>
  <c r="R380" i="3" s="1"/>
  <c r="N376" i="3"/>
  <c r="R376" i="3" s="1"/>
  <c r="N367" i="3"/>
  <c r="R367" i="3" s="1"/>
  <c r="N368" i="3"/>
  <c r="R368" i="3" s="1"/>
  <c r="N366" i="3"/>
  <c r="R366" i="3" s="1"/>
  <c r="N355" i="3"/>
  <c r="R355" i="3" s="1"/>
  <c r="N356" i="3"/>
  <c r="R356" i="3" s="1"/>
  <c r="N357" i="3"/>
  <c r="R357" i="3" s="1"/>
  <c r="N358" i="3"/>
  <c r="R358" i="3" s="1"/>
  <c r="N359" i="3"/>
  <c r="R359" i="3" s="1"/>
  <c r="N360" i="3"/>
  <c r="R360" i="3" s="1"/>
  <c r="N361" i="3"/>
  <c r="R361" i="3" s="1"/>
  <c r="N362" i="3"/>
  <c r="R362" i="3" s="1"/>
  <c r="N363" i="3"/>
  <c r="R363" i="3" s="1"/>
  <c r="N354" i="3"/>
  <c r="R354" i="3" s="1"/>
  <c r="N347" i="3"/>
  <c r="R347" i="3" s="1"/>
  <c r="N348" i="3"/>
  <c r="R348" i="3" s="1"/>
  <c r="N349" i="3"/>
  <c r="R349" i="3" s="1"/>
  <c r="N346" i="3"/>
  <c r="R346" i="3" s="1"/>
  <c r="N341" i="3"/>
  <c r="R341" i="3" s="1"/>
  <c r="N342" i="3"/>
  <c r="R342" i="3" s="1"/>
  <c r="N343" i="3"/>
  <c r="R343" i="3" s="1"/>
  <c r="N340" i="3"/>
  <c r="R340" i="3" s="1"/>
  <c r="N335" i="3"/>
  <c r="R335" i="3" s="1"/>
  <c r="N336" i="3"/>
  <c r="R336" i="3" s="1"/>
  <c r="N337" i="3"/>
  <c r="R337" i="3" s="1"/>
  <c r="N334" i="3"/>
  <c r="R334" i="3" s="1"/>
  <c r="N328" i="3"/>
  <c r="R328" i="3" s="1"/>
  <c r="N329" i="3"/>
  <c r="R329" i="3" s="1"/>
  <c r="N330" i="3"/>
  <c r="R330" i="3" s="1"/>
  <c r="N331" i="3"/>
  <c r="R331" i="3" s="1"/>
  <c r="N327" i="3"/>
  <c r="R327" i="3" s="1"/>
  <c r="N324" i="3"/>
  <c r="R324" i="3" s="1"/>
  <c r="N323" i="3"/>
  <c r="R323" i="3" s="1"/>
  <c r="N322" i="3"/>
  <c r="R322" i="3" s="1"/>
  <c r="N321" i="3"/>
  <c r="R321" i="3" s="1"/>
  <c r="N320" i="3"/>
  <c r="R320" i="3" s="1"/>
  <c r="N319" i="3"/>
  <c r="R319" i="3" s="1"/>
  <c r="N316" i="3"/>
  <c r="R316" i="3" s="1"/>
  <c r="N315" i="3"/>
  <c r="R315" i="3" s="1"/>
  <c r="N314" i="3"/>
  <c r="R314" i="3" s="1"/>
  <c r="N313" i="3"/>
  <c r="R313" i="3" s="1"/>
  <c r="N312" i="3"/>
  <c r="R312" i="3" s="1"/>
  <c r="N311" i="3"/>
  <c r="R311" i="3" s="1"/>
  <c r="N308" i="3"/>
  <c r="R308" i="3" s="1"/>
  <c r="N307" i="3"/>
  <c r="R307" i="3" s="1"/>
  <c r="N306" i="3"/>
  <c r="R306" i="3" s="1"/>
  <c r="N305" i="3"/>
  <c r="R305" i="3" s="1"/>
  <c r="N304" i="3"/>
  <c r="R304" i="3" s="1"/>
  <c r="N303" i="3"/>
  <c r="R303" i="3" s="1"/>
  <c r="N296" i="3"/>
  <c r="R296" i="3" s="1"/>
  <c r="N297" i="3"/>
  <c r="R297" i="3" s="1"/>
  <c r="N298" i="3"/>
  <c r="R298" i="3" s="1"/>
  <c r="N299" i="3"/>
  <c r="R299" i="3" s="1"/>
  <c r="N300" i="3"/>
  <c r="R300" i="3" s="1"/>
  <c r="N295" i="3"/>
  <c r="R295" i="3" s="1"/>
  <c r="N291" i="3"/>
  <c r="R291" i="3" s="1"/>
  <c r="N292" i="3"/>
  <c r="R292" i="3" s="1"/>
  <c r="N290" i="3"/>
  <c r="R290" i="3" s="1"/>
  <c r="N287" i="3"/>
  <c r="R287" i="3" s="1"/>
  <c r="N286" i="3"/>
  <c r="R286" i="3" s="1"/>
  <c r="N282" i="3"/>
  <c r="N283" i="3"/>
  <c r="N281" i="3"/>
  <c r="N277" i="3"/>
  <c r="N278" i="3"/>
  <c r="N276" i="3"/>
  <c r="N270" i="3"/>
  <c r="R270" i="3" s="1"/>
  <c r="N271" i="3"/>
  <c r="R271" i="3" s="1"/>
  <c r="N269" i="3"/>
  <c r="R269" i="3" s="1"/>
  <c r="N265" i="3"/>
  <c r="R265" i="3" s="1"/>
  <c r="N266" i="3"/>
  <c r="R266" i="3" s="1"/>
  <c r="N264" i="3"/>
  <c r="R264" i="3" s="1"/>
  <c r="N248" i="3"/>
  <c r="R248" i="3" s="1"/>
  <c r="N250" i="3"/>
  <c r="R250" i="3" s="1"/>
  <c r="N251" i="3"/>
  <c r="R251" i="3" s="1"/>
  <c r="N252" i="3"/>
  <c r="R252" i="3" s="1"/>
  <c r="N253" i="3"/>
  <c r="R253" i="3" s="1"/>
  <c r="N254" i="3"/>
  <c r="R254" i="3" s="1"/>
  <c r="N255" i="3"/>
  <c r="R255" i="3" s="1"/>
  <c r="N256" i="3"/>
  <c r="R256" i="3" s="1"/>
  <c r="N257" i="3"/>
  <c r="R257" i="3" s="1"/>
  <c r="N258" i="3"/>
  <c r="R258" i="3" s="1"/>
  <c r="N259" i="3"/>
  <c r="R259" i="3" s="1"/>
  <c r="N260" i="3"/>
  <c r="R260" i="3" s="1"/>
  <c r="N261" i="3"/>
  <c r="R261" i="3" s="1"/>
  <c r="N247" i="3"/>
  <c r="R247" i="3" s="1"/>
  <c r="N242" i="3"/>
  <c r="R242" i="3" s="1"/>
  <c r="N243" i="3"/>
  <c r="R243" i="3" s="1"/>
  <c r="N241" i="3"/>
  <c r="R241" i="3" s="1"/>
  <c r="N236" i="3"/>
  <c r="R236" i="3" s="1"/>
  <c r="N237" i="3"/>
  <c r="R237" i="3" s="1"/>
  <c r="N238" i="3"/>
  <c r="R238" i="3" s="1"/>
  <c r="N235" i="3"/>
  <c r="R235" i="3" s="1"/>
  <c r="N221" i="3"/>
  <c r="R221" i="3" s="1"/>
  <c r="N222" i="3"/>
  <c r="R222" i="3" s="1"/>
  <c r="N223" i="3"/>
  <c r="R223" i="3" s="1"/>
  <c r="N224" i="3"/>
  <c r="R224" i="3" s="1"/>
  <c r="N225" i="3"/>
  <c r="R225" i="3" s="1"/>
  <c r="N226" i="3"/>
  <c r="R226" i="3" s="1"/>
  <c r="N227" i="3"/>
  <c r="R227" i="3" s="1"/>
  <c r="N228" i="3"/>
  <c r="R228" i="3" s="1"/>
  <c r="N229" i="3"/>
  <c r="R229" i="3" s="1"/>
  <c r="N230" i="3"/>
  <c r="R230" i="3" s="1"/>
  <c r="N231" i="3"/>
  <c r="R231" i="3" s="1"/>
  <c r="N220" i="3"/>
  <c r="R220" i="3" s="1"/>
  <c r="N216" i="3"/>
  <c r="R216" i="3" s="1"/>
  <c r="N217" i="3"/>
  <c r="R217" i="3" s="1"/>
  <c r="N215" i="3"/>
  <c r="R215" i="3" s="1"/>
  <c r="N210" i="3"/>
  <c r="R210" i="3" s="1"/>
  <c r="N211" i="3"/>
  <c r="R211" i="3" s="1"/>
  <c r="N212" i="3"/>
  <c r="R212" i="3" s="1"/>
  <c r="N209" i="3"/>
  <c r="R209" i="3" s="1"/>
  <c r="N206" i="3"/>
  <c r="R206" i="3" s="1"/>
  <c r="N200" i="3"/>
  <c r="R200" i="3" s="1"/>
  <c r="N201" i="3"/>
  <c r="R201" i="3" s="1"/>
  <c r="N199" i="3"/>
  <c r="R199" i="3" s="1"/>
  <c r="N196" i="3"/>
  <c r="R196" i="3" s="1"/>
  <c r="N193" i="3"/>
  <c r="R193" i="3" s="1"/>
  <c r="N192" i="3"/>
  <c r="R192" i="3" s="1"/>
  <c r="N187" i="3"/>
  <c r="R187" i="3" s="1"/>
  <c r="N188" i="3"/>
  <c r="R188" i="3" s="1"/>
  <c r="N189" i="3"/>
  <c r="R189" i="3" s="1"/>
  <c r="N186" i="3"/>
  <c r="R186" i="3" s="1"/>
  <c r="N177" i="3"/>
  <c r="R177" i="3" s="1"/>
  <c r="N178" i="3"/>
  <c r="R178" i="3" s="1"/>
  <c r="N179" i="3"/>
  <c r="R179" i="3" s="1"/>
  <c r="N180" i="3"/>
  <c r="R180" i="3" s="1"/>
  <c r="N181" i="3"/>
  <c r="R181" i="3" s="1"/>
  <c r="N182" i="3"/>
  <c r="R182" i="3" s="1"/>
  <c r="N183" i="3"/>
  <c r="R183" i="3" s="1"/>
  <c r="N176" i="3"/>
  <c r="R176" i="3" s="1"/>
  <c r="N135" i="3"/>
  <c r="R135" i="3" s="1"/>
  <c r="N136" i="3"/>
  <c r="R136" i="3" s="1"/>
  <c r="N137" i="3"/>
  <c r="R137" i="3" s="1"/>
  <c r="N138" i="3"/>
  <c r="R138" i="3" s="1"/>
  <c r="N139" i="3"/>
  <c r="R139" i="3" s="1"/>
  <c r="N140" i="3"/>
  <c r="R140" i="3" s="1"/>
  <c r="N141" i="3"/>
  <c r="R141" i="3" s="1"/>
  <c r="N142" i="3"/>
  <c r="R142" i="3" s="1"/>
  <c r="N143" i="3"/>
  <c r="R143" i="3" s="1"/>
  <c r="N144" i="3"/>
  <c r="R144" i="3" s="1"/>
  <c r="N145" i="3"/>
  <c r="R145" i="3" s="1"/>
  <c r="N146" i="3"/>
  <c r="R146" i="3" s="1"/>
  <c r="N147" i="3"/>
  <c r="R147" i="3" s="1"/>
  <c r="N148" i="3"/>
  <c r="R148" i="3" s="1"/>
  <c r="N149" i="3"/>
  <c r="R149" i="3" s="1"/>
  <c r="N150" i="3"/>
  <c r="R150" i="3" s="1"/>
  <c r="N151" i="3"/>
  <c r="R151" i="3" s="1"/>
  <c r="N152" i="3"/>
  <c r="R152" i="3" s="1"/>
  <c r="N153" i="3"/>
  <c r="R153" i="3" s="1"/>
  <c r="N154" i="3"/>
  <c r="R154" i="3" s="1"/>
  <c r="N155" i="3"/>
  <c r="R155" i="3" s="1"/>
  <c r="N156" i="3"/>
  <c r="R156" i="3" s="1"/>
  <c r="N157" i="3"/>
  <c r="R157" i="3" s="1"/>
  <c r="N158" i="3"/>
  <c r="R158" i="3" s="1"/>
  <c r="N159" i="3"/>
  <c r="R159" i="3" s="1"/>
  <c r="N160" i="3"/>
  <c r="R160" i="3" s="1"/>
  <c r="N161" i="3"/>
  <c r="R161" i="3" s="1"/>
  <c r="N162" i="3"/>
  <c r="R162" i="3" s="1"/>
  <c r="N163" i="3"/>
  <c r="R163" i="3" s="1"/>
  <c r="N164" i="3"/>
  <c r="R164" i="3" s="1"/>
  <c r="N165" i="3"/>
  <c r="R165" i="3" s="1"/>
  <c r="N166" i="3"/>
  <c r="R166" i="3" s="1"/>
  <c r="N122" i="3"/>
  <c r="R122" i="3" s="1"/>
  <c r="N123" i="3"/>
  <c r="R123" i="3" s="1"/>
  <c r="N124" i="3"/>
  <c r="R124" i="3" s="1"/>
  <c r="N125" i="3"/>
  <c r="R125" i="3" s="1"/>
  <c r="N126" i="3"/>
  <c r="R126" i="3" s="1"/>
  <c r="N127" i="3"/>
  <c r="R127" i="3" s="1"/>
  <c r="N128" i="3"/>
  <c r="R128" i="3" s="1"/>
  <c r="N129" i="3"/>
  <c r="R129" i="3" s="1"/>
  <c r="N130" i="3"/>
  <c r="R130" i="3" s="1"/>
  <c r="N131" i="3"/>
  <c r="R131" i="3" s="1"/>
  <c r="N132" i="3"/>
  <c r="R132" i="3" s="1"/>
  <c r="N133" i="3"/>
  <c r="R133" i="3" s="1"/>
  <c r="N134" i="3"/>
  <c r="R134" i="3" s="1"/>
  <c r="N121" i="3"/>
  <c r="R121" i="3" s="1"/>
  <c r="N112" i="3"/>
  <c r="R112" i="3" s="1"/>
  <c r="N113" i="3"/>
  <c r="R113" i="3" s="1"/>
  <c r="N114" i="3"/>
  <c r="R114" i="3" s="1"/>
  <c r="N115" i="3"/>
  <c r="R115" i="3" s="1"/>
  <c r="N116" i="3"/>
  <c r="R116" i="3" s="1"/>
  <c r="N117" i="3"/>
  <c r="R117" i="3" s="1"/>
  <c r="N111" i="3"/>
  <c r="R111" i="3" s="1"/>
  <c r="N105" i="3"/>
  <c r="R105" i="3" s="1"/>
  <c r="N106" i="3"/>
  <c r="R106" i="3" s="1"/>
  <c r="N107" i="3"/>
  <c r="R107" i="3" s="1"/>
  <c r="N104" i="3"/>
  <c r="R104" i="3" s="1"/>
  <c r="N100" i="3"/>
  <c r="R100" i="3" s="1"/>
  <c r="N101" i="3"/>
  <c r="R101" i="3" s="1"/>
  <c r="N99" i="3"/>
  <c r="R99" i="3" s="1"/>
  <c r="N89" i="3"/>
  <c r="R89" i="3" s="1"/>
  <c r="N90" i="3"/>
  <c r="R90" i="3" s="1"/>
  <c r="N91" i="3"/>
  <c r="R91" i="3" s="1"/>
  <c r="N92" i="3"/>
  <c r="R92" i="3" s="1"/>
  <c r="N93" i="3"/>
  <c r="R93" i="3" s="1"/>
  <c r="N94" i="3"/>
  <c r="R94" i="3" s="1"/>
  <c r="N95" i="3"/>
  <c r="R95" i="3" s="1"/>
  <c r="N96" i="3"/>
  <c r="R96" i="3" s="1"/>
  <c r="N88" i="3"/>
  <c r="R88" i="3" s="1"/>
  <c r="N85" i="3"/>
  <c r="R85" i="3" s="1"/>
  <c r="N73" i="3"/>
  <c r="R73" i="3" s="1"/>
  <c r="N74" i="3"/>
  <c r="R74" i="3" s="1"/>
  <c r="N75" i="3"/>
  <c r="R75" i="3" s="1"/>
  <c r="N76" i="3"/>
  <c r="R76" i="3" s="1"/>
  <c r="N77" i="3"/>
  <c r="R77" i="3" s="1"/>
  <c r="N78" i="3"/>
  <c r="R78" i="3" s="1"/>
  <c r="N79" i="3"/>
  <c r="R79" i="3" s="1"/>
  <c r="N80" i="3"/>
  <c r="R80" i="3" s="1"/>
  <c r="N81" i="3"/>
  <c r="R81" i="3" s="1"/>
  <c r="N82" i="3"/>
  <c r="R82" i="3" s="1"/>
  <c r="N72" i="3"/>
  <c r="N64" i="3"/>
  <c r="R64" i="3" s="1"/>
  <c r="N65" i="3"/>
  <c r="R65" i="3" s="1"/>
  <c r="N66" i="3"/>
  <c r="R66" i="3" s="1"/>
  <c r="N67" i="3"/>
  <c r="R67" i="3" s="1"/>
  <c r="N63" i="3"/>
  <c r="R63" i="3" s="1"/>
  <c r="N60" i="3"/>
  <c r="R60" i="3" s="1"/>
  <c r="N59" i="3"/>
  <c r="R59" i="3" s="1"/>
  <c r="N58" i="3"/>
  <c r="R58" i="3" s="1"/>
  <c r="N55" i="3"/>
  <c r="R55" i="3" s="1"/>
  <c r="N54" i="3"/>
  <c r="R54" i="3" s="1"/>
  <c r="N53" i="3"/>
  <c r="R53" i="3" s="1"/>
  <c r="N50" i="3"/>
  <c r="R50" i="3" s="1"/>
  <c r="N49" i="3"/>
  <c r="R49" i="3" s="1"/>
  <c r="N48" i="3"/>
  <c r="R48" i="3" s="1"/>
  <c r="N47" i="3"/>
  <c r="R47" i="3" s="1"/>
  <c r="N46" i="3"/>
  <c r="R46" i="3" s="1"/>
  <c r="N43" i="3"/>
  <c r="R43" i="3" s="1"/>
  <c r="N42" i="3"/>
  <c r="R42" i="3" s="1"/>
  <c r="N41" i="3"/>
  <c r="R41" i="3" s="1"/>
  <c r="N40" i="3"/>
  <c r="R40" i="3" s="1"/>
  <c r="N39" i="3"/>
  <c r="J27" i="3"/>
  <c r="J26" i="3"/>
  <c r="J25" i="3"/>
  <c r="J24" i="3"/>
  <c r="J21" i="3"/>
  <c r="J20" i="3"/>
  <c r="J19" i="3"/>
  <c r="J18" i="3"/>
  <c r="J15" i="3"/>
  <c r="J14" i="3"/>
  <c r="J13" i="3"/>
  <c r="J12" i="3"/>
  <c r="J9" i="3"/>
  <c r="J8" i="3"/>
  <c r="J7" i="3"/>
  <c r="J6" i="3"/>
  <c r="E5" i="2"/>
  <c r="E4" i="2"/>
  <c r="E2" i="2"/>
  <c r="COP10" i="1"/>
  <c r="U232" i="3"/>
  <c r="COP9" i="1"/>
  <c r="COP6" i="1"/>
  <c r="COP7" i="1"/>
  <c r="COP5" i="1"/>
  <c r="COP8" i="1"/>
  <c r="AR413" i="3" l="1"/>
  <c r="AP413" i="3"/>
  <c r="AN413" i="3"/>
  <c r="AL413" i="3"/>
  <c r="AJ413" i="3"/>
  <c r="AS413" i="3"/>
  <c r="AQ413" i="3"/>
  <c r="AO413" i="3"/>
  <c r="AM413" i="3"/>
  <c r="AK413" i="3"/>
  <c r="AR415" i="3"/>
  <c r="AP415" i="3"/>
  <c r="AN415" i="3"/>
  <c r="AL415" i="3"/>
  <c r="AJ415" i="3"/>
  <c r="AS415" i="3"/>
  <c r="AQ415" i="3"/>
  <c r="AO415" i="3"/>
  <c r="AM415" i="3"/>
  <c r="AK415" i="3"/>
  <c r="AR417" i="3"/>
  <c r="AP417" i="3"/>
  <c r="AN417" i="3"/>
  <c r="AL417" i="3"/>
  <c r="AJ417" i="3"/>
  <c r="AS417" i="3"/>
  <c r="AQ417" i="3"/>
  <c r="AO417" i="3"/>
  <c r="AM417" i="3"/>
  <c r="AK417" i="3"/>
  <c r="AR419" i="3"/>
  <c r="AP419" i="3"/>
  <c r="AN419" i="3"/>
  <c r="AL419" i="3"/>
  <c r="AJ419" i="3"/>
  <c r="AS419" i="3"/>
  <c r="AQ419" i="3"/>
  <c r="AO419" i="3"/>
  <c r="AM419" i="3"/>
  <c r="AK419" i="3"/>
  <c r="AR421" i="3"/>
  <c r="AP421" i="3"/>
  <c r="AN421" i="3"/>
  <c r="AL421" i="3"/>
  <c r="AJ421" i="3"/>
  <c r="AQ421" i="3"/>
  <c r="AM421" i="3"/>
  <c r="AS421" i="3"/>
  <c r="AO421" i="3"/>
  <c r="AK421" i="3"/>
  <c r="AR425" i="3"/>
  <c r="AP425" i="3"/>
  <c r="AN425" i="3"/>
  <c r="AL425" i="3"/>
  <c r="AJ425" i="3"/>
  <c r="AQ425" i="3"/>
  <c r="AM425" i="3"/>
  <c r="AS425" i="3"/>
  <c r="AO425" i="3"/>
  <c r="AK425" i="3"/>
  <c r="AR427" i="3"/>
  <c r="AP427" i="3"/>
  <c r="AN427" i="3"/>
  <c r="AL427" i="3"/>
  <c r="AJ427" i="3"/>
  <c r="AQ427" i="3"/>
  <c r="AM427" i="3"/>
  <c r="AS427" i="3"/>
  <c r="AO427" i="3"/>
  <c r="AK427" i="3"/>
  <c r="AR429" i="3"/>
  <c r="AP429" i="3"/>
  <c r="AN429" i="3"/>
  <c r="AL429" i="3"/>
  <c r="AJ429" i="3"/>
  <c r="AQ429" i="3"/>
  <c r="AM429" i="3"/>
  <c r="AS429" i="3"/>
  <c r="AO429" i="3"/>
  <c r="AK429" i="3"/>
  <c r="AR431" i="3"/>
  <c r="AP431" i="3"/>
  <c r="AN431" i="3"/>
  <c r="AL431" i="3"/>
  <c r="AJ431" i="3"/>
  <c r="AQ431" i="3"/>
  <c r="AM431" i="3"/>
  <c r="AS431" i="3"/>
  <c r="AO431" i="3"/>
  <c r="AK431" i="3"/>
  <c r="AR435" i="3"/>
  <c r="AP435" i="3"/>
  <c r="AN435" i="3"/>
  <c r="AL435" i="3"/>
  <c r="AJ435" i="3"/>
  <c r="AQ435" i="3"/>
  <c r="AM435" i="3"/>
  <c r="AS435" i="3"/>
  <c r="AO435" i="3"/>
  <c r="AK435" i="3"/>
  <c r="AR437" i="3"/>
  <c r="AP437" i="3"/>
  <c r="AN437" i="3"/>
  <c r="AL437" i="3"/>
  <c r="AJ437" i="3"/>
  <c r="AQ437" i="3"/>
  <c r="AM437" i="3"/>
  <c r="AS437" i="3"/>
  <c r="AO437" i="3"/>
  <c r="AK437" i="3"/>
  <c r="AR439" i="3"/>
  <c r="AP439" i="3"/>
  <c r="AN439" i="3"/>
  <c r="AL439" i="3"/>
  <c r="AJ439" i="3"/>
  <c r="AQ439" i="3"/>
  <c r="AM439" i="3"/>
  <c r="AS439" i="3"/>
  <c r="AO439" i="3"/>
  <c r="AK439" i="3"/>
  <c r="AR414" i="3"/>
  <c r="AP414" i="3"/>
  <c r="AN414" i="3"/>
  <c r="AL414" i="3"/>
  <c r="AJ414" i="3"/>
  <c r="AS414" i="3"/>
  <c r="AQ414" i="3"/>
  <c r="AO414" i="3"/>
  <c r="AM414" i="3"/>
  <c r="AK414" i="3"/>
  <c r="AR416" i="3"/>
  <c r="AP416" i="3"/>
  <c r="AN416" i="3"/>
  <c r="AL416" i="3"/>
  <c r="AJ416" i="3"/>
  <c r="AS416" i="3"/>
  <c r="AQ416" i="3"/>
  <c r="AO416" i="3"/>
  <c r="AM416" i="3"/>
  <c r="AK416" i="3"/>
  <c r="AR418" i="3"/>
  <c r="AP418" i="3"/>
  <c r="AN418" i="3"/>
  <c r="AL418" i="3"/>
  <c r="AJ418" i="3"/>
  <c r="AS418" i="3"/>
  <c r="AQ418" i="3"/>
  <c r="AO418" i="3"/>
  <c r="AM418" i="3"/>
  <c r="AK418" i="3"/>
  <c r="AR420" i="3"/>
  <c r="AP420" i="3"/>
  <c r="AN420" i="3"/>
  <c r="AL420" i="3"/>
  <c r="AJ420" i="3"/>
  <c r="AS420" i="3"/>
  <c r="AO420" i="3"/>
  <c r="AK420" i="3"/>
  <c r="AQ420" i="3"/>
  <c r="AM420" i="3"/>
  <c r="AR422" i="3"/>
  <c r="AP422" i="3"/>
  <c r="AN422" i="3"/>
  <c r="AL422" i="3"/>
  <c r="AJ422" i="3"/>
  <c r="AS422" i="3"/>
  <c r="AO422" i="3"/>
  <c r="AK422" i="3"/>
  <c r="AQ422" i="3"/>
  <c r="AM422" i="3"/>
  <c r="AR426" i="3"/>
  <c r="AP426" i="3"/>
  <c r="AN426" i="3"/>
  <c r="AL426" i="3"/>
  <c r="AJ426" i="3"/>
  <c r="AS426" i="3"/>
  <c r="AO426" i="3"/>
  <c r="AK426" i="3"/>
  <c r="AQ426" i="3"/>
  <c r="AM426" i="3"/>
  <c r="AR428" i="3"/>
  <c r="AP428" i="3"/>
  <c r="AN428" i="3"/>
  <c r="AL428" i="3"/>
  <c r="AJ428" i="3"/>
  <c r="AS428" i="3"/>
  <c r="AO428" i="3"/>
  <c r="AK428" i="3"/>
  <c r="AQ428" i="3"/>
  <c r="AM428" i="3"/>
  <c r="AR430" i="3"/>
  <c r="AP430" i="3"/>
  <c r="AN430" i="3"/>
  <c r="AL430" i="3"/>
  <c r="AJ430" i="3"/>
  <c r="AS430" i="3"/>
  <c r="AO430" i="3"/>
  <c r="AK430" i="3"/>
  <c r="AQ430" i="3"/>
  <c r="AM430" i="3"/>
  <c r="AR432" i="3"/>
  <c r="AP432" i="3"/>
  <c r="AN432" i="3"/>
  <c r="AL432" i="3"/>
  <c r="AJ432" i="3"/>
  <c r="AS432" i="3"/>
  <c r="AO432" i="3"/>
  <c r="AK432" i="3"/>
  <c r="AQ432" i="3"/>
  <c r="AM432" i="3"/>
  <c r="AR436" i="3"/>
  <c r="AP436" i="3"/>
  <c r="AN436" i="3"/>
  <c r="AL436" i="3"/>
  <c r="AJ436" i="3"/>
  <c r="AS436" i="3"/>
  <c r="AO436" i="3"/>
  <c r="AK436" i="3"/>
  <c r="AQ436" i="3"/>
  <c r="AM436" i="3"/>
  <c r="AR438" i="3"/>
  <c r="AP438" i="3"/>
  <c r="AN438" i="3"/>
  <c r="AL438" i="3"/>
  <c r="AJ438" i="3"/>
  <c r="AS438" i="3"/>
  <c r="AO438" i="3"/>
  <c r="AK438" i="3"/>
  <c r="AQ438" i="3"/>
  <c r="AM438" i="3"/>
  <c r="AR440" i="3"/>
  <c r="AP440" i="3"/>
  <c r="AN440" i="3"/>
  <c r="AL440" i="3"/>
  <c r="AJ440" i="3"/>
  <c r="AS440" i="3"/>
  <c r="AO440" i="3"/>
  <c r="AK440" i="3"/>
  <c r="AQ440" i="3"/>
  <c r="AM440" i="3"/>
  <c r="R413" i="3"/>
  <c r="R415" i="3"/>
  <c r="R417" i="3"/>
  <c r="R419" i="3"/>
  <c r="R421" i="3"/>
  <c r="R425" i="3"/>
  <c r="R427" i="3"/>
  <c r="R429" i="3"/>
  <c r="R431" i="3"/>
  <c r="R435" i="3"/>
  <c r="R437" i="3"/>
  <c r="R439" i="3"/>
  <c r="R414" i="3"/>
  <c r="R416" i="3"/>
  <c r="R418" i="3"/>
  <c r="R420" i="3"/>
  <c r="R422" i="3"/>
  <c r="R426" i="3"/>
  <c r="R428" i="3"/>
  <c r="R430" i="3"/>
  <c r="R432" i="3"/>
  <c r="R436" i="3"/>
  <c r="R438" i="3"/>
  <c r="R440" i="3"/>
  <c r="DL5" i="2"/>
  <c r="DN5" i="2" s="1"/>
  <c r="N410" i="3"/>
  <c r="N409" i="3"/>
  <c r="N408" i="3"/>
  <c r="N407" i="3"/>
  <c r="N406" i="3"/>
  <c r="N405" i="3"/>
  <c r="DL46" i="2"/>
  <c r="DN46" i="2" s="1"/>
  <c r="DO46" i="2" s="1"/>
  <c r="EA78" i="2"/>
  <c r="DZ78" i="2" s="1"/>
  <c r="EA72" i="2"/>
  <c r="DZ72" i="2" s="1"/>
  <c r="EA75" i="2"/>
  <c r="DZ75" i="2" s="1"/>
  <c r="EA47" i="2"/>
  <c r="DZ47" i="2" s="1"/>
  <c r="EA74" i="2"/>
  <c r="DZ74" i="2" s="1"/>
  <c r="EA56" i="2"/>
  <c r="DZ56" i="2" s="1"/>
  <c r="EA79" i="2"/>
  <c r="DZ79" i="2" s="1"/>
  <c r="EA80" i="2"/>
  <c r="DZ80" i="2" s="1"/>
  <c r="EA54" i="2"/>
  <c r="DZ54" i="2" s="1"/>
  <c r="EA70" i="2"/>
  <c r="DZ70" i="2" s="1"/>
  <c r="EA81" i="2"/>
  <c r="DZ81" i="2" s="1"/>
  <c r="EA73" i="2"/>
  <c r="DZ73" i="2" s="1"/>
  <c r="EA52" i="2"/>
  <c r="DZ52" i="2" s="1"/>
  <c r="EA53" i="2"/>
  <c r="DZ53" i="2" s="1"/>
  <c r="EA55" i="2"/>
  <c r="DZ55" i="2" s="1"/>
  <c r="EA82" i="2"/>
  <c r="DZ82" i="2" s="1"/>
  <c r="EA48" i="2"/>
  <c r="DZ48" i="2" s="1"/>
  <c r="EA49" i="2"/>
  <c r="DZ49" i="2" s="1"/>
  <c r="EA71" i="2"/>
  <c r="DZ71" i="2" s="1"/>
  <c r="EA46" i="2"/>
  <c r="DZ46" i="2" s="1"/>
  <c r="EA76" i="2"/>
  <c r="DZ76" i="2" s="1"/>
  <c r="EA50" i="2"/>
  <c r="DZ50" i="2" s="1"/>
  <c r="EA51" i="2"/>
  <c r="DZ51" i="2" s="1"/>
  <c r="EA77" i="2"/>
  <c r="DZ77" i="2" s="1"/>
  <c r="AX232" i="3"/>
  <c r="DP46" i="2"/>
  <c r="DH46" i="2" s="1"/>
  <c r="R39" i="3"/>
  <c r="AI232" i="3"/>
  <c r="K232" i="3" s="1"/>
  <c r="R72" i="3"/>
  <c r="DL7" i="2"/>
  <c r="DN7" i="2" s="1"/>
  <c r="DL11" i="2"/>
  <c r="DN11" i="2" s="1"/>
  <c r="DL15" i="2"/>
  <c r="DN15" i="2" s="1"/>
  <c r="DL52" i="2"/>
  <c r="DN52" i="2" s="1"/>
  <c r="DO52" i="2" s="1"/>
  <c r="DL71" i="2"/>
  <c r="DN71" i="2" s="1"/>
  <c r="DO71" i="2" s="1"/>
  <c r="DL73" i="2"/>
  <c r="DN73" i="2" s="1"/>
  <c r="DO73" i="2" s="1"/>
  <c r="DL75" i="2"/>
  <c r="DN75" i="2" s="1"/>
  <c r="DO75" i="2" s="1"/>
  <c r="DL77" i="2"/>
  <c r="DN77" i="2" s="1"/>
  <c r="DO77" i="2" s="1"/>
  <c r="DL79" i="2"/>
  <c r="DN79" i="2" s="1"/>
  <c r="DO79" i="2" s="1"/>
  <c r="DL54" i="2"/>
  <c r="DN54" i="2" s="1"/>
  <c r="DO54" i="2" s="1"/>
  <c r="DL48" i="2"/>
  <c r="DN48" i="2" s="1"/>
  <c r="DO48" i="2" s="1"/>
  <c r="DL50" i="2"/>
  <c r="DN50" i="2" s="1"/>
  <c r="DO50" i="2" s="1"/>
  <c r="DL81" i="2"/>
  <c r="DN81" i="2" s="1"/>
  <c r="DO81" i="2" s="1"/>
  <c r="DL10" i="2"/>
  <c r="DN10" i="2" s="1"/>
  <c r="DL14" i="2"/>
  <c r="DN14" i="2" s="1"/>
  <c r="DL9" i="2"/>
  <c r="DN9" i="2" s="1"/>
  <c r="DL13" i="2"/>
  <c r="DN13" i="2" s="1"/>
  <c r="DL17" i="2"/>
  <c r="DN17" i="2" s="1"/>
  <c r="DL56" i="2"/>
  <c r="DN56" i="2" s="1"/>
  <c r="DO56" i="2" s="1"/>
  <c r="DL53" i="2"/>
  <c r="DN53" i="2" s="1"/>
  <c r="DO53" i="2" s="1"/>
  <c r="DL51" i="2"/>
  <c r="DN51" i="2" s="1"/>
  <c r="DO51" i="2" s="1"/>
  <c r="DL55" i="2"/>
  <c r="DN55" i="2" s="1"/>
  <c r="DO55" i="2" s="1"/>
  <c r="DL70" i="2"/>
  <c r="DN70" i="2" s="1"/>
  <c r="DO70" i="2" s="1"/>
  <c r="DL72" i="2"/>
  <c r="DN72" i="2" s="1"/>
  <c r="DO72" i="2" s="1"/>
  <c r="DL74" i="2"/>
  <c r="DN74" i="2" s="1"/>
  <c r="DO74" i="2" s="1"/>
  <c r="DL76" i="2"/>
  <c r="DN76" i="2" s="1"/>
  <c r="DO76" i="2" s="1"/>
  <c r="DL78" i="2"/>
  <c r="DN78" i="2" s="1"/>
  <c r="DO78" i="2" s="1"/>
  <c r="DL49" i="2"/>
  <c r="DN49" i="2" s="1"/>
  <c r="DO49" i="2" s="1"/>
  <c r="DL80" i="2"/>
  <c r="DN80" i="2" s="1"/>
  <c r="DO80" i="2" s="1"/>
  <c r="DL82" i="2"/>
  <c r="DN82" i="2" s="1"/>
  <c r="DO82" i="2" s="1"/>
  <c r="DL8" i="2"/>
  <c r="DN8" i="2" s="1"/>
  <c r="DL12" i="2"/>
  <c r="DN12" i="2" s="1"/>
  <c r="DL16" i="2"/>
  <c r="DN16" i="2" s="1"/>
  <c r="DL6" i="2"/>
  <c r="DN6" i="2" s="1"/>
  <c r="DL47" i="2"/>
  <c r="DN47" i="2" s="1"/>
  <c r="DO47" i="2" s="1"/>
  <c r="M276" i="3"/>
  <c r="R276" i="3"/>
  <c r="R277" i="3"/>
  <c r="M277" i="3"/>
  <c r="R283" i="3"/>
  <c r="M283" i="3"/>
  <c r="R278" i="3"/>
  <c r="M278" i="3"/>
  <c r="R281" i="3"/>
  <c r="M281" i="3"/>
  <c r="M282" i="3"/>
  <c r="R282" i="3"/>
  <c r="DV21" i="2"/>
  <c r="DV19" i="2"/>
  <c r="DV20" i="2"/>
  <c r="J9" i="1"/>
  <c r="DV9" i="2"/>
  <c r="DV5" i="2"/>
  <c r="DV14" i="2"/>
  <c r="DV8" i="2"/>
  <c r="DV11" i="2"/>
  <c r="DV17" i="2"/>
  <c r="DV16" i="2"/>
  <c r="DV15" i="2"/>
  <c r="DV7" i="2"/>
  <c r="DV3" i="2"/>
  <c r="DW3" i="2" s="1"/>
  <c r="DX3" i="2" s="1"/>
  <c r="DV10" i="2"/>
  <c r="DV6" i="2"/>
  <c r="DV4" i="2"/>
  <c r="DW4" i="2" s="1"/>
  <c r="DX4" i="2" s="1"/>
  <c r="DV13" i="2"/>
  <c r="DV12" i="2"/>
  <c r="Y41" i="3"/>
  <c r="AB41" i="3"/>
  <c r="Y53" i="3"/>
  <c r="AB53" i="3"/>
  <c r="Y63" i="3"/>
  <c r="AB63" i="3"/>
  <c r="AB82" i="3"/>
  <c r="Z82" i="3"/>
  <c r="AA82" i="3"/>
  <c r="Y82" i="3"/>
  <c r="AB78" i="3"/>
  <c r="Z78" i="3"/>
  <c r="AA78" i="3"/>
  <c r="Y78" i="3"/>
  <c r="AB74" i="3"/>
  <c r="Z74" i="3"/>
  <c r="AA74" i="3"/>
  <c r="Y74" i="3"/>
  <c r="AB96" i="3"/>
  <c r="Z96" i="3"/>
  <c r="AA96" i="3"/>
  <c r="Y96" i="3"/>
  <c r="AB94" i="3"/>
  <c r="Z94" i="3"/>
  <c r="AA94" i="3"/>
  <c r="Y94" i="3"/>
  <c r="AB92" i="3"/>
  <c r="Z92" i="3"/>
  <c r="AA92" i="3"/>
  <c r="Y92" i="3"/>
  <c r="AB90" i="3"/>
  <c r="Z90" i="3"/>
  <c r="AA90" i="3"/>
  <c r="Y90" i="3"/>
  <c r="AB99" i="3"/>
  <c r="Z99" i="3"/>
  <c r="AA99" i="3"/>
  <c r="Y99" i="3"/>
  <c r="AB100" i="3"/>
  <c r="Z100" i="3"/>
  <c r="AA100" i="3"/>
  <c r="Y100" i="3"/>
  <c r="AB107" i="3"/>
  <c r="Z107" i="3"/>
  <c r="AA107" i="3"/>
  <c r="Y107" i="3"/>
  <c r="AB105" i="3"/>
  <c r="Z105" i="3"/>
  <c r="AA105" i="3"/>
  <c r="Y105" i="3"/>
  <c r="Y117" i="3"/>
  <c r="AB117" i="3"/>
  <c r="Y115" i="3"/>
  <c r="AB115" i="3"/>
  <c r="Y113" i="3"/>
  <c r="AB113" i="3"/>
  <c r="Y121" i="3"/>
  <c r="AB121" i="3"/>
  <c r="Y133" i="3"/>
  <c r="AB133" i="3"/>
  <c r="Y131" i="3"/>
  <c r="AB131" i="3"/>
  <c r="Y129" i="3"/>
  <c r="AB129" i="3"/>
  <c r="Y127" i="3"/>
  <c r="AB127" i="3"/>
  <c r="Y125" i="3"/>
  <c r="AB125" i="3"/>
  <c r="Y123" i="3"/>
  <c r="AB123" i="3"/>
  <c r="Y166" i="3"/>
  <c r="AB166" i="3"/>
  <c r="Y164" i="3"/>
  <c r="AB164" i="3"/>
  <c r="Y162" i="3"/>
  <c r="AB162" i="3"/>
  <c r="Y160" i="3"/>
  <c r="AB160" i="3"/>
  <c r="Y158" i="3"/>
  <c r="AB158" i="3"/>
  <c r="Y156" i="3"/>
  <c r="AB156" i="3"/>
  <c r="Y154" i="3"/>
  <c r="AB154" i="3"/>
  <c r="Y152" i="3"/>
  <c r="AB152" i="3"/>
  <c r="Y150" i="3"/>
  <c r="AB150" i="3"/>
  <c r="Y148" i="3"/>
  <c r="AB148" i="3"/>
  <c r="Y146" i="3"/>
  <c r="AB146" i="3"/>
  <c r="Y144" i="3"/>
  <c r="AB144" i="3"/>
  <c r="Y142" i="3"/>
  <c r="AB142" i="3"/>
  <c r="Y140" i="3"/>
  <c r="AB140" i="3"/>
  <c r="Y138" i="3"/>
  <c r="AB138" i="3"/>
  <c r="Y136" i="3"/>
  <c r="AB136" i="3"/>
  <c r="Y176" i="3"/>
  <c r="AB176" i="3"/>
  <c r="Y182" i="3"/>
  <c r="AB182" i="3"/>
  <c r="Y180" i="3"/>
  <c r="AB180" i="3"/>
  <c r="Y178" i="3"/>
  <c r="AB178" i="3"/>
  <c r="Y186" i="3"/>
  <c r="AB186" i="3"/>
  <c r="Y188" i="3"/>
  <c r="AB188" i="3"/>
  <c r="Y192" i="3"/>
  <c r="AB192" i="3"/>
  <c r="Y196" i="3"/>
  <c r="AB196" i="3"/>
  <c r="Y201" i="3"/>
  <c r="AB201" i="3"/>
  <c r="Y206" i="3"/>
  <c r="AB206" i="3"/>
  <c r="Y212" i="3"/>
  <c r="AB212" i="3"/>
  <c r="Y210" i="3"/>
  <c r="AB210" i="3"/>
  <c r="Y217" i="3"/>
  <c r="AB217" i="3"/>
  <c r="Y220" i="3"/>
  <c r="AB220" i="3"/>
  <c r="Y230" i="3"/>
  <c r="AB230" i="3"/>
  <c r="Y228" i="3"/>
  <c r="AB228" i="3"/>
  <c r="Y226" i="3"/>
  <c r="AB226" i="3"/>
  <c r="Y224" i="3"/>
  <c r="AB224" i="3"/>
  <c r="Y222" i="3"/>
  <c r="AB222" i="3"/>
  <c r="Y235" i="3"/>
  <c r="AB235" i="3"/>
  <c r="Y237" i="3"/>
  <c r="AB237" i="3"/>
  <c r="AB241" i="3"/>
  <c r="AB242" i="3"/>
  <c r="Y261" i="3"/>
  <c r="AB261" i="3"/>
  <c r="Y259" i="3"/>
  <c r="AB259" i="3"/>
  <c r="Y257" i="3"/>
  <c r="AB257" i="3"/>
  <c r="Y255" i="3"/>
  <c r="AB255" i="3"/>
  <c r="Y253" i="3"/>
  <c r="AB253" i="3"/>
  <c r="Y251" i="3"/>
  <c r="AB251" i="3"/>
  <c r="Y248" i="3"/>
  <c r="AB248" i="3"/>
  <c r="Y266" i="3"/>
  <c r="AB266" i="3"/>
  <c r="Y269" i="3"/>
  <c r="AB269" i="3"/>
  <c r="Y270" i="3"/>
  <c r="AB270" i="3"/>
  <c r="Y278" i="3"/>
  <c r="AB278" i="3"/>
  <c r="Y281" i="3"/>
  <c r="AB281" i="3"/>
  <c r="Y282" i="3"/>
  <c r="AB282" i="3"/>
  <c r="Y287" i="3"/>
  <c r="AB287" i="3"/>
  <c r="Y292" i="3"/>
  <c r="AB292" i="3"/>
  <c r="Y295" i="3"/>
  <c r="AB295" i="3"/>
  <c r="Y299" i="3"/>
  <c r="AB299" i="3"/>
  <c r="Y297" i="3"/>
  <c r="AB297" i="3"/>
  <c r="Y303" i="3"/>
  <c r="AB303" i="3"/>
  <c r="Y305" i="3"/>
  <c r="AB305" i="3"/>
  <c r="Y307" i="3"/>
  <c r="AB307" i="3"/>
  <c r="Y311" i="3"/>
  <c r="AB311" i="3"/>
  <c r="Y313" i="3"/>
  <c r="AB313" i="3"/>
  <c r="Y315" i="3"/>
  <c r="AB315" i="3"/>
  <c r="Y319" i="3"/>
  <c r="AB319" i="3"/>
  <c r="Y321" i="3"/>
  <c r="AB321" i="3"/>
  <c r="Y323" i="3"/>
  <c r="AB323" i="3"/>
  <c r="Y327" i="3"/>
  <c r="AB327" i="3"/>
  <c r="Y330" i="3"/>
  <c r="AB330" i="3"/>
  <c r="Y328" i="3"/>
  <c r="AB328" i="3"/>
  <c r="Y337" i="3"/>
  <c r="AB337" i="3"/>
  <c r="Y335" i="3"/>
  <c r="AB335" i="3"/>
  <c r="Y343" i="3"/>
  <c r="AB343" i="3"/>
  <c r="Y341" i="3"/>
  <c r="AB341" i="3"/>
  <c r="AB349" i="3"/>
  <c r="AB347" i="3"/>
  <c r="Y363" i="3"/>
  <c r="AB363" i="3"/>
  <c r="Y361" i="3"/>
  <c r="AB361" i="3"/>
  <c r="Y359" i="3"/>
  <c r="AB359" i="3"/>
  <c r="Y357" i="3"/>
  <c r="AB357" i="3"/>
  <c r="Y355" i="3"/>
  <c r="AB355" i="3"/>
  <c r="Y368" i="3"/>
  <c r="AB368" i="3"/>
  <c r="Y376" i="3"/>
  <c r="AB376" i="3"/>
  <c r="Y379" i="3"/>
  <c r="AB379" i="3"/>
  <c r="Y377" i="3"/>
  <c r="AB377" i="3"/>
  <c r="Y387" i="3"/>
  <c r="AB387" i="3"/>
  <c r="Y385" i="3"/>
  <c r="AB385" i="3"/>
  <c r="Y392" i="3"/>
  <c r="AB392" i="3"/>
  <c r="Y393" i="3"/>
  <c r="AB393" i="3"/>
  <c r="Y399" i="3"/>
  <c r="AB399" i="3"/>
  <c r="Y413" i="3"/>
  <c r="AB413" i="3"/>
  <c r="Y415" i="3"/>
  <c r="AB415" i="3"/>
  <c r="Y417" i="3"/>
  <c r="AB417" i="3"/>
  <c r="Y419" i="3"/>
  <c r="AB419" i="3"/>
  <c r="Y421" i="3"/>
  <c r="AB421" i="3"/>
  <c r="Y425" i="3"/>
  <c r="AB425" i="3"/>
  <c r="Y427" i="3"/>
  <c r="AB427" i="3"/>
  <c r="Y429" i="3"/>
  <c r="AB429" i="3"/>
  <c r="Y431" i="3"/>
  <c r="AB431" i="3"/>
  <c r="Y435" i="3"/>
  <c r="AB435" i="3"/>
  <c r="Y437" i="3"/>
  <c r="AB437" i="3"/>
  <c r="Y439" i="3"/>
  <c r="AB439" i="3"/>
  <c r="Y443" i="3"/>
  <c r="AB443" i="3"/>
  <c r="Y445" i="3"/>
  <c r="AB445" i="3"/>
  <c r="Y447" i="3"/>
  <c r="AB447" i="3"/>
  <c r="Y449" i="3"/>
  <c r="AB449" i="3"/>
  <c r="Y455" i="3"/>
  <c r="AB455" i="3"/>
  <c r="Y457" i="3"/>
  <c r="AB457" i="3"/>
  <c r="Y459" i="3"/>
  <c r="AB459" i="3"/>
  <c r="Y461" i="3"/>
  <c r="AB461" i="3"/>
  <c r="Y463" i="3"/>
  <c r="AB463" i="3"/>
  <c r="Y465" i="3"/>
  <c r="AB465" i="3"/>
  <c r="Y467" i="3"/>
  <c r="AB467" i="3"/>
  <c r="Y469" i="3"/>
  <c r="AB469" i="3"/>
  <c r="Y471" i="3"/>
  <c r="AB471" i="3"/>
  <c r="Y473" i="3"/>
  <c r="AB473" i="3"/>
  <c r="Y475" i="3"/>
  <c r="AB475" i="3"/>
  <c r="Y477" i="3"/>
  <c r="AB477" i="3"/>
  <c r="Y479" i="3"/>
  <c r="AB479" i="3"/>
  <c r="Y481" i="3"/>
  <c r="AB481" i="3"/>
  <c r="Y483" i="3"/>
  <c r="AB483" i="3"/>
  <c r="Y485" i="3"/>
  <c r="AB485" i="3"/>
  <c r="Y487" i="3"/>
  <c r="AB487" i="3"/>
  <c r="Y489" i="3"/>
  <c r="AB489" i="3"/>
  <c r="Y491" i="3"/>
  <c r="AB491" i="3"/>
  <c r="Y493" i="3"/>
  <c r="AB493" i="3"/>
  <c r="Y495" i="3"/>
  <c r="AB495" i="3"/>
  <c r="Y497" i="3"/>
  <c r="AB497" i="3"/>
  <c r="Y499" i="3"/>
  <c r="AB499" i="3"/>
  <c r="Y503" i="3"/>
  <c r="AB503" i="3"/>
  <c r="Y507" i="3"/>
  <c r="AB507" i="3"/>
  <c r="Y508" i="3"/>
  <c r="AB508" i="3"/>
  <c r="Y523" i="3"/>
  <c r="AB523" i="3"/>
  <c r="Y521" i="3"/>
  <c r="AB521" i="3"/>
  <c r="Y519" i="3"/>
  <c r="AB519" i="3"/>
  <c r="Y517" i="3"/>
  <c r="AB517" i="3"/>
  <c r="Y515" i="3"/>
  <c r="AB515" i="3"/>
  <c r="Y531" i="3"/>
  <c r="AB531" i="3"/>
  <c r="Y529" i="3"/>
  <c r="AB529" i="3"/>
  <c r="Y527" i="3"/>
  <c r="AB527" i="3"/>
  <c r="Y539" i="3"/>
  <c r="AB539" i="3"/>
  <c r="Y537" i="3"/>
  <c r="AB537" i="3"/>
  <c r="Y546" i="3"/>
  <c r="AB546" i="3"/>
  <c r="Y544" i="3"/>
  <c r="AB544" i="3"/>
  <c r="Y551" i="3"/>
  <c r="AB551" i="3"/>
  <c r="Y566" i="3"/>
  <c r="AB566" i="3"/>
  <c r="Y564" i="3"/>
  <c r="AB564" i="3"/>
  <c r="Y562" i="3"/>
  <c r="AB562" i="3"/>
  <c r="Y560" i="3"/>
  <c r="AB560" i="3"/>
  <c r="Y558" i="3"/>
  <c r="AB558" i="3"/>
  <c r="Y556" i="3"/>
  <c r="AB556" i="3"/>
  <c r="Y554" i="3"/>
  <c r="AB554" i="3"/>
  <c r="Y552" i="3"/>
  <c r="AB552" i="3"/>
  <c r="Y571" i="3"/>
  <c r="AB571" i="3"/>
  <c r="Y576" i="3"/>
  <c r="AB576" i="3"/>
  <c r="Y579" i="3"/>
  <c r="AB579" i="3"/>
  <c r="Y582" i="3"/>
  <c r="AB582" i="3"/>
  <c r="Y580" i="3"/>
  <c r="AB580" i="3"/>
  <c r="Y588" i="3"/>
  <c r="AB588" i="3"/>
  <c r="Y593" i="3"/>
  <c r="AB593" i="3"/>
  <c r="Y598" i="3"/>
  <c r="AB598" i="3"/>
  <c r="Y596" i="3"/>
  <c r="AB596" i="3"/>
  <c r="Y594" i="3"/>
  <c r="AB594" i="3"/>
  <c r="Y612" i="3"/>
  <c r="AB612" i="3"/>
  <c r="Y610" i="3"/>
  <c r="AB610" i="3"/>
  <c r="Y608" i="3"/>
  <c r="AB608" i="3"/>
  <c r="Y606" i="3"/>
  <c r="AB606" i="3"/>
  <c r="Y604" i="3"/>
  <c r="AB604" i="3"/>
  <c r="Y615" i="3"/>
  <c r="AB615" i="3"/>
  <c r="Y619" i="3"/>
  <c r="AB619" i="3"/>
  <c r="Y617" i="3"/>
  <c r="AB617" i="3"/>
  <c r="Y39" i="3"/>
  <c r="AB39" i="3"/>
  <c r="Y43" i="3"/>
  <c r="AB43" i="3"/>
  <c r="Y47" i="3"/>
  <c r="AB47" i="3"/>
  <c r="Y49" i="3"/>
  <c r="AB49" i="3"/>
  <c r="Y55" i="3"/>
  <c r="AB55" i="3"/>
  <c r="Y59" i="3"/>
  <c r="AB59" i="3"/>
  <c r="Y66" i="3"/>
  <c r="AB66" i="3"/>
  <c r="Y64" i="3"/>
  <c r="AB64" i="3"/>
  <c r="AB80" i="3"/>
  <c r="Z80" i="3"/>
  <c r="AA80" i="3"/>
  <c r="Y80" i="3"/>
  <c r="AB76" i="3"/>
  <c r="Z76" i="3"/>
  <c r="AA76" i="3"/>
  <c r="Y76" i="3"/>
  <c r="AB85" i="3"/>
  <c r="Z85" i="3"/>
  <c r="AA85" i="3"/>
  <c r="Y85" i="3"/>
  <c r="Y40" i="3"/>
  <c r="AB40" i="3"/>
  <c r="Y42" i="3"/>
  <c r="AB42" i="3"/>
  <c r="Y46" i="3"/>
  <c r="AB46" i="3"/>
  <c r="Y48" i="3"/>
  <c r="AB48" i="3"/>
  <c r="Y50" i="3"/>
  <c r="AB50" i="3"/>
  <c r="Y54" i="3"/>
  <c r="AB54" i="3"/>
  <c r="Y58" i="3"/>
  <c r="AB58" i="3"/>
  <c r="Y60" i="3"/>
  <c r="AB60" i="3"/>
  <c r="Y67" i="3"/>
  <c r="AB67" i="3"/>
  <c r="Y65" i="3"/>
  <c r="AB65" i="3"/>
  <c r="AB72" i="3"/>
  <c r="Z72" i="3"/>
  <c r="AA72" i="3"/>
  <c r="Y72" i="3"/>
  <c r="AB81" i="3"/>
  <c r="Z81" i="3"/>
  <c r="AA81" i="3"/>
  <c r="Y81" i="3"/>
  <c r="AB79" i="3"/>
  <c r="Z79" i="3"/>
  <c r="AA79" i="3"/>
  <c r="Y79" i="3"/>
  <c r="AB77" i="3"/>
  <c r="Z77" i="3"/>
  <c r="AA77" i="3"/>
  <c r="Y77" i="3"/>
  <c r="AB75" i="3"/>
  <c r="Z75" i="3"/>
  <c r="AA75" i="3"/>
  <c r="Y75" i="3"/>
  <c r="AB73" i="3"/>
  <c r="Z73" i="3"/>
  <c r="AA73" i="3"/>
  <c r="Y73" i="3"/>
  <c r="AB88" i="3"/>
  <c r="Z88" i="3"/>
  <c r="AA88" i="3"/>
  <c r="Y88" i="3"/>
  <c r="AB95" i="3"/>
  <c r="Z95" i="3"/>
  <c r="AA95" i="3"/>
  <c r="Y95" i="3"/>
  <c r="AB93" i="3"/>
  <c r="Z93" i="3"/>
  <c r="AA93" i="3"/>
  <c r="Y93" i="3"/>
  <c r="AB91" i="3"/>
  <c r="Z91" i="3"/>
  <c r="AA91" i="3"/>
  <c r="Y91" i="3"/>
  <c r="AB89" i="3"/>
  <c r="Z89" i="3"/>
  <c r="AA89" i="3"/>
  <c r="Y89" i="3"/>
  <c r="AB101" i="3"/>
  <c r="Z101" i="3"/>
  <c r="AA101" i="3"/>
  <c r="Y101" i="3"/>
  <c r="AB104" i="3"/>
  <c r="Z104" i="3"/>
  <c r="AA104" i="3"/>
  <c r="Y104" i="3"/>
  <c r="AB106" i="3"/>
  <c r="Z106" i="3"/>
  <c r="AA106" i="3"/>
  <c r="Y106" i="3"/>
  <c r="Y111" i="3"/>
  <c r="AB111" i="3"/>
  <c r="Y116" i="3"/>
  <c r="AB116" i="3"/>
  <c r="Y114" i="3"/>
  <c r="AB114" i="3"/>
  <c r="Y112" i="3"/>
  <c r="AB112" i="3"/>
  <c r="Y134" i="3"/>
  <c r="AB134" i="3"/>
  <c r="Y132" i="3"/>
  <c r="AB132" i="3"/>
  <c r="Y130" i="3"/>
  <c r="AB130" i="3"/>
  <c r="Y128" i="3"/>
  <c r="AB128" i="3"/>
  <c r="Y126" i="3"/>
  <c r="AB126" i="3"/>
  <c r="Y124" i="3"/>
  <c r="AB124" i="3"/>
  <c r="Y122" i="3"/>
  <c r="AB122" i="3"/>
  <c r="Y165" i="3"/>
  <c r="AB165" i="3"/>
  <c r="Y163" i="3"/>
  <c r="AB163" i="3"/>
  <c r="Y161" i="3"/>
  <c r="AB161" i="3"/>
  <c r="Y159" i="3"/>
  <c r="AB159" i="3"/>
  <c r="Y157" i="3"/>
  <c r="AB157" i="3"/>
  <c r="Y155" i="3"/>
  <c r="AB155" i="3"/>
  <c r="Y153" i="3"/>
  <c r="AB153" i="3"/>
  <c r="Y151" i="3"/>
  <c r="AB151" i="3"/>
  <c r="Y149" i="3"/>
  <c r="AB149" i="3"/>
  <c r="Y147" i="3"/>
  <c r="AB147" i="3"/>
  <c r="Y145" i="3"/>
  <c r="AB145" i="3"/>
  <c r="Y143" i="3"/>
  <c r="AB143" i="3"/>
  <c r="Y141" i="3"/>
  <c r="AB141" i="3"/>
  <c r="Y139" i="3"/>
  <c r="AB139" i="3"/>
  <c r="Y137" i="3"/>
  <c r="AB137" i="3"/>
  <c r="Y135" i="3"/>
  <c r="AB135" i="3"/>
  <c r="Y183" i="3"/>
  <c r="AB183" i="3"/>
  <c r="Y181" i="3"/>
  <c r="AB181" i="3"/>
  <c r="Y179" i="3"/>
  <c r="AB179" i="3"/>
  <c r="Y177" i="3"/>
  <c r="AB177" i="3"/>
  <c r="Y189" i="3"/>
  <c r="AB189" i="3"/>
  <c r="Y187" i="3"/>
  <c r="AB187" i="3"/>
  <c r="Y193" i="3"/>
  <c r="AB193" i="3"/>
  <c r="Y199" i="3"/>
  <c r="AB199" i="3"/>
  <c r="Y200" i="3"/>
  <c r="AB200" i="3"/>
  <c r="Y209" i="3"/>
  <c r="AB209" i="3"/>
  <c r="Y211" i="3"/>
  <c r="AB211" i="3"/>
  <c r="Y215" i="3"/>
  <c r="AB215" i="3"/>
  <c r="Y216" i="3"/>
  <c r="AB216" i="3"/>
  <c r="Y231" i="3"/>
  <c r="AB231" i="3"/>
  <c r="Y229" i="3"/>
  <c r="AB229" i="3"/>
  <c r="Y227" i="3"/>
  <c r="AB227" i="3"/>
  <c r="Y225" i="3"/>
  <c r="AB225" i="3"/>
  <c r="Y223" i="3"/>
  <c r="AB223" i="3"/>
  <c r="Y221" i="3"/>
  <c r="AB221" i="3"/>
  <c r="Y238" i="3"/>
  <c r="AB238" i="3"/>
  <c r="Y236" i="3"/>
  <c r="AB236" i="3"/>
  <c r="AB243" i="3"/>
  <c r="Y247" i="3"/>
  <c r="AB247" i="3"/>
  <c r="Y260" i="3"/>
  <c r="AB260" i="3"/>
  <c r="Y258" i="3"/>
  <c r="AB258" i="3"/>
  <c r="Y256" i="3"/>
  <c r="AB256" i="3"/>
  <c r="Y254" i="3"/>
  <c r="AB254" i="3"/>
  <c r="Y252" i="3"/>
  <c r="AB252" i="3"/>
  <c r="Y250" i="3"/>
  <c r="AB250" i="3"/>
  <c r="Y264" i="3"/>
  <c r="AB264" i="3"/>
  <c r="Y265" i="3"/>
  <c r="AB265" i="3"/>
  <c r="Y271" i="3"/>
  <c r="AB271" i="3"/>
  <c r="Y276" i="3"/>
  <c r="AB276" i="3"/>
  <c r="Y277" i="3"/>
  <c r="AB277" i="3"/>
  <c r="Y283" i="3"/>
  <c r="AB283" i="3"/>
  <c r="Y286" i="3"/>
  <c r="AB286" i="3"/>
  <c r="Y290" i="3"/>
  <c r="AB290" i="3"/>
  <c r="Y291" i="3"/>
  <c r="AB291" i="3"/>
  <c r="Y300" i="3"/>
  <c r="AB300" i="3"/>
  <c r="Y298" i="3"/>
  <c r="AB298" i="3"/>
  <c r="Y296" i="3"/>
  <c r="AB296" i="3"/>
  <c r="Y304" i="3"/>
  <c r="AB304" i="3"/>
  <c r="Y306" i="3"/>
  <c r="AB306" i="3"/>
  <c r="Y308" i="3"/>
  <c r="AB308" i="3"/>
  <c r="Y312" i="3"/>
  <c r="AB312" i="3"/>
  <c r="Y314" i="3"/>
  <c r="AB314" i="3"/>
  <c r="Y316" i="3"/>
  <c r="AB316" i="3"/>
  <c r="Y320" i="3"/>
  <c r="AB320" i="3"/>
  <c r="Y322" i="3"/>
  <c r="AB322" i="3"/>
  <c r="Y324" i="3"/>
  <c r="AB324" i="3"/>
  <c r="Y331" i="3"/>
  <c r="AB331" i="3"/>
  <c r="Y329" i="3"/>
  <c r="AB329" i="3"/>
  <c r="Y334" i="3"/>
  <c r="AB334" i="3"/>
  <c r="Y336" i="3"/>
  <c r="AB336" i="3"/>
  <c r="Y340" i="3"/>
  <c r="AB340" i="3"/>
  <c r="Y342" i="3"/>
  <c r="AB342" i="3"/>
  <c r="AB346" i="3"/>
  <c r="AB348" i="3"/>
  <c r="Y354" i="3"/>
  <c r="AB354" i="3"/>
  <c r="Y362" i="3"/>
  <c r="AB362" i="3"/>
  <c r="Y360" i="3"/>
  <c r="AB360" i="3"/>
  <c r="Y358" i="3"/>
  <c r="AB358" i="3"/>
  <c r="Y356" i="3"/>
  <c r="AB356" i="3"/>
  <c r="Y366" i="3"/>
  <c r="AB366" i="3"/>
  <c r="Y367" i="3"/>
  <c r="AB367" i="3"/>
  <c r="Y380" i="3"/>
  <c r="AB380" i="3"/>
  <c r="Y378" i="3"/>
  <c r="AB378" i="3"/>
  <c r="Y383" i="3"/>
  <c r="AB383" i="3"/>
  <c r="Y386" i="3"/>
  <c r="AB386" i="3"/>
  <c r="Y384" i="3"/>
  <c r="AB384" i="3"/>
  <c r="Y394" i="3"/>
  <c r="AB394" i="3"/>
  <c r="Y397" i="3"/>
  <c r="AB397" i="3"/>
  <c r="Y398" i="3"/>
  <c r="AB398" i="3"/>
  <c r="Y414" i="3"/>
  <c r="AB414" i="3"/>
  <c r="Y416" i="3"/>
  <c r="AB416" i="3"/>
  <c r="Y418" i="3"/>
  <c r="AB418" i="3"/>
  <c r="Y420" i="3"/>
  <c r="AB420" i="3"/>
  <c r="Y422" i="3"/>
  <c r="AB422" i="3"/>
  <c r="Y426" i="3"/>
  <c r="AB426" i="3"/>
  <c r="Y428" i="3"/>
  <c r="AB428" i="3"/>
  <c r="Y430" i="3"/>
  <c r="AB430" i="3"/>
  <c r="Y432" i="3"/>
  <c r="AB432" i="3"/>
  <c r="Y436" i="3"/>
  <c r="AB436" i="3"/>
  <c r="Y438" i="3"/>
  <c r="AB438" i="3"/>
  <c r="Y440" i="3"/>
  <c r="AB440" i="3"/>
  <c r="Y444" i="3"/>
  <c r="AB444" i="3"/>
  <c r="Y446" i="3"/>
  <c r="AB446" i="3"/>
  <c r="Y448" i="3"/>
  <c r="AB448" i="3"/>
  <c r="Y450" i="3"/>
  <c r="AB450" i="3"/>
  <c r="Y456" i="3"/>
  <c r="AB456" i="3"/>
  <c r="Y458" i="3"/>
  <c r="AB458" i="3"/>
  <c r="Y460" i="3"/>
  <c r="AB460" i="3"/>
  <c r="Y462" i="3"/>
  <c r="AB462" i="3"/>
  <c r="Y464" i="3"/>
  <c r="AB464" i="3"/>
  <c r="Y466" i="3"/>
  <c r="AB466" i="3"/>
  <c r="Y468" i="3"/>
  <c r="AB468" i="3"/>
  <c r="Y470" i="3"/>
  <c r="AB470" i="3"/>
  <c r="Y472" i="3"/>
  <c r="AB472" i="3"/>
  <c r="Y474" i="3"/>
  <c r="AB474" i="3"/>
  <c r="Y476" i="3"/>
  <c r="AB476" i="3"/>
  <c r="Y478" i="3"/>
  <c r="AB478" i="3"/>
  <c r="Y480" i="3"/>
  <c r="AB480" i="3"/>
  <c r="Y482" i="3"/>
  <c r="AB482" i="3"/>
  <c r="Y484" i="3"/>
  <c r="AB484" i="3"/>
  <c r="Y486" i="3"/>
  <c r="AB486" i="3"/>
  <c r="Y488" i="3"/>
  <c r="AB488" i="3"/>
  <c r="Y490" i="3"/>
  <c r="AB490" i="3"/>
  <c r="Y492" i="3"/>
  <c r="AB492" i="3"/>
  <c r="Y494" i="3"/>
  <c r="AB494" i="3"/>
  <c r="Y496" i="3"/>
  <c r="AB496" i="3"/>
  <c r="Y498" i="3"/>
  <c r="AB498" i="3"/>
  <c r="Y500" i="3"/>
  <c r="AB500" i="3"/>
  <c r="Y504" i="3"/>
  <c r="AB504" i="3"/>
  <c r="Y509" i="3"/>
  <c r="AB509" i="3"/>
  <c r="Y514" i="3"/>
  <c r="AB514" i="3"/>
  <c r="Y522" i="3"/>
  <c r="AB522" i="3"/>
  <c r="Y520" i="3"/>
  <c r="AB520" i="3"/>
  <c r="Y518" i="3"/>
  <c r="AB518" i="3"/>
  <c r="Y516" i="3"/>
  <c r="AB516" i="3"/>
  <c r="Y526" i="3"/>
  <c r="AB526" i="3"/>
  <c r="Y530" i="3"/>
  <c r="AB530" i="3"/>
  <c r="Y528" i="3"/>
  <c r="AB528" i="3"/>
  <c r="Y536" i="3"/>
  <c r="AB536" i="3"/>
  <c r="Y538" i="3"/>
  <c r="AB538" i="3"/>
  <c r="Y542" i="3"/>
  <c r="AB542" i="3"/>
  <c r="AB545" i="3"/>
  <c r="Y543" i="3"/>
  <c r="AB543" i="3"/>
  <c r="Y567" i="3"/>
  <c r="AB567" i="3"/>
  <c r="Y565" i="3"/>
  <c r="AB565" i="3"/>
  <c r="Y563" i="3"/>
  <c r="AB563" i="3"/>
  <c r="Y561" i="3"/>
  <c r="AB561" i="3"/>
  <c r="Y559" i="3"/>
  <c r="AB559" i="3"/>
  <c r="Y557" i="3"/>
  <c r="AB557" i="3"/>
  <c r="Y555" i="3"/>
  <c r="AB555" i="3"/>
  <c r="Y553" i="3"/>
  <c r="AB553" i="3"/>
  <c r="Y570" i="3"/>
  <c r="AB570" i="3"/>
  <c r="Y574" i="3"/>
  <c r="AB574" i="3"/>
  <c r="Y575" i="3"/>
  <c r="AB575" i="3"/>
  <c r="Y583" i="3"/>
  <c r="AB583" i="3"/>
  <c r="Y581" i="3"/>
  <c r="AB581" i="3"/>
  <c r="Y586" i="3"/>
  <c r="AB586" i="3"/>
  <c r="Y587" i="3"/>
  <c r="AB587" i="3"/>
  <c r="Y599" i="3"/>
  <c r="AB599" i="3"/>
  <c r="Y597" i="3"/>
  <c r="AB597" i="3"/>
  <c r="Y595" i="3"/>
  <c r="AB595" i="3"/>
  <c r="Y602" i="3"/>
  <c r="AB602" i="3"/>
  <c r="Y611" i="3"/>
  <c r="AB611" i="3"/>
  <c r="Y609" i="3"/>
  <c r="AB609" i="3"/>
  <c r="Y607" i="3"/>
  <c r="AB607" i="3"/>
  <c r="Y605" i="3"/>
  <c r="AB605" i="3"/>
  <c r="Y603" i="3"/>
  <c r="AB603" i="3"/>
  <c r="Y620" i="3"/>
  <c r="AB620" i="3"/>
  <c r="Y618" i="3"/>
  <c r="AB618" i="3"/>
  <c r="Y616" i="3"/>
  <c r="AB616" i="3"/>
  <c r="Z40" i="3"/>
  <c r="AA40" i="3"/>
  <c r="X40" i="3"/>
  <c r="Z42" i="3"/>
  <c r="AA42" i="3"/>
  <c r="X42" i="3"/>
  <c r="AU46" i="3"/>
  <c r="V46" i="3" s="1"/>
  <c r="Z46" i="3"/>
  <c r="AA46" i="3"/>
  <c r="X46" i="3"/>
  <c r="Z48" i="3"/>
  <c r="AA48" i="3"/>
  <c r="X48" i="3"/>
  <c r="Z50" i="3"/>
  <c r="AA50" i="3"/>
  <c r="X50" i="3"/>
  <c r="Z54" i="3"/>
  <c r="AA54" i="3"/>
  <c r="X54" i="3"/>
  <c r="AU58" i="3"/>
  <c r="Z58" i="3"/>
  <c r="AA58" i="3"/>
  <c r="X58" i="3"/>
  <c r="AU60" i="3"/>
  <c r="Z60" i="3"/>
  <c r="AA60" i="3"/>
  <c r="X60" i="3"/>
  <c r="Z67" i="3"/>
  <c r="AA67" i="3"/>
  <c r="X67" i="3"/>
  <c r="Z65" i="3"/>
  <c r="AA65" i="3"/>
  <c r="X65" i="3"/>
  <c r="AU72" i="3"/>
  <c r="V72" i="3" s="1"/>
  <c r="X72" i="3"/>
  <c r="AU81" i="3"/>
  <c r="V81" i="3" s="1"/>
  <c r="X81" i="3"/>
  <c r="AU79" i="3"/>
  <c r="V79" i="3" s="1"/>
  <c r="X79" i="3"/>
  <c r="X77" i="3"/>
  <c r="AU75" i="3"/>
  <c r="V75" i="3" s="1"/>
  <c r="X75" i="3"/>
  <c r="AU73" i="3"/>
  <c r="V73" i="3" s="1"/>
  <c r="X73" i="3"/>
  <c r="AU88" i="3"/>
  <c r="V88" i="3" s="1"/>
  <c r="X88" i="3"/>
  <c r="AU95" i="3"/>
  <c r="V95" i="3" s="1"/>
  <c r="X95" i="3"/>
  <c r="X93" i="3"/>
  <c r="AU91" i="3"/>
  <c r="V91" i="3" s="1"/>
  <c r="X91" i="3"/>
  <c r="AU89" i="3"/>
  <c r="V89" i="3" s="1"/>
  <c r="X89" i="3"/>
  <c r="AU101" i="3"/>
  <c r="X101" i="3"/>
  <c r="X104" i="3"/>
  <c r="X106" i="3"/>
  <c r="Z111" i="3"/>
  <c r="AA111" i="3"/>
  <c r="X111" i="3"/>
  <c r="Z116" i="3"/>
  <c r="X116" i="3"/>
  <c r="AA116" i="3"/>
  <c r="Z114" i="3"/>
  <c r="X114" i="3"/>
  <c r="AA114" i="3"/>
  <c r="Z112" i="3"/>
  <c r="X112" i="3"/>
  <c r="AA112" i="3"/>
  <c r="Z134" i="3"/>
  <c r="AA134" i="3"/>
  <c r="X134" i="3"/>
  <c r="Z132" i="3"/>
  <c r="AA132" i="3"/>
  <c r="X132" i="3"/>
  <c r="Z130" i="3"/>
  <c r="AA130" i="3"/>
  <c r="X130" i="3"/>
  <c r="Z128" i="3"/>
  <c r="AA128" i="3"/>
  <c r="X128" i="3"/>
  <c r="Z126" i="3"/>
  <c r="AA126" i="3"/>
  <c r="X126" i="3"/>
  <c r="Z124" i="3"/>
  <c r="AA124" i="3"/>
  <c r="X124" i="3"/>
  <c r="Z122" i="3"/>
  <c r="AA122" i="3"/>
  <c r="X122" i="3"/>
  <c r="Z165" i="3"/>
  <c r="AA165" i="3"/>
  <c r="X165" i="3"/>
  <c r="Z163" i="3"/>
  <c r="AA163" i="3"/>
  <c r="X163" i="3"/>
  <c r="Z161" i="3"/>
  <c r="AA161" i="3"/>
  <c r="X161" i="3"/>
  <c r="AU159" i="3"/>
  <c r="V159" i="3" s="1"/>
  <c r="Z159" i="3"/>
  <c r="AA159" i="3"/>
  <c r="X159" i="3"/>
  <c r="Z157" i="3"/>
  <c r="AA157" i="3"/>
  <c r="X157" i="3"/>
  <c r="Z155" i="3"/>
  <c r="AA155" i="3"/>
  <c r="X155" i="3"/>
  <c r="Z153" i="3"/>
  <c r="AA153" i="3"/>
  <c r="X153" i="3"/>
  <c r="AU151" i="3"/>
  <c r="V151" i="3" s="1"/>
  <c r="Z151" i="3"/>
  <c r="AA151" i="3"/>
  <c r="X151" i="3"/>
  <c r="Z149" i="3"/>
  <c r="AA149" i="3"/>
  <c r="X149" i="3"/>
  <c r="Z147" i="3"/>
  <c r="AA147" i="3"/>
  <c r="X147" i="3"/>
  <c r="Z145" i="3"/>
  <c r="AA145" i="3"/>
  <c r="X145" i="3"/>
  <c r="AU143" i="3"/>
  <c r="V143" i="3" s="1"/>
  <c r="Z143" i="3"/>
  <c r="AA143" i="3"/>
  <c r="X143" i="3"/>
  <c r="Z141" i="3"/>
  <c r="AA141" i="3"/>
  <c r="X141" i="3"/>
  <c r="Z139" i="3"/>
  <c r="AA139" i="3"/>
  <c r="X139" i="3"/>
  <c r="Z137" i="3"/>
  <c r="AA137" i="3"/>
  <c r="X137" i="3"/>
  <c r="AU135" i="3"/>
  <c r="V135" i="3" s="1"/>
  <c r="Z135" i="3"/>
  <c r="AA135" i="3"/>
  <c r="X135" i="3"/>
  <c r="AU183" i="3"/>
  <c r="V183" i="3" s="1"/>
  <c r="Z183" i="3"/>
  <c r="AA183" i="3"/>
  <c r="X183" i="3"/>
  <c r="AU181" i="3"/>
  <c r="V181" i="3" s="1"/>
  <c r="Z181" i="3"/>
  <c r="AA181" i="3"/>
  <c r="X181" i="3"/>
  <c r="Z179" i="3"/>
  <c r="AA179" i="3"/>
  <c r="X179" i="3"/>
  <c r="AU177" i="3"/>
  <c r="V177" i="3" s="1"/>
  <c r="Z177" i="3"/>
  <c r="AA177" i="3"/>
  <c r="X177" i="3"/>
  <c r="AU189" i="3"/>
  <c r="V189" i="3" s="1"/>
  <c r="Z189" i="3"/>
  <c r="AA189" i="3"/>
  <c r="X189" i="3"/>
  <c r="Z187" i="3"/>
  <c r="AA187" i="3"/>
  <c r="X187" i="3"/>
  <c r="AU193" i="3"/>
  <c r="V193" i="3" s="1"/>
  <c r="Z193" i="3"/>
  <c r="AA193" i="3"/>
  <c r="X193" i="3"/>
  <c r="Z199" i="3"/>
  <c r="AA199" i="3"/>
  <c r="X199" i="3"/>
  <c r="Z200" i="3"/>
  <c r="X200" i="3"/>
  <c r="AA200" i="3"/>
  <c r="Z209" i="3"/>
  <c r="AA209" i="3"/>
  <c r="X209" i="3"/>
  <c r="Z211" i="3"/>
  <c r="AA211" i="3"/>
  <c r="X211" i="3"/>
  <c r="Z215" i="3"/>
  <c r="AA215" i="3"/>
  <c r="X215" i="3"/>
  <c r="Z216" i="3"/>
  <c r="X216" i="3"/>
  <c r="AA216" i="3"/>
  <c r="AU231" i="3"/>
  <c r="V231" i="3" s="1"/>
  <c r="Z231" i="3"/>
  <c r="AA231" i="3"/>
  <c r="X231" i="3"/>
  <c r="Z229" i="3"/>
  <c r="AA229" i="3"/>
  <c r="X229" i="3"/>
  <c r="AU227" i="3"/>
  <c r="V227" i="3" s="1"/>
  <c r="Z227" i="3"/>
  <c r="AA227" i="3"/>
  <c r="X227" i="3"/>
  <c r="Z225" i="3"/>
  <c r="AA225" i="3"/>
  <c r="X225" i="3"/>
  <c r="AU223" i="3"/>
  <c r="V223" i="3" s="1"/>
  <c r="Z223" i="3"/>
  <c r="AA223" i="3"/>
  <c r="X223" i="3"/>
  <c r="Z221" i="3"/>
  <c r="AA221" i="3"/>
  <c r="X221" i="3"/>
  <c r="Z238" i="3"/>
  <c r="AA238" i="3"/>
  <c r="X238" i="3"/>
  <c r="AU236" i="3"/>
  <c r="V236" i="3" s="1"/>
  <c r="Z236" i="3"/>
  <c r="AA236" i="3"/>
  <c r="X236" i="3"/>
  <c r="X243" i="3"/>
  <c r="Z247" i="3"/>
  <c r="AA247" i="3"/>
  <c r="X247" i="3"/>
  <c r="Z260" i="3"/>
  <c r="AA260" i="3"/>
  <c r="X260" i="3"/>
  <c r="Z258" i="3"/>
  <c r="AA258" i="3"/>
  <c r="X258" i="3"/>
  <c r="Z256" i="3"/>
  <c r="AA256" i="3"/>
  <c r="X256" i="3"/>
  <c r="Z254" i="3"/>
  <c r="AA254" i="3"/>
  <c r="X254" i="3"/>
  <c r="Z252" i="3"/>
  <c r="AA252" i="3"/>
  <c r="X252" i="3"/>
  <c r="Z250" i="3"/>
  <c r="AA250" i="3"/>
  <c r="X250" i="3"/>
  <c r="Z264" i="3"/>
  <c r="AA264" i="3"/>
  <c r="X264" i="3"/>
  <c r="Z265" i="3"/>
  <c r="AA265" i="3"/>
  <c r="X265" i="3"/>
  <c r="Z271" i="3"/>
  <c r="AA271" i="3"/>
  <c r="X271" i="3"/>
  <c r="Z276" i="3"/>
  <c r="AA276" i="3"/>
  <c r="X276" i="3"/>
  <c r="Z277" i="3"/>
  <c r="X277" i="3"/>
  <c r="AA277" i="3"/>
  <c r="Z283" i="3"/>
  <c r="X283" i="3"/>
  <c r="AA283" i="3"/>
  <c r="Z286" i="3"/>
  <c r="AA286" i="3"/>
  <c r="X286" i="3"/>
  <c r="Z290" i="3"/>
  <c r="AA290" i="3"/>
  <c r="X290" i="3"/>
  <c r="Z291" i="3"/>
  <c r="X291" i="3"/>
  <c r="AA291" i="3"/>
  <c r="Z300" i="3"/>
  <c r="AA300" i="3"/>
  <c r="X300" i="3"/>
  <c r="Z298" i="3"/>
  <c r="AA298" i="3"/>
  <c r="X298" i="3"/>
  <c r="Z296" i="3"/>
  <c r="AA296" i="3"/>
  <c r="X296" i="3"/>
  <c r="Z304" i="3"/>
  <c r="AA304" i="3"/>
  <c r="X304" i="3"/>
  <c r="Z306" i="3"/>
  <c r="AA306" i="3"/>
  <c r="X306" i="3"/>
  <c r="Z308" i="3"/>
  <c r="AA308" i="3"/>
  <c r="X308" i="3"/>
  <c r="Z312" i="3"/>
  <c r="AA312" i="3"/>
  <c r="X312" i="3"/>
  <c r="Z314" i="3"/>
  <c r="AA314" i="3"/>
  <c r="X314" i="3"/>
  <c r="Z316" i="3"/>
  <c r="AA316" i="3"/>
  <c r="X316" i="3"/>
  <c r="Z320" i="3"/>
  <c r="AA320" i="3"/>
  <c r="X320" i="3"/>
  <c r="Z322" i="3"/>
  <c r="AA322" i="3"/>
  <c r="X322" i="3"/>
  <c r="Z324" i="3"/>
  <c r="AA324" i="3"/>
  <c r="X324" i="3"/>
  <c r="Z331" i="3"/>
  <c r="AA331" i="3"/>
  <c r="X331" i="3"/>
  <c r="AU329" i="3"/>
  <c r="V329" i="3" s="1"/>
  <c r="Z329" i="3"/>
  <c r="X329" i="3"/>
  <c r="AA329" i="3"/>
  <c r="Z334" i="3"/>
  <c r="AA334" i="3"/>
  <c r="X334" i="3"/>
  <c r="Z336" i="3"/>
  <c r="AA336" i="3"/>
  <c r="X336" i="3"/>
  <c r="Z340" i="3"/>
  <c r="AA340" i="3"/>
  <c r="X340" i="3"/>
  <c r="Z342" i="3"/>
  <c r="AA342" i="3"/>
  <c r="X342" i="3"/>
  <c r="AU346" i="3"/>
  <c r="V346" i="3" s="1"/>
  <c r="X346" i="3"/>
  <c r="X348" i="3"/>
  <c r="Z354" i="3"/>
  <c r="AA354" i="3"/>
  <c r="X354" i="3"/>
  <c r="Z362" i="3"/>
  <c r="AA362" i="3"/>
  <c r="X362" i="3"/>
  <c r="Z360" i="3"/>
  <c r="AA360" i="3"/>
  <c r="X360" i="3"/>
  <c r="Z358" i="3"/>
  <c r="AA358" i="3"/>
  <c r="X358" i="3"/>
  <c r="Z356" i="3"/>
  <c r="AA356" i="3"/>
  <c r="X356" i="3"/>
  <c r="Z366" i="3"/>
  <c r="AA366" i="3"/>
  <c r="X366" i="3"/>
  <c r="Z367" i="3"/>
  <c r="AA367" i="3"/>
  <c r="X367" i="3"/>
  <c r="Z380" i="3"/>
  <c r="AA380" i="3"/>
  <c r="X380" i="3"/>
  <c r="Z378" i="3"/>
  <c r="AA378" i="3"/>
  <c r="X378" i="3"/>
  <c r="Z383" i="3"/>
  <c r="AA383" i="3"/>
  <c r="X383" i="3"/>
  <c r="Z386" i="3"/>
  <c r="AA386" i="3"/>
  <c r="X386" i="3"/>
  <c r="AU384" i="3"/>
  <c r="V384" i="3" s="1"/>
  <c r="Z384" i="3"/>
  <c r="AA384" i="3"/>
  <c r="X384" i="3"/>
  <c r="Z394" i="3"/>
  <c r="AA394" i="3"/>
  <c r="X394" i="3"/>
  <c r="Z397" i="3"/>
  <c r="AA397" i="3"/>
  <c r="X397" i="3"/>
  <c r="Z398" i="3"/>
  <c r="AA398" i="3"/>
  <c r="X398" i="3"/>
  <c r="Z414" i="3"/>
  <c r="X414" i="3"/>
  <c r="AA414" i="3"/>
  <c r="AA416" i="3"/>
  <c r="Z416" i="3"/>
  <c r="X416" i="3"/>
  <c r="AA418" i="3"/>
  <c r="Z418" i="3"/>
  <c r="X418" i="3"/>
  <c r="AA420" i="3"/>
  <c r="Z420" i="3"/>
  <c r="X420" i="3"/>
  <c r="AA422" i="3"/>
  <c r="Z422" i="3"/>
  <c r="X422" i="3"/>
  <c r="AA426" i="3"/>
  <c r="Z426" i="3"/>
  <c r="X426" i="3"/>
  <c r="AA428" i="3"/>
  <c r="Z428" i="3"/>
  <c r="X428" i="3"/>
  <c r="AA430" i="3"/>
  <c r="Z430" i="3"/>
  <c r="X430" i="3"/>
  <c r="AA432" i="3"/>
  <c r="Z432" i="3"/>
  <c r="X432" i="3"/>
  <c r="AA436" i="3"/>
  <c r="Z436" i="3"/>
  <c r="X436" i="3"/>
  <c r="AA438" i="3"/>
  <c r="Z438" i="3"/>
  <c r="X438" i="3"/>
  <c r="AA440" i="3"/>
  <c r="Z440" i="3"/>
  <c r="X440" i="3"/>
  <c r="AA444" i="3"/>
  <c r="Z444" i="3"/>
  <c r="X444" i="3"/>
  <c r="AA446" i="3"/>
  <c r="Z446" i="3"/>
  <c r="X446" i="3"/>
  <c r="AA448" i="3"/>
  <c r="Z448" i="3"/>
  <c r="X448" i="3"/>
  <c r="AA450" i="3"/>
  <c r="Z450" i="3"/>
  <c r="X450" i="3"/>
  <c r="AA456" i="3"/>
  <c r="Z456" i="3"/>
  <c r="X456" i="3"/>
  <c r="AA458" i="3"/>
  <c r="Z458" i="3"/>
  <c r="X458" i="3"/>
  <c r="AA460" i="3"/>
  <c r="Z460" i="3"/>
  <c r="X460" i="3"/>
  <c r="AU462" i="3"/>
  <c r="V462" i="3" s="1"/>
  <c r="AA462" i="3"/>
  <c r="Z462" i="3"/>
  <c r="X462" i="3"/>
  <c r="AA464" i="3"/>
  <c r="Z464" i="3"/>
  <c r="X464" i="3"/>
  <c r="AA466" i="3"/>
  <c r="Z466" i="3"/>
  <c r="X466" i="3"/>
  <c r="AA468" i="3"/>
  <c r="Z468" i="3"/>
  <c r="X468" i="3"/>
  <c r="AA470" i="3"/>
  <c r="Z470" i="3"/>
  <c r="X470" i="3"/>
  <c r="AA472" i="3"/>
  <c r="Z472" i="3"/>
  <c r="X472" i="3"/>
  <c r="AA474" i="3"/>
  <c r="Z474" i="3"/>
  <c r="X474" i="3"/>
  <c r="AA476" i="3"/>
  <c r="Z476" i="3"/>
  <c r="X476" i="3"/>
  <c r="AU478" i="3"/>
  <c r="V478" i="3" s="1"/>
  <c r="AA478" i="3"/>
  <c r="Z478" i="3"/>
  <c r="X478" i="3"/>
  <c r="AA480" i="3"/>
  <c r="Z480" i="3"/>
  <c r="X480" i="3"/>
  <c r="AA482" i="3"/>
  <c r="Z482" i="3"/>
  <c r="X482" i="3"/>
  <c r="AA484" i="3"/>
  <c r="Z484" i="3"/>
  <c r="X484" i="3"/>
  <c r="AA486" i="3"/>
  <c r="Z486" i="3"/>
  <c r="X486" i="3"/>
  <c r="AA488" i="3"/>
  <c r="Z488" i="3"/>
  <c r="X488" i="3"/>
  <c r="AA490" i="3"/>
  <c r="Z490" i="3"/>
  <c r="X490" i="3"/>
  <c r="AA492" i="3"/>
  <c r="Z492" i="3"/>
  <c r="X492" i="3"/>
  <c r="AU494" i="3"/>
  <c r="V494" i="3" s="1"/>
  <c r="AA494" i="3"/>
  <c r="Z494" i="3"/>
  <c r="X494" i="3"/>
  <c r="AA496" i="3"/>
  <c r="Z496" i="3"/>
  <c r="X496" i="3"/>
  <c r="AA498" i="3"/>
  <c r="Z498" i="3"/>
  <c r="X498" i="3"/>
  <c r="AA500" i="3"/>
  <c r="Z500" i="3"/>
  <c r="X500" i="3"/>
  <c r="AA504" i="3"/>
  <c r="Z504" i="3"/>
  <c r="X504" i="3"/>
  <c r="Z509" i="3"/>
  <c r="AA509" i="3"/>
  <c r="X509" i="3"/>
  <c r="Z514" i="3"/>
  <c r="AA514" i="3"/>
  <c r="X514" i="3"/>
  <c r="Z522" i="3"/>
  <c r="AA522" i="3"/>
  <c r="X522" i="3"/>
  <c r="Z520" i="3"/>
  <c r="AA520" i="3"/>
  <c r="X520" i="3"/>
  <c r="Z518" i="3"/>
  <c r="X518" i="3"/>
  <c r="AA518" i="3"/>
  <c r="Z516" i="3"/>
  <c r="AA516" i="3"/>
  <c r="X516" i="3"/>
  <c r="AU526" i="3"/>
  <c r="Z526" i="3"/>
  <c r="AA526" i="3"/>
  <c r="X526" i="3"/>
  <c r="AA530" i="3"/>
  <c r="Z530" i="3"/>
  <c r="X530" i="3"/>
  <c r="AA528" i="3"/>
  <c r="Z528" i="3"/>
  <c r="X528" i="3"/>
  <c r="AA536" i="3"/>
  <c r="Z536" i="3"/>
  <c r="X536" i="3"/>
  <c r="AA538" i="3"/>
  <c r="Z538" i="3"/>
  <c r="X538" i="3"/>
  <c r="AU542" i="3"/>
  <c r="V542" i="3" s="1"/>
  <c r="AA542" i="3"/>
  <c r="Z542" i="3"/>
  <c r="X542" i="3"/>
  <c r="X545" i="3"/>
  <c r="AA543" i="3"/>
  <c r="Z543" i="3"/>
  <c r="X543" i="3"/>
  <c r="AA567" i="3"/>
  <c r="Z567" i="3"/>
  <c r="X567" i="3"/>
  <c r="AA565" i="3"/>
  <c r="Z565" i="3"/>
  <c r="X565" i="3"/>
  <c r="AA563" i="3"/>
  <c r="Z563" i="3"/>
  <c r="X563" i="3"/>
  <c r="AA561" i="3"/>
  <c r="Z561" i="3"/>
  <c r="X561" i="3"/>
  <c r="AA559" i="3"/>
  <c r="Z559" i="3"/>
  <c r="X559" i="3"/>
  <c r="AA557" i="3"/>
  <c r="Z557" i="3"/>
  <c r="X557" i="3"/>
  <c r="AA555" i="3"/>
  <c r="Z555" i="3"/>
  <c r="X555" i="3"/>
  <c r="AA553" i="3"/>
  <c r="Z553" i="3"/>
  <c r="X553" i="3"/>
  <c r="AA570" i="3"/>
  <c r="Z570" i="3"/>
  <c r="X570" i="3"/>
  <c r="AA574" i="3"/>
  <c r="Z574" i="3"/>
  <c r="X574" i="3"/>
  <c r="AA575" i="3"/>
  <c r="Z575" i="3"/>
  <c r="X575" i="3"/>
  <c r="AA583" i="3"/>
  <c r="Z583" i="3"/>
  <c r="X583" i="3"/>
  <c r="AA581" i="3"/>
  <c r="Z581" i="3"/>
  <c r="X581" i="3"/>
  <c r="AA586" i="3"/>
  <c r="Z586" i="3"/>
  <c r="X586" i="3"/>
  <c r="AA587" i="3"/>
  <c r="Z587" i="3"/>
  <c r="X587" i="3"/>
  <c r="AA599" i="3"/>
  <c r="Z599" i="3"/>
  <c r="X599" i="3"/>
  <c r="AA597" i="3"/>
  <c r="Z597" i="3"/>
  <c r="X597" i="3"/>
  <c r="AA595" i="3"/>
  <c r="Z595" i="3"/>
  <c r="X595" i="3"/>
  <c r="AA602" i="3"/>
  <c r="Z602" i="3"/>
  <c r="X602" i="3"/>
  <c r="AA611" i="3"/>
  <c r="Z611" i="3"/>
  <c r="X611" i="3"/>
  <c r="AA609" i="3"/>
  <c r="Z609" i="3"/>
  <c r="X609" i="3"/>
  <c r="AA607" i="3"/>
  <c r="Z607" i="3"/>
  <c r="X607" i="3"/>
  <c r="AA605" i="3"/>
  <c r="Z605" i="3"/>
  <c r="X605" i="3"/>
  <c r="AA603" i="3"/>
  <c r="Z603" i="3"/>
  <c r="X603" i="3"/>
  <c r="AA620" i="3"/>
  <c r="Z620" i="3"/>
  <c r="X620" i="3"/>
  <c r="AU618" i="3"/>
  <c r="V618" i="3" s="1"/>
  <c r="AA618" i="3"/>
  <c r="Z618" i="3"/>
  <c r="X618" i="3"/>
  <c r="AA616" i="3"/>
  <c r="Z616" i="3"/>
  <c r="X616" i="3"/>
  <c r="Z39" i="3"/>
  <c r="AA39" i="3"/>
  <c r="X39" i="3"/>
  <c r="Z41" i="3"/>
  <c r="AA41" i="3"/>
  <c r="X41" i="3"/>
  <c r="Z43" i="3"/>
  <c r="AA43" i="3"/>
  <c r="X43" i="3"/>
  <c r="Z47" i="3"/>
  <c r="AA47" i="3"/>
  <c r="X47" i="3"/>
  <c r="AU49" i="3"/>
  <c r="V49" i="3" s="1"/>
  <c r="Z49" i="3"/>
  <c r="AA49" i="3"/>
  <c r="X49" i="3"/>
  <c r="Z53" i="3"/>
  <c r="AA53" i="3"/>
  <c r="X53" i="3"/>
  <c r="Z55" i="3"/>
  <c r="AA55" i="3"/>
  <c r="X55" i="3"/>
  <c r="AU59" i="3"/>
  <c r="Z59" i="3"/>
  <c r="AA59" i="3"/>
  <c r="X59" i="3"/>
  <c r="Z63" i="3"/>
  <c r="AA63" i="3"/>
  <c r="X63" i="3"/>
  <c r="Z66" i="3"/>
  <c r="AA66" i="3"/>
  <c r="X66" i="3"/>
  <c r="Z64" i="3"/>
  <c r="AA64" i="3"/>
  <c r="X64" i="3"/>
  <c r="X82" i="3"/>
  <c r="X80" i="3"/>
  <c r="X78" i="3"/>
  <c r="X76" i="3"/>
  <c r="X74" i="3"/>
  <c r="X85" i="3"/>
  <c r="X96" i="3"/>
  <c r="X94" i="3"/>
  <c r="AU92" i="3"/>
  <c r="V92" i="3" s="1"/>
  <c r="X92" i="3"/>
  <c r="AU90" i="3"/>
  <c r="V90" i="3" s="1"/>
  <c r="X90" i="3"/>
  <c r="AU99" i="3"/>
  <c r="X99" i="3"/>
  <c r="AU100" i="3"/>
  <c r="X100" i="3"/>
  <c r="AU107" i="3"/>
  <c r="V107" i="3" s="1"/>
  <c r="X107" i="3"/>
  <c r="AU105" i="3"/>
  <c r="V105" i="3" s="1"/>
  <c r="X105" i="3"/>
  <c r="Z117" i="3"/>
  <c r="AA117" i="3"/>
  <c r="X117" i="3"/>
  <c r="Z115" i="3"/>
  <c r="AA115" i="3"/>
  <c r="X115" i="3"/>
  <c r="AU113" i="3"/>
  <c r="V113" i="3" s="1"/>
  <c r="Z113" i="3"/>
  <c r="AA113" i="3"/>
  <c r="X113" i="3"/>
  <c r="Z121" i="3"/>
  <c r="AA121" i="3"/>
  <c r="X121" i="3"/>
  <c r="Z133" i="3"/>
  <c r="AA133" i="3"/>
  <c r="X133" i="3"/>
  <c r="Z131" i="3"/>
  <c r="AA131" i="3"/>
  <c r="X131" i="3"/>
  <c r="Z129" i="3"/>
  <c r="AA129" i="3"/>
  <c r="X129" i="3"/>
  <c r="AU127" i="3"/>
  <c r="V127" i="3" s="1"/>
  <c r="Z127" i="3"/>
  <c r="AA127" i="3"/>
  <c r="X127" i="3"/>
  <c r="Z125" i="3"/>
  <c r="AA125" i="3"/>
  <c r="X125" i="3"/>
  <c r="Z123" i="3"/>
  <c r="AA123" i="3"/>
  <c r="X123" i="3"/>
  <c r="Z166" i="3"/>
  <c r="AA166" i="3"/>
  <c r="X166" i="3"/>
  <c r="Z164" i="3"/>
  <c r="AA164" i="3"/>
  <c r="X164" i="3"/>
  <c r="Z162" i="3"/>
  <c r="AA162" i="3"/>
  <c r="X162" i="3"/>
  <c r="Z160" i="3"/>
  <c r="AA160" i="3"/>
  <c r="X160" i="3"/>
  <c r="Z158" i="3"/>
  <c r="AA158" i="3"/>
  <c r="X158" i="3"/>
  <c r="Z156" i="3"/>
  <c r="AA156" i="3"/>
  <c r="X156" i="3"/>
  <c r="Z154" i="3"/>
  <c r="AA154" i="3"/>
  <c r="X154" i="3"/>
  <c r="Z152" i="3"/>
  <c r="AA152" i="3"/>
  <c r="X152" i="3"/>
  <c r="Z150" i="3"/>
  <c r="AA150" i="3"/>
  <c r="X150" i="3"/>
  <c r="Z148" i="3"/>
  <c r="AA148" i="3"/>
  <c r="X148" i="3"/>
  <c r="Z146" i="3"/>
  <c r="AA146" i="3"/>
  <c r="X146" i="3"/>
  <c r="Z144" i="3"/>
  <c r="AA144" i="3"/>
  <c r="X144" i="3"/>
  <c r="Z142" i="3"/>
  <c r="AA142" i="3"/>
  <c r="X142" i="3"/>
  <c r="Z140" i="3"/>
  <c r="AA140" i="3"/>
  <c r="X140" i="3"/>
  <c r="Z138" i="3"/>
  <c r="AA138" i="3"/>
  <c r="X138" i="3"/>
  <c r="Z136" i="3"/>
  <c r="AA136" i="3"/>
  <c r="X136" i="3"/>
  <c r="Z176" i="3"/>
  <c r="X176" i="3"/>
  <c r="AA176" i="3"/>
  <c r="Z182" i="3"/>
  <c r="X182" i="3"/>
  <c r="AA182" i="3"/>
  <c r="Z180" i="3"/>
  <c r="X180" i="3"/>
  <c r="AA180" i="3"/>
  <c r="Z178" i="3"/>
  <c r="X178" i="3"/>
  <c r="AA178" i="3"/>
  <c r="Z186" i="3"/>
  <c r="X186" i="3"/>
  <c r="AA186" i="3"/>
  <c r="Z188" i="3"/>
  <c r="X188" i="3"/>
  <c r="AA188" i="3"/>
  <c r="Z192" i="3"/>
  <c r="X192" i="3"/>
  <c r="AA192" i="3"/>
  <c r="Z196" i="3"/>
  <c r="X196" i="3"/>
  <c r="AA196" i="3"/>
  <c r="AU201" i="3"/>
  <c r="V201" i="3" s="1"/>
  <c r="Z201" i="3"/>
  <c r="AA201" i="3"/>
  <c r="X201" i="3"/>
  <c r="Z206" i="3"/>
  <c r="X206" i="3"/>
  <c r="AA206" i="3"/>
  <c r="Z212" i="3"/>
  <c r="X212" i="3"/>
  <c r="AA212" i="3"/>
  <c r="Z210" i="3"/>
  <c r="X210" i="3"/>
  <c r="AA210" i="3"/>
  <c r="AU217" i="3"/>
  <c r="V217" i="3" s="1"/>
  <c r="Z217" i="3"/>
  <c r="AA217" i="3"/>
  <c r="X217" i="3"/>
  <c r="Z220" i="3"/>
  <c r="X220" i="3"/>
  <c r="AA220" i="3"/>
  <c r="AU230" i="3"/>
  <c r="V230" i="3" s="1"/>
  <c r="Z230" i="3"/>
  <c r="AA230" i="3"/>
  <c r="X230" i="3"/>
  <c r="Z228" i="3"/>
  <c r="AA228" i="3"/>
  <c r="X228" i="3"/>
  <c r="AU226" i="3"/>
  <c r="V226" i="3" s="1"/>
  <c r="Z226" i="3"/>
  <c r="AA226" i="3"/>
  <c r="X226" i="3"/>
  <c r="Z224" i="3"/>
  <c r="AA224" i="3"/>
  <c r="X224" i="3"/>
  <c r="AU222" i="3"/>
  <c r="V222" i="3" s="1"/>
  <c r="Z222" i="3"/>
  <c r="X222" i="3"/>
  <c r="AA222" i="3"/>
  <c r="AU235" i="3"/>
  <c r="V235" i="3" s="1"/>
  <c r="Z235" i="3"/>
  <c r="AA235" i="3"/>
  <c r="X235" i="3"/>
  <c r="Z237" i="3"/>
  <c r="AA237" i="3"/>
  <c r="X237" i="3"/>
  <c r="X241" i="3"/>
  <c r="X242" i="3"/>
  <c r="Z261" i="3"/>
  <c r="X261" i="3"/>
  <c r="AA261" i="3"/>
  <c r="Z259" i="3"/>
  <c r="AA259" i="3"/>
  <c r="X259" i="3"/>
  <c r="Z257" i="3"/>
  <c r="X257" i="3"/>
  <c r="AA257" i="3"/>
  <c r="Z255" i="3"/>
  <c r="AA255" i="3"/>
  <c r="X255" i="3"/>
  <c r="Z253" i="3"/>
  <c r="X253" i="3"/>
  <c r="AA253" i="3"/>
  <c r="Z251" i="3"/>
  <c r="AA251" i="3"/>
  <c r="X251" i="3"/>
  <c r="Z248" i="3"/>
  <c r="AA248" i="3"/>
  <c r="X248" i="3"/>
  <c r="Z266" i="3"/>
  <c r="AA266" i="3"/>
  <c r="X266" i="3"/>
  <c r="Z269" i="3"/>
  <c r="X269" i="3"/>
  <c r="AA269" i="3"/>
  <c r="Z270" i="3"/>
  <c r="AA270" i="3"/>
  <c r="X270" i="3"/>
  <c r="Z278" i="3"/>
  <c r="AA278" i="3"/>
  <c r="X278" i="3"/>
  <c r="Z281" i="3"/>
  <c r="AA281" i="3"/>
  <c r="X281" i="3"/>
  <c r="Z282" i="3"/>
  <c r="AA282" i="3"/>
  <c r="X282" i="3"/>
  <c r="AU287" i="3"/>
  <c r="V287" i="3" s="1"/>
  <c r="Z287" i="3"/>
  <c r="AA287" i="3"/>
  <c r="X287" i="3"/>
  <c r="Z292" i="3"/>
  <c r="AA292" i="3"/>
  <c r="X292" i="3"/>
  <c r="AU295" i="3"/>
  <c r="V295" i="3" s="1"/>
  <c r="Z295" i="3"/>
  <c r="AA295" i="3"/>
  <c r="X295" i="3"/>
  <c r="Z299" i="3"/>
  <c r="AA299" i="3"/>
  <c r="X299" i="3"/>
  <c r="Z297" i="3"/>
  <c r="X297" i="3"/>
  <c r="AA297" i="3"/>
  <c r="AU303" i="3"/>
  <c r="V303" i="3" s="1"/>
  <c r="Z303" i="3"/>
  <c r="X303" i="3"/>
  <c r="AA303" i="3"/>
  <c r="Z305" i="3"/>
  <c r="AA305" i="3"/>
  <c r="X305" i="3"/>
  <c r="Z307" i="3"/>
  <c r="X307" i="3"/>
  <c r="AA307" i="3"/>
  <c r="Z311" i="3"/>
  <c r="AA311" i="3"/>
  <c r="X311" i="3"/>
  <c r="Z313" i="3"/>
  <c r="X313" i="3"/>
  <c r="AA313" i="3"/>
  <c r="Z315" i="3"/>
  <c r="AA315" i="3"/>
  <c r="X315" i="3"/>
  <c r="AU319" i="3"/>
  <c r="V319" i="3" s="1"/>
  <c r="Z319" i="3"/>
  <c r="X319" i="3"/>
  <c r="AA319" i="3"/>
  <c r="Z321" i="3"/>
  <c r="AA321" i="3"/>
  <c r="X321" i="3"/>
  <c r="Z323" i="3"/>
  <c r="X323" i="3"/>
  <c r="AA323" i="3"/>
  <c r="AU327" i="3"/>
  <c r="V327" i="3" s="1"/>
  <c r="Z327" i="3"/>
  <c r="AA327" i="3"/>
  <c r="X327" i="3"/>
  <c r="Z330" i="3"/>
  <c r="AA330" i="3"/>
  <c r="X330" i="3"/>
  <c r="AU328" i="3"/>
  <c r="V328" i="3" s="1"/>
  <c r="Z328" i="3"/>
  <c r="AA328" i="3"/>
  <c r="X328" i="3"/>
  <c r="Z337" i="3"/>
  <c r="AA337" i="3"/>
  <c r="X337" i="3"/>
  <c r="AU335" i="3"/>
  <c r="V335" i="3" s="1"/>
  <c r="Z335" i="3"/>
  <c r="X335" i="3"/>
  <c r="AA335" i="3"/>
  <c r="Z343" i="3"/>
  <c r="AA343" i="3"/>
  <c r="X343" i="3"/>
  <c r="Z341" i="3"/>
  <c r="X341" i="3"/>
  <c r="AA341" i="3"/>
  <c r="X349" i="3"/>
  <c r="X347" i="3"/>
  <c r="Z363" i="3"/>
  <c r="X363" i="3"/>
  <c r="AA363" i="3"/>
  <c r="Z361" i="3"/>
  <c r="AA361" i="3"/>
  <c r="X361" i="3"/>
  <c r="Z359" i="3"/>
  <c r="X359" i="3"/>
  <c r="AA359" i="3"/>
  <c r="Z357" i="3"/>
  <c r="AA357" i="3"/>
  <c r="X357" i="3"/>
  <c r="Z355" i="3"/>
  <c r="X355" i="3"/>
  <c r="AA355" i="3"/>
  <c r="Z368" i="3"/>
  <c r="AA368" i="3"/>
  <c r="X368" i="3"/>
  <c r="Z376" i="3"/>
  <c r="AA376" i="3"/>
  <c r="X376" i="3"/>
  <c r="AU379" i="3"/>
  <c r="V379" i="3" s="1"/>
  <c r="Z379" i="3"/>
  <c r="X379" i="3"/>
  <c r="AA379" i="3"/>
  <c r="Z377" i="3"/>
  <c r="AA377" i="3"/>
  <c r="X377" i="3"/>
  <c r="AU387" i="3"/>
  <c r="V387" i="3" s="1"/>
  <c r="Z387" i="3"/>
  <c r="AA387" i="3"/>
  <c r="X387" i="3"/>
  <c r="Z385" i="3"/>
  <c r="X385" i="3"/>
  <c r="AA385" i="3"/>
  <c r="Z392" i="3"/>
  <c r="AA392" i="3"/>
  <c r="X392" i="3"/>
  <c r="Z393" i="3"/>
  <c r="X393" i="3"/>
  <c r="AA393" i="3"/>
  <c r="Z399" i="3"/>
  <c r="X399" i="3"/>
  <c r="AA399" i="3"/>
  <c r="Z413" i="3"/>
  <c r="AA413" i="3"/>
  <c r="X413" i="3"/>
  <c r="Z415" i="3"/>
  <c r="AA415" i="3"/>
  <c r="X415" i="3"/>
  <c r="AA417" i="3"/>
  <c r="Z417" i="3"/>
  <c r="X417" i="3"/>
  <c r="AA419" i="3"/>
  <c r="Z419" i="3"/>
  <c r="X419" i="3"/>
  <c r="AA421" i="3"/>
  <c r="Z421" i="3"/>
  <c r="X421" i="3"/>
  <c r="AA425" i="3"/>
  <c r="Z425" i="3"/>
  <c r="X425" i="3"/>
  <c r="AA427" i="3"/>
  <c r="Z427" i="3"/>
  <c r="X427" i="3"/>
  <c r="AA429" i="3"/>
  <c r="Z429" i="3"/>
  <c r="X429" i="3"/>
  <c r="AA431" i="3"/>
  <c r="Z431" i="3"/>
  <c r="X431" i="3"/>
  <c r="AA435" i="3"/>
  <c r="Z435" i="3"/>
  <c r="X435" i="3"/>
  <c r="AA437" i="3"/>
  <c r="Z437" i="3"/>
  <c r="X437" i="3"/>
  <c r="AA439" i="3"/>
  <c r="Z439" i="3"/>
  <c r="X439" i="3"/>
  <c r="AA443" i="3"/>
  <c r="Z443" i="3"/>
  <c r="X443" i="3"/>
  <c r="AA445" i="3"/>
  <c r="Z445" i="3"/>
  <c r="X445" i="3"/>
  <c r="AA447" i="3"/>
  <c r="Z447" i="3"/>
  <c r="X447" i="3"/>
  <c r="AA449" i="3"/>
  <c r="Z449" i="3"/>
  <c r="X449" i="3"/>
  <c r="AA455" i="3"/>
  <c r="Z455" i="3"/>
  <c r="X455" i="3"/>
  <c r="AA457" i="3"/>
  <c r="Z457" i="3"/>
  <c r="X457" i="3"/>
  <c r="AA459" i="3"/>
  <c r="Z459" i="3"/>
  <c r="X459" i="3"/>
  <c r="AA461" i="3"/>
  <c r="Z461" i="3"/>
  <c r="X461" i="3"/>
  <c r="AA463" i="3"/>
  <c r="Z463" i="3"/>
  <c r="X463" i="3"/>
  <c r="AA465" i="3"/>
  <c r="Z465" i="3"/>
  <c r="X465" i="3"/>
  <c r="AA467" i="3"/>
  <c r="Z467" i="3"/>
  <c r="X467" i="3"/>
  <c r="AA469" i="3"/>
  <c r="Z469" i="3"/>
  <c r="X469" i="3"/>
  <c r="AA471" i="3"/>
  <c r="Z471" i="3"/>
  <c r="X471" i="3"/>
  <c r="AA473" i="3"/>
  <c r="Z473" i="3"/>
  <c r="X473" i="3"/>
  <c r="AA475" i="3"/>
  <c r="Z475" i="3"/>
  <c r="X475" i="3"/>
  <c r="AA477" i="3"/>
  <c r="Z477" i="3"/>
  <c r="X477" i="3"/>
  <c r="AA479" i="3"/>
  <c r="Z479" i="3"/>
  <c r="X479" i="3"/>
  <c r="AA481" i="3"/>
  <c r="Z481" i="3"/>
  <c r="X481" i="3"/>
  <c r="AA483" i="3"/>
  <c r="Z483" i="3"/>
  <c r="X483" i="3"/>
  <c r="AA485" i="3"/>
  <c r="Z485" i="3"/>
  <c r="X485" i="3"/>
  <c r="AA487" i="3"/>
  <c r="Z487" i="3"/>
  <c r="X487" i="3"/>
  <c r="AA489" i="3"/>
  <c r="Z489" i="3"/>
  <c r="X489" i="3"/>
  <c r="AA491" i="3"/>
  <c r="Z491" i="3"/>
  <c r="X491" i="3"/>
  <c r="AA493" i="3"/>
  <c r="Z493" i="3"/>
  <c r="X493" i="3"/>
  <c r="AA495" i="3"/>
  <c r="Z495" i="3"/>
  <c r="X495" i="3"/>
  <c r="AA497" i="3"/>
  <c r="Z497" i="3"/>
  <c r="X497" i="3"/>
  <c r="AA499" i="3"/>
  <c r="Z499" i="3"/>
  <c r="X499" i="3"/>
  <c r="AA503" i="3"/>
  <c r="Z503" i="3"/>
  <c r="X503" i="3"/>
  <c r="AA507" i="3"/>
  <c r="Z507" i="3"/>
  <c r="X507" i="3"/>
  <c r="Z508" i="3"/>
  <c r="AA508" i="3"/>
  <c r="X508" i="3"/>
  <c r="Z523" i="3"/>
  <c r="AA523" i="3"/>
  <c r="X523" i="3"/>
  <c r="Z521" i="3"/>
  <c r="AA521" i="3"/>
  <c r="X521" i="3"/>
  <c r="Z519" i="3"/>
  <c r="AA519" i="3"/>
  <c r="X519" i="3"/>
  <c r="Z517" i="3"/>
  <c r="AA517" i="3"/>
  <c r="X517" i="3"/>
  <c r="Z515" i="3"/>
  <c r="AA515" i="3"/>
  <c r="X515" i="3"/>
  <c r="AA531" i="3"/>
  <c r="Z531" i="3"/>
  <c r="X531" i="3"/>
  <c r="AA529" i="3"/>
  <c r="Z529" i="3"/>
  <c r="X529" i="3"/>
  <c r="Z527" i="3"/>
  <c r="AA527" i="3"/>
  <c r="X527" i="3"/>
  <c r="AA539" i="3"/>
  <c r="Z539" i="3"/>
  <c r="X539" i="3"/>
  <c r="AA537" i="3"/>
  <c r="Z537" i="3"/>
  <c r="X537" i="3"/>
  <c r="AA546" i="3"/>
  <c r="Z546" i="3"/>
  <c r="X546" i="3"/>
  <c r="AA544" i="3"/>
  <c r="Z544" i="3"/>
  <c r="X544" i="3"/>
  <c r="AA551" i="3"/>
  <c r="Z551" i="3"/>
  <c r="X551" i="3"/>
  <c r="AA566" i="3"/>
  <c r="Z566" i="3"/>
  <c r="X566" i="3"/>
  <c r="AA564" i="3"/>
  <c r="Z564" i="3"/>
  <c r="X564" i="3"/>
  <c r="AA562" i="3"/>
  <c r="Z562" i="3"/>
  <c r="X562" i="3"/>
  <c r="AA560" i="3"/>
  <c r="Z560" i="3"/>
  <c r="X560" i="3"/>
  <c r="AA558" i="3"/>
  <c r="Z558" i="3"/>
  <c r="X558" i="3"/>
  <c r="AA556" i="3"/>
  <c r="Z556" i="3"/>
  <c r="X556" i="3"/>
  <c r="AA554" i="3"/>
  <c r="Z554" i="3"/>
  <c r="X554" i="3"/>
  <c r="AU552" i="3"/>
  <c r="V552" i="3" s="1"/>
  <c r="AA552" i="3"/>
  <c r="Z552" i="3"/>
  <c r="X552" i="3"/>
  <c r="AA571" i="3"/>
  <c r="Z571" i="3"/>
  <c r="X571" i="3"/>
  <c r="AA576" i="3"/>
  <c r="Z576" i="3"/>
  <c r="X576" i="3"/>
  <c r="AA579" i="3"/>
  <c r="Z579" i="3"/>
  <c r="X579" i="3"/>
  <c r="AA582" i="3"/>
  <c r="Z582" i="3"/>
  <c r="X582" i="3"/>
  <c r="AA580" i="3"/>
  <c r="Z580" i="3"/>
  <c r="X580" i="3"/>
  <c r="AA588" i="3"/>
  <c r="Z588" i="3"/>
  <c r="X588" i="3"/>
  <c r="AA593" i="3"/>
  <c r="Z593" i="3"/>
  <c r="X593" i="3"/>
  <c r="AA598" i="3"/>
  <c r="Z598" i="3"/>
  <c r="X598" i="3"/>
  <c r="AA596" i="3"/>
  <c r="Z596" i="3"/>
  <c r="X596" i="3"/>
  <c r="AA594" i="3"/>
  <c r="Z594" i="3"/>
  <c r="X594" i="3"/>
  <c r="AA612" i="3"/>
  <c r="Z612" i="3"/>
  <c r="X612" i="3"/>
  <c r="AA610" i="3"/>
  <c r="Z610" i="3"/>
  <c r="X610" i="3"/>
  <c r="AA608" i="3"/>
  <c r="Z608" i="3"/>
  <c r="X608" i="3"/>
  <c r="AA606" i="3"/>
  <c r="Z606" i="3"/>
  <c r="X606" i="3"/>
  <c r="AA604" i="3"/>
  <c r="Z604" i="3"/>
  <c r="X604" i="3"/>
  <c r="AA615" i="3"/>
  <c r="Z615" i="3"/>
  <c r="X615" i="3"/>
  <c r="AA619" i="3"/>
  <c r="Z619" i="3"/>
  <c r="X619" i="3"/>
  <c r="AA617" i="3"/>
  <c r="Z617" i="3"/>
  <c r="X617" i="3"/>
  <c r="J5" i="2"/>
  <c r="CA14" i="1"/>
  <c r="CV14" i="1" s="1"/>
  <c r="AZ13" i="1"/>
  <c r="H2" i="2"/>
  <c r="I5" i="2"/>
  <c r="I6" i="2"/>
  <c r="I7" i="2"/>
  <c r="I10" i="2" s="1"/>
  <c r="J7" i="2"/>
  <c r="J10" i="2" s="1"/>
  <c r="O450" i="3" s="1"/>
  <c r="CA16" i="1"/>
  <c r="CV16" i="1" s="1"/>
  <c r="CA13" i="1"/>
  <c r="CV13" i="1" s="1"/>
  <c r="CA15" i="1"/>
  <c r="CV15" i="1" s="1"/>
  <c r="H3" i="2"/>
  <c r="H5" i="2"/>
  <c r="H6" i="2"/>
  <c r="H7" i="2"/>
  <c r="H8" i="2"/>
  <c r="J6" i="2"/>
  <c r="B233" i="8"/>
  <c r="E513" i="7" s="1"/>
  <c r="B225" i="8"/>
  <c r="E505" i="7" s="1"/>
  <c r="B217" i="8"/>
  <c r="E497" i="7" s="1"/>
  <c r="B209" i="8"/>
  <c r="E489" i="7" s="1"/>
  <c r="B201" i="8"/>
  <c r="E481" i="7" s="1"/>
  <c r="B260" i="8"/>
  <c r="B241" i="8"/>
  <c r="B186" i="8"/>
  <c r="B177" i="8"/>
  <c r="B160" i="8"/>
  <c r="B154" i="8"/>
  <c r="B147" i="8"/>
  <c r="B119" i="8"/>
  <c r="B109" i="8"/>
  <c r="B93" i="8"/>
  <c r="B38" i="8"/>
  <c r="B27" i="8"/>
  <c r="B16" i="8"/>
  <c r="B7" i="8"/>
  <c r="B229" i="8"/>
  <c r="E509" i="7" s="1"/>
  <c r="B213" i="8"/>
  <c r="E493" i="7" s="1"/>
  <c r="B197" i="8"/>
  <c r="E477" i="7" s="1"/>
  <c r="B282" i="8"/>
  <c r="B192" i="8"/>
  <c r="B165" i="8"/>
  <c r="B153" i="8"/>
  <c r="B114" i="8"/>
  <c r="B46" i="8"/>
  <c r="B22" i="8"/>
  <c r="B2" i="8"/>
  <c r="B237" i="8"/>
  <c r="E517" i="7" s="1"/>
  <c r="B221" i="8"/>
  <c r="E501" i="7" s="1"/>
  <c r="B205" i="8"/>
  <c r="E485" i="7" s="1"/>
  <c r="B253" i="8"/>
  <c r="B181" i="8"/>
  <c r="B155" i="8"/>
  <c r="B123" i="8"/>
  <c r="B96" i="8"/>
  <c r="B33" i="8"/>
  <c r="B10" i="8"/>
  <c r="B4" i="8"/>
  <c r="B9" i="8"/>
  <c r="E54" i="7" s="1"/>
  <c r="BG54" i="7" s="1"/>
  <c r="B14" i="8"/>
  <c r="E60" i="7" s="1"/>
  <c r="B19" i="8"/>
  <c r="E66" i="7" s="1"/>
  <c r="B24" i="8"/>
  <c r="E72" i="7" s="1"/>
  <c r="B29" i="8"/>
  <c r="E82" i="7" s="1"/>
  <c r="B34" i="8"/>
  <c r="X2" i="2" s="1"/>
  <c r="B40" i="8"/>
  <c r="E130" i="7" s="1"/>
  <c r="B44" i="8"/>
  <c r="E134" i="7" s="1"/>
  <c r="B49" i="8"/>
  <c r="E141" i="7" s="1"/>
  <c r="B53" i="8"/>
  <c r="E145" i="7" s="1"/>
  <c r="B57" i="8"/>
  <c r="E149" i="7" s="1"/>
  <c r="B61" i="8"/>
  <c r="E153" i="7" s="1"/>
  <c r="B65" i="8"/>
  <c r="E157" i="7" s="1"/>
  <c r="B69" i="8"/>
  <c r="E161" i="7" s="1"/>
  <c r="B73" i="8"/>
  <c r="E165" i="7" s="1"/>
  <c r="B77" i="8"/>
  <c r="E169" i="7" s="1"/>
  <c r="B81" i="8"/>
  <c r="E173" i="7" s="1"/>
  <c r="B85" i="8"/>
  <c r="E177" i="7" s="1"/>
  <c r="B89" i="8"/>
  <c r="E181" i="7" s="1"/>
  <c r="B94" i="8"/>
  <c r="E187" i="7" s="1"/>
  <c r="B99" i="8"/>
  <c r="E196" i="7" s="1"/>
  <c r="B103" i="8"/>
  <c r="E200" i="7" s="1"/>
  <c r="B107" i="8"/>
  <c r="E214" i="7" s="1"/>
  <c r="B194" i="8"/>
  <c r="E474" i="7" s="1"/>
  <c r="B198" i="8"/>
  <c r="E478" i="7" s="1"/>
  <c r="B202" i="8"/>
  <c r="E482" i="7" s="1"/>
  <c r="B206" i="8"/>
  <c r="E486" i="7" s="1"/>
  <c r="B210" i="8"/>
  <c r="E490" i="7" s="1"/>
  <c r="B214" i="8"/>
  <c r="E494" i="7" s="1"/>
  <c r="B218" i="8"/>
  <c r="E498" i="7" s="1"/>
  <c r="B222" i="8"/>
  <c r="E502" i="7" s="1"/>
  <c r="B226" i="8"/>
  <c r="E506" i="7" s="1"/>
  <c r="B230" i="8"/>
  <c r="E510" i="7" s="1"/>
  <c r="B234" i="8"/>
  <c r="E514" i="7" s="1"/>
  <c r="B238" i="8"/>
  <c r="E518" i="7" s="1"/>
  <c r="B3" i="8"/>
  <c r="E24" i="7" s="1"/>
  <c r="B8" i="8"/>
  <c r="B13" i="8"/>
  <c r="E59" i="7" s="1"/>
  <c r="B18" i="8"/>
  <c r="E65" i="7" s="1"/>
  <c r="B23" i="8"/>
  <c r="E71" i="7" s="1"/>
  <c r="BI71" i="7" s="1"/>
  <c r="B28" i="8"/>
  <c r="E81" i="7" s="1"/>
  <c r="B32" i="8"/>
  <c r="E85" i="7" s="1"/>
  <c r="B39" i="8"/>
  <c r="E129" i="7" s="1"/>
  <c r="B43" i="8"/>
  <c r="E133" i="7" s="1"/>
  <c r="B48" i="8"/>
  <c r="E140" i="7" s="1"/>
  <c r="B52" i="8"/>
  <c r="E144" i="7" s="1"/>
  <c r="B56" i="8"/>
  <c r="E148" i="7" s="1"/>
  <c r="B60" i="8"/>
  <c r="E152" i="7" s="1"/>
  <c r="B64" i="8"/>
  <c r="E156" i="7" s="1"/>
  <c r="B68" i="8"/>
  <c r="E160" i="7" s="1"/>
  <c r="B72" i="8"/>
  <c r="E164" i="7" s="1"/>
  <c r="B76" i="8"/>
  <c r="E168" i="7" s="1"/>
  <c r="B80" i="8"/>
  <c r="E172" i="7" s="1"/>
  <c r="B84" i="8"/>
  <c r="E176" i="7" s="1"/>
  <c r="B88" i="8"/>
  <c r="E180" i="7" s="1"/>
  <c r="B92" i="8"/>
  <c r="E184" i="7" s="1"/>
  <c r="B98" i="8"/>
  <c r="E195" i="7" s="1"/>
  <c r="B102" i="8"/>
  <c r="E199" i="7" s="1"/>
  <c r="B106" i="8"/>
  <c r="B111" i="8"/>
  <c r="B116" i="8"/>
  <c r="E254" i="7" s="1"/>
  <c r="B121" i="8"/>
  <c r="E260" i="7" s="1"/>
  <c r="B126" i="8"/>
  <c r="E267" i="7" s="1"/>
  <c r="B130" i="8"/>
  <c r="E271" i="7" s="1"/>
  <c r="B134" i="8"/>
  <c r="E275" i="7" s="1"/>
  <c r="B138" i="8"/>
  <c r="E279" i="7" s="1"/>
  <c r="B142" i="8"/>
  <c r="B146" i="8"/>
  <c r="B151" i="8"/>
  <c r="E348" i="7" s="1"/>
  <c r="B159" i="8"/>
  <c r="E361" i="7" s="1"/>
  <c r="B164" i="8"/>
  <c r="E367" i="7" s="1"/>
  <c r="B169" i="8"/>
  <c r="E375" i="7" s="1"/>
  <c r="B173" i="8"/>
  <c r="E379" i="7" s="1"/>
  <c r="B178" i="8"/>
  <c r="E391" i="7" s="1"/>
  <c r="B183" i="8"/>
  <c r="E411" i="7" s="1"/>
  <c r="B188" i="8"/>
  <c r="B240" i="8"/>
  <c r="B245" i="8"/>
  <c r="E535" i="7" s="1"/>
  <c r="B249" i="8"/>
  <c r="E539" i="7" s="1"/>
  <c r="B254" i="8"/>
  <c r="E560" i="7" s="1"/>
  <c r="BH560" i="7" s="1"/>
  <c r="B258" i="8"/>
  <c r="E564" i="7" s="1"/>
  <c r="B263" i="8"/>
  <c r="E571" i="7" s="1"/>
  <c r="B269" i="8"/>
  <c r="E577" i="7" s="1"/>
  <c r="B273" i="8"/>
  <c r="E581" i="7" s="1"/>
  <c r="B277" i="8"/>
  <c r="E585" i="7" s="1"/>
  <c r="B281" i="8"/>
  <c r="B112" i="8"/>
  <c r="B117" i="8"/>
  <c r="E255" i="7" s="1"/>
  <c r="B122" i="8"/>
  <c r="E261" i="7" s="1"/>
  <c r="B127" i="8"/>
  <c r="E268" i="7" s="1"/>
  <c r="B131" i="8"/>
  <c r="E272" i="7" s="1"/>
  <c r="B135" i="8"/>
  <c r="E276" i="7" s="1"/>
  <c r="B139" i="8"/>
  <c r="B143" i="8"/>
  <c r="B148" i="8"/>
  <c r="E345" i="7" s="1"/>
  <c r="B152" i="8"/>
  <c r="E349" i="7" s="1"/>
  <c r="BF349" i="7" s="1"/>
  <c r="B158" i="8"/>
  <c r="E360" i="7" s="1"/>
  <c r="B163" i="8"/>
  <c r="E366" i="7" s="1"/>
  <c r="B168" i="8"/>
  <c r="E374" i="7" s="1"/>
  <c r="B172" i="8"/>
  <c r="E378" i="7" s="1"/>
  <c r="B176" i="8"/>
  <c r="B182" i="8"/>
  <c r="E410" i="7" s="1"/>
  <c r="B187" i="8"/>
  <c r="B242" i="8"/>
  <c r="E532" i="7" s="1"/>
  <c r="B246" i="8"/>
  <c r="E536" i="7" s="1"/>
  <c r="B250" i="8"/>
  <c r="E540" i="7" s="1"/>
  <c r="BH540" i="7" s="1"/>
  <c r="B255" i="8"/>
  <c r="E561" i="7" s="1"/>
  <c r="B259" i="8"/>
  <c r="B264" i="8"/>
  <c r="E572" i="7" s="1"/>
  <c r="B268" i="8"/>
  <c r="E576" i="7" s="1"/>
  <c r="BG576" i="7" s="1"/>
  <c r="B272" i="8"/>
  <c r="E580" i="7" s="1"/>
  <c r="B276" i="8"/>
  <c r="E584" i="7" s="1"/>
  <c r="B280" i="8"/>
  <c r="B285" i="8"/>
  <c r="B199" i="8"/>
  <c r="E479" i="7" s="1"/>
  <c r="B207" i="8"/>
  <c r="E487" i="7" s="1"/>
  <c r="B215" i="8"/>
  <c r="E495" i="7" s="1"/>
  <c r="B223" i="8"/>
  <c r="E503" i="7" s="1"/>
  <c r="B231" i="8"/>
  <c r="E511" i="7" s="1"/>
  <c r="B6" i="8"/>
  <c r="B12" i="8"/>
  <c r="E58" i="7" s="1"/>
  <c r="B17" i="8"/>
  <c r="E64" i="7" s="1"/>
  <c r="B21" i="8"/>
  <c r="E68" i="7" s="1"/>
  <c r="B26" i="8"/>
  <c r="B31" i="8"/>
  <c r="E84" i="7" s="1"/>
  <c r="B37" i="8"/>
  <c r="B42" i="8"/>
  <c r="E132" i="7" s="1"/>
  <c r="B47" i="8"/>
  <c r="E139" i="7" s="1"/>
  <c r="B51" i="8"/>
  <c r="E143" i="7" s="1"/>
  <c r="B55" i="8"/>
  <c r="E147" i="7" s="1"/>
  <c r="BG147" i="7" s="1"/>
  <c r="B59" i="8"/>
  <c r="E151" i="7" s="1"/>
  <c r="B63" i="8"/>
  <c r="E155" i="7" s="1"/>
  <c r="B67" i="8"/>
  <c r="E159" i="7" s="1"/>
  <c r="B71" i="8"/>
  <c r="E163" i="7" s="1"/>
  <c r="B75" i="8"/>
  <c r="E167" i="7" s="1"/>
  <c r="B79" i="8"/>
  <c r="E171" i="7" s="1"/>
  <c r="B83" i="8"/>
  <c r="E175" i="7" s="1"/>
  <c r="B87" i="8"/>
  <c r="E179" i="7" s="1"/>
  <c r="B91" i="8"/>
  <c r="E183" i="7" s="1"/>
  <c r="B97" i="8"/>
  <c r="E194" i="7" s="1"/>
  <c r="B101" i="8"/>
  <c r="E198" i="7" s="1"/>
  <c r="B105" i="8"/>
  <c r="B193" i="8"/>
  <c r="E473" i="7" s="1"/>
  <c r="B196" i="8"/>
  <c r="E476" i="7" s="1"/>
  <c r="B200" i="8"/>
  <c r="E480" i="7" s="1"/>
  <c r="B204" i="8"/>
  <c r="E484" i="7" s="1"/>
  <c r="B208" i="8"/>
  <c r="E488" i="7" s="1"/>
  <c r="B212" i="8"/>
  <c r="E492" i="7" s="1"/>
  <c r="B216" i="8"/>
  <c r="E496" i="7" s="1"/>
  <c r="B220" i="8"/>
  <c r="E500" i="7" s="1"/>
  <c r="B224" i="8"/>
  <c r="E504" i="7" s="1"/>
  <c r="B228" i="8"/>
  <c r="E508" i="7" s="1"/>
  <c r="B232" i="8"/>
  <c r="E512" i="7" s="1"/>
  <c r="B236" i="8"/>
  <c r="E516" i="7" s="1"/>
  <c r="B110" i="8"/>
  <c r="E224" i="7" s="1"/>
  <c r="B5" i="8"/>
  <c r="B11" i="8"/>
  <c r="E57" i="7" s="1"/>
  <c r="BG57" i="7" s="1"/>
  <c r="B15" i="8"/>
  <c r="E61" i="7" s="1"/>
  <c r="B20" i="8"/>
  <c r="E67" i="7" s="1"/>
  <c r="B25" i="8"/>
  <c r="E73" i="7" s="1"/>
  <c r="BG73" i="7" s="1"/>
  <c r="B30" i="8"/>
  <c r="E83" i="7" s="1"/>
  <c r="B35" i="8"/>
  <c r="X3" i="2" s="1"/>
  <c r="B41" i="8"/>
  <c r="E131" i="7" s="1"/>
  <c r="B45" i="8"/>
  <c r="E135" i="7" s="1"/>
  <c r="B50" i="8"/>
  <c r="E142" i="7" s="1"/>
  <c r="B54" i="8"/>
  <c r="E146" i="7" s="1"/>
  <c r="B58" i="8"/>
  <c r="E150" i="7" s="1"/>
  <c r="B62" i="8"/>
  <c r="E154" i="7" s="1"/>
  <c r="B66" i="8"/>
  <c r="E158" i="7" s="1"/>
  <c r="B70" i="8"/>
  <c r="E162" i="7" s="1"/>
  <c r="B74" i="8"/>
  <c r="E166" i="7" s="1"/>
  <c r="B78" i="8"/>
  <c r="E170" i="7" s="1"/>
  <c r="B82" i="8"/>
  <c r="E174" i="7" s="1"/>
  <c r="B86" i="8"/>
  <c r="E178" i="7" s="1"/>
  <c r="B90" i="8"/>
  <c r="E182" i="7" s="1"/>
  <c r="B95" i="8"/>
  <c r="E188" i="7" s="1"/>
  <c r="B100" i="8"/>
  <c r="E197" i="7" s="1"/>
  <c r="B104" i="8"/>
  <c r="E201" i="7" s="1"/>
  <c r="B108" i="8"/>
  <c r="B113" i="8"/>
  <c r="E250" i="7" s="1"/>
  <c r="B118" i="8"/>
  <c r="E256" i="7" s="1"/>
  <c r="B124" i="8"/>
  <c r="E265" i="7" s="1"/>
  <c r="B128" i="8"/>
  <c r="E269" i="7" s="1"/>
  <c r="B132" i="8"/>
  <c r="E273" i="7" s="1"/>
  <c r="B136" i="8"/>
  <c r="E277" i="7" s="1"/>
  <c r="B140" i="8"/>
  <c r="B144" i="8"/>
  <c r="B149" i="8"/>
  <c r="E346" i="7" s="1"/>
  <c r="B157" i="8"/>
  <c r="E359" i="7" s="1"/>
  <c r="B162" i="8"/>
  <c r="E365" i="7" s="1"/>
  <c r="B167" i="8"/>
  <c r="E373" i="7" s="1"/>
  <c r="B171" i="8"/>
  <c r="E377" i="7" s="1"/>
  <c r="B175" i="8"/>
  <c r="E381" i="7" s="1"/>
  <c r="B180" i="8"/>
  <c r="B185" i="8"/>
  <c r="B191" i="8"/>
  <c r="B243" i="8"/>
  <c r="E533" i="7" s="1"/>
  <c r="B247" i="8"/>
  <c r="E537" i="7" s="1"/>
  <c r="BF537" i="7" s="1"/>
  <c r="B251" i="8"/>
  <c r="E541" i="7" s="1"/>
  <c r="BH541" i="7" s="1"/>
  <c r="B256" i="8"/>
  <c r="E562" i="7" s="1"/>
  <c r="B261" i="8"/>
  <c r="E569" i="7" s="1"/>
  <c r="B267" i="8"/>
  <c r="E575" i="7" s="1"/>
  <c r="B271" i="8"/>
  <c r="E579" i="7" s="1"/>
  <c r="B275" i="8"/>
  <c r="E583" i="7" s="1"/>
  <c r="B279" i="8"/>
  <c r="B115" i="8"/>
  <c r="E253" i="7" s="1"/>
  <c r="B125" i="8"/>
  <c r="E266" i="7" s="1"/>
  <c r="B133" i="8"/>
  <c r="E274" i="7" s="1"/>
  <c r="B141" i="8"/>
  <c r="B150" i="8"/>
  <c r="E347" i="7" s="1"/>
  <c r="B161" i="8"/>
  <c r="E364" i="7" s="1"/>
  <c r="BH364" i="7" s="1"/>
  <c r="B170" i="8"/>
  <c r="E376" i="7" s="1"/>
  <c r="B179" i="8"/>
  <c r="B239" i="8"/>
  <c r="B248" i="8"/>
  <c r="E538" i="7" s="1"/>
  <c r="B257" i="8"/>
  <c r="E563" i="7" s="1"/>
  <c r="BH563" i="7" s="1"/>
  <c r="B266" i="8"/>
  <c r="E574" i="7" s="1"/>
  <c r="B274" i="8"/>
  <c r="E582" i="7" s="1"/>
  <c r="B283" i="8"/>
  <c r="B203" i="8"/>
  <c r="E483" i="7" s="1"/>
  <c r="B219" i="8"/>
  <c r="E499" i="7" s="1"/>
  <c r="B235" i="8"/>
  <c r="E515" i="7" s="1"/>
  <c r="B284" i="8"/>
  <c r="B120" i="8"/>
  <c r="E259" i="7" s="1"/>
  <c r="BG259" i="7" s="1"/>
  <c r="B129" i="8"/>
  <c r="E270" i="7" s="1"/>
  <c r="B137" i="8"/>
  <c r="E278" i="7" s="1"/>
  <c r="B145" i="8"/>
  <c r="B156" i="8"/>
  <c r="E358" i="7" s="1"/>
  <c r="B166" i="8"/>
  <c r="E372" i="7" s="1"/>
  <c r="BF372" i="7" s="1"/>
  <c r="B174" i="8"/>
  <c r="E380" i="7" s="1"/>
  <c r="B184" i="8"/>
  <c r="E412" i="7" s="1"/>
  <c r="B244" i="8"/>
  <c r="E534" i="7" s="1"/>
  <c r="B252" i="8"/>
  <c r="B262" i="8"/>
  <c r="E570" i="7" s="1"/>
  <c r="B270" i="8"/>
  <c r="E578" i="7" s="1"/>
  <c r="B278" i="8"/>
  <c r="B195" i="8"/>
  <c r="E475" i="7" s="1"/>
  <c r="B211" i="8"/>
  <c r="E491" i="7" s="1"/>
  <c r="B227" i="8"/>
  <c r="E507" i="7" s="1"/>
  <c r="B265" i="8"/>
  <c r="E573" i="7" s="1"/>
  <c r="B189" i="8"/>
  <c r="B36" i="8"/>
  <c r="X4" i="2" s="1"/>
  <c r="B190" i="8"/>
  <c r="AU40" i="3"/>
  <c r="V40" i="3" s="1"/>
  <c r="AU42" i="3"/>
  <c r="V42" i="3" s="1"/>
  <c r="AU77" i="3"/>
  <c r="V77" i="3" s="1"/>
  <c r="AU93" i="3"/>
  <c r="V93" i="3" s="1"/>
  <c r="AU104" i="3"/>
  <c r="V104" i="3" s="1"/>
  <c r="AU106" i="3"/>
  <c r="V106" i="3" s="1"/>
  <c r="AU111" i="3"/>
  <c r="V111" i="3" s="1"/>
  <c r="AU116" i="3"/>
  <c r="V116" i="3" s="1"/>
  <c r="AU114" i="3"/>
  <c r="V114" i="3" s="1"/>
  <c r="AU112" i="3"/>
  <c r="V112" i="3" s="1"/>
  <c r="AU134" i="3"/>
  <c r="V134" i="3" s="1"/>
  <c r="AU132" i="3"/>
  <c r="V132" i="3" s="1"/>
  <c r="AU130" i="3"/>
  <c r="V130" i="3" s="1"/>
  <c r="AU128" i="3"/>
  <c r="V128" i="3" s="1"/>
  <c r="AU126" i="3"/>
  <c r="V126" i="3" s="1"/>
  <c r="AU124" i="3"/>
  <c r="V124" i="3" s="1"/>
  <c r="AU122" i="3"/>
  <c r="V122" i="3" s="1"/>
  <c r="AU165" i="3"/>
  <c r="V165" i="3" s="1"/>
  <c r="AU163" i="3"/>
  <c r="V163" i="3" s="1"/>
  <c r="AU161" i="3"/>
  <c r="V161" i="3" s="1"/>
  <c r="AU157" i="3"/>
  <c r="V157" i="3" s="1"/>
  <c r="AU155" i="3"/>
  <c r="V155" i="3" s="1"/>
  <c r="AU153" i="3"/>
  <c r="V153" i="3" s="1"/>
  <c r="AU149" i="3"/>
  <c r="V149" i="3" s="1"/>
  <c r="AU147" i="3"/>
  <c r="V147" i="3" s="1"/>
  <c r="AU145" i="3"/>
  <c r="V145" i="3" s="1"/>
  <c r="AU141" i="3"/>
  <c r="V141" i="3" s="1"/>
  <c r="AU139" i="3"/>
  <c r="V139" i="3" s="1"/>
  <c r="AU137" i="3"/>
  <c r="V137" i="3" s="1"/>
  <c r="AU179" i="3"/>
  <c r="V179" i="3" s="1"/>
  <c r="AU187" i="3"/>
  <c r="V187" i="3" s="1"/>
  <c r="AU199" i="3"/>
  <c r="V199" i="3" s="1"/>
  <c r="AU200" i="3"/>
  <c r="V200" i="3" s="1"/>
  <c r="AU209" i="3"/>
  <c r="V209" i="3" s="1"/>
  <c r="AU211" i="3"/>
  <c r="V211" i="3" s="1"/>
  <c r="AU215" i="3"/>
  <c r="V215" i="3" s="1"/>
  <c r="AU216" i="3"/>
  <c r="V216" i="3" s="1"/>
  <c r="AU229" i="3"/>
  <c r="V229" i="3" s="1"/>
  <c r="AU225" i="3"/>
  <c r="V225" i="3" s="1"/>
  <c r="AU221" i="3"/>
  <c r="V221" i="3" s="1"/>
  <c r="AU238" i="3"/>
  <c r="V238" i="3" s="1"/>
  <c r="AU243" i="3"/>
  <c r="V243" i="3" s="1"/>
  <c r="AU247" i="3"/>
  <c r="V247" i="3" s="1"/>
  <c r="AU260" i="3"/>
  <c r="V260" i="3" s="1"/>
  <c r="AU258" i="3"/>
  <c r="V258" i="3" s="1"/>
  <c r="AU256" i="3"/>
  <c r="V256" i="3" s="1"/>
  <c r="AU254" i="3"/>
  <c r="V254" i="3" s="1"/>
  <c r="AU252" i="3"/>
  <c r="V252" i="3" s="1"/>
  <c r="AU250" i="3"/>
  <c r="V250" i="3" s="1"/>
  <c r="AU264" i="3"/>
  <c r="V264" i="3" s="1"/>
  <c r="AU265" i="3"/>
  <c r="V265" i="3" s="1"/>
  <c r="AU271" i="3"/>
  <c r="V271" i="3" s="1"/>
  <c r="AU276" i="3"/>
  <c r="V276" i="3" s="1"/>
  <c r="AU277" i="3"/>
  <c r="V277" i="3" s="1"/>
  <c r="AU283" i="3"/>
  <c r="V283" i="3" s="1"/>
  <c r="AU286" i="3"/>
  <c r="V286" i="3" s="1"/>
  <c r="AU290" i="3"/>
  <c r="V290" i="3" s="1"/>
  <c r="AU291" i="3"/>
  <c r="V291" i="3" s="1"/>
  <c r="AU300" i="3"/>
  <c r="V300" i="3" s="1"/>
  <c r="AU298" i="3"/>
  <c r="V298" i="3" s="1"/>
  <c r="AU296" i="3"/>
  <c r="V296" i="3" s="1"/>
  <c r="AU304" i="3"/>
  <c r="V304" i="3" s="1"/>
  <c r="AU306" i="3"/>
  <c r="V306" i="3" s="1"/>
  <c r="AU308" i="3"/>
  <c r="V308" i="3" s="1"/>
  <c r="AU312" i="3"/>
  <c r="AU314" i="3"/>
  <c r="AU316" i="3"/>
  <c r="AU320" i="3"/>
  <c r="V320" i="3" s="1"/>
  <c r="AU322" i="3"/>
  <c r="V322" i="3" s="1"/>
  <c r="AU324" i="3"/>
  <c r="V324" i="3" s="1"/>
  <c r="AU340" i="3"/>
  <c r="V340" i="3" s="1"/>
  <c r="AU342" i="3"/>
  <c r="V342" i="3" s="1"/>
  <c r="AU354" i="3"/>
  <c r="V354" i="3" s="1"/>
  <c r="AU362" i="3"/>
  <c r="V362" i="3" s="1"/>
  <c r="AU360" i="3"/>
  <c r="V360" i="3" s="1"/>
  <c r="AU358" i="3"/>
  <c r="V358" i="3" s="1"/>
  <c r="AU356" i="3"/>
  <c r="V356" i="3" s="1"/>
  <c r="AU366" i="3"/>
  <c r="V366" i="3" s="1"/>
  <c r="AU367" i="3"/>
  <c r="V367" i="3" s="1"/>
  <c r="AU380" i="3"/>
  <c r="V380" i="3" s="1"/>
  <c r="AU378" i="3"/>
  <c r="V378" i="3" s="1"/>
  <c r="AU383" i="3"/>
  <c r="V383" i="3" s="1"/>
  <c r="AU386" i="3"/>
  <c r="V386" i="3" s="1"/>
  <c r="AU394" i="3"/>
  <c r="V394" i="3" s="1"/>
  <c r="AU397" i="3"/>
  <c r="V397" i="3" s="1"/>
  <c r="AU398" i="3"/>
  <c r="V398" i="3" s="1"/>
  <c r="AU414" i="3"/>
  <c r="V414" i="3" s="1"/>
  <c r="AU416" i="3"/>
  <c r="V416" i="3" s="1"/>
  <c r="AU418" i="3"/>
  <c r="V418" i="3" s="1"/>
  <c r="AU420" i="3"/>
  <c r="V420" i="3" s="1"/>
  <c r="AU422" i="3"/>
  <c r="V422" i="3" s="1"/>
  <c r="AU426" i="3"/>
  <c r="V426" i="3" s="1"/>
  <c r="AU428" i="3"/>
  <c r="V428" i="3" s="1"/>
  <c r="AU430" i="3"/>
  <c r="V430" i="3" s="1"/>
  <c r="AU432" i="3"/>
  <c r="V432" i="3" s="1"/>
  <c r="AU436" i="3"/>
  <c r="V436" i="3" s="1"/>
  <c r="AU438" i="3"/>
  <c r="V438" i="3" s="1"/>
  <c r="AU440" i="3"/>
  <c r="V440" i="3" s="1"/>
  <c r="AU444" i="3"/>
  <c r="V444" i="3" s="1"/>
  <c r="AU446" i="3"/>
  <c r="V446" i="3" s="1"/>
  <c r="AU448" i="3"/>
  <c r="V448" i="3" s="1"/>
  <c r="AU450" i="3"/>
  <c r="V450" i="3" s="1"/>
  <c r="AU456" i="3"/>
  <c r="V456" i="3" s="1"/>
  <c r="AU458" i="3"/>
  <c r="V458" i="3" s="1"/>
  <c r="AU460" i="3"/>
  <c r="V460" i="3" s="1"/>
  <c r="AU464" i="3"/>
  <c r="V464" i="3" s="1"/>
  <c r="AU466" i="3"/>
  <c r="V466" i="3" s="1"/>
  <c r="AU468" i="3"/>
  <c r="V468" i="3" s="1"/>
  <c r="AU470" i="3"/>
  <c r="V470" i="3" s="1"/>
  <c r="AU472" i="3"/>
  <c r="V472" i="3" s="1"/>
  <c r="AU474" i="3"/>
  <c r="V474" i="3" s="1"/>
  <c r="AU476" i="3"/>
  <c r="V476" i="3" s="1"/>
  <c r="AU480" i="3"/>
  <c r="V480" i="3" s="1"/>
  <c r="AU482" i="3"/>
  <c r="V482" i="3" s="1"/>
  <c r="AU484" i="3"/>
  <c r="V484" i="3" s="1"/>
  <c r="AU486" i="3"/>
  <c r="V486" i="3" s="1"/>
  <c r="AU488" i="3"/>
  <c r="V488" i="3" s="1"/>
  <c r="AU490" i="3"/>
  <c r="V490" i="3" s="1"/>
  <c r="AU492" i="3"/>
  <c r="V492" i="3" s="1"/>
  <c r="AU496" i="3"/>
  <c r="V496" i="3" s="1"/>
  <c r="AU498" i="3"/>
  <c r="V498" i="3" s="1"/>
  <c r="AU500" i="3"/>
  <c r="V500" i="3" s="1"/>
  <c r="AU504" i="3"/>
  <c r="V504" i="3" s="1"/>
  <c r="AU509" i="3"/>
  <c r="V509" i="3" s="1"/>
  <c r="AU514" i="3"/>
  <c r="V514" i="3" s="1"/>
  <c r="AU522" i="3"/>
  <c r="V522" i="3" s="1"/>
  <c r="AU520" i="3"/>
  <c r="V520" i="3" s="1"/>
  <c r="AU518" i="3"/>
  <c r="V518" i="3" s="1"/>
  <c r="AU516" i="3"/>
  <c r="V516" i="3" s="1"/>
  <c r="AU530" i="3"/>
  <c r="AU528" i="3"/>
  <c r="AU536" i="3"/>
  <c r="V536" i="3" s="1"/>
  <c r="AU538" i="3"/>
  <c r="V538" i="3" s="1"/>
  <c r="AU545" i="3"/>
  <c r="V545" i="3" s="1"/>
  <c r="AU543" i="3"/>
  <c r="V543" i="3" s="1"/>
  <c r="AU567" i="3"/>
  <c r="V567" i="3" s="1"/>
  <c r="AU565" i="3"/>
  <c r="V565" i="3" s="1"/>
  <c r="AU563" i="3"/>
  <c r="V563" i="3" s="1"/>
  <c r="AU561" i="3"/>
  <c r="V561" i="3" s="1"/>
  <c r="AU559" i="3"/>
  <c r="V559" i="3" s="1"/>
  <c r="AU557" i="3"/>
  <c r="V557" i="3" s="1"/>
  <c r="AU555" i="3"/>
  <c r="V555" i="3" s="1"/>
  <c r="AU553" i="3"/>
  <c r="V553" i="3" s="1"/>
  <c r="AU570" i="3"/>
  <c r="V570" i="3" s="1"/>
  <c r="AU574" i="3"/>
  <c r="V574" i="3" s="1"/>
  <c r="AU575" i="3"/>
  <c r="V575" i="3" s="1"/>
  <c r="AU583" i="3"/>
  <c r="V583" i="3" s="1"/>
  <c r="AU581" i="3"/>
  <c r="V581" i="3" s="1"/>
  <c r="AU586" i="3"/>
  <c r="V586" i="3" s="1"/>
  <c r="AU587" i="3"/>
  <c r="V587" i="3" s="1"/>
  <c r="AU599" i="3"/>
  <c r="V599" i="3" s="1"/>
  <c r="AU597" i="3"/>
  <c r="V597" i="3" s="1"/>
  <c r="AU595" i="3"/>
  <c r="V595" i="3" s="1"/>
  <c r="AU602" i="3"/>
  <c r="V602" i="3" s="1"/>
  <c r="AU611" i="3"/>
  <c r="V611" i="3" s="1"/>
  <c r="AU609" i="3"/>
  <c r="V609" i="3" s="1"/>
  <c r="AU607" i="3"/>
  <c r="V607" i="3" s="1"/>
  <c r="AU605" i="3"/>
  <c r="V605" i="3" s="1"/>
  <c r="AU603" i="3"/>
  <c r="V603" i="3" s="1"/>
  <c r="AU620" i="3"/>
  <c r="V620" i="3" s="1"/>
  <c r="AU616" i="3"/>
  <c r="V616" i="3" s="1"/>
  <c r="AU48" i="3"/>
  <c r="V48" i="3" s="1"/>
  <c r="AU50" i="3"/>
  <c r="V50" i="3" s="1"/>
  <c r="AU54" i="3"/>
  <c r="V54" i="3" s="1"/>
  <c r="AU67" i="3"/>
  <c r="V67" i="3" s="1"/>
  <c r="AU65" i="3"/>
  <c r="V65" i="3" s="1"/>
  <c r="AU39" i="3"/>
  <c r="V39" i="3" s="1"/>
  <c r="AU41" i="3"/>
  <c r="V41" i="3" s="1"/>
  <c r="AU43" i="3"/>
  <c r="V43" i="3" s="1"/>
  <c r="AU47" i="3"/>
  <c r="V47" i="3" s="1"/>
  <c r="AU53" i="3"/>
  <c r="V53" i="3" s="1"/>
  <c r="AU55" i="3"/>
  <c r="V55" i="3" s="1"/>
  <c r="AU63" i="3"/>
  <c r="V63" i="3" s="1"/>
  <c r="AU66" i="3"/>
  <c r="V66" i="3" s="1"/>
  <c r="AU64" i="3"/>
  <c r="V64" i="3" s="1"/>
  <c r="AU82" i="3"/>
  <c r="V82" i="3" s="1"/>
  <c r="AU80" i="3"/>
  <c r="V80" i="3" s="1"/>
  <c r="AU78" i="3"/>
  <c r="V78" i="3" s="1"/>
  <c r="AU76" i="3"/>
  <c r="V76" i="3" s="1"/>
  <c r="AU74" i="3"/>
  <c r="V74" i="3" s="1"/>
  <c r="AU85" i="3"/>
  <c r="V85" i="3" s="1"/>
  <c r="AU96" i="3"/>
  <c r="V96" i="3" s="1"/>
  <c r="AU94" i="3"/>
  <c r="V94" i="3" s="1"/>
  <c r="AU117" i="3"/>
  <c r="V117" i="3" s="1"/>
  <c r="AU115" i="3"/>
  <c r="V115" i="3" s="1"/>
  <c r="AU121" i="3"/>
  <c r="V121" i="3" s="1"/>
  <c r="AU133" i="3"/>
  <c r="V133" i="3" s="1"/>
  <c r="AU131" i="3"/>
  <c r="V131" i="3" s="1"/>
  <c r="AU129" i="3"/>
  <c r="V129" i="3" s="1"/>
  <c r="AU125" i="3"/>
  <c r="V125" i="3" s="1"/>
  <c r="AU123" i="3"/>
  <c r="V123" i="3" s="1"/>
  <c r="AU166" i="3"/>
  <c r="V166" i="3" s="1"/>
  <c r="AU164" i="3"/>
  <c r="V164" i="3" s="1"/>
  <c r="AU162" i="3"/>
  <c r="V162" i="3" s="1"/>
  <c r="AU160" i="3"/>
  <c r="V160" i="3" s="1"/>
  <c r="AU158" i="3"/>
  <c r="V158" i="3" s="1"/>
  <c r="AU156" i="3"/>
  <c r="V156" i="3" s="1"/>
  <c r="AU154" i="3"/>
  <c r="V154" i="3" s="1"/>
  <c r="AU152" i="3"/>
  <c r="V152" i="3" s="1"/>
  <c r="AU150" i="3"/>
  <c r="V150" i="3" s="1"/>
  <c r="AU148" i="3"/>
  <c r="V148" i="3" s="1"/>
  <c r="AU146" i="3"/>
  <c r="V146" i="3" s="1"/>
  <c r="AU144" i="3"/>
  <c r="V144" i="3" s="1"/>
  <c r="AU142" i="3"/>
  <c r="V142" i="3" s="1"/>
  <c r="AU140" i="3"/>
  <c r="V140" i="3" s="1"/>
  <c r="AU138" i="3"/>
  <c r="V138" i="3" s="1"/>
  <c r="AU136" i="3"/>
  <c r="V136" i="3" s="1"/>
  <c r="AU176" i="3"/>
  <c r="V176" i="3" s="1"/>
  <c r="AU182" i="3"/>
  <c r="V182" i="3" s="1"/>
  <c r="AU180" i="3"/>
  <c r="V180" i="3" s="1"/>
  <c r="AU178" i="3"/>
  <c r="V178" i="3" s="1"/>
  <c r="AU186" i="3"/>
  <c r="V186" i="3" s="1"/>
  <c r="AU188" i="3"/>
  <c r="V188" i="3" s="1"/>
  <c r="AU192" i="3"/>
  <c r="V192" i="3" s="1"/>
  <c r="AU196" i="3"/>
  <c r="V196" i="3" s="1"/>
  <c r="AU206" i="3"/>
  <c r="V206" i="3" s="1"/>
  <c r="AU212" i="3"/>
  <c r="V212" i="3" s="1"/>
  <c r="AU210" i="3"/>
  <c r="V210" i="3" s="1"/>
  <c r="AU220" i="3"/>
  <c r="V220" i="3" s="1"/>
  <c r="AU228" i="3"/>
  <c r="V228" i="3" s="1"/>
  <c r="AU224" i="3"/>
  <c r="V224" i="3" s="1"/>
  <c r="AU237" i="3"/>
  <c r="V237" i="3" s="1"/>
  <c r="AU241" i="3"/>
  <c r="V241" i="3" s="1"/>
  <c r="AU242" i="3"/>
  <c r="V242" i="3" s="1"/>
  <c r="AU261" i="3"/>
  <c r="V261" i="3" s="1"/>
  <c r="AU259" i="3"/>
  <c r="V259" i="3" s="1"/>
  <c r="AU257" i="3"/>
  <c r="V257" i="3" s="1"/>
  <c r="AU255" i="3"/>
  <c r="V255" i="3" s="1"/>
  <c r="AU253" i="3"/>
  <c r="V253" i="3" s="1"/>
  <c r="AU251" i="3"/>
  <c r="V251" i="3" s="1"/>
  <c r="AU248" i="3"/>
  <c r="V248" i="3" s="1"/>
  <c r="AU266" i="3"/>
  <c r="V266" i="3" s="1"/>
  <c r="AU269" i="3"/>
  <c r="V269" i="3" s="1"/>
  <c r="AU270" i="3"/>
  <c r="V270" i="3" s="1"/>
  <c r="AU278" i="3"/>
  <c r="V278" i="3" s="1"/>
  <c r="AU281" i="3"/>
  <c r="V281" i="3" s="1"/>
  <c r="AU282" i="3"/>
  <c r="V282" i="3" s="1"/>
  <c r="AU292" i="3"/>
  <c r="V292" i="3" s="1"/>
  <c r="AU299" i="3"/>
  <c r="V299" i="3" s="1"/>
  <c r="AU297" i="3"/>
  <c r="V297" i="3" s="1"/>
  <c r="AU305" i="3"/>
  <c r="V305" i="3" s="1"/>
  <c r="AU307" i="3"/>
  <c r="V307" i="3" s="1"/>
  <c r="AU311" i="3"/>
  <c r="AU313" i="3"/>
  <c r="AU315" i="3"/>
  <c r="AU321" i="3"/>
  <c r="V321" i="3" s="1"/>
  <c r="AU323" i="3"/>
  <c r="V323" i="3" s="1"/>
  <c r="AU330" i="3"/>
  <c r="V330" i="3" s="1"/>
  <c r="AU343" i="3"/>
  <c r="V343" i="3" s="1"/>
  <c r="AU341" i="3"/>
  <c r="V341" i="3" s="1"/>
  <c r="AU349" i="3"/>
  <c r="V349" i="3" s="1"/>
  <c r="AU347" i="3"/>
  <c r="V347" i="3" s="1"/>
  <c r="AU363" i="3"/>
  <c r="V363" i="3" s="1"/>
  <c r="AU361" i="3"/>
  <c r="V361" i="3" s="1"/>
  <c r="AU359" i="3"/>
  <c r="V359" i="3" s="1"/>
  <c r="AU357" i="3"/>
  <c r="V357" i="3" s="1"/>
  <c r="AU355" i="3"/>
  <c r="V355" i="3" s="1"/>
  <c r="AU368" i="3"/>
  <c r="V368" i="3" s="1"/>
  <c r="AU376" i="3"/>
  <c r="V376" i="3" s="1"/>
  <c r="AU377" i="3"/>
  <c r="V377" i="3" s="1"/>
  <c r="AU385" i="3"/>
  <c r="V385" i="3" s="1"/>
  <c r="AU392" i="3"/>
  <c r="V392" i="3" s="1"/>
  <c r="AU393" i="3"/>
  <c r="V393" i="3" s="1"/>
  <c r="AU399" i="3"/>
  <c r="V399" i="3" s="1"/>
  <c r="AU413" i="3"/>
  <c r="V413" i="3" s="1"/>
  <c r="AU415" i="3"/>
  <c r="V415" i="3" s="1"/>
  <c r="AU417" i="3"/>
  <c r="V417" i="3" s="1"/>
  <c r="AU419" i="3"/>
  <c r="V419" i="3" s="1"/>
  <c r="AU421" i="3"/>
  <c r="V421" i="3" s="1"/>
  <c r="AU425" i="3"/>
  <c r="V425" i="3" s="1"/>
  <c r="AU427" i="3"/>
  <c r="V427" i="3" s="1"/>
  <c r="AU429" i="3"/>
  <c r="V429" i="3" s="1"/>
  <c r="AU431" i="3"/>
  <c r="V431" i="3" s="1"/>
  <c r="AU435" i="3"/>
  <c r="V435" i="3" s="1"/>
  <c r="AU437" i="3"/>
  <c r="V437" i="3" s="1"/>
  <c r="AU439" i="3"/>
  <c r="V439" i="3" s="1"/>
  <c r="AU443" i="3"/>
  <c r="V443" i="3" s="1"/>
  <c r="AU445" i="3"/>
  <c r="V445" i="3" s="1"/>
  <c r="AU447" i="3"/>
  <c r="V447" i="3" s="1"/>
  <c r="AU449" i="3"/>
  <c r="V449" i="3" s="1"/>
  <c r="AU455" i="3"/>
  <c r="V455" i="3" s="1"/>
  <c r="AU457" i="3"/>
  <c r="V457" i="3" s="1"/>
  <c r="AU459" i="3"/>
  <c r="V459" i="3" s="1"/>
  <c r="AU461" i="3"/>
  <c r="V461" i="3" s="1"/>
  <c r="AU463" i="3"/>
  <c r="V463" i="3" s="1"/>
  <c r="AU465" i="3"/>
  <c r="V465" i="3" s="1"/>
  <c r="AU467" i="3"/>
  <c r="V467" i="3" s="1"/>
  <c r="AU469" i="3"/>
  <c r="V469" i="3" s="1"/>
  <c r="AU471" i="3"/>
  <c r="V471" i="3" s="1"/>
  <c r="AU473" i="3"/>
  <c r="V473" i="3" s="1"/>
  <c r="AU475" i="3"/>
  <c r="V475" i="3" s="1"/>
  <c r="AU477" i="3"/>
  <c r="V477" i="3" s="1"/>
  <c r="AU479" i="3"/>
  <c r="V479" i="3" s="1"/>
  <c r="AU481" i="3"/>
  <c r="V481" i="3" s="1"/>
  <c r="AU483" i="3"/>
  <c r="V483" i="3" s="1"/>
  <c r="AU485" i="3"/>
  <c r="V485" i="3" s="1"/>
  <c r="AU487" i="3"/>
  <c r="V487" i="3" s="1"/>
  <c r="AU489" i="3"/>
  <c r="V489" i="3" s="1"/>
  <c r="AU491" i="3"/>
  <c r="V491" i="3" s="1"/>
  <c r="AU493" i="3"/>
  <c r="V493" i="3" s="1"/>
  <c r="AU495" i="3"/>
  <c r="V495" i="3" s="1"/>
  <c r="AU497" i="3"/>
  <c r="V497" i="3" s="1"/>
  <c r="AU499" i="3"/>
  <c r="V499" i="3" s="1"/>
  <c r="AU503" i="3"/>
  <c r="V503" i="3" s="1"/>
  <c r="AU507" i="3"/>
  <c r="V507" i="3" s="1"/>
  <c r="AU508" i="3"/>
  <c r="V508" i="3" s="1"/>
  <c r="AU523" i="3"/>
  <c r="V523" i="3" s="1"/>
  <c r="AU521" i="3"/>
  <c r="V521" i="3" s="1"/>
  <c r="AU519" i="3"/>
  <c r="V519" i="3" s="1"/>
  <c r="AU517" i="3"/>
  <c r="V517" i="3" s="1"/>
  <c r="AU515" i="3"/>
  <c r="V515" i="3" s="1"/>
  <c r="AU531" i="3"/>
  <c r="AU529" i="3"/>
  <c r="AU527" i="3"/>
  <c r="AU539" i="3"/>
  <c r="V539" i="3" s="1"/>
  <c r="AU537" i="3"/>
  <c r="V537" i="3" s="1"/>
  <c r="AU544" i="3"/>
  <c r="V544" i="3" s="1"/>
  <c r="AU551" i="3"/>
  <c r="V551" i="3" s="1"/>
  <c r="AU566" i="3"/>
  <c r="V566" i="3" s="1"/>
  <c r="AU564" i="3"/>
  <c r="V564" i="3" s="1"/>
  <c r="AU562" i="3"/>
  <c r="V562" i="3" s="1"/>
  <c r="AU560" i="3"/>
  <c r="V560" i="3" s="1"/>
  <c r="AU558" i="3"/>
  <c r="V558" i="3" s="1"/>
  <c r="AU556" i="3"/>
  <c r="V556" i="3" s="1"/>
  <c r="AU554" i="3"/>
  <c r="V554" i="3" s="1"/>
  <c r="AU571" i="3"/>
  <c r="V571" i="3" s="1"/>
  <c r="AU576" i="3"/>
  <c r="V576" i="3" s="1"/>
  <c r="AU579" i="3"/>
  <c r="V579" i="3" s="1"/>
  <c r="AU582" i="3"/>
  <c r="V582" i="3" s="1"/>
  <c r="AU580" i="3"/>
  <c r="V580" i="3" s="1"/>
  <c r="AU588" i="3"/>
  <c r="V588" i="3" s="1"/>
  <c r="AU593" i="3"/>
  <c r="V593" i="3" s="1"/>
  <c r="AU598" i="3"/>
  <c r="V598" i="3" s="1"/>
  <c r="AU596" i="3"/>
  <c r="V596" i="3" s="1"/>
  <c r="AU594" i="3"/>
  <c r="V594" i="3" s="1"/>
  <c r="AU612" i="3"/>
  <c r="V612" i="3" s="1"/>
  <c r="AU610" i="3"/>
  <c r="V610" i="3" s="1"/>
  <c r="AU608" i="3"/>
  <c r="V608" i="3" s="1"/>
  <c r="AU606" i="3"/>
  <c r="V606" i="3" s="1"/>
  <c r="AU604" i="3"/>
  <c r="V604" i="3" s="1"/>
  <c r="AU615" i="3"/>
  <c r="V615" i="3" s="1"/>
  <c r="AU619" i="3"/>
  <c r="V619" i="3" s="1"/>
  <c r="AU617" i="3"/>
  <c r="V617" i="3" s="1"/>
  <c r="AU334" i="3"/>
  <c r="V334" i="3" s="1"/>
  <c r="AU336" i="3"/>
  <c r="V336" i="3" s="1"/>
  <c r="AU337" i="3"/>
  <c r="V337" i="3" s="1"/>
  <c r="AV40" i="3"/>
  <c r="AW40" i="3" s="1"/>
  <c r="W40" i="3" s="1"/>
  <c r="AV42" i="3"/>
  <c r="AW42" i="3" s="1"/>
  <c r="W42" i="3" s="1"/>
  <c r="AV46" i="3"/>
  <c r="AW46" i="3" s="1"/>
  <c r="W46" i="3" s="1"/>
  <c r="AV48" i="3"/>
  <c r="AW48" i="3" s="1"/>
  <c r="W48" i="3" s="1"/>
  <c r="AV50" i="3"/>
  <c r="AW50" i="3" s="1"/>
  <c r="W50" i="3" s="1"/>
  <c r="AV54" i="3"/>
  <c r="AW54" i="3" s="1"/>
  <c r="W54" i="3" s="1"/>
  <c r="AV58" i="3"/>
  <c r="AW58" i="3" s="1"/>
  <c r="AV60" i="3"/>
  <c r="AW60" i="3" s="1"/>
  <c r="AV67" i="3"/>
  <c r="AW67" i="3" s="1"/>
  <c r="W67" i="3" s="1"/>
  <c r="AV65" i="3"/>
  <c r="AW65" i="3" s="1"/>
  <c r="W65" i="3" s="1"/>
  <c r="AV72" i="3"/>
  <c r="AW72" i="3" s="1"/>
  <c r="AV81" i="3"/>
  <c r="AW81" i="3" s="1"/>
  <c r="AV79" i="3"/>
  <c r="AW79" i="3" s="1"/>
  <c r="AV77" i="3"/>
  <c r="AW77" i="3" s="1"/>
  <c r="AV75" i="3"/>
  <c r="AW75" i="3" s="1"/>
  <c r="AV73" i="3"/>
  <c r="AW73" i="3" s="1"/>
  <c r="AV88" i="3"/>
  <c r="AW88" i="3" s="1"/>
  <c r="AV95" i="3"/>
  <c r="AW95" i="3" s="1"/>
  <c r="AV93" i="3"/>
  <c r="AW93" i="3" s="1"/>
  <c r="AV91" i="3"/>
  <c r="AW91" i="3" s="1"/>
  <c r="AV89" i="3"/>
  <c r="AW89" i="3" s="1"/>
  <c r="AV101" i="3"/>
  <c r="AW101" i="3" s="1"/>
  <c r="AV104" i="3"/>
  <c r="AW104" i="3" s="1"/>
  <c r="W104" i="3" s="1"/>
  <c r="AV106" i="3"/>
  <c r="AW106" i="3" s="1"/>
  <c r="W106" i="3" s="1"/>
  <c r="AV111" i="3"/>
  <c r="AW111" i="3" s="1"/>
  <c r="W111" i="3" s="1"/>
  <c r="AV116" i="3"/>
  <c r="AW116" i="3" s="1"/>
  <c r="W116" i="3" s="1"/>
  <c r="AV114" i="3"/>
  <c r="AW114" i="3" s="1"/>
  <c r="W114" i="3" s="1"/>
  <c r="AV112" i="3"/>
  <c r="AW112" i="3" s="1"/>
  <c r="W112" i="3" s="1"/>
  <c r="AV134" i="3"/>
  <c r="AW134" i="3" s="1"/>
  <c r="W134" i="3" s="1"/>
  <c r="AV132" i="3"/>
  <c r="AW132" i="3" s="1"/>
  <c r="W132" i="3" s="1"/>
  <c r="AV130" i="3"/>
  <c r="AW130" i="3" s="1"/>
  <c r="W130" i="3" s="1"/>
  <c r="AV128" i="3"/>
  <c r="AW128" i="3" s="1"/>
  <c r="W128" i="3" s="1"/>
  <c r="AV126" i="3"/>
  <c r="AW126" i="3" s="1"/>
  <c r="W126" i="3" s="1"/>
  <c r="AV124" i="3"/>
  <c r="AW124" i="3" s="1"/>
  <c r="W124" i="3" s="1"/>
  <c r="AV122" i="3"/>
  <c r="AW122" i="3" s="1"/>
  <c r="W122" i="3" s="1"/>
  <c r="AV165" i="3"/>
  <c r="AW165" i="3" s="1"/>
  <c r="W165" i="3" s="1"/>
  <c r="AV163" i="3"/>
  <c r="AW163" i="3" s="1"/>
  <c r="W163" i="3" s="1"/>
  <c r="AV161" i="3"/>
  <c r="AW161" i="3" s="1"/>
  <c r="W161" i="3" s="1"/>
  <c r="AV159" i="3"/>
  <c r="AW159" i="3" s="1"/>
  <c r="W159" i="3" s="1"/>
  <c r="AV157" i="3"/>
  <c r="AW157" i="3" s="1"/>
  <c r="W157" i="3" s="1"/>
  <c r="AV155" i="3"/>
  <c r="AW155" i="3" s="1"/>
  <c r="W155" i="3" s="1"/>
  <c r="AV153" i="3"/>
  <c r="AW153" i="3" s="1"/>
  <c r="W153" i="3" s="1"/>
  <c r="AV151" i="3"/>
  <c r="AW151" i="3" s="1"/>
  <c r="AV149" i="3"/>
  <c r="AW149" i="3" s="1"/>
  <c r="W149" i="3" s="1"/>
  <c r="AV147" i="3"/>
  <c r="AW147" i="3" s="1"/>
  <c r="W147" i="3" s="1"/>
  <c r="AV145" i="3"/>
  <c r="AW145" i="3" s="1"/>
  <c r="W145" i="3" s="1"/>
  <c r="AV143" i="3"/>
  <c r="AW143" i="3" s="1"/>
  <c r="W143" i="3" s="1"/>
  <c r="AV141" i="3"/>
  <c r="AW141" i="3" s="1"/>
  <c r="W141" i="3" s="1"/>
  <c r="AV139" i="3"/>
  <c r="AW139" i="3" s="1"/>
  <c r="W139" i="3" s="1"/>
  <c r="AV137" i="3"/>
  <c r="AW137" i="3" s="1"/>
  <c r="W137" i="3" s="1"/>
  <c r="AV135" i="3"/>
  <c r="AW135" i="3" s="1"/>
  <c r="W135" i="3" s="1"/>
  <c r="AV183" i="3"/>
  <c r="AW183" i="3" s="1"/>
  <c r="W183" i="3" s="1"/>
  <c r="AV181" i="3"/>
  <c r="AW181" i="3" s="1"/>
  <c r="W181" i="3" s="1"/>
  <c r="AV179" i="3"/>
  <c r="AW179" i="3" s="1"/>
  <c r="W179" i="3" s="1"/>
  <c r="AV177" i="3"/>
  <c r="AW177" i="3" s="1"/>
  <c r="W177" i="3" s="1"/>
  <c r="AV189" i="3"/>
  <c r="AW189" i="3" s="1"/>
  <c r="W189" i="3" s="1"/>
  <c r="AV187" i="3"/>
  <c r="AW187" i="3" s="1"/>
  <c r="W187" i="3" s="1"/>
  <c r="AV193" i="3"/>
  <c r="AW193" i="3" s="1"/>
  <c r="W193" i="3" s="1"/>
  <c r="AV199" i="3"/>
  <c r="AW199" i="3" s="1"/>
  <c r="W199" i="3" s="1"/>
  <c r="AV200" i="3"/>
  <c r="AW200" i="3" s="1"/>
  <c r="W200" i="3" s="1"/>
  <c r="AV209" i="3"/>
  <c r="AW209" i="3" s="1"/>
  <c r="W209" i="3" s="1"/>
  <c r="AV211" i="3"/>
  <c r="AW211" i="3" s="1"/>
  <c r="W211" i="3" s="1"/>
  <c r="AV215" i="3"/>
  <c r="AW215" i="3" s="1"/>
  <c r="W215" i="3" s="1"/>
  <c r="AV216" i="3"/>
  <c r="AW216" i="3" s="1"/>
  <c r="W216" i="3" s="1"/>
  <c r="AV231" i="3"/>
  <c r="AW231" i="3" s="1"/>
  <c r="W231" i="3" s="1"/>
  <c r="AV229" i="3"/>
  <c r="AW229" i="3" s="1"/>
  <c r="W229" i="3" s="1"/>
  <c r="AV227" i="3"/>
  <c r="AW227" i="3" s="1"/>
  <c r="W227" i="3" s="1"/>
  <c r="AV225" i="3"/>
  <c r="AW225" i="3" s="1"/>
  <c r="W225" i="3" s="1"/>
  <c r="AV223" i="3"/>
  <c r="AW223" i="3" s="1"/>
  <c r="W223" i="3" s="1"/>
  <c r="AV221" i="3"/>
  <c r="AW221" i="3" s="1"/>
  <c r="W221" i="3" s="1"/>
  <c r="AV238" i="3"/>
  <c r="AW238" i="3" s="1"/>
  <c r="W238" i="3" s="1"/>
  <c r="AV236" i="3"/>
  <c r="AW236" i="3" s="1"/>
  <c r="W236" i="3" s="1"/>
  <c r="AV243" i="3"/>
  <c r="AW243" i="3" s="1"/>
  <c r="W243" i="3" s="1"/>
  <c r="AV247" i="3"/>
  <c r="AW247" i="3" s="1"/>
  <c r="W247" i="3" s="1"/>
  <c r="AV260" i="3"/>
  <c r="AW260" i="3" s="1"/>
  <c r="W260" i="3" s="1"/>
  <c r="AV258" i="3"/>
  <c r="AW258" i="3" s="1"/>
  <c r="W258" i="3" s="1"/>
  <c r="AV256" i="3"/>
  <c r="AW256" i="3" s="1"/>
  <c r="AV254" i="3"/>
  <c r="AW254" i="3" s="1"/>
  <c r="W254" i="3" s="1"/>
  <c r="AV252" i="3"/>
  <c r="AW252" i="3" s="1"/>
  <c r="W252" i="3" s="1"/>
  <c r="AV250" i="3"/>
  <c r="AW250" i="3" s="1"/>
  <c r="W250" i="3" s="1"/>
  <c r="AV264" i="3"/>
  <c r="AW264" i="3" s="1"/>
  <c r="W264" i="3" s="1"/>
  <c r="AV265" i="3"/>
  <c r="AW265" i="3" s="1"/>
  <c r="W265" i="3" s="1"/>
  <c r="AV271" i="3"/>
  <c r="AW271" i="3" s="1"/>
  <c r="W271" i="3" s="1"/>
  <c r="AV276" i="3"/>
  <c r="AW276" i="3" s="1"/>
  <c r="AV277" i="3"/>
  <c r="AW277" i="3" s="1"/>
  <c r="AV283" i="3"/>
  <c r="AW283" i="3" s="1"/>
  <c r="AV286" i="3"/>
  <c r="AW286" i="3" s="1"/>
  <c r="AV290" i="3"/>
  <c r="AW290" i="3" s="1"/>
  <c r="AV291" i="3"/>
  <c r="AW291" i="3" s="1"/>
  <c r="W291" i="3" s="1"/>
  <c r="AV300" i="3"/>
  <c r="AW300" i="3" s="1"/>
  <c r="W300" i="3" s="1"/>
  <c r="AV298" i="3"/>
  <c r="AW298" i="3" s="1"/>
  <c r="W298" i="3" s="1"/>
  <c r="AV296" i="3"/>
  <c r="AW296" i="3" s="1"/>
  <c r="W296" i="3" s="1"/>
  <c r="AV304" i="3"/>
  <c r="AW304" i="3" s="1"/>
  <c r="W304" i="3" s="1"/>
  <c r="AV306" i="3"/>
  <c r="AW306" i="3" s="1"/>
  <c r="W306" i="3" s="1"/>
  <c r="AV308" i="3"/>
  <c r="AW308" i="3" s="1"/>
  <c r="W308" i="3" s="1"/>
  <c r="AV312" i="3"/>
  <c r="AW312" i="3" s="1"/>
  <c r="AV314" i="3"/>
  <c r="AW314" i="3" s="1"/>
  <c r="AV316" i="3"/>
  <c r="AW316" i="3" s="1"/>
  <c r="AV320" i="3"/>
  <c r="AW320" i="3" s="1"/>
  <c r="W320" i="3" s="1"/>
  <c r="AV322" i="3"/>
  <c r="AW322" i="3" s="1"/>
  <c r="W322" i="3" s="1"/>
  <c r="AV324" i="3"/>
  <c r="AW324" i="3" s="1"/>
  <c r="W324" i="3" s="1"/>
  <c r="AV331" i="3"/>
  <c r="AW331" i="3" s="1"/>
  <c r="AV329" i="3"/>
  <c r="AW329" i="3" s="1"/>
  <c r="W329" i="3" s="1"/>
  <c r="AV334" i="3"/>
  <c r="AW334" i="3" s="1"/>
  <c r="W334" i="3" s="1"/>
  <c r="AV337" i="3"/>
  <c r="AW337" i="3" s="1"/>
  <c r="W337" i="3" s="1"/>
  <c r="AV335" i="3"/>
  <c r="AW335" i="3" s="1"/>
  <c r="W335" i="3" s="1"/>
  <c r="AV343" i="3"/>
  <c r="AW343" i="3" s="1"/>
  <c r="W343" i="3" s="1"/>
  <c r="AV341" i="3"/>
  <c r="AW341" i="3" s="1"/>
  <c r="W341" i="3" s="1"/>
  <c r="AV349" i="3"/>
  <c r="AW349" i="3" s="1"/>
  <c r="W349" i="3" s="1"/>
  <c r="AV347" i="3"/>
  <c r="AW347" i="3" s="1"/>
  <c r="W347" i="3" s="1"/>
  <c r="AV39" i="3"/>
  <c r="AW39" i="3" s="1"/>
  <c r="W39" i="3" s="1"/>
  <c r="AV41" i="3"/>
  <c r="AW41" i="3" s="1"/>
  <c r="W41" i="3" s="1"/>
  <c r="AV43" i="3"/>
  <c r="AW43" i="3" s="1"/>
  <c r="W43" i="3" s="1"/>
  <c r="AV47" i="3"/>
  <c r="AW47" i="3" s="1"/>
  <c r="W47" i="3" s="1"/>
  <c r="AV49" i="3"/>
  <c r="AW49" i="3" s="1"/>
  <c r="W49" i="3" s="1"/>
  <c r="AV53" i="3"/>
  <c r="AW53" i="3" s="1"/>
  <c r="W53" i="3" s="1"/>
  <c r="AV55" i="3"/>
  <c r="AW55" i="3" s="1"/>
  <c r="W55" i="3" s="1"/>
  <c r="AV59" i="3"/>
  <c r="AW59" i="3" s="1"/>
  <c r="AV63" i="3"/>
  <c r="AW63" i="3" s="1"/>
  <c r="W63" i="3" s="1"/>
  <c r="AV66" i="3"/>
  <c r="AW66" i="3" s="1"/>
  <c r="W66" i="3" s="1"/>
  <c r="AV64" i="3"/>
  <c r="AW64" i="3" s="1"/>
  <c r="W64" i="3" s="1"/>
  <c r="AV82" i="3"/>
  <c r="AW82" i="3" s="1"/>
  <c r="AV80" i="3"/>
  <c r="AW80" i="3" s="1"/>
  <c r="AV78" i="3"/>
  <c r="AW78" i="3" s="1"/>
  <c r="AV76" i="3"/>
  <c r="AW76" i="3" s="1"/>
  <c r="AV74" i="3"/>
  <c r="AW74" i="3" s="1"/>
  <c r="AV85" i="3"/>
  <c r="AW85" i="3" s="1"/>
  <c r="W85" i="3" s="1"/>
  <c r="AV96" i="3"/>
  <c r="AW96" i="3" s="1"/>
  <c r="AV94" i="3"/>
  <c r="AW94" i="3" s="1"/>
  <c r="AV92" i="3"/>
  <c r="AW92" i="3" s="1"/>
  <c r="AV90" i="3"/>
  <c r="AW90" i="3" s="1"/>
  <c r="AV99" i="3"/>
  <c r="AW99" i="3" s="1"/>
  <c r="AV100" i="3"/>
  <c r="AW100" i="3" s="1"/>
  <c r="AV107" i="3"/>
  <c r="AW107" i="3" s="1"/>
  <c r="W107" i="3" s="1"/>
  <c r="AV105" i="3"/>
  <c r="AW105" i="3" s="1"/>
  <c r="W105" i="3" s="1"/>
  <c r="AV117" i="3"/>
  <c r="AW117" i="3" s="1"/>
  <c r="W117" i="3" s="1"/>
  <c r="AV115" i="3"/>
  <c r="AW115" i="3" s="1"/>
  <c r="W115" i="3" s="1"/>
  <c r="AV113" i="3"/>
  <c r="AW113" i="3" s="1"/>
  <c r="AV121" i="3"/>
  <c r="AW121" i="3" s="1"/>
  <c r="W121" i="3" s="1"/>
  <c r="AV133" i="3"/>
  <c r="AW133" i="3" s="1"/>
  <c r="W133" i="3" s="1"/>
  <c r="AV131" i="3"/>
  <c r="AW131" i="3" s="1"/>
  <c r="W131" i="3" s="1"/>
  <c r="AV129" i="3"/>
  <c r="AW129" i="3" s="1"/>
  <c r="W129" i="3" s="1"/>
  <c r="AV127" i="3"/>
  <c r="AW127" i="3" s="1"/>
  <c r="W127" i="3" s="1"/>
  <c r="AV125" i="3"/>
  <c r="AW125" i="3" s="1"/>
  <c r="W125" i="3" s="1"/>
  <c r="AV123" i="3"/>
  <c r="AW123" i="3" s="1"/>
  <c r="W123" i="3" s="1"/>
  <c r="AV166" i="3"/>
  <c r="AW166" i="3" s="1"/>
  <c r="W166" i="3" s="1"/>
  <c r="AV164" i="3"/>
  <c r="AW164" i="3" s="1"/>
  <c r="W164" i="3" s="1"/>
  <c r="AV162" i="3"/>
  <c r="AW162" i="3" s="1"/>
  <c r="W162" i="3" s="1"/>
  <c r="AV160" i="3"/>
  <c r="AW160" i="3" s="1"/>
  <c r="W160" i="3" s="1"/>
  <c r="AV158" i="3"/>
  <c r="AW158" i="3" s="1"/>
  <c r="W158" i="3" s="1"/>
  <c r="AV156" i="3"/>
  <c r="AW156" i="3" s="1"/>
  <c r="W156" i="3" s="1"/>
  <c r="AV154" i="3"/>
  <c r="AW154" i="3" s="1"/>
  <c r="W154" i="3" s="1"/>
  <c r="AV152" i="3"/>
  <c r="AW152" i="3" s="1"/>
  <c r="W152" i="3" s="1"/>
  <c r="AV150" i="3"/>
  <c r="AW150" i="3" s="1"/>
  <c r="W150" i="3" s="1"/>
  <c r="AV148" i="3"/>
  <c r="AW148" i="3" s="1"/>
  <c r="W148" i="3" s="1"/>
  <c r="AV146" i="3"/>
  <c r="AW146" i="3" s="1"/>
  <c r="W146" i="3" s="1"/>
  <c r="AV144" i="3"/>
  <c r="AW144" i="3" s="1"/>
  <c r="W144" i="3" s="1"/>
  <c r="AV142" i="3"/>
  <c r="AW142" i="3" s="1"/>
  <c r="W142" i="3" s="1"/>
  <c r="AV140" i="3"/>
  <c r="AW140" i="3" s="1"/>
  <c r="W140" i="3" s="1"/>
  <c r="AV138" i="3"/>
  <c r="AW138" i="3" s="1"/>
  <c r="W138" i="3" s="1"/>
  <c r="AV136" i="3"/>
  <c r="AW136" i="3" s="1"/>
  <c r="AV176" i="3"/>
  <c r="AW176" i="3" s="1"/>
  <c r="W176" i="3" s="1"/>
  <c r="AV182" i="3"/>
  <c r="AW182" i="3" s="1"/>
  <c r="W182" i="3" s="1"/>
  <c r="AV180" i="3"/>
  <c r="AW180" i="3" s="1"/>
  <c r="W180" i="3" s="1"/>
  <c r="AV178" i="3"/>
  <c r="AW178" i="3" s="1"/>
  <c r="W178" i="3" s="1"/>
  <c r="AV186" i="3"/>
  <c r="AW186" i="3" s="1"/>
  <c r="W186" i="3" s="1"/>
  <c r="AV188" i="3"/>
  <c r="AW188" i="3" s="1"/>
  <c r="W188" i="3" s="1"/>
  <c r="AV192" i="3"/>
  <c r="AW192" i="3" s="1"/>
  <c r="W192" i="3" s="1"/>
  <c r="AV196" i="3"/>
  <c r="AW196" i="3" s="1"/>
  <c r="W196" i="3" s="1"/>
  <c r="AV201" i="3"/>
  <c r="AW201" i="3" s="1"/>
  <c r="W201" i="3" s="1"/>
  <c r="AV206" i="3"/>
  <c r="AW206" i="3" s="1"/>
  <c r="W206" i="3" s="1"/>
  <c r="AV212" i="3"/>
  <c r="AW212" i="3" s="1"/>
  <c r="W212" i="3" s="1"/>
  <c r="AV210" i="3"/>
  <c r="AW210" i="3" s="1"/>
  <c r="W210" i="3" s="1"/>
  <c r="AV217" i="3"/>
  <c r="AW217" i="3" s="1"/>
  <c r="W217" i="3" s="1"/>
  <c r="AV220" i="3"/>
  <c r="AW220" i="3" s="1"/>
  <c r="W220" i="3" s="1"/>
  <c r="AV230" i="3"/>
  <c r="AW230" i="3" s="1"/>
  <c r="W230" i="3" s="1"/>
  <c r="AV228" i="3"/>
  <c r="AW228" i="3" s="1"/>
  <c r="W228" i="3" s="1"/>
  <c r="AV226" i="3"/>
  <c r="AW226" i="3" s="1"/>
  <c r="W226" i="3" s="1"/>
  <c r="AV224" i="3"/>
  <c r="AW224" i="3" s="1"/>
  <c r="W224" i="3" s="1"/>
  <c r="AV222" i="3"/>
  <c r="AW222" i="3" s="1"/>
  <c r="W222" i="3" s="1"/>
  <c r="AV235" i="3"/>
  <c r="AW235" i="3" s="1"/>
  <c r="W235" i="3" s="1"/>
  <c r="AV237" i="3"/>
  <c r="AW237" i="3" s="1"/>
  <c r="W237" i="3" s="1"/>
  <c r="AV241" i="3"/>
  <c r="AW241" i="3" s="1"/>
  <c r="W241" i="3" s="1"/>
  <c r="AV242" i="3"/>
  <c r="AW242" i="3" s="1"/>
  <c r="W242" i="3" s="1"/>
  <c r="AV261" i="3"/>
  <c r="AW261" i="3" s="1"/>
  <c r="W261" i="3" s="1"/>
  <c r="AV259" i="3"/>
  <c r="AW259" i="3" s="1"/>
  <c r="AV257" i="3"/>
  <c r="AW257" i="3" s="1"/>
  <c r="W257" i="3" s="1"/>
  <c r="AV255" i="3"/>
  <c r="AW255" i="3" s="1"/>
  <c r="W255" i="3" s="1"/>
  <c r="AV253" i="3"/>
  <c r="AW253" i="3" s="1"/>
  <c r="W253" i="3" s="1"/>
  <c r="AV251" i="3"/>
  <c r="AW251" i="3" s="1"/>
  <c r="W251" i="3" s="1"/>
  <c r="AV248" i="3"/>
  <c r="AW248" i="3" s="1"/>
  <c r="W248" i="3" s="1"/>
  <c r="AV266" i="3"/>
  <c r="AW266" i="3" s="1"/>
  <c r="W266" i="3" s="1"/>
  <c r="AV269" i="3"/>
  <c r="AW269" i="3" s="1"/>
  <c r="AV270" i="3"/>
  <c r="AW270" i="3" s="1"/>
  <c r="W270" i="3" s="1"/>
  <c r="AV278" i="3"/>
  <c r="AW278" i="3" s="1"/>
  <c r="AV281" i="3"/>
  <c r="AW281" i="3" s="1"/>
  <c r="AV282" i="3"/>
  <c r="AW282" i="3" s="1"/>
  <c r="AV287" i="3"/>
  <c r="AW287" i="3" s="1"/>
  <c r="AV292" i="3"/>
  <c r="AW292" i="3" s="1"/>
  <c r="AV295" i="3"/>
  <c r="AW295" i="3" s="1"/>
  <c r="W295" i="3" s="1"/>
  <c r="AV299" i="3"/>
  <c r="AW299" i="3" s="1"/>
  <c r="W299" i="3" s="1"/>
  <c r="AV297" i="3"/>
  <c r="AW297" i="3" s="1"/>
  <c r="W297" i="3" s="1"/>
  <c r="AV303" i="3"/>
  <c r="AW303" i="3" s="1"/>
  <c r="W303" i="3" s="1"/>
  <c r="AV305" i="3"/>
  <c r="AW305" i="3" s="1"/>
  <c r="W305" i="3" s="1"/>
  <c r="AV307" i="3"/>
  <c r="AW307" i="3" s="1"/>
  <c r="W307" i="3" s="1"/>
  <c r="AV311" i="3"/>
  <c r="AW311" i="3" s="1"/>
  <c r="AV313" i="3"/>
  <c r="AW313" i="3" s="1"/>
  <c r="AV315" i="3"/>
  <c r="AW315" i="3" s="1"/>
  <c r="AV319" i="3"/>
  <c r="AW319" i="3" s="1"/>
  <c r="W319" i="3" s="1"/>
  <c r="AV321" i="3"/>
  <c r="AW321" i="3" s="1"/>
  <c r="W321" i="3" s="1"/>
  <c r="AV323" i="3"/>
  <c r="AW323" i="3" s="1"/>
  <c r="W323" i="3" s="1"/>
  <c r="AV327" i="3"/>
  <c r="AW327" i="3" s="1"/>
  <c r="W327" i="3" s="1"/>
  <c r="AV330" i="3"/>
  <c r="AW330" i="3" s="1"/>
  <c r="W330" i="3" s="1"/>
  <c r="AV328" i="3"/>
  <c r="AW328" i="3" s="1"/>
  <c r="W328" i="3" s="1"/>
  <c r="AV336" i="3"/>
  <c r="AW336" i="3" s="1"/>
  <c r="W336" i="3" s="1"/>
  <c r="AV340" i="3"/>
  <c r="AW340" i="3" s="1"/>
  <c r="W340" i="3" s="1"/>
  <c r="AV342" i="3"/>
  <c r="AW342" i="3" s="1"/>
  <c r="AV346" i="3"/>
  <c r="AW346" i="3" s="1"/>
  <c r="W346" i="3" s="1"/>
  <c r="AV348" i="3"/>
  <c r="AW348" i="3" s="1"/>
  <c r="AV354" i="3"/>
  <c r="AW354" i="3" s="1"/>
  <c r="AV362" i="3"/>
  <c r="AW362" i="3" s="1"/>
  <c r="W362" i="3" s="1"/>
  <c r="AV360" i="3"/>
  <c r="AW360" i="3" s="1"/>
  <c r="W360" i="3" s="1"/>
  <c r="AV358" i="3"/>
  <c r="AW358" i="3" s="1"/>
  <c r="W358" i="3" s="1"/>
  <c r="AV356" i="3"/>
  <c r="AW356" i="3" s="1"/>
  <c r="W356" i="3" s="1"/>
  <c r="AV366" i="3"/>
  <c r="AW366" i="3" s="1"/>
  <c r="AV367" i="3"/>
  <c r="AW367" i="3" s="1"/>
  <c r="AV380" i="3"/>
  <c r="AW380" i="3" s="1"/>
  <c r="W380" i="3" s="1"/>
  <c r="AV378" i="3"/>
  <c r="AW378" i="3" s="1"/>
  <c r="W378" i="3" s="1"/>
  <c r="AV383" i="3"/>
  <c r="AW383" i="3" s="1"/>
  <c r="W383" i="3" s="1"/>
  <c r="AV386" i="3"/>
  <c r="AW386" i="3" s="1"/>
  <c r="W386" i="3" s="1"/>
  <c r="AV384" i="3"/>
  <c r="AW384" i="3" s="1"/>
  <c r="W384" i="3" s="1"/>
  <c r="AV394" i="3"/>
  <c r="AW394" i="3" s="1"/>
  <c r="W394" i="3" s="1"/>
  <c r="AV397" i="3"/>
  <c r="AW397" i="3" s="1"/>
  <c r="W397" i="3" s="1"/>
  <c r="AV398" i="3"/>
  <c r="AW398" i="3" s="1"/>
  <c r="W398" i="3" s="1"/>
  <c r="AV414" i="3"/>
  <c r="AW414" i="3" s="1"/>
  <c r="W414" i="3" s="1"/>
  <c r="AV416" i="3"/>
  <c r="AW416" i="3" s="1"/>
  <c r="W416" i="3" s="1"/>
  <c r="AV418" i="3"/>
  <c r="AW418" i="3" s="1"/>
  <c r="W418" i="3" s="1"/>
  <c r="AV420" i="3"/>
  <c r="AW420" i="3" s="1"/>
  <c r="W420" i="3" s="1"/>
  <c r="AV422" i="3"/>
  <c r="AW422" i="3" s="1"/>
  <c r="W422" i="3" s="1"/>
  <c r="AV426" i="3"/>
  <c r="AW426" i="3" s="1"/>
  <c r="W426" i="3" s="1"/>
  <c r="AV428" i="3"/>
  <c r="AW428" i="3" s="1"/>
  <c r="W428" i="3" s="1"/>
  <c r="AV430" i="3"/>
  <c r="AW430" i="3" s="1"/>
  <c r="W430" i="3" s="1"/>
  <c r="AV432" i="3"/>
  <c r="AW432" i="3" s="1"/>
  <c r="W432" i="3" s="1"/>
  <c r="AV436" i="3"/>
  <c r="AW436" i="3" s="1"/>
  <c r="W436" i="3" s="1"/>
  <c r="AV438" i="3"/>
  <c r="AW438" i="3" s="1"/>
  <c r="W438" i="3" s="1"/>
  <c r="AV440" i="3"/>
  <c r="AW440" i="3" s="1"/>
  <c r="W440" i="3" s="1"/>
  <c r="AV444" i="3"/>
  <c r="AW444" i="3" s="1"/>
  <c r="W444" i="3" s="1"/>
  <c r="AV446" i="3"/>
  <c r="AW446" i="3" s="1"/>
  <c r="W446" i="3" s="1"/>
  <c r="AV448" i="3"/>
  <c r="AW448" i="3" s="1"/>
  <c r="W448" i="3" s="1"/>
  <c r="AV450" i="3"/>
  <c r="AW450" i="3" s="1"/>
  <c r="W450" i="3" s="1"/>
  <c r="AV456" i="3"/>
  <c r="AW456" i="3" s="1"/>
  <c r="W456" i="3" s="1"/>
  <c r="AV458" i="3"/>
  <c r="AW458" i="3" s="1"/>
  <c r="W458" i="3" s="1"/>
  <c r="AV460" i="3"/>
  <c r="AW460" i="3" s="1"/>
  <c r="W460" i="3" s="1"/>
  <c r="AV462" i="3"/>
  <c r="AW462" i="3" s="1"/>
  <c r="W462" i="3" s="1"/>
  <c r="AV464" i="3"/>
  <c r="AW464" i="3" s="1"/>
  <c r="W464" i="3" s="1"/>
  <c r="AV466" i="3"/>
  <c r="AW466" i="3" s="1"/>
  <c r="W466" i="3" s="1"/>
  <c r="AV468" i="3"/>
  <c r="AW468" i="3" s="1"/>
  <c r="W468" i="3" s="1"/>
  <c r="AV470" i="3"/>
  <c r="AW470" i="3" s="1"/>
  <c r="W470" i="3" s="1"/>
  <c r="AV472" i="3"/>
  <c r="AW472" i="3" s="1"/>
  <c r="W472" i="3" s="1"/>
  <c r="AV474" i="3"/>
  <c r="AW474" i="3" s="1"/>
  <c r="W474" i="3" s="1"/>
  <c r="AV476" i="3"/>
  <c r="AW476" i="3" s="1"/>
  <c r="W476" i="3" s="1"/>
  <c r="AV478" i="3"/>
  <c r="AW478" i="3" s="1"/>
  <c r="AV480" i="3"/>
  <c r="AW480" i="3" s="1"/>
  <c r="W480" i="3" s="1"/>
  <c r="AV482" i="3"/>
  <c r="AW482" i="3" s="1"/>
  <c r="W482" i="3" s="1"/>
  <c r="AV484" i="3"/>
  <c r="AW484" i="3" s="1"/>
  <c r="W484" i="3" s="1"/>
  <c r="AV486" i="3"/>
  <c r="AW486" i="3" s="1"/>
  <c r="W486" i="3" s="1"/>
  <c r="AV488" i="3"/>
  <c r="AW488" i="3" s="1"/>
  <c r="W488" i="3" s="1"/>
  <c r="AV490" i="3"/>
  <c r="AW490" i="3" s="1"/>
  <c r="W490" i="3" s="1"/>
  <c r="AV492" i="3"/>
  <c r="AW492" i="3" s="1"/>
  <c r="W492" i="3" s="1"/>
  <c r="AV494" i="3"/>
  <c r="AW494" i="3" s="1"/>
  <c r="W494" i="3" s="1"/>
  <c r="AV496" i="3"/>
  <c r="AW496" i="3" s="1"/>
  <c r="W496" i="3" s="1"/>
  <c r="AV498" i="3"/>
  <c r="AW498" i="3" s="1"/>
  <c r="W498" i="3" s="1"/>
  <c r="AV500" i="3"/>
  <c r="AW500" i="3" s="1"/>
  <c r="W500" i="3" s="1"/>
  <c r="AV504" i="3"/>
  <c r="AW504" i="3" s="1"/>
  <c r="W504" i="3" s="1"/>
  <c r="AV509" i="3"/>
  <c r="AW509" i="3" s="1"/>
  <c r="W509" i="3" s="1"/>
  <c r="AV514" i="3"/>
  <c r="AW514" i="3" s="1"/>
  <c r="AV522" i="3"/>
  <c r="AW522" i="3" s="1"/>
  <c r="AV520" i="3"/>
  <c r="AW520" i="3" s="1"/>
  <c r="W520" i="3" s="1"/>
  <c r="AV518" i="3"/>
  <c r="AW518" i="3" s="1"/>
  <c r="W518" i="3" s="1"/>
  <c r="AV516" i="3"/>
  <c r="AW516" i="3" s="1"/>
  <c r="W516" i="3" s="1"/>
  <c r="AV526" i="3"/>
  <c r="AW526" i="3" s="1"/>
  <c r="AV530" i="3"/>
  <c r="AW530" i="3" s="1"/>
  <c r="AV528" i="3"/>
  <c r="AW528" i="3" s="1"/>
  <c r="AV536" i="3"/>
  <c r="AW536" i="3" s="1"/>
  <c r="W536" i="3" s="1"/>
  <c r="AV538" i="3"/>
  <c r="AW538" i="3" s="1"/>
  <c r="W538" i="3" s="1"/>
  <c r="AV542" i="3"/>
  <c r="AW542" i="3" s="1"/>
  <c r="W542" i="3" s="1"/>
  <c r="AV545" i="3"/>
  <c r="AW545" i="3" s="1"/>
  <c r="W545" i="3" s="1"/>
  <c r="AV543" i="3"/>
  <c r="AW543" i="3" s="1"/>
  <c r="W543" i="3" s="1"/>
  <c r="AV567" i="3"/>
  <c r="AW567" i="3" s="1"/>
  <c r="W567" i="3" s="1"/>
  <c r="AV565" i="3"/>
  <c r="AW565" i="3" s="1"/>
  <c r="W565" i="3" s="1"/>
  <c r="AV563" i="3"/>
  <c r="AW563" i="3" s="1"/>
  <c r="W563" i="3" s="1"/>
  <c r="AV561" i="3"/>
  <c r="AW561" i="3" s="1"/>
  <c r="W561" i="3" s="1"/>
  <c r="AV559" i="3"/>
  <c r="AW559" i="3" s="1"/>
  <c r="W559" i="3" s="1"/>
  <c r="AV557" i="3"/>
  <c r="AW557" i="3" s="1"/>
  <c r="W557" i="3" s="1"/>
  <c r="AV555" i="3"/>
  <c r="AW555" i="3" s="1"/>
  <c r="W555" i="3" s="1"/>
  <c r="AV553" i="3"/>
  <c r="AW553" i="3" s="1"/>
  <c r="W553" i="3" s="1"/>
  <c r="AV570" i="3"/>
  <c r="AW570" i="3" s="1"/>
  <c r="W570" i="3" s="1"/>
  <c r="AV574" i="3"/>
  <c r="AW574" i="3" s="1"/>
  <c r="W574" i="3" s="1"/>
  <c r="AV575" i="3"/>
  <c r="AW575" i="3" s="1"/>
  <c r="W575" i="3" s="1"/>
  <c r="AV583" i="3"/>
  <c r="AW583" i="3" s="1"/>
  <c r="W583" i="3" s="1"/>
  <c r="AV581" i="3"/>
  <c r="AW581" i="3" s="1"/>
  <c r="W581" i="3" s="1"/>
  <c r="AV586" i="3"/>
  <c r="AW586" i="3" s="1"/>
  <c r="W586" i="3" s="1"/>
  <c r="AV587" i="3"/>
  <c r="AW587" i="3" s="1"/>
  <c r="W587" i="3" s="1"/>
  <c r="AV599" i="3"/>
  <c r="AW599" i="3" s="1"/>
  <c r="W599" i="3" s="1"/>
  <c r="AV597" i="3"/>
  <c r="AW597" i="3" s="1"/>
  <c r="W597" i="3" s="1"/>
  <c r="AV595" i="3"/>
  <c r="AW595" i="3" s="1"/>
  <c r="W595" i="3" s="1"/>
  <c r="AV602" i="3"/>
  <c r="AW602" i="3" s="1"/>
  <c r="W602" i="3" s="1"/>
  <c r="AV611" i="3"/>
  <c r="AW611" i="3" s="1"/>
  <c r="W611" i="3" s="1"/>
  <c r="AV609" i="3"/>
  <c r="AW609" i="3" s="1"/>
  <c r="W609" i="3" s="1"/>
  <c r="AV607" i="3"/>
  <c r="AW607" i="3" s="1"/>
  <c r="W607" i="3" s="1"/>
  <c r="AV605" i="3"/>
  <c r="AW605" i="3" s="1"/>
  <c r="W605" i="3" s="1"/>
  <c r="AV603" i="3"/>
  <c r="AW603" i="3" s="1"/>
  <c r="W603" i="3" s="1"/>
  <c r="AV620" i="3"/>
  <c r="AW620" i="3" s="1"/>
  <c r="W620" i="3" s="1"/>
  <c r="AV618" i="3"/>
  <c r="AW618" i="3" s="1"/>
  <c r="W618" i="3" s="1"/>
  <c r="AV616" i="3"/>
  <c r="AW616" i="3" s="1"/>
  <c r="W616" i="3" s="1"/>
  <c r="AV363" i="3"/>
  <c r="AW363" i="3" s="1"/>
  <c r="W363" i="3" s="1"/>
  <c r="AV361" i="3"/>
  <c r="AW361" i="3" s="1"/>
  <c r="W361" i="3" s="1"/>
  <c r="AV359" i="3"/>
  <c r="AW359" i="3" s="1"/>
  <c r="W359" i="3" s="1"/>
  <c r="AV357" i="3"/>
  <c r="AW357" i="3" s="1"/>
  <c r="W357" i="3" s="1"/>
  <c r="AV355" i="3"/>
  <c r="AW355" i="3" s="1"/>
  <c r="W355" i="3" s="1"/>
  <c r="AV368" i="3"/>
  <c r="AW368" i="3" s="1"/>
  <c r="AV376" i="3"/>
  <c r="AW376" i="3" s="1"/>
  <c r="W376" i="3" s="1"/>
  <c r="AV379" i="3"/>
  <c r="AW379" i="3" s="1"/>
  <c r="W379" i="3" s="1"/>
  <c r="AV377" i="3"/>
  <c r="AW377" i="3" s="1"/>
  <c r="W377" i="3" s="1"/>
  <c r="AV387" i="3"/>
  <c r="AW387" i="3" s="1"/>
  <c r="W387" i="3" s="1"/>
  <c r="AV385" i="3"/>
  <c r="AW385" i="3" s="1"/>
  <c r="W385" i="3" s="1"/>
  <c r="AV392" i="3"/>
  <c r="AW392" i="3" s="1"/>
  <c r="W392" i="3" s="1"/>
  <c r="AV393" i="3"/>
  <c r="AW393" i="3" s="1"/>
  <c r="W393" i="3" s="1"/>
  <c r="AV399" i="3"/>
  <c r="AW399" i="3" s="1"/>
  <c r="W399" i="3" s="1"/>
  <c r="AV413" i="3"/>
  <c r="AW413" i="3" s="1"/>
  <c r="W413" i="3" s="1"/>
  <c r="AV415" i="3"/>
  <c r="AW415" i="3" s="1"/>
  <c r="W415" i="3" s="1"/>
  <c r="AV417" i="3"/>
  <c r="AW417" i="3" s="1"/>
  <c r="W417" i="3" s="1"/>
  <c r="AV419" i="3"/>
  <c r="AW419" i="3" s="1"/>
  <c r="W419" i="3" s="1"/>
  <c r="AV421" i="3"/>
  <c r="AW421" i="3" s="1"/>
  <c r="W421" i="3" s="1"/>
  <c r="AV425" i="3"/>
  <c r="AW425" i="3" s="1"/>
  <c r="W425" i="3" s="1"/>
  <c r="AV427" i="3"/>
  <c r="AW427" i="3" s="1"/>
  <c r="W427" i="3" s="1"/>
  <c r="AV429" i="3"/>
  <c r="AW429" i="3" s="1"/>
  <c r="W429" i="3" s="1"/>
  <c r="AV431" i="3"/>
  <c r="AW431" i="3" s="1"/>
  <c r="W431" i="3" s="1"/>
  <c r="AV435" i="3"/>
  <c r="AW435" i="3" s="1"/>
  <c r="W435" i="3" s="1"/>
  <c r="AV437" i="3"/>
  <c r="AW437" i="3" s="1"/>
  <c r="W437" i="3" s="1"/>
  <c r="AV439" i="3"/>
  <c r="AW439" i="3" s="1"/>
  <c r="W439" i="3" s="1"/>
  <c r="AV443" i="3"/>
  <c r="AW443" i="3" s="1"/>
  <c r="W443" i="3" s="1"/>
  <c r="AV445" i="3"/>
  <c r="AW445" i="3" s="1"/>
  <c r="W445" i="3" s="1"/>
  <c r="AV447" i="3"/>
  <c r="AW447" i="3" s="1"/>
  <c r="W447" i="3" s="1"/>
  <c r="AV449" i="3"/>
  <c r="AW449" i="3" s="1"/>
  <c r="W449" i="3" s="1"/>
  <c r="AV455" i="3"/>
  <c r="AW455" i="3" s="1"/>
  <c r="W455" i="3" s="1"/>
  <c r="AV457" i="3"/>
  <c r="AW457" i="3" s="1"/>
  <c r="W457" i="3" s="1"/>
  <c r="AV459" i="3"/>
  <c r="AW459" i="3" s="1"/>
  <c r="W459" i="3" s="1"/>
  <c r="AV461" i="3"/>
  <c r="AW461" i="3" s="1"/>
  <c r="W461" i="3" s="1"/>
  <c r="AV463" i="3"/>
  <c r="AW463" i="3" s="1"/>
  <c r="W463" i="3" s="1"/>
  <c r="AV465" i="3"/>
  <c r="AW465" i="3" s="1"/>
  <c r="W465" i="3" s="1"/>
  <c r="AV467" i="3"/>
  <c r="AW467" i="3" s="1"/>
  <c r="W467" i="3" s="1"/>
  <c r="AV469" i="3"/>
  <c r="AW469" i="3" s="1"/>
  <c r="W469" i="3" s="1"/>
  <c r="AV471" i="3"/>
  <c r="AW471" i="3" s="1"/>
  <c r="W471" i="3" s="1"/>
  <c r="AV473" i="3"/>
  <c r="AW473" i="3" s="1"/>
  <c r="W473" i="3" s="1"/>
  <c r="AV475" i="3"/>
  <c r="AW475" i="3" s="1"/>
  <c r="W475" i="3" s="1"/>
  <c r="AV477" i="3"/>
  <c r="AW477" i="3" s="1"/>
  <c r="W477" i="3" s="1"/>
  <c r="AV479" i="3"/>
  <c r="AW479" i="3" s="1"/>
  <c r="W479" i="3" s="1"/>
  <c r="AV481" i="3"/>
  <c r="AW481" i="3" s="1"/>
  <c r="W481" i="3" s="1"/>
  <c r="AV483" i="3"/>
  <c r="AW483" i="3" s="1"/>
  <c r="W483" i="3" s="1"/>
  <c r="AV485" i="3"/>
  <c r="AW485" i="3" s="1"/>
  <c r="W485" i="3" s="1"/>
  <c r="AV487" i="3"/>
  <c r="AW487" i="3" s="1"/>
  <c r="W487" i="3" s="1"/>
  <c r="AV489" i="3"/>
  <c r="AW489" i="3" s="1"/>
  <c r="W489" i="3" s="1"/>
  <c r="AV491" i="3"/>
  <c r="AW491" i="3" s="1"/>
  <c r="W491" i="3" s="1"/>
  <c r="AV493" i="3"/>
  <c r="AW493" i="3" s="1"/>
  <c r="W493" i="3" s="1"/>
  <c r="AV495" i="3"/>
  <c r="AW495" i="3" s="1"/>
  <c r="W495" i="3" s="1"/>
  <c r="AV497" i="3"/>
  <c r="AW497" i="3" s="1"/>
  <c r="W497" i="3" s="1"/>
  <c r="AV499" i="3"/>
  <c r="AW499" i="3" s="1"/>
  <c r="W499" i="3" s="1"/>
  <c r="AV503" i="3"/>
  <c r="AW503" i="3" s="1"/>
  <c r="W503" i="3" s="1"/>
  <c r="AV507" i="3"/>
  <c r="AW507" i="3" s="1"/>
  <c r="W507" i="3" s="1"/>
  <c r="AV508" i="3"/>
  <c r="AW508" i="3" s="1"/>
  <c r="W508" i="3" s="1"/>
  <c r="AV523" i="3"/>
  <c r="AW523" i="3" s="1"/>
  <c r="AV521" i="3"/>
  <c r="AW521" i="3" s="1"/>
  <c r="W521" i="3" s="1"/>
  <c r="AV519" i="3"/>
  <c r="AW519" i="3" s="1"/>
  <c r="W519" i="3" s="1"/>
  <c r="AV517" i="3"/>
  <c r="AW517" i="3" s="1"/>
  <c r="W517" i="3" s="1"/>
  <c r="AV515" i="3"/>
  <c r="AW515" i="3" s="1"/>
  <c r="AV531" i="3"/>
  <c r="AW531" i="3" s="1"/>
  <c r="AV529" i="3"/>
  <c r="AW529" i="3" s="1"/>
  <c r="AV527" i="3"/>
  <c r="AW527" i="3" s="1"/>
  <c r="AV539" i="3"/>
  <c r="AW539" i="3" s="1"/>
  <c r="W539" i="3" s="1"/>
  <c r="AV537" i="3"/>
  <c r="AW537" i="3" s="1"/>
  <c r="W537" i="3" s="1"/>
  <c r="AV546" i="3"/>
  <c r="AW546" i="3" s="1"/>
  <c r="AV544" i="3"/>
  <c r="AW544" i="3" s="1"/>
  <c r="W544" i="3" s="1"/>
  <c r="AV551" i="3"/>
  <c r="AW551" i="3" s="1"/>
  <c r="W551" i="3" s="1"/>
  <c r="AV566" i="3"/>
  <c r="AW566" i="3" s="1"/>
  <c r="W566" i="3" s="1"/>
  <c r="AV564" i="3"/>
  <c r="AW564" i="3" s="1"/>
  <c r="W564" i="3" s="1"/>
  <c r="AV562" i="3"/>
  <c r="AW562" i="3" s="1"/>
  <c r="W562" i="3" s="1"/>
  <c r="AV560" i="3"/>
  <c r="AW560" i="3" s="1"/>
  <c r="W560" i="3" s="1"/>
  <c r="AV558" i="3"/>
  <c r="AW558" i="3" s="1"/>
  <c r="W558" i="3" s="1"/>
  <c r="AV556" i="3"/>
  <c r="AW556" i="3" s="1"/>
  <c r="W556" i="3" s="1"/>
  <c r="AV554" i="3"/>
  <c r="AW554" i="3" s="1"/>
  <c r="W554" i="3" s="1"/>
  <c r="AV552" i="3"/>
  <c r="AW552" i="3" s="1"/>
  <c r="W552" i="3" s="1"/>
  <c r="AV571" i="3"/>
  <c r="AW571" i="3" s="1"/>
  <c r="W571" i="3" s="1"/>
  <c r="AV576" i="3"/>
  <c r="AW576" i="3" s="1"/>
  <c r="W576" i="3" s="1"/>
  <c r="AV579" i="3"/>
  <c r="AW579" i="3" s="1"/>
  <c r="W579" i="3" s="1"/>
  <c r="AV582" i="3"/>
  <c r="AW582" i="3" s="1"/>
  <c r="W582" i="3" s="1"/>
  <c r="AV580" i="3"/>
  <c r="AW580" i="3" s="1"/>
  <c r="W580" i="3" s="1"/>
  <c r="AV588" i="3"/>
  <c r="AW588" i="3" s="1"/>
  <c r="W588" i="3" s="1"/>
  <c r="AV593" i="3"/>
  <c r="AW593" i="3" s="1"/>
  <c r="W593" i="3" s="1"/>
  <c r="AV598" i="3"/>
  <c r="AW598" i="3" s="1"/>
  <c r="W598" i="3" s="1"/>
  <c r="AV596" i="3"/>
  <c r="AW596" i="3" s="1"/>
  <c r="W596" i="3" s="1"/>
  <c r="AV594" i="3"/>
  <c r="AW594" i="3" s="1"/>
  <c r="W594" i="3" s="1"/>
  <c r="AV612" i="3"/>
  <c r="AW612" i="3" s="1"/>
  <c r="W612" i="3" s="1"/>
  <c r="AV610" i="3"/>
  <c r="AW610" i="3" s="1"/>
  <c r="W610" i="3" s="1"/>
  <c r="AV608" i="3"/>
  <c r="AW608" i="3" s="1"/>
  <c r="W608" i="3" s="1"/>
  <c r="AV606" i="3"/>
  <c r="AW606" i="3" s="1"/>
  <c r="W606" i="3" s="1"/>
  <c r="AV604" i="3"/>
  <c r="AW604" i="3" s="1"/>
  <c r="W604" i="3" s="1"/>
  <c r="AV615" i="3"/>
  <c r="AW615" i="3" s="1"/>
  <c r="W615" i="3" s="1"/>
  <c r="AV619" i="3"/>
  <c r="AW619" i="3" s="1"/>
  <c r="W619" i="3" s="1"/>
  <c r="AV617" i="3"/>
  <c r="AW617" i="3" s="1"/>
  <c r="W617" i="3" s="1"/>
  <c r="AX250" i="3"/>
  <c r="AX39" i="3"/>
  <c r="AX613" i="3"/>
  <c r="AX600" i="3"/>
  <c r="AX591" i="3"/>
  <c r="AX589" i="3"/>
  <c r="AX584" i="3"/>
  <c r="AX577" i="3"/>
  <c r="AX572" i="3"/>
  <c r="AX568" i="3"/>
  <c r="AX549" i="3"/>
  <c r="AX547" i="3"/>
  <c r="AX540" i="3"/>
  <c r="AX534" i="3"/>
  <c r="AX532" i="3"/>
  <c r="AX524" i="3"/>
  <c r="AX512" i="3"/>
  <c r="AX510" i="3"/>
  <c r="AX505" i="3"/>
  <c r="AX501" i="3"/>
  <c r="AX453" i="3"/>
  <c r="AX451" i="3"/>
  <c r="AX441" i="3"/>
  <c r="AX433" i="3"/>
  <c r="AX423" i="3"/>
  <c r="AX411" i="3"/>
  <c r="AX403" i="3"/>
  <c r="AX401" i="3"/>
  <c r="AX396" i="3"/>
  <c r="AX391" i="3"/>
  <c r="AX389" i="3"/>
  <c r="AX382" i="3"/>
  <c r="AX375" i="3"/>
  <c r="AX372" i="3"/>
  <c r="AX370" i="3"/>
  <c r="AX365" i="3"/>
  <c r="AX353" i="3"/>
  <c r="AX351" i="3"/>
  <c r="AX345" i="3"/>
  <c r="AX339" i="3"/>
  <c r="AX333" i="3"/>
  <c r="AX326" i="3"/>
  <c r="AX318" i="3"/>
  <c r="AX310" i="3"/>
  <c r="AX302" i="3"/>
  <c r="AX294" i="3"/>
  <c r="AX289" i="3"/>
  <c r="AX285" i="3"/>
  <c r="AX280" i="3"/>
  <c r="AX275" i="3"/>
  <c r="AX273" i="3"/>
  <c r="AX268" i="3"/>
  <c r="AX263" i="3"/>
  <c r="AX246" i="3"/>
  <c r="AX244" i="3"/>
  <c r="AX239" i="3"/>
  <c r="AX233" i="3"/>
  <c r="AX218" i="3"/>
  <c r="AX213" i="3"/>
  <c r="AX207" i="3"/>
  <c r="AX204" i="3"/>
  <c r="AX202" i="3"/>
  <c r="AX197" i="3"/>
  <c r="AX194" i="3"/>
  <c r="AX190" i="3"/>
  <c r="AX184" i="3"/>
  <c r="AX174" i="3"/>
  <c r="AX172" i="3"/>
  <c r="AX170" i="3"/>
  <c r="AX168" i="3"/>
  <c r="AX120" i="3"/>
  <c r="AX118" i="3"/>
  <c r="AX109" i="3"/>
  <c r="AX103" i="3"/>
  <c r="AX98" i="3"/>
  <c r="AX87" i="3"/>
  <c r="AX84" i="3"/>
  <c r="AX71" i="3"/>
  <c r="AX69" i="3"/>
  <c r="AX62" i="3"/>
  <c r="AX57" i="3"/>
  <c r="AX52" i="3"/>
  <c r="AX45" i="3"/>
  <c r="AX38" i="3"/>
  <c r="AX36" i="3"/>
  <c r="AX34" i="3"/>
  <c r="AX614" i="3"/>
  <c r="AX601" i="3"/>
  <c r="AX592" i="3"/>
  <c r="AX590" i="3"/>
  <c r="AX585" i="3"/>
  <c r="AX578" i="3"/>
  <c r="AX573" i="3"/>
  <c r="AX569" i="3"/>
  <c r="AX550" i="3"/>
  <c r="AX548" i="3"/>
  <c r="AX541" i="3"/>
  <c r="AX535" i="3"/>
  <c r="AX533" i="3"/>
  <c r="AX525" i="3"/>
  <c r="AX513" i="3"/>
  <c r="AX511" i="3"/>
  <c r="AX506" i="3"/>
  <c r="AX502" i="3"/>
  <c r="AX454" i="3"/>
  <c r="AX452" i="3"/>
  <c r="AX442" i="3"/>
  <c r="AX434" i="3"/>
  <c r="AX424" i="3"/>
  <c r="AX412" i="3"/>
  <c r="AX404" i="3"/>
  <c r="AX402" i="3"/>
  <c r="AX400" i="3"/>
  <c r="AX395" i="3"/>
  <c r="AX390" i="3"/>
  <c r="AX388" i="3"/>
  <c r="AX381" i="3"/>
  <c r="AX374" i="3"/>
  <c r="AX371" i="3"/>
  <c r="AX369" i="3"/>
  <c r="AX364" i="3"/>
  <c r="AX352" i="3"/>
  <c r="AX350" i="3"/>
  <c r="AX344" i="3"/>
  <c r="AX338" i="3"/>
  <c r="AX332" i="3"/>
  <c r="AX325" i="3"/>
  <c r="AX317" i="3"/>
  <c r="AX309" i="3"/>
  <c r="AX301" i="3"/>
  <c r="AX293" i="3"/>
  <c r="AX288" i="3"/>
  <c r="AX284" i="3"/>
  <c r="AX279" i="3"/>
  <c r="AX274" i="3"/>
  <c r="AX272" i="3"/>
  <c r="AX262" i="3"/>
  <c r="AX240" i="3"/>
  <c r="AX219" i="3"/>
  <c r="AX208" i="3"/>
  <c r="AX203" i="3"/>
  <c r="AX195" i="3"/>
  <c r="AX185" i="3"/>
  <c r="AX173" i="3"/>
  <c r="AX169" i="3"/>
  <c r="AX119" i="3"/>
  <c r="AX108" i="3"/>
  <c r="AX97" i="3"/>
  <c r="AX83" i="3"/>
  <c r="AX68" i="3"/>
  <c r="AX56" i="3"/>
  <c r="AX44" i="3"/>
  <c r="AX35" i="3"/>
  <c r="AX32" i="3"/>
  <c r="AX30" i="3"/>
  <c r="AX28" i="3"/>
  <c r="AX22" i="3"/>
  <c r="AX16" i="3"/>
  <c r="AX10" i="3"/>
  <c r="AX4" i="3"/>
  <c r="AX2" i="3"/>
  <c r="F2" i="3" s="1"/>
  <c r="AX23" i="3"/>
  <c r="AX11" i="3"/>
  <c r="AX3" i="3"/>
  <c r="AX267" i="3"/>
  <c r="AX245" i="3"/>
  <c r="AX234" i="3"/>
  <c r="AX214" i="3"/>
  <c r="AX205" i="3"/>
  <c r="AX198" i="3"/>
  <c r="AX191" i="3"/>
  <c r="AX175" i="3"/>
  <c r="AX171" i="3"/>
  <c r="AX167" i="3"/>
  <c r="AX110" i="3"/>
  <c r="AX102" i="3"/>
  <c r="AX86" i="3"/>
  <c r="AX70" i="3"/>
  <c r="AX61" i="3"/>
  <c r="AX51" i="3"/>
  <c r="AX37" i="3"/>
  <c r="AX33" i="3"/>
  <c r="AX31" i="3"/>
  <c r="AX29" i="3"/>
  <c r="AX17" i="3"/>
  <c r="AX5" i="3"/>
  <c r="AX249" i="3"/>
  <c r="AX373" i="3"/>
  <c r="AX6" i="3"/>
  <c r="AX9" i="3"/>
  <c r="AX13" i="3"/>
  <c r="AX15" i="3"/>
  <c r="AX19" i="3"/>
  <c r="AX21" i="3"/>
  <c r="AX27" i="3"/>
  <c r="AX8" i="3"/>
  <c r="AX18" i="3"/>
  <c r="AX24" i="3"/>
  <c r="AX7" i="3"/>
  <c r="AX25" i="3"/>
  <c r="AX12" i="3"/>
  <c r="AX14" i="3"/>
  <c r="AX20" i="3"/>
  <c r="AX26" i="3"/>
  <c r="AX42" i="3"/>
  <c r="AX58" i="3"/>
  <c r="AX81" i="3"/>
  <c r="AX88" i="3"/>
  <c r="AX89" i="3"/>
  <c r="AX106" i="3"/>
  <c r="AX116" i="3"/>
  <c r="AX112" i="3"/>
  <c r="AX132" i="3"/>
  <c r="AX126" i="3"/>
  <c r="AX165" i="3"/>
  <c r="AX161" i="3"/>
  <c r="AX153" i="3"/>
  <c r="AX147" i="3"/>
  <c r="AX141" i="3"/>
  <c r="AX135" i="3"/>
  <c r="AX179" i="3"/>
  <c r="AX187" i="3"/>
  <c r="AX199" i="3"/>
  <c r="AX209" i="3"/>
  <c r="AX215" i="3"/>
  <c r="AX231" i="3"/>
  <c r="AX229" i="3"/>
  <c r="AX225" i="3"/>
  <c r="AX223" i="3"/>
  <c r="AX221" i="3"/>
  <c r="AX238" i="3"/>
  <c r="AX236" i="3"/>
  <c r="AX243" i="3"/>
  <c r="AX247" i="3"/>
  <c r="AX260" i="3"/>
  <c r="AX258" i="3"/>
  <c r="AX256" i="3"/>
  <c r="AX254" i="3"/>
  <c r="AX252" i="3"/>
  <c r="AX264" i="3"/>
  <c r="AX265" i="3"/>
  <c r="AX271" i="3"/>
  <c r="AX276" i="3"/>
  <c r="AX277" i="3"/>
  <c r="AX283" i="3"/>
  <c r="AX286" i="3"/>
  <c r="AX290" i="3"/>
  <c r="AX291" i="3"/>
  <c r="AX300" i="3"/>
  <c r="AX298" i="3"/>
  <c r="AX296" i="3"/>
  <c r="AX304" i="3"/>
  <c r="AX306" i="3"/>
  <c r="AX308" i="3"/>
  <c r="AX312" i="3"/>
  <c r="AX314" i="3"/>
  <c r="AX316" i="3"/>
  <c r="AX320" i="3"/>
  <c r="AX322" i="3"/>
  <c r="AX324" i="3"/>
  <c r="AX331" i="3"/>
  <c r="AX329" i="3"/>
  <c r="AX334" i="3"/>
  <c r="AX337" i="3"/>
  <c r="AX335" i="3"/>
  <c r="AX343" i="3"/>
  <c r="AX341" i="3"/>
  <c r="AX349" i="3"/>
  <c r="AX347" i="3"/>
  <c r="AX363" i="3"/>
  <c r="AX361" i="3"/>
  <c r="AX359" i="3"/>
  <c r="AX357" i="3"/>
  <c r="AX355" i="3"/>
  <c r="AX368" i="3"/>
  <c r="AX376" i="3"/>
  <c r="AX379" i="3"/>
  <c r="AX377" i="3"/>
  <c r="AX387" i="3"/>
  <c r="AX385" i="3"/>
  <c r="AX392" i="3"/>
  <c r="AX393" i="3"/>
  <c r="AX399" i="3"/>
  <c r="AX413" i="3"/>
  <c r="AX415" i="3"/>
  <c r="AX417" i="3"/>
  <c r="AX419" i="3"/>
  <c r="AX421" i="3"/>
  <c r="AX425" i="3"/>
  <c r="AX427" i="3"/>
  <c r="AX429" i="3"/>
  <c r="AX431" i="3"/>
  <c r="AX435" i="3"/>
  <c r="AX437" i="3"/>
  <c r="AX439" i="3"/>
  <c r="AX443" i="3"/>
  <c r="AX445" i="3"/>
  <c r="AX447" i="3"/>
  <c r="AX449" i="3"/>
  <c r="AX455" i="3"/>
  <c r="AX457" i="3"/>
  <c r="AX459" i="3"/>
  <c r="AX461" i="3"/>
  <c r="AX463" i="3"/>
  <c r="AX465" i="3"/>
  <c r="AX467" i="3"/>
  <c r="AX469" i="3"/>
  <c r="AX471" i="3"/>
  <c r="AX473" i="3"/>
  <c r="AX475" i="3"/>
  <c r="AX477" i="3"/>
  <c r="AX479" i="3"/>
  <c r="AX481" i="3"/>
  <c r="AX483" i="3"/>
  <c r="AX485" i="3"/>
  <c r="AX487" i="3"/>
  <c r="AX489" i="3"/>
  <c r="AX491" i="3"/>
  <c r="AX493" i="3"/>
  <c r="AX495" i="3"/>
  <c r="AX497" i="3"/>
  <c r="AX499" i="3"/>
  <c r="AX503" i="3"/>
  <c r="AX507" i="3"/>
  <c r="AX508" i="3"/>
  <c r="AX523" i="3"/>
  <c r="AX521" i="3"/>
  <c r="AX519" i="3"/>
  <c r="AX517" i="3"/>
  <c r="AX515" i="3"/>
  <c r="AX531" i="3"/>
  <c r="AX529" i="3"/>
  <c r="AX527" i="3"/>
  <c r="AX539" i="3"/>
  <c r="AX537" i="3"/>
  <c r="AX546" i="3"/>
  <c r="AX544" i="3"/>
  <c r="AX551" i="3"/>
  <c r="AX566" i="3"/>
  <c r="AX564" i="3"/>
  <c r="AX562" i="3"/>
  <c r="AX560" i="3"/>
  <c r="AX558" i="3"/>
  <c r="AX556" i="3"/>
  <c r="AX554" i="3"/>
  <c r="AX552" i="3"/>
  <c r="AX571" i="3"/>
  <c r="AX576" i="3"/>
  <c r="AX579" i="3"/>
  <c r="AX582" i="3"/>
  <c r="AX580" i="3"/>
  <c r="AX588" i="3"/>
  <c r="AX593" i="3"/>
  <c r="AX598" i="3"/>
  <c r="AX596" i="3"/>
  <c r="AX594" i="3"/>
  <c r="AX612" i="3"/>
  <c r="AX610" i="3"/>
  <c r="AX608" i="3"/>
  <c r="AX606" i="3"/>
  <c r="AX604" i="3"/>
  <c r="AX615" i="3"/>
  <c r="AX619" i="3"/>
  <c r="AX617" i="3"/>
  <c r="AX40" i="3"/>
  <c r="AX46" i="3"/>
  <c r="AX48" i="3"/>
  <c r="AX50" i="3"/>
  <c r="AX54" i="3"/>
  <c r="AX60" i="3"/>
  <c r="AX67" i="3"/>
  <c r="AX65" i="3"/>
  <c r="AX72" i="3"/>
  <c r="AX79" i="3"/>
  <c r="AX77" i="3"/>
  <c r="AX75" i="3"/>
  <c r="AX73" i="3"/>
  <c r="AX95" i="3"/>
  <c r="AX93" i="3"/>
  <c r="AX91" i="3"/>
  <c r="AX101" i="3"/>
  <c r="AX104" i="3"/>
  <c r="AX111" i="3"/>
  <c r="AX114" i="3"/>
  <c r="AX134" i="3"/>
  <c r="AX130" i="3"/>
  <c r="AX128" i="3"/>
  <c r="AX124" i="3"/>
  <c r="AX122" i="3"/>
  <c r="AX163" i="3"/>
  <c r="AX159" i="3"/>
  <c r="AX157" i="3"/>
  <c r="AX155" i="3"/>
  <c r="AX151" i="3"/>
  <c r="AX149" i="3"/>
  <c r="AX145" i="3"/>
  <c r="AX143" i="3"/>
  <c r="AX139" i="3"/>
  <c r="AX137" i="3"/>
  <c r="AX183" i="3"/>
  <c r="AX181" i="3"/>
  <c r="AX177" i="3"/>
  <c r="AX189" i="3"/>
  <c r="AX193" i="3"/>
  <c r="AX200" i="3"/>
  <c r="AX211" i="3"/>
  <c r="AX216" i="3"/>
  <c r="AX227" i="3"/>
  <c r="AX41" i="3"/>
  <c r="AX43" i="3"/>
  <c r="AX47" i="3"/>
  <c r="AX49" i="3"/>
  <c r="AX53" i="3"/>
  <c r="AX55" i="3"/>
  <c r="AX59" i="3"/>
  <c r="AX63" i="3"/>
  <c r="AX66" i="3"/>
  <c r="AX64" i="3"/>
  <c r="AX82" i="3"/>
  <c r="AX80" i="3"/>
  <c r="AX78" i="3"/>
  <c r="AX76" i="3"/>
  <c r="AX74" i="3"/>
  <c r="AX85" i="3"/>
  <c r="AX96" i="3"/>
  <c r="AX94" i="3"/>
  <c r="AX92" i="3"/>
  <c r="AX90" i="3"/>
  <c r="AX99" i="3"/>
  <c r="AX100" i="3"/>
  <c r="AX107" i="3"/>
  <c r="AX105" i="3"/>
  <c r="AX117" i="3"/>
  <c r="AX115" i="3"/>
  <c r="AX113" i="3"/>
  <c r="AX121" i="3"/>
  <c r="AX133" i="3"/>
  <c r="AX131" i="3"/>
  <c r="AX129" i="3"/>
  <c r="AX127" i="3"/>
  <c r="AX125" i="3"/>
  <c r="AX123" i="3"/>
  <c r="AX166" i="3"/>
  <c r="AX164" i="3"/>
  <c r="AX162" i="3"/>
  <c r="AX160" i="3"/>
  <c r="AX158" i="3"/>
  <c r="AX156" i="3"/>
  <c r="AX154" i="3"/>
  <c r="AX152" i="3"/>
  <c r="AX150" i="3"/>
  <c r="AX148" i="3"/>
  <c r="AX146" i="3"/>
  <c r="AX144" i="3"/>
  <c r="AX142" i="3"/>
  <c r="AX140" i="3"/>
  <c r="AX138" i="3"/>
  <c r="AX136" i="3"/>
  <c r="AX176" i="3"/>
  <c r="AX182" i="3"/>
  <c r="AX180" i="3"/>
  <c r="AX178" i="3"/>
  <c r="AX186" i="3"/>
  <c r="AX188" i="3"/>
  <c r="AX192" i="3"/>
  <c r="AX196" i="3"/>
  <c r="AX201" i="3"/>
  <c r="AX206" i="3"/>
  <c r="AX212" i="3"/>
  <c r="AX210" i="3"/>
  <c r="AX217" i="3"/>
  <c r="AX220" i="3"/>
  <c r="AX230" i="3"/>
  <c r="AX228" i="3"/>
  <c r="AX226" i="3"/>
  <c r="AX224" i="3"/>
  <c r="AX222" i="3"/>
  <c r="AX235" i="3"/>
  <c r="AX237" i="3"/>
  <c r="AX241" i="3"/>
  <c r="AX242" i="3"/>
  <c r="AX261" i="3"/>
  <c r="AX259" i="3"/>
  <c r="AX257" i="3"/>
  <c r="AX255" i="3"/>
  <c r="AX253" i="3"/>
  <c r="AX251" i="3"/>
  <c r="AX248" i="3"/>
  <c r="AX266" i="3"/>
  <c r="AX269" i="3"/>
  <c r="AX270" i="3"/>
  <c r="AX278" i="3"/>
  <c r="AX281" i="3"/>
  <c r="AX282" i="3"/>
  <c r="AX287" i="3"/>
  <c r="AX292" i="3"/>
  <c r="AX295" i="3"/>
  <c r="AX299" i="3"/>
  <c r="AX297" i="3"/>
  <c r="AX303" i="3"/>
  <c r="AX305" i="3"/>
  <c r="AX307" i="3"/>
  <c r="AX311" i="3"/>
  <c r="AX313" i="3"/>
  <c r="AX315" i="3"/>
  <c r="AX319" i="3"/>
  <c r="AX321" i="3"/>
  <c r="AX323" i="3"/>
  <c r="AX327" i="3"/>
  <c r="AX330" i="3"/>
  <c r="AX328" i="3"/>
  <c r="AX336" i="3"/>
  <c r="AX340" i="3"/>
  <c r="AX342" i="3"/>
  <c r="AX346" i="3"/>
  <c r="AX348" i="3"/>
  <c r="AX354" i="3"/>
  <c r="AX362" i="3"/>
  <c r="AX360" i="3"/>
  <c r="AX358" i="3"/>
  <c r="AX356" i="3"/>
  <c r="AX366" i="3"/>
  <c r="AX367" i="3"/>
  <c r="AX380" i="3"/>
  <c r="AX378" i="3"/>
  <c r="AX383" i="3"/>
  <c r="AX386" i="3"/>
  <c r="AX384" i="3"/>
  <c r="AX394" i="3"/>
  <c r="AX397" i="3"/>
  <c r="AX398" i="3"/>
  <c r="AX414" i="3"/>
  <c r="AX416" i="3"/>
  <c r="AX418" i="3"/>
  <c r="AX420" i="3"/>
  <c r="AX422" i="3"/>
  <c r="AX426" i="3"/>
  <c r="AX428" i="3"/>
  <c r="AX430" i="3"/>
  <c r="AX432" i="3"/>
  <c r="AX436" i="3"/>
  <c r="AX438" i="3"/>
  <c r="AX440" i="3"/>
  <c r="AX444" i="3"/>
  <c r="AX446" i="3"/>
  <c r="AX448" i="3"/>
  <c r="AX450" i="3"/>
  <c r="AX456" i="3"/>
  <c r="AX458" i="3"/>
  <c r="AX460" i="3"/>
  <c r="AX462" i="3"/>
  <c r="AX464" i="3"/>
  <c r="AX466" i="3"/>
  <c r="AX468" i="3"/>
  <c r="AX470" i="3"/>
  <c r="AX472" i="3"/>
  <c r="AX474" i="3"/>
  <c r="AX476" i="3"/>
  <c r="AX478" i="3"/>
  <c r="AX480" i="3"/>
  <c r="AX482" i="3"/>
  <c r="AX484" i="3"/>
  <c r="AX486" i="3"/>
  <c r="AX488" i="3"/>
  <c r="AX490" i="3"/>
  <c r="AX492" i="3"/>
  <c r="AX494" i="3"/>
  <c r="AX496" i="3"/>
  <c r="AX498" i="3"/>
  <c r="AX500" i="3"/>
  <c r="AX504" i="3"/>
  <c r="AX509" i="3"/>
  <c r="AX514" i="3"/>
  <c r="AX522" i="3"/>
  <c r="AX520" i="3"/>
  <c r="AX518" i="3"/>
  <c r="AX516" i="3"/>
  <c r="AX526" i="3"/>
  <c r="AX530" i="3"/>
  <c r="AX528" i="3"/>
  <c r="AX536" i="3"/>
  <c r="AX538" i="3"/>
  <c r="AX542" i="3"/>
  <c r="AX545" i="3"/>
  <c r="AX543" i="3"/>
  <c r="AX567" i="3"/>
  <c r="AX565" i="3"/>
  <c r="AX563" i="3"/>
  <c r="AX561" i="3"/>
  <c r="AX559" i="3"/>
  <c r="AX557" i="3"/>
  <c r="AX555" i="3"/>
  <c r="AX553" i="3"/>
  <c r="AX570" i="3"/>
  <c r="AX574" i="3"/>
  <c r="AX575" i="3"/>
  <c r="AX583" i="3"/>
  <c r="AX581" i="3"/>
  <c r="AX586" i="3"/>
  <c r="AX587" i="3"/>
  <c r="AX599" i="3"/>
  <c r="AX597" i="3"/>
  <c r="AX595" i="3"/>
  <c r="AX602" i="3"/>
  <c r="AX611" i="3"/>
  <c r="AX609" i="3"/>
  <c r="AX607" i="3"/>
  <c r="AX605" i="3"/>
  <c r="AX603" i="3"/>
  <c r="AX620" i="3"/>
  <c r="AX618" i="3"/>
  <c r="AX616" i="3"/>
  <c r="AI170" i="3"/>
  <c r="K170" i="3" s="1"/>
  <c r="J250" i="3"/>
  <c r="AI373" i="3"/>
  <c r="K373" i="3" s="1"/>
  <c r="AI372" i="3"/>
  <c r="J372" i="3" s="1"/>
  <c r="AI371" i="3"/>
  <c r="AI249" i="3"/>
  <c r="K249" i="3" s="1"/>
  <c r="J39" i="3"/>
  <c r="B57" i="7"/>
  <c r="J43" i="3"/>
  <c r="B61" i="7"/>
  <c r="J49" i="3"/>
  <c r="B67" i="7"/>
  <c r="J55" i="3"/>
  <c r="B73" i="7"/>
  <c r="J63" i="3"/>
  <c r="B81" i="7"/>
  <c r="J66" i="3"/>
  <c r="B84" i="7"/>
  <c r="J64" i="3"/>
  <c r="B82" i="7"/>
  <c r="J82" i="3"/>
  <c r="B100" i="7"/>
  <c r="J80" i="3"/>
  <c r="B98" i="7"/>
  <c r="J78" i="3"/>
  <c r="B96" i="7"/>
  <c r="J76" i="3"/>
  <c r="B94" i="7"/>
  <c r="J74" i="3"/>
  <c r="B92" i="7"/>
  <c r="J85" i="3"/>
  <c r="B103" i="7"/>
  <c r="J96" i="3"/>
  <c r="B114" i="7"/>
  <c r="J94" i="3"/>
  <c r="B112" i="7"/>
  <c r="J92" i="3"/>
  <c r="B110" i="7"/>
  <c r="J90" i="3"/>
  <c r="B108" i="7"/>
  <c r="J99" i="3"/>
  <c r="B117" i="7"/>
  <c r="J100" i="3"/>
  <c r="B118" i="7"/>
  <c r="J107" i="3"/>
  <c r="B125" i="7"/>
  <c r="J105" i="3"/>
  <c r="B123" i="7"/>
  <c r="J117" i="3"/>
  <c r="B135" i="7"/>
  <c r="J115" i="3"/>
  <c r="B133" i="7"/>
  <c r="J113" i="3"/>
  <c r="B131" i="7"/>
  <c r="J121" i="3"/>
  <c r="B139" i="7"/>
  <c r="J133" i="3"/>
  <c r="B151" i="7"/>
  <c r="J131" i="3"/>
  <c r="B149" i="7"/>
  <c r="J129" i="3"/>
  <c r="B147" i="7"/>
  <c r="J127" i="3"/>
  <c r="B145" i="7"/>
  <c r="J125" i="3"/>
  <c r="B143" i="7"/>
  <c r="J123" i="3"/>
  <c r="B141" i="7"/>
  <c r="J166" i="3"/>
  <c r="B184" i="7"/>
  <c r="J164" i="3"/>
  <c r="B182" i="7"/>
  <c r="J162" i="3"/>
  <c r="B180" i="7"/>
  <c r="J160" i="3"/>
  <c r="B178" i="7"/>
  <c r="J158" i="3"/>
  <c r="B176" i="7"/>
  <c r="J156" i="3"/>
  <c r="B174" i="7"/>
  <c r="J154" i="3"/>
  <c r="B172" i="7"/>
  <c r="J152" i="3"/>
  <c r="B170" i="7"/>
  <c r="J150" i="3"/>
  <c r="B168" i="7"/>
  <c r="J148" i="3"/>
  <c r="B166" i="7"/>
  <c r="J146" i="3"/>
  <c r="B164" i="7"/>
  <c r="J144" i="3"/>
  <c r="B162" i="7"/>
  <c r="J142" i="3"/>
  <c r="B160" i="7"/>
  <c r="J140" i="3"/>
  <c r="B158" i="7"/>
  <c r="J138" i="3"/>
  <c r="B156" i="7"/>
  <c r="J136" i="3"/>
  <c r="B154" i="7"/>
  <c r="J176" i="3"/>
  <c r="B194" i="7"/>
  <c r="J182" i="3"/>
  <c r="B200" i="7"/>
  <c r="J180" i="3"/>
  <c r="B198" i="7"/>
  <c r="J178" i="3"/>
  <c r="B196" i="7"/>
  <c r="J186" i="3"/>
  <c r="B204" i="7"/>
  <c r="J188" i="3"/>
  <c r="B206" i="7"/>
  <c r="J192" i="3"/>
  <c r="B210" i="7"/>
  <c r="J196" i="3"/>
  <c r="B214" i="7"/>
  <c r="J201" i="3"/>
  <c r="B219" i="7"/>
  <c r="J206" i="3"/>
  <c r="B224" i="7"/>
  <c r="J212" i="3"/>
  <c r="B230" i="7"/>
  <c r="J210" i="3"/>
  <c r="B228" i="7"/>
  <c r="J217" i="3"/>
  <c r="B235" i="7"/>
  <c r="J220" i="3"/>
  <c r="B238" i="7"/>
  <c r="J230" i="3"/>
  <c r="B248" i="7"/>
  <c r="J228" i="3"/>
  <c r="B246" i="7"/>
  <c r="J226" i="3"/>
  <c r="B244" i="7"/>
  <c r="J224" i="3"/>
  <c r="B242" i="7"/>
  <c r="J222" i="3"/>
  <c r="B240" i="7"/>
  <c r="J235" i="3"/>
  <c r="B253" i="7"/>
  <c r="J237" i="3"/>
  <c r="B255" i="7"/>
  <c r="J241" i="3"/>
  <c r="B259" i="7"/>
  <c r="J242" i="3"/>
  <c r="B260" i="7"/>
  <c r="J261" i="3"/>
  <c r="B279" i="7"/>
  <c r="J259" i="3"/>
  <c r="B277" i="7"/>
  <c r="J257" i="3"/>
  <c r="B275" i="7"/>
  <c r="J255" i="3"/>
  <c r="B273" i="7"/>
  <c r="J253" i="3"/>
  <c r="B271" i="7"/>
  <c r="J251" i="3"/>
  <c r="B269" i="7"/>
  <c r="J248" i="3"/>
  <c r="B266" i="7"/>
  <c r="J266" i="3"/>
  <c r="B284" i="7"/>
  <c r="J269" i="3"/>
  <c r="B287" i="7"/>
  <c r="J270" i="3"/>
  <c r="B288" i="7"/>
  <c r="J278" i="3"/>
  <c r="B296" i="7"/>
  <c r="J281" i="3"/>
  <c r="B299" i="7"/>
  <c r="J282" i="3"/>
  <c r="B300" i="7"/>
  <c r="J287" i="3"/>
  <c r="B305" i="7"/>
  <c r="J292" i="3"/>
  <c r="B310" i="7"/>
  <c r="J295" i="3"/>
  <c r="B313" i="7"/>
  <c r="J299" i="3"/>
  <c r="B317" i="7"/>
  <c r="J297" i="3"/>
  <c r="B315" i="7"/>
  <c r="J303" i="3"/>
  <c r="B321" i="7"/>
  <c r="J304" i="3"/>
  <c r="B322" i="7"/>
  <c r="J306" i="3"/>
  <c r="B324" i="7"/>
  <c r="J308" i="3"/>
  <c r="B326" i="7"/>
  <c r="J312" i="3"/>
  <c r="B330" i="7"/>
  <c r="J314" i="3"/>
  <c r="B332" i="7"/>
  <c r="J316" i="3"/>
  <c r="B334" i="7"/>
  <c r="J320" i="3"/>
  <c r="B338" i="7"/>
  <c r="J322" i="3"/>
  <c r="B340" i="7"/>
  <c r="J324" i="3"/>
  <c r="B342" i="7"/>
  <c r="J331" i="3"/>
  <c r="B349" i="7"/>
  <c r="J329" i="3"/>
  <c r="B347" i="7"/>
  <c r="J334" i="3"/>
  <c r="B352" i="7"/>
  <c r="J337" i="3"/>
  <c r="B355" i="7"/>
  <c r="J335" i="3"/>
  <c r="B353" i="7"/>
  <c r="J343" i="3"/>
  <c r="B361" i="7"/>
  <c r="J341" i="3"/>
  <c r="B359" i="7"/>
  <c r="J349" i="3"/>
  <c r="B367" i="7"/>
  <c r="J347" i="3"/>
  <c r="B365" i="7"/>
  <c r="J363" i="3"/>
  <c r="B381" i="7"/>
  <c r="J361" i="3"/>
  <c r="B379" i="7"/>
  <c r="J359" i="3"/>
  <c r="B377" i="7"/>
  <c r="J357" i="3"/>
  <c r="B375" i="7"/>
  <c r="J355" i="3"/>
  <c r="B373" i="7"/>
  <c r="J368" i="3"/>
  <c r="B386" i="7"/>
  <c r="J376" i="3"/>
  <c r="B394" i="7"/>
  <c r="J379" i="3"/>
  <c r="B397" i="7"/>
  <c r="J377" i="3"/>
  <c r="B395" i="7"/>
  <c r="J387" i="3"/>
  <c r="B405" i="7"/>
  <c r="J385" i="3"/>
  <c r="B403" i="7"/>
  <c r="J392" i="3"/>
  <c r="B410" i="7"/>
  <c r="J393" i="3"/>
  <c r="B411" i="7"/>
  <c r="J399" i="3"/>
  <c r="B417" i="7"/>
  <c r="J413" i="3"/>
  <c r="B431" i="7"/>
  <c r="J415" i="3"/>
  <c r="B433" i="7"/>
  <c r="J417" i="3"/>
  <c r="B435" i="7"/>
  <c r="J419" i="3"/>
  <c r="B437" i="7"/>
  <c r="J421" i="3"/>
  <c r="B439" i="7"/>
  <c r="J425" i="3"/>
  <c r="B443" i="7"/>
  <c r="J427" i="3"/>
  <c r="B445" i="7"/>
  <c r="J429" i="3"/>
  <c r="B447" i="7"/>
  <c r="J431" i="3"/>
  <c r="B449" i="7"/>
  <c r="J435" i="3"/>
  <c r="B453" i="7"/>
  <c r="J437" i="3"/>
  <c r="B455" i="7"/>
  <c r="J439" i="3"/>
  <c r="B457" i="7"/>
  <c r="J443" i="3"/>
  <c r="B461" i="7"/>
  <c r="J445" i="3"/>
  <c r="B463" i="7"/>
  <c r="J447" i="3"/>
  <c r="B465" i="7"/>
  <c r="J449" i="3"/>
  <c r="B467" i="7"/>
  <c r="J455" i="3"/>
  <c r="B473" i="7"/>
  <c r="J457" i="3"/>
  <c r="B475" i="7"/>
  <c r="J459" i="3"/>
  <c r="B477" i="7"/>
  <c r="J461" i="3"/>
  <c r="B479" i="7"/>
  <c r="J463" i="3"/>
  <c r="B481" i="7"/>
  <c r="J465" i="3"/>
  <c r="B483" i="7"/>
  <c r="J467" i="3"/>
  <c r="B485" i="7"/>
  <c r="J469" i="3"/>
  <c r="B487" i="7"/>
  <c r="J471" i="3"/>
  <c r="B489" i="7"/>
  <c r="J473" i="3"/>
  <c r="B491" i="7"/>
  <c r="J475" i="3"/>
  <c r="B493" i="7"/>
  <c r="J477" i="3"/>
  <c r="B495" i="7"/>
  <c r="J479" i="3"/>
  <c r="B497" i="7"/>
  <c r="J481" i="3"/>
  <c r="B499" i="7"/>
  <c r="J483" i="3"/>
  <c r="B501" i="7"/>
  <c r="J485" i="3"/>
  <c r="B503" i="7"/>
  <c r="J487" i="3"/>
  <c r="B505" i="7"/>
  <c r="J489" i="3"/>
  <c r="B507" i="7"/>
  <c r="J491" i="3"/>
  <c r="B509" i="7"/>
  <c r="J493" i="3"/>
  <c r="B511" i="7"/>
  <c r="J495" i="3"/>
  <c r="B513" i="7"/>
  <c r="J497" i="3"/>
  <c r="B515" i="7"/>
  <c r="J499" i="3"/>
  <c r="B517" i="7"/>
  <c r="J503" i="3"/>
  <c r="B521" i="7"/>
  <c r="J507" i="3"/>
  <c r="B525" i="7"/>
  <c r="J508" i="3"/>
  <c r="B526" i="7"/>
  <c r="J523" i="3"/>
  <c r="B541" i="7"/>
  <c r="J521" i="3"/>
  <c r="B539" i="7"/>
  <c r="J519" i="3"/>
  <c r="B537" i="7"/>
  <c r="J517" i="3"/>
  <c r="B535" i="7"/>
  <c r="J515" i="3"/>
  <c r="B533" i="7"/>
  <c r="J531" i="3"/>
  <c r="B549" i="7"/>
  <c r="J529" i="3"/>
  <c r="B547" i="7"/>
  <c r="J527" i="3"/>
  <c r="B545" i="7"/>
  <c r="J539" i="3"/>
  <c r="B557" i="7"/>
  <c r="J537" i="3"/>
  <c r="B555" i="7"/>
  <c r="J546" i="3"/>
  <c r="B564" i="7"/>
  <c r="J544" i="3"/>
  <c r="B562" i="7"/>
  <c r="J551" i="3"/>
  <c r="B569" i="7"/>
  <c r="J566" i="3"/>
  <c r="B584" i="7"/>
  <c r="J564" i="3"/>
  <c r="B582" i="7"/>
  <c r="J562" i="3"/>
  <c r="B580" i="7"/>
  <c r="J560" i="3"/>
  <c r="B578" i="7"/>
  <c r="J558" i="3"/>
  <c r="B576" i="7"/>
  <c r="J556" i="3"/>
  <c r="B574" i="7"/>
  <c r="J554" i="3"/>
  <c r="B572" i="7"/>
  <c r="J552" i="3"/>
  <c r="B570" i="7"/>
  <c r="J571" i="3"/>
  <c r="B589" i="7"/>
  <c r="J576" i="3"/>
  <c r="B594" i="7"/>
  <c r="J579" i="3"/>
  <c r="B597" i="7"/>
  <c r="J582" i="3"/>
  <c r="B600" i="7"/>
  <c r="J580" i="3"/>
  <c r="B598" i="7"/>
  <c r="J588" i="3"/>
  <c r="B606" i="7"/>
  <c r="J593" i="3"/>
  <c r="B611" i="7"/>
  <c r="J598" i="3"/>
  <c r="B616" i="7"/>
  <c r="J596" i="3"/>
  <c r="B614" i="7"/>
  <c r="J594" i="3"/>
  <c r="B612" i="7"/>
  <c r="J612" i="3"/>
  <c r="B630" i="7"/>
  <c r="J610" i="3"/>
  <c r="B628" i="7"/>
  <c r="J608" i="3"/>
  <c r="B626" i="7"/>
  <c r="J606" i="3"/>
  <c r="B624" i="7"/>
  <c r="J604" i="3"/>
  <c r="B622" i="7"/>
  <c r="J615" i="3"/>
  <c r="B633" i="7"/>
  <c r="J619" i="3"/>
  <c r="B637" i="7"/>
  <c r="J617" i="3"/>
  <c r="B635" i="7"/>
  <c r="J41" i="3"/>
  <c r="B59" i="7"/>
  <c r="J47" i="3"/>
  <c r="B65" i="7"/>
  <c r="J53" i="3"/>
  <c r="B71" i="7"/>
  <c r="J59" i="3"/>
  <c r="B77" i="7"/>
  <c r="J40" i="3"/>
  <c r="B58" i="7"/>
  <c r="J42" i="3"/>
  <c r="B60" i="7"/>
  <c r="J46" i="3"/>
  <c r="B64" i="7"/>
  <c r="J48" i="3"/>
  <c r="B66" i="7"/>
  <c r="J50" i="3"/>
  <c r="B68" i="7"/>
  <c r="J54" i="3"/>
  <c r="B72" i="7"/>
  <c r="J58" i="3"/>
  <c r="B76" i="7"/>
  <c r="J60" i="3"/>
  <c r="B78" i="7"/>
  <c r="J67" i="3"/>
  <c r="B85" i="7"/>
  <c r="J65" i="3"/>
  <c r="B83" i="7"/>
  <c r="J72" i="3"/>
  <c r="B90" i="7"/>
  <c r="J81" i="3"/>
  <c r="B99" i="7"/>
  <c r="J79" i="3"/>
  <c r="B97" i="7"/>
  <c r="J77" i="3"/>
  <c r="B95" i="7"/>
  <c r="J75" i="3"/>
  <c r="B93" i="7"/>
  <c r="J73" i="3"/>
  <c r="B91" i="7"/>
  <c r="J88" i="3"/>
  <c r="B106" i="7"/>
  <c r="J95" i="3"/>
  <c r="B113" i="7"/>
  <c r="J93" i="3"/>
  <c r="B111" i="7"/>
  <c r="J91" i="3"/>
  <c r="B109" i="7"/>
  <c r="J89" i="3"/>
  <c r="B107" i="7"/>
  <c r="J101" i="3"/>
  <c r="B119" i="7"/>
  <c r="J104" i="3"/>
  <c r="B122" i="7"/>
  <c r="J106" i="3"/>
  <c r="B124" i="7"/>
  <c r="J111" i="3"/>
  <c r="B129" i="7"/>
  <c r="J116" i="3"/>
  <c r="B134" i="7"/>
  <c r="J114" i="3"/>
  <c r="B132" i="7"/>
  <c r="J112" i="3"/>
  <c r="B130" i="7"/>
  <c r="J134" i="3"/>
  <c r="B152" i="7"/>
  <c r="J132" i="3"/>
  <c r="B150" i="7"/>
  <c r="J130" i="3"/>
  <c r="B148" i="7"/>
  <c r="J128" i="3"/>
  <c r="B146" i="7"/>
  <c r="J126" i="3"/>
  <c r="B144" i="7"/>
  <c r="J124" i="3"/>
  <c r="B142" i="7"/>
  <c r="J122" i="3"/>
  <c r="B140" i="7"/>
  <c r="J165" i="3"/>
  <c r="B183" i="7"/>
  <c r="J163" i="3"/>
  <c r="B181" i="7"/>
  <c r="J161" i="3"/>
  <c r="B179" i="7"/>
  <c r="J159" i="3"/>
  <c r="B177" i="7"/>
  <c r="J157" i="3"/>
  <c r="B175" i="7"/>
  <c r="J155" i="3"/>
  <c r="B173" i="7"/>
  <c r="J153" i="3"/>
  <c r="B171" i="7"/>
  <c r="J151" i="3"/>
  <c r="B169" i="7"/>
  <c r="J149" i="3"/>
  <c r="B167" i="7"/>
  <c r="J147" i="3"/>
  <c r="B165" i="7"/>
  <c r="J145" i="3"/>
  <c r="B163" i="7"/>
  <c r="J143" i="3"/>
  <c r="B161" i="7"/>
  <c r="J141" i="3"/>
  <c r="B159" i="7"/>
  <c r="J139" i="3"/>
  <c r="B157" i="7"/>
  <c r="J137" i="3"/>
  <c r="B155" i="7"/>
  <c r="J135" i="3"/>
  <c r="B153" i="7"/>
  <c r="J183" i="3"/>
  <c r="B201" i="7"/>
  <c r="J181" i="3"/>
  <c r="B199" i="7"/>
  <c r="J179" i="3"/>
  <c r="B197" i="7"/>
  <c r="J177" i="3"/>
  <c r="B195" i="7"/>
  <c r="J189" i="3"/>
  <c r="B207" i="7"/>
  <c r="J187" i="3"/>
  <c r="B205" i="7"/>
  <c r="J193" i="3"/>
  <c r="B211" i="7"/>
  <c r="J199" i="3"/>
  <c r="B217" i="7"/>
  <c r="J200" i="3"/>
  <c r="B218" i="7"/>
  <c r="J209" i="3"/>
  <c r="B227" i="7"/>
  <c r="J211" i="3"/>
  <c r="B229" i="7"/>
  <c r="J215" i="3"/>
  <c r="B233" i="7"/>
  <c r="J216" i="3"/>
  <c r="B234" i="7"/>
  <c r="J231" i="3"/>
  <c r="B249" i="7"/>
  <c r="J229" i="3"/>
  <c r="B247" i="7"/>
  <c r="J227" i="3"/>
  <c r="B245" i="7"/>
  <c r="J225" i="3"/>
  <c r="B243" i="7"/>
  <c r="J223" i="3"/>
  <c r="B241" i="7"/>
  <c r="J221" i="3"/>
  <c r="B239" i="7"/>
  <c r="J238" i="3"/>
  <c r="B256" i="7"/>
  <c r="J236" i="3"/>
  <c r="B254" i="7"/>
  <c r="J243" i="3"/>
  <c r="B261" i="7"/>
  <c r="J247" i="3"/>
  <c r="B265" i="7"/>
  <c r="J260" i="3"/>
  <c r="B278" i="7"/>
  <c r="J258" i="3"/>
  <c r="B276" i="7"/>
  <c r="J256" i="3"/>
  <c r="B274" i="7"/>
  <c r="J254" i="3"/>
  <c r="B272" i="7"/>
  <c r="J252" i="3"/>
  <c r="B270" i="7"/>
  <c r="B268" i="7"/>
  <c r="J264" i="3"/>
  <c r="B282" i="7"/>
  <c r="J265" i="3"/>
  <c r="B283" i="7"/>
  <c r="J271" i="3"/>
  <c r="B289" i="7"/>
  <c r="J276" i="3"/>
  <c r="B294" i="7"/>
  <c r="J277" i="3"/>
  <c r="B295" i="7"/>
  <c r="J283" i="3"/>
  <c r="B301" i="7"/>
  <c r="J286" i="3"/>
  <c r="B304" i="7"/>
  <c r="J290" i="3"/>
  <c r="B308" i="7"/>
  <c r="J291" i="3"/>
  <c r="B309" i="7"/>
  <c r="J300" i="3"/>
  <c r="B318" i="7"/>
  <c r="J298" i="3"/>
  <c r="B316" i="7"/>
  <c r="J296" i="3"/>
  <c r="B314" i="7"/>
  <c r="J305" i="3"/>
  <c r="B323" i="7"/>
  <c r="J307" i="3"/>
  <c r="B325" i="7"/>
  <c r="J311" i="3"/>
  <c r="B329" i="7"/>
  <c r="J313" i="3"/>
  <c r="B331" i="7"/>
  <c r="J315" i="3"/>
  <c r="B333" i="7"/>
  <c r="J319" i="3"/>
  <c r="B337" i="7"/>
  <c r="J321" i="3"/>
  <c r="B339" i="7"/>
  <c r="J323" i="3"/>
  <c r="B341" i="7"/>
  <c r="J327" i="3"/>
  <c r="B345" i="7"/>
  <c r="J330" i="3"/>
  <c r="B348" i="7"/>
  <c r="J328" i="3"/>
  <c r="B346" i="7"/>
  <c r="J336" i="3"/>
  <c r="B354" i="7"/>
  <c r="J340" i="3"/>
  <c r="B358" i="7"/>
  <c r="J342" i="3"/>
  <c r="B360" i="7"/>
  <c r="J346" i="3"/>
  <c r="B364" i="7"/>
  <c r="J348" i="3"/>
  <c r="B366" i="7"/>
  <c r="J354" i="3"/>
  <c r="B372" i="7"/>
  <c r="J362" i="3"/>
  <c r="B380" i="7"/>
  <c r="J360" i="3"/>
  <c r="B378" i="7"/>
  <c r="J358" i="3"/>
  <c r="B376" i="7"/>
  <c r="J356" i="3"/>
  <c r="B374" i="7"/>
  <c r="J366" i="3"/>
  <c r="B384" i="7"/>
  <c r="J367" i="3"/>
  <c r="B385" i="7"/>
  <c r="J380" i="3"/>
  <c r="B398" i="7"/>
  <c r="J378" i="3"/>
  <c r="B396" i="7"/>
  <c r="J383" i="3"/>
  <c r="B401" i="7"/>
  <c r="J386" i="3"/>
  <c r="B404" i="7"/>
  <c r="J384" i="3"/>
  <c r="B402" i="7"/>
  <c r="J394" i="3"/>
  <c r="B412" i="7"/>
  <c r="J397" i="3"/>
  <c r="B415" i="7"/>
  <c r="J398" i="3"/>
  <c r="B416" i="7"/>
  <c r="J414" i="3"/>
  <c r="B432" i="7"/>
  <c r="J416" i="3"/>
  <c r="B434" i="7"/>
  <c r="J418" i="3"/>
  <c r="B436" i="7"/>
  <c r="J420" i="3"/>
  <c r="B438" i="7"/>
  <c r="J422" i="3"/>
  <c r="B440" i="7"/>
  <c r="J426" i="3"/>
  <c r="B444" i="7"/>
  <c r="J428" i="3"/>
  <c r="B446" i="7"/>
  <c r="J430" i="3"/>
  <c r="B448" i="7"/>
  <c r="J432" i="3"/>
  <c r="B450" i="7"/>
  <c r="J436" i="3"/>
  <c r="B454" i="7"/>
  <c r="J438" i="3"/>
  <c r="B456" i="7"/>
  <c r="J440" i="3"/>
  <c r="B458" i="7"/>
  <c r="J444" i="3"/>
  <c r="B462" i="7"/>
  <c r="J446" i="3"/>
  <c r="B464" i="7"/>
  <c r="J448" i="3"/>
  <c r="B466" i="7"/>
  <c r="J450" i="3"/>
  <c r="B468" i="7"/>
  <c r="J456" i="3"/>
  <c r="B474" i="7"/>
  <c r="J458" i="3"/>
  <c r="B476" i="7"/>
  <c r="J460" i="3"/>
  <c r="B478" i="7"/>
  <c r="J462" i="3"/>
  <c r="B480" i="7"/>
  <c r="J464" i="3"/>
  <c r="B482" i="7"/>
  <c r="J466" i="3"/>
  <c r="B484" i="7"/>
  <c r="J468" i="3"/>
  <c r="B486" i="7"/>
  <c r="J470" i="3"/>
  <c r="B488" i="7"/>
  <c r="J472" i="3"/>
  <c r="B490" i="7"/>
  <c r="J474" i="3"/>
  <c r="B492" i="7"/>
  <c r="J476" i="3"/>
  <c r="B494" i="7"/>
  <c r="J478" i="3"/>
  <c r="B496" i="7"/>
  <c r="J480" i="3"/>
  <c r="B498" i="7"/>
  <c r="J482" i="3"/>
  <c r="B500" i="7"/>
  <c r="J484" i="3"/>
  <c r="B502" i="7"/>
  <c r="J486" i="3"/>
  <c r="B504" i="7"/>
  <c r="J488" i="3"/>
  <c r="B506" i="7"/>
  <c r="J490" i="3"/>
  <c r="B508" i="7"/>
  <c r="J492" i="3"/>
  <c r="B510" i="7"/>
  <c r="J494" i="3"/>
  <c r="B512" i="7"/>
  <c r="J496" i="3"/>
  <c r="B514" i="7"/>
  <c r="J498" i="3"/>
  <c r="B516" i="7"/>
  <c r="J500" i="3"/>
  <c r="B518" i="7"/>
  <c r="J504" i="3"/>
  <c r="B522" i="7"/>
  <c r="J509" i="3"/>
  <c r="B527" i="7"/>
  <c r="J514" i="3"/>
  <c r="B532" i="7"/>
  <c r="J522" i="3"/>
  <c r="B540" i="7"/>
  <c r="J520" i="3"/>
  <c r="B538" i="7"/>
  <c r="J518" i="3"/>
  <c r="B536" i="7"/>
  <c r="J516" i="3"/>
  <c r="B534" i="7"/>
  <c r="J526" i="3"/>
  <c r="B544" i="7"/>
  <c r="J530" i="3"/>
  <c r="B548" i="7"/>
  <c r="J528" i="3"/>
  <c r="B546" i="7"/>
  <c r="J536" i="3"/>
  <c r="B554" i="7"/>
  <c r="J538" i="3"/>
  <c r="B556" i="7"/>
  <c r="J542" i="3"/>
  <c r="B560" i="7"/>
  <c r="J545" i="3"/>
  <c r="B563" i="7"/>
  <c r="J543" i="3"/>
  <c r="B561" i="7"/>
  <c r="J567" i="3"/>
  <c r="B585" i="7"/>
  <c r="J565" i="3"/>
  <c r="B583" i="7"/>
  <c r="J563" i="3"/>
  <c r="B581" i="7"/>
  <c r="J561" i="3"/>
  <c r="B579" i="7"/>
  <c r="J559" i="3"/>
  <c r="B577" i="7"/>
  <c r="J557" i="3"/>
  <c r="B575" i="7"/>
  <c r="J555" i="3"/>
  <c r="B573" i="7"/>
  <c r="J553" i="3"/>
  <c r="B571" i="7"/>
  <c r="J570" i="3"/>
  <c r="B588" i="7"/>
  <c r="J574" i="3"/>
  <c r="B592" i="7"/>
  <c r="J575" i="3"/>
  <c r="B593" i="7"/>
  <c r="J583" i="3"/>
  <c r="B601" i="7"/>
  <c r="J581" i="3"/>
  <c r="B599" i="7"/>
  <c r="J586" i="3"/>
  <c r="B604" i="7"/>
  <c r="J587" i="3"/>
  <c r="B605" i="7"/>
  <c r="J599" i="3"/>
  <c r="B617" i="7"/>
  <c r="J597" i="3"/>
  <c r="B615" i="7"/>
  <c r="J595" i="3"/>
  <c r="B613" i="7"/>
  <c r="J602" i="3"/>
  <c r="B620" i="7"/>
  <c r="J611" i="3"/>
  <c r="B629" i="7"/>
  <c r="J609" i="3"/>
  <c r="B627" i="7"/>
  <c r="J607" i="3"/>
  <c r="B625" i="7"/>
  <c r="J605" i="3"/>
  <c r="B623" i="7"/>
  <c r="J603" i="3"/>
  <c r="B621" i="7"/>
  <c r="J620" i="3"/>
  <c r="B638" i="7"/>
  <c r="J618" i="3"/>
  <c r="B636" i="7"/>
  <c r="J616" i="3"/>
  <c r="B634" i="7"/>
  <c r="AI7" i="3"/>
  <c r="AI9" i="3"/>
  <c r="AI13" i="3"/>
  <c r="AI15" i="3"/>
  <c r="AI584" i="3"/>
  <c r="AI585" i="3"/>
  <c r="AI404" i="3"/>
  <c r="AI402" i="3"/>
  <c r="AI400" i="3"/>
  <c r="AI396" i="3"/>
  <c r="AI390" i="3"/>
  <c r="AI388" i="3"/>
  <c r="AI382" i="3"/>
  <c r="AI374" i="3"/>
  <c r="AI369" i="3"/>
  <c r="AI365" i="3"/>
  <c r="AI353" i="3"/>
  <c r="AI351" i="3"/>
  <c r="AI345" i="3"/>
  <c r="AI339" i="3"/>
  <c r="AI332" i="3"/>
  <c r="AI403" i="3"/>
  <c r="AI401" i="3"/>
  <c r="AI395" i="3"/>
  <c r="AI391" i="3"/>
  <c r="AI389" i="3"/>
  <c r="AI381" i="3"/>
  <c r="AI375" i="3"/>
  <c r="AI370" i="3"/>
  <c r="AI364" i="3"/>
  <c r="AI352" i="3"/>
  <c r="AI350" i="3"/>
  <c r="AI344" i="3"/>
  <c r="AI338" i="3"/>
  <c r="AI333" i="3"/>
  <c r="AI325" i="3"/>
  <c r="AI317" i="3"/>
  <c r="AI309" i="3"/>
  <c r="AI302" i="3"/>
  <c r="AI294" i="3"/>
  <c r="AI326" i="3"/>
  <c r="AI318" i="3"/>
  <c r="AI310" i="3"/>
  <c r="AI288" i="3"/>
  <c r="AI284" i="3"/>
  <c r="AI280" i="3"/>
  <c r="AI274" i="3"/>
  <c r="AI272" i="3"/>
  <c r="AI268" i="3"/>
  <c r="AI262" i="3"/>
  <c r="AI245" i="3"/>
  <c r="AI239" i="3"/>
  <c r="AI233" i="3"/>
  <c r="AI218" i="3"/>
  <c r="AI214" i="3"/>
  <c r="AI208" i="3"/>
  <c r="AI204" i="3"/>
  <c r="AI202" i="3"/>
  <c r="AI198" i="3"/>
  <c r="AI194" i="3"/>
  <c r="AI190" i="3"/>
  <c r="AI184" i="3"/>
  <c r="AI174" i="3"/>
  <c r="AI172" i="3"/>
  <c r="AI169" i="3"/>
  <c r="K169" i="3" s="1"/>
  <c r="AI167" i="3"/>
  <c r="AI119" i="3"/>
  <c r="AI109" i="3"/>
  <c r="AI103" i="3"/>
  <c r="AI97" i="3"/>
  <c r="AI87" i="3"/>
  <c r="AI83" i="3"/>
  <c r="AI71" i="3"/>
  <c r="AI69" i="3"/>
  <c r="AI61" i="3"/>
  <c r="AI57" i="3"/>
  <c r="AI51" i="3"/>
  <c r="AI45" i="3"/>
  <c r="AI37" i="3"/>
  <c r="AI35" i="3"/>
  <c r="K35" i="3" s="1"/>
  <c r="AI33" i="3"/>
  <c r="K33" i="3" s="1"/>
  <c r="AI31" i="3"/>
  <c r="K31" i="3" s="1"/>
  <c r="AI29" i="3"/>
  <c r="AI23" i="3"/>
  <c r="AI17" i="3"/>
  <c r="AI11" i="3"/>
  <c r="AI301" i="3"/>
  <c r="AI293" i="3"/>
  <c r="AI289" i="3"/>
  <c r="AI285" i="3"/>
  <c r="AI279" i="3"/>
  <c r="AI275" i="3"/>
  <c r="AI273" i="3"/>
  <c r="AI267" i="3"/>
  <c r="AI263" i="3"/>
  <c r="AI246" i="3"/>
  <c r="J246" i="3" s="1"/>
  <c r="AI244" i="3"/>
  <c r="AI240" i="3"/>
  <c r="AI234" i="3"/>
  <c r="AI219" i="3"/>
  <c r="AI213" i="3"/>
  <c r="AI207" i="3"/>
  <c r="AI205" i="3"/>
  <c r="AI203" i="3"/>
  <c r="AI197" i="3"/>
  <c r="AI195" i="3"/>
  <c r="AI191" i="3"/>
  <c r="AI185" i="3"/>
  <c r="AI175" i="3"/>
  <c r="AI173" i="3"/>
  <c r="AI171" i="3"/>
  <c r="AI168" i="3"/>
  <c r="AI120" i="3"/>
  <c r="AI118" i="3"/>
  <c r="AI110" i="3"/>
  <c r="AI108" i="3"/>
  <c r="AI102" i="3"/>
  <c r="AI98" i="3"/>
  <c r="AI86" i="3"/>
  <c r="AI84" i="3"/>
  <c r="AI70" i="3"/>
  <c r="AI68" i="3"/>
  <c r="AI62" i="3"/>
  <c r="AI56" i="3"/>
  <c r="AI52" i="3"/>
  <c r="AI44" i="3"/>
  <c r="AI38" i="3"/>
  <c r="AI36" i="3"/>
  <c r="K36" i="3" s="1"/>
  <c r="AI34" i="3"/>
  <c r="K34" i="3" s="1"/>
  <c r="AI32" i="3"/>
  <c r="K32" i="3" s="1"/>
  <c r="AI30" i="3"/>
  <c r="K30" i="3" s="1"/>
  <c r="AI28" i="3"/>
  <c r="AI22" i="3"/>
  <c r="AI16" i="3"/>
  <c r="AI10" i="3"/>
  <c r="AI6" i="3"/>
  <c r="AI8" i="3"/>
  <c r="AI12" i="3"/>
  <c r="AI14" i="3"/>
  <c r="M18" i="3"/>
  <c r="A36" i="7" s="1"/>
  <c r="AI18" i="3"/>
  <c r="M20" i="3"/>
  <c r="A38" i="7" s="1"/>
  <c r="AI20" i="3"/>
  <c r="M24" i="3"/>
  <c r="A42" i="7" s="1"/>
  <c r="AI24" i="3"/>
  <c r="M26" i="3"/>
  <c r="A44" i="7" s="1"/>
  <c r="AI26" i="3"/>
  <c r="M39" i="3"/>
  <c r="A57" i="7" s="1"/>
  <c r="AI39" i="3"/>
  <c r="K39" i="3" s="1"/>
  <c r="M41" i="3"/>
  <c r="A59" i="7" s="1"/>
  <c r="AI41" i="3"/>
  <c r="K41" i="3" s="1"/>
  <c r="M43" i="3"/>
  <c r="A61" i="7" s="1"/>
  <c r="AI43" i="3"/>
  <c r="K43" i="3" s="1"/>
  <c r="M47" i="3"/>
  <c r="A65" i="7" s="1"/>
  <c r="AI47" i="3"/>
  <c r="K47" i="3" s="1"/>
  <c r="M49" i="3"/>
  <c r="A67" i="7" s="1"/>
  <c r="AI49" i="3"/>
  <c r="K49" i="3" s="1"/>
  <c r="M53" i="3"/>
  <c r="A71" i="7" s="1"/>
  <c r="AI53" i="3"/>
  <c r="K53" i="3" s="1"/>
  <c r="M55" i="3"/>
  <c r="A73" i="7" s="1"/>
  <c r="AI55" i="3"/>
  <c r="K55" i="3" s="1"/>
  <c r="M59" i="3"/>
  <c r="A77" i="7" s="1"/>
  <c r="AI59" i="3"/>
  <c r="K59" i="3" s="1"/>
  <c r="M63" i="3"/>
  <c r="A81" i="7" s="1"/>
  <c r="AI63" i="3"/>
  <c r="K63" i="3" s="1"/>
  <c r="M66" i="3"/>
  <c r="A84" i="7" s="1"/>
  <c r="AI66" i="3"/>
  <c r="K66" i="3" s="1"/>
  <c r="M64" i="3"/>
  <c r="A82" i="7" s="1"/>
  <c r="AI64" i="3"/>
  <c r="K64" i="3" s="1"/>
  <c r="M82" i="3"/>
  <c r="A100" i="7" s="1"/>
  <c r="AI82" i="3"/>
  <c r="K82" i="3" s="1"/>
  <c r="M80" i="3"/>
  <c r="A98" i="7" s="1"/>
  <c r="AI80" i="3"/>
  <c r="K80" i="3" s="1"/>
  <c r="M78" i="3"/>
  <c r="A96" i="7" s="1"/>
  <c r="AI78" i="3"/>
  <c r="K78" i="3" s="1"/>
  <c r="M76" i="3"/>
  <c r="A94" i="7" s="1"/>
  <c r="AI76" i="3"/>
  <c r="K76" i="3" s="1"/>
  <c r="M74" i="3"/>
  <c r="A92" i="7" s="1"/>
  <c r="AI74" i="3"/>
  <c r="K74" i="3" s="1"/>
  <c r="M85" i="3"/>
  <c r="A103" i="7" s="1"/>
  <c r="AI85" i="3"/>
  <c r="K85" i="3" s="1"/>
  <c r="M96" i="3"/>
  <c r="A114" i="7" s="1"/>
  <c r="AI96" i="3"/>
  <c r="K96" i="3" s="1"/>
  <c r="M94" i="3"/>
  <c r="A112" i="7" s="1"/>
  <c r="AI94" i="3"/>
  <c r="K94" i="3" s="1"/>
  <c r="M92" i="3"/>
  <c r="A110" i="7" s="1"/>
  <c r="AI92" i="3"/>
  <c r="K92" i="3" s="1"/>
  <c r="M90" i="3"/>
  <c r="A108" i="7" s="1"/>
  <c r="AI90" i="3"/>
  <c r="K90" i="3" s="1"/>
  <c r="M99" i="3"/>
  <c r="A117" i="7" s="1"/>
  <c r="AI99" i="3"/>
  <c r="K99" i="3" s="1"/>
  <c r="M100" i="3"/>
  <c r="A118" i="7" s="1"/>
  <c r="AI100" i="3"/>
  <c r="K100" i="3" s="1"/>
  <c r="M107" i="3"/>
  <c r="A125" i="7" s="1"/>
  <c r="AI107" i="3"/>
  <c r="M105" i="3"/>
  <c r="A123" i="7" s="1"/>
  <c r="AI105" i="3"/>
  <c r="M117" i="3"/>
  <c r="A135" i="7" s="1"/>
  <c r="AI117" i="3"/>
  <c r="K117" i="3" s="1"/>
  <c r="M115" i="3"/>
  <c r="A133" i="7" s="1"/>
  <c r="AI115" i="3"/>
  <c r="K115" i="3" s="1"/>
  <c r="M113" i="3"/>
  <c r="A131" i="7" s="1"/>
  <c r="AI113" i="3"/>
  <c r="K113" i="3" s="1"/>
  <c r="M121" i="3"/>
  <c r="A139" i="7" s="1"/>
  <c r="AI121" i="3"/>
  <c r="K121" i="3" s="1"/>
  <c r="M133" i="3"/>
  <c r="A151" i="7" s="1"/>
  <c r="AI133" i="3"/>
  <c r="K133" i="3" s="1"/>
  <c r="M131" i="3"/>
  <c r="A149" i="7" s="1"/>
  <c r="AI131" i="3"/>
  <c r="K131" i="3" s="1"/>
  <c r="M129" i="3"/>
  <c r="A147" i="7" s="1"/>
  <c r="AI129" i="3"/>
  <c r="K129" i="3" s="1"/>
  <c r="M127" i="3"/>
  <c r="A145" i="7" s="1"/>
  <c r="AI127" i="3"/>
  <c r="K127" i="3" s="1"/>
  <c r="M125" i="3"/>
  <c r="A143" i="7" s="1"/>
  <c r="AI125" i="3"/>
  <c r="K125" i="3" s="1"/>
  <c r="M123" i="3"/>
  <c r="A141" i="7" s="1"/>
  <c r="AI123" i="3"/>
  <c r="K123" i="3" s="1"/>
  <c r="M166" i="3"/>
  <c r="A184" i="7" s="1"/>
  <c r="AI166" i="3"/>
  <c r="K166" i="3" s="1"/>
  <c r="M164" i="3"/>
  <c r="A182" i="7" s="1"/>
  <c r="AI164" i="3"/>
  <c r="K164" i="3" s="1"/>
  <c r="M162" i="3"/>
  <c r="A180" i="7" s="1"/>
  <c r="AI162" i="3"/>
  <c r="K162" i="3" s="1"/>
  <c r="M160" i="3"/>
  <c r="A178" i="7" s="1"/>
  <c r="AI160" i="3"/>
  <c r="K160" i="3" s="1"/>
  <c r="M158" i="3"/>
  <c r="A176" i="7" s="1"/>
  <c r="AI158" i="3"/>
  <c r="K158" i="3" s="1"/>
  <c r="M156" i="3"/>
  <c r="A174" i="7" s="1"/>
  <c r="AI156" i="3"/>
  <c r="K156" i="3" s="1"/>
  <c r="M154" i="3"/>
  <c r="A172" i="7" s="1"/>
  <c r="AI154" i="3"/>
  <c r="K154" i="3" s="1"/>
  <c r="M152" i="3"/>
  <c r="A170" i="7" s="1"/>
  <c r="AI152" i="3"/>
  <c r="K152" i="3" s="1"/>
  <c r="M150" i="3"/>
  <c r="A168" i="7" s="1"/>
  <c r="AI150" i="3"/>
  <c r="K150" i="3" s="1"/>
  <c r="M148" i="3"/>
  <c r="A166" i="7" s="1"/>
  <c r="AI148" i="3"/>
  <c r="K148" i="3" s="1"/>
  <c r="M146" i="3"/>
  <c r="A164" i="7" s="1"/>
  <c r="AI146" i="3"/>
  <c r="K146" i="3" s="1"/>
  <c r="M144" i="3"/>
  <c r="A162" i="7" s="1"/>
  <c r="AI144" i="3"/>
  <c r="K144" i="3" s="1"/>
  <c r="M142" i="3"/>
  <c r="A160" i="7" s="1"/>
  <c r="AI142" i="3"/>
  <c r="K142" i="3" s="1"/>
  <c r="M140" i="3"/>
  <c r="A158" i="7" s="1"/>
  <c r="AI140" i="3"/>
  <c r="K140" i="3" s="1"/>
  <c r="M138" i="3"/>
  <c r="A156" i="7" s="1"/>
  <c r="AI138" i="3"/>
  <c r="K138" i="3" s="1"/>
  <c r="M136" i="3"/>
  <c r="A154" i="7" s="1"/>
  <c r="AI136" i="3"/>
  <c r="K136" i="3" s="1"/>
  <c r="M176" i="3"/>
  <c r="A194" i="7" s="1"/>
  <c r="AI176" i="3"/>
  <c r="K176" i="3" s="1"/>
  <c r="M182" i="3"/>
  <c r="A200" i="7" s="1"/>
  <c r="AI182" i="3"/>
  <c r="K182" i="3" s="1"/>
  <c r="M180" i="3"/>
  <c r="A198" i="7" s="1"/>
  <c r="AI180" i="3"/>
  <c r="K180" i="3" s="1"/>
  <c r="M178" i="3"/>
  <c r="A196" i="7" s="1"/>
  <c r="AI178" i="3"/>
  <c r="K178" i="3" s="1"/>
  <c r="M186" i="3"/>
  <c r="A204" i="7" s="1"/>
  <c r="AI186" i="3"/>
  <c r="K186" i="3" s="1"/>
  <c r="M188" i="3"/>
  <c r="A206" i="7" s="1"/>
  <c r="AI188" i="3"/>
  <c r="K188" i="3" s="1"/>
  <c r="M192" i="3"/>
  <c r="A210" i="7" s="1"/>
  <c r="AI192" i="3"/>
  <c r="K192" i="3" s="1"/>
  <c r="M196" i="3"/>
  <c r="A214" i="7" s="1"/>
  <c r="AI196" i="3"/>
  <c r="K196" i="3" s="1"/>
  <c r="M201" i="3"/>
  <c r="A219" i="7" s="1"/>
  <c r="AI201" i="3"/>
  <c r="K201" i="3" s="1"/>
  <c r="M206" i="3"/>
  <c r="A224" i="7" s="1"/>
  <c r="AI206" i="3"/>
  <c r="K206" i="3" s="1"/>
  <c r="M212" i="3"/>
  <c r="A230" i="7" s="1"/>
  <c r="AI212" i="3"/>
  <c r="K212" i="3" s="1"/>
  <c r="M210" i="3"/>
  <c r="A228" i="7" s="1"/>
  <c r="AI210" i="3"/>
  <c r="K210" i="3" s="1"/>
  <c r="M217" i="3"/>
  <c r="A235" i="7" s="1"/>
  <c r="AI217" i="3"/>
  <c r="K217" i="3" s="1"/>
  <c r="M220" i="3"/>
  <c r="A238" i="7" s="1"/>
  <c r="AI220" i="3"/>
  <c r="K220" i="3" s="1"/>
  <c r="M230" i="3"/>
  <c r="A248" i="7" s="1"/>
  <c r="AI230" i="3"/>
  <c r="K230" i="3" s="1"/>
  <c r="M228" i="3"/>
  <c r="A246" i="7" s="1"/>
  <c r="AI228" i="3"/>
  <c r="K228" i="3" s="1"/>
  <c r="M226" i="3"/>
  <c r="A244" i="7" s="1"/>
  <c r="AI226" i="3"/>
  <c r="K226" i="3" s="1"/>
  <c r="M224" i="3"/>
  <c r="A242" i="7" s="1"/>
  <c r="AI224" i="3"/>
  <c r="K224" i="3" s="1"/>
  <c r="M222" i="3"/>
  <c r="A240" i="7" s="1"/>
  <c r="AI222" i="3"/>
  <c r="K222" i="3" s="1"/>
  <c r="M235" i="3"/>
  <c r="A253" i="7" s="1"/>
  <c r="AI235" i="3"/>
  <c r="K235" i="3" s="1"/>
  <c r="M237" i="3"/>
  <c r="A255" i="7" s="1"/>
  <c r="AI237" i="3"/>
  <c r="K237" i="3" s="1"/>
  <c r="M241" i="3"/>
  <c r="A259" i="7" s="1"/>
  <c r="AI241" i="3"/>
  <c r="K241" i="3" s="1"/>
  <c r="M242" i="3"/>
  <c r="A260" i="7" s="1"/>
  <c r="AI242" i="3"/>
  <c r="K242" i="3" s="1"/>
  <c r="M261" i="3"/>
  <c r="A279" i="7" s="1"/>
  <c r="AI261" i="3"/>
  <c r="K261" i="3" s="1"/>
  <c r="M259" i="3"/>
  <c r="A277" i="7" s="1"/>
  <c r="AI259" i="3"/>
  <c r="K259" i="3" s="1"/>
  <c r="M257" i="3"/>
  <c r="A275" i="7" s="1"/>
  <c r="AI257" i="3"/>
  <c r="K257" i="3" s="1"/>
  <c r="M255" i="3"/>
  <c r="A273" i="7" s="1"/>
  <c r="AI255" i="3"/>
  <c r="K255" i="3" s="1"/>
  <c r="M253" i="3"/>
  <c r="A271" i="7" s="1"/>
  <c r="AI253" i="3"/>
  <c r="K253" i="3" s="1"/>
  <c r="M251" i="3"/>
  <c r="A269" i="7" s="1"/>
  <c r="AI251" i="3"/>
  <c r="K251" i="3" s="1"/>
  <c r="M248" i="3"/>
  <c r="A266" i="7" s="1"/>
  <c r="AI248" i="3"/>
  <c r="K248" i="3" s="1"/>
  <c r="M266" i="3"/>
  <c r="A284" i="7" s="1"/>
  <c r="AI266" i="3"/>
  <c r="M269" i="3"/>
  <c r="A287" i="7" s="1"/>
  <c r="AI269" i="3"/>
  <c r="K269" i="3" s="1"/>
  <c r="M270" i="3"/>
  <c r="A288" i="7" s="1"/>
  <c r="AI270" i="3"/>
  <c r="K270" i="3" s="1"/>
  <c r="A296" i="7"/>
  <c r="AI278" i="3"/>
  <c r="A299" i="7"/>
  <c r="AI281" i="3"/>
  <c r="A300" i="7"/>
  <c r="AI282" i="3"/>
  <c r="M287" i="3"/>
  <c r="A305" i="7" s="1"/>
  <c r="AI287" i="3"/>
  <c r="K287" i="3" s="1"/>
  <c r="M292" i="3"/>
  <c r="A310" i="7" s="1"/>
  <c r="AI292" i="3"/>
  <c r="K292" i="3" s="1"/>
  <c r="M295" i="3"/>
  <c r="A313" i="7" s="1"/>
  <c r="AI295" i="3"/>
  <c r="K295" i="3" s="1"/>
  <c r="M299" i="3"/>
  <c r="A317" i="7" s="1"/>
  <c r="AI299" i="3"/>
  <c r="K299" i="3" s="1"/>
  <c r="M297" i="3"/>
  <c r="A315" i="7" s="1"/>
  <c r="AI297" i="3"/>
  <c r="K297" i="3" s="1"/>
  <c r="M303" i="3"/>
  <c r="A321" i="7" s="1"/>
  <c r="AI303" i="3"/>
  <c r="K303" i="3" s="1"/>
  <c r="M304" i="3"/>
  <c r="A322" i="7" s="1"/>
  <c r="AI304" i="3"/>
  <c r="K304" i="3" s="1"/>
  <c r="M306" i="3"/>
  <c r="A324" i="7" s="1"/>
  <c r="AI306" i="3"/>
  <c r="K306" i="3" s="1"/>
  <c r="M308" i="3"/>
  <c r="A326" i="7" s="1"/>
  <c r="AI308" i="3"/>
  <c r="K308" i="3" s="1"/>
  <c r="M312" i="3"/>
  <c r="A330" i="7" s="1"/>
  <c r="AI312" i="3"/>
  <c r="M314" i="3"/>
  <c r="A332" i="7" s="1"/>
  <c r="AI314" i="3"/>
  <c r="M316" i="3"/>
  <c r="A334" i="7" s="1"/>
  <c r="AI316" i="3"/>
  <c r="M320" i="3"/>
  <c r="A338" i="7" s="1"/>
  <c r="AI320" i="3"/>
  <c r="K320" i="3" s="1"/>
  <c r="M322" i="3"/>
  <c r="A340" i="7" s="1"/>
  <c r="AI322" i="3"/>
  <c r="K322" i="3" s="1"/>
  <c r="M324" i="3"/>
  <c r="A342" i="7" s="1"/>
  <c r="AI324" i="3"/>
  <c r="K324" i="3" s="1"/>
  <c r="M331" i="3"/>
  <c r="A349" i="7" s="1"/>
  <c r="AI331" i="3"/>
  <c r="K331" i="3" s="1"/>
  <c r="M329" i="3"/>
  <c r="A347" i="7" s="1"/>
  <c r="AI329" i="3"/>
  <c r="K329" i="3" s="1"/>
  <c r="M334" i="3"/>
  <c r="A352" i="7" s="1"/>
  <c r="AI334" i="3"/>
  <c r="K334" i="3" s="1"/>
  <c r="M337" i="3"/>
  <c r="A355" i="7" s="1"/>
  <c r="AI337" i="3"/>
  <c r="K337" i="3" s="1"/>
  <c r="M335" i="3"/>
  <c r="A353" i="7" s="1"/>
  <c r="AI335" i="3"/>
  <c r="K335" i="3" s="1"/>
  <c r="M343" i="3"/>
  <c r="A361" i="7" s="1"/>
  <c r="AI343" i="3"/>
  <c r="K343" i="3" s="1"/>
  <c r="M341" i="3"/>
  <c r="A359" i="7" s="1"/>
  <c r="AI341" i="3"/>
  <c r="K341" i="3" s="1"/>
  <c r="M349" i="3"/>
  <c r="A367" i="7" s="1"/>
  <c r="AI349" i="3"/>
  <c r="K349" i="3" s="1"/>
  <c r="M347" i="3"/>
  <c r="A365" i="7" s="1"/>
  <c r="AI347" i="3"/>
  <c r="K347" i="3" s="1"/>
  <c r="M363" i="3"/>
  <c r="A381" i="7" s="1"/>
  <c r="AI363" i="3"/>
  <c r="K363" i="3" s="1"/>
  <c r="M361" i="3"/>
  <c r="A379" i="7" s="1"/>
  <c r="AI361" i="3"/>
  <c r="K361" i="3" s="1"/>
  <c r="M359" i="3"/>
  <c r="A377" i="7" s="1"/>
  <c r="AI359" i="3"/>
  <c r="K359" i="3" s="1"/>
  <c r="M357" i="3"/>
  <c r="A375" i="7" s="1"/>
  <c r="AI357" i="3"/>
  <c r="K357" i="3" s="1"/>
  <c r="M355" i="3"/>
  <c r="A373" i="7" s="1"/>
  <c r="AI355" i="3"/>
  <c r="K355" i="3" s="1"/>
  <c r="M368" i="3"/>
  <c r="A386" i="7" s="1"/>
  <c r="AI368" i="3"/>
  <c r="K368" i="3" s="1"/>
  <c r="M376" i="3"/>
  <c r="A394" i="7" s="1"/>
  <c r="AI376" i="3"/>
  <c r="M379" i="3"/>
  <c r="A397" i="7" s="1"/>
  <c r="AI379" i="3"/>
  <c r="M377" i="3"/>
  <c r="A395" i="7" s="1"/>
  <c r="AI377" i="3"/>
  <c r="M387" i="3"/>
  <c r="A405" i="7" s="1"/>
  <c r="AI387" i="3"/>
  <c r="M385" i="3"/>
  <c r="A403" i="7" s="1"/>
  <c r="AI385" i="3"/>
  <c r="M392" i="3"/>
  <c r="A410" i="7" s="1"/>
  <c r="AI392" i="3"/>
  <c r="K392" i="3" s="1"/>
  <c r="M393" i="3"/>
  <c r="A411" i="7" s="1"/>
  <c r="AI393" i="3"/>
  <c r="K393" i="3" s="1"/>
  <c r="M399" i="3"/>
  <c r="A417" i="7" s="1"/>
  <c r="AI399" i="3"/>
  <c r="K399" i="3" s="1"/>
  <c r="M413" i="3"/>
  <c r="A431" i="7" s="1"/>
  <c r="M415" i="3"/>
  <c r="A433" i="7" s="1"/>
  <c r="M417" i="3"/>
  <c r="A435" i="7" s="1"/>
  <c r="M419" i="3"/>
  <c r="A437" i="7" s="1"/>
  <c r="M421" i="3"/>
  <c r="A439" i="7" s="1"/>
  <c r="M425" i="3"/>
  <c r="A443" i="7" s="1"/>
  <c r="M427" i="3"/>
  <c r="A445" i="7" s="1"/>
  <c r="M429" i="3"/>
  <c r="A447" i="7" s="1"/>
  <c r="M431" i="3"/>
  <c r="A449" i="7" s="1"/>
  <c r="M435" i="3"/>
  <c r="A453" i="7" s="1"/>
  <c r="M437" i="3"/>
  <c r="A455" i="7" s="1"/>
  <c r="M439" i="3"/>
  <c r="A457" i="7" s="1"/>
  <c r="M443" i="3"/>
  <c r="A461" i="7" s="1"/>
  <c r="M445" i="3"/>
  <c r="A463" i="7" s="1"/>
  <c r="M447" i="3"/>
  <c r="A465" i="7" s="1"/>
  <c r="M449" i="3"/>
  <c r="A467" i="7" s="1"/>
  <c r="M455" i="3"/>
  <c r="A473" i="7" s="1"/>
  <c r="M457" i="3"/>
  <c r="A475" i="7" s="1"/>
  <c r="M459" i="3"/>
  <c r="A477" i="7" s="1"/>
  <c r="M461" i="3"/>
  <c r="A479" i="7" s="1"/>
  <c r="M463" i="3"/>
  <c r="A481" i="7" s="1"/>
  <c r="M465" i="3"/>
  <c r="A483" i="7" s="1"/>
  <c r="M467" i="3"/>
  <c r="A485" i="7" s="1"/>
  <c r="M469" i="3"/>
  <c r="A487" i="7" s="1"/>
  <c r="M471" i="3"/>
  <c r="A489" i="7" s="1"/>
  <c r="M473" i="3"/>
  <c r="A491" i="7" s="1"/>
  <c r="M475" i="3"/>
  <c r="A493" i="7" s="1"/>
  <c r="M477" i="3"/>
  <c r="A495" i="7" s="1"/>
  <c r="M479" i="3"/>
  <c r="A497" i="7" s="1"/>
  <c r="M481" i="3"/>
  <c r="A499" i="7" s="1"/>
  <c r="M483" i="3"/>
  <c r="A501" i="7" s="1"/>
  <c r="M485" i="3"/>
  <c r="A503" i="7" s="1"/>
  <c r="M487" i="3"/>
  <c r="A505" i="7" s="1"/>
  <c r="M489" i="3"/>
  <c r="A507" i="7" s="1"/>
  <c r="M491" i="3"/>
  <c r="A509" i="7" s="1"/>
  <c r="M493" i="3"/>
  <c r="A511" i="7" s="1"/>
  <c r="M495" i="3"/>
  <c r="A513" i="7" s="1"/>
  <c r="M497" i="3"/>
  <c r="A515" i="7" s="1"/>
  <c r="M499" i="3"/>
  <c r="A517" i="7" s="1"/>
  <c r="M503" i="3"/>
  <c r="A521" i="7" s="1"/>
  <c r="M507" i="3"/>
  <c r="A525" i="7" s="1"/>
  <c r="M508" i="3"/>
  <c r="A526" i="7" s="1"/>
  <c r="M523" i="3"/>
  <c r="A541" i="7" s="1"/>
  <c r="M521" i="3"/>
  <c r="A539" i="7" s="1"/>
  <c r="M519" i="3"/>
  <c r="A537" i="7" s="1"/>
  <c r="M517" i="3"/>
  <c r="A535" i="7" s="1"/>
  <c r="M515" i="3"/>
  <c r="A533" i="7" s="1"/>
  <c r="M531" i="3"/>
  <c r="A549" i="7" s="1"/>
  <c r="M529" i="3"/>
  <c r="A547" i="7" s="1"/>
  <c r="M527" i="3"/>
  <c r="A545" i="7" s="1"/>
  <c r="M539" i="3"/>
  <c r="A557" i="7" s="1"/>
  <c r="M537" i="3"/>
  <c r="A555" i="7" s="1"/>
  <c r="M546" i="3"/>
  <c r="A564" i="7" s="1"/>
  <c r="M544" i="3"/>
  <c r="A562" i="7" s="1"/>
  <c r="M551" i="3"/>
  <c r="A569" i="7" s="1"/>
  <c r="M566" i="3"/>
  <c r="A584" i="7" s="1"/>
  <c r="M564" i="3"/>
  <c r="A582" i="7" s="1"/>
  <c r="M562" i="3"/>
  <c r="A580" i="7" s="1"/>
  <c r="M560" i="3"/>
  <c r="A578" i="7" s="1"/>
  <c r="M558" i="3"/>
  <c r="A576" i="7" s="1"/>
  <c r="M556" i="3"/>
  <c r="A574" i="7" s="1"/>
  <c r="M554" i="3"/>
  <c r="A572" i="7" s="1"/>
  <c r="M552" i="3"/>
  <c r="A570" i="7" s="1"/>
  <c r="M571" i="3"/>
  <c r="A589" i="7" s="1"/>
  <c r="M576" i="3"/>
  <c r="A594" i="7" s="1"/>
  <c r="M579" i="3"/>
  <c r="A597" i="7" s="1"/>
  <c r="M582" i="3"/>
  <c r="A600" i="7" s="1"/>
  <c r="M580" i="3"/>
  <c r="A598" i="7" s="1"/>
  <c r="M588" i="3"/>
  <c r="A606" i="7" s="1"/>
  <c r="M593" i="3"/>
  <c r="A611" i="7" s="1"/>
  <c r="M598" i="3"/>
  <c r="A616" i="7" s="1"/>
  <c r="M596" i="3"/>
  <c r="A614" i="7" s="1"/>
  <c r="M594" i="3"/>
  <c r="A612" i="7" s="1"/>
  <c r="M612" i="3"/>
  <c r="A630" i="7" s="1"/>
  <c r="M610" i="3"/>
  <c r="A628" i="7" s="1"/>
  <c r="M608" i="3"/>
  <c r="A626" i="7" s="1"/>
  <c r="M606" i="3"/>
  <c r="A624" i="7" s="1"/>
  <c r="M604" i="3"/>
  <c r="A622" i="7" s="1"/>
  <c r="M615" i="3"/>
  <c r="A633" i="7" s="1"/>
  <c r="M619" i="3"/>
  <c r="A637" i="7" s="1"/>
  <c r="M617" i="3"/>
  <c r="A635" i="7" s="1"/>
  <c r="M19" i="3"/>
  <c r="A37" i="7" s="1"/>
  <c r="AI19" i="3"/>
  <c r="M21" i="3"/>
  <c r="A39" i="7" s="1"/>
  <c r="AI21" i="3"/>
  <c r="M25" i="3"/>
  <c r="A43" i="7" s="1"/>
  <c r="AI25" i="3"/>
  <c r="M27" i="3"/>
  <c r="A45" i="7" s="1"/>
  <c r="AI27" i="3"/>
  <c r="M40" i="3"/>
  <c r="A58" i="7" s="1"/>
  <c r="AI40" i="3"/>
  <c r="K40" i="3" s="1"/>
  <c r="M42" i="3"/>
  <c r="A60" i="7" s="1"/>
  <c r="AI42" i="3"/>
  <c r="K42" i="3" s="1"/>
  <c r="M46" i="3"/>
  <c r="A64" i="7" s="1"/>
  <c r="AI46" i="3"/>
  <c r="K46" i="3" s="1"/>
  <c r="M48" i="3"/>
  <c r="A66" i="7" s="1"/>
  <c r="AI48" i="3"/>
  <c r="K48" i="3" s="1"/>
  <c r="M50" i="3"/>
  <c r="A68" i="7" s="1"/>
  <c r="AI50" i="3"/>
  <c r="K50" i="3" s="1"/>
  <c r="M54" i="3"/>
  <c r="A72" i="7" s="1"/>
  <c r="AI54" i="3"/>
  <c r="K54" i="3" s="1"/>
  <c r="M58" i="3"/>
  <c r="A76" i="7" s="1"/>
  <c r="AI58" i="3"/>
  <c r="K58" i="3" s="1"/>
  <c r="M60" i="3"/>
  <c r="A78" i="7" s="1"/>
  <c r="AI60" i="3"/>
  <c r="K60" i="3" s="1"/>
  <c r="M67" i="3"/>
  <c r="A85" i="7" s="1"/>
  <c r="AI67" i="3"/>
  <c r="K67" i="3" s="1"/>
  <c r="M65" i="3"/>
  <c r="A83" i="7" s="1"/>
  <c r="AI65" i="3"/>
  <c r="K65" i="3" s="1"/>
  <c r="M72" i="3"/>
  <c r="A90" i="7" s="1"/>
  <c r="AI72" i="3"/>
  <c r="K72" i="3" s="1"/>
  <c r="M81" i="3"/>
  <c r="A99" i="7" s="1"/>
  <c r="AI81" i="3"/>
  <c r="K81" i="3" s="1"/>
  <c r="M79" i="3"/>
  <c r="A97" i="7" s="1"/>
  <c r="AI79" i="3"/>
  <c r="K79" i="3" s="1"/>
  <c r="M77" i="3"/>
  <c r="A95" i="7" s="1"/>
  <c r="AI77" i="3"/>
  <c r="K77" i="3" s="1"/>
  <c r="M75" i="3"/>
  <c r="A93" i="7" s="1"/>
  <c r="AI75" i="3"/>
  <c r="K75" i="3" s="1"/>
  <c r="M73" i="3"/>
  <c r="A91" i="7" s="1"/>
  <c r="AI73" i="3"/>
  <c r="K73" i="3" s="1"/>
  <c r="M88" i="3"/>
  <c r="A106" i="7" s="1"/>
  <c r="AI88" i="3"/>
  <c r="K88" i="3" s="1"/>
  <c r="M95" i="3"/>
  <c r="A113" i="7" s="1"/>
  <c r="AI95" i="3"/>
  <c r="K95" i="3" s="1"/>
  <c r="M93" i="3"/>
  <c r="A111" i="7" s="1"/>
  <c r="AI93" i="3"/>
  <c r="K93" i="3" s="1"/>
  <c r="M91" i="3"/>
  <c r="A109" i="7" s="1"/>
  <c r="AI91" i="3"/>
  <c r="K91" i="3" s="1"/>
  <c r="M89" i="3"/>
  <c r="A107" i="7" s="1"/>
  <c r="AI89" i="3"/>
  <c r="K89" i="3" s="1"/>
  <c r="M101" i="3"/>
  <c r="A119" i="7" s="1"/>
  <c r="AI101" i="3"/>
  <c r="K101" i="3" s="1"/>
  <c r="M104" i="3"/>
  <c r="A122" i="7" s="1"/>
  <c r="AI104" i="3"/>
  <c r="M106" i="3"/>
  <c r="A124" i="7" s="1"/>
  <c r="AI106" i="3"/>
  <c r="M111" i="3"/>
  <c r="A129" i="7" s="1"/>
  <c r="AI111" i="3"/>
  <c r="K111" i="3" s="1"/>
  <c r="M116" i="3"/>
  <c r="A134" i="7" s="1"/>
  <c r="AI116" i="3"/>
  <c r="K116" i="3" s="1"/>
  <c r="M114" i="3"/>
  <c r="A132" i="7" s="1"/>
  <c r="AI114" i="3"/>
  <c r="K114" i="3" s="1"/>
  <c r="M112" i="3"/>
  <c r="A130" i="7" s="1"/>
  <c r="AI112" i="3"/>
  <c r="K112" i="3" s="1"/>
  <c r="M134" i="3"/>
  <c r="A152" i="7" s="1"/>
  <c r="AI134" i="3"/>
  <c r="K134" i="3" s="1"/>
  <c r="M132" i="3"/>
  <c r="A150" i="7" s="1"/>
  <c r="AI132" i="3"/>
  <c r="K132" i="3" s="1"/>
  <c r="M130" i="3"/>
  <c r="A148" i="7" s="1"/>
  <c r="AI130" i="3"/>
  <c r="K130" i="3" s="1"/>
  <c r="M128" i="3"/>
  <c r="A146" i="7" s="1"/>
  <c r="AI128" i="3"/>
  <c r="K128" i="3" s="1"/>
  <c r="M126" i="3"/>
  <c r="A144" i="7" s="1"/>
  <c r="AI126" i="3"/>
  <c r="K126" i="3" s="1"/>
  <c r="M124" i="3"/>
  <c r="A142" i="7" s="1"/>
  <c r="AI124" i="3"/>
  <c r="K124" i="3" s="1"/>
  <c r="M122" i="3"/>
  <c r="A140" i="7" s="1"/>
  <c r="AI122" i="3"/>
  <c r="K122" i="3" s="1"/>
  <c r="M165" i="3"/>
  <c r="A183" i="7" s="1"/>
  <c r="AI165" i="3"/>
  <c r="K165" i="3" s="1"/>
  <c r="M163" i="3"/>
  <c r="A181" i="7" s="1"/>
  <c r="AI163" i="3"/>
  <c r="K163" i="3" s="1"/>
  <c r="M161" i="3"/>
  <c r="A179" i="7" s="1"/>
  <c r="AI161" i="3"/>
  <c r="K161" i="3" s="1"/>
  <c r="M159" i="3"/>
  <c r="A177" i="7" s="1"/>
  <c r="AI159" i="3"/>
  <c r="K159" i="3" s="1"/>
  <c r="M157" i="3"/>
  <c r="A175" i="7" s="1"/>
  <c r="AI157" i="3"/>
  <c r="K157" i="3" s="1"/>
  <c r="M155" i="3"/>
  <c r="A173" i="7" s="1"/>
  <c r="AI155" i="3"/>
  <c r="K155" i="3" s="1"/>
  <c r="M153" i="3"/>
  <c r="A171" i="7" s="1"/>
  <c r="AI153" i="3"/>
  <c r="K153" i="3" s="1"/>
  <c r="M151" i="3"/>
  <c r="A169" i="7" s="1"/>
  <c r="AI151" i="3"/>
  <c r="K151" i="3" s="1"/>
  <c r="M149" i="3"/>
  <c r="A167" i="7" s="1"/>
  <c r="AI149" i="3"/>
  <c r="K149" i="3" s="1"/>
  <c r="M147" i="3"/>
  <c r="A165" i="7" s="1"/>
  <c r="AI147" i="3"/>
  <c r="K147" i="3" s="1"/>
  <c r="M145" i="3"/>
  <c r="A163" i="7" s="1"/>
  <c r="AI145" i="3"/>
  <c r="K145" i="3" s="1"/>
  <c r="M143" i="3"/>
  <c r="A161" i="7" s="1"/>
  <c r="AI143" i="3"/>
  <c r="K143" i="3" s="1"/>
  <c r="M141" i="3"/>
  <c r="A159" i="7" s="1"/>
  <c r="AI141" i="3"/>
  <c r="K141" i="3" s="1"/>
  <c r="M139" i="3"/>
  <c r="A157" i="7" s="1"/>
  <c r="AI139" i="3"/>
  <c r="K139" i="3" s="1"/>
  <c r="M137" i="3"/>
  <c r="A155" i="7" s="1"/>
  <c r="AI137" i="3"/>
  <c r="K137" i="3" s="1"/>
  <c r="M135" i="3"/>
  <c r="A153" i="7" s="1"/>
  <c r="AI135" i="3"/>
  <c r="K135" i="3" s="1"/>
  <c r="M183" i="3"/>
  <c r="A201" i="7" s="1"/>
  <c r="AI183" i="3"/>
  <c r="K183" i="3" s="1"/>
  <c r="M181" i="3"/>
  <c r="A199" i="7" s="1"/>
  <c r="AI181" i="3"/>
  <c r="K181" i="3" s="1"/>
  <c r="M179" i="3"/>
  <c r="A197" i="7" s="1"/>
  <c r="AI179" i="3"/>
  <c r="K179" i="3" s="1"/>
  <c r="M177" i="3"/>
  <c r="A195" i="7" s="1"/>
  <c r="AI177" i="3"/>
  <c r="K177" i="3" s="1"/>
  <c r="M189" i="3"/>
  <c r="A207" i="7" s="1"/>
  <c r="AI189" i="3"/>
  <c r="K189" i="3" s="1"/>
  <c r="M187" i="3"/>
  <c r="A205" i="7" s="1"/>
  <c r="AI187" i="3"/>
  <c r="K187" i="3" s="1"/>
  <c r="M193" i="3"/>
  <c r="A211" i="7" s="1"/>
  <c r="AI193" i="3"/>
  <c r="K193" i="3" s="1"/>
  <c r="M199" i="3"/>
  <c r="A217" i="7" s="1"/>
  <c r="AI199" i="3"/>
  <c r="K199" i="3" s="1"/>
  <c r="M200" i="3"/>
  <c r="A218" i="7" s="1"/>
  <c r="AI200" i="3"/>
  <c r="K200" i="3" s="1"/>
  <c r="M209" i="3"/>
  <c r="A227" i="7" s="1"/>
  <c r="AI209" i="3"/>
  <c r="K209" i="3" s="1"/>
  <c r="M211" i="3"/>
  <c r="A229" i="7" s="1"/>
  <c r="AI211" i="3"/>
  <c r="K211" i="3" s="1"/>
  <c r="M215" i="3"/>
  <c r="A233" i="7" s="1"/>
  <c r="AI215" i="3"/>
  <c r="K215" i="3" s="1"/>
  <c r="M216" i="3"/>
  <c r="A234" i="7" s="1"/>
  <c r="AI216" i="3"/>
  <c r="K216" i="3" s="1"/>
  <c r="M231" i="3"/>
  <c r="A249" i="7" s="1"/>
  <c r="AI231" i="3"/>
  <c r="K231" i="3" s="1"/>
  <c r="M229" i="3"/>
  <c r="A247" i="7" s="1"/>
  <c r="AI229" i="3"/>
  <c r="K229" i="3" s="1"/>
  <c r="M227" i="3"/>
  <c r="A245" i="7" s="1"/>
  <c r="AI227" i="3"/>
  <c r="K227" i="3" s="1"/>
  <c r="M225" i="3"/>
  <c r="A243" i="7" s="1"/>
  <c r="AI225" i="3"/>
  <c r="K225" i="3" s="1"/>
  <c r="M223" i="3"/>
  <c r="A241" i="7" s="1"/>
  <c r="AI223" i="3"/>
  <c r="K223" i="3" s="1"/>
  <c r="M221" i="3"/>
  <c r="A239" i="7" s="1"/>
  <c r="AI221" i="3"/>
  <c r="K221" i="3" s="1"/>
  <c r="M238" i="3"/>
  <c r="A256" i="7" s="1"/>
  <c r="AI238" i="3"/>
  <c r="K238" i="3" s="1"/>
  <c r="M236" i="3"/>
  <c r="A254" i="7" s="1"/>
  <c r="AI236" i="3"/>
  <c r="K236" i="3" s="1"/>
  <c r="M243" i="3"/>
  <c r="A261" i="7" s="1"/>
  <c r="AI243" i="3"/>
  <c r="K243" i="3" s="1"/>
  <c r="M247" i="3"/>
  <c r="A265" i="7" s="1"/>
  <c r="AI247" i="3"/>
  <c r="K247" i="3" s="1"/>
  <c r="K246" i="3" s="1"/>
  <c r="M260" i="3"/>
  <c r="A278" i="7" s="1"/>
  <c r="AI260" i="3"/>
  <c r="K260" i="3" s="1"/>
  <c r="M258" i="3"/>
  <c r="A276" i="7" s="1"/>
  <c r="AI258" i="3"/>
  <c r="K258" i="3" s="1"/>
  <c r="M256" i="3"/>
  <c r="A274" i="7" s="1"/>
  <c r="AI256" i="3"/>
  <c r="K256" i="3" s="1"/>
  <c r="M254" i="3"/>
  <c r="A272" i="7" s="1"/>
  <c r="AI254" i="3"/>
  <c r="K254" i="3" s="1"/>
  <c r="M252" i="3"/>
  <c r="A270" i="7" s="1"/>
  <c r="AI252" i="3"/>
  <c r="K252" i="3" s="1"/>
  <c r="M250" i="3"/>
  <c r="A268" i="7" s="1"/>
  <c r="AI250" i="3"/>
  <c r="K250" i="3" s="1"/>
  <c r="M264" i="3"/>
  <c r="A282" i="7" s="1"/>
  <c r="AI264" i="3"/>
  <c r="M265" i="3"/>
  <c r="A283" i="7" s="1"/>
  <c r="AI265" i="3"/>
  <c r="M271" i="3"/>
  <c r="A289" i="7" s="1"/>
  <c r="AI271" i="3"/>
  <c r="K271" i="3" s="1"/>
  <c r="A294" i="7"/>
  <c r="AI276" i="3"/>
  <c r="A295" i="7"/>
  <c r="AI277" i="3"/>
  <c r="A301" i="7"/>
  <c r="AI283" i="3"/>
  <c r="M286" i="3"/>
  <c r="A304" i="7" s="1"/>
  <c r="AI286" i="3"/>
  <c r="K286" i="3" s="1"/>
  <c r="M290" i="3"/>
  <c r="A308" i="7" s="1"/>
  <c r="AI290" i="3"/>
  <c r="K290" i="3" s="1"/>
  <c r="M291" i="3"/>
  <c r="A309" i="7" s="1"/>
  <c r="AI291" i="3"/>
  <c r="K291" i="3" s="1"/>
  <c r="M300" i="3"/>
  <c r="A318" i="7" s="1"/>
  <c r="AI300" i="3"/>
  <c r="K300" i="3" s="1"/>
  <c r="M298" i="3"/>
  <c r="A316" i="7" s="1"/>
  <c r="AI298" i="3"/>
  <c r="K298" i="3" s="1"/>
  <c r="M296" i="3"/>
  <c r="A314" i="7" s="1"/>
  <c r="AI296" i="3"/>
  <c r="K296" i="3" s="1"/>
  <c r="M305" i="3"/>
  <c r="A323" i="7" s="1"/>
  <c r="AI305" i="3"/>
  <c r="K305" i="3" s="1"/>
  <c r="M307" i="3"/>
  <c r="A325" i="7" s="1"/>
  <c r="AI307" i="3"/>
  <c r="K307" i="3" s="1"/>
  <c r="M311" i="3"/>
  <c r="A329" i="7" s="1"/>
  <c r="AI311" i="3"/>
  <c r="M313" i="3"/>
  <c r="A331" i="7" s="1"/>
  <c r="AI313" i="3"/>
  <c r="M315" i="3"/>
  <c r="A333" i="7" s="1"/>
  <c r="AI315" i="3"/>
  <c r="M319" i="3"/>
  <c r="A337" i="7" s="1"/>
  <c r="AI319" i="3"/>
  <c r="K319" i="3" s="1"/>
  <c r="M321" i="3"/>
  <c r="A339" i="7" s="1"/>
  <c r="AI321" i="3"/>
  <c r="K321" i="3" s="1"/>
  <c r="M323" i="3"/>
  <c r="A341" i="7" s="1"/>
  <c r="AI323" i="3"/>
  <c r="K323" i="3" s="1"/>
  <c r="M327" i="3"/>
  <c r="A345" i="7" s="1"/>
  <c r="AI327" i="3"/>
  <c r="K327" i="3" s="1"/>
  <c r="M330" i="3"/>
  <c r="A348" i="7" s="1"/>
  <c r="AI330" i="3"/>
  <c r="K330" i="3" s="1"/>
  <c r="M328" i="3"/>
  <c r="A346" i="7" s="1"/>
  <c r="AI328" i="3"/>
  <c r="K328" i="3" s="1"/>
  <c r="M336" i="3"/>
  <c r="A354" i="7" s="1"/>
  <c r="AI336" i="3"/>
  <c r="K336" i="3" s="1"/>
  <c r="M340" i="3"/>
  <c r="A358" i="7" s="1"/>
  <c r="AI340" i="3"/>
  <c r="K340" i="3" s="1"/>
  <c r="M342" i="3"/>
  <c r="A360" i="7" s="1"/>
  <c r="AI342" i="3"/>
  <c r="K342" i="3" s="1"/>
  <c r="M346" i="3"/>
  <c r="A364" i="7" s="1"/>
  <c r="AI346" i="3"/>
  <c r="K346" i="3" s="1"/>
  <c r="M348" i="3"/>
  <c r="A366" i="7" s="1"/>
  <c r="AI348" i="3"/>
  <c r="K348" i="3" s="1"/>
  <c r="M354" i="3"/>
  <c r="A372" i="7" s="1"/>
  <c r="AI354" i="3"/>
  <c r="K354" i="3" s="1"/>
  <c r="M362" i="3"/>
  <c r="A380" i="7" s="1"/>
  <c r="AI362" i="3"/>
  <c r="K362" i="3" s="1"/>
  <c r="M360" i="3"/>
  <c r="A378" i="7" s="1"/>
  <c r="AI360" i="3"/>
  <c r="K360" i="3" s="1"/>
  <c r="M358" i="3"/>
  <c r="A376" i="7" s="1"/>
  <c r="AI358" i="3"/>
  <c r="K358" i="3" s="1"/>
  <c r="M356" i="3"/>
  <c r="A374" i="7" s="1"/>
  <c r="AI356" i="3"/>
  <c r="K356" i="3" s="1"/>
  <c r="M366" i="3"/>
  <c r="A384" i="7" s="1"/>
  <c r="AI366" i="3"/>
  <c r="K366" i="3" s="1"/>
  <c r="M367" i="3"/>
  <c r="A385" i="7" s="1"/>
  <c r="AI367" i="3"/>
  <c r="K367" i="3" s="1"/>
  <c r="M380" i="3"/>
  <c r="A398" i="7" s="1"/>
  <c r="AI380" i="3"/>
  <c r="M378" i="3"/>
  <c r="A396" i="7" s="1"/>
  <c r="AI378" i="3"/>
  <c r="M383" i="3"/>
  <c r="A401" i="7" s="1"/>
  <c r="AI383" i="3"/>
  <c r="M386" i="3"/>
  <c r="A404" i="7" s="1"/>
  <c r="AI386" i="3"/>
  <c r="M384" i="3"/>
  <c r="A402" i="7" s="1"/>
  <c r="AI384" i="3"/>
  <c r="M394" i="3"/>
  <c r="A412" i="7" s="1"/>
  <c r="AI394" i="3"/>
  <c r="K394" i="3" s="1"/>
  <c r="M397" i="3"/>
  <c r="A415" i="7" s="1"/>
  <c r="AI397" i="3"/>
  <c r="K397" i="3" s="1"/>
  <c r="M398" i="3"/>
  <c r="A416" i="7" s="1"/>
  <c r="AI398" i="3"/>
  <c r="K398" i="3" s="1"/>
  <c r="M414" i="3"/>
  <c r="A432" i="7" s="1"/>
  <c r="M416" i="3"/>
  <c r="A434" i="7" s="1"/>
  <c r="M418" i="3"/>
  <c r="A436" i="7" s="1"/>
  <c r="M420" i="3"/>
  <c r="A438" i="7" s="1"/>
  <c r="M422" i="3"/>
  <c r="A440" i="7" s="1"/>
  <c r="M426" i="3"/>
  <c r="A444" i="7" s="1"/>
  <c r="M428" i="3"/>
  <c r="A446" i="7" s="1"/>
  <c r="M430" i="3"/>
  <c r="A448" i="7" s="1"/>
  <c r="M432" i="3"/>
  <c r="A450" i="7" s="1"/>
  <c r="M436" i="3"/>
  <c r="A454" i="7" s="1"/>
  <c r="M438" i="3"/>
  <c r="A456" i="7" s="1"/>
  <c r="M440" i="3"/>
  <c r="A458" i="7" s="1"/>
  <c r="M444" i="3"/>
  <c r="A462" i="7" s="1"/>
  <c r="M446" i="3"/>
  <c r="A464" i="7" s="1"/>
  <c r="M448" i="3"/>
  <c r="A466" i="7" s="1"/>
  <c r="M450" i="3"/>
  <c r="A468" i="7" s="1"/>
  <c r="M456" i="3"/>
  <c r="A474" i="7" s="1"/>
  <c r="M458" i="3"/>
  <c r="A476" i="7" s="1"/>
  <c r="M460" i="3"/>
  <c r="A478" i="7" s="1"/>
  <c r="M462" i="3"/>
  <c r="A480" i="7" s="1"/>
  <c r="M464" i="3"/>
  <c r="A482" i="7" s="1"/>
  <c r="M466" i="3"/>
  <c r="A484" i="7" s="1"/>
  <c r="M468" i="3"/>
  <c r="A486" i="7" s="1"/>
  <c r="M470" i="3"/>
  <c r="A488" i="7" s="1"/>
  <c r="M472" i="3"/>
  <c r="A490" i="7" s="1"/>
  <c r="M474" i="3"/>
  <c r="A492" i="7" s="1"/>
  <c r="M476" i="3"/>
  <c r="A494" i="7" s="1"/>
  <c r="M478" i="3"/>
  <c r="A496" i="7" s="1"/>
  <c r="M480" i="3"/>
  <c r="A498" i="7" s="1"/>
  <c r="M482" i="3"/>
  <c r="A500" i="7" s="1"/>
  <c r="M484" i="3"/>
  <c r="A502" i="7" s="1"/>
  <c r="M486" i="3"/>
  <c r="A504" i="7" s="1"/>
  <c r="M488" i="3"/>
  <c r="A506" i="7" s="1"/>
  <c r="M490" i="3"/>
  <c r="A508" i="7" s="1"/>
  <c r="M492" i="3"/>
  <c r="A510" i="7" s="1"/>
  <c r="M494" i="3"/>
  <c r="A512" i="7" s="1"/>
  <c r="M496" i="3"/>
  <c r="A514" i="7" s="1"/>
  <c r="M498" i="3"/>
  <c r="A516" i="7" s="1"/>
  <c r="AI498" i="3"/>
  <c r="K498" i="3" s="1"/>
  <c r="M500" i="3"/>
  <c r="A518" i="7" s="1"/>
  <c r="AI500" i="3"/>
  <c r="K500" i="3" s="1"/>
  <c r="M504" i="3"/>
  <c r="A522" i="7" s="1"/>
  <c r="M509" i="3"/>
  <c r="A527" i="7" s="1"/>
  <c r="M514" i="3"/>
  <c r="A532" i="7" s="1"/>
  <c r="M522" i="3"/>
  <c r="A540" i="7" s="1"/>
  <c r="M520" i="3"/>
  <c r="A538" i="7" s="1"/>
  <c r="M518" i="3"/>
  <c r="A536" i="7" s="1"/>
  <c r="M516" i="3"/>
  <c r="A534" i="7" s="1"/>
  <c r="M526" i="3"/>
  <c r="A544" i="7" s="1"/>
  <c r="M530" i="3"/>
  <c r="A548" i="7" s="1"/>
  <c r="M528" i="3"/>
  <c r="A546" i="7" s="1"/>
  <c r="M536" i="3"/>
  <c r="A554" i="7" s="1"/>
  <c r="M538" i="3"/>
  <c r="A556" i="7" s="1"/>
  <c r="M542" i="3"/>
  <c r="A560" i="7" s="1"/>
  <c r="M545" i="3"/>
  <c r="A563" i="7" s="1"/>
  <c r="M543" i="3"/>
  <c r="A561" i="7" s="1"/>
  <c r="M567" i="3"/>
  <c r="A585" i="7" s="1"/>
  <c r="M565" i="3"/>
  <c r="A583" i="7" s="1"/>
  <c r="M563" i="3"/>
  <c r="A581" i="7" s="1"/>
  <c r="M561" i="3"/>
  <c r="A579" i="7" s="1"/>
  <c r="M559" i="3"/>
  <c r="A577" i="7" s="1"/>
  <c r="M557" i="3"/>
  <c r="A575" i="7" s="1"/>
  <c r="M555" i="3"/>
  <c r="A573" i="7" s="1"/>
  <c r="M553" i="3"/>
  <c r="A571" i="7" s="1"/>
  <c r="M570" i="3"/>
  <c r="A588" i="7" s="1"/>
  <c r="M574" i="3"/>
  <c r="A592" i="7" s="1"/>
  <c r="M575" i="3"/>
  <c r="A593" i="7" s="1"/>
  <c r="M583" i="3"/>
  <c r="A601" i="7" s="1"/>
  <c r="M581" i="3"/>
  <c r="A599" i="7" s="1"/>
  <c r="M586" i="3"/>
  <c r="A604" i="7" s="1"/>
  <c r="M587" i="3"/>
  <c r="A605" i="7" s="1"/>
  <c r="M599" i="3"/>
  <c r="A617" i="7" s="1"/>
  <c r="M597" i="3"/>
  <c r="A615" i="7" s="1"/>
  <c r="M595" i="3"/>
  <c r="A613" i="7" s="1"/>
  <c r="M602" i="3"/>
  <c r="A620" i="7" s="1"/>
  <c r="M611" i="3"/>
  <c r="A629" i="7" s="1"/>
  <c r="M609" i="3"/>
  <c r="A627" i="7" s="1"/>
  <c r="M607" i="3"/>
  <c r="A625" i="7" s="1"/>
  <c r="M605" i="3"/>
  <c r="A623" i="7" s="1"/>
  <c r="M603" i="3"/>
  <c r="A621" i="7" s="1"/>
  <c r="M620" i="3"/>
  <c r="A638" i="7" s="1"/>
  <c r="AI620" i="3"/>
  <c r="K620" i="3" s="1"/>
  <c r="M618" i="3"/>
  <c r="A636" i="7" s="1"/>
  <c r="M616" i="3"/>
  <c r="A634" i="7" s="1"/>
  <c r="M7" i="3"/>
  <c r="A25" i="7" s="1"/>
  <c r="M9" i="3"/>
  <c r="A27" i="7" s="1"/>
  <c r="M13" i="3"/>
  <c r="A31" i="7" s="1"/>
  <c r="M15" i="3"/>
  <c r="A33" i="7" s="1"/>
  <c r="M6" i="3"/>
  <c r="A24" i="7" s="1"/>
  <c r="M8" i="3"/>
  <c r="A26" i="7" s="1"/>
  <c r="M12" i="3"/>
  <c r="A30" i="7" s="1"/>
  <c r="M14" i="3"/>
  <c r="A32" i="7" s="1"/>
  <c r="O392" i="3"/>
  <c r="GQ49" i="4"/>
  <c r="E3" i="2"/>
  <c r="ES9" i="1" s="1"/>
  <c r="AI617" i="3" l="1"/>
  <c r="K617" i="3" s="1"/>
  <c r="AI545" i="3"/>
  <c r="K545" i="3" s="1"/>
  <c r="AI523" i="3"/>
  <c r="K523" i="3" s="1"/>
  <c r="AS406" i="3"/>
  <c r="AQ406" i="3"/>
  <c r="AO406" i="3"/>
  <c r="AM406" i="3"/>
  <c r="AK406" i="3"/>
  <c r="AI406" i="3" s="1"/>
  <c r="K406" i="3" s="1"/>
  <c r="AP406" i="3"/>
  <c r="AL406" i="3"/>
  <c r="AR406" i="3"/>
  <c r="AN406" i="3"/>
  <c r="AJ406" i="3"/>
  <c r="AS408" i="3"/>
  <c r="AQ408" i="3"/>
  <c r="AO408" i="3"/>
  <c r="AM408" i="3"/>
  <c r="AK408" i="3"/>
  <c r="AP408" i="3"/>
  <c r="AL408" i="3"/>
  <c r="AR408" i="3"/>
  <c r="AN408" i="3"/>
  <c r="AJ408" i="3"/>
  <c r="AR410" i="3"/>
  <c r="AP410" i="3"/>
  <c r="AN410" i="3"/>
  <c r="AL410" i="3"/>
  <c r="AJ410" i="3"/>
  <c r="AS410" i="3"/>
  <c r="AQ410" i="3"/>
  <c r="AO410" i="3"/>
  <c r="AM410" i="3"/>
  <c r="AK410" i="3"/>
  <c r="AS405" i="3"/>
  <c r="AQ405" i="3"/>
  <c r="AO405" i="3"/>
  <c r="AM405" i="3"/>
  <c r="AK405" i="3"/>
  <c r="AR405" i="3"/>
  <c r="AN405" i="3"/>
  <c r="AJ405" i="3"/>
  <c r="AP405" i="3"/>
  <c r="AL405" i="3"/>
  <c r="AS407" i="3"/>
  <c r="AQ407" i="3"/>
  <c r="AO407" i="3"/>
  <c r="AM407" i="3"/>
  <c r="AK407" i="3"/>
  <c r="AI407" i="3" s="1"/>
  <c r="K407" i="3" s="1"/>
  <c r="AR407" i="3"/>
  <c r="AN407" i="3"/>
  <c r="AJ407" i="3"/>
  <c r="AP407" i="3"/>
  <c r="AL407" i="3"/>
  <c r="AR409" i="3"/>
  <c r="AP409" i="3"/>
  <c r="AS409" i="3"/>
  <c r="AQ409" i="3"/>
  <c r="AO409" i="3"/>
  <c r="AM409" i="3"/>
  <c r="AK409" i="3"/>
  <c r="AI409" i="3" s="1"/>
  <c r="K409" i="3" s="1"/>
  <c r="AN409" i="3"/>
  <c r="AJ409" i="3"/>
  <c r="AL409" i="3"/>
  <c r="M409" i="3"/>
  <c r="A427" i="7" s="1"/>
  <c r="AI616" i="3"/>
  <c r="K616" i="3" s="1"/>
  <c r="AI605" i="3"/>
  <c r="K605" i="3" s="1"/>
  <c r="AI611" i="3"/>
  <c r="K611" i="3" s="1"/>
  <c r="AI587" i="3"/>
  <c r="K587" i="3" s="1"/>
  <c r="AI583" i="3"/>
  <c r="K583" i="3" s="1"/>
  <c r="AI563" i="3"/>
  <c r="K563" i="3" s="1"/>
  <c r="AI565" i="3"/>
  <c r="K565" i="3" s="1"/>
  <c r="AI567" i="3"/>
  <c r="K567" i="3" s="1"/>
  <c r="AI509" i="3"/>
  <c r="K509" i="3" s="1"/>
  <c r="AI494" i="3"/>
  <c r="K494" i="3" s="1"/>
  <c r="AI488" i="3"/>
  <c r="K488" i="3" s="1"/>
  <c r="AI450" i="3"/>
  <c r="K450" i="3" s="1"/>
  <c r="AI615" i="3"/>
  <c r="K615" i="3" s="1"/>
  <c r="AI612" i="3"/>
  <c r="K612" i="3" s="1"/>
  <c r="AI576" i="3"/>
  <c r="K576" i="3" s="1"/>
  <c r="R406" i="3"/>
  <c r="R408" i="3"/>
  <c r="R410" i="3"/>
  <c r="AI561" i="3"/>
  <c r="K561" i="3" s="1"/>
  <c r="AI522" i="3"/>
  <c r="K522" i="3" s="1"/>
  <c r="AI496" i="3"/>
  <c r="K496" i="3" s="1"/>
  <c r="AI492" i="3"/>
  <c r="K492" i="3" s="1"/>
  <c r="AI490" i="3"/>
  <c r="K490" i="3" s="1"/>
  <c r="AI486" i="3"/>
  <c r="K486" i="3" s="1"/>
  <c r="AI484" i="3"/>
  <c r="K484" i="3" s="1"/>
  <c r="AI521" i="3"/>
  <c r="K521" i="3" s="1"/>
  <c r="AI538" i="3"/>
  <c r="K538" i="3" s="1"/>
  <c r="AI537" i="3"/>
  <c r="K537" i="3" s="1"/>
  <c r="AI610" i="3"/>
  <c r="K610" i="3" s="1"/>
  <c r="AI571" i="3"/>
  <c r="K571" i="3" s="1"/>
  <c r="AI560" i="3"/>
  <c r="K560" i="3" s="1"/>
  <c r="AI566" i="3"/>
  <c r="K566" i="3" s="1"/>
  <c r="AI570" i="3"/>
  <c r="K570" i="3" s="1"/>
  <c r="AI598" i="3"/>
  <c r="K598" i="3" s="1"/>
  <c r="J406" i="3"/>
  <c r="M408" i="3"/>
  <c r="A426" i="7" s="1"/>
  <c r="J410" i="3"/>
  <c r="AI483" i="3"/>
  <c r="K483" i="3" s="1"/>
  <c r="AI453" i="3"/>
  <c r="AI412" i="3"/>
  <c r="K412" i="3" s="1"/>
  <c r="K411" i="3" s="1"/>
  <c r="AI454" i="3"/>
  <c r="K454" i="3" s="1"/>
  <c r="K453" i="3" s="1"/>
  <c r="AI562" i="3"/>
  <c r="K562" i="3" s="1"/>
  <c r="AI564" i="3"/>
  <c r="K564" i="3" s="1"/>
  <c r="AI588" i="3"/>
  <c r="K588" i="3" s="1"/>
  <c r="AI544" i="3"/>
  <c r="K544" i="3" s="1"/>
  <c r="AI531" i="3"/>
  <c r="K531" i="3" s="1"/>
  <c r="AI499" i="3"/>
  <c r="K499" i="3" s="1"/>
  <c r="AI497" i="3"/>
  <c r="K497" i="3" s="1"/>
  <c r="AI495" i="3"/>
  <c r="K495" i="3" s="1"/>
  <c r="AI493" i="3"/>
  <c r="K493" i="3" s="1"/>
  <c r="AI487" i="3"/>
  <c r="K487" i="3" s="1"/>
  <c r="X405" i="3"/>
  <c r="Y405" i="3"/>
  <c r="AI582" i="3"/>
  <c r="K582" i="3" s="1"/>
  <c r="AI491" i="3"/>
  <c r="K491" i="3" s="1"/>
  <c r="AI441" i="3"/>
  <c r="J408" i="3"/>
  <c r="AI618" i="3"/>
  <c r="K618" i="3" s="1"/>
  <c r="AI603" i="3"/>
  <c r="K603" i="3" s="1"/>
  <c r="AI607" i="3"/>
  <c r="K607" i="3" s="1"/>
  <c r="AI609" i="3"/>
  <c r="K609" i="3" s="1"/>
  <c r="AI602" i="3"/>
  <c r="K602" i="3" s="1"/>
  <c r="AI595" i="3"/>
  <c r="K595" i="3" s="1"/>
  <c r="AI597" i="3"/>
  <c r="K597" i="3" s="1"/>
  <c r="AI599" i="3"/>
  <c r="K599" i="3" s="1"/>
  <c r="AI586" i="3"/>
  <c r="K586" i="3" s="1"/>
  <c r="AI581" i="3"/>
  <c r="K581" i="3" s="1"/>
  <c r="AI575" i="3"/>
  <c r="K575" i="3" s="1"/>
  <c r="AI574" i="3"/>
  <c r="K574" i="3" s="1"/>
  <c r="AI553" i="3"/>
  <c r="K553" i="3" s="1"/>
  <c r="AI555" i="3"/>
  <c r="K555" i="3" s="1"/>
  <c r="AI557" i="3"/>
  <c r="K557" i="3" s="1"/>
  <c r="AI559" i="3"/>
  <c r="K559" i="3" s="1"/>
  <c r="AI543" i="3"/>
  <c r="K543" i="3" s="1"/>
  <c r="AI542" i="3"/>
  <c r="K542" i="3" s="1"/>
  <c r="AI536" i="3"/>
  <c r="K536" i="3" s="1"/>
  <c r="AI528" i="3"/>
  <c r="K528" i="3" s="1"/>
  <c r="AI530" i="3"/>
  <c r="K530" i="3" s="1"/>
  <c r="AI526" i="3"/>
  <c r="K526" i="3" s="1"/>
  <c r="AI516" i="3"/>
  <c r="K516" i="3" s="1"/>
  <c r="AI518" i="3"/>
  <c r="K518" i="3" s="1"/>
  <c r="AI520" i="3"/>
  <c r="K520" i="3" s="1"/>
  <c r="AI514" i="3"/>
  <c r="K514" i="3" s="1"/>
  <c r="AI504" i="3"/>
  <c r="K504" i="3" s="1"/>
  <c r="AI482" i="3"/>
  <c r="K482" i="3" s="1"/>
  <c r="AI480" i="3"/>
  <c r="K480" i="3" s="1"/>
  <c r="AI478" i="3"/>
  <c r="K478" i="3" s="1"/>
  <c r="AI476" i="3"/>
  <c r="K476" i="3" s="1"/>
  <c r="AI474" i="3"/>
  <c r="K474" i="3" s="1"/>
  <c r="AI472" i="3"/>
  <c r="K472" i="3" s="1"/>
  <c r="AI470" i="3"/>
  <c r="K470" i="3" s="1"/>
  <c r="AI468" i="3"/>
  <c r="K468" i="3" s="1"/>
  <c r="AI466" i="3"/>
  <c r="K466" i="3" s="1"/>
  <c r="AI464" i="3"/>
  <c r="K464" i="3" s="1"/>
  <c r="AI462" i="3"/>
  <c r="K462" i="3" s="1"/>
  <c r="AI460" i="3"/>
  <c r="K460" i="3" s="1"/>
  <c r="AI458" i="3"/>
  <c r="K458" i="3" s="1"/>
  <c r="M406" i="3"/>
  <c r="A424" i="7" s="1"/>
  <c r="M410" i="3"/>
  <c r="A428" i="7" s="1"/>
  <c r="AI535" i="3"/>
  <c r="K535" i="3" s="1"/>
  <c r="K534" i="3" s="1"/>
  <c r="AI578" i="3"/>
  <c r="K578" i="3" s="1"/>
  <c r="K577" i="3" s="1"/>
  <c r="B424" i="7"/>
  <c r="B426" i="7"/>
  <c r="B428" i="7"/>
  <c r="AX406" i="3"/>
  <c r="AV410" i="3"/>
  <c r="AW410" i="3" s="1"/>
  <c r="W410" i="3" s="1"/>
  <c r="AI505" i="3"/>
  <c r="AI546" i="3"/>
  <c r="K546" i="3" s="1"/>
  <c r="AI485" i="3"/>
  <c r="K485" i="3" s="1"/>
  <c r="AI411" i="3"/>
  <c r="AI451" i="3"/>
  <c r="AI442" i="3"/>
  <c r="J442" i="3" s="1"/>
  <c r="I446" i="3" s="1"/>
  <c r="BF380" i="7"/>
  <c r="BH380" i="7"/>
  <c r="BI380" i="7"/>
  <c r="BG380" i="7"/>
  <c r="BH274" i="7"/>
  <c r="BI274" i="7"/>
  <c r="BI366" i="7"/>
  <c r="BH366" i="7"/>
  <c r="BI375" i="7"/>
  <c r="BH375" i="7"/>
  <c r="BH133" i="7"/>
  <c r="BI133" i="7"/>
  <c r="BI277" i="7"/>
  <c r="BH277" i="7"/>
  <c r="BI131" i="7"/>
  <c r="BH131" i="7"/>
  <c r="BF360" i="7"/>
  <c r="BH360" i="7"/>
  <c r="BH411" i="7"/>
  <c r="BI411" i="7"/>
  <c r="AI613" i="3"/>
  <c r="AI433" i="3"/>
  <c r="AI434" i="3"/>
  <c r="J434" i="3" s="1"/>
  <c r="AI452" i="3"/>
  <c r="K452" i="3" s="1"/>
  <c r="K451" i="3" s="1"/>
  <c r="AI501" i="3"/>
  <c r="AI511" i="3"/>
  <c r="K511" i="3" s="1"/>
  <c r="K510" i="3" s="1"/>
  <c r="AI569" i="3"/>
  <c r="J569" i="3" s="1"/>
  <c r="R405" i="3"/>
  <c r="AI548" i="3"/>
  <c r="K548" i="3" s="1"/>
  <c r="K547" i="3" s="1"/>
  <c r="AI506" i="3"/>
  <c r="K506" i="3" s="1"/>
  <c r="K505" i="3" s="1"/>
  <c r="AI591" i="3"/>
  <c r="AI573" i="3"/>
  <c r="K573" i="3" s="1"/>
  <c r="K572" i="3" s="1"/>
  <c r="AI549" i="3"/>
  <c r="AI541" i="3"/>
  <c r="K541" i="3" s="1"/>
  <c r="K540" i="3" s="1"/>
  <c r="AI533" i="3"/>
  <c r="K533" i="3" s="1"/>
  <c r="K532" i="3" s="1"/>
  <c r="AI513" i="3"/>
  <c r="K513" i="3" s="1"/>
  <c r="K512" i="3" s="1"/>
  <c r="AI424" i="3"/>
  <c r="J424" i="3" s="1"/>
  <c r="AI405" i="3"/>
  <c r="K405" i="3" s="1"/>
  <c r="AI413" i="3"/>
  <c r="K413" i="3" s="1"/>
  <c r="AI415" i="3"/>
  <c r="K415" i="3" s="1"/>
  <c r="AI417" i="3"/>
  <c r="K417" i="3" s="1"/>
  <c r="AI419" i="3"/>
  <c r="K419" i="3" s="1"/>
  <c r="AI421" i="3"/>
  <c r="K421" i="3" s="1"/>
  <c r="AI425" i="3"/>
  <c r="K425" i="3" s="1"/>
  <c r="AI427" i="3"/>
  <c r="K427" i="3" s="1"/>
  <c r="AI429" i="3"/>
  <c r="K429" i="3" s="1"/>
  <c r="AI431" i="3"/>
  <c r="K431" i="3" s="1"/>
  <c r="AI435" i="3"/>
  <c r="K435" i="3" s="1"/>
  <c r="AI437" i="3"/>
  <c r="K437" i="3" s="1"/>
  <c r="AI439" i="3"/>
  <c r="K439" i="3" s="1"/>
  <c r="AI443" i="3"/>
  <c r="K443" i="3" s="1"/>
  <c r="AI445" i="3"/>
  <c r="K445" i="3" s="1"/>
  <c r="AI447" i="3"/>
  <c r="K447" i="3" s="1"/>
  <c r="AI449" i="3"/>
  <c r="K449" i="3" s="1"/>
  <c r="AI455" i="3"/>
  <c r="K455" i="3" s="1"/>
  <c r="AI457" i="3"/>
  <c r="K457" i="3" s="1"/>
  <c r="AI459" i="3"/>
  <c r="K459" i="3" s="1"/>
  <c r="AI461" i="3"/>
  <c r="K461" i="3" s="1"/>
  <c r="AI463" i="3"/>
  <c r="K463" i="3" s="1"/>
  <c r="AI465" i="3"/>
  <c r="K465" i="3" s="1"/>
  <c r="AI467" i="3"/>
  <c r="K467" i="3" s="1"/>
  <c r="AI469" i="3"/>
  <c r="K469" i="3" s="1"/>
  <c r="AI471" i="3"/>
  <c r="K471" i="3" s="1"/>
  <c r="AI473" i="3"/>
  <c r="K473" i="3" s="1"/>
  <c r="AI475" i="3"/>
  <c r="K475" i="3" s="1"/>
  <c r="AI477" i="3"/>
  <c r="K477" i="3" s="1"/>
  <c r="AI479" i="3"/>
  <c r="K479" i="3" s="1"/>
  <c r="AI481" i="3"/>
  <c r="K481" i="3" s="1"/>
  <c r="AI489" i="3"/>
  <c r="K489" i="3" s="1"/>
  <c r="AI503" i="3"/>
  <c r="K503" i="3" s="1"/>
  <c r="AI507" i="3"/>
  <c r="K507" i="3" s="1"/>
  <c r="AI508" i="3"/>
  <c r="K508" i="3" s="1"/>
  <c r="AI519" i="3"/>
  <c r="K519" i="3" s="1"/>
  <c r="AI517" i="3"/>
  <c r="K517" i="3" s="1"/>
  <c r="AI515" i="3"/>
  <c r="K515" i="3" s="1"/>
  <c r="AI529" i="3"/>
  <c r="K529" i="3" s="1"/>
  <c r="AI527" i="3"/>
  <c r="K527" i="3" s="1"/>
  <c r="AI539" i="3"/>
  <c r="K539" i="3" s="1"/>
  <c r="AI551" i="3"/>
  <c r="K551" i="3" s="1"/>
  <c r="AI558" i="3"/>
  <c r="K558" i="3" s="1"/>
  <c r="AI556" i="3"/>
  <c r="K556" i="3" s="1"/>
  <c r="AI554" i="3"/>
  <c r="K554" i="3" s="1"/>
  <c r="AI552" i="3"/>
  <c r="K552" i="3" s="1"/>
  <c r="AI579" i="3"/>
  <c r="K579" i="3" s="1"/>
  <c r="AI580" i="3"/>
  <c r="K580" i="3" s="1"/>
  <c r="AI593" i="3"/>
  <c r="K593" i="3" s="1"/>
  <c r="AI596" i="3"/>
  <c r="K596" i="3" s="1"/>
  <c r="AI594" i="3"/>
  <c r="K594" i="3" s="1"/>
  <c r="AI608" i="3"/>
  <c r="K608" i="3" s="1"/>
  <c r="AI606" i="3"/>
  <c r="K606" i="3" s="1"/>
  <c r="AI604" i="3"/>
  <c r="K604" i="3" s="1"/>
  <c r="AI619" i="3"/>
  <c r="K619" i="3" s="1"/>
  <c r="AI410" i="3"/>
  <c r="K410" i="3" s="1"/>
  <c r="AI408" i="3"/>
  <c r="K408" i="3" s="1"/>
  <c r="AI414" i="3"/>
  <c r="K414" i="3" s="1"/>
  <c r="AI416" i="3"/>
  <c r="K416" i="3" s="1"/>
  <c r="AI418" i="3"/>
  <c r="K418" i="3" s="1"/>
  <c r="AI420" i="3"/>
  <c r="K420" i="3" s="1"/>
  <c r="AI422" i="3"/>
  <c r="K422" i="3" s="1"/>
  <c r="AI426" i="3"/>
  <c r="K426" i="3" s="1"/>
  <c r="AI428" i="3"/>
  <c r="K428" i="3" s="1"/>
  <c r="AI430" i="3"/>
  <c r="K430" i="3" s="1"/>
  <c r="AI432" i="3"/>
  <c r="K432" i="3" s="1"/>
  <c r="AI436" i="3"/>
  <c r="K436" i="3" s="1"/>
  <c r="AI438" i="3"/>
  <c r="AI440" i="3"/>
  <c r="AI444" i="3"/>
  <c r="K444" i="3" s="1"/>
  <c r="AI446" i="3"/>
  <c r="K446" i="3" s="1"/>
  <c r="AI448" i="3"/>
  <c r="K448" i="3" s="1"/>
  <c r="AI456" i="3"/>
  <c r="K456" i="3" s="1"/>
  <c r="R407" i="3"/>
  <c r="R409" i="3"/>
  <c r="M407" i="3"/>
  <c r="A425" i="7" s="1"/>
  <c r="M405" i="3"/>
  <c r="A423" i="7" s="1"/>
  <c r="AI423" i="3"/>
  <c r="AI525" i="3"/>
  <c r="K525" i="3" s="1"/>
  <c r="K524" i="3" s="1"/>
  <c r="AI547" i="3"/>
  <c r="AI577" i="3"/>
  <c r="AI589" i="3"/>
  <c r="AI524" i="3"/>
  <c r="Z406" i="3"/>
  <c r="AX410" i="3"/>
  <c r="AV406" i="3"/>
  <c r="AW406" i="3" s="1"/>
  <c r="W406" i="3" s="1"/>
  <c r="AU408" i="3"/>
  <c r="V408" i="3" s="1"/>
  <c r="Z410" i="3"/>
  <c r="AI590" i="3"/>
  <c r="J590" i="3" s="1"/>
  <c r="J409" i="3"/>
  <c r="AI601" i="3"/>
  <c r="K601" i="3" s="1"/>
  <c r="K600" i="3" s="1"/>
  <c r="AI502" i="3"/>
  <c r="K502" i="3" s="1"/>
  <c r="K501" i="3" s="1"/>
  <c r="AI510" i="3"/>
  <c r="AI534" i="3"/>
  <c r="AI568" i="3"/>
  <c r="AI600" i="3"/>
  <c r="J407" i="3"/>
  <c r="J405" i="3"/>
  <c r="AX408" i="3"/>
  <c r="AV408" i="3"/>
  <c r="AW408" i="3" s="1"/>
  <c r="W408" i="3" s="1"/>
  <c r="AU406" i="3"/>
  <c r="V406" i="3" s="1"/>
  <c r="AU410" i="3"/>
  <c r="V410" i="3" s="1"/>
  <c r="AA410" i="3"/>
  <c r="Y408" i="3"/>
  <c r="AV407" i="3"/>
  <c r="AW407" i="3" s="1"/>
  <c r="W407" i="3" s="1"/>
  <c r="AU409" i="3"/>
  <c r="V409" i="3" s="1"/>
  <c r="Z407" i="3"/>
  <c r="Y410" i="3"/>
  <c r="AX409" i="3"/>
  <c r="AV405" i="3"/>
  <c r="AW405" i="3" s="1"/>
  <c r="W405" i="3" s="1"/>
  <c r="X407" i="3"/>
  <c r="AA409" i="3"/>
  <c r="Z405" i="3"/>
  <c r="Y407" i="3"/>
  <c r="AA406" i="3"/>
  <c r="X408" i="3"/>
  <c r="X410" i="3"/>
  <c r="Y406" i="3"/>
  <c r="AB410" i="3"/>
  <c r="X406" i="3"/>
  <c r="AA408" i="3"/>
  <c r="Z408" i="3"/>
  <c r="AB406" i="3"/>
  <c r="AB408" i="3"/>
  <c r="Y409" i="3"/>
  <c r="AI512" i="3"/>
  <c r="AI532" i="3"/>
  <c r="AI540" i="3"/>
  <c r="AI550" i="3"/>
  <c r="J550" i="3" s="1"/>
  <c r="AI572" i="3"/>
  <c r="AI592" i="3"/>
  <c r="J592" i="3" s="1"/>
  <c r="AI614" i="3"/>
  <c r="K614" i="3" s="1"/>
  <c r="K613" i="3" s="1"/>
  <c r="B425" i="7"/>
  <c r="B427" i="7"/>
  <c r="B423" i="7"/>
  <c r="AX407" i="3"/>
  <c r="AX405" i="3"/>
  <c r="AV409" i="3"/>
  <c r="AW409" i="3" s="1"/>
  <c r="W409" i="3" s="1"/>
  <c r="AU407" i="3"/>
  <c r="V407" i="3" s="1"/>
  <c r="AU405" i="3"/>
  <c r="V405" i="3" s="1"/>
  <c r="AA407" i="3"/>
  <c r="X409" i="3"/>
  <c r="Z409" i="3"/>
  <c r="AA405" i="3"/>
  <c r="AB407" i="3"/>
  <c r="AB409" i="3"/>
  <c r="AB405" i="3"/>
  <c r="DP82" i="2"/>
  <c r="DH82" i="2" s="1"/>
  <c r="DP49" i="2"/>
  <c r="DH49" i="2" s="1"/>
  <c r="DP76" i="2"/>
  <c r="DH76" i="2" s="1"/>
  <c r="DP72" i="2"/>
  <c r="DH72" i="2" s="1"/>
  <c r="DP55" i="2"/>
  <c r="DH55" i="2" s="1"/>
  <c r="DP53" i="2"/>
  <c r="DH53" i="2" s="1"/>
  <c r="DP50" i="2"/>
  <c r="DH50" i="2" s="1"/>
  <c r="DP54" i="2"/>
  <c r="DH54" i="2" s="1"/>
  <c r="DP77" i="2"/>
  <c r="DH77" i="2" s="1"/>
  <c r="DP73" i="2"/>
  <c r="DH73" i="2" s="1"/>
  <c r="DP52" i="2"/>
  <c r="DH52" i="2" s="1"/>
  <c r="DP47" i="2"/>
  <c r="DH47" i="2" s="1"/>
  <c r="DP80" i="2"/>
  <c r="DH80" i="2" s="1"/>
  <c r="DP78" i="2"/>
  <c r="DH78" i="2" s="1"/>
  <c r="DP74" i="2"/>
  <c r="DH74" i="2" s="1"/>
  <c r="DP70" i="2"/>
  <c r="DH70" i="2" s="1"/>
  <c r="DP51" i="2"/>
  <c r="DH51" i="2" s="1"/>
  <c r="DP56" i="2"/>
  <c r="DH56" i="2" s="1"/>
  <c r="DP81" i="2"/>
  <c r="DH81" i="2" s="1"/>
  <c r="DP48" i="2"/>
  <c r="DH48" i="2" s="1"/>
  <c r="DP79" i="2"/>
  <c r="DH79" i="2" s="1"/>
  <c r="DP75" i="2"/>
  <c r="DH75" i="2" s="1"/>
  <c r="DP71" i="2"/>
  <c r="DH71" i="2" s="1"/>
  <c r="O422" i="3"/>
  <c r="BG133" i="7"/>
  <c r="BF133" i="7"/>
  <c r="O437" i="3"/>
  <c r="O444" i="3"/>
  <c r="O399" i="3"/>
  <c r="O417" i="3"/>
  <c r="O432" i="3"/>
  <c r="O414" i="3"/>
  <c r="O447" i="3"/>
  <c r="O427" i="3"/>
  <c r="O407" i="3"/>
  <c r="O448" i="3"/>
  <c r="O438" i="3"/>
  <c r="O428" i="3"/>
  <c r="O418" i="3"/>
  <c r="O408" i="3"/>
  <c r="O393" i="3"/>
  <c r="O443" i="3"/>
  <c r="O431" i="3"/>
  <c r="O421" i="3"/>
  <c r="O413" i="3"/>
  <c r="O398" i="3"/>
  <c r="O446" i="3"/>
  <c r="O440" i="3"/>
  <c r="O436" i="3"/>
  <c r="O430" i="3"/>
  <c r="O426" i="3"/>
  <c r="O420" i="3"/>
  <c r="O416" i="3"/>
  <c r="O410" i="3"/>
  <c r="O406" i="3"/>
  <c r="O397" i="3"/>
  <c r="O449" i="3"/>
  <c r="O445" i="3"/>
  <c r="O439" i="3"/>
  <c r="O435" i="3"/>
  <c r="O429" i="3"/>
  <c r="O425" i="3"/>
  <c r="O419" i="3"/>
  <c r="O415" i="3"/>
  <c r="O409" i="3"/>
  <c r="O405" i="3"/>
  <c r="O394" i="3"/>
  <c r="BG274" i="7"/>
  <c r="BF274" i="7"/>
  <c r="BF366" i="7"/>
  <c r="BG366" i="7"/>
  <c r="BF560" i="7"/>
  <c r="BG560" i="7"/>
  <c r="BF375" i="7"/>
  <c r="BG375" i="7"/>
  <c r="BF131" i="7"/>
  <c r="BG131" i="7"/>
  <c r="BF411" i="7"/>
  <c r="BG411" i="7"/>
  <c r="BF129" i="7"/>
  <c r="BG129" i="7"/>
  <c r="BG540" i="7"/>
  <c r="BF540" i="7"/>
  <c r="H10" i="2"/>
  <c r="ES14" i="1"/>
  <c r="ES15" i="1" s="1"/>
  <c r="EG14" i="1"/>
  <c r="EG15" i="1" s="1"/>
  <c r="Z349" i="3" s="1"/>
  <c r="DW12" i="2"/>
  <c r="DX12" i="2" s="1"/>
  <c r="DW10" i="2"/>
  <c r="DX10" i="2" s="1"/>
  <c r="DW7" i="2"/>
  <c r="DX7" i="2" s="1"/>
  <c r="DW16" i="2"/>
  <c r="DX16" i="2" s="1"/>
  <c r="DW11" i="2"/>
  <c r="DX11" i="2" s="1"/>
  <c r="DW14" i="2"/>
  <c r="DX14" i="2" s="1"/>
  <c r="DW9" i="2"/>
  <c r="DX9" i="2" s="1"/>
  <c r="DW19" i="2"/>
  <c r="DX19" i="2" s="1"/>
  <c r="DW13" i="2"/>
  <c r="DX13" i="2" s="1"/>
  <c r="DW6" i="2"/>
  <c r="DX6" i="2" s="1"/>
  <c r="DW15" i="2"/>
  <c r="DX15" i="2" s="1"/>
  <c r="DW17" i="2"/>
  <c r="DX17" i="2" s="1"/>
  <c r="DW8" i="2"/>
  <c r="DX8" i="2" s="1"/>
  <c r="DW5" i="2"/>
  <c r="DX5" i="2" s="1"/>
  <c r="DW20" i="2"/>
  <c r="DX20" i="2" s="1"/>
  <c r="DW21" i="2"/>
  <c r="DX21" i="2" s="1"/>
  <c r="BF541" i="7"/>
  <c r="BG541" i="7"/>
  <c r="BF277" i="7"/>
  <c r="BG277" i="7"/>
  <c r="BF67" i="7"/>
  <c r="BG67" i="7"/>
  <c r="BF224" i="7"/>
  <c r="BG224" i="7"/>
  <c r="BF58" i="7"/>
  <c r="BG58" i="7"/>
  <c r="BF261" i="7"/>
  <c r="BG261" i="7"/>
  <c r="BF267" i="7"/>
  <c r="BG267" i="7"/>
  <c r="BF178" i="7"/>
  <c r="BG178" i="7"/>
  <c r="BF154" i="7"/>
  <c r="BG154" i="7"/>
  <c r="BF184" i="7"/>
  <c r="BG184" i="7"/>
  <c r="BF71" i="7"/>
  <c r="BG71" i="7"/>
  <c r="BF24" i="7"/>
  <c r="BG24" i="7"/>
  <c r="BF169" i="7"/>
  <c r="BG169" i="7"/>
  <c r="E457" i="7"/>
  <c r="BI457" i="7" s="1"/>
  <c r="E453" i="7"/>
  <c r="E456" i="7"/>
  <c r="E455" i="7"/>
  <c r="E458" i="7"/>
  <c r="E454" i="7"/>
  <c r="E449" i="7"/>
  <c r="E445" i="7"/>
  <c r="E450" i="7"/>
  <c r="E446" i="7"/>
  <c r="E447" i="7"/>
  <c r="E443" i="7"/>
  <c r="E448" i="7"/>
  <c r="E444" i="7"/>
  <c r="E549" i="7"/>
  <c r="BH549" i="7" s="1"/>
  <c r="E546" i="7"/>
  <c r="E545" i="7"/>
  <c r="BG545" i="7" s="1"/>
  <c r="E548" i="7"/>
  <c r="E547" i="7"/>
  <c r="E544" i="7"/>
  <c r="E333" i="7"/>
  <c r="E330" i="7"/>
  <c r="E334" i="7"/>
  <c r="E332" i="7"/>
  <c r="E329" i="7"/>
  <c r="E331" i="7"/>
  <c r="E629" i="7"/>
  <c r="E620" i="7"/>
  <c r="E624" i="7"/>
  <c r="E628" i="7"/>
  <c r="E623" i="7"/>
  <c r="E627" i="7"/>
  <c r="E626" i="7"/>
  <c r="E625" i="7"/>
  <c r="E622" i="7"/>
  <c r="E630" i="7"/>
  <c r="E621" i="7"/>
  <c r="E617" i="7"/>
  <c r="E614" i="7"/>
  <c r="E611" i="7"/>
  <c r="E615" i="7"/>
  <c r="E616" i="7"/>
  <c r="E613" i="7"/>
  <c r="E612" i="7"/>
  <c r="E398" i="7"/>
  <c r="E397" i="7"/>
  <c r="E394" i="7"/>
  <c r="E395" i="7"/>
  <c r="E396" i="7"/>
  <c r="E305" i="7"/>
  <c r="E294" i="7"/>
  <c r="BF294" i="7" s="1"/>
  <c r="E300" i="7"/>
  <c r="BG300" i="7" s="1"/>
  <c r="E296" i="7"/>
  <c r="E299" i="7"/>
  <c r="BF299" i="7" s="1"/>
  <c r="E304" i="7"/>
  <c r="E295" i="7"/>
  <c r="E301" i="7"/>
  <c r="E593" i="7"/>
  <c r="E594" i="7"/>
  <c r="E592" i="7"/>
  <c r="E416" i="7"/>
  <c r="E415" i="7"/>
  <c r="E417" i="7"/>
  <c r="E325" i="7"/>
  <c r="E324" i="7"/>
  <c r="E322" i="7"/>
  <c r="BF322" i="7" s="1"/>
  <c r="E321" i="7"/>
  <c r="E326" i="7"/>
  <c r="E323" i="7"/>
  <c r="E219" i="7"/>
  <c r="E217" i="7"/>
  <c r="E218" i="7"/>
  <c r="E597" i="7"/>
  <c r="E601" i="7"/>
  <c r="E600" i="7"/>
  <c r="E599" i="7"/>
  <c r="BG599" i="7" s="1"/>
  <c r="E598" i="7"/>
  <c r="E427" i="7"/>
  <c r="BI427" i="7" s="1"/>
  <c r="E424" i="7"/>
  <c r="E428" i="7"/>
  <c r="BI428" i="7" s="1"/>
  <c r="E425" i="7"/>
  <c r="E426" i="7"/>
  <c r="E423" i="7"/>
  <c r="E386" i="7"/>
  <c r="E385" i="7"/>
  <c r="E384" i="7"/>
  <c r="E283" i="7"/>
  <c r="E284" i="7"/>
  <c r="E282" i="7"/>
  <c r="E235" i="7"/>
  <c r="E234" i="7"/>
  <c r="E233" i="7"/>
  <c r="E527" i="7"/>
  <c r="E526" i="7"/>
  <c r="E525" i="7"/>
  <c r="E309" i="7"/>
  <c r="E308" i="7"/>
  <c r="E310" i="7"/>
  <c r="E210" i="7"/>
  <c r="E211" i="7"/>
  <c r="E48" i="7"/>
  <c r="E99" i="7"/>
  <c r="E95" i="7"/>
  <c r="E91" i="7"/>
  <c r="E96" i="7"/>
  <c r="E98" i="7"/>
  <c r="E90" i="7"/>
  <c r="BH90" i="7" s="1"/>
  <c r="E97" i="7"/>
  <c r="E93" i="7"/>
  <c r="E100" i="7"/>
  <c r="E92" i="7"/>
  <c r="E94" i="7"/>
  <c r="BG94" i="7" s="1"/>
  <c r="E589" i="7"/>
  <c r="E588" i="7"/>
  <c r="E521" i="7"/>
  <c r="E522" i="7"/>
  <c r="E467" i="7"/>
  <c r="E462" i="7"/>
  <c r="E466" i="7"/>
  <c r="E463" i="7"/>
  <c r="E464" i="7"/>
  <c r="E468" i="7"/>
  <c r="E461" i="7"/>
  <c r="E465" i="7"/>
  <c r="E404" i="7"/>
  <c r="E403" i="7"/>
  <c r="E402" i="7"/>
  <c r="E401" i="7"/>
  <c r="E405" i="7"/>
  <c r="E289" i="7"/>
  <c r="E287" i="7"/>
  <c r="BH287" i="7" s="1"/>
  <c r="E288" i="7"/>
  <c r="E249" i="7"/>
  <c r="E240" i="7"/>
  <c r="E244" i="7"/>
  <c r="E248" i="7"/>
  <c r="BG248" i="7" s="1"/>
  <c r="E242" i="7"/>
  <c r="E241" i="7"/>
  <c r="E245" i="7"/>
  <c r="E238" i="7"/>
  <c r="E246" i="7"/>
  <c r="E239" i="7"/>
  <c r="E243" i="7"/>
  <c r="E247" i="7"/>
  <c r="E119" i="7"/>
  <c r="E117" i="7"/>
  <c r="E118" i="7"/>
  <c r="BG118" i="7" s="1"/>
  <c r="E39" i="7"/>
  <c r="E36" i="7"/>
  <c r="BF36" i="7" s="1"/>
  <c r="E37" i="7"/>
  <c r="E38" i="7"/>
  <c r="E204" i="7"/>
  <c r="E207" i="7"/>
  <c r="E206" i="7"/>
  <c r="E205" i="7"/>
  <c r="X5" i="2"/>
  <c r="E103" i="7" s="1"/>
  <c r="BG103" i="7" s="1"/>
  <c r="X6" i="2"/>
  <c r="E76" i="7"/>
  <c r="E77" i="7"/>
  <c r="E78" i="7"/>
  <c r="E43" i="7"/>
  <c r="E44" i="7"/>
  <c r="E45" i="7"/>
  <c r="E42" i="7"/>
  <c r="E637" i="7"/>
  <c r="E634" i="7"/>
  <c r="E638" i="7"/>
  <c r="E635" i="7"/>
  <c r="E636" i="7"/>
  <c r="E633" i="7"/>
  <c r="E557" i="7"/>
  <c r="E554" i="7"/>
  <c r="E555" i="7"/>
  <c r="E556" i="7"/>
  <c r="E317" i="7"/>
  <c r="E314" i="7"/>
  <c r="E318" i="7"/>
  <c r="BF318" i="7" s="1"/>
  <c r="E313" i="7"/>
  <c r="E316" i="7"/>
  <c r="E315" i="7"/>
  <c r="E604" i="7"/>
  <c r="E606" i="7"/>
  <c r="E605" i="7"/>
  <c r="E439" i="7"/>
  <c r="E434" i="7"/>
  <c r="E438" i="7"/>
  <c r="E433" i="7"/>
  <c r="E437" i="7"/>
  <c r="E432" i="7"/>
  <c r="BF432" i="7" s="1"/>
  <c r="E436" i="7"/>
  <c r="E440" i="7"/>
  <c r="E431" i="7"/>
  <c r="E435" i="7"/>
  <c r="E341" i="7"/>
  <c r="E340" i="7"/>
  <c r="E342" i="7"/>
  <c r="E337" i="7"/>
  <c r="E338" i="7"/>
  <c r="E339" i="7"/>
  <c r="E229" i="7"/>
  <c r="E228" i="7"/>
  <c r="E230" i="7"/>
  <c r="E227" i="7"/>
  <c r="E27" i="7"/>
  <c r="E25" i="7"/>
  <c r="E26" i="7"/>
  <c r="E113" i="7"/>
  <c r="E109" i="7"/>
  <c r="E112" i="7"/>
  <c r="E114" i="7"/>
  <c r="E106" i="7"/>
  <c r="BG106" i="7" s="1"/>
  <c r="E111" i="7"/>
  <c r="E107" i="7"/>
  <c r="E108" i="7"/>
  <c r="E110" i="7"/>
  <c r="E31" i="7"/>
  <c r="BH31" i="7" s="1"/>
  <c r="E32" i="7"/>
  <c r="E33" i="7"/>
  <c r="E30" i="7"/>
  <c r="E355" i="7"/>
  <c r="E352" i="7"/>
  <c r="E353" i="7"/>
  <c r="E354" i="7"/>
  <c r="F3" i="3"/>
  <c r="F4" i="3" s="1"/>
  <c r="F5" i="3" s="1"/>
  <c r="F6" i="3" s="1"/>
  <c r="F15" i="7"/>
  <c r="K12" i="3"/>
  <c r="K6" i="3"/>
  <c r="K15" i="3"/>
  <c r="K9" i="3"/>
  <c r="K27" i="3"/>
  <c r="K25" i="3"/>
  <c r="K21" i="3"/>
  <c r="K19" i="3"/>
  <c r="K26" i="3"/>
  <c r="K24" i="3"/>
  <c r="K20" i="3"/>
  <c r="K18" i="3"/>
  <c r="K14" i="3"/>
  <c r="K8" i="3"/>
  <c r="K13" i="3"/>
  <c r="K7" i="3"/>
  <c r="K440" i="3"/>
  <c r="K438" i="3"/>
  <c r="K384" i="3"/>
  <c r="K386" i="3"/>
  <c r="K383" i="3"/>
  <c r="K378" i="3"/>
  <c r="K374" i="3" s="1"/>
  <c r="K380" i="3"/>
  <c r="K315" i="3"/>
  <c r="K313" i="3"/>
  <c r="K311" i="3"/>
  <c r="K283" i="3"/>
  <c r="K277" i="3"/>
  <c r="K276" i="3"/>
  <c r="K265" i="3"/>
  <c r="K264" i="3"/>
  <c r="K106" i="3"/>
  <c r="K104" i="3"/>
  <c r="K385" i="3"/>
  <c r="K387" i="3"/>
  <c r="K377" i="3"/>
  <c r="K379" i="3"/>
  <c r="K376" i="3"/>
  <c r="K372" i="3" s="1"/>
  <c r="K316" i="3"/>
  <c r="K314" i="3"/>
  <c r="K312" i="3"/>
  <c r="K282" i="3"/>
  <c r="K281" i="3"/>
  <c r="K278" i="3"/>
  <c r="K266" i="3"/>
  <c r="K105" i="3"/>
  <c r="K107" i="3"/>
  <c r="J84" i="3"/>
  <c r="I85" i="3" s="1"/>
  <c r="K84" i="3"/>
  <c r="K83" i="3" s="1"/>
  <c r="J98" i="3"/>
  <c r="I101" i="3" s="1"/>
  <c r="K98" i="3"/>
  <c r="K97" i="3" s="1"/>
  <c r="J108" i="3"/>
  <c r="K108" i="3"/>
  <c r="J118" i="3"/>
  <c r="K118" i="3"/>
  <c r="J168" i="3"/>
  <c r="K168" i="3"/>
  <c r="K167" i="3" s="1"/>
  <c r="J173" i="3"/>
  <c r="K173" i="3"/>
  <c r="K172" i="3" s="1"/>
  <c r="J185" i="3"/>
  <c r="K185" i="3"/>
  <c r="K184" i="3" s="1"/>
  <c r="J195" i="3"/>
  <c r="K195" i="3"/>
  <c r="K194" i="3" s="1"/>
  <c r="J203" i="3"/>
  <c r="K203" i="3"/>
  <c r="K202" i="3" s="1"/>
  <c r="J219" i="3"/>
  <c r="K219" i="3"/>
  <c r="K218" i="3" s="1"/>
  <c r="J240" i="3"/>
  <c r="I241" i="3" s="1"/>
  <c r="K240" i="3"/>
  <c r="K239" i="3" s="1"/>
  <c r="J275" i="3"/>
  <c r="K275" i="3"/>
  <c r="K274" i="3" s="1"/>
  <c r="J285" i="3"/>
  <c r="K285" i="3"/>
  <c r="K284" i="3" s="1"/>
  <c r="J11" i="3"/>
  <c r="K11" i="3"/>
  <c r="K10" i="3" s="1"/>
  <c r="J23" i="3"/>
  <c r="I27" i="3" s="1"/>
  <c r="K23" i="3"/>
  <c r="K22" i="3" s="1"/>
  <c r="J45" i="3"/>
  <c r="I48" i="3" s="1"/>
  <c r="K45" i="3"/>
  <c r="K44" i="3" s="1"/>
  <c r="J57" i="3"/>
  <c r="I60" i="3" s="1"/>
  <c r="K57" i="3"/>
  <c r="K56" i="3" s="1"/>
  <c r="J69" i="3"/>
  <c r="K69" i="3"/>
  <c r="K68" i="3" s="1"/>
  <c r="J208" i="3"/>
  <c r="K208" i="3"/>
  <c r="K207" i="3" s="1"/>
  <c r="J280" i="3"/>
  <c r="K280" i="3"/>
  <c r="K279" i="3" s="1"/>
  <c r="J318" i="3"/>
  <c r="K318" i="3"/>
  <c r="K317" i="3" s="1"/>
  <c r="J294" i="3"/>
  <c r="K294" i="3"/>
  <c r="K293" i="3" s="1"/>
  <c r="J375" i="3"/>
  <c r="K375" i="3"/>
  <c r="K371" i="3" s="1"/>
  <c r="J389" i="3"/>
  <c r="K389" i="3"/>
  <c r="K388" i="3" s="1"/>
  <c r="J339" i="3"/>
  <c r="I341" i="3" s="1"/>
  <c r="K339" i="3"/>
  <c r="K338" i="3" s="1"/>
  <c r="J351" i="3"/>
  <c r="K351" i="3"/>
  <c r="K350" i="3" s="1"/>
  <c r="J365" i="3"/>
  <c r="K365" i="3"/>
  <c r="K364" i="3" s="1"/>
  <c r="J396" i="3"/>
  <c r="I398" i="3" s="1"/>
  <c r="K396" i="3"/>
  <c r="K395" i="3" s="1"/>
  <c r="J585" i="3"/>
  <c r="K585" i="3"/>
  <c r="K584" i="3" s="1"/>
  <c r="J38" i="3"/>
  <c r="I42" i="3" s="1"/>
  <c r="K38" i="3"/>
  <c r="K37" i="3" s="1"/>
  <c r="J52" i="3"/>
  <c r="I54" i="3" s="1"/>
  <c r="K52" i="3"/>
  <c r="K51" i="3" s="1"/>
  <c r="J62" i="3"/>
  <c r="I67" i="3" s="1"/>
  <c r="K62" i="3"/>
  <c r="K61" i="3" s="1"/>
  <c r="J110" i="3"/>
  <c r="K110" i="3"/>
  <c r="K109" i="3" s="1"/>
  <c r="J120" i="3"/>
  <c r="K120" i="3"/>
  <c r="K119" i="3" s="1"/>
  <c r="J171" i="3"/>
  <c r="K171" i="3"/>
  <c r="J175" i="3"/>
  <c r="K175" i="3"/>
  <c r="K174" i="3" s="1"/>
  <c r="J191" i="3"/>
  <c r="K191" i="3"/>
  <c r="K190" i="3" s="1"/>
  <c r="J205" i="3"/>
  <c r="K205" i="3"/>
  <c r="K204" i="3" s="1"/>
  <c r="J234" i="3"/>
  <c r="K234" i="3"/>
  <c r="K233" i="3" s="1"/>
  <c r="J263" i="3"/>
  <c r="K263" i="3"/>
  <c r="K262" i="3" s="1"/>
  <c r="J273" i="3"/>
  <c r="K273" i="3"/>
  <c r="K272" i="3" s="1"/>
  <c r="J289" i="3"/>
  <c r="K289" i="3"/>
  <c r="K288" i="3" s="1"/>
  <c r="J17" i="3"/>
  <c r="I21" i="3" s="1"/>
  <c r="K17" i="3"/>
  <c r="K16" i="3" s="1"/>
  <c r="J29" i="3"/>
  <c r="I33" i="3" s="1"/>
  <c r="K29" i="3"/>
  <c r="K28" i="3" s="1"/>
  <c r="J71" i="3"/>
  <c r="I82" i="3" s="1"/>
  <c r="K71" i="3"/>
  <c r="K70" i="3" s="1"/>
  <c r="J87" i="3"/>
  <c r="I95" i="3" s="1"/>
  <c r="K87" i="3"/>
  <c r="K86" i="3" s="1"/>
  <c r="J103" i="3"/>
  <c r="I107" i="3" s="1"/>
  <c r="K103" i="3"/>
  <c r="K102" i="3" s="1"/>
  <c r="J198" i="3"/>
  <c r="K198" i="3"/>
  <c r="K197" i="3" s="1"/>
  <c r="J214" i="3"/>
  <c r="K214" i="3"/>
  <c r="K213" i="3" s="1"/>
  <c r="J245" i="3"/>
  <c r="I250" i="3" s="1"/>
  <c r="K245" i="3"/>
  <c r="K244" i="3" s="1"/>
  <c r="J268" i="3"/>
  <c r="K268" i="3"/>
  <c r="K267" i="3" s="1"/>
  <c r="J310" i="3"/>
  <c r="K310" i="3"/>
  <c r="K309" i="3" s="1"/>
  <c r="J326" i="3"/>
  <c r="I325" i="3" s="1"/>
  <c r="K326" i="3"/>
  <c r="K325" i="3" s="1"/>
  <c r="J302" i="3"/>
  <c r="K302" i="3"/>
  <c r="K301" i="3" s="1"/>
  <c r="J333" i="3"/>
  <c r="I337" i="3" s="1"/>
  <c r="K333" i="3"/>
  <c r="K332" i="3" s="1"/>
  <c r="J370" i="3"/>
  <c r="K370" i="3"/>
  <c r="K369" i="3" s="1"/>
  <c r="J391" i="3"/>
  <c r="K391" i="3"/>
  <c r="K390" i="3" s="1"/>
  <c r="J401" i="3"/>
  <c r="K401" i="3"/>
  <c r="K400" i="3" s="1"/>
  <c r="J345" i="3"/>
  <c r="I344" i="3" s="1"/>
  <c r="K345" i="3"/>
  <c r="K344" i="3" s="1"/>
  <c r="J353" i="3"/>
  <c r="K353" i="3"/>
  <c r="K352" i="3" s="1"/>
  <c r="J382" i="3"/>
  <c r="K382" i="3"/>
  <c r="K381" i="3" s="1"/>
  <c r="J404" i="3"/>
  <c r="K404" i="3"/>
  <c r="K403" i="3" s="1"/>
  <c r="K402" i="3" s="1"/>
  <c r="J454" i="3"/>
  <c r="J578" i="3" l="1"/>
  <c r="K442" i="3"/>
  <c r="K441" i="3" s="1"/>
  <c r="J412" i="3"/>
  <c r="I419" i="3" s="1"/>
  <c r="J548" i="3"/>
  <c r="I586" i="3" s="1"/>
  <c r="K569" i="3"/>
  <c r="K568" i="3" s="1"/>
  <c r="K434" i="3"/>
  <c r="K433" i="3" s="1"/>
  <c r="J535" i="3"/>
  <c r="K590" i="3"/>
  <c r="K589" i="3" s="1"/>
  <c r="J513" i="3"/>
  <c r="J506" i="3"/>
  <c r="J511" i="3"/>
  <c r="I519" i="3" s="1"/>
  <c r="J452" i="3"/>
  <c r="I509" i="3" s="1"/>
  <c r="J573" i="3"/>
  <c r="BI113" i="7"/>
  <c r="BH113" i="7"/>
  <c r="BF242" i="7"/>
  <c r="BG242" i="7"/>
  <c r="BI48" i="7"/>
  <c r="BH48" i="7"/>
  <c r="BI423" i="7"/>
  <c r="BH423" i="7"/>
  <c r="BF425" i="7"/>
  <c r="BH425" i="7"/>
  <c r="BG425" i="7"/>
  <c r="BH424" i="7"/>
  <c r="BI424" i="7"/>
  <c r="BG304" i="7"/>
  <c r="BH304" i="7"/>
  <c r="BG310" i="7"/>
  <c r="BH310" i="7"/>
  <c r="BH384" i="7"/>
  <c r="BI384" i="7"/>
  <c r="BH426" i="7"/>
  <c r="BI426" i="7"/>
  <c r="BH295" i="7"/>
  <c r="BI295" i="7"/>
  <c r="BG295" i="7"/>
  <c r="BG330" i="7"/>
  <c r="BH330" i="7"/>
  <c r="BI330" i="7"/>
  <c r="J601" i="3"/>
  <c r="I610" i="3" s="1"/>
  <c r="J541" i="3"/>
  <c r="J525" i="3"/>
  <c r="I527" i="3" s="1"/>
  <c r="J502" i="3"/>
  <c r="J533" i="3"/>
  <c r="I539" i="3" s="1"/>
  <c r="K424" i="3"/>
  <c r="K423" i="3" s="1"/>
  <c r="J614" i="3"/>
  <c r="I619" i="3" s="1"/>
  <c r="K550" i="3"/>
  <c r="K549" i="3" s="1"/>
  <c r="I523" i="3"/>
  <c r="I479" i="3"/>
  <c r="I440" i="3"/>
  <c r="K592" i="3"/>
  <c r="K591" i="3" s="1"/>
  <c r="BG555" i="7"/>
  <c r="BF555" i="7"/>
  <c r="BG90" i="7"/>
  <c r="BF90" i="7"/>
  <c r="BG329" i="7"/>
  <c r="BF329" i="7"/>
  <c r="I232" i="3"/>
  <c r="I236" i="3"/>
  <c r="I233" i="3"/>
  <c r="I165" i="3"/>
  <c r="I115" i="3"/>
  <c r="Z347" i="3"/>
  <c r="BF431" i="7"/>
  <c r="BG431" i="7"/>
  <c r="BF384" i="7"/>
  <c r="BG384" i="7"/>
  <c r="BF423" i="7"/>
  <c r="BG423" i="7"/>
  <c r="BF424" i="7"/>
  <c r="BG424" i="7"/>
  <c r="BF549" i="7"/>
  <c r="BG549" i="7"/>
  <c r="I10" i="3"/>
  <c r="I2" i="3"/>
  <c r="H2" i="3" s="1"/>
  <c r="BF31" i="7"/>
  <c r="BG31" i="7"/>
  <c r="BF114" i="7"/>
  <c r="BG114" i="7"/>
  <c r="BF42" i="7"/>
  <c r="BG42" i="7"/>
  <c r="BF37" i="7"/>
  <c r="BG37" i="7"/>
  <c r="BF117" i="7"/>
  <c r="BG117" i="7"/>
  <c r="BF233" i="7"/>
  <c r="BG233" i="7"/>
  <c r="BF235" i="7"/>
  <c r="BG235" i="7"/>
  <c r="BF30" i="7"/>
  <c r="BG30" i="7"/>
  <c r="BF113" i="7"/>
  <c r="BG113" i="7"/>
  <c r="BF25" i="7"/>
  <c r="BG25" i="7"/>
  <c r="BF43" i="7"/>
  <c r="BG43" i="7"/>
  <c r="BF287" i="7"/>
  <c r="BG287" i="7"/>
  <c r="BF48" i="7"/>
  <c r="BG48" i="7"/>
  <c r="EG19" i="1"/>
  <c r="Z242" i="3"/>
  <c r="Z545" i="3"/>
  <c r="EG16" i="1"/>
  <c r="Z346" i="3"/>
  <c r="Z243" i="3"/>
  <c r="Z348" i="3"/>
  <c r="Z241" i="3"/>
  <c r="I187" i="3"/>
  <c r="ES16" i="1"/>
  <c r="AA545" i="3"/>
  <c r="AA348" i="3"/>
  <c r="AA346" i="3"/>
  <c r="AA242" i="3"/>
  <c r="AA349" i="3"/>
  <c r="AA347" i="3"/>
  <c r="AA243" i="3"/>
  <c r="AA241" i="3"/>
  <c r="ES19" i="1"/>
  <c r="E123" i="7"/>
  <c r="E122" i="7"/>
  <c r="E125" i="7"/>
  <c r="E124" i="7"/>
  <c r="F7" i="3"/>
  <c r="F8" i="3" s="1"/>
  <c r="F9" i="3" s="1"/>
  <c r="F10" i="3" s="1"/>
  <c r="F11" i="3" s="1"/>
  <c r="F12" i="3" s="1"/>
  <c r="F13" i="3" s="1"/>
  <c r="F14" i="3" s="1"/>
  <c r="F15" i="3" s="1"/>
  <c r="F16" i="3" s="1"/>
  <c r="F17" i="3" s="1"/>
  <c r="F18" i="3" s="1"/>
  <c r="F19" i="3" s="1"/>
  <c r="F20" i="3" s="1"/>
  <c r="F21" i="3" s="1"/>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F88" i="3" s="1"/>
  <c r="F89" i="3" s="1"/>
  <c r="F90" i="3" s="1"/>
  <c r="F91" i="3" s="1"/>
  <c r="F92" i="3" s="1"/>
  <c r="F93" i="3" s="1"/>
  <c r="F94" i="3" s="1"/>
  <c r="F95" i="3" s="1"/>
  <c r="F96" i="3" s="1"/>
  <c r="F97" i="3" s="1"/>
  <c r="F98" i="3" s="1"/>
  <c r="F99" i="3" s="1"/>
  <c r="F100" i="3" s="1"/>
  <c r="F101" i="3" s="1"/>
  <c r="F102" i="3" s="1"/>
  <c r="F103" i="3" s="1"/>
  <c r="F104" i="3" s="1"/>
  <c r="F105" i="3" s="1"/>
  <c r="F106" i="3" s="1"/>
  <c r="F107" i="3" s="1"/>
  <c r="F108" i="3" s="1"/>
  <c r="F109" i="3" s="1"/>
  <c r="F110" i="3" s="1"/>
  <c r="F111" i="3" s="1"/>
  <c r="F112" i="3" s="1"/>
  <c r="F113" i="3" s="1"/>
  <c r="F114" i="3" s="1"/>
  <c r="F115" i="3" s="1"/>
  <c r="F116" i="3" s="1"/>
  <c r="F117" i="3" s="1"/>
  <c r="F118" i="3" s="1"/>
  <c r="F119" i="3" s="1"/>
  <c r="F120" i="3" s="1"/>
  <c r="F121" i="3" s="1"/>
  <c r="F122" i="3" s="1"/>
  <c r="F123" i="3" s="1"/>
  <c r="F124" i="3" s="1"/>
  <c r="F125" i="3" s="1"/>
  <c r="F126" i="3" s="1"/>
  <c r="F127" i="3" s="1"/>
  <c r="F128" i="3" s="1"/>
  <c r="F129" i="3" s="1"/>
  <c r="F130" i="3" s="1"/>
  <c r="F131" i="3" s="1"/>
  <c r="F132" i="3" s="1"/>
  <c r="F133" i="3" s="1"/>
  <c r="F134" i="3" s="1"/>
  <c r="F135" i="3" s="1"/>
  <c r="F136" i="3" s="1"/>
  <c r="F137" i="3" s="1"/>
  <c r="F138" i="3" s="1"/>
  <c r="F139" i="3" s="1"/>
  <c r="F140" i="3" s="1"/>
  <c r="F141" i="3" s="1"/>
  <c r="F142" i="3" s="1"/>
  <c r="F143" i="3" s="1"/>
  <c r="F144" i="3" s="1"/>
  <c r="F145" i="3" s="1"/>
  <c r="F146" i="3" s="1"/>
  <c r="F147" i="3" s="1"/>
  <c r="F148" i="3" s="1"/>
  <c r="F149" i="3" s="1"/>
  <c r="F150" i="3" s="1"/>
  <c r="F151" i="3" s="1"/>
  <c r="F152" i="3" s="1"/>
  <c r="F153" i="3" s="1"/>
  <c r="F154" i="3" s="1"/>
  <c r="F155" i="3" s="1"/>
  <c r="F156" i="3" s="1"/>
  <c r="F157" i="3" s="1"/>
  <c r="F158" i="3" s="1"/>
  <c r="F159" i="3" s="1"/>
  <c r="F160" i="3" s="1"/>
  <c r="F161" i="3" s="1"/>
  <c r="F162" i="3" s="1"/>
  <c r="F163" i="3" s="1"/>
  <c r="F164" i="3" s="1"/>
  <c r="F165" i="3" s="1"/>
  <c r="F166" i="3" s="1"/>
  <c r="F167" i="3" s="1"/>
  <c r="F168" i="3" s="1"/>
  <c r="F169" i="3" s="1"/>
  <c r="F170" i="3" s="1"/>
  <c r="F171" i="3" s="1"/>
  <c r="F172" i="3" s="1"/>
  <c r="F173" i="3" s="1"/>
  <c r="F174" i="3" s="1"/>
  <c r="F175" i="3" s="1"/>
  <c r="F176" i="3" s="1"/>
  <c r="F177" i="3" s="1"/>
  <c r="F178" i="3" s="1"/>
  <c r="F179" i="3" s="1"/>
  <c r="F180" i="3" s="1"/>
  <c r="F181" i="3" s="1"/>
  <c r="F182" i="3" s="1"/>
  <c r="F183" i="3" s="1"/>
  <c r="F184" i="3" s="1"/>
  <c r="F185" i="3" s="1"/>
  <c r="F186" i="3" s="1"/>
  <c r="F187" i="3" s="1"/>
  <c r="F188" i="3" s="1"/>
  <c r="F189" i="3" s="1"/>
  <c r="F190" i="3" s="1"/>
  <c r="F191" i="3" s="1"/>
  <c r="F192" i="3" s="1"/>
  <c r="F193" i="3" s="1"/>
  <c r="F194" i="3" s="1"/>
  <c r="F195" i="3" s="1"/>
  <c r="F196" i="3" s="1"/>
  <c r="F197" i="3" s="1"/>
  <c r="F198" i="3" s="1"/>
  <c r="F199" i="3" s="1"/>
  <c r="F200" i="3" s="1"/>
  <c r="F201" i="3" s="1"/>
  <c r="F202" i="3" s="1"/>
  <c r="F203" i="3" s="1"/>
  <c r="F204" i="3" s="1"/>
  <c r="F205" i="3" s="1"/>
  <c r="F206" i="3" s="1"/>
  <c r="F207" i="3" s="1"/>
  <c r="F208" i="3" s="1"/>
  <c r="F209" i="3" s="1"/>
  <c r="F210" i="3" s="1"/>
  <c r="F211" i="3" s="1"/>
  <c r="F212" i="3" s="1"/>
  <c r="F213" i="3" s="1"/>
  <c r="F214" i="3" s="1"/>
  <c r="F215" i="3" s="1"/>
  <c r="F216" i="3" s="1"/>
  <c r="F217" i="3" s="1"/>
  <c r="F218" i="3" s="1"/>
  <c r="F219" i="3" s="1"/>
  <c r="F220" i="3" s="1"/>
  <c r="F221" i="3" s="1"/>
  <c r="F222" i="3" s="1"/>
  <c r="F223" i="3" s="1"/>
  <c r="F224" i="3" s="1"/>
  <c r="F225" i="3" s="1"/>
  <c r="F226" i="3" s="1"/>
  <c r="F227" i="3" s="1"/>
  <c r="F228" i="3" s="1"/>
  <c r="F229" i="3" s="1"/>
  <c r="F230" i="3" s="1"/>
  <c r="F231" i="3" s="1"/>
  <c r="I167" i="3"/>
  <c r="I170" i="3"/>
  <c r="I371" i="3"/>
  <c r="I373" i="3"/>
  <c r="I376" i="3"/>
  <c r="I369" i="3"/>
  <c r="I258" i="3"/>
  <c r="I249" i="3"/>
  <c r="I104" i="3"/>
  <c r="I228" i="3"/>
  <c r="I188" i="3"/>
  <c r="I100" i="3"/>
  <c r="I28" i="3"/>
  <c r="I13" i="3"/>
  <c r="I127" i="3"/>
  <c r="I68" i="3"/>
  <c r="I206" i="3"/>
  <c r="I73" i="3"/>
  <c r="I166" i="3"/>
  <c r="I159" i="3"/>
  <c r="I297" i="3"/>
  <c r="I199" i="3"/>
  <c r="I220" i="3"/>
  <c r="I90" i="3"/>
  <c r="I78" i="3"/>
  <c r="I237" i="3"/>
  <c r="I200" i="3"/>
  <c r="I66" i="3"/>
  <c r="I50" i="3"/>
  <c r="I243" i="3"/>
  <c r="I210" i="3"/>
  <c r="I134" i="3"/>
  <c r="I152" i="3"/>
  <c r="I143" i="3"/>
  <c r="I108" i="3"/>
  <c r="I43" i="3"/>
  <c r="I417" i="3"/>
  <c r="I278" i="3"/>
  <c r="I105" i="3"/>
  <c r="I91" i="3"/>
  <c r="I76" i="3"/>
  <c r="I30" i="3"/>
  <c r="I16" i="3"/>
  <c r="I238" i="3"/>
  <c r="I181" i="3"/>
  <c r="I180" i="3"/>
  <c r="I53" i="3"/>
  <c r="I59" i="3"/>
  <c r="I24" i="3"/>
  <c r="I12" i="3"/>
  <c r="I218" i="3"/>
  <c r="I225" i="3"/>
  <c r="I118" i="3"/>
  <c r="I150" i="3"/>
  <c r="I136" i="3"/>
  <c r="I119" i="3"/>
  <c r="I135" i="3"/>
  <c r="I151" i="3"/>
  <c r="I109" i="3"/>
  <c r="I117" i="3"/>
  <c r="I39" i="3"/>
  <c r="I281" i="3"/>
  <c r="I314" i="3"/>
  <c r="I193" i="3"/>
  <c r="I397" i="3"/>
  <c r="I224" i="3"/>
  <c r="I102" i="3"/>
  <c r="I88" i="3"/>
  <c r="I89" i="3"/>
  <c r="I96" i="3"/>
  <c r="I75" i="3"/>
  <c r="I80" i="3"/>
  <c r="I81" i="3"/>
  <c r="I35" i="3"/>
  <c r="I36" i="3"/>
  <c r="I19" i="3"/>
  <c r="I179" i="3"/>
  <c r="I197" i="3"/>
  <c r="I189" i="3"/>
  <c r="I174" i="3"/>
  <c r="I178" i="3"/>
  <c r="I63" i="3"/>
  <c r="I64" i="3"/>
  <c r="I55" i="3"/>
  <c r="I58" i="3"/>
  <c r="I44" i="3"/>
  <c r="I49" i="3"/>
  <c r="I26" i="3"/>
  <c r="I15" i="3"/>
  <c r="I239" i="3"/>
  <c r="I209" i="3"/>
  <c r="I227" i="3"/>
  <c r="I216" i="3"/>
  <c r="I204" i="3"/>
  <c r="I215" i="3"/>
  <c r="I169" i="3"/>
  <c r="I126" i="3"/>
  <c r="I142" i="3"/>
  <c r="I158" i="3"/>
  <c r="I128" i="3"/>
  <c r="I144" i="3"/>
  <c r="I160" i="3"/>
  <c r="I123" i="3"/>
  <c r="I131" i="3"/>
  <c r="I139" i="3"/>
  <c r="I147" i="3"/>
  <c r="I155" i="3"/>
  <c r="I163" i="3"/>
  <c r="I112" i="3"/>
  <c r="I113" i="3"/>
  <c r="I99" i="3"/>
  <c r="I83" i="3"/>
  <c r="I37" i="3"/>
  <c r="I348" i="3"/>
  <c r="I437" i="3"/>
  <c r="I435" i="3"/>
  <c r="I330" i="3"/>
  <c r="I317" i="3"/>
  <c r="I315" i="3"/>
  <c r="I277" i="3"/>
  <c r="I443" i="3"/>
  <c r="I381" i="3"/>
  <c r="I387" i="3"/>
  <c r="I409" i="3"/>
  <c r="I427" i="3"/>
  <c r="I408" i="3"/>
  <c r="I426" i="3"/>
  <c r="I201" i="3"/>
  <c r="I230" i="3"/>
  <c r="I449" i="3"/>
  <c r="I445" i="3"/>
  <c r="I448" i="3"/>
  <c r="I450" i="3"/>
  <c r="I441" i="3"/>
  <c r="I447" i="3"/>
  <c r="I444" i="3"/>
  <c r="I346" i="3"/>
  <c r="I347" i="3"/>
  <c r="I349" i="3"/>
  <c r="I438" i="3"/>
  <c r="I439" i="3"/>
  <c r="I432" i="3"/>
  <c r="I428" i="3"/>
  <c r="I423" i="3"/>
  <c r="I410" i="3"/>
  <c r="I406" i="3"/>
  <c r="I433" i="3"/>
  <c r="I429" i="3"/>
  <c r="I425" i="3"/>
  <c r="I407" i="3"/>
  <c r="I436" i="3"/>
  <c r="I430" i="3"/>
  <c r="I403" i="3"/>
  <c r="I431" i="3"/>
  <c r="I422" i="3"/>
  <c r="I405" i="3"/>
  <c r="I383" i="3"/>
  <c r="I378" i="3"/>
  <c r="I384" i="3"/>
  <c r="I379" i="3"/>
  <c r="I374" i="3"/>
  <c r="I380" i="3"/>
  <c r="I386" i="3"/>
  <c r="I377" i="3"/>
  <c r="I332" i="3"/>
  <c r="I319" i="3"/>
  <c r="I309" i="3"/>
  <c r="I301" i="3"/>
  <c r="I290" i="3"/>
  <c r="I282" i="3"/>
  <c r="I271" i="3"/>
  <c r="I246" i="3"/>
  <c r="I254" i="3"/>
  <c r="I324" i="3"/>
  <c r="I306" i="3"/>
  <c r="I288" i="3"/>
  <c r="I267" i="3"/>
  <c r="I251" i="3"/>
  <c r="I308" i="3"/>
  <c r="I292" i="3"/>
  <c r="I270" i="3"/>
  <c r="I253" i="3"/>
  <c r="I343" i="3"/>
  <c r="I338" i="3"/>
  <c r="I340" i="3"/>
  <c r="I395" i="3"/>
  <c r="I399" i="3"/>
  <c r="I394" i="3"/>
  <c r="I244" i="3"/>
  <c r="I106" i="3"/>
  <c r="I92" i="3"/>
  <c r="I94" i="3"/>
  <c r="I93" i="3"/>
  <c r="I86" i="3"/>
  <c r="I77" i="3"/>
  <c r="I79" i="3"/>
  <c r="I70" i="3"/>
  <c r="I72" i="3"/>
  <c r="I74" i="3"/>
  <c r="I34" i="3"/>
  <c r="I32" i="3"/>
  <c r="I31" i="3"/>
  <c r="I18" i="3"/>
  <c r="I20" i="3"/>
  <c r="I235" i="3"/>
  <c r="I172" i="3"/>
  <c r="I183" i="3"/>
  <c r="I192" i="3"/>
  <c r="I176" i="3"/>
  <c r="I184" i="3"/>
  <c r="I194" i="3"/>
  <c r="I171" i="3"/>
  <c r="I177" i="3"/>
  <c r="I182" i="3"/>
  <c r="I186" i="3"/>
  <c r="I190" i="3"/>
  <c r="I196" i="3"/>
  <c r="I65" i="3"/>
  <c r="I61" i="3"/>
  <c r="I51" i="3"/>
  <c r="I56" i="3"/>
  <c r="I47" i="3"/>
  <c r="I46" i="3"/>
  <c r="I22" i="3"/>
  <c r="I25" i="3"/>
  <c r="I14" i="3"/>
  <c r="I242" i="3"/>
  <c r="I202" i="3"/>
  <c r="I213" i="3"/>
  <c r="I223" i="3"/>
  <c r="I231" i="3"/>
  <c r="I211" i="3"/>
  <c r="I221" i="3"/>
  <c r="I229" i="3"/>
  <c r="I207" i="3"/>
  <c r="I212" i="3"/>
  <c r="I217" i="3"/>
  <c r="I222" i="3"/>
  <c r="I226" i="3"/>
  <c r="I122" i="3"/>
  <c r="I130" i="3"/>
  <c r="I138" i="3"/>
  <c r="I146" i="3"/>
  <c r="I154" i="3"/>
  <c r="I162" i="3"/>
  <c r="I124" i="3"/>
  <c r="I132" i="3"/>
  <c r="I140" i="3"/>
  <c r="I148" i="3"/>
  <c r="I156" i="3"/>
  <c r="I164" i="3"/>
  <c r="I121" i="3"/>
  <c r="I125" i="3"/>
  <c r="I129" i="3"/>
  <c r="I133" i="3"/>
  <c r="I137" i="3"/>
  <c r="I141" i="3"/>
  <c r="I145" i="3"/>
  <c r="I149" i="3"/>
  <c r="I153" i="3"/>
  <c r="I157" i="3"/>
  <c r="I161" i="3"/>
  <c r="I114" i="3"/>
  <c r="I116" i="3"/>
  <c r="I111" i="3"/>
  <c r="I97" i="3"/>
  <c r="I41" i="3"/>
  <c r="I40" i="3"/>
  <c r="I331" i="3"/>
  <c r="I261" i="3"/>
  <c r="I300" i="3"/>
  <c r="I259" i="3"/>
  <c r="I298" i="3"/>
  <c r="I266" i="3"/>
  <c r="I287" i="3"/>
  <c r="I305" i="3"/>
  <c r="I323" i="3"/>
  <c r="I342" i="3"/>
  <c r="I388" i="3"/>
  <c r="I393" i="3"/>
  <c r="I510" i="3"/>
  <c r="I390" i="3"/>
  <c r="I392" i="3"/>
  <c r="I385" i="3"/>
  <c r="I335" i="3"/>
  <c r="I334" i="3"/>
  <c r="I336" i="3"/>
  <c r="I328" i="3"/>
  <c r="I329" i="3"/>
  <c r="I327" i="3"/>
  <c r="I321" i="3"/>
  <c r="I316" i="3"/>
  <c r="I312" i="3"/>
  <c r="I307" i="3"/>
  <c r="I299" i="3"/>
  <c r="I295" i="3"/>
  <c r="I291" i="3"/>
  <c r="I284" i="3"/>
  <c r="I279" i="3"/>
  <c r="I274" i="3"/>
  <c r="I269" i="3"/>
  <c r="I264" i="3"/>
  <c r="I260" i="3"/>
  <c r="I256" i="3"/>
  <c r="I252" i="3"/>
  <c r="I247" i="3"/>
  <c r="I320" i="3"/>
  <c r="I311" i="3"/>
  <c r="I303" i="3"/>
  <c r="I293" i="3"/>
  <c r="I283" i="3"/>
  <c r="I272" i="3"/>
  <c r="I262" i="3"/>
  <c r="I255" i="3"/>
  <c r="I322" i="3"/>
  <c r="I313" i="3"/>
  <c r="I304" i="3"/>
  <c r="I296" i="3"/>
  <c r="I286" i="3"/>
  <c r="I276" i="3"/>
  <c r="I265" i="3"/>
  <c r="I257" i="3"/>
  <c r="I248" i="3"/>
  <c r="I617" i="3"/>
  <c r="I612" i="3"/>
  <c r="I608" i="3"/>
  <c r="I604" i="3"/>
  <c r="I599" i="3"/>
  <c r="I597" i="3"/>
  <c r="I595" i="3"/>
  <c r="I593" i="3"/>
  <c r="I589" i="3"/>
  <c r="I613" i="3"/>
  <c r="I605" i="3"/>
  <c r="I596" i="3"/>
  <c r="I591" i="3"/>
  <c r="I620" i="3"/>
  <c r="I611" i="3"/>
  <c r="I603" i="3"/>
  <c r="I598" i="3"/>
  <c r="I594" i="3"/>
  <c r="I367" i="3"/>
  <c r="I364" i="3"/>
  <c r="I363" i="3"/>
  <c r="I361" i="3"/>
  <c r="I359" i="3"/>
  <c r="I357" i="3"/>
  <c r="I354" i="3"/>
  <c r="I350" i="3"/>
  <c r="I368" i="3"/>
  <c r="I366" i="3"/>
  <c r="I355" i="3"/>
  <c r="I362" i="3"/>
  <c r="I360" i="3"/>
  <c r="I358" i="3"/>
  <c r="I352" i="3"/>
  <c r="I356" i="3"/>
  <c r="I607" i="3" l="1"/>
  <c r="I616" i="3"/>
  <c r="I600" i="3"/>
  <c r="I609" i="3"/>
  <c r="I618" i="3"/>
  <c r="I602" i="3"/>
  <c r="I606" i="3"/>
  <c r="I615" i="3"/>
  <c r="I421" i="3"/>
  <c r="I416" i="3"/>
  <c r="I415" i="3"/>
  <c r="I418" i="3"/>
  <c r="I580" i="3"/>
  <c r="I560" i="3"/>
  <c r="I562" i="3"/>
  <c r="I549" i="3"/>
  <c r="I557" i="3"/>
  <c r="I555" i="3"/>
  <c r="I571" i="3"/>
  <c r="I559" i="3"/>
  <c r="I554" i="3"/>
  <c r="I583" i="3"/>
  <c r="I522" i="3"/>
  <c r="I414" i="3"/>
  <c r="I413" i="3"/>
  <c r="I402" i="3"/>
  <c r="I411" i="3"/>
  <c r="I420" i="3"/>
  <c r="I400" i="3"/>
  <c r="I566" i="3"/>
  <c r="I579" i="3"/>
  <c r="I565" i="3"/>
  <c r="I582" i="3"/>
  <c r="I556" i="3"/>
  <c r="I551" i="3"/>
  <c r="I465" i="3"/>
  <c r="I499" i="3"/>
  <c r="I558" i="3"/>
  <c r="I552" i="3"/>
  <c r="I568" i="3"/>
  <c r="I553" i="3"/>
  <c r="I561" i="3"/>
  <c r="I570" i="3"/>
  <c r="I588" i="3"/>
  <c r="I563" i="3"/>
  <c r="I587" i="3"/>
  <c r="I581" i="3"/>
  <c r="I567" i="3"/>
  <c r="I564" i="3"/>
  <c r="I584" i="3"/>
  <c r="I577" i="3"/>
  <c r="I547" i="3"/>
  <c r="I521" i="3"/>
  <c r="I528" i="3"/>
  <c r="I518" i="3"/>
  <c r="I514" i="3"/>
  <c r="I530" i="3"/>
  <c r="I576" i="3"/>
  <c r="I575" i="3"/>
  <c r="I462" i="3"/>
  <c r="I497" i="3"/>
  <c r="I503" i="3"/>
  <c r="I487" i="3"/>
  <c r="I474" i="3"/>
  <c r="I484" i="3"/>
  <c r="I494" i="3"/>
  <c r="I481" i="3"/>
  <c r="I505" i="3"/>
  <c r="I464" i="3"/>
  <c r="I467" i="3"/>
  <c r="I488" i="3"/>
  <c r="I463" i="3"/>
  <c r="I534" i="3"/>
  <c r="I468" i="3"/>
  <c r="I500" i="3"/>
  <c r="I478" i="3"/>
  <c r="I457" i="3"/>
  <c r="I473" i="3"/>
  <c r="I489" i="3"/>
  <c r="I455" i="3"/>
  <c r="I496" i="3"/>
  <c r="I508" i="3"/>
  <c r="I483" i="3"/>
  <c r="I543" i="3"/>
  <c r="I466" i="3"/>
  <c r="I495" i="3"/>
  <c r="I544" i="3"/>
  <c r="I520" i="3"/>
  <c r="I517" i="3"/>
  <c r="I515" i="3"/>
  <c r="I516" i="3"/>
  <c r="I572" i="3"/>
  <c r="I574" i="3"/>
  <c r="I524" i="3"/>
  <c r="I546" i="3"/>
  <c r="BH16" i="7"/>
  <c r="H16" i="7" s="1"/>
  <c r="I460" i="3"/>
  <c r="I476" i="3"/>
  <c r="I492" i="3"/>
  <c r="I453" i="3"/>
  <c r="I470" i="3"/>
  <c r="I486" i="3"/>
  <c r="I451" i="3"/>
  <c r="I461" i="3"/>
  <c r="I469" i="3"/>
  <c r="I477" i="3"/>
  <c r="I485" i="3"/>
  <c r="I493" i="3"/>
  <c r="I501" i="3"/>
  <c r="I504" i="3"/>
  <c r="I471" i="3"/>
  <c r="I482" i="3"/>
  <c r="I472" i="3"/>
  <c r="I480" i="3"/>
  <c r="I458" i="3"/>
  <c r="I490" i="3"/>
  <c r="I459" i="3"/>
  <c r="I475" i="3"/>
  <c r="I491" i="3"/>
  <c r="I507" i="3"/>
  <c r="I498" i="3"/>
  <c r="I456" i="3"/>
  <c r="BI16" i="7"/>
  <c r="I16" i="7" s="1"/>
  <c r="I540" i="3"/>
  <c r="I512" i="3"/>
  <c r="I529" i="3"/>
  <c r="I531" i="3"/>
  <c r="I526" i="3"/>
  <c r="I537" i="3"/>
  <c r="I536" i="3"/>
  <c r="I538" i="3"/>
  <c r="I545" i="3"/>
  <c r="I532" i="3"/>
  <c r="I542" i="3"/>
  <c r="F232" i="3"/>
  <c r="F233" i="3" s="1"/>
  <c r="F234" i="3" s="1"/>
  <c r="F235" i="3" s="1"/>
  <c r="F236" i="3" s="1"/>
  <c r="F237" i="3" s="1"/>
  <c r="F238" i="3" s="1"/>
  <c r="F239" i="3" s="1"/>
  <c r="F240" i="3" s="1"/>
  <c r="F241" i="3" s="1"/>
  <c r="F242" i="3" s="1"/>
  <c r="F243" i="3" s="1"/>
  <c r="F244" i="3" s="1"/>
  <c r="F245" i="3" s="1"/>
  <c r="F246" i="3" s="1"/>
  <c r="F247" i="3" s="1"/>
  <c r="F248" i="3" s="1"/>
  <c r="F249" i="3" s="1"/>
  <c r="F250" i="3" s="1"/>
  <c r="F251" i="3" s="1"/>
  <c r="F252" i="3" s="1"/>
  <c r="F253" i="3" s="1"/>
  <c r="F254" i="3" s="1"/>
  <c r="F255" i="3" s="1"/>
  <c r="F256" i="3" s="1"/>
  <c r="F257" i="3" s="1"/>
  <c r="F258" i="3" s="1"/>
  <c r="F259" i="3" s="1"/>
  <c r="F260" i="3" s="1"/>
  <c r="F261" i="3" s="1"/>
  <c r="F262" i="3" s="1"/>
  <c r="F263" i="3" s="1"/>
  <c r="F264" i="3" s="1"/>
  <c r="F265" i="3" s="1"/>
  <c r="F266" i="3" s="1"/>
  <c r="F267" i="3" s="1"/>
  <c r="F268" i="3" s="1"/>
  <c r="F269" i="3" s="1"/>
  <c r="F270" i="3" s="1"/>
  <c r="F271" i="3" s="1"/>
  <c r="F272" i="3" s="1"/>
  <c r="F273" i="3" s="1"/>
  <c r="F274" i="3" s="1"/>
  <c r="F275" i="3" s="1"/>
  <c r="F276" i="3" s="1"/>
  <c r="F277" i="3" s="1"/>
  <c r="F278" i="3" s="1"/>
  <c r="F279" i="3" s="1"/>
  <c r="F280" i="3" s="1"/>
  <c r="F281" i="3" s="1"/>
  <c r="F282" i="3" s="1"/>
  <c r="F283" i="3" s="1"/>
  <c r="F284" i="3" s="1"/>
  <c r="F285" i="3" s="1"/>
  <c r="F286" i="3" s="1"/>
  <c r="F287" i="3" s="1"/>
  <c r="F288" i="3" s="1"/>
  <c r="F289" i="3" s="1"/>
  <c r="F290" i="3" s="1"/>
  <c r="F291" i="3" s="1"/>
  <c r="F292" i="3" s="1"/>
  <c r="F293" i="3" s="1"/>
  <c r="F294" i="3" s="1"/>
  <c r="F295" i="3" s="1"/>
  <c r="F296" i="3" s="1"/>
  <c r="F297" i="3" s="1"/>
  <c r="F298" i="3" s="1"/>
  <c r="F299" i="3" s="1"/>
  <c r="F300" i="3" s="1"/>
  <c r="F301" i="3" s="1"/>
  <c r="F302" i="3" s="1"/>
  <c r="F303" i="3" s="1"/>
  <c r="F304" i="3" s="1"/>
  <c r="F305" i="3" s="1"/>
  <c r="F306" i="3" s="1"/>
  <c r="F307" i="3" s="1"/>
  <c r="F308" i="3" s="1"/>
  <c r="F309" i="3" s="1"/>
  <c r="F310" i="3" s="1"/>
  <c r="F311" i="3" s="1"/>
  <c r="F312" i="3" s="1"/>
  <c r="F313" i="3" s="1"/>
  <c r="F314" i="3" s="1"/>
  <c r="F315" i="3" s="1"/>
  <c r="F316" i="3" s="1"/>
  <c r="F317" i="3" s="1"/>
  <c r="F318" i="3" s="1"/>
  <c r="F319" i="3" s="1"/>
  <c r="F320" i="3" s="1"/>
  <c r="F321" i="3" s="1"/>
  <c r="F322" i="3" s="1"/>
  <c r="F323" i="3" s="1"/>
  <c r="F324" i="3" s="1"/>
  <c r="F325" i="3" s="1"/>
  <c r="F326" i="3" s="1"/>
  <c r="F327" i="3" s="1"/>
  <c r="F328" i="3" s="1"/>
  <c r="F329" i="3" s="1"/>
  <c r="F330" i="3" s="1"/>
  <c r="F331" i="3" s="1"/>
  <c r="F332" i="3" s="1"/>
  <c r="F333" i="3" s="1"/>
  <c r="F334" i="3" s="1"/>
  <c r="F335" i="3" s="1"/>
  <c r="F336" i="3" s="1"/>
  <c r="F337" i="3" s="1"/>
  <c r="F338" i="3" s="1"/>
  <c r="F339" i="3" s="1"/>
  <c r="H3" i="3"/>
  <c r="BF16" i="7"/>
  <c r="F16" i="7" s="1"/>
  <c r="F17" i="7" s="1"/>
  <c r="BG16" i="7"/>
  <c r="G16" i="7" s="1"/>
  <c r="DO10" i="2"/>
  <c r="DO8" i="2"/>
  <c r="DO9" i="2"/>
  <c r="DO7" i="2"/>
  <c r="W6" i="3"/>
  <c r="DP9" i="2" l="1"/>
  <c r="DH9" i="2" s="1"/>
  <c r="DP10" i="2"/>
  <c r="DH10" i="2" s="1"/>
  <c r="DP7" i="2"/>
  <c r="DH7" i="2" s="1"/>
  <c r="DP8" i="2"/>
  <c r="DH8" i="2" s="1"/>
  <c r="H4" i="3"/>
  <c r="G17" i="7"/>
  <c r="H17" i="7" s="1"/>
  <c r="I17" i="7" s="1"/>
  <c r="J17" i="7" s="1"/>
  <c r="K17" i="7" s="1"/>
  <c r="L17" i="7" s="1"/>
  <c r="M17" i="7" s="1"/>
  <c r="N17" i="7" s="1"/>
  <c r="O17" i="7" s="1"/>
  <c r="P17" i="7" s="1"/>
  <c r="Q17" i="7" s="1"/>
  <c r="R17" i="7" s="1"/>
  <c r="S17" i="7" s="1"/>
  <c r="T17" i="7" s="1"/>
  <c r="U17" i="7" s="1"/>
  <c r="V17" i="7" s="1"/>
  <c r="W17" i="7" s="1"/>
  <c r="X17" i="7" s="1"/>
  <c r="Y17" i="7" s="1"/>
  <c r="Z17" i="7" s="1"/>
  <c r="AA17" i="7" s="1"/>
  <c r="AB17" i="7" s="1"/>
  <c r="AC17" i="7" s="1"/>
  <c r="AD17" i="7" s="1"/>
  <c r="AE17" i="7" s="1"/>
  <c r="AF17" i="7" s="1"/>
  <c r="AG17" i="7" s="1"/>
  <c r="AH17" i="7" s="1"/>
  <c r="AI17" i="7" s="1"/>
  <c r="AJ17" i="7" s="1"/>
  <c r="AK17" i="7" s="1"/>
  <c r="AL17" i="7" s="1"/>
  <c r="AM17" i="7" s="1"/>
  <c r="AN17" i="7" s="1"/>
  <c r="AO17" i="7" s="1"/>
  <c r="AP17" i="7" s="1"/>
  <c r="AQ17" i="7" s="1"/>
  <c r="AR17" i="7" s="1"/>
  <c r="AS17" i="7" s="1"/>
  <c r="AT17" i="7" s="1"/>
  <c r="AU17" i="7" s="1"/>
  <c r="AV17" i="7" s="1"/>
  <c r="AW17" i="7" s="1"/>
  <c r="AX17" i="7" s="1"/>
  <c r="AY17" i="7" s="1"/>
  <c r="AZ17" i="7" s="1"/>
  <c r="BA17" i="7" s="1"/>
  <c r="BB17" i="7" s="1"/>
  <c r="BC17" i="7" s="1"/>
  <c r="BD17" i="7" s="1"/>
  <c r="E15" i="7"/>
  <c r="E16" i="7"/>
  <c r="F340" i="3"/>
  <c r="H5" i="3" l="1"/>
  <c r="F341" i="3"/>
  <c r="F342" i="3" s="1"/>
  <c r="F343" i="3" s="1"/>
  <c r="F344" i="3" s="1"/>
  <c r="F345" i="3" s="1"/>
  <c r="F346" i="3" s="1"/>
  <c r="F347" i="3" s="1"/>
  <c r="F348" i="3" s="1"/>
  <c r="F349" i="3" s="1"/>
  <c r="F350" i="3" s="1"/>
  <c r="F351" i="3" s="1"/>
  <c r="F352" i="3" s="1"/>
  <c r="F353" i="3" s="1"/>
  <c r="F354" i="3" s="1"/>
  <c r="F355" i="3" s="1"/>
  <c r="F356" i="3" s="1"/>
  <c r="F357" i="3" s="1"/>
  <c r="F358" i="3" s="1"/>
  <c r="F359" i="3" s="1"/>
  <c r="F360" i="3" s="1"/>
  <c r="F361" i="3" s="1"/>
  <c r="F362" i="3" s="1"/>
  <c r="F363" i="3" s="1"/>
  <c r="F364" i="3" s="1"/>
  <c r="F365" i="3" s="1"/>
  <c r="F366" i="3" s="1"/>
  <c r="F367" i="3" s="1"/>
  <c r="F368" i="3" s="1"/>
  <c r="F369" i="3" s="1"/>
  <c r="F370" i="3" s="1"/>
  <c r="F371" i="3" s="1"/>
  <c r="F372" i="3" s="1"/>
  <c r="F373" i="3" s="1"/>
  <c r="F374" i="3" s="1"/>
  <c r="F375" i="3" s="1"/>
  <c r="F376" i="3" s="1"/>
  <c r="F377" i="3" s="1"/>
  <c r="F378" i="3" s="1"/>
  <c r="F379" i="3" s="1"/>
  <c r="F380" i="3" s="1"/>
  <c r="F381" i="3" s="1"/>
  <c r="F382" i="3" s="1"/>
  <c r="F383" i="3" s="1"/>
  <c r="F384" i="3" s="1"/>
  <c r="F385" i="3" s="1"/>
  <c r="F386" i="3" s="1"/>
  <c r="F387" i="3" s="1"/>
  <c r="F388" i="3" s="1"/>
  <c r="F389" i="3" s="1"/>
  <c r="F390" i="3" s="1"/>
  <c r="F391" i="3" s="1"/>
  <c r="F392" i="3" s="1"/>
  <c r="F393" i="3" s="1"/>
  <c r="F394" i="3" s="1"/>
  <c r="F395" i="3" s="1"/>
  <c r="F396" i="3" s="1"/>
  <c r="F397" i="3" s="1"/>
  <c r="F398" i="3" s="1"/>
  <c r="F399" i="3" s="1"/>
  <c r="F400" i="3" s="1"/>
  <c r="F401" i="3" s="1"/>
  <c r="F402" i="3" s="1"/>
  <c r="F403" i="3" s="1"/>
  <c r="F404" i="3" s="1"/>
  <c r="F405" i="3" s="1"/>
  <c r="F406" i="3" s="1"/>
  <c r="F407" i="3" s="1"/>
  <c r="F408" i="3" s="1"/>
  <c r="F409" i="3" s="1"/>
  <c r="F410" i="3" s="1"/>
  <c r="F411" i="3" s="1"/>
  <c r="F412" i="3" s="1"/>
  <c r="F413" i="3" s="1"/>
  <c r="F414" i="3" s="1"/>
  <c r="F415" i="3" s="1"/>
  <c r="F416" i="3" s="1"/>
  <c r="F417" i="3" s="1"/>
  <c r="F418" i="3" s="1"/>
  <c r="F419" i="3" s="1"/>
  <c r="F420" i="3" s="1"/>
  <c r="F421" i="3" s="1"/>
  <c r="F422" i="3" s="1"/>
  <c r="F423" i="3" s="1"/>
  <c r="F424" i="3" s="1"/>
  <c r="F425" i="3" s="1"/>
  <c r="F426" i="3" s="1"/>
  <c r="F427" i="3" s="1"/>
  <c r="F428" i="3" s="1"/>
  <c r="F429" i="3" s="1"/>
  <c r="F430" i="3" s="1"/>
  <c r="F431" i="3" s="1"/>
  <c r="F432" i="3" s="1"/>
  <c r="F433" i="3" s="1"/>
  <c r="F434" i="3" s="1"/>
  <c r="F435" i="3" s="1"/>
  <c r="F436" i="3" s="1"/>
  <c r="F437" i="3" s="1"/>
  <c r="F438" i="3" s="1"/>
  <c r="F439" i="3" s="1"/>
  <c r="F440" i="3" s="1"/>
  <c r="F441" i="3" s="1"/>
  <c r="F442" i="3" s="1"/>
  <c r="F443" i="3" s="1"/>
  <c r="F444" i="3" s="1"/>
  <c r="F445" i="3" s="1"/>
  <c r="F446" i="3" s="1"/>
  <c r="F447" i="3" s="1"/>
  <c r="F448" i="3" s="1"/>
  <c r="F449" i="3" s="1"/>
  <c r="F450" i="3" s="1"/>
  <c r="F451" i="3" s="1"/>
  <c r="F452" i="3" s="1"/>
  <c r="F453" i="3" s="1"/>
  <c r="F454" i="3" s="1"/>
  <c r="F455" i="3" s="1"/>
  <c r="F456" i="3" s="1"/>
  <c r="F457" i="3" s="1"/>
  <c r="F458" i="3" s="1"/>
  <c r="F459" i="3" s="1"/>
  <c r="F460" i="3" s="1"/>
  <c r="F461" i="3" s="1"/>
  <c r="F462" i="3" s="1"/>
  <c r="F463" i="3" s="1"/>
  <c r="F464" i="3" s="1"/>
  <c r="F465" i="3" s="1"/>
  <c r="F466" i="3" s="1"/>
  <c r="F467" i="3" s="1"/>
  <c r="F468" i="3" s="1"/>
  <c r="F469" i="3" s="1"/>
  <c r="F470" i="3" s="1"/>
  <c r="F471" i="3" s="1"/>
  <c r="F472" i="3" s="1"/>
  <c r="F473" i="3" s="1"/>
  <c r="F474" i="3" s="1"/>
  <c r="F475" i="3" s="1"/>
  <c r="F476" i="3" s="1"/>
  <c r="F477" i="3" s="1"/>
  <c r="F478" i="3" s="1"/>
  <c r="F479" i="3" s="1"/>
  <c r="F480" i="3" s="1"/>
  <c r="F481" i="3" s="1"/>
  <c r="F482" i="3" s="1"/>
  <c r="F483" i="3" s="1"/>
  <c r="F484" i="3" s="1"/>
  <c r="F485" i="3" s="1"/>
  <c r="F486" i="3" s="1"/>
  <c r="F487" i="3" s="1"/>
  <c r="F488" i="3" s="1"/>
  <c r="F489" i="3" s="1"/>
  <c r="F490" i="3" s="1"/>
  <c r="F491" i="3" s="1"/>
  <c r="F492" i="3" s="1"/>
  <c r="F493" i="3" s="1"/>
  <c r="F494" i="3" s="1"/>
  <c r="F495" i="3" s="1"/>
  <c r="F496" i="3" s="1"/>
  <c r="F497" i="3" s="1"/>
  <c r="F498" i="3" s="1"/>
  <c r="F499" i="3" s="1"/>
  <c r="F500" i="3" s="1"/>
  <c r="F501" i="3" s="1"/>
  <c r="F502" i="3" s="1"/>
  <c r="F503" i="3" s="1"/>
  <c r="F504" i="3" s="1"/>
  <c r="F505" i="3" s="1"/>
  <c r="F506" i="3" s="1"/>
  <c r="F507" i="3" s="1"/>
  <c r="F508" i="3" s="1"/>
  <c r="F509" i="3" s="1"/>
  <c r="F510" i="3" s="1"/>
  <c r="F511" i="3" s="1"/>
  <c r="F512" i="3" s="1"/>
  <c r="F513" i="3" s="1"/>
  <c r="F514" i="3" s="1"/>
  <c r="F515" i="3" s="1"/>
  <c r="F516" i="3" s="1"/>
  <c r="F517" i="3" s="1"/>
  <c r="F518" i="3" s="1"/>
  <c r="F519" i="3" s="1"/>
  <c r="F520" i="3" s="1"/>
  <c r="F521" i="3" s="1"/>
  <c r="F522" i="3" s="1"/>
  <c r="F523" i="3" s="1"/>
  <c r="F524" i="3" s="1"/>
  <c r="F525" i="3" s="1"/>
  <c r="F526" i="3" s="1"/>
  <c r="F527" i="3" s="1"/>
  <c r="F528" i="3" s="1"/>
  <c r="F529" i="3" s="1"/>
  <c r="F530" i="3" s="1"/>
  <c r="F531" i="3" s="1"/>
  <c r="F532" i="3" s="1"/>
  <c r="F533" i="3" s="1"/>
  <c r="F534" i="3" s="1"/>
  <c r="F535" i="3" s="1"/>
  <c r="F536" i="3" s="1"/>
  <c r="F537" i="3" s="1"/>
  <c r="F538" i="3" s="1"/>
  <c r="F539" i="3" s="1"/>
  <c r="F540" i="3" s="1"/>
  <c r="F541" i="3" s="1"/>
  <c r="F542" i="3" s="1"/>
  <c r="F543" i="3" s="1"/>
  <c r="F544" i="3" s="1"/>
  <c r="F545" i="3" s="1"/>
  <c r="F546" i="3" s="1"/>
  <c r="F547" i="3" s="1"/>
  <c r="F548" i="3" s="1"/>
  <c r="F549" i="3" s="1"/>
  <c r="F550" i="3" s="1"/>
  <c r="F551" i="3" s="1"/>
  <c r="F552" i="3" s="1"/>
  <c r="F553" i="3" s="1"/>
  <c r="F554" i="3" s="1"/>
  <c r="F555" i="3" s="1"/>
  <c r="F556" i="3" s="1"/>
  <c r="F557" i="3" s="1"/>
  <c r="F558" i="3" s="1"/>
  <c r="F559" i="3" s="1"/>
  <c r="F560" i="3" s="1"/>
  <c r="F561" i="3" s="1"/>
  <c r="F562" i="3" s="1"/>
  <c r="F563" i="3" s="1"/>
  <c r="F564" i="3" s="1"/>
  <c r="F565" i="3" s="1"/>
  <c r="F566" i="3" s="1"/>
  <c r="F567" i="3" s="1"/>
  <c r="F568" i="3" s="1"/>
  <c r="F569" i="3" s="1"/>
  <c r="F570" i="3" s="1"/>
  <c r="F571" i="3" s="1"/>
  <c r="F572" i="3" s="1"/>
  <c r="F573" i="3" s="1"/>
  <c r="F574" i="3" s="1"/>
  <c r="F575" i="3" s="1"/>
  <c r="F576" i="3" s="1"/>
  <c r="F577" i="3" s="1"/>
  <c r="F578" i="3" s="1"/>
  <c r="F579" i="3" s="1"/>
  <c r="F580" i="3" s="1"/>
  <c r="F581" i="3" s="1"/>
  <c r="F582" i="3" s="1"/>
  <c r="F583" i="3" s="1"/>
  <c r="F584" i="3" l="1"/>
  <c r="F585" i="3" s="1"/>
  <c r="F586" i="3" s="1"/>
  <c r="F587" i="3" s="1"/>
  <c r="F588" i="3" s="1"/>
  <c r="F589" i="3" s="1"/>
  <c r="F590" i="3" s="1"/>
  <c r="F591" i="3" s="1"/>
  <c r="F592" i="3" s="1"/>
  <c r="F593" i="3" s="1"/>
  <c r="F594" i="3" s="1"/>
  <c r="F595" i="3" s="1"/>
  <c r="F596" i="3" s="1"/>
  <c r="F597" i="3" s="1"/>
  <c r="F598" i="3" s="1"/>
  <c r="F599" i="3" s="1"/>
  <c r="F600" i="3" s="1"/>
  <c r="F601" i="3" s="1"/>
  <c r="F602" i="3" s="1"/>
  <c r="F603" i="3" s="1"/>
  <c r="F604" i="3" s="1"/>
  <c r="F605" i="3" s="1"/>
  <c r="F606" i="3" s="1"/>
  <c r="F607" i="3" s="1"/>
  <c r="F608" i="3" s="1"/>
  <c r="F609" i="3" s="1"/>
  <c r="F610" i="3" s="1"/>
  <c r="F611" i="3" s="1"/>
  <c r="F612" i="3" s="1"/>
  <c r="F613" i="3" s="1"/>
  <c r="F614" i="3" s="1"/>
  <c r="F615" i="3" s="1"/>
  <c r="F616" i="3" s="1"/>
  <c r="F617" i="3" s="1"/>
  <c r="F618" i="3" s="1"/>
  <c r="F619" i="3" s="1"/>
  <c r="F620" i="3" s="1"/>
  <c r="H6" i="3"/>
  <c r="AU56" i="3"/>
  <c r="V60" i="3" s="1"/>
  <c r="AU97" i="3"/>
  <c r="V100" i="3" s="1"/>
  <c r="U231" i="3"/>
  <c r="U463" i="3"/>
  <c r="U320" i="3"/>
  <c r="U476" i="3"/>
  <c r="U609" i="3"/>
  <c r="U611" i="3"/>
  <c r="U527" i="3"/>
  <c r="U133" i="3"/>
  <c r="U477" i="3"/>
  <c r="U226" i="3"/>
  <c r="U562" i="3"/>
  <c r="U265" i="3"/>
  <c r="U282" i="3"/>
  <c r="U178" i="3"/>
  <c r="U277" i="3"/>
  <c r="U517" i="3"/>
  <c r="U567" i="3"/>
  <c r="U485" i="3"/>
  <c r="U558" i="3"/>
  <c r="U368" i="3"/>
  <c r="U596" i="3"/>
  <c r="U551" i="3"/>
  <c r="U493" i="3"/>
  <c r="U80" i="3"/>
  <c r="U473" i="3"/>
  <c r="U230" i="3"/>
  <c r="U271" i="3"/>
  <c r="U561" i="3"/>
  <c r="U264" i="3"/>
  <c r="U491" i="3"/>
  <c r="U196" i="3"/>
  <c r="U357" i="3"/>
  <c r="U610" i="3"/>
  <c r="U259" i="3"/>
  <c r="U495" i="3"/>
  <c r="U311" i="3"/>
  <c r="U305" i="3"/>
  <c r="U362" i="3"/>
  <c r="U588" i="3"/>
  <c r="U337" i="3"/>
  <c r="U580" i="3"/>
  <c r="U516" i="3"/>
  <c r="U598" i="3"/>
  <c r="U177" i="3"/>
  <c r="U315" i="3"/>
  <c r="U99" i="3"/>
  <c r="U249" i="3"/>
  <c r="U529" i="3"/>
  <c r="U32" i="3"/>
  <c r="U193" i="3"/>
  <c r="U456" i="3"/>
  <c r="U254" i="3"/>
  <c r="U468" i="3"/>
  <c r="U418" i="3"/>
  <c r="U55" i="3"/>
  <c r="U252" i="3"/>
  <c r="U248" i="3"/>
  <c r="U223" i="3"/>
  <c r="U227" i="3"/>
  <c r="U189" i="3"/>
  <c r="U445" i="3"/>
  <c r="U30" i="3"/>
  <c r="U78" i="3"/>
  <c r="U281" i="3"/>
  <c r="U46" i="3"/>
  <c r="U394" i="3"/>
  <c r="U417" i="3"/>
  <c r="U138" i="3"/>
  <c r="U563" i="3"/>
  <c r="U156" i="3"/>
  <c r="U92" i="3"/>
  <c r="U422" i="3"/>
  <c r="U122" i="3"/>
  <c r="U348" i="3"/>
  <c r="U496" i="3"/>
  <c r="U162" i="3"/>
  <c r="U161" i="3"/>
  <c r="U447" i="3"/>
  <c r="U96" i="3"/>
  <c r="U483" i="3"/>
  <c r="U125" i="3"/>
  <c r="U79" i="3"/>
  <c r="U313" i="3"/>
  <c r="U409" i="3"/>
  <c r="U319" i="3"/>
  <c r="U399" i="3"/>
  <c r="U148" i="3"/>
  <c r="U209" i="3"/>
  <c r="U139" i="3"/>
  <c r="U470" i="3"/>
  <c r="U73" i="3"/>
  <c r="U415" i="3"/>
  <c r="U266" i="3"/>
  <c r="U443" i="3"/>
  <c r="U166" i="3"/>
  <c r="U355" i="3"/>
  <c r="U393" i="3"/>
  <c r="U21" i="3"/>
  <c r="U331" i="3"/>
  <c r="U503" i="3"/>
  <c r="U298" i="3"/>
  <c r="U35" i="3"/>
  <c r="U556" i="3"/>
  <c r="U283" i="3"/>
  <c r="U291" i="3"/>
  <c r="U546" i="3"/>
  <c r="U327" i="3"/>
  <c r="U187" i="3"/>
  <c r="U458" i="3"/>
  <c r="U247" i="3"/>
  <c r="U618" i="3"/>
  <c r="U619" i="3"/>
  <c r="U486" i="3"/>
  <c r="U27" i="3"/>
  <c r="U316" i="3"/>
  <c r="U278" i="3"/>
  <c r="U508" i="3"/>
  <c r="U570" i="3"/>
  <c r="U297" i="3"/>
  <c r="U192" i="3"/>
  <c r="U605" i="3"/>
  <c r="U215" i="3"/>
  <c r="U581" i="3"/>
  <c r="U323" i="3"/>
  <c r="U36" i="3"/>
  <c r="U115" i="3"/>
  <c r="U594" i="3"/>
  <c r="U361" i="3"/>
  <c r="U616" i="3"/>
  <c r="U560" i="3"/>
  <c r="U261" i="3"/>
  <c r="U481" i="3"/>
  <c r="U608" i="3"/>
  <c r="U170" i="3"/>
  <c r="U432" i="3"/>
  <c r="U340" i="3"/>
  <c r="U464" i="3"/>
  <c r="U287" i="3"/>
  <c r="U586" i="3"/>
  <c r="U552" i="3"/>
  <c r="U528" i="3"/>
  <c r="U565" i="3"/>
  <c r="U521" i="3"/>
  <c r="U455" i="3"/>
  <c r="U612" i="3"/>
  <c r="U155" i="3"/>
  <c r="U469" i="3"/>
  <c r="U587" i="3"/>
  <c r="U620" i="3"/>
  <c r="U307" i="3"/>
  <c r="U112" i="3"/>
  <c r="U530" i="3"/>
  <c r="U47" i="3"/>
  <c r="U343" i="3"/>
  <c r="U258" i="3"/>
  <c r="U225" i="3"/>
  <c r="U579" i="3"/>
  <c r="U322" i="3"/>
  <c r="U607" i="3"/>
  <c r="U480" i="3"/>
  <c r="U186" i="3"/>
  <c r="U220" i="3"/>
  <c r="U179" i="3"/>
  <c r="U519" i="3"/>
  <c r="U20" i="3"/>
  <c r="U50" i="3"/>
  <c r="U410" i="3"/>
  <c r="U90" i="3"/>
  <c r="U143" i="3"/>
  <c r="U181" i="3"/>
  <c r="U26" i="3"/>
  <c r="U126" i="3"/>
  <c r="U164" i="3"/>
  <c r="U426" i="3"/>
  <c r="U414" i="3"/>
  <c r="U421" i="3"/>
  <c r="U347" i="3"/>
  <c r="U72" i="3"/>
  <c r="U132" i="3"/>
  <c r="U407" i="3"/>
  <c r="U91" i="3"/>
  <c r="U165" i="3"/>
  <c r="U471" i="3"/>
  <c r="U59" i="3"/>
  <c r="U462" i="3"/>
  <c r="U465" i="3"/>
  <c r="U95" i="3"/>
  <c r="U617" i="3"/>
  <c r="U199" i="3"/>
  <c r="U114" i="3"/>
  <c r="U169" i="3"/>
  <c r="U299" i="3"/>
  <c r="U494" i="3"/>
  <c r="U270" i="3"/>
  <c r="U576" i="3"/>
  <c r="U111" i="3"/>
  <c r="U260" i="3"/>
  <c r="U251" i="3"/>
  <c r="U330" i="3"/>
  <c r="U555" i="3"/>
  <c r="U564" i="3"/>
  <c r="U472" i="3"/>
  <c r="U522" i="3"/>
  <c r="U221" i="3"/>
  <c r="U523" i="3"/>
  <c r="U106" i="3"/>
  <c r="U324" i="3"/>
  <c r="U484" i="3"/>
  <c r="U603" i="3"/>
  <c r="U49" i="3"/>
  <c r="U257" i="3"/>
  <c r="U504" i="3"/>
  <c r="U295" i="3"/>
  <c r="U321" i="3"/>
  <c r="U582" i="3"/>
  <c r="U206" i="3"/>
  <c r="U306" i="3"/>
  <c r="U509" i="3"/>
  <c r="U507" i="3"/>
  <c r="U499" i="3"/>
  <c r="U460" i="3"/>
  <c r="U140" i="3"/>
  <c r="U182" i="3"/>
  <c r="U358" i="3"/>
  <c r="U341" i="3"/>
  <c r="U467" i="3"/>
  <c r="U256" i="3"/>
  <c r="U224" i="3"/>
  <c r="U124" i="3"/>
  <c r="U604" i="3"/>
  <c r="U545" i="3"/>
  <c r="U487" i="3"/>
  <c r="U141" i="3"/>
  <c r="U136" i="3"/>
  <c r="U413" i="3"/>
  <c r="U514" i="3"/>
  <c r="U142" i="3"/>
  <c r="U121" i="3"/>
  <c r="U158" i="3"/>
  <c r="U33" i="3"/>
  <c r="U420" i="3"/>
  <c r="U15" i="3"/>
  <c r="U537" i="3"/>
  <c r="U81" i="3"/>
  <c r="U101" i="3"/>
  <c r="U151" i="3"/>
  <c r="U349" i="3"/>
  <c r="U526" i="3"/>
  <c r="U444" i="3"/>
  <c r="U429" i="3"/>
  <c r="U427" i="3"/>
  <c r="U8" i="3"/>
  <c r="U6" i="3"/>
  <c r="U154" i="3"/>
  <c r="U544" i="3"/>
  <c r="U127" i="3"/>
  <c r="U566" i="3"/>
  <c r="U354" i="3"/>
  <c r="U329" i="3"/>
  <c r="U286" i="3"/>
  <c r="U475" i="3"/>
  <c r="U58" i="3"/>
  <c r="U466" i="3"/>
  <c r="U201" i="3"/>
  <c r="U304" i="3"/>
  <c r="U461" i="3"/>
  <c r="U457" i="3"/>
  <c r="U14" i="3"/>
  <c r="U342" i="3"/>
  <c r="U554" i="3"/>
  <c r="U116" i="3"/>
  <c r="U253" i="3"/>
  <c r="U314" i="3"/>
  <c r="U498" i="3"/>
  <c r="U520" i="3"/>
  <c r="U159" i="3"/>
  <c r="U575" i="3"/>
  <c r="U60" i="3"/>
  <c r="U117" i="3"/>
  <c r="U25" i="3"/>
  <c r="U439" i="3"/>
  <c r="U19" i="3"/>
  <c r="U74" i="3"/>
  <c r="U356" i="3"/>
  <c r="U430" i="3"/>
  <c r="U538" i="3"/>
  <c r="U180" i="3"/>
  <c r="U85" i="3"/>
  <c r="U130" i="3"/>
  <c r="U105" i="3"/>
  <c r="U147" i="3"/>
  <c r="U216" i="3"/>
  <c r="U75" i="3"/>
  <c r="U497" i="3"/>
  <c r="U163" i="3"/>
  <c r="U542" i="3"/>
  <c r="U492" i="3"/>
  <c r="U436" i="3"/>
  <c r="U574" i="3"/>
  <c r="U222" i="3"/>
  <c r="U490" i="3"/>
  <c r="U595" i="3"/>
  <c r="U200" i="3"/>
  <c r="U557" i="3"/>
  <c r="U300" i="3"/>
  <c r="U531" i="3"/>
  <c r="U553" i="3"/>
  <c r="U459" i="3"/>
  <c r="U250" i="3"/>
  <c r="U210" i="3"/>
  <c r="U367" i="3"/>
  <c r="U328" i="3"/>
  <c r="U296" i="3"/>
  <c r="U54" i="3"/>
  <c r="U255" i="3"/>
  <c r="U334" i="3"/>
  <c r="U34" i="3"/>
  <c r="U229" i="3"/>
  <c r="U276" i="3"/>
  <c r="U478" i="3"/>
  <c r="U425" i="3"/>
  <c r="U599" i="3"/>
  <c r="U53" i="3"/>
  <c r="U312" i="3"/>
  <c r="U183" i="3"/>
  <c r="U489" i="3"/>
  <c r="U188" i="3"/>
  <c r="U615" i="3"/>
  <c r="U211" i="3"/>
  <c r="U303" i="3"/>
  <c r="U482" i="3"/>
  <c r="U176" i="3"/>
  <c r="U583" i="3"/>
  <c r="U559" i="3"/>
  <c r="U335" i="3"/>
  <c r="U518" i="3"/>
  <c r="U7" i="3"/>
  <c r="U571" i="3"/>
  <c r="U269" i="3"/>
  <c r="U290" i="3"/>
  <c r="U488" i="3"/>
  <c r="U359" i="3"/>
  <c r="U515" i="3"/>
  <c r="U593" i="3"/>
  <c r="U406" i="3"/>
  <c r="U145" i="3"/>
  <c r="U449" i="3"/>
  <c r="U150" i="3"/>
  <c r="U408" i="3"/>
  <c r="U113" i="3"/>
  <c r="U131" i="3"/>
  <c r="U144" i="3"/>
  <c r="U292" i="3"/>
  <c r="U18" i="3"/>
  <c r="U212" i="3"/>
  <c r="U360" i="3"/>
  <c r="U157" i="3"/>
  <c r="U606" i="3"/>
  <c r="U137" i="3"/>
  <c r="U398" i="3"/>
  <c r="U134" i="3"/>
  <c r="U474" i="3"/>
  <c r="U24" i="3"/>
  <c r="U363" i="3"/>
  <c r="U438" i="3"/>
  <c r="U435" i="3"/>
  <c r="U479" i="3"/>
  <c r="U76" i="3"/>
  <c r="U123" i="3"/>
  <c r="U104" i="3"/>
  <c r="U448" i="3"/>
  <c r="U82" i="3"/>
  <c r="U228" i="3"/>
  <c r="U437" i="3"/>
  <c r="U128" i="3"/>
  <c r="U89" i="3"/>
  <c r="U543" i="3"/>
  <c r="U336" i="3"/>
  <c r="U366" i="3"/>
  <c r="U152" i="3"/>
  <c r="U153" i="3"/>
  <c r="U100" i="3"/>
  <c r="U308" i="3"/>
  <c r="U397" i="3"/>
  <c r="U12" i="3"/>
  <c r="U602" i="3"/>
  <c r="U93" i="3"/>
  <c r="U431" i="3"/>
  <c r="U13" i="3"/>
  <c r="U94" i="3"/>
  <c r="U107" i="3"/>
  <c r="U416" i="3"/>
  <c r="U135" i="3"/>
  <c r="U500" i="3"/>
  <c r="U446" i="3"/>
  <c r="U146" i="3"/>
  <c r="U392" i="3"/>
  <c r="U405" i="3"/>
  <c r="U419" i="3"/>
  <c r="U77" i="3"/>
  <c r="U440" i="3"/>
  <c r="U9" i="3"/>
  <c r="U450" i="3"/>
  <c r="U539" i="3"/>
  <c r="U31" i="3"/>
  <c r="U346" i="3"/>
  <c r="U149" i="3"/>
  <c r="U536" i="3"/>
  <c r="U597" i="3"/>
  <c r="U88" i="3"/>
  <c r="U160" i="3"/>
  <c r="U428" i="3"/>
  <c r="U217" i="3"/>
  <c r="U129" i="3"/>
  <c r="Q12" i="2" l="1"/>
  <c r="S12" i="2" s="1"/>
  <c r="Q10" i="2"/>
  <c r="R10" i="2" s="1"/>
  <c r="Q3" i="2"/>
  <c r="R3" i="2" s="1"/>
  <c r="Q9" i="2"/>
  <c r="T9" i="2" s="1"/>
  <c r="Q16" i="2"/>
  <c r="S16" i="2" s="1"/>
  <c r="Q7" i="2"/>
  <c r="R7" i="2" s="1"/>
  <c r="Q4" i="2"/>
  <c r="R4" i="2" s="1"/>
  <c r="Q11" i="2"/>
  <c r="T11" i="2" s="1"/>
  <c r="Q15" i="2"/>
  <c r="T15" i="2" s="1"/>
  <c r="AU348" i="3" s="1"/>
  <c r="V348" i="3" s="1"/>
  <c r="Q2" i="2"/>
  <c r="S2" i="2" s="1"/>
  <c r="Q5" i="2"/>
  <c r="R5" i="2" s="1"/>
  <c r="Q8" i="2"/>
  <c r="S8" i="2" s="1"/>
  <c r="Q6" i="2"/>
  <c r="T6" i="2" s="1"/>
  <c r="Q13" i="2"/>
  <c r="S13" i="2" s="1"/>
  <c r="Q14" i="2"/>
  <c r="S14" i="2" s="1"/>
  <c r="H7" i="3"/>
  <c r="AU10" i="3"/>
  <c r="V14" i="3" s="1"/>
  <c r="V59" i="3"/>
  <c r="V101" i="3"/>
  <c r="V58" i="3"/>
  <c r="AU309" i="3"/>
  <c r="V99" i="3"/>
  <c r="R12" i="2" l="1"/>
  <c r="T12" i="2"/>
  <c r="T10" i="2"/>
  <c r="S10" i="2"/>
  <c r="R16" i="2"/>
  <c r="T4" i="2"/>
  <c r="S3" i="2"/>
  <c r="T16" i="2"/>
  <c r="T3" i="2"/>
  <c r="T7" i="2"/>
  <c r="S7" i="2"/>
  <c r="R9" i="2"/>
  <c r="S9" i="2"/>
  <c r="R11" i="2"/>
  <c r="S11" i="2"/>
  <c r="S4" i="2"/>
  <c r="T5" i="2"/>
  <c r="S15" i="2"/>
  <c r="R15" i="2"/>
  <c r="S5" i="2"/>
  <c r="R2" i="2"/>
  <c r="T2" i="2"/>
  <c r="R8" i="2"/>
  <c r="R13" i="2"/>
  <c r="T8" i="2"/>
  <c r="AU331" i="3" s="1"/>
  <c r="V331" i="3" s="1"/>
  <c r="T13" i="2"/>
  <c r="S6" i="2"/>
  <c r="R6" i="2"/>
  <c r="R14" i="2"/>
  <c r="T14" i="2"/>
  <c r="AU546" i="3" s="1"/>
  <c r="V546" i="3" s="1"/>
  <c r="V15" i="3"/>
  <c r="H8" i="3"/>
  <c r="AU524" i="3"/>
  <c r="V527" i="3" s="1"/>
  <c r="V12" i="3"/>
  <c r="V13" i="3"/>
  <c r="V313" i="3"/>
  <c r="V315" i="3"/>
  <c r="V316" i="3"/>
  <c r="V314" i="3"/>
  <c r="V311" i="3"/>
  <c r="V312" i="3"/>
  <c r="H9" i="3" l="1"/>
  <c r="V530" i="3"/>
  <c r="V531" i="3"/>
  <c r="V526" i="3"/>
  <c r="V528" i="3"/>
  <c r="V529" i="3"/>
  <c r="H10" i="3" l="1"/>
  <c r="W12" i="3"/>
  <c r="W18" i="3"/>
  <c r="H11" i="3" l="1"/>
  <c r="W101" i="3"/>
  <c r="W100" i="3"/>
  <c r="W99" i="3"/>
  <c r="H12" i="3" l="1"/>
  <c r="H13" i="3" l="1"/>
  <c r="H14" i="3" l="1"/>
  <c r="H15" i="3" l="1"/>
  <c r="H16" i="3" l="1"/>
  <c r="H17" i="3" l="1"/>
  <c r="H18" i="3" l="1"/>
  <c r="H19" i="3" l="1"/>
  <c r="H20" i="3" l="1"/>
  <c r="H21" i="3" l="1"/>
  <c r="H22" i="3" l="1"/>
  <c r="H23" i="3" l="1"/>
  <c r="H24" i="3" l="1"/>
  <c r="H25" i="3" l="1"/>
  <c r="H26" i="3" l="1"/>
  <c r="H27" i="3" l="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H88" i="3" s="1"/>
  <c r="H89" i="3" s="1"/>
  <c r="H90" i="3" s="1"/>
  <c r="H91" i="3" s="1"/>
  <c r="H92" i="3" s="1"/>
  <c r="H93" i="3" s="1"/>
  <c r="H94" i="3" s="1"/>
  <c r="H95" i="3" s="1"/>
  <c r="H96" i="3" s="1"/>
  <c r="H97" i="3" s="1"/>
  <c r="H98" i="3" s="1"/>
  <c r="H99" i="3" s="1"/>
  <c r="H100" i="3" s="1"/>
  <c r="H101" i="3" s="1"/>
  <c r="H102" i="3" s="1"/>
  <c r="H103" i="3" s="1"/>
  <c r="H104" i="3" s="1"/>
  <c r="H105" i="3" s="1"/>
  <c r="H106" i="3" s="1"/>
  <c r="H107" i="3" s="1"/>
  <c r="H108" i="3" s="1"/>
  <c r="H109" i="3" s="1"/>
  <c r="H110" i="3" s="1"/>
  <c r="H111" i="3" s="1"/>
  <c r="H112" i="3" s="1"/>
  <c r="H113" i="3" s="1"/>
  <c r="H114" i="3" s="1"/>
  <c r="H115" i="3" s="1"/>
  <c r="H116" i="3" s="1"/>
  <c r="H117" i="3" s="1"/>
  <c r="H118" i="3" s="1"/>
  <c r="H119" i="3" s="1"/>
  <c r="H120" i="3" s="1"/>
  <c r="H121" i="3" s="1"/>
  <c r="H122" i="3" s="1"/>
  <c r="H123" i="3" s="1"/>
  <c r="H124" i="3" l="1"/>
  <c r="H125" i="3" l="1"/>
  <c r="H126" i="3" l="1"/>
  <c r="H127" i="3" l="1"/>
  <c r="H128" i="3" l="1"/>
  <c r="H129" i="3" l="1"/>
  <c r="H130" i="3" l="1"/>
  <c r="H131" i="3" l="1"/>
  <c r="H132" i="3" l="1"/>
  <c r="H133" i="3" l="1"/>
  <c r="W313" i="3"/>
  <c r="W312" i="3"/>
  <c r="W311" i="3"/>
  <c r="W290" i="3"/>
  <c r="W249" i="3"/>
  <c r="W546" i="3"/>
  <c r="W522" i="3"/>
  <c r="W515" i="3"/>
  <c r="W514" i="3"/>
  <c r="W478" i="3"/>
  <c r="W292" i="3"/>
  <c r="W59" i="3"/>
  <c r="W60" i="3"/>
  <c r="W58" i="3"/>
  <c r="H134" i="3" l="1"/>
  <c r="DO17" i="2"/>
  <c r="DO15" i="2"/>
  <c r="DO16" i="2"/>
  <c r="DO13" i="2"/>
  <c r="DO14" i="2"/>
  <c r="DO11" i="2"/>
  <c r="DO12" i="2"/>
  <c r="DO5" i="2"/>
  <c r="DO6" i="2"/>
  <c r="DI71" i="1"/>
  <c r="DA71" i="1"/>
  <c r="DP12" i="2" l="1"/>
  <c r="DH12" i="2" s="1"/>
  <c r="DP14" i="2"/>
  <c r="DH14" i="2" s="1"/>
  <c r="DP16" i="2"/>
  <c r="DH16" i="2" s="1"/>
  <c r="DP17" i="2"/>
  <c r="DH17" i="2" s="1"/>
  <c r="DP6" i="2"/>
  <c r="DH6" i="2" s="1"/>
  <c r="DP5" i="2"/>
  <c r="DH5" i="2" s="1"/>
  <c r="DP11" i="2"/>
  <c r="DH11" i="2" s="1"/>
  <c r="DP13" i="2"/>
  <c r="DH13" i="2" s="1"/>
  <c r="DP15" i="2"/>
  <c r="DH15" i="2" s="1"/>
  <c r="H135" i="3"/>
  <c r="H136" i="3" l="1"/>
  <c r="H137" i="3" l="1"/>
  <c r="H138" i="3" l="1"/>
  <c r="W269" i="3"/>
  <c r="W136" i="3"/>
  <c r="W151" i="3"/>
  <c r="W314" i="3"/>
  <c r="W316" i="3"/>
  <c r="W14" i="3"/>
  <c r="W21" i="3"/>
  <c r="W19" i="3"/>
  <c r="CK71" i="1"/>
  <c r="CS71" i="1" s="1"/>
  <c r="W259" i="3"/>
  <c r="W523" i="3"/>
  <c r="W315" i="3"/>
  <c r="W13" i="3"/>
  <c r="W9" i="3"/>
  <c r="W8" i="3"/>
  <c r="W15" i="3"/>
  <c r="W7" i="3"/>
  <c r="W20" i="3"/>
  <c r="H139" i="3" l="1"/>
  <c r="H140" i="3" l="1"/>
  <c r="H141" i="3" l="1"/>
  <c r="H142" i="3" l="1"/>
  <c r="H143" i="3" l="1"/>
  <c r="H144" i="3" l="1"/>
  <c r="H145" i="3" l="1"/>
  <c r="H146" i="3" l="1"/>
  <c r="H147" i="3" l="1"/>
  <c r="H148" i="3" l="1"/>
  <c r="H149" i="3" l="1"/>
  <c r="L75" i="1"/>
  <c r="AH74" i="1"/>
  <c r="AH75" i="1"/>
  <c r="H150" i="3" l="1"/>
  <c r="H151" i="3" l="1"/>
  <c r="H152" i="3" l="1"/>
  <c r="H153" i="3" l="1"/>
  <c r="H154" i="3" l="1"/>
  <c r="H155" i="3" l="1"/>
  <c r="H156" i="3" l="1"/>
  <c r="H157" i="3" l="1"/>
  <c r="H158" i="3" s="1"/>
  <c r="H159" i="3" s="1"/>
  <c r="H160" i="3" s="1"/>
  <c r="H161" i="3" s="1"/>
  <c r="H162" i="3" s="1"/>
  <c r="H163" i="3" s="1"/>
  <c r="H164" i="3" s="1"/>
  <c r="H165" i="3" s="1"/>
  <c r="H166" i="3" s="1"/>
  <c r="H167" i="3" s="1"/>
  <c r="H168" i="3" s="1"/>
  <c r="H169" i="3" s="1"/>
  <c r="H170" i="3" s="1"/>
  <c r="H171" i="3" s="1"/>
  <c r="H172" i="3" s="1"/>
  <c r="H173" i="3" s="1"/>
  <c r="H174" i="3" s="1"/>
  <c r="H175" i="3" s="1"/>
  <c r="H176" i="3" s="1"/>
  <c r="H177" i="3" s="1"/>
  <c r="H178" i="3" s="1"/>
  <c r="H179" i="3" s="1"/>
  <c r="H180" i="3" s="1"/>
  <c r="H181" i="3" s="1"/>
  <c r="H182" i="3" s="1"/>
  <c r="H183" i="3" s="1"/>
  <c r="H184" i="3" s="1"/>
  <c r="H185" i="3" s="1"/>
  <c r="H186" i="3" s="1"/>
  <c r="H187" i="3" s="1"/>
  <c r="H188" i="3" s="1"/>
  <c r="H189" i="3" s="1"/>
  <c r="H190" i="3" s="1"/>
  <c r="H191" i="3" s="1"/>
  <c r="H192" i="3" s="1"/>
  <c r="H193" i="3" s="1"/>
  <c r="H194" i="3" s="1"/>
  <c r="H195" i="3" s="1"/>
  <c r="H196" i="3" s="1"/>
  <c r="H197" i="3" s="1"/>
  <c r="H198" i="3" s="1"/>
  <c r="H199" i="3" s="1"/>
  <c r="H200" i="3" s="1"/>
  <c r="H201" i="3" s="1"/>
  <c r="H202" i="3" s="1"/>
  <c r="H203" i="3" s="1"/>
  <c r="H204" i="3" s="1"/>
  <c r="H205" i="3" s="1"/>
  <c r="H206" i="3" s="1"/>
  <c r="H207" i="3" s="1"/>
  <c r="H208" i="3" s="1"/>
  <c r="H209" i="3" s="1"/>
  <c r="H210" i="3" s="1"/>
  <c r="H211" i="3" s="1"/>
  <c r="H212" i="3" s="1"/>
  <c r="H213" i="3" s="1"/>
  <c r="H214" i="3" s="1"/>
  <c r="H215" i="3" s="1"/>
  <c r="H216" i="3" s="1"/>
  <c r="H217" i="3" s="1"/>
  <c r="H218" i="3" s="1"/>
  <c r="H219" i="3" s="1"/>
  <c r="H220" i="3" s="1"/>
  <c r="H221" i="3" s="1"/>
  <c r="H222" i="3" s="1"/>
  <c r="H223" i="3" s="1"/>
  <c r="H224" i="3" s="1"/>
  <c r="H225" i="3" s="1"/>
  <c r="H226" i="3" s="1"/>
  <c r="H227" i="3" s="1"/>
  <c r="H228" i="3" s="1"/>
  <c r="H229" i="3" s="1"/>
  <c r="H230" i="3" s="1"/>
  <c r="H231" i="3" s="1"/>
  <c r="H232" i="3" l="1"/>
  <c r="H233" i="3" s="1"/>
  <c r="H234" i="3" s="1"/>
  <c r="H235" i="3" s="1"/>
  <c r="H236" i="3" s="1"/>
  <c r="H237" i="3" s="1"/>
  <c r="H238" i="3" s="1"/>
  <c r="H239" i="3" s="1"/>
  <c r="H240" i="3" s="1"/>
  <c r="H241" i="3" s="1"/>
  <c r="H242" i="3" s="1"/>
  <c r="H243" i="3" s="1"/>
  <c r="H244" i="3" s="1"/>
  <c r="H245" i="3" s="1"/>
  <c r="H246" i="3" s="1"/>
  <c r="H247" i="3" s="1"/>
  <c r="H248" i="3" s="1"/>
  <c r="H249" i="3" s="1"/>
  <c r="H250" i="3" s="1"/>
  <c r="H251" i="3" s="1"/>
  <c r="H252" i="3" s="1"/>
  <c r="H253" i="3" s="1"/>
  <c r="H254" i="3" s="1"/>
  <c r="H255" i="3" s="1"/>
  <c r="H256" i="3" s="1"/>
  <c r="H257" i="3" s="1"/>
  <c r="H258" i="3" s="1"/>
  <c r="H259" i="3" s="1"/>
  <c r="H260" i="3" s="1"/>
  <c r="H261" i="3" s="1"/>
  <c r="H262" i="3" s="1"/>
  <c r="H263" i="3" s="1"/>
  <c r="H264" i="3" s="1"/>
  <c r="H265" i="3" s="1"/>
  <c r="H266" i="3" s="1"/>
  <c r="H267" i="3" s="1"/>
  <c r="H268" i="3" s="1"/>
  <c r="H269" i="3" s="1"/>
  <c r="H270" i="3" s="1"/>
  <c r="H271" i="3" s="1"/>
  <c r="H272" i="3" s="1"/>
  <c r="H273" i="3" s="1"/>
  <c r="H274" i="3" s="1"/>
  <c r="H275" i="3" s="1"/>
  <c r="H276" i="3" s="1"/>
  <c r="H277" i="3" s="1"/>
  <c r="H278" i="3" s="1"/>
  <c r="H279" i="3" s="1"/>
  <c r="H280" i="3" s="1"/>
  <c r="H281" i="3" s="1"/>
  <c r="H282" i="3" s="1"/>
  <c r="H283" i="3" s="1"/>
  <c r="H284" i="3" s="1"/>
  <c r="H285" i="3" s="1"/>
  <c r="H286" i="3" s="1"/>
  <c r="H287" i="3" s="1"/>
  <c r="H288" i="3" s="1"/>
  <c r="H289" i="3" s="1"/>
  <c r="H290" i="3" s="1"/>
  <c r="H291" i="3" s="1"/>
  <c r="H292" i="3" s="1"/>
  <c r="H293" i="3" s="1"/>
  <c r="H294" i="3" s="1"/>
  <c r="H295" i="3" s="1"/>
  <c r="H296" i="3" s="1"/>
  <c r="H297" i="3" s="1"/>
  <c r="H298" i="3" s="1"/>
  <c r="H299" i="3" s="1"/>
  <c r="H300" i="3" s="1"/>
  <c r="H301" i="3" s="1"/>
  <c r="H302" i="3" s="1"/>
  <c r="H303" i="3" s="1"/>
  <c r="H304" i="3" s="1"/>
  <c r="H305" i="3" s="1"/>
  <c r="H306" i="3" s="1"/>
  <c r="H307" i="3" s="1"/>
  <c r="H308" i="3" s="1"/>
  <c r="H309" i="3" s="1"/>
  <c r="H310" i="3" s="1"/>
  <c r="H311" i="3" s="1"/>
  <c r="H312" i="3" s="1"/>
  <c r="H313" i="3" s="1"/>
  <c r="H314" i="3" s="1"/>
  <c r="H315" i="3" s="1"/>
  <c r="H316" i="3" s="1"/>
  <c r="H317" i="3" s="1"/>
  <c r="H318" i="3" s="1"/>
  <c r="H319" i="3" s="1"/>
  <c r="H320" i="3" s="1"/>
  <c r="H321" i="3" s="1"/>
  <c r="H322" i="3" s="1"/>
  <c r="H323" i="3" s="1"/>
  <c r="H324" i="3" s="1"/>
  <c r="H325" i="3" s="1"/>
  <c r="H326" i="3" s="1"/>
  <c r="H327" i="3" s="1"/>
  <c r="H328" i="3" s="1"/>
  <c r="H329" i="3" s="1"/>
  <c r="H330" i="3" s="1"/>
  <c r="H331" i="3" s="1"/>
  <c r="H332" i="3" s="1"/>
  <c r="H333" i="3" s="1"/>
  <c r="H334" i="3" s="1"/>
  <c r="H335" i="3" s="1"/>
  <c r="H336" i="3" s="1"/>
  <c r="H337" i="3" s="1"/>
  <c r="H338" i="3" s="1"/>
  <c r="H339" i="3" s="1"/>
  <c r="H340" i="3" s="1"/>
  <c r="H341" i="3" s="1"/>
  <c r="H342" i="3" s="1"/>
  <c r="H343" i="3" s="1"/>
  <c r="H344" i="3" s="1"/>
  <c r="H345" i="3" s="1"/>
  <c r="H346" i="3" s="1"/>
  <c r="H347" i="3" s="1"/>
  <c r="H348" i="3" s="1"/>
  <c r="H349" i="3" s="1"/>
  <c r="H350" i="3" s="1"/>
  <c r="H351" i="3" s="1"/>
  <c r="H352" i="3" s="1"/>
  <c r="H353" i="3" s="1"/>
  <c r="H354" i="3" s="1"/>
  <c r="H355" i="3" s="1"/>
  <c r="H356" i="3" s="1"/>
  <c r="H357" i="3" s="1"/>
  <c r="H358" i="3" s="1"/>
  <c r="H359" i="3" s="1"/>
  <c r="H360" i="3" s="1"/>
  <c r="H361" i="3" s="1"/>
  <c r="H362" i="3" s="1"/>
  <c r="H363" i="3" s="1"/>
  <c r="H364" i="3" s="1"/>
  <c r="H365" i="3" s="1"/>
  <c r="H366" i="3" s="1"/>
  <c r="H367" i="3" s="1"/>
  <c r="H368" i="3" s="1"/>
  <c r="H369" i="3" s="1"/>
  <c r="H370" i="3" s="1"/>
  <c r="H371" i="3" s="1"/>
  <c r="H372" i="3" s="1"/>
  <c r="H373" i="3" s="1"/>
  <c r="H374" i="3" s="1"/>
  <c r="H375" i="3" s="1"/>
  <c r="H376" i="3" s="1"/>
  <c r="H377" i="3" s="1"/>
  <c r="H378" i="3" s="1"/>
  <c r="H379" i="3" s="1"/>
  <c r="H380" i="3" s="1"/>
  <c r="H381" i="3" s="1"/>
  <c r="H382" i="3" s="1"/>
  <c r="H383" i="3" s="1"/>
  <c r="H384" i="3" s="1"/>
  <c r="H385" i="3" s="1"/>
  <c r="H386" i="3" s="1"/>
  <c r="H387" i="3" s="1"/>
  <c r="H388" i="3" s="1"/>
  <c r="H389" i="3" s="1"/>
  <c r="H390" i="3" s="1"/>
  <c r="H391" i="3" s="1"/>
  <c r="H392" i="3" s="1"/>
  <c r="H393" i="3" s="1"/>
  <c r="H394" i="3" s="1"/>
  <c r="H395" i="3" s="1"/>
  <c r="H396" i="3" s="1"/>
  <c r="H397" i="3" s="1"/>
  <c r="H398" i="3" s="1"/>
  <c r="H399" i="3" s="1"/>
  <c r="H400" i="3" s="1"/>
  <c r="H401" i="3" s="1"/>
  <c r="H402" i="3" s="1"/>
  <c r="H403" i="3" s="1"/>
  <c r="H404" i="3" s="1"/>
  <c r="H405" i="3" s="1"/>
  <c r="H406" i="3" s="1"/>
  <c r="H407" i="3" s="1"/>
  <c r="H408" i="3" s="1"/>
  <c r="H409" i="3" s="1"/>
  <c r="H410" i="3" s="1"/>
  <c r="H411" i="3" s="1"/>
  <c r="H412" i="3" s="1"/>
  <c r="H413" i="3" s="1"/>
  <c r="H414" i="3" s="1"/>
  <c r="H415" i="3" s="1"/>
  <c r="H416" i="3" s="1"/>
  <c r="H417" i="3" s="1"/>
  <c r="H418" i="3" s="1"/>
  <c r="H419" i="3" s="1"/>
  <c r="H420" i="3" s="1"/>
  <c r="H421" i="3" s="1"/>
  <c r="H422" i="3" s="1"/>
  <c r="H423" i="3" s="1"/>
  <c r="H424" i="3" s="1"/>
  <c r="H425" i="3" s="1"/>
  <c r="H426" i="3" s="1"/>
  <c r="H427" i="3" s="1"/>
  <c r="H428" i="3" s="1"/>
  <c r="H429" i="3" s="1"/>
  <c r="H430" i="3" s="1"/>
  <c r="H431" i="3" s="1"/>
  <c r="H432" i="3" s="1"/>
  <c r="H433" i="3" s="1"/>
  <c r="H434" i="3" s="1"/>
  <c r="H435" i="3" s="1"/>
  <c r="H436" i="3" s="1"/>
  <c r="H437" i="3" s="1"/>
  <c r="H438" i="3" s="1"/>
  <c r="H439" i="3" s="1"/>
  <c r="H440" i="3" s="1"/>
  <c r="H441" i="3" s="1"/>
  <c r="H442" i="3" s="1"/>
  <c r="H443" i="3" s="1"/>
  <c r="H444" i="3" s="1"/>
  <c r="H445" i="3" s="1"/>
  <c r="H446" i="3" s="1"/>
  <c r="H447" i="3" s="1"/>
  <c r="H448" i="3" s="1"/>
  <c r="H449" i="3" s="1"/>
  <c r="H450" i="3" s="1"/>
  <c r="H451" i="3" s="1"/>
  <c r="H452" i="3" s="1"/>
  <c r="H453" i="3" s="1"/>
  <c r="H454" i="3" s="1"/>
  <c r="H455" i="3" s="1"/>
  <c r="H456" i="3" s="1"/>
  <c r="H457" i="3" s="1"/>
  <c r="H458" i="3" s="1"/>
  <c r="H459" i="3" s="1"/>
  <c r="H460" i="3" s="1"/>
  <c r="H461" i="3" s="1"/>
  <c r="H462" i="3" s="1"/>
  <c r="H463" i="3" s="1"/>
  <c r="H464" i="3" s="1"/>
  <c r="H465" i="3" s="1"/>
  <c r="H466" i="3" s="1"/>
  <c r="H467" i="3" s="1"/>
  <c r="H468" i="3" s="1"/>
  <c r="H469" i="3" s="1"/>
  <c r="H470" i="3" s="1"/>
  <c r="H471" i="3" s="1"/>
  <c r="H472" i="3" s="1"/>
  <c r="H473" i="3" s="1"/>
  <c r="H474" i="3" s="1"/>
  <c r="H475" i="3" s="1"/>
  <c r="H476" i="3" s="1"/>
  <c r="H477" i="3" s="1"/>
  <c r="H478" i="3" s="1"/>
  <c r="H479" i="3" s="1"/>
  <c r="H480" i="3" s="1"/>
  <c r="H481" i="3" s="1"/>
  <c r="H482" i="3" s="1"/>
  <c r="H483" i="3" s="1"/>
  <c r="H484" i="3" s="1"/>
  <c r="H485" i="3" s="1"/>
  <c r="H486" i="3" s="1"/>
  <c r="H487" i="3" s="1"/>
  <c r="H488" i="3" s="1"/>
  <c r="H489" i="3" s="1"/>
  <c r="H490" i="3" s="1"/>
  <c r="H491" i="3" s="1"/>
  <c r="H492" i="3" s="1"/>
  <c r="H493" i="3" s="1"/>
  <c r="H494" i="3" s="1"/>
  <c r="H495" i="3" s="1"/>
  <c r="H496" i="3" s="1"/>
  <c r="H497" i="3" s="1"/>
  <c r="H498" i="3" s="1"/>
  <c r="H499" i="3" s="1"/>
  <c r="H500" i="3" s="1"/>
  <c r="H501" i="3" s="1"/>
  <c r="H502" i="3" s="1"/>
  <c r="H503" i="3" s="1"/>
  <c r="H504" i="3" s="1"/>
  <c r="H505" i="3" s="1"/>
  <c r="H506" i="3" s="1"/>
  <c r="H507" i="3" s="1"/>
  <c r="H508" i="3" s="1"/>
  <c r="H509" i="3" s="1"/>
  <c r="H510" i="3" s="1"/>
  <c r="H511" i="3" s="1"/>
  <c r="H512" i="3" s="1"/>
  <c r="H513" i="3" s="1"/>
  <c r="H514" i="3" s="1"/>
  <c r="H515" i="3" s="1"/>
  <c r="H516" i="3" s="1"/>
  <c r="H517" i="3" s="1"/>
  <c r="H518" i="3" s="1"/>
  <c r="H519" i="3" s="1"/>
  <c r="H520" i="3" s="1"/>
  <c r="H521" i="3" s="1"/>
  <c r="H522" i="3" s="1"/>
  <c r="H523" i="3" s="1"/>
  <c r="H524" i="3" s="1"/>
  <c r="H525" i="3" s="1"/>
  <c r="H526" i="3" s="1"/>
  <c r="H527" i="3" s="1"/>
  <c r="H528" i="3" s="1"/>
  <c r="H529" i="3" s="1"/>
  <c r="H530" i="3" s="1"/>
  <c r="H531" i="3" s="1"/>
  <c r="H532" i="3" s="1"/>
  <c r="H533" i="3" s="1"/>
  <c r="H534" i="3" s="1"/>
  <c r="H535" i="3" s="1"/>
  <c r="H536" i="3" s="1"/>
  <c r="H537" i="3" s="1"/>
  <c r="H538" i="3" s="1"/>
  <c r="H539" i="3" s="1"/>
  <c r="H540" i="3" s="1"/>
  <c r="H541" i="3" s="1"/>
  <c r="H542" i="3" s="1"/>
  <c r="H543" i="3" s="1"/>
  <c r="H544" i="3" s="1"/>
  <c r="H545" i="3" s="1"/>
  <c r="H546" i="3" s="1"/>
  <c r="H547" i="3" s="1"/>
  <c r="H548" i="3" s="1"/>
  <c r="H549" i="3" s="1"/>
  <c r="H550" i="3" s="1"/>
  <c r="H551" i="3" s="1"/>
  <c r="H552" i="3" s="1"/>
  <c r="H553" i="3" s="1"/>
  <c r="H554" i="3" s="1"/>
  <c r="H555" i="3" s="1"/>
  <c r="H556" i="3" s="1"/>
  <c r="H557" i="3" s="1"/>
  <c r="H558" i="3" s="1"/>
  <c r="H559" i="3" s="1"/>
  <c r="H560" i="3" s="1"/>
  <c r="H561" i="3" s="1"/>
  <c r="H562" i="3" s="1"/>
  <c r="H563" i="3" s="1"/>
  <c r="H564" i="3" s="1"/>
  <c r="H565" i="3" s="1"/>
  <c r="H566" i="3" s="1"/>
  <c r="H567" i="3" s="1"/>
  <c r="H568" i="3" s="1"/>
  <c r="H569" i="3" s="1"/>
  <c r="H570" i="3" s="1"/>
  <c r="H571" i="3" s="1"/>
  <c r="H572" i="3" s="1"/>
  <c r="H573" i="3" s="1"/>
  <c r="H574" i="3" s="1"/>
  <c r="H575" i="3" s="1"/>
  <c r="H576" i="3" s="1"/>
  <c r="H577" i="3" s="1"/>
  <c r="H578" i="3" s="1"/>
  <c r="H579" i="3" s="1"/>
  <c r="H580" i="3" s="1"/>
  <c r="H581" i="3" s="1"/>
  <c r="H582" i="3" s="1"/>
  <c r="H583" i="3" s="1"/>
  <c r="H584" i="3" s="1"/>
  <c r="H585" i="3" s="1"/>
  <c r="H586" i="3" s="1"/>
  <c r="H587" i="3" s="1"/>
  <c r="H588" i="3" s="1"/>
  <c r="H589" i="3" s="1"/>
  <c r="H590" i="3" s="1"/>
  <c r="H591" i="3" s="1"/>
  <c r="H592" i="3" s="1"/>
  <c r="H593" i="3" s="1"/>
  <c r="H594" i="3" s="1"/>
  <c r="H595" i="3" s="1"/>
  <c r="H596" i="3" l="1"/>
  <c r="H597" i="3" l="1"/>
  <c r="H598" i="3" l="1"/>
  <c r="H599" i="3" l="1"/>
  <c r="H600" i="3" l="1"/>
  <c r="H601" i="3" l="1"/>
  <c r="H602" i="3" l="1"/>
  <c r="H603" i="3" l="1"/>
  <c r="H604" i="3" l="1"/>
  <c r="H605" i="3" l="1"/>
  <c r="H606" i="3" l="1"/>
  <c r="H607" i="3" l="1"/>
  <c r="H608" i="3" l="1"/>
  <c r="H609" i="3" l="1"/>
  <c r="H610" i="3" l="1"/>
  <c r="H611" i="3" l="1"/>
  <c r="H612" i="3" l="1"/>
  <c r="H613" i="3" l="1"/>
  <c r="H614" i="3" l="1"/>
  <c r="H615" i="3" l="1"/>
  <c r="H616" i="3" l="1"/>
  <c r="H617" i="3" l="1"/>
  <c r="H618" i="3" l="1"/>
  <c r="H619" i="3" l="1"/>
  <c r="H620" i="3" l="1"/>
  <c r="CK137" i="4" l="1"/>
  <c r="EC39" i="4"/>
  <c r="CK40" i="4"/>
  <c r="CK41" i="4"/>
  <c r="CK43" i="4"/>
  <c r="CK44" i="4"/>
  <c r="CK42" i="4"/>
  <c r="EC42" i="4"/>
  <c r="EC36" i="4"/>
  <c r="EC44" i="4"/>
  <c r="EC17" i="4"/>
  <c r="EC46" i="4"/>
  <c r="CK28" i="4"/>
  <c r="EC15" i="4"/>
  <c r="CK22" i="4"/>
  <c r="CK36" i="4"/>
  <c r="CK18" i="4"/>
  <c r="CK35" i="4"/>
  <c r="CK29" i="4"/>
  <c r="CK45" i="4"/>
  <c r="CK20" i="4"/>
  <c r="EC25" i="4"/>
  <c r="CK26" i="4"/>
  <c r="CK25" i="4"/>
  <c r="EC45" i="4"/>
  <c r="EC26" i="4"/>
  <c r="CK30" i="4"/>
  <c r="CK19" i="4"/>
  <c r="EC18" i="4"/>
  <c r="CK39" i="4"/>
  <c r="EC22" i="4"/>
  <c r="EC31" i="4"/>
  <c r="CK38" i="4"/>
  <c r="CK33" i="4"/>
  <c r="EC41" i="4"/>
  <c r="CK16" i="4"/>
  <c r="EC37" i="4"/>
  <c r="EC19" i="4"/>
  <c r="EC33" i="4"/>
  <c r="CK24" i="4"/>
  <c r="CK23" i="4"/>
  <c r="EC30" i="4"/>
  <c r="CK37" i="4"/>
  <c r="EC34" i="4"/>
  <c r="CK32" i="4"/>
  <c r="EC24" i="4"/>
  <c r="EC40" i="4"/>
  <c r="CK27" i="4"/>
  <c r="EC28" i="4"/>
  <c r="EC27" i="4"/>
  <c r="EC21" i="4"/>
  <c r="EC29" i="4"/>
  <c r="EC16" i="4"/>
  <c r="CK46" i="4"/>
  <c r="CK34" i="4"/>
  <c r="EC20" i="4"/>
  <c r="EC23" i="4"/>
  <c r="EC32" i="4"/>
  <c r="CK31" i="4"/>
  <c r="CK17" i="4"/>
  <c r="EC35" i="4"/>
  <c r="CK21" i="4"/>
  <c r="EC38" i="4"/>
  <c r="EC43" i="4"/>
  <c r="CK48" i="4"/>
  <c r="CK47" i="4"/>
  <c r="EC47" i="4"/>
  <c r="EC48" i="4"/>
  <c r="EC49" i="4"/>
  <c r="EC50" i="4"/>
  <c r="CK49" i="4"/>
  <c r="CK50" i="4"/>
  <c r="CK52" i="4"/>
  <c r="EC51" i="4"/>
  <c r="EC52" i="4"/>
  <c r="EC53" i="4"/>
  <c r="CK51" i="4"/>
  <c r="CK53" i="4"/>
  <c r="EC54" i="4"/>
  <c r="CK54" i="4"/>
  <c r="CK55" i="4"/>
  <c r="EC74" i="4"/>
  <c r="EC62" i="4"/>
  <c r="EC55" i="4"/>
  <c r="EC93" i="4"/>
  <c r="AC91" i="2"/>
  <c r="CK103" i="4"/>
  <c r="AC90" i="2"/>
  <c r="AC67" i="2"/>
  <c r="EC106" i="4"/>
  <c r="EC70" i="4"/>
  <c r="AC78" i="2"/>
  <c r="CK72" i="4"/>
  <c r="AC53" i="2"/>
  <c r="EC82" i="4"/>
  <c r="CK88" i="4"/>
  <c r="CK57" i="4"/>
  <c r="AC19" i="2"/>
  <c r="EC81" i="4"/>
  <c r="AC57" i="2"/>
  <c r="AC77" i="2"/>
  <c r="CK98" i="4"/>
  <c r="CK105" i="4"/>
  <c r="AC27" i="2"/>
  <c r="CK92" i="4"/>
  <c r="AC61" i="2"/>
  <c r="AC81" i="2"/>
  <c r="CK102" i="4"/>
  <c r="CK99" i="4"/>
  <c r="CK80" i="4"/>
  <c r="AC41" i="2"/>
  <c r="CK65" i="4"/>
  <c r="AC42" i="2"/>
  <c r="AC87" i="2"/>
  <c r="EC92" i="4"/>
  <c r="CK66" i="4"/>
  <c r="AC35" i="2"/>
  <c r="EC67" i="4"/>
  <c r="AC59" i="2"/>
  <c r="AC11" i="2"/>
  <c r="EC102" i="4"/>
  <c r="EC76" i="4"/>
  <c r="AC49" i="2"/>
  <c r="EC75" i="4"/>
  <c r="CK68" i="4"/>
  <c r="AC15" i="2"/>
  <c r="EC85" i="4"/>
  <c r="CK70" i="4"/>
  <c r="AC43" i="2"/>
  <c r="AC63" i="2"/>
  <c r="EC64" i="4"/>
  <c r="AC33" i="2"/>
  <c r="CK84" i="4"/>
  <c r="EC88" i="4"/>
  <c r="AC80" i="2"/>
  <c r="CK56" i="4"/>
  <c r="AC9" i="2"/>
  <c r="AC36" i="2"/>
  <c r="EC72" i="4"/>
  <c r="EC87" i="4"/>
  <c r="AC85" i="2"/>
  <c r="EC63" i="4"/>
  <c r="AC65" i="2"/>
  <c r="AC71" i="2"/>
  <c r="CK89" i="4"/>
  <c r="EC59" i="4"/>
  <c r="AC31" i="2"/>
  <c r="CK75" i="4"/>
  <c r="AC56" i="2"/>
  <c r="AC89" i="2"/>
  <c r="EC83" i="4"/>
  <c r="CK87" i="4"/>
  <c r="AC76" i="2"/>
  <c r="CK60" i="4"/>
  <c r="AC34" i="2"/>
  <c r="AC82" i="2"/>
  <c r="EC99" i="4"/>
  <c r="AC39" i="2"/>
  <c r="AC72" i="2"/>
  <c r="CK100" i="4"/>
  <c r="AC37" i="2"/>
  <c r="AC68" i="2"/>
  <c r="EC86" i="4"/>
  <c r="AC93" i="2"/>
  <c r="AC46" i="2"/>
  <c r="CK90" i="4"/>
  <c r="AC45" i="2"/>
  <c r="AC69" i="2"/>
  <c r="CK69" i="4"/>
  <c r="AC4" i="2"/>
  <c r="AC13" i="2"/>
  <c r="EC89" i="4"/>
  <c r="AC24" i="2"/>
  <c r="EC94" i="4"/>
  <c r="EC77" i="4"/>
  <c r="AC8" i="2"/>
  <c r="CK15" i="4"/>
  <c r="CK67" i="4"/>
  <c r="AC32" i="2"/>
  <c r="EC84" i="4"/>
  <c r="EC90" i="4"/>
  <c r="AC54" i="2"/>
  <c r="AC6" i="2"/>
  <c r="EC60" i="4"/>
  <c r="AC74" i="2"/>
  <c r="EC100" i="4"/>
  <c r="EC91" i="4"/>
  <c r="AC64" i="2"/>
  <c r="AC17" i="2"/>
  <c r="CK85" i="4"/>
  <c r="AC70" i="2"/>
  <c r="EC104" i="4"/>
  <c r="AC2" i="2"/>
  <c r="EC98" i="4"/>
  <c r="AC51" i="2"/>
  <c r="AC26" i="2"/>
  <c r="EC56" i="4"/>
  <c r="AC66" i="2"/>
  <c r="EC103" i="4"/>
  <c r="CK71" i="4"/>
  <c r="AC73" i="2"/>
  <c r="AC25" i="2"/>
  <c r="CK76" i="4"/>
  <c r="AC62" i="2"/>
  <c r="EC96" i="4"/>
  <c r="CK61" i="4"/>
  <c r="AC52" i="2"/>
  <c r="AC18" i="2"/>
  <c r="CK82" i="4"/>
  <c r="AC58" i="2"/>
  <c r="CK74" i="4"/>
  <c r="CK86" i="4"/>
  <c r="CK83" i="4"/>
  <c r="AC28" i="2"/>
  <c r="CK79" i="4"/>
  <c r="AC86" i="2"/>
  <c r="CK94" i="4"/>
  <c r="AC88" i="2"/>
  <c r="EC61" i="4"/>
  <c r="AC38" i="2"/>
  <c r="AC75" i="2"/>
  <c r="CK93" i="4"/>
  <c r="AC92" i="2"/>
  <c r="CK58" i="4"/>
  <c r="CK78" i="4"/>
  <c r="AC60" i="2"/>
  <c r="AC7" i="2"/>
  <c r="CK64" i="4"/>
  <c r="AC20" i="2"/>
  <c r="CK104" i="4"/>
  <c r="EC57" i="4"/>
  <c r="AC55" i="2"/>
  <c r="AC21" i="2"/>
  <c r="EC71" i="4"/>
  <c r="AC16" i="2"/>
  <c r="CK106" i="4"/>
  <c r="EC73" i="4"/>
  <c r="AC14" i="2"/>
  <c r="AC79" i="2"/>
  <c r="EC97" i="4"/>
  <c r="AC12" i="2"/>
  <c r="EC58" i="4"/>
  <c r="EC69" i="4"/>
  <c r="EC65" i="4"/>
  <c r="AC29" i="2"/>
  <c r="EC68" i="4"/>
  <c r="AC83" i="2"/>
  <c r="CK101" i="4"/>
  <c r="EC78" i="4"/>
  <c r="AC50" i="2"/>
  <c r="AC30" i="2"/>
  <c r="EC101" i="4"/>
  <c r="AC23" i="2"/>
  <c r="CK95" i="4"/>
  <c r="EC105" i="4"/>
  <c r="AC47" i="2"/>
  <c r="AC3" i="2"/>
  <c r="EC80" i="4"/>
  <c r="AC84" i="2"/>
  <c r="EC95" i="4"/>
  <c r="CK62" i="4"/>
  <c r="AC5" i="2"/>
  <c r="AC22" i="2"/>
  <c r="CK59" i="4"/>
  <c r="AC40" i="2"/>
  <c r="CK91" i="4"/>
  <c r="CK81" i="4"/>
  <c r="CK73" i="4"/>
  <c r="AC10" i="2"/>
  <c r="EC79" i="4"/>
  <c r="CK97" i="4"/>
  <c r="AC48" i="2"/>
  <c r="CK77" i="4"/>
  <c r="CK96" i="4"/>
  <c r="AC44" i="2"/>
  <c r="CK63" i="4"/>
  <c r="EC66" i="4"/>
  <c r="AC94" i="2"/>
  <c r="EC107" i="4"/>
  <c r="AC114" i="2"/>
  <c r="CK141" i="4"/>
  <c r="AC127" i="2"/>
  <c r="AC125" i="2"/>
  <c r="EC136" i="4"/>
  <c r="EC139" i="4"/>
  <c r="EC137" i="4"/>
  <c r="EM101" i="4"/>
  <c r="CK107" i="4"/>
  <c r="EC114" i="4"/>
  <c r="AC99" i="2"/>
  <c r="AC97" i="2"/>
  <c r="CK109" i="4"/>
  <c r="EC109" i="4"/>
  <c r="AC101" i="2"/>
  <c r="EC111" i="4"/>
  <c r="CK110" i="4"/>
  <c r="AC100" i="2"/>
  <c r="EC113" i="4"/>
  <c r="CK111" i="4"/>
  <c r="AC98" i="2"/>
  <c r="CK114" i="4"/>
  <c r="EC112" i="4"/>
  <c r="AC95" i="2"/>
  <c r="CK113" i="4"/>
  <c r="EC108" i="4"/>
  <c r="EC110" i="4"/>
  <c r="CK108" i="4"/>
  <c r="AC96" i="2"/>
  <c r="CK112" i="4"/>
  <c r="CK115" i="4"/>
  <c r="AC102" i="2"/>
  <c r="EC115" i="4"/>
  <c r="EC116" i="4"/>
  <c r="AC103" i="2"/>
  <c r="CK116" i="4"/>
  <c r="AC104" i="2"/>
  <c r="EC117" i="4"/>
  <c r="CK118" i="4"/>
  <c r="AC105" i="2"/>
  <c r="EC118" i="4"/>
  <c r="CK119" i="4"/>
  <c r="CK117" i="4"/>
  <c r="EC120" i="4"/>
  <c r="CK120" i="4"/>
  <c r="AC106" i="2"/>
  <c r="EC119" i="4"/>
  <c r="AC107" i="2"/>
  <c r="EC121" i="4"/>
  <c r="CK121" i="4"/>
  <c r="AC108" i="2"/>
  <c r="EC123" i="4"/>
  <c r="CK122" i="4"/>
  <c r="AC109" i="2"/>
  <c r="EC122" i="4"/>
  <c r="CK123" i="4"/>
  <c r="AC110" i="2"/>
  <c r="EC124" i="4"/>
  <c r="CK124" i="4"/>
  <c r="AC112" i="2"/>
  <c r="AC111" i="2"/>
  <c r="CK125" i="4"/>
  <c r="AC113" i="2"/>
  <c r="EC127" i="4"/>
  <c r="EC125" i="4"/>
  <c r="EC126" i="4"/>
  <c r="CK126" i="4"/>
  <c r="CK127" i="4"/>
  <c r="CK129" i="4"/>
  <c r="AC115" i="2"/>
  <c r="AC116" i="2"/>
  <c r="CK128" i="4"/>
  <c r="EC128" i="4"/>
  <c r="AC117" i="2"/>
  <c r="EC129" i="4"/>
  <c r="CK131" i="4"/>
  <c r="CK130" i="4"/>
  <c r="EC130" i="4"/>
  <c r="EC131" i="4"/>
  <c r="EC133" i="4"/>
  <c r="AC118" i="2"/>
  <c r="EC132" i="4"/>
  <c r="CK132" i="4"/>
  <c r="CK133" i="4"/>
  <c r="AC119" i="2"/>
  <c r="AC120" i="2"/>
  <c r="CK135" i="4"/>
  <c r="CK134" i="4"/>
  <c r="AC122" i="2"/>
  <c r="CK140" i="4"/>
  <c r="EC134" i="4"/>
  <c r="AC121" i="2"/>
  <c r="CK136" i="4"/>
  <c r="CK139" i="4"/>
  <c r="EC135" i="4"/>
  <c r="EC140" i="4"/>
  <c r="EC141" i="4"/>
  <c r="CK138" i="4"/>
  <c r="AC123" i="2"/>
  <c r="AC126" i="2"/>
  <c r="EC138" i="4"/>
  <c r="AC128" i="2"/>
  <c r="AC124" i="2"/>
  <c r="CK164" i="4"/>
  <c r="EC185" i="4"/>
  <c r="EC237" i="4"/>
  <c r="CK153" i="4"/>
  <c r="GE166" i="4"/>
  <c r="EM205" i="4"/>
  <c r="GE258" i="4"/>
  <c r="CK226" i="4"/>
  <c r="GE50" i="4"/>
  <c r="CK225" i="4"/>
  <c r="AC230" i="2"/>
  <c r="CK242" i="4"/>
  <c r="CK191" i="4"/>
  <c r="EC199" i="4"/>
  <c r="EM55" i="4"/>
  <c r="AC194" i="2"/>
  <c r="GE217" i="4"/>
  <c r="AC174" i="2"/>
  <c r="EM23" i="4"/>
  <c r="EC186" i="4"/>
  <c r="EM112" i="4"/>
  <c r="EC211" i="4"/>
  <c r="AC179" i="2"/>
  <c r="CK258" i="4"/>
  <c r="EM33" i="4"/>
  <c r="GE253" i="4"/>
  <c r="EM15" i="4"/>
  <c r="CK143" i="4"/>
  <c r="EM69" i="4"/>
  <c r="GE110" i="4"/>
  <c r="GE73" i="4"/>
  <c r="EM51" i="4"/>
  <c r="AC177" i="2"/>
  <c r="EM106" i="4"/>
  <c r="EC149" i="4"/>
  <c r="GE127" i="4"/>
  <c r="EM108" i="4"/>
  <c r="GE149" i="4"/>
  <c r="GE233" i="4"/>
  <c r="AC158" i="2"/>
  <c r="EM165" i="4"/>
  <c r="EC259" i="4"/>
  <c r="CK216" i="4"/>
  <c r="AC148" i="2"/>
  <c r="EM198" i="4"/>
  <c r="AC145" i="2"/>
  <c r="GE152" i="4"/>
  <c r="EM109" i="4"/>
  <c r="EM135" i="4"/>
  <c r="GE213" i="4"/>
  <c r="EC263" i="4"/>
  <c r="AC155" i="2"/>
  <c r="GE83" i="4"/>
  <c r="CK202" i="4"/>
  <c r="EC258" i="4"/>
  <c r="EM28" i="4"/>
  <c r="CK179" i="4"/>
  <c r="GE74" i="4"/>
  <c r="EC162" i="4"/>
  <c r="EM107" i="4"/>
  <c r="EM228" i="4"/>
  <c r="EM43" i="4"/>
  <c r="EC213" i="4"/>
  <c r="EM122" i="4"/>
  <c r="EM152" i="4"/>
  <c r="GE228" i="4"/>
  <c r="EM103" i="4"/>
  <c r="EM54" i="4"/>
  <c r="EC215" i="4"/>
  <c r="EM163" i="4"/>
  <c r="EC179" i="4"/>
  <c r="GE68" i="4"/>
  <c r="GE245" i="4"/>
  <c r="GE112" i="4"/>
  <c r="AC242" i="2"/>
  <c r="EM46" i="4"/>
  <c r="EC231" i="4"/>
  <c r="GE52" i="4"/>
  <c r="EC245" i="4"/>
  <c r="EM128" i="4"/>
  <c r="EM68" i="4"/>
  <c r="AC135" i="2"/>
  <c r="EC188" i="4"/>
  <c r="AC176" i="2"/>
  <c r="CK261" i="4"/>
  <c r="GE71" i="4"/>
  <c r="CK206" i="4"/>
  <c r="GE98" i="4"/>
  <c r="CK170" i="4"/>
  <c r="EC202" i="4"/>
  <c r="CK200" i="4"/>
  <c r="CK165" i="4"/>
  <c r="CK212" i="4"/>
  <c r="EC230" i="4"/>
  <c r="GE194" i="4"/>
  <c r="EC167" i="4"/>
  <c r="CK148" i="4"/>
  <c r="CK259" i="4"/>
  <c r="EM42" i="4"/>
  <c r="GE22" i="4"/>
  <c r="EC181" i="4"/>
  <c r="EM187" i="4"/>
  <c r="EM169" i="4"/>
  <c r="CK243" i="4"/>
  <c r="GE198" i="4"/>
  <c r="AC161" i="2"/>
  <c r="EC173" i="4"/>
  <c r="GE44" i="4"/>
  <c r="EM148" i="4"/>
  <c r="EM36" i="4"/>
  <c r="AC157" i="2"/>
  <c r="CK150" i="4"/>
  <c r="CK220" i="4"/>
  <c r="CK263" i="4"/>
  <c r="AC189" i="2"/>
  <c r="GE174" i="4"/>
  <c r="GE25" i="4"/>
  <c r="GE35" i="4"/>
  <c r="GE193" i="4"/>
  <c r="GE219" i="4"/>
  <c r="EM99" i="4"/>
  <c r="AC195" i="2"/>
  <c r="EC194" i="4"/>
  <c r="CK178" i="4"/>
  <c r="EM217" i="4"/>
  <c r="EM79" i="4"/>
  <c r="EM211" i="4"/>
  <c r="EM230" i="4"/>
  <c r="EM225" i="4"/>
  <c r="GE139" i="4"/>
  <c r="AC188" i="2"/>
  <c r="GE86" i="4"/>
  <c r="CK149" i="4"/>
  <c r="EC239" i="4"/>
  <c r="GE45" i="4"/>
  <c r="GE155" i="4"/>
  <c r="EC160" i="4"/>
  <c r="EM229" i="4"/>
  <c r="AC233" i="2"/>
  <c r="CK223" i="4"/>
  <c r="EM71" i="4"/>
  <c r="AC226" i="2"/>
  <c r="GE225" i="4"/>
  <c r="AC171" i="2"/>
  <c r="EC200" i="4"/>
  <c r="GE61" i="4"/>
  <c r="CK177" i="4"/>
  <c r="CK166" i="4"/>
  <c r="EC161" i="4"/>
  <c r="GE81" i="4"/>
  <c r="CK232" i="4"/>
  <c r="EM56" i="4"/>
  <c r="AC140" i="2"/>
  <c r="GE33" i="4"/>
  <c r="EC222" i="4"/>
  <c r="EC235" i="4"/>
  <c r="GE202" i="4"/>
  <c r="AC200" i="2"/>
  <c r="EC217" i="4"/>
  <c r="EM49" i="4"/>
  <c r="GE257" i="4"/>
  <c r="AC201" i="2"/>
  <c r="CK175" i="4"/>
  <c r="AC238" i="2"/>
  <c r="EC192" i="4"/>
  <c r="EM234" i="4"/>
  <c r="EM213" i="4"/>
  <c r="GE102" i="4"/>
  <c r="GE247" i="4"/>
  <c r="GE20" i="4"/>
  <c r="GE220" i="4"/>
  <c r="GE90" i="4"/>
  <c r="CK233" i="4"/>
  <c r="GE251" i="4"/>
  <c r="EM156" i="4"/>
  <c r="EM160" i="4"/>
  <c r="EM260" i="4"/>
  <c r="GE116" i="4"/>
  <c r="EC146" i="4"/>
  <c r="GE70" i="4"/>
  <c r="AC199" i="2"/>
  <c r="EM85" i="4"/>
  <c r="GE148" i="4"/>
  <c r="GE175" i="4"/>
  <c r="GE65" i="4"/>
  <c r="EM17" i="4"/>
  <c r="EM98" i="4"/>
  <c r="AC130" i="2"/>
  <c r="EM20" i="4"/>
  <c r="EC209" i="4"/>
  <c r="GE80" i="4"/>
  <c r="EM227" i="4"/>
  <c r="EM249" i="4"/>
  <c r="CK146" i="4"/>
  <c r="EM202" i="4"/>
  <c r="EM146" i="4"/>
  <c r="GE170" i="4"/>
  <c r="CK260" i="4"/>
  <c r="EM161" i="4"/>
  <c r="EM197" i="4"/>
  <c r="AC221" i="2"/>
  <c r="AC184" i="2"/>
  <c r="CK215" i="4"/>
  <c r="EM154" i="4"/>
  <c r="EC168" i="4"/>
  <c r="GE94" i="4"/>
  <c r="EC238" i="4"/>
  <c r="AC154" i="2"/>
  <c r="AC210" i="2"/>
  <c r="EM125" i="4"/>
  <c r="GE69" i="4"/>
  <c r="AC214" i="2"/>
  <c r="GE99" i="4"/>
  <c r="AC220" i="2"/>
  <c r="EM250" i="4"/>
  <c r="CK254" i="4"/>
  <c r="AC192" i="2"/>
  <c r="EM186" i="4"/>
  <c r="EM70" i="4"/>
  <c r="EM247" i="4"/>
  <c r="EC163" i="4"/>
  <c r="CK264" i="4"/>
  <c r="CK222" i="4"/>
  <c r="GE164" i="4"/>
  <c r="EM253" i="4"/>
  <c r="AC217" i="2"/>
  <c r="EM86" i="4"/>
  <c r="EM37" i="4"/>
  <c r="GE179" i="4"/>
  <c r="EM179" i="4"/>
  <c r="GE51" i="4"/>
  <c r="EM21" i="4"/>
  <c r="GE153" i="4"/>
  <c r="CK160" i="4"/>
  <c r="GE128" i="4"/>
  <c r="CK252" i="4"/>
  <c r="EM76" i="4"/>
  <c r="EC193" i="4"/>
  <c r="EM167" i="4"/>
  <c r="EM201" i="4"/>
  <c r="EC220" i="4"/>
  <c r="AC236" i="2"/>
  <c r="CK197" i="4"/>
  <c r="GE111" i="4"/>
  <c r="GE250" i="4"/>
  <c r="CK205" i="4"/>
  <c r="EM16" i="4"/>
  <c r="CK208" i="4"/>
  <c r="AC182" i="2"/>
  <c r="CK162" i="4"/>
  <c r="GE124" i="4"/>
  <c r="AC134" i="2"/>
  <c r="GE157" i="4"/>
  <c r="GE119" i="4"/>
  <c r="GE191" i="4"/>
  <c r="GE137" i="4"/>
  <c r="AC245" i="2"/>
  <c r="AC168" i="2"/>
  <c r="EC165" i="4"/>
  <c r="GE167" i="4"/>
  <c r="GE100" i="4"/>
  <c r="EC153" i="4"/>
  <c r="GE195" i="4"/>
  <c r="EM264" i="4"/>
  <c r="CK239" i="4"/>
  <c r="CK227" i="4"/>
  <c r="CK163" i="4"/>
  <c r="GE56" i="4"/>
  <c r="CK235" i="4"/>
  <c r="EM182" i="4"/>
  <c r="CK176" i="4"/>
  <c r="GE60" i="4"/>
  <c r="EM173" i="4"/>
  <c r="EM212" i="4"/>
  <c r="AC178" i="2"/>
  <c r="CK156" i="4"/>
  <c r="CK250" i="4"/>
  <c r="AC165" i="2"/>
  <c r="CK231" i="4"/>
  <c r="GE263" i="4"/>
  <c r="GE134" i="4"/>
  <c r="EM38" i="4"/>
  <c r="EC257" i="4"/>
  <c r="EM137" i="4"/>
  <c r="EC187" i="4"/>
  <c r="EC172" i="4"/>
  <c r="EM133" i="4"/>
  <c r="GE249" i="4"/>
  <c r="CK155" i="4"/>
  <c r="EM153" i="4"/>
  <c r="GE230" i="4"/>
  <c r="GE163" i="4"/>
  <c r="AC169" i="2"/>
  <c r="EM184" i="4"/>
  <c r="AC244" i="2"/>
  <c r="CK210" i="4"/>
  <c r="AC166" i="2"/>
  <c r="EM120" i="4"/>
  <c r="EC247" i="4"/>
  <c r="GE39" i="4"/>
  <c r="GE256" i="4"/>
  <c r="GE57" i="4"/>
  <c r="AC146" i="2"/>
  <c r="EC154" i="4"/>
  <c r="EM25" i="4"/>
  <c r="CK217" i="4"/>
  <c r="EM166" i="4"/>
  <c r="AC196" i="2"/>
  <c r="AC234" i="2"/>
  <c r="GE18" i="4"/>
  <c r="AC172" i="2"/>
  <c r="EM180" i="4"/>
  <c r="EM87" i="4"/>
  <c r="AC170" i="2"/>
  <c r="AC151" i="2"/>
  <c r="CK256" i="4"/>
  <c r="EM58" i="4"/>
  <c r="EM63" i="4"/>
  <c r="EC176" i="4"/>
  <c r="GE215" i="4"/>
  <c r="AC198" i="2"/>
  <c r="EM235" i="4"/>
  <c r="EC242" i="4"/>
  <c r="GE159" i="4"/>
  <c r="CK186" i="4"/>
  <c r="EM226" i="4"/>
  <c r="AC229" i="2"/>
  <c r="GE31" i="4"/>
  <c r="GE199" i="4"/>
  <c r="GE125" i="4"/>
  <c r="EC203" i="4"/>
  <c r="EC197" i="4"/>
  <c r="GE131" i="4"/>
  <c r="EM149" i="4"/>
  <c r="EM80" i="4"/>
  <c r="GE121" i="4"/>
  <c r="EM245" i="4"/>
  <c r="GE27" i="4"/>
  <c r="EC182" i="4"/>
  <c r="EM129" i="4"/>
  <c r="EM147" i="4"/>
  <c r="CK221" i="4"/>
  <c r="AC216" i="2"/>
  <c r="AC197" i="2"/>
  <c r="EC261" i="4"/>
  <c r="EC256" i="4"/>
  <c r="EM44" i="4"/>
  <c r="EM246" i="4"/>
  <c r="EC240" i="4"/>
  <c r="GE63" i="4"/>
  <c r="GE58" i="4"/>
  <c r="GE84" i="4"/>
  <c r="CK161" i="4"/>
  <c r="GE208" i="4"/>
  <c r="EM124" i="4"/>
  <c r="EM263" i="4"/>
  <c r="GE185" i="4"/>
  <c r="AC225" i="2"/>
  <c r="AC149" i="2"/>
  <c r="GE132" i="4"/>
  <c r="GE222" i="4"/>
  <c r="GE156" i="4"/>
  <c r="GE133" i="4"/>
  <c r="EM151" i="4"/>
  <c r="EM47" i="4"/>
  <c r="CK181" i="4"/>
  <c r="EM200" i="4"/>
  <c r="GE17" i="4"/>
  <c r="EM102" i="4"/>
  <c r="AC249" i="2"/>
  <c r="EM40" i="4"/>
  <c r="EM195" i="4"/>
  <c r="GE168" i="4"/>
  <c r="EC228" i="4"/>
  <c r="GE242" i="4"/>
  <c r="EM72" i="4"/>
  <c r="AC207" i="2"/>
  <c r="CK183" i="4"/>
  <c r="GE104" i="4"/>
  <c r="EM57" i="4"/>
  <c r="AC144" i="2"/>
  <c r="EM64" i="4"/>
  <c r="EC178" i="4"/>
  <c r="EC155" i="4"/>
  <c r="EC190" i="4"/>
  <c r="CK189" i="4"/>
  <c r="EC174" i="4"/>
  <c r="GE227" i="4"/>
  <c r="EM172" i="4"/>
  <c r="AC204" i="2"/>
  <c r="GE223" i="4"/>
  <c r="CK213" i="4"/>
  <c r="EM168" i="4"/>
  <c r="AC175" i="2"/>
  <c r="GE72" i="4"/>
  <c r="EM117" i="4"/>
  <c r="GE207" i="4"/>
  <c r="AC190" i="2"/>
  <c r="GE186" i="4"/>
  <c r="EC221" i="4"/>
  <c r="EM100" i="4"/>
  <c r="GE36" i="4"/>
  <c r="GE105" i="4"/>
  <c r="EM111" i="4"/>
  <c r="GE165" i="4"/>
  <c r="GE158" i="4"/>
  <c r="AC206" i="2"/>
  <c r="EM41" i="4"/>
  <c r="GE237" i="4"/>
  <c r="EM157" i="4"/>
  <c r="EM52" i="4"/>
  <c r="EM150" i="4"/>
  <c r="GE101" i="4"/>
  <c r="EC210" i="4"/>
  <c r="EC183" i="4"/>
  <c r="CK184" i="4"/>
  <c r="AC160" i="2"/>
  <c r="GE234" i="4"/>
  <c r="AC222" i="2"/>
  <c r="AC211" i="2"/>
  <c r="GE206" i="4"/>
  <c r="EM218" i="4"/>
  <c r="EC148" i="4"/>
  <c r="EC233" i="4"/>
  <c r="GE93" i="4"/>
  <c r="CK144" i="4"/>
  <c r="AC227" i="2"/>
  <c r="GE260" i="4"/>
  <c r="EC159" i="4"/>
  <c r="GE138" i="4"/>
  <c r="EM190" i="4"/>
  <c r="CK209" i="4"/>
  <c r="EM139" i="4"/>
  <c r="GE243" i="4"/>
  <c r="GE64" i="4"/>
  <c r="EM158" i="4"/>
  <c r="AC239" i="2"/>
  <c r="EM183" i="4"/>
  <c r="EM48" i="4"/>
  <c r="CK173" i="4"/>
  <c r="EM73" i="4"/>
  <c r="GE19" i="4"/>
  <c r="EM126" i="4"/>
  <c r="GE214" i="4"/>
  <c r="GE37" i="4"/>
  <c r="GE244" i="4"/>
  <c r="EM130" i="4"/>
  <c r="AC163" i="2"/>
  <c r="EM113" i="4"/>
  <c r="AC186" i="2"/>
  <c r="GE41" i="4"/>
  <c r="EM224" i="4"/>
  <c r="EC260" i="4"/>
  <c r="EM75" i="4"/>
  <c r="EM223" i="4"/>
  <c r="EC151" i="4"/>
  <c r="CK145" i="4"/>
  <c r="GE147" i="4"/>
  <c r="AC156" i="2"/>
  <c r="AC152" i="2"/>
  <c r="EM78" i="4"/>
  <c r="EC262" i="4"/>
  <c r="EC207" i="4"/>
  <c r="EM114" i="4"/>
  <c r="GE259" i="4"/>
  <c r="EM256" i="4"/>
  <c r="GE91" i="4"/>
  <c r="GE177" i="4"/>
  <c r="EM254" i="4"/>
  <c r="GE24" i="4"/>
  <c r="EC196" i="4"/>
  <c r="GE144" i="4"/>
  <c r="GE109" i="4"/>
  <c r="EC232" i="4"/>
  <c r="EM60" i="4"/>
  <c r="EM177" i="4"/>
  <c r="GE241" i="4"/>
  <c r="GE205" i="4"/>
  <c r="EC253" i="4"/>
  <c r="AC215" i="2"/>
  <c r="GE88" i="4"/>
  <c r="EM134" i="4"/>
  <c r="GE82" i="4"/>
  <c r="EM143" i="4"/>
  <c r="AC232" i="2"/>
  <c r="EM140" i="4"/>
  <c r="AC219" i="2"/>
  <c r="CK185" i="4"/>
  <c r="EM171" i="4"/>
  <c r="AC139" i="2"/>
  <c r="GE49" i="4"/>
  <c r="GE15" i="4"/>
  <c r="EC169" i="4"/>
  <c r="GE201" i="4"/>
  <c r="EC164" i="4"/>
  <c r="GE34" i="4"/>
  <c r="EC195" i="4"/>
  <c r="EM115" i="4"/>
  <c r="AC191" i="2"/>
  <c r="EM241" i="4"/>
  <c r="EC171" i="4"/>
  <c r="CK187" i="4"/>
  <c r="EM162" i="4"/>
  <c r="AC231" i="2"/>
  <c r="GE229" i="4"/>
  <c r="EM92" i="4"/>
  <c r="GE67" i="4"/>
  <c r="AC243" i="2"/>
  <c r="EC249" i="4"/>
  <c r="EC206" i="4"/>
  <c r="EC198" i="4"/>
  <c r="EM244" i="4"/>
  <c r="EM90" i="4"/>
  <c r="EM84" i="4"/>
  <c r="GE141" i="4"/>
  <c r="EC201" i="4"/>
  <c r="AC237" i="2"/>
  <c r="GE142" i="4"/>
  <c r="EM176" i="4"/>
  <c r="EM82" i="4"/>
  <c r="AC132" i="2"/>
  <c r="EC170" i="4"/>
  <c r="GE182" i="4"/>
  <c r="GE29" i="4"/>
  <c r="GE46" i="4"/>
  <c r="GE196" i="4"/>
  <c r="EM258" i="4"/>
  <c r="EM262" i="4"/>
  <c r="EC241" i="4"/>
  <c r="EM93" i="4"/>
  <c r="CK248" i="4"/>
  <c r="CK240" i="4"/>
  <c r="GE261" i="4"/>
  <c r="GE66" i="4"/>
  <c r="CK218" i="4"/>
  <c r="EM185" i="4"/>
  <c r="AC241" i="2"/>
  <c r="EC264" i="4"/>
  <c r="CK207" i="4"/>
  <c r="EC156" i="4"/>
  <c r="EM32" i="4"/>
  <c r="CK157" i="4"/>
  <c r="AC193" i="2"/>
  <c r="GE203" i="4"/>
  <c r="EC189" i="4"/>
  <c r="GE107" i="4"/>
  <c r="GE114" i="4"/>
  <c r="GE221" i="4"/>
  <c r="EM65" i="4"/>
  <c r="EM77" i="4"/>
  <c r="GE226" i="4"/>
  <c r="EC180" i="4"/>
  <c r="GE89" i="4"/>
  <c r="GE113" i="4"/>
  <c r="EC145" i="4"/>
  <c r="GE140" i="4"/>
  <c r="CK245" i="4"/>
  <c r="AC202" i="2"/>
  <c r="GE108" i="4"/>
  <c r="AC248" i="2"/>
  <c r="GE106" i="4"/>
  <c r="CK192" i="4"/>
  <c r="CK249" i="4"/>
  <c r="GE231" i="4"/>
  <c r="AC212" i="2"/>
  <c r="GE212" i="4"/>
  <c r="EM67" i="4"/>
  <c r="GE197" i="4"/>
  <c r="EM238" i="4"/>
  <c r="EC184" i="4"/>
  <c r="CK238" i="4"/>
  <c r="EC252" i="4"/>
  <c r="GE154" i="4"/>
  <c r="EM203" i="4"/>
  <c r="EM59" i="4"/>
  <c r="GE151" i="4"/>
  <c r="CK262" i="4"/>
  <c r="EM175" i="4"/>
  <c r="GE254" i="4"/>
  <c r="EC212" i="4"/>
  <c r="AC205" i="2"/>
  <c r="GE47" i="4"/>
  <c r="CK234" i="4"/>
  <c r="EM252" i="4"/>
  <c r="EM132" i="4"/>
  <c r="CK154" i="4"/>
  <c r="EC144" i="4"/>
  <c r="EC177" i="4"/>
  <c r="EM194" i="4"/>
  <c r="GE95" i="4"/>
  <c r="EC236" i="4"/>
  <c r="GE115" i="4"/>
  <c r="GE16" i="4"/>
  <c r="GE160" i="4"/>
  <c r="GE42" i="4"/>
  <c r="EC226" i="4"/>
  <c r="GE218" i="4"/>
  <c r="EM39" i="4"/>
  <c r="CK237" i="4"/>
  <c r="EM239" i="4"/>
  <c r="CK158" i="4"/>
  <c r="EM215" i="4"/>
  <c r="EM232" i="4"/>
  <c r="EM61" i="4"/>
  <c r="EC224" i="4"/>
  <c r="GE150" i="4"/>
  <c r="CK247" i="4"/>
  <c r="GE143" i="4"/>
  <c r="CK193" i="4"/>
  <c r="AC247" i="2"/>
  <c r="CK171" i="4"/>
  <c r="CK152" i="4"/>
  <c r="GE26" i="4"/>
  <c r="GE23" i="4"/>
  <c r="EM95" i="4"/>
  <c r="AC173" i="2"/>
  <c r="EM53" i="4"/>
  <c r="CK198" i="4"/>
  <c r="CK195" i="4"/>
  <c r="CK159" i="4"/>
  <c r="GE126" i="4"/>
  <c r="CK253" i="4"/>
  <c r="CK147" i="4"/>
  <c r="CK251" i="4"/>
  <c r="EM208" i="4"/>
  <c r="EM216" i="4"/>
  <c r="GE62" i="4"/>
  <c r="EM251" i="4"/>
  <c r="EC216" i="4"/>
  <c r="EC166" i="4"/>
  <c r="EC246" i="4"/>
  <c r="GE169" i="4"/>
  <c r="CK174" i="4"/>
  <c r="EC234" i="4"/>
  <c r="EM248" i="4"/>
  <c r="GE211" i="4"/>
  <c r="EM236" i="4"/>
  <c r="AC213" i="2"/>
  <c r="EM257" i="4"/>
  <c r="EM231" i="4"/>
  <c r="AC131" i="2"/>
  <c r="AC153" i="2"/>
  <c r="GE79" i="4"/>
  <c r="EC227" i="4"/>
  <c r="EM144" i="4"/>
  <c r="GE240" i="4"/>
  <c r="GE176" i="4"/>
  <c r="EM81" i="4"/>
  <c r="CK199" i="4"/>
  <c r="CK236" i="4"/>
  <c r="AC228" i="2"/>
  <c r="GE78" i="4"/>
  <c r="GE53" i="4"/>
  <c r="GE55" i="4"/>
  <c r="EM192" i="4"/>
  <c r="GE28" i="4"/>
  <c r="EM26" i="4"/>
  <c r="EM255" i="4"/>
  <c r="EM66" i="4"/>
  <c r="GE85" i="4"/>
  <c r="EM240" i="4"/>
  <c r="GE173" i="4"/>
  <c r="GE59" i="4"/>
  <c r="EM24" i="4"/>
  <c r="EM22" i="4"/>
  <c r="AC251" i="2"/>
  <c r="GE75" i="4"/>
  <c r="EM178" i="4"/>
  <c r="EM141" i="4"/>
  <c r="EC244" i="4"/>
  <c r="EM155" i="4"/>
  <c r="EM191" i="4"/>
  <c r="EM97" i="4"/>
  <c r="EM207" i="4"/>
  <c r="GE38" i="4"/>
  <c r="CK196" i="4"/>
  <c r="GE162" i="4"/>
  <c r="AC136" i="2"/>
  <c r="GE262" i="4"/>
  <c r="EM123" i="4"/>
  <c r="GE180" i="4"/>
  <c r="EM121" i="4"/>
  <c r="GE183" i="4"/>
  <c r="EM261" i="4"/>
  <c r="GE30" i="4"/>
  <c r="EC158" i="4"/>
  <c r="AC164" i="2"/>
  <c r="GE252" i="4"/>
  <c r="GE130" i="4"/>
  <c r="GE255" i="4"/>
  <c r="EC208" i="4"/>
  <c r="EM174" i="4"/>
  <c r="CK168" i="4"/>
  <c r="GE190" i="4"/>
  <c r="AC185" i="2"/>
  <c r="GE200" i="4"/>
  <c r="GE122" i="4"/>
  <c r="EC254" i="4"/>
  <c r="GE97" i="4"/>
  <c r="AC150" i="2"/>
  <c r="CK151" i="4"/>
  <c r="GE118" i="4"/>
  <c r="GE103" i="4"/>
  <c r="EM259" i="4"/>
  <c r="GE21" i="4"/>
  <c r="EM159" i="4"/>
  <c r="EM27" i="4"/>
  <c r="AC138" i="2"/>
  <c r="GE236" i="4"/>
  <c r="EM222" i="4"/>
  <c r="EM118" i="4"/>
  <c r="EM83" i="4"/>
  <c r="EM237" i="4"/>
  <c r="CK142" i="4"/>
  <c r="CK241" i="4"/>
  <c r="EM210" i="4"/>
  <c r="GE161" i="4"/>
  <c r="EC143" i="4"/>
  <c r="GE184" i="4"/>
  <c r="GE120" i="4"/>
  <c r="EM170" i="4"/>
  <c r="GE48" i="4"/>
  <c r="EM181" i="4"/>
  <c r="CK219" i="4"/>
  <c r="EM119" i="4"/>
  <c r="EM189" i="4"/>
  <c r="AC209" i="2"/>
  <c r="GE246" i="4"/>
  <c r="EM96" i="4"/>
  <c r="EC250" i="4"/>
  <c r="GE209" i="4"/>
  <c r="EC251" i="4"/>
  <c r="EC191" i="4"/>
  <c r="EM104" i="4"/>
  <c r="EM94" i="4"/>
  <c r="GE239" i="4"/>
  <c r="CK246" i="4"/>
  <c r="AC147" i="2"/>
  <c r="EC219" i="4"/>
  <c r="EM35" i="4"/>
  <c r="CK194" i="4"/>
  <c r="GE76" i="4"/>
  <c r="AC137" i="2"/>
  <c r="EM30" i="4"/>
  <c r="AC162" i="2"/>
  <c r="GE235" i="4"/>
  <c r="GE188" i="4"/>
  <c r="CK188" i="4"/>
  <c r="GE181" i="4"/>
  <c r="EM19" i="4"/>
  <c r="GE136" i="4"/>
  <c r="EM219" i="4"/>
  <c r="EC175" i="4"/>
  <c r="GE77" i="4"/>
  <c r="CK211" i="4"/>
  <c r="AC183" i="2"/>
  <c r="AC235" i="2"/>
  <c r="EC152" i="4"/>
  <c r="EM34" i="4"/>
  <c r="CK229" i="4"/>
  <c r="CK228" i="4"/>
  <c r="GE172" i="4"/>
  <c r="CK230" i="4"/>
  <c r="AC159" i="2"/>
  <c r="EM204" i="4"/>
  <c r="GE210" i="4"/>
  <c r="GE43" i="4"/>
  <c r="GE178" i="4"/>
  <c r="AC180" i="2"/>
  <c r="GE187" i="4"/>
  <c r="GE216" i="4"/>
  <c r="EM220" i="4"/>
  <c r="AC142" i="2"/>
  <c r="CK169" i="4"/>
  <c r="AC203" i="2"/>
  <c r="GE87" i="4"/>
  <c r="AC133" i="2"/>
  <c r="AC129" i="2"/>
  <c r="EM50" i="4"/>
  <c r="GE123" i="4"/>
  <c r="EC150" i="4"/>
  <c r="EC205" i="4"/>
  <c r="GE264" i="4"/>
  <c r="EC243" i="4"/>
  <c r="CK204" i="4"/>
  <c r="EM127" i="4"/>
  <c r="GE40" i="4"/>
  <c r="EC255" i="4"/>
  <c r="EM88" i="4"/>
  <c r="CK182" i="4"/>
  <c r="EM136" i="4"/>
  <c r="GE145" i="4"/>
  <c r="AC208" i="2"/>
  <c r="AC187" i="2"/>
  <c r="CK255" i="4"/>
  <c r="EM199" i="4"/>
  <c r="GE238" i="4"/>
  <c r="GE129" i="4"/>
  <c r="AC141" i="2"/>
  <c r="GE224" i="4"/>
  <c r="AC218" i="2"/>
  <c r="EM206" i="4"/>
  <c r="EC147" i="4"/>
  <c r="EM116" i="4"/>
  <c r="GE117" i="4"/>
  <c r="GE54" i="4"/>
  <c r="AC143" i="2"/>
  <c r="EM18" i="4"/>
  <c r="CK201" i="4"/>
  <c r="AC181" i="2"/>
  <c r="EC214" i="4"/>
  <c r="GE232" i="4"/>
  <c r="CK214" i="4"/>
  <c r="EM62" i="4"/>
  <c r="EM110" i="4"/>
  <c r="GE189" i="4"/>
  <c r="EC204" i="4"/>
  <c r="EM138" i="4"/>
  <c r="EM29" i="4"/>
  <c r="AC240" i="2"/>
  <c r="GE146" i="4"/>
  <c r="CK244" i="4"/>
  <c r="EM193" i="4"/>
  <c r="EM89" i="4"/>
  <c r="GE248" i="4"/>
  <c r="CK180" i="4"/>
  <c r="EC218" i="4"/>
  <c r="EC142" i="4"/>
  <c r="EC229" i="4"/>
  <c r="CK203" i="4"/>
  <c r="GE92" i="4"/>
  <c r="EM91" i="4"/>
  <c r="CK172" i="4"/>
  <c r="CK257" i="4"/>
  <c r="EM145" i="4"/>
  <c r="AC246" i="2"/>
  <c r="EM74" i="4"/>
  <c r="EC248" i="4"/>
  <c r="GE135" i="4"/>
  <c r="EM105" i="4"/>
  <c r="EM233" i="4"/>
  <c r="CK224" i="4"/>
  <c r="GE171" i="4"/>
  <c r="EM221" i="4"/>
  <c r="EM188" i="4"/>
  <c r="EM196" i="4"/>
  <c r="EM209" i="4"/>
  <c r="EC157" i="4"/>
  <c r="EM142" i="4"/>
  <c r="EC223" i="4"/>
  <c r="CK190" i="4"/>
  <c r="GE32" i="4"/>
  <c r="EM131" i="4"/>
  <c r="EM164" i="4"/>
  <c r="GE96" i="4"/>
  <c r="GE204" i="4"/>
  <c r="GE192" i="4"/>
  <c r="EM242" i="4"/>
  <c r="EM31" i="4"/>
  <c r="EM243" i="4"/>
  <c r="AC223" i="2"/>
  <c r="AC250" i="2"/>
  <c r="EC225" i="4"/>
  <c r="CK167" i="4"/>
  <c r="AC167" i="2"/>
  <c r="AC224" i="2"/>
  <c r="EM214" i="4"/>
  <c r="EM45" i="4"/>
  <c r="AH232" i="3" l="1"/>
  <c r="Q232" i="3" s="1"/>
  <c r="AH597" i="3"/>
  <c r="Q597" i="3" s="1"/>
  <c r="AH614" i="3"/>
  <c r="AH592" i="3"/>
  <c r="AH584" i="3"/>
  <c r="AH572" i="3"/>
  <c r="AH550" i="3"/>
  <c r="AH540" i="3"/>
  <c r="AH532" i="3"/>
  <c r="AH512" i="3"/>
  <c r="AH506" i="3"/>
  <c r="AH591" i="3"/>
  <c r="AH573" i="3"/>
  <c r="AH549" i="3"/>
  <c r="AH533" i="3"/>
  <c r="AH513" i="3"/>
  <c r="AH501" i="3"/>
  <c r="AH451" i="3"/>
  <c r="AH439" i="3"/>
  <c r="Q439" i="3" s="1"/>
  <c r="AH435" i="3"/>
  <c r="Q435" i="3" s="1"/>
  <c r="AH431" i="3"/>
  <c r="Q431" i="3" s="1"/>
  <c r="AH427" i="3"/>
  <c r="Q427" i="3" s="1"/>
  <c r="AH423" i="3"/>
  <c r="AH403" i="3"/>
  <c r="AH395" i="3"/>
  <c r="AH389" i="3"/>
  <c r="AH375" i="3"/>
  <c r="AH369" i="3"/>
  <c r="AH353" i="3"/>
  <c r="AH345" i="3"/>
  <c r="AH337" i="3"/>
  <c r="Q337" i="3" s="1"/>
  <c r="AH333" i="3"/>
  <c r="AH317" i="3"/>
  <c r="AH301" i="3"/>
  <c r="AH289" i="3"/>
  <c r="AH285" i="3"/>
  <c r="AH281" i="3"/>
  <c r="Q281" i="3" s="1"/>
  <c r="AH277" i="3"/>
  <c r="Q277" i="3" s="1"/>
  <c r="AH273" i="3"/>
  <c r="AH263" i="3"/>
  <c r="AH239" i="3"/>
  <c r="AH218" i="3"/>
  <c r="AH208" i="3"/>
  <c r="AH202" i="3"/>
  <c r="AH585" i="3"/>
  <c r="AH511" i="3"/>
  <c r="AH440" i="3"/>
  <c r="Q440" i="3" s="1"/>
  <c r="AH432" i="3"/>
  <c r="Q432" i="3" s="1"/>
  <c r="AH424" i="3"/>
  <c r="AH404" i="3"/>
  <c r="AH396" i="3"/>
  <c r="AH372" i="3"/>
  <c r="AH352" i="3"/>
  <c r="AH336" i="3"/>
  <c r="Q336" i="3" s="1"/>
  <c r="AH288" i="3"/>
  <c r="AH280" i="3"/>
  <c r="AH272" i="3"/>
  <c r="AH244" i="3"/>
  <c r="AH219" i="3"/>
  <c r="AH203" i="3"/>
  <c r="AH194" i="3"/>
  <c r="AH184" i="3"/>
  <c r="AH172" i="3"/>
  <c r="AH166" i="3"/>
  <c r="Q166" i="3" s="1"/>
  <c r="AH162" i="3"/>
  <c r="Q162" i="3" s="1"/>
  <c r="AH158" i="3"/>
  <c r="Q158" i="3" s="1"/>
  <c r="AH154" i="3"/>
  <c r="Q154" i="3" s="1"/>
  <c r="AH150" i="3"/>
  <c r="Q150" i="3" s="1"/>
  <c r="AH146" i="3"/>
  <c r="Q146" i="3" s="1"/>
  <c r="AH142" i="3"/>
  <c r="Q142" i="3" s="1"/>
  <c r="AH138" i="3"/>
  <c r="Q138" i="3" s="1"/>
  <c r="AH134" i="3"/>
  <c r="Q134" i="3" s="1"/>
  <c r="AH130" i="3"/>
  <c r="Q130" i="3" s="1"/>
  <c r="AH126" i="3"/>
  <c r="Q126" i="3" s="1"/>
  <c r="AH122" i="3"/>
  <c r="Q122" i="3" s="1"/>
  <c r="AH118" i="3"/>
  <c r="AH108" i="3"/>
  <c r="AH100" i="3"/>
  <c r="Q100" i="3" s="1"/>
  <c r="AH86" i="3"/>
  <c r="AH70" i="3"/>
  <c r="AH62" i="3"/>
  <c r="AH52" i="3"/>
  <c r="AH38" i="3"/>
  <c r="AH22" i="3"/>
  <c r="AH10" i="3"/>
  <c r="AH613" i="3"/>
  <c r="AH547" i="3"/>
  <c r="AH442" i="3"/>
  <c r="AH434" i="3"/>
  <c r="AH426" i="3"/>
  <c r="Q426" i="3" s="1"/>
  <c r="AH390" i="3"/>
  <c r="AH374" i="3"/>
  <c r="AH350" i="3"/>
  <c r="AH334" i="3"/>
  <c r="Q334" i="3" s="1"/>
  <c r="AH318" i="3"/>
  <c r="AH302" i="3"/>
  <c r="AH286" i="3"/>
  <c r="Q286" i="3" s="1"/>
  <c r="AH278" i="3"/>
  <c r="Q278" i="3" s="1"/>
  <c r="AH2" i="3"/>
  <c r="AH600" i="3"/>
  <c r="AH590" i="3"/>
  <c r="AH578" i="3"/>
  <c r="AH568" i="3"/>
  <c r="AH548" i="3"/>
  <c r="AH534" i="3"/>
  <c r="AH524" i="3"/>
  <c r="AH510" i="3"/>
  <c r="AH502" i="3"/>
  <c r="AH577" i="3"/>
  <c r="AH569" i="3"/>
  <c r="AH541" i="3"/>
  <c r="AH525" i="3"/>
  <c r="AH505" i="3"/>
  <c r="AH453" i="3"/>
  <c r="AH441" i="3"/>
  <c r="AH437" i="3"/>
  <c r="Q437" i="3" s="1"/>
  <c r="AH433" i="3"/>
  <c r="AH429" i="3"/>
  <c r="Q429" i="3" s="1"/>
  <c r="AH425" i="3"/>
  <c r="Q425" i="3" s="1"/>
  <c r="AH411" i="3"/>
  <c r="AH401" i="3"/>
  <c r="AH391" i="3"/>
  <c r="AH381" i="3"/>
  <c r="AH371" i="3"/>
  <c r="AH365" i="3"/>
  <c r="AH351" i="3"/>
  <c r="AH339" i="3"/>
  <c r="AH335" i="3"/>
  <c r="Q335" i="3" s="1"/>
  <c r="AH325" i="3"/>
  <c r="AH309" i="3"/>
  <c r="AH293" i="3"/>
  <c r="AH287" i="3"/>
  <c r="Q287" i="3" s="1"/>
  <c r="AH283" i="3"/>
  <c r="Q283" i="3" s="1"/>
  <c r="AH279" i="3"/>
  <c r="AH275" i="3"/>
  <c r="AH267" i="3"/>
  <c r="AH245" i="3"/>
  <c r="AH233" i="3"/>
  <c r="AH214" i="3"/>
  <c r="AH204" i="3"/>
  <c r="AH601" i="3"/>
  <c r="AH535" i="3"/>
  <c r="AH452" i="3"/>
  <c r="AH436" i="3"/>
  <c r="Q436" i="3" s="1"/>
  <c r="AH428" i="3"/>
  <c r="Q428" i="3" s="1"/>
  <c r="AH412" i="3"/>
  <c r="AH400" i="3"/>
  <c r="AH388" i="3"/>
  <c r="AH364" i="3"/>
  <c r="AH344" i="3"/>
  <c r="AH332" i="3"/>
  <c r="AH284" i="3"/>
  <c r="AH276" i="3"/>
  <c r="Q276" i="3" s="1"/>
  <c r="AH268" i="3"/>
  <c r="AH240" i="3"/>
  <c r="AH207" i="3"/>
  <c r="AH198" i="3"/>
  <c r="AH190" i="3"/>
  <c r="AH174" i="3"/>
  <c r="AH168" i="3"/>
  <c r="AH164" i="3"/>
  <c r="Q164" i="3" s="1"/>
  <c r="AH160" i="3"/>
  <c r="Q160" i="3" s="1"/>
  <c r="AH156" i="3"/>
  <c r="Q156" i="3" s="1"/>
  <c r="AH152" i="3"/>
  <c r="Q152" i="3" s="1"/>
  <c r="AH148" i="3"/>
  <c r="Q148" i="3" s="1"/>
  <c r="AH144" i="3"/>
  <c r="Q144" i="3" s="1"/>
  <c r="AH140" i="3"/>
  <c r="Q140" i="3" s="1"/>
  <c r="AH136" i="3"/>
  <c r="Q136" i="3" s="1"/>
  <c r="AH132" i="3"/>
  <c r="Q132" i="3" s="1"/>
  <c r="AH128" i="3"/>
  <c r="Q128" i="3" s="1"/>
  <c r="AH124" i="3"/>
  <c r="Q124" i="3" s="1"/>
  <c r="AH120" i="3"/>
  <c r="AH110" i="3"/>
  <c r="AH102" i="3"/>
  <c r="AH98" i="3"/>
  <c r="AH84" i="3"/>
  <c r="AH68" i="3"/>
  <c r="AH56" i="3"/>
  <c r="AH44" i="3"/>
  <c r="AH16" i="3"/>
  <c r="AH589" i="3"/>
  <c r="AH438" i="3"/>
  <c r="Q438" i="3" s="1"/>
  <c r="AH402" i="3"/>
  <c r="AH370" i="3"/>
  <c r="AH326" i="3"/>
  <c r="AH294" i="3"/>
  <c r="AH274" i="3"/>
  <c r="AH246" i="3"/>
  <c r="AH213" i="3"/>
  <c r="AH197" i="3"/>
  <c r="AH191" i="3"/>
  <c r="AH175" i="3"/>
  <c r="AH171" i="3"/>
  <c r="AH165" i="3"/>
  <c r="Q165" i="3" s="1"/>
  <c r="AH161" i="3"/>
  <c r="Q161" i="3" s="1"/>
  <c r="AH157" i="3"/>
  <c r="Q157" i="3" s="1"/>
  <c r="AH153" i="3"/>
  <c r="Q153" i="3" s="1"/>
  <c r="AH149" i="3"/>
  <c r="Q149" i="3" s="1"/>
  <c r="AH145" i="3"/>
  <c r="Q145" i="3" s="1"/>
  <c r="AH141" i="3"/>
  <c r="Q141" i="3" s="1"/>
  <c r="AH137" i="3"/>
  <c r="Q137" i="3" s="1"/>
  <c r="AH133" i="3"/>
  <c r="Q133" i="3" s="1"/>
  <c r="AH129" i="3"/>
  <c r="Q129" i="3" s="1"/>
  <c r="AH125" i="3"/>
  <c r="Q125" i="3" s="1"/>
  <c r="AH121" i="3"/>
  <c r="Q121" i="3" s="1"/>
  <c r="AH109" i="3"/>
  <c r="AH101" i="3"/>
  <c r="Q101" i="3" s="1"/>
  <c r="AH97" i="3"/>
  <c r="AH83" i="3"/>
  <c r="AH69" i="3"/>
  <c r="AH57" i="3"/>
  <c r="AH23" i="3"/>
  <c r="AH3" i="3"/>
  <c r="AH37" i="3"/>
  <c r="AH17" i="3"/>
  <c r="AH28" i="3"/>
  <c r="AH4" i="3"/>
  <c r="AH454" i="3"/>
  <c r="AH430" i="3"/>
  <c r="Q430" i="3" s="1"/>
  <c r="AH382" i="3"/>
  <c r="AH338" i="3"/>
  <c r="AH310" i="3"/>
  <c r="AH282" i="3"/>
  <c r="Q282" i="3" s="1"/>
  <c r="AH262" i="3"/>
  <c r="AH234" i="3"/>
  <c r="AH205" i="3"/>
  <c r="AH195" i="3"/>
  <c r="AH185" i="3"/>
  <c r="AH173" i="3"/>
  <c r="AH167" i="3"/>
  <c r="AH163" i="3"/>
  <c r="Q163" i="3" s="1"/>
  <c r="AH159" i="3"/>
  <c r="Q159" i="3" s="1"/>
  <c r="AH155" i="3"/>
  <c r="Q155" i="3" s="1"/>
  <c r="AH151" i="3"/>
  <c r="Q151" i="3" s="1"/>
  <c r="AH147" i="3"/>
  <c r="Q147" i="3" s="1"/>
  <c r="AH143" i="3"/>
  <c r="Q143" i="3" s="1"/>
  <c r="AH139" i="3"/>
  <c r="Q139" i="3" s="1"/>
  <c r="AH135" i="3"/>
  <c r="Q135" i="3" s="1"/>
  <c r="AH131" i="3"/>
  <c r="Q131" i="3" s="1"/>
  <c r="AH127" i="3"/>
  <c r="Q127" i="3" s="1"/>
  <c r="AH123" i="3"/>
  <c r="Q123" i="3" s="1"/>
  <c r="AH119" i="3"/>
  <c r="AH103" i="3"/>
  <c r="AH99" i="3"/>
  <c r="Q99" i="3" s="1"/>
  <c r="AH87" i="3"/>
  <c r="AH71" i="3"/>
  <c r="AH61" i="3"/>
  <c r="AH51" i="3"/>
  <c r="AH11" i="3"/>
  <c r="AH45" i="3"/>
  <c r="AH29" i="3"/>
  <c r="AH5" i="3"/>
  <c r="AH602" i="3"/>
  <c r="Q602" i="3" s="1"/>
  <c r="AH598" i="3"/>
  <c r="Q598" i="3" s="1"/>
  <c r="AH618" i="3"/>
  <c r="Q618" i="3" s="1"/>
  <c r="AH530" i="3"/>
  <c r="Q530" i="3" s="1"/>
  <c r="AH367" i="3"/>
  <c r="Q367" i="3" s="1"/>
  <c r="AH359" i="3"/>
  <c r="Q359" i="3" s="1"/>
  <c r="AH356" i="3"/>
  <c r="Q356" i="3" s="1"/>
  <c r="AH112" i="3"/>
  <c r="Q112" i="3" s="1"/>
  <c r="AH354" i="3"/>
  <c r="Q354" i="3" s="1"/>
  <c r="AH113" i="3"/>
  <c r="Q113" i="3" s="1"/>
  <c r="AH529" i="3"/>
  <c r="Q529" i="3" s="1"/>
  <c r="AH357" i="3"/>
  <c r="Q357" i="3" s="1"/>
  <c r="AH368" i="3"/>
  <c r="Q368" i="3" s="1"/>
  <c r="AH114" i="3"/>
  <c r="Q114" i="3" s="1"/>
  <c r="AH366" i="3"/>
  <c r="Q366" i="3" s="1"/>
  <c r="AH115" i="3"/>
  <c r="Q115" i="3" s="1"/>
  <c r="AH526" i="3"/>
  <c r="Q526" i="3" s="1"/>
  <c r="AH363" i="3"/>
  <c r="Q363" i="3" s="1"/>
  <c r="AH355" i="3"/>
  <c r="Q355" i="3" s="1"/>
  <c r="AH116" i="3"/>
  <c r="Q116" i="3" s="1"/>
  <c r="AH362" i="3"/>
  <c r="Q362" i="3" s="1"/>
  <c r="AH117" i="3"/>
  <c r="Q117" i="3" s="1"/>
  <c r="AH528" i="3"/>
  <c r="Q528" i="3" s="1"/>
  <c r="AH361" i="3"/>
  <c r="Q361" i="3" s="1"/>
  <c r="AH527" i="3"/>
  <c r="Q527" i="3" s="1"/>
  <c r="AH360" i="3"/>
  <c r="Q360" i="3" s="1"/>
  <c r="AH531" i="3"/>
  <c r="Q531" i="3" s="1"/>
  <c r="AH358" i="3"/>
  <c r="Q358" i="3" s="1"/>
  <c r="AH111" i="3"/>
  <c r="Q111" i="3" s="1"/>
  <c r="AH594" i="3"/>
  <c r="Q594" i="3" s="1"/>
  <c r="AH593" i="3"/>
  <c r="Q593" i="3" s="1"/>
  <c r="AH595" i="3"/>
  <c r="Q595" i="3" s="1"/>
  <c r="AH596" i="3"/>
  <c r="Q596" i="3" s="1"/>
  <c r="AH599" i="3"/>
  <c r="Q599" i="3" s="1"/>
  <c r="AH603" i="3"/>
  <c r="Q603" i="3" s="1"/>
  <c r="AH606" i="3"/>
  <c r="Q606" i="3" s="1"/>
  <c r="AH605" i="3"/>
  <c r="Q605" i="3" s="1"/>
  <c r="AH604" i="3"/>
  <c r="Q604" i="3" s="1"/>
  <c r="AH607" i="3"/>
  <c r="Q607" i="3" s="1"/>
  <c r="AH608" i="3"/>
  <c r="Q608" i="3" s="1"/>
  <c r="AH610" i="3"/>
  <c r="Q610" i="3" s="1"/>
  <c r="AH609" i="3"/>
  <c r="Q609" i="3" s="1"/>
  <c r="AH611" i="3"/>
  <c r="Q611" i="3" s="1"/>
  <c r="AH612" i="3"/>
  <c r="Q612" i="3" s="1"/>
  <c r="AH615" i="3"/>
  <c r="Q615" i="3" s="1"/>
  <c r="AH617" i="3"/>
  <c r="Q617" i="3" s="1"/>
  <c r="AH616" i="3"/>
  <c r="Q616" i="3" s="1"/>
  <c r="AH619" i="3"/>
  <c r="Q619" i="3" s="1"/>
  <c r="AH507" i="3"/>
  <c r="Q507" i="3" s="1"/>
  <c r="AH500" i="3"/>
  <c r="Q500" i="3" s="1"/>
  <c r="AH457" i="3"/>
  <c r="Q457" i="3" s="1"/>
  <c r="AH384" i="3"/>
  <c r="Q384" i="3" s="1"/>
  <c r="AH179" i="3"/>
  <c r="Q179" i="3" s="1"/>
  <c r="AH471" i="3"/>
  <c r="Q471" i="3" s="1"/>
  <c r="AH399" i="3"/>
  <c r="Q399" i="3" s="1"/>
  <c r="AH319" i="3"/>
  <c r="Q319" i="3" s="1"/>
  <c r="AH328" i="3"/>
  <c r="Q328" i="3" s="1"/>
  <c r="AH76" i="3"/>
  <c r="Q76" i="3" s="1"/>
  <c r="AH201" i="3"/>
  <c r="Q201" i="3" s="1"/>
  <c r="AH188" i="3"/>
  <c r="Q188" i="3" s="1"/>
  <c r="AH327" i="3"/>
  <c r="Q327" i="3" s="1"/>
  <c r="AH476" i="3"/>
  <c r="Q476" i="3" s="1"/>
  <c r="AH458" i="3"/>
  <c r="Q458" i="3" s="1"/>
  <c r="AH467" i="3"/>
  <c r="Q467" i="3" s="1"/>
  <c r="AH59" i="3"/>
  <c r="Q59" i="3" s="1"/>
  <c r="AH211" i="3"/>
  <c r="Q211" i="3" s="1"/>
  <c r="AH346" i="3"/>
  <c r="Q346" i="3" s="1"/>
  <c r="AH297" i="3"/>
  <c r="Q297" i="3" s="1"/>
  <c r="AH587" i="3"/>
  <c r="Q587" i="3" s="1"/>
  <c r="AH49" i="3"/>
  <c r="Q49" i="3" s="1"/>
  <c r="AH305" i="3"/>
  <c r="Q305" i="3" s="1"/>
  <c r="AH91" i="3"/>
  <c r="Q91" i="3" s="1"/>
  <c r="AH299" i="3"/>
  <c r="Q299" i="3" s="1"/>
  <c r="AH251" i="3"/>
  <c r="Q251" i="3" s="1"/>
  <c r="AH199" i="3"/>
  <c r="Q199" i="3" s="1"/>
  <c r="AH63" i="3"/>
  <c r="Q63" i="3" s="1"/>
  <c r="AH209" i="3"/>
  <c r="Q209" i="3" s="1"/>
  <c r="AH238" i="3"/>
  <c r="Q238" i="3" s="1"/>
  <c r="AH487" i="3"/>
  <c r="Q487" i="3" s="1"/>
  <c r="AH79" i="3"/>
  <c r="Q79" i="3" s="1"/>
  <c r="AH468" i="3"/>
  <c r="Q468" i="3" s="1"/>
  <c r="AH410" i="3"/>
  <c r="Q410" i="3" s="1"/>
  <c r="AH222" i="3"/>
  <c r="Q222" i="3" s="1"/>
  <c r="AH566" i="3"/>
  <c r="Q566" i="3" s="1"/>
  <c r="AH542" i="3"/>
  <c r="Q542" i="3" s="1"/>
  <c r="AH588" i="3"/>
  <c r="Q588" i="3" s="1"/>
  <c r="AH39" i="3"/>
  <c r="Q39" i="3" s="1"/>
  <c r="AH620" i="3"/>
  <c r="Q620" i="3" s="1"/>
  <c r="AH523" i="3"/>
  <c r="Q523" i="3" s="1"/>
  <c r="AH558" i="3"/>
  <c r="Q558" i="3" s="1"/>
  <c r="AH265" i="3"/>
  <c r="Q265" i="3" s="1"/>
  <c r="AH227" i="3"/>
  <c r="Q227" i="3" s="1"/>
  <c r="AH266" i="3"/>
  <c r="Q266" i="3" s="1"/>
  <c r="AH271" i="3"/>
  <c r="Q271" i="3" s="1"/>
  <c r="AH314" i="3"/>
  <c r="Q314" i="3" s="1"/>
  <c r="AH387" i="3"/>
  <c r="Q387" i="3" s="1"/>
  <c r="AH107" i="3"/>
  <c r="Q107" i="3" s="1"/>
  <c r="AH220" i="3"/>
  <c r="Q220" i="3" s="1"/>
  <c r="AH444" i="3"/>
  <c r="Q444" i="3" s="1"/>
  <c r="AH503" i="3"/>
  <c r="Q503" i="3" s="1"/>
  <c r="AH27" i="3"/>
  <c r="Q27" i="3" s="1"/>
  <c r="AH242" i="3"/>
  <c r="Q242" i="3" s="1"/>
  <c r="AH492" i="3"/>
  <c r="Q492" i="3" s="1"/>
  <c r="AH443" i="3"/>
  <c r="Q443" i="3" s="1"/>
  <c r="AH304" i="3"/>
  <c r="Q304" i="3" s="1"/>
  <c r="AH574" i="3"/>
  <c r="Q574" i="3" s="1"/>
  <c r="AH556" i="3"/>
  <c r="Q556" i="3" s="1"/>
  <c r="AH422" i="3"/>
  <c r="Q422" i="3" s="1"/>
  <c r="AH489" i="3"/>
  <c r="Q489" i="3" s="1"/>
  <c r="AH555" i="3"/>
  <c r="Q555" i="3" s="1"/>
  <c r="AH312" i="3"/>
  <c r="Q312" i="3" s="1"/>
  <c r="AH46" i="3"/>
  <c r="Q46" i="3" s="1"/>
  <c r="AH300" i="3"/>
  <c r="Q300" i="3" s="1"/>
  <c r="AH34" i="3"/>
  <c r="AH486" i="3"/>
  <c r="Q486" i="3" s="1"/>
  <c r="AH230" i="3"/>
  <c r="Q230" i="3" s="1"/>
  <c r="AH248" i="3"/>
  <c r="Q248" i="3" s="1"/>
  <c r="AH226" i="3"/>
  <c r="Q226" i="3" s="1"/>
  <c r="AH373" i="3"/>
  <c r="Q373" i="3" s="1"/>
  <c r="AH81" i="3"/>
  <c r="Q81" i="3" s="1"/>
  <c r="AH31" i="3"/>
  <c r="AH264" i="3"/>
  <c r="Q264" i="3" s="1"/>
  <c r="AH579" i="3"/>
  <c r="Q579" i="3" s="1"/>
  <c r="AH477" i="3"/>
  <c r="Q477" i="3" s="1"/>
  <c r="AH414" i="3"/>
  <c r="Q414" i="3" s="1"/>
  <c r="AH415" i="3"/>
  <c r="Q415" i="3" s="1"/>
  <c r="AH90" i="3"/>
  <c r="Q90" i="3" s="1"/>
  <c r="AH348" i="3"/>
  <c r="Q348" i="3" s="1"/>
  <c r="AH25" i="3"/>
  <c r="Q25" i="3" s="1"/>
  <c r="AH420" i="3"/>
  <c r="Q420" i="3" s="1"/>
  <c r="AH36" i="3"/>
  <c r="Q36" i="3" s="1"/>
  <c r="AH189" i="3"/>
  <c r="Q189" i="3" s="1"/>
  <c r="AH559" i="3"/>
  <c r="Q559" i="3" s="1"/>
  <c r="AH249" i="3"/>
  <c r="Q249" i="3" s="1"/>
  <c r="AH480" i="3"/>
  <c r="Q480" i="3" s="1"/>
  <c r="AH20" i="3"/>
  <c r="Q20" i="3" s="1"/>
  <c r="AH488" i="3"/>
  <c r="Q488" i="3" s="1"/>
  <c r="AH474" i="3"/>
  <c r="Q474" i="3" s="1"/>
  <c r="AH514" i="3"/>
  <c r="Q514" i="3" s="1"/>
  <c r="AH571" i="3"/>
  <c r="Q571" i="3" s="1"/>
  <c r="AH196" i="3"/>
  <c r="Q196" i="3" s="1"/>
  <c r="AH54" i="3"/>
  <c r="Q54" i="3" s="1"/>
  <c r="AH405" i="3"/>
  <c r="Q405" i="3" s="1"/>
  <c r="AH408" i="3"/>
  <c r="Q408" i="3" s="1"/>
  <c r="AH13" i="3"/>
  <c r="Q13" i="3" s="1"/>
  <c r="AH470" i="3"/>
  <c r="Q470" i="3" s="1"/>
  <c r="AH518" i="3"/>
  <c r="Q518" i="3" s="1"/>
  <c r="AH88" i="3"/>
  <c r="Q88" i="3" s="1"/>
  <c r="AH517" i="3"/>
  <c r="Q517" i="3" s="1"/>
  <c r="AH379" i="3"/>
  <c r="Q379" i="3" s="1"/>
  <c r="AH485" i="3"/>
  <c r="Q485" i="3" s="1"/>
  <c r="AH575" i="3"/>
  <c r="Q575" i="3" s="1"/>
  <c r="AH42" i="3"/>
  <c r="Q42" i="3" s="1"/>
  <c r="AH383" i="3"/>
  <c r="Q383" i="3" s="1"/>
  <c r="AH67" i="3"/>
  <c r="Q67" i="3" s="1"/>
  <c r="AH331" i="3"/>
  <c r="Q331" i="3" s="1"/>
  <c r="AH560" i="3"/>
  <c r="Q560" i="3" s="1"/>
  <c r="AH497" i="3"/>
  <c r="Q497" i="3" s="1"/>
  <c r="AH85" i="3"/>
  <c r="Q85" i="3" s="1"/>
  <c r="AH385" i="3"/>
  <c r="Q385" i="3" s="1"/>
  <c r="AH9" i="3"/>
  <c r="Q9" i="3" s="1"/>
  <c r="AH176" i="3"/>
  <c r="Q176" i="3" s="1"/>
  <c r="AH565" i="3"/>
  <c r="Q565" i="3" s="1"/>
  <c r="AH340" i="3"/>
  <c r="Q340" i="3" s="1"/>
  <c r="AH520" i="3"/>
  <c r="Q520" i="3" s="1"/>
  <c r="AH421" i="3"/>
  <c r="Q421" i="3" s="1"/>
  <c r="AH206" i="3"/>
  <c r="Q206" i="3" s="1"/>
  <c r="AH215" i="3"/>
  <c r="Q215" i="3" s="1"/>
  <c r="AH539" i="3"/>
  <c r="Q539" i="3" s="1"/>
  <c r="AH519" i="3"/>
  <c r="Q519" i="3" s="1"/>
  <c r="AH543" i="3"/>
  <c r="Q543" i="3" s="1"/>
  <c r="AH538" i="3"/>
  <c r="Q538" i="3" s="1"/>
  <c r="AH320" i="3"/>
  <c r="Q320" i="3" s="1"/>
  <c r="AH193" i="3"/>
  <c r="Q193" i="3" s="1"/>
  <c r="AH18" i="3"/>
  <c r="Q18" i="3" s="1"/>
  <c r="AH255" i="3"/>
  <c r="Q255" i="3" s="1"/>
  <c r="AH475" i="3"/>
  <c r="Q475" i="3" s="1"/>
  <c r="AH446" i="3"/>
  <c r="Q446" i="3" s="1"/>
  <c r="AH586" i="3"/>
  <c r="Q586" i="3" s="1"/>
  <c r="AH106" i="3"/>
  <c r="Q106" i="3" s="1"/>
  <c r="AH170" i="3"/>
  <c r="Q170" i="3" s="1"/>
  <c r="AH570" i="3"/>
  <c r="Q570" i="3" s="1"/>
  <c r="AH473" i="3"/>
  <c r="Q473" i="3" s="1"/>
  <c r="AH322" i="3"/>
  <c r="Q322" i="3" s="1"/>
  <c r="AH536" i="3"/>
  <c r="Q536" i="3" s="1"/>
  <c r="AH554" i="3"/>
  <c r="Q554" i="3" s="1"/>
  <c r="AH74" i="3"/>
  <c r="Q74" i="3" s="1"/>
  <c r="AH224" i="3"/>
  <c r="Q224" i="3" s="1"/>
  <c r="AH316" i="3"/>
  <c r="Q316" i="3" s="1"/>
  <c r="AH48" i="3"/>
  <c r="Q48" i="3" s="1"/>
  <c r="AH495" i="3"/>
  <c r="Q495" i="3" s="1"/>
  <c r="AH177" i="3"/>
  <c r="Q177" i="3" s="1"/>
  <c r="AH19" i="3"/>
  <c r="Q19" i="3" s="1"/>
  <c r="AH508" i="3"/>
  <c r="Q508" i="3" s="1"/>
  <c r="AH26" i="3"/>
  <c r="Q26" i="3" s="1"/>
  <c r="AH41" i="3"/>
  <c r="Q41" i="3" s="1"/>
  <c r="AH409" i="3"/>
  <c r="Q409" i="3" s="1"/>
  <c r="AH270" i="3"/>
  <c r="Q270" i="3" s="1"/>
  <c r="AH253" i="3"/>
  <c r="Q253" i="3" s="1"/>
  <c r="AH397" i="3"/>
  <c r="Q397" i="3" s="1"/>
  <c r="AH482" i="3"/>
  <c r="Q482" i="3" s="1"/>
  <c r="AH306" i="3"/>
  <c r="Q306" i="3" s="1"/>
  <c r="AH490" i="3"/>
  <c r="Q490" i="3" s="1"/>
  <c r="AH21" i="3"/>
  <c r="Q21" i="3" s="1"/>
  <c r="AH498" i="3"/>
  <c r="Q498" i="3" s="1"/>
  <c r="AH376" i="3"/>
  <c r="Q376" i="3" s="1"/>
  <c r="AH581" i="3"/>
  <c r="Q581" i="3" s="1"/>
  <c r="AH576" i="3"/>
  <c r="Q576" i="3" s="1"/>
  <c r="AH298" i="3"/>
  <c r="Q298" i="3" s="1"/>
  <c r="AH315" i="3"/>
  <c r="Q315" i="3" s="1"/>
  <c r="AH236" i="3"/>
  <c r="Q236" i="3" s="1"/>
  <c r="AH478" i="3"/>
  <c r="Q478" i="3" s="1"/>
  <c r="AH192" i="3"/>
  <c r="Q192" i="3" s="1"/>
  <c r="AH537" i="3"/>
  <c r="Q537" i="3" s="1"/>
  <c r="AH40" i="3"/>
  <c r="Q40" i="3" s="1"/>
  <c r="AH181" i="3"/>
  <c r="Q181" i="3" s="1"/>
  <c r="AH567" i="3"/>
  <c r="Q567" i="3" s="1"/>
  <c r="AH455" i="3"/>
  <c r="Q455" i="3" s="1"/>
  <c r="AH416" i="3"/>
  <c r="Q416" i="3" s="1"/>
  <c r="AH407" i="3"/>
  <c r="Q407" i="3" s="1"/>
  <c r="AH493" i="3"/>
  <c r="Q493" i="3" s="1"/>
  <c r="AH30" i="3"/>
  <c r="Q30" i="3" s="1"/>
  <c r="AH65" i="3"/>
  <c r="Q65" i="3" s="1"/>
  <c r="AH504" i="3"/>
  <c r="Q504" i="3" s="1"/>
  <c r="AH78" i="3"/>
  <c r="Q78" i="3" s="1"/>
  <c r="AH459" i="3"/>
  <c r="Q459" i="3" s="1"/>
  <c r="AH269" i="3"/>
  <c r="Q269" i="3" s="1"/>
  <c r="AH562" i="3"/>
  <c r="Q562" i="3" s="1"/>
  <c r="AH256" i="3"/>
  <c r="Q256" i="3" s="1"/>
  <c r="AH217" i="3"/>
  <c r="Q217" i="3" s="1"/>
  <c r="AH80" i="3"/>
  <c r="Q80" i="3" s="1"/>
  <c r="AH223" i="3"/>
  <c r="Q223" i="3" s="1"/>
  <c r="AH469" i="3"/>
  <c r="Q469" i="3" s="1"/>
  <c r="AH342" i="3"/>
  <c r="Q342" i="3" s="1"/>
  <c r="AH303" i="3"/>
  <c r="Q303" i="3" s="1"/>
  <c r="AH94" i="3"/>
  <c r="Q94" i="3" s="1"/>
  <c r="AH24" i="3"/>
  <c r="Q24" i="3" s="1"/>
  <c r="AH321" i="3"/>
  <c r="Q321" i="3" s="1"/>
  <c r="AH259" i="3"/>
  <c r="Q259" i="3" s="1"/>
  <c r="AH290" i="3"/>
  <c r="Q290" i="3" s="1"/>
  <c r="AH462" i="3"/>
  <c r="Q462" i="3" s="1"/>
  <c r="AH341" i="3"/>
  <c r="Q341" i="3" s="1"/>
  <c r="AH75" i="3"/>
  <c r="Q75" i="3" s="1"/>
  <c r="AH260" i="3"/>
  <c r="Q260" i="3" s="1"/>
  <c r="AH515" i="3"/>
  <c r="Q515" i="3" s="1"/>
  <c r="AH553" i="3"/>
  <c r="Q553" i="3" s="1"/>
  <c r="AH180" i="3"/>
  <c r="Q180" i="3" s="1"/>
  <c r="AH307" i="3"/>
  <c r="Q307" i="3" s="1"/>
  <c r="AH552" i="3"/>
  <c r="Q552" i="3" s="1"/>
  <c r="AH349" i="3"/>
  <c r="Q349" i="3" s="1"/>
  <c r="AH463" i="3"/>
  <c r="Q463" i="3" s="1"/>
  <c r="AH295" i="3"/>
  <c r="Q295" i="3" s="1"/>
  <c r="AH484" i="3"/>
  <c r="Q484" i="3" s="1"/>
  <c r="AH82" i="3"/>
  <c r="Q82" i="3" s="1"/>
  <c r="AH417" i="3"/>
  <c r="Q417" i="3" s="1"/>
  <c r="AH32" i="3"/>
  <c r="AH378" i="3"/>
  <c r="Q378" i="3" s="1"/>
  <c r="AH33" i="3"/>
  <c r="AH216" i="3"/>
  <c r="Q216" i="3" s="1"/>
  <c r="AH448" i="3"/>
  <c r="Q448" i="3" s="1"/>
  <c r="AH89" i="3"/>
  <c r="Q89" i="3" s="1"/>
  <c r="AH64" i="3"/>
  <c r="Q64" i="3" s="1"/>
  <c r="AH394" i="3"/>
  <c r="Q394" i="3" s="1"/>
  <c r="AH561" i="3"/>
  <c r="Q561" i="3" s="1"/>
  <c r="AH93" i="3"/>
  <c r="Q93" i="3" s="1"/>
  <c r="AH237" i="3"/>
  <c r="Q237" i="3" s="1"/>
  <c r="AH499" i="3"/>
  <c r="Q499" i="3" s="1"/>
  <c r="AH509" i="3"/>
  <c r="Q509" i="3" s="1"/>
  <c r="AH258" i="3"/>
  <c r="Q258" i="3" s="1"/>
  <c r="AH187" i="3"/>
  <c r="Q187" i="3" s="1"/>
  <c r="AH229" i="3"/>
  <c r="Q229" i="3" s="1"/>
  <c r="AH261" i="3"/>
  <c r="Q261" i="3" s="1"/>
  <c r="AH521" i="3"/>
  <c r="Q521" i="3" s="1"/>
  <c r="AH308" i="3"/>
  <c r="Q308" i="3" s="1"/>
  <c r="AH522" i="3"/>
  <c r="Q522" i="3" s="1"/>
  <c r="AH250" i="3"/>
  <c r="Q250" i="3" s="1"/>
  <c r="AH582" i="3"/>
  <c r="Q582" i="3" s="1"/>
  <c r="AH186" i="3"/>
  <c r="Q186" i="3" s="1"/>
  <c r="AH343" i="3"/>
  <c r="Q343" i="3" s="1"/>
  <c r="AH483" i="3"/>
  <c r="Q483" i="3" s="1"/>
  <c r="AH545" i="3"/>
  <c r="Q545" i="3" s="1"/>
  <c r="AH465" i="3"/>
  <c r="Q465" i="3" s="1"/>
  <c r="AH347" i="3"/>
  <c r="Q347" i="3" s="1"/>
  <c r="AH450" i="3"/>
  <c r="Q450" i="3" s="1"/>
  <c r="AH257" i="3"/>
  <c r="Q257" i="3" s="1"/>
  <c r="AH43" i="3"/>
  <c r="Q43" i="3" s="1"/>
  <c r="AH583" i="3"/>
  <c r="Q583" i="3" s="1"/>
  <c r="AH311" i="3"/>
  <c r="Q311" i="3" s="1"/>
  <c r="AH461" i="3"/>
  <c r="Q461" i="3" s="1"/>
  <c r="AH15" i="3"/>
  <c r="Q15" i="3" s="1"/>
  <c r="AH35" i="3"/>
  <c r="AH292" i="3"/>
  <c r="Q292" i="3" s="1"/>
  <c r="AH445" i="3"/>
  <c r="Q445" i="3" s="1"/>
  <c r="AH73" i="3"/>
  <c r="Q73" i="3" s="1"/>
  <c r="AH210" i="3"/>
  <c r="Q210" i="3" s="1"/>
  <c r="AH7" i="3"/>
  <c r="Q7" i="3" s="1"/>
  <c r="AH516" i="3"/>
  <c r="Q516" i="3" s="1"/>
  <c r="AH96" i="3"/>
  <c r="Q96" i="3" s="1"/>
  <c r="AH247" i="3"/>
  <c r="Q247" i="3" s="1"/>
  <c r="AH212" i="3"/>
  <c r="Q212" i="3" s="1"/>
  <c r="AH544" i="3"/>
  <c r="Q544" i="3" s="1"/>
  <c r="AH92" i="3"/>
  <c r="Q92" i="3" s="1"/>
  <c r="AH419" i="3"/>
  <c r="Q419" i="3" s="1"/>
  <c r="AH58" i="3"/>
  <c r="Q58" i="3" s="1"/>
  <c r="AH329" i="3"/>
  <c r="Q329" i="3" s="1"/>
  <c r="AH105" i="3"/>
  <c r="Q105" i="3" s="1"/>
  <c r="AH447" i="3"/>
  <c r="Q447" i="3" s="1"/>
  <c r="AH252" i="3"/>
  <c r="Q252" i="3" s="1"/>
  <c r="AH323" i="3"/>
  <c r="Q323" i="3" s="1"/>
  <c r="AH95" i="3"/>
  <c r="Q95" i="3" s="1"/>
  <c r="AH418" i="3"/>
  <c r="Q418" i="3" s="1"/>
  <c r="AH6" i="3"/>
  <c r="Q6" i="3" s="1"/>
  <c r="AH104" i="3"/>
  <c r="Q104" i="3" s="1"/>
  <c r="AH392" i="3"/>
  <c r="Q392" i="3" s="1"/>
  <c r="AH231" i="3"/>
  <c r="Q231" i="3" s="1"/>
  <c r="AH456" i="3"/>
  <c r="Q456" i="3" s="1"/>
  <c r="AH169" i="3"/>
  <c r="Q169" i="3" s="1"/>
  <c r="AH53" i="3"/>
  <c r="Q53" i="3" s="1"/>
  <c r="AH66" i="3"/>
  <c r="Q66" i="3" s="1"/>
  <c r="AH491" i="3"/>
  <c r="Q491" i="3" s="1"/>
  <c r="AH580" i="3"/>
  <c r="Q580" i="3" s="1"/>
  <c r="AH466" i="3"/>
  <c r="Q466" i="3" s="1"/>
  <c r="AH228" i="3"/>
  <c r="Q228" i="3" s="1"/>
  <c r="AH460" i="3"/>
  <c r="Q460" i="3" s="1"/>
  <c r="AH557" i="3"/>
  <c r="Q557" i="3" s="1"/>
  <c r="AH413" i="3"/>
  <c r="Q413" i="3" s="1"/>
  <c r="AH200" i="3"/>
  <c r="Q200" i="3" s="1"/>
  <c r="AH324" i="3"/>
  <c r="Q324" i="3" s="1"/>
  <c r="AH406" i="3"/>
  <c r="Q406" i="3" s="1"/>
  <c r="AH479" i="3"/>
  <c r="Q479" i="3" s="1"/>
  <c r="AH178" i="3"/>
  <c r="Q178" i="3" s="1"/>
  <c r="AH243" i="3"/>
  <c r="Q243" i="3" s="1"/>
  <c r="AH393" i="3"/>
  <c r="Q393" i="3" s="1"/>
  <c r="AH241" i="3"/>
  <c r="Q241" i="3" s="1"/>
  <c r="AH221" i="3"/>
  <c r="Q221" i="3" s="1"/>
  <c r="AH464" i="3"/>
  <c r="Q464" i="3" s="1"/>
  <c r="AH494" i="3"/>
  <c r="Q494" i="3" s="1"/>
  <c r="AH398" i="3"/>
  <c r="Q398" i="3" s="1"/>
  <c r="AH47" i="3"/>
  <c r="Q47" i="3" s="1"/>
  <c r="AH77" i="3"/>
  <c r="Q77" i="3" s="1"/>
  <c r="AH182" i="3"/>
  <c r="Q182" i="3" s="1"/>
  <c r="AH183" i="3"/>
  <c r="Q183" i="3" s="1"/>
  <c r="AH564" i="3"/>
  <c r="Q564" i="3" s="1"/>
  <c r="AH296" i="3"/>
  <c r="Q296" i="3" s="1"/>
  <c r="AH12" i="3"/>
  <c r="Q12" i="3" s="1"/>
  <c r="AH449" i="3"/>
  <c r="Q449" i="3" s="1"/>
  <c r="AH254" i="3"/>
  <c r="Q254" i="3" s="1"/>
  <c r="AH551" i="3"/>
  <c r="Q551" i="3" s="1"/>
  <c r="AH377" i="3"/>
  <c r="Q377" i="3" s="1"/>
  <c r="AH330" i="3"/>
  <c r="Q330" i="3" s="1"/>
  <c r="AH472" i="3"/>
  <c r="Q472" i="3" s="1"/>
  <c r="AH386" i="3"/>
  <c r="Q386" i="3" s="1"/>
  <c r="AH481" i="3"/>
  <c r="Q481" i="3" s="1"/>
  <c r="AH14" i="3"/>
  <c r="Q14" i="3" s="1"/>
  <c r="AH235" i="3"/>
  <c r="Q235" i="3" s="1"/>
  <c r="AH60" i="3"/>
  <c r="Q60" i="3" s="1"/>
  <c r="AH546" i="3"/>
  <c r="Q546" i="3" s="1"/>
  <c r="AH291" i="3"/>
  <c r="Q291" i="3" s="1"/>
  <c r="AH55" i="3"/>
  <c r="Q55" i="3" s="1"/>
  <c r="AH72" i="3"/>
  <c r="Q72" i="3" s="1"/>
  <c r="AH8" i="3"/>
  <c r="Q8" i="3" s="1"/>
  <c r="AH313" i="3"/>
  <c r="Q313" i="3" s="1"/>
  <c r="AH496" i="3"/>
  <c r="Q496" i="3" s="1"/>
  <c r="AH50" i="3"/>
  <c r="Q50" i="3" s="1"/>
  <c r="AH380" i="3"/>
  <c r="Q380" i="3" s="1"/>
  <c r="AH563" i="3"/>
  <c r="Q563" i="3" s="1"/>
  <c r="AH225" i="3"/>
  <c r="Q225" i="3" s="1"/>
  <c r="S225" i="3" l="1"/>
  <c r="S496" i="3"/>
  <c r="T496" i="3" s="1"/>
  <c r="S8" i="3"/>
  <c r="S546" i="3"/>
  <c r="S481" i="3"/>
  <c r="D499" i="7" s="1"/>
  <c r="S254" i="3"/>
  <c r="S564" i="3"/>
  <c r="S47" i="3"/>
  <c r="S221" i="3"/>
  <c r="S178" i="3"/>
  <c r="S200" i="3"/>
  <c r="S228" i="3"/>
  <c r="S66" i="3"/>
  <c r="S169" i="3"/>
  <c r="S418" i="3"/>
  <c r="D436" i="7" s="1"/>
  <c r="S447" i="3"/>
  <c r="T447" i="3" s="1"/>
  <c r="S419" i="3"/>
  <c r="D437" i="7" s="1"/>
  <c r="S247" i="3"/>
  <c r="S210" i="3"/>
  <c r="S583" i="3"/>
  <c r="S347" i="3"/>
  <c r="S343" i="3"/>
  <c r="S522" i="3"/>
  <c r="S229" i="3"/>
  <c r="S499" i="3"/>
  <c r="S394" i="3"/>
  <c r="S216" i="3"/>
  <c r="S378" i="3"/>
  <c r="S484" i="3"/>
  <c r="D502" i="7" s="1"/>
  <c r="S552" i="3"/>
  <c r="S515" i="3"/>
  <c r="D533" i="7" s="1"/>
  <c r="S462" i="3"/>
  <c r="S24" i="3"/>
  <c r="S469" i="3"/>
  <c r="S256" i="3"/>
  <c r="S78" i="3"/>
  <c r="S493" i="3"/>
  <c r="S567" i="3"/>
  <c r="S192" i="3"/>
  <c r="S298" i="3"/>
  <c r="S498" i="3"/>
  <c r="S482" i="3"/>
  <c r="S409" i="3"/>
  <c r="D427" i="7" s="1"/>
  <c r="S19" i="3"/>
  <c r="S316" i="3"/>
  <c r="S536" i="3"/>
  <c r="D554" i="7" s="1"/>
  <c r="S170" i="3"/>
  <c r="S475" i="3"/>
  <c r="S320" i="3"/>
  <c r="S539" i="3"/>
  <c r="S206" i="3"/>
  <c r="S565" i="3"/>
  <c r="S9" i="3"/>
  <c r="S563" i="3"/>
  <c r="S50" i="3"/>
  <c r="S313" i="3"/>
  <c r="S72" i="3"/>
  <c r="S291" i="3"/>
  <c r="S60" i="3"/>
  <c r="S14" i="3"/>
  <c r="S386" i="3"/>
  <c r="S330" i="3"/>
  <c r="S551" i="3"/>
  <c r="S449" i="3"/>
  <c r="T449" i="3" s="1"/>
  <c r="S296" i="3"/>
  <c r="S183" i="3"/>
  <c r="S77" i="3"/>
  <c r="S398" i="3"/>
  <c r="S464" i="3"/>
  <c r="S241" i="3"/>
  <c r="S243" i="3"/>
  <c r="S479" i="3"/>
  <c r="S324" i="3"/>
  <c r="S413" i="3"/>
  <c r="T413" i="3" s="1"/>
  <c r="S460" i="3"/>
  <c r="S466" i="3"/>
  <c r="S491" i="3"/>
  <c r="S53" i="3"/>
  <c r="S456" i="3"/>
  <c r="S392" i="3"/>
  <c r="S6" i="3"/>
  <c r="S95" i="3"/>
  <c r="S252" i="3"/>
  <c r="S105" i="3"/>
  <c r="S58" i="3"/>
  <c r="S92" i="3"/>
  <c r="S212" i="3"/>
  <c r="S96" i="3"/>
  <c r="S7" i="3"/>
  <c r="S73" i="3"/>
  <c r="S292" i="3"/>
  <c r="S15" i="3"/>
  <c r="S311" i="3"/>
  <c r="S43" i="3"/>
  <c r="S450" i="3"/>
  <c r="S465" i="3"/>
  <c r="S483" i="3"/>
  <c r="S186" i="3"/>
  <c r="S250" i="3"/>
  <c r="S308" i="3"/>
  <c r="S261" i="3"/>
  <c r="S187" i="3"/>
  <c r="S509" i="3"/>
  <c r="D527" i="7" s="1"/>
  <c r="S237" i="3"/>
  <c r="S561" i="3"/>
  <c r="D579" i="7" s="1"/>
  <c r="S64" i="3"/>
  <c r="S448" i="3"/>
  <c r="S82" i="3"/>
  <c r="S295" i="3"/>
  <c r="S349" i="3"/>
  <c r="S307" i="3"/>
  <c r="S553" i="3"/>
  <c r="T553" i="3" s="1"/>
  <c r="S260" i="3"/>
  <c r="S341" i="3"/>
  <c r="S290" i="3"/>
  <c r="S321" i="3"/>
  <c r="S94" i="3"/>
  <c r="S342" i="3"/>
  <c r="S223" i="3"/>
  <c r="S217" i="3"/>
  <c r="S562" i="3"/>
  <c r="D580" i="7" s="1"/>
  <c r="S459" i="3"/>
  <c r="S504" i="3"/>
  <c r="S407" i="3"/>
  <c r="T407" i="3" s="1"/>
  <c r="S455" i="3"/>
  <c r="S181" i="3"/>
  <c r="S537" i="3"/>
  <c r="S478" i="3"/>
  <c r="T478" i="3" s="1"/>
  <c r="S315" i="3"/>
  <c r="S576" i="3"/>
  <c r="S376" i="3"/>
  <c r="S21" i="3"/>
  <c r="S306" i="3"/>
  <c r="S397" i="3"/>
  <c r="S270" i="3"/>
  <c r="S41" i="3"/>
  <c r="S508" i="3"/>
  <c r="S177" i="3"/>
  <c r="S48" i="3"/>
  <c r="S224" i="3"/>
  <c r="S554" i="3"/>
  <c r="D572" i="7" s="1"/>
  <c r="S322" i="3"/>
  <c r="S570" i="3"/>
  <c r="S106" i="3"/>
  <c r="S446" i="3"/>
  <c r="D464" i="7" s="1"/>
  <c r="S255" i="3"/>
  <c r="S193" i="3"/>
  <c r="S538" i="3"/>
  <c r="T538" i="3" s="1"/>
  <c r="S519" i="3"/>
  <c r="S215" i="3"/>
  <c r="S421" i="3"/>
  <c r="D439" i="7" s="1"/>
  <c r="S340" i="3"/>
  <c r="S176" i="3"/>
  <c r="S385" i="3"/>
  <c r="S497" i="3"/>
  <c r="S331" i="3"/>
  <c r="S383" i="3"/>
  <c r="S575" i="3"/>
  <c r="T575" i="3" s="1"/>
  <c r="S379" i="3"/>
  <c r="S88" i="3"/>
  <c r="S470" i="3"/>
  <c r="S408" i="3"/>
  <c r="T408" i="3" s="1"/>
  <c r="S54" i="3"/>
  <c r="S571" i="3"/>
  <c r="S474" i="3"/>
  <c r="D492" i="7" s="1"/>
  <c r="S20" i="3"/>
  <c r="S249" i="3"/>
  <c r="S189" i="3"/>
  <c r="S420" i="3"/>
  <c r="D438" i="7" s="1"/>
  <c r="S348" i="3"/>
  <c r="S415" i="3"/>
  <c r="D433" i="7" s="1"/>
  <c r="S477" i="3"/>
  <c r="S264" i="3"/>
  <c r="S81" i="3"/>
  <c r="S226" i="3"/>
  <c r="S230" i="3"/>
  <c r="S46" i="3"/>
  <c r="S555" i="3"/>
  <c r="T555" i="3" s="1"/>
  <c r="S422" i="3"/>
  <c r="T422" i="3" s="1"/>
  <c r="S574" i="3"/>
  <c r="T574" i="3" s="1"/>
  <c r="S443" i="3"/>
  <c r="S242" i="3"/>
  <c r="S503" i="3"/>
  <c r="S220" i="3"/>
  <c r="S387" i="3"/>
  <c r="S271" i="3"/>
  <c r="S227" i="3"/>
  <c r="S558" i="3"/>
  <c r="S620" i="3"/>
  <c r="S588" i="3"/>
  <c r="S566" i="3"/>
  <c r="S410" i="3"/>
  <c r="T410" i="3" s="1"/>
  <c r="S79" i="3"/>
  <c r="S238" i="3"/>
  <c r="S63" i="3"/>
  <c r="S251" i="3"/>
  <c r="S91" i="3"/>
  <c r="S49" i="3"/>
  <c r="S297" i="3"/>
  <c r="S211" i="3"/>
  <c r="S467" i="3"/>
  <c r="S476" i="3"/>
  <c r="S188" i="3"/>
  <c r="S76" i="3"/>
  <c r="S319" i="3"/>
  <c r="S471" i="3"/>
  <c r="S384" i="3"/>
  <c r="S500" i="3"/>
  <c r="S619" i="3"/>
  <c r="T619" i="3" s="1"/>
  <c r="S617" i="3"/>
  <c r="D635" i="7" s="1"/>
  <c r="S612" i="3"/>
  <c r="S609" i="3"/>
  <c r="S608" i="3"/>
  <c r="T608" i="3" s="1"/>
  <c r="S604" i="3"/>
  <c r="S606" i="3"/>
  <c r="S599" i="3"/>
  <c r="S595" i="3"/>
  <c r="S594" i="3"/>
  <c r="S358" i="3"/>
  <c r="S360" i="3"/>
  <c r="S361" i="3"/>
  <c r="S117" i="3"/>
  <c r="S116" i="3"/>
  <c r="S363" i="3"/>
  <c r="S115" i="3"/>
  <c r="S114" i="3"/>
  <c r="S357" i="3"/>
  <c r="S113" i="3"/>
  <c r="S112" i="3"/>
  <c r="S359" i="3"/>
  <c r="S530" i="3"/>
  <c r="T530" i="3" s="1"/>
  <c r="S598" i="3"/>
  <c r="S99" i="3"/>
  <c r="S127" i="3"/>
  <c r="S135" i="3"/>
  <c r="S143" i="3"/>
  <c r="S151" i="3"/>
  <c r="S159" i="3"/>
  <c r="S125" i="3"/>
  <c r="S133" i="3"/>
  <c r="S141" i="3"/>
  <c r="S149" i="3"/>
  <c r="S157" i="3"/>
  <c r="S165" i="3"/>
  <c r="S438" i="3"/>
  <c r="T438" i="3" s="1"/>
  <c r="S128" i="3"/>
  <c r="S136" i="3"/>
  <c r="S144" i="3"/>
  <c r="S152" i="3"/>
  <c r="S160" i="3"/>
  <c r="S436" i="3"/>
  <c r="T436" i="3" s="1"/>
  <c r="S287" i="3"/>
  <c r="S335" i="3"/>
  <c r="S429" i="3"/>
  <c r="T429" i="3" s="1"/>
  <c r="S437" i="3"/>
  <c r="T437" i="3" s="1"/>
  <c r="S278" i="3"/>
  <c r="S334" i="3"/>
  <c r="S426" i="3"/>
  <c r="D444" i="7" s="1"/>
  <c r="S100" i="3"/>
  <c r="S126" i="3"/>
  <c r="S134" i="3"/>
  <c r="S142" i="3"/>
  <c r="S150" i="3"/>
  <c r="S158" i="3"/>
  <c r="S166" i="3"/>
  <c r="S336" i="3"/>
  <c r="S432" i="3"/>
  <c r="T432" i="3" s="1"/>
  <c r="S277" i="3"/>
  <c r="S427" i="3"/>
  <c r="T427" i="3" s="1"/>
  <c r="S435" i="3"/>
  <c r="D453" i="7" s="1"/>
  <c r="S597" i="3"/>
  <c r="T597" i="3" s="1"/>
  <c r="S380" i="3"/>
  <c r="S55" i="3"/>
  <c r="S235" i="3"/>
  <c r="S472" i="3"/>
  <c r="S377" i="3"/>
  <c r="S12" i="3"/>
  <c r="S182" i="3"/>
  <c r="S494" i="3"/>
  <c r="S393" i="3"/>
  <c r="S406" i="3"/>
  <c r="D424" i="7" s="1"/>
  <c r="S557" i="3"/>
  <c r="D575" i="7" s="1"/>
  <c r="S580" i="3"/>
  <c r="D598" i="7" s="1"/>
  <c r="S231" i="3"/>
  <c r="S104" i="3"/>
  <c r="S323" i="3"/>
  <c r="S329" i="3"/>
  <c r="S544" i="3"/>
  <c r="S516" i="3"/>
  <c r="T516" i="3" s="1"/>
  <c r="S445" i="3"/>
  <c r="S461" i="3"/>
  <c r="S257" i="3"/>
  <c r="S545" i="3"/>
  <c r="T545" i="3" s="1"/>
  <c r="S582" i="3"/>
  <c r="S521" i="3"/>
  <c r="S258" i="3"/>
  <c r="S93" i="3"/>
  <c r="S89" i="3"/>
  <c r="S417" i="3"/>
  <c r="D435" i="7" s="1"/>
  <c r="S463" i="3"/>
  <c r="S180" i="3"/>
  <c r="S75" i="3"/>
  <c r="S259" i="3"/>
  <c r="S303" i="3"/>
  <c r="S80" i="3"/>
  <c r="S269" i="3"/>
  <c r="S65" i="3"/>
  <c r="S416" i="3"/>
  <c r="T416" i="3" s="1"/>
  <c r="S40" i="3"/>
  <c r="S236" i="3"/>
  <c r="S581" i="3"/>
  <c r="S490" i="3"/>
  <c r="T490" i="3" s="1"/>
  <c r="S253" i="3"/>
  <c r="S26" i="3"/>
  <c r="S495" i="3"/>
  <c r="D513" i="7" s="1"/>
  <c r="S74" i="3"/>
  <c r="S473" i="3"/>
  <c r="D491" i="7" s="1"/>
  <c r="S586" i="3"/>
  <c r="T586" i="3" s="1"/>
  <c r="S18" i="3"/>
  <c r="S543" i="3"/>
  <c r="T543" i="3" s="1"/>
  <c r="S520" i="3"/>
  <c r="S85" i="3"/>
  <c r="S560" i="3"/>
  <c r="D578" i="7" s="1"/>
  <c r="S67" i="3"/>
  <c r="S42" i="3"/>
  <c r="S485" i="3"/>
  <c r="S517" i="3"/>
  <c r="D535" i="7" s="1"/>
  <c r="S518" i="3"/>
  <c r="T518" i="3" s="1"/>
  <c r="S13" i="3"/>
  <c r="S405" i="3"/>
  <c r="T405" i="3" s="1"/>
  <c r="S196" i="3"/>
  <c r="S514" i="3"/>
  <c r="S488" i="3"/>
  <c r="D506" i="7" s="1"/>
  <c r="S480" i="3"/>
  <c r="S559" i="3"/>
  <c r="D577" i="7" s="1"/>
  <c r="S36" i="3"/>
  <c r="S25" i="3"/>
  <c r="S90" i="3"/>
  <c r="S414" i="3"/>
  <c r="D432" i="7" s="1"/>
  <c r="S579" i="3"/>
  <c r="S373" i="3"/>
  <c r="S248" i="3"/>
  <c r="S486" i="3"/>
  <c r="S300" i="3"/>
  <c r="S312" i="3"/>
  <c r="S489" i="3"/>
  <c r="S556" i="3"/>
  <c r="S304" i="3"/>
  <c r="S492" i="3"/>
  <c r="S27" i="3"/>
  <c r="S444" i="3"/>
  <c r="S107" i="3"/>
  <c r="S314" i="3"/>
  <c r="S266" i="3"/>
  <c r="S265" i="3"/>
  <c r="S523" i="3"/>
  <c r="D541" i="7" s="1"/>
  <c r="S39" i="3"/>
  <c r="S542" i="3"/>
  <c r="D560" i="7" s="1"/>
  <c r="S222" i="3"/>
  <c r="S468" i="3"/>
  <c r="D486" i="7" s="1"/>
  <c r="S487" i="3"/>
  <c r="S209" i="3"/>
  <c r="S199" i="3"/>
  <c r="S299" i="3"/>
  <c r="S305" i="3"/>
  <c r="S587" i="3"/>
  <c r="S346" i="3"/>
  <c r="S59" i="3"/>
  <c r="S458" i="3"/>
  <c r="S327" i="3"/>
  <c r="S201" i="3"/>
  <c r="S328" i="3"/>
  <c r="S399" i="3"/>
  <c r="S179" i="3"/>
  <c r="S457" i="3"/>
  <c r="S507" i="3"/>
  <c r="S616" i="3"/>
  <c r="S615" i="3"/>
  <c r="S611" i="3"/>
  <c r="S610" i="3"/>
  <c r="D628" i="7" s="1"/>
  <c r="S607" i="3"/>
  <c r="D625" i="7" s="1"/>
  <c r="S605" i="3"/>
  <c r="T605" i="3" s="1"/>
  <c r="S603" i="3"/>
  <c r="D621" i="7" s="1"/>
  <c r="S596" i="3"/>
  <c r="D614" i="7" s="1"/>
  <c r="S593" i="3"/>
  <c r="S111" i="3"/>
  <c r="S531" i="3"/>
  <c r="S527" i="3"/>
  <c r="S528" i="3"/>
  <c r="W528" i="3" s="1"/>
  <c r="S362" i="3"/>
  <c r="S355" i="3"/>
  <c r="S526" i="3"/>
  <c r="S366" i="3"/>
  <c r="S368" i="3"/>
  <c r="S529" i="3"/>
  <c r="W529" i="3" s="1"/>
  <c r="S354" i="3"/>
  <c r="S356" i="3"/>
  <c r="S367" i="3"/>
  <c r="S618" i="3"/>
  <c r="D636" i="7" s="1"/>
  <c r="S602" i="3"/>
  <c r="T602" i="3" s="1"/>
  <c r="S123" i="3"/>
  <c r="S131" i="3"/>
  <c r="S139" i="3"/>
  <c r="S147" i="3"/>
  <c r="S155" i="3"/>
  <c r="S163" i="3"/>
  <c r="S282" i="3"/>
  <c r="S430" i="3"/>
  <c r="T430" i="3" s="1"/>
  <c r="S101" i="3"/>
  <c r="S121" i="3"/>
  <c r="S129" i="3"/>
  <c r="S137" i="3"/>
  <c r="S145" i="3"/>
  <c r="S153" i="3"/>
  <c r="S161" i="3"/>
  <c r="S124" i="3"/>
  <c r="S132" i="3"/>
  <c r="S140" i="3"/>
  <c r="S148" i="3"/>
  <c r="S156" i="3"/>
  <c r="S164" i="3"/>
  <c r="S276" i="3"/>
  <c r="S428" i="3"/>
  <c r="D446" i="7" s="1"/>
  <c r="S283" i="3"/>
  <c r="S425" i="3"/>
  <c r="D443" i="7" s="1"/>
  <c r="S286" i="3"/>
  <c r="S122" i="3"/>
  <c r="S130" i="3"/>
  <c r="S138" i="3"/>
  <c r="S146" i="3"/>
  <c r="S154" i="3"/>
  <c r="S162" i="3"/>
  <c r="S440" i="3"/>
  <c r="D458" i="7" s="1"/>
  <c r="S281" i="3"/>
  <c r="S337" i="3"/>
  <c r="S431" i="3"/>
  <c r="D449" i="7" s="1"/>
  <c r="S439" i="3"/>
  <c r="D457" i="7" s="1"/>
  <c r="S232" i="3"/>
  <c r="C406" i="3"/>
  <c r="D94" i="7"/>
  <c r="EA62" i="2"/>
  <c r="DZ62" i="2" s="1"/>
  <c r="EA40" i="2"/>
  <c r="DZ40" i="2" s="1"/>
  <c r="EA23" i="2"/>
  <c r="DZ23" i="2" s="1"/>
  <c r="EA58" i="2"/>
  <c r="DZ58" i="2" s="1"/>
  <c r="EA44" i="2"/>
  <c r="DZ44" i="2" s="1"/>
  <c r="EA41" i="2"/>
  <c r="DZ41" i="2" s="1"/>
  <c r="EA43" i="2"/>
  <c r="DZ43" i="2" s="1"/>
  <c r="EA39" i="2"/>
  <c r="DZ39" i="2" s="1"/>
  <c r="EA66" i="2"/>
  <c r="DZ66" i="2" s="1"/>
  <c r="EA69" i="2"/>
  <c r="DZ69" i="2" s="1"/>
  <c r="EA65" i="2"/>
  <c r="DZ65" i="2" s="1"/>
  <c r="EA61" i="2"/>
  <c r="DZ61" i="2" s="1"/>
  <c r="EA57" i="2"/>
  <c r="DZ57" i="2" s="1"/>
  <c r="EA45" i="2"/>
  <c r="DZ45" i="2" s="1"/>
  <c r="EA42" i="2"/>
  <c r="DZ42" i="2" s="1"/>
  <c r="EA68" i="2"/>
  <c r="DZ68" i="2" s="1"/>
  <c r="EA64" i="2"/>
  <c r="DZ64" i="2" s="1"/>
  <c r="EA60" i="2"/>
  <c r="DZ60" i="2" s="1"/>
  <c r="EA38" i="2"/>
  <c r="DZ38" i="2" s="1"/>
  <c r="EA67" i="2"/>
  <c r="DZ67" i="2" s="1"/>
  <c r="EA63" i="2"/>
  <c r="DZ63" i="2" s="1"/>
  <c r="EA59" i="2"/>
  <c r="DZ59" i="2" s="1"/>
  <c r="EA10" i="2"/>
  <c r="DZ10" i="2" s="1"/>
  <c r="EA17" i="2"/>
  <c r="DZ17" i="2" s="1"/>
  <c r="EA16" i="2"/>
  <c r="DZ16" i="2" s="1"/>
  <c r="EA13" i="2"/>
  <c r="DZ13" i="2" s="1"/>
  <c r="EA11" i="2"/>
  <c r="DZ11" i="2" s="1"/>
  <c r="EA14" i="2"/>
  <c r="DZ14" i="2" s="1"/>
  <c r="EA15" i="2"/>
  <c r="DZ15" i="2" s="1"/>
  <c r="EA12" i="2"/>
  <c r="DZ12" i="2" s="1"/>
  <c r="EA9" i="2"/>
  <c r="DZ9" i="2" s="1"/>
  <c r="D250" i="7"/>
  <c r="T225" i="3"/>
  <c r="D243" i="7"/>
  <c r="T55" i="3"/>
  <c r="D73" i="7"/>
  <c r="T235" i="3"/>
  <c r="D253" i="7"/>
  <c r="T377" i="3"/>
  <c r="D395" i="7"/>
  <c r="T12" i="3"/>
  <c r="D30" i="7"/>
  <c r="T564" i="3"/>
  <c r="D582" i="7"/>
  <c r="T494" i="3"/>
  <c r="D512" i="7"/>
  <c r="T580" i="3"/>
  <c r="T522" i="3"/>
  <c r="D540" i="7"/>
  <c r="T521" i="3"/>
  <c r="D539" i="7"/>
  <c r="T229" i="3"/>
  <c r="D247" i="7"/>
  <c r="T258" i="3"/>
  <c r="D276" i="7"/>
  <c r="T499" i="3"/>
  <c r="D517" i="7"/>
  <c r="T394" i="3"/>
  <c r="D412" i="7"/>
  <c r="T216" i="3"/>
  <c r="D234" i="7"/>
  <c r="T378" i="3"/>
  <c r="D396" i="7"/>
  <c r="T463" i="3"/>
  <c r="D481" i="7"/>
  <c r="T552" i="3"/>
  <c r="D570" i="7"/>
  <c r="T180" i="3"/>
  <c r="D198" i="7"/>
  <c r="T462" i="3"/>
  <c r="D480" i="7"/>
  <c r="T259" i="3"/>
  <c r="D277" i="7"/>
  <c r="T24" i="3"/>
  <c r="D42" i="7"/>
  <c r="T303" i="3"/>
  <c r="D321" i="7"/>
  <c r="T469" i="3"/>
  <c r="D487" i="7"/>
  <c r="T269" i="3"/>
  <c r="D287" i="7"/>
  <c r="T65" i="3"/>
  <c r="D83" i="7"/>
  <c r="T493" i="3"/>
  <c r="D511" i="7"/>
  <c r="T567" i="3"/>
  <c r="D585" i="7"/>
  <c r="T40" i="3"/>
  <c r="D58" i="7"/>
  <c r="T192" i="3"/>
  <c r="D210" i="7"/>
  <c r="T236" i="3"/>
  <c r="D254" i="7"/>
  <c r="T298" i="3"/>
  <c r="D316" i="7"/>
  <c r="T581" i="3"/>
  <c r="D599" i="7"/>
  <c r="T498" i="3"/>
  <c r="D516" i="7"/>
  <c r="T482" i="3"/>
  <c r="D500" i="7"/>
  <c r="T253" i="3"/>
  <c r="D271" i="7"/>
  <c r="T26" i="3"/>
  <c r="D44" i="7"/>
  <c r="T19" i="3"/>
  <c r="D37" i="7"/>
  <c r="T316" i="3"/>
  <c r="D334" i="7"/>
  <c r="T170" i="3"/>
  <c r="D188" i="7"/>
  <c r="T475" i="3"/>
  <c r="D493" i="7"/>
  <c r="T18" i="3"/>
  <c r="D36" i="7"/>
  <c r="T320" i="3"/>
  <c r="D338" i="7"/>
  <c r="T539" i="3"/>
  <c r="D557" i="7"/>
  <c r="T206" i="3"/>
  <c r="D224" i="7"/>
  <c r="T520" i="3"/>
  <c r="D538" i="7"/>
  <c r="T565" i="3"/>
  <c r="D583" i="7"/>
  <c r="T9" i="3"/>
  <c r="D27" i="7"/>
  <c r="T85" i="3"/>
  <c r="D103" i="7"/>
  <c r="T67" i="3"/>
  <c r="D85" i="7"/>
  <c r="T42" i="3"/>
  <c r="D60" i="7"/>
  <c r="T485" i="3"/>
  <c r="D503" i="7"/>
  <c r="T13" i="3"/>
  <c r="D31" i="7"/>
  <c r="T196" i="3"/>
  <c r="D214" i="7"/>
  <c r="T514" i="3"/>
  <c r="D532" i="7"/>
  <c r="T480" i="3"/>
  <c r="D498" i="7"/>
  <c r="T36" i="3"/>
  <c r="D54" i="7"/>
  <c r="T25" i="3"/>
  <c r="D43" i="7"/>
  <c r="T579" i="3"/>
  <c r="D597" i="7"/>
  <c r="T373" i="3"/>
  <c r="D391" i="7"/>
  <c r="T248" i="3"/>
  <c r="D266" i="7"/>
  <c r="T486" i="3"/>
  <c r="D504" i="7"/>
  <c r="T300" i="3"/>
  <c r="D318" i="7"/>
  <c r="T312" i="3"/>
  <c r="D330" i="7"/>
  <c r="T489" i="3"/>
  <c r="D507" i="7"/>
  <c r="T556" i="3"/>
  <c r="D574" i="7"/>
  <c r="T304" i="3"/>
  <c r="D322" i="7"/>
  <c r="T492" i="3"/>
  <c r="D510" i="7"/>
  <c r="T27" i="3"/>
  <c r="D45" i="7"/>
  <c r="T444" i="3"/>
  <c r="D462" i="7"/>
  <c r="T107" i="3"/>
  <c r="D125" i="7"/>
  <c r="T314" i="3"/>
  <c r="D332" i="7"/>
  <c r="T266" i="3"/>
  <c r="D284" i="7"/>
  <c r="T265" i="3"/>
  <c r="D283" i="7"/>
  <c r="T39" i="3"/>
  <c r="D57" i="7"/>
  <c r="T222" i="3"/>
  <c r="D240" i="7"/>
  <c r="T487" i="3"/>
  <c r="D505" i="7"/>
  <c r="T209" i="3"/>
  <c r="D227" i="7"/>
  <c r="T199" i="3"/>
  <c r="D217" i="7"/>
  <c r="T299" i="3"/>
  <c r="D317" i="7"/>
  <c r="T305" i="3"/>
  <c r="D323" i="7"/>
  <c r="T587" i="3"/>
  <c r="D605" i="7"/>
  <c r="T346" i="3"/>
  <c r="D364" i="7"/>
  <c r="T59" i="3"/>
  <c r="D77" i="7"/>
  <c r="T458" i="3"/>
  <c r="D476" i="7"/>
  <c r="T327" i="3"/>
  <c r="D345" i="7"/>
  <c r="T201" i="3"/>
  <c r="D219" i="7"/>
  <c r="T328" i="3"/>
  <c r="D346" i="7"/>
  <c r="T399" i="3"/>
  <c r="D417" i="7"/>
  <c r="T179" i="3"/>
  <c r="D197" i="7"/>
  <c r="T457" i="3"/>
  <c r="D475" i="7"/>
  <c r="T507" i="3"/>
  <c r="D525" i="7"/>
  <c r="T616" i="3"/>
  <c r="D634" i="7"/>
  <c r="T615" i="3"/>
  <c r="D633" i="7"/>
  <c r="T611" i="3"/>
  <c r="D629" i="7"/>
  <c r="T603" i="3"/>
  <c r="T593" i="3"/>
  <c r="D611" i="7"/>
  <c r="T111" i="3"/>
  <c r="D129" i="7"/>
  <c r="T362" i="3"/>
  <c r="D380" i="7"/>
  <c r="T355" i="3"/>
  <c r="D373" i="7"/>
  <c r="T356" i="3"/>
  <c r="D374" i="7"/>
  <c r="T123" i="3"/>
  <c r="D141" i="7"/>
  <c r="T131" i="3"/>
  <c r="D149" i="7"/>
  <c r="T139" i="3"/>
  <c r="D157" i="7"/>
  <c r="T147" i="3"/>
  <c r="D165" i="7"/>
  <c r="T155" i="3"/>
  <c r="D173" i="7"/>
  <c r="T163" i="3"/>
  <c r="D181" i="7"/>
  <c r="T121" i="3"/>
  <c r="D139" i="7"/>
  <c r="T129" i="3"/>
  <c r="D147" i="7"/>
  <c r="T137" i="3"/>
  <c r="D155" i="7"/>
  <c r="T145" i="3"/>
  <c r="D163" i="7"/>
  <c r="T153" i="3"/>
  <c r="D171" i="7"/>
  <c r="T161" i="3"/>
  <c r="D179" i="7"/>
  <c r="T124" i="3"/>
  <c r="D142" i="7"/>
  <c r="T132" i="3"/>
  <c r="D150" i="7"/>
  <c r="T140" i="3"/>
  <c r="D158" i="7"/>
  <c r="T148" i="3"/>
  <c r="D166" i="7"/>
  <c r="T156" i="3"/>
  <c r="D174" i="7"/>
  <c r="T164" i="3"/>
  <c r="D182" i="7"/>
  <c r="T122" i="3"/>
  <c r="D140" i="7"/>
  <c r="T130" i="3"/>
  <c r="D148" i="7"/>
  <c r="T138" i="3"/>
  <c r="D156" i="7"/>
  <c r="T146" i="3"/>
  <c r="D164" i="7"/>
  <c r="T154" i="3"/>
  <c r="D172" i="7"/>
  <c r="T162" i="3"/>
  <c r="D180" i="7"/>
  <c r="T337" i="3"/>
  <c r="D355" i="7"/>
  <c r="T380" i="3"/>
  <c r="D398" i="7"/>
  <c r="T8" i="3"/>
  <c r="D26" i="7"/>
  <c r="T546" i="3"/>
  <c r="D564" i="7"/>
  <c r="T481" i="3"/>
  <c r="T472" i="3"/>
  <c r="D490" i="7"/>
  <c r="T254" i="3"/>
  <c r="D272" i="7"/>
  <c r="T182" i="3"/>
  <c r="D200" i="7"/>
  <c r="T47" i="3"/>
  <c r="D65" i="7"/>
  <c r="T221" i="3"/>
  <c r="D239" i="7"/>
  <c r="T393" i="3"/>
  <c r="D411" i="7"/>
  <c r="T178" i="3"/>
  <c r="D196" i="7"/>
  <c r="T200" i="3"/>
  <c r="D218" i="7"/>
  <c r="T228" i="3"/>
  <c r="D246" i="7"/>
  <c r="T66" i="3"/>
  <c r="D84" i="7"/>
  <c r="T169" i="3"/>
  <c r="D187" i="7"/>
  <c r="T231" i="3"/>
  <c r="D249" i="7"/>
  <c r="D122" i="7"/>
  <c r="T418" i="3"/>
  <c r="T323" i="3"/>
  <c r="D341" i="7"/>
  <c r="T329" i="3"/>
  <c r="D347" i="7"/>
  <c r="T544" i="3"/>
  <c r="D562" i="7"/>
  <c r="T247" i="3"/>
  <c r="D265" i="7"/>
  <c r="T210" i="3"/>
  <c r="D228" i="7"/>
  <c r="T445" i="3"/>
  <c r="D463" i="7"/>
  <c r="T461" i="3"/>
  <c r="D479" i="7"/>
  <c r="T583" i="3"/>
  <c r="D601" i="7"/>
  <c r="T257" i="3"/>
  <c r="D275" i="7"/>
  <c r="T347" i="3"/>
  <c r="D365" i="7"/>
  <c r="T343" i="3"/>
  <c r="D361" i="7"/>
  <c r="T582" i="3"/>
  <c r="D600" i="7"/>
  <c r="T563" i="3"/>
  <c r="D581" i="7"/>
  <c r="T50" i="3"/>
  <c r="D68" i="7"/>
  <c r="T313" i="3"/>
  <c r="D331" i="7"/>
  <c r="T291" i="3"/>
  <c r="D309" i="7"/>
  <c r="T60" i="3"/>
  <c r="D78" i="7"/>
  <c r="T14" i="3"/>
  <c r="D32" i="7"/>
  <c r="T386" i="3"/>
  <c r="D404" i="7"/>
  <c r="T330" i="3"/>
  <c r="D348" i="7"/>
  <c r="T551" i="3"/>
  <c r="D569" i="7"/>
  <c r="T296" i="3"/>
  <c r="D314" i="7"/>
  <c r="T183" i="3"/>
  <c r="D201" i="7"/>
  <c r="T398" i="3"/>
  <c r="D416" i="7"/>
  <c r="T464" i="3"/>
  <c r="D482" i="7"/>
  <c r="T241" i="3"/>
  <c r="D259" i="7"/>
  <c r="T243" i="3"/>
  <c r="D261" i="7"/>
  <c r="T479" i="3"/>
  <c r="D497" i="7"/>
  <c r="T324" i="3"/>
  <c r="D342" i="7"/>
  <c r="T460" i="3"/>
  <c r="D478" i="7"/>
  <c r="T466" i="3"/>
  <c r="D484" i="7"/>
  <c r="T491" i="3"/>
  <c r="D509" i="7"/>
  <c r="T53" i="3"/>
  <c r="D71" i="7"/>
  <c r="T456" i="3"/>
  <c r="D474" i="7"/>
  <c r="T392" i="3"/>
  <c r="D410" i="7"/>
  <c r="W95" i="3"/>
  <c r="D113" i="7"/>
  <c r="T252" i="3"/>
  <c r="D270" i="7"/>
  <c r="T105" i="3"/>
  <c r="D123" i="7"/>
  <c r="T58" i="3"/>
  <c r="D76" i="7"/>
  <c r="T212" i="3"/>
  <c r="D230" i="7"/>
  <c r="T292" i="3"/>
  <c r="D310" i="7"/>
  <c r="T15" i="3"/>
  <c r="D33" i="7"/>
  <c r="T311" i="3"/>
  <c r="D329" i="7"/>
  <c r="T43" i="3"/>
  <c r="D61" i="7"/>
  <c r="T450" i="3"/>
  <c r="D468" i="7"/>
  <c r="T465" i="3"/>
  <c r="D483" i="7"/>
  <c r="T483" i="3"/>
  <c r="D501" i="7"/>
  <c r="T186" i="3"/>
  <c r="D204" i="7"/>
  <c r="T250" i="3"/>
  <c r="D268" i="7"/>
  <c r="T308" i="3"/>
  <c r="D326" i="7"/>
  <c r="T261" i="3"/>
  <c r="D279" i="7"/>
  <c r="T187" i="3"/>
  <c r="D205" i="7"/>
  <c r="T509" i="3"/>
  <c r="T237" i="3"/>
  <c r="D255" i="7"/>
  <c r="T64" i="3"/>
  <c r="D82" i="7"/>
  <c r="T448" i="3"/>
  <c r="D466" i="7"/>
  <c r="T295" i="3"/>
  <c r="D313" i="7"/>
  <c r="T349" i="3"/>
  <c r="D367" i="7"/>
  <c r="T307" i="3"/>
  <c r="D325" i="7"/>
  <c r="T260" i="3"/>
  <c r="D278" i="7"/>
  <c r="T341" i="3"/>
  <c r="D359" i="7"/>
  <c r="T290" i="3"/>
  <c r="D308" i="7"/>
  <c r="T321" i="3"/>
  <c r="D339" i="7"/>
  <c r="T223" i="3"/>
  <c r="D241" i="7"/>
  <c r="T217" i="3"/>
  <c r="D235" i="7"/>
  <c r="T459" i="3"/>
  <c r="D477" i="7"/>
  <c r="T504" i="3"/>
  <c r="D522" i="7"/>
  <c r="T455" i="3"/>
  <c r="D473" i="7"/>
  <c r="T181" i="3"/>
  <c r="D199" i="7"/>
  <c r="T537" i="3"/>
  <c r="D555" i="7"/>
  <c r="T315" i="3"/>
  <c r="D333" i="7"/>
  <c r="T576" i="3"/>
  <c r="D594" i="7"/>
  <c r="T376" i="3"/>
  <c r="D394" i="7"/>
  <c r="T21" i="3"/>
  <c r="D39" i="7"/>
  <c r="T306" i="3"/>
  <c r="D324" i="7"/>
  <c r="T397" i="3"/>
  <c r="D415" i="7"/>
  <c r="T270" i="3"/>
  <c r="D288" i="7"/>
  <c r="T41" i="3"/>
  <c r="D59" i="7"/>
  <c r="T508" i="3"/>
  <c r="D526" i="7"/>
  <c r="T177" i="3"/>
  <c r="D195" i="7"/>
  <c r="T48" i="3"/>
  <c r="D66" i="7"/>
  <c r="T224" i="3"/>
  <c r="D242" i="7"/>
  <c r="T322" i="3"/>
  <c r="D340" i="7"/>
  <c r="T570" i="3"/>
  <c r="D588" i="7"/>
  <c r="T106" i="3"/>
  <c r="D124" i="7"/>
  <c r="T446" i="3"/>
  <c r="T255" i="3"/>
  <c r="D273" i="7"/>
  <c r="T193" i="3"/>
  <c r="D211" i="7"/>
  <c r="T519" i="3"/>
  <c r="D537" i="7"/>
  <c r="T215" i="3"/>
  <c r="D233" i="7"/>
  <c r="T340" i="3"/>
  <c r="D358" i="7"/>
  <c r="T176" i="3"/>
  <c r="D194" i="7"/>
  <c r="T385" i="3"/>
  <c r="D403" i="7"/>
  <c r="T497" i="3"/>
  <c r="D515" i="7"/>
  <c r="T383" i="3"/>
  <c r="D401" i="7"/>
  <c r="T379" i="3"/>
  <c r="D397" i="7"/>
  <c r="T470" i="3"/>
  <c r="D488" i="7"/>
  <c r="T54" i="3"/>
  <c r="D72" i="7"/>
  <c r="T571" i="3"/>
  <c r="D589" i="7"/>
  <c r="T20" i="3"/>
  <c r="D38" i="7"/>
  <c r="T249" i="3"/>
  <c r="D267" i="7"/>
  <c r="T189" i="3"/>
  <c r="D207" i="7"/>
  <c r="W348" i="3"/>
  <c r="D366" i="7"/>
  <c r="T415" i="3"/>
  <c r="T477" i="3"/>
  <c r="D495" i="7"/>
  <c r="T264" i="3"/>
  <c r="D282" i="7"/>
  <c r="T226" i="3"/>
  <c r="D244" i="7"/>
  <c r="T230" i="3"/>
  <c r="D248" i="7"/>
  <c r="T46" i="3"/>
  <c r="D64" i="7"/>
  <c r="T443" i="3"/>
  <c r="D461" i="7"/>
  <c r="T242" i="3"/>
  <c r="D260" i="7"/>
  <c r="T503" i="3"/>
  <c r="D521" i="7"/>
  <c r="T220" i="3"/>
  <c r="D238" i="7"/>
  <c r="T387" i="3"/>
  <c r="D405" i="7"/>
  <c r="T271" i="3"/>
  <c r="D289" i="7"/>
  <c r="T227" i="3"/>
  <c r="D245" i="7"/>
  <c r="T558" i="3"/>
  <c r="D576" i="7"/>
  <c r="T620" i="3"/>
  <c r="D638" i="7"/>
  <c r="T588" i="3"/>
  <c r="D606" i="7"/>
  <c r="T566" i="3"/>
  <c r="D584" i="7"/>
  <c r="T238" i="3"/>
  <c r="D256" i="7"/>
  <c r="T63" i="3"/>
  <c r="D81" i="7"/>
  <c r="T251" i="3"/>
  <c r="D269" i="7"/>
  <c r="W91" i="3"/>
  <c r="D109" i="7"/>
  <c r="T49" i="3"/>
  <c r="D67" i="7"/>
  <c r="T297" i="3"/>
  <c r="D315" i="7"/>
  <c r="T211" i="3"/>
  <c r="D229" i="7"/>
  <c r="T467" i="3"/>
  <c r="D485" i="7"/>
  <c r="T476" i="3"/>
  <c r="D494" i="7"/>
  <c r="T188" i="3"/>
  <c r="D206" i="7"/>
  <c r="T319" i="3"/>
  <c r="D337" i="7"/>
  <c r="T471" i="3"/>
  <c r="D489" i="7"/>
  <c r="T384" i="3"/>
  <c r="D402" i="7"/>
  <c r="T500" i="3"/>
  <c r="D518" i="7"/>
  <c r="T612" i="3"/>
  <c r="D630" i="7"/>
  <c r="T609" i="3"/>
  <c r="D627" i="7"/>
  <c r="T604" i="3"/>
  <c r="D622" i="7"/>
  <c r="T606" i="3"/>
  <c r="D624" i="7"/>
  <c r="T599" i="3"/>
  <c r="D617" i="7"/>
  <c r="T595" i="3"/>
  <c r="D613" i="7"/>
  <c r="T594" i="3"/>
  <c r="D612" i="7"/>
  <c r="T358" i="3"/>
  <c r="D376" i="7"/>
  <c r="T360" i="3"/>
  <c r="D378" i="7"/>
  <c r="T361" i="3"/>
  <c r="D379" i="7"/>
  <c r="T117" i="3"/>
  <c r="D135" i="7"/>
  <c r="T116" i="3"/>
  <c r="D134" i="7"/>
  <c r="T363" i="3"/>
  <c r="D381" i="7"/>
  <c r="T115" i="3"/>
  <c r="D133" i="7"/>
  <c r="T114" i="3"/>
  <c r="D132" i="7"/>
  <c r="T357" i="3"/>
  <c r="D375" i="7"/>
  <c r="T112" i="3"/>
  <c r="D130" i="7"/>
  <c r="T359" i="3"/>
  <c r="D377" i="7"/>
  <c r="T598" i="3"/>
  <c r="D616" i="7"/>
  <c r="T127" i="3"/>
  <c r="D145" i="7"/>
  <c r="T135" i="3"/>
  <c r="D153" i="7"/>
  <c r="T143" i="3"/>
  <c r="D161" i="7"/>
  <c r="T151" i="3"/>
  <c r="D169" i="7"/>
  <c r="T159" i="3"/>
  <c r="D177" i="7"/>
  <c r="T125" i="3"/>
  <c r="D143" i="7"/>
  <c r="T133" i="3"/>
  <c r="D151" i="7"/>
  <c r="T141" i="3"/>
  <c r="D159" i="7"/>
  <c r="T149" i="3"/>
  <c r="D167" i="7"/>
  <c r="T157" i="3"/>
  <c r="D175" i="7"/>
  <c r="T165" i="3"/>
  <c r="D183" i="7"/>
  <c r="T128" i="3"/>
  <c r="D146" i="7"/>
  <c r="T136" i="3"/>
  <c r="D154" i="7"/>
  <c r="T144" i="3"/>
  <c r="D162" i="7"/>
  <c r="T152" i="3"/>
  <c r="D170" i="7"/>
  <c r="T160" i="3"/>
  <c r="D178" i="7"/>
  <c r="T335" i="3"/>
  <c r="D353" i="7"/>
  <c r="T334" i="3"/>
  <c r="D352" i="7"/>
  <c r="T126" i="3"/>
  <c r="D144" i="7"/>
  <c r="T134" i="3"/>
  <c r="D152" i="7"/>
  <c r="T142" i="3"/>
  <c r="D160" i="7"/>
  <c r="T150" i="3"/>
  <c r="D168" i="7"/>
  <c r="T158" i="3"/>
  <c r="D176" i="7"/>
  <c r="T166" i="3"/>
  <c r="D184" i="7"/>
  <c r="T336" i="3"/>
  <c r="D354" i="7"/>
  <c r="W282" i="3"/>
  <c r="T282" i="3"/>
  <c r="T101" i="3"/>
  <c r="EA21" i="2"/>
  <c r="W276" i="3"/>
  <c r="T276" i="3"/>
  <c r="W283" i="3"/>
  <c r="T283" i="3"/>
  <c r="W286" i="3"/>
  <c r="T286" i="3"/>
  <c r="W281" i="3"/>
  <c r="T281" i="3"/>
  <c r="EA19" i="2"/>
  <c r="T99" i="3"/>
  <c r="W287" i="3"/>
  <c r="T287" i="3"/>
  <c r="T278" i="3"/>
  <c r="W278" i="3"/>
  <c r="T100" i="3"/>
  <c r="EA20" i="2"/>
  <c r="W277" i="3"/>
  <c r="T277" i="3"/>
  <c r="W113" i="3"/>
  <c r="T113" i="3"/>
  <c r="T531" i="3"/>
  <c r="W531" i="3"/>
  <c r="T527" i="3"/>
  <c r="W527" i="3"/>
  <c r="T528" i="3"/>
  <c r="T526" i="3"/>
  <c r="W526" i="3"/>
  <c r="W366" i="3"/>
  <c r="T366" i="3"/>
  <c r="T368" i="3"/>
  <c r="W368" i="3"/>
  <c r="T354" i="3"/>
  <c r="W354" i="3"/>
  <c r="T367" i="3"/>
  <c r="W367" i="3"/>
  <c r="T92" i="3"/>
  <c r="W92" i="3"/>
  <c r="T96" i="3"/>
  <c r="W96" i="3"/>
  <c r="T94" i="3"/>
  <c r="W94" i="3"/>
  <c r="T88" i="3"/>
  <c r="W88" i="3"/>
  <c r="T93" i="3"/>
  <c r="W93" i="3"/>
  <c r="T89" i="3"/>
  <c r="W89" i="3"/>
  <c r="T90" i="3"/>
  <c r="W90" i="3"/>
  <c r="EA5" i="2"/>
  <c r="DZ5" i="2" s="1"/>
  <c r="EA7" i="2"/>
  <c r="DZ7" i="2" s="1"/>
  <c r="EA6" i="2"/>
  <c r="DZ6" i="2" s="1"/>
  <c r="T79" i="3"/>
  <c r="W79" i="3"/>
  <c r="T91" i="3"/>
  <c r="W76" i="3"/>
  <c r="T76" i="3"/>
  <c r="EA3" i="2"/>
  <c r="DZ3" i="2" s="1"/>
  <c r="W72" i="3"/>
  <c r="T72" i="3"/>
  <c r="W77" i="3"/>
  <c r="T77" i="3"/>
  <c r="B6" i="3"/>
  <c r="B7" i="3" s="1"/>
  <c r="B8" i="3" s="1"/>
  <c r="B9" i="3" s="1"/>
  <c r="B10" i="3" s="1"/>
  <c r="B11" i="3" s="1"/>
  <c r="B12" i="3" s="1"/>
  <c r="B13" i="3" s="1"/>
  <c r="B14" i="3" s="1"/>
  <c r="B15" i="3" s="1"/>
  <c r="B16" i="3" s="1"/>
  <c r="B17" i="3" s="1"/>
  <c r="B18" i="3" s="1"/>
  <c r="B19" i="3" s="1"/>
  <c r="B20" i="3" s="1"/>
  <c r="B21" i="3" s="1"/>
  <c r="B22" i="3" s="1"/>
  <c r="B23" i="3" s="1"/>
  <c r="B24" i="3" s="1"/>
  <c r="B25" i="3" s="1"/>
  <c r="B26" i="3" s="1"/>
  <c r="B27" i="3" s="1"/>
  <c r="B28" i="3" s="1"/>
  <c r="B29" i="3" s="1"/>
  <c r="B30" i="3" s="1"/>
  <c r="T6" i="3"/>
  <c r="T95" i="3"/>
  <c r="EA4" i="2"/>
  <c r="DZ4" i="2" s="1"/>
  <c r="T7" i="3"/>
  <c r="W73" i="3"/>
  <c r="T73" i="3"/>
  <c r="T82" i="3"/>
  <c r="W82" i="3"/>
  <c r="T342" i="3"/>
  <c r="W342" i="3"/>
  <c r="Q31" i="3"/>
  <c r="S30" i="3"/>
  <c r="T331" i="3"/>
  <c r="W331" i="3"/>
  <c r="T348" i="3"/>
  <c r="W81" i="3"/>
  <c r="T81" i="3"/>
  <c r="T104" i="3"/>
  <c r="EA8" i="2"/>
  <c r="DZ8" i="2" s="1"/>
  <c r="W75" i="3"/>
  <c r="T75" i="3"/>
  <c r="T80" i="3"/>
  <c r="W80" i="3"/>
  <c r="W256" i="3"/>
  <c r="T256" i="3"/>
  <c r="T78" i="3"/>
  <c r="W78" i="3"/>
  <c r="T74" i="3"/>
  <c r="W74" i="3"/>
  <c r="T495" i="3" l="1"/>
  <c r="T474" i="3"/>
  <c r="T562" i="3"/>
  <c r="T419" i="3"/>
  <c r="AF419" i="3" s="1"/>
  <c r="T484" i="3"/>
  <c r="AF484" i="3" s="1"/>
  <c r="T515" i="3"/>
  <c r="AF515" i="3" s="1"/>
  <c r="W530" i="3"/>
  <c r="T420" i="3"/>
  <c r="T421" i="3"/>
  <c r="AF421" i="3" s="1"/>
  <c r="T554" i="3"/>
  <c r="AF554" i="3" s="1"/>
  <c r="T561" i="3"/>
  <c r="T409" i="3"/>
  <c r="AF409" i="3" s="1"/>
  <c r="T529" i="3"/>
  <c r="D455" i="7"/>
  <c r="D534" i="7"/>
  <c r="T406" i="3"/>
  <c r="AF406" i="3" s="1"/>
  <c r="T440" i="3"/>
  <c r="AF440" i="3" s="1"/>
  <c r="T488" i="3"/>
  <c r="AF488" i="3" s="1"/>
  <c r="D637" i="7"/>
  <c r="D445" i="7"/>
  <c r="D456" i="7"/>
  <c r="T428" i="3"/>
  <c r="AF428" i="3" s="1"/>
  <c r="T414" i="3"/>
  <c r="AF414" i="3" s="1"/>
  <c r="T560" i="3"/>
  <c r="AF560" i="3" s="1"/>
  <c r="D615" i="7"/>
  <c r="D450" i="7"/>
  <c r="D454" i="7"/>
  <c r="D626" i="7"/>
  <c r="D563" i="7"/>
  <c r="T439" i="3"/>
  <c r="AF439" i="3" s="1"/>
  <c r="T425" i="3"/>
  <c r="AF425" i="3" s="1"/>
  <c r="T618" i="3"/>
  <c r="AF618" i="3" s="1"/>
  <c r="T607" i="3"/>
  <c r="AF607" i="3" s="1"/>
  <c r="T559" i="3"/>
  <c r="AF559" i="3" s="1"/>
  <c r="T517" i="3"/>
  <c r="AF517" i="3" s="1"/>
  <c r="T473" i="3"/>
  <c r="AF473" i="3" s="1"/>
  <c r="T417" i="3"/>
  <c r="AF417" i="3" s="1"/>
  <c r="D496" i="7"/>
  <c r="D573" i="7"/>
  <c r="D467" i="7"/>
  <c r="T431" i="3"/>
  <c r="AF431" i="3" s="1"/>
  <c r="D448" i="7"/>
  <c r="T468" i="3"/>
  <c r="AF468" i="3" s="1"/>
  <c r="D561" i="7"/>
  <c r="T426" i="3"/>
  <c r="AF426" i="3" s="1"/>
  <c r="D447" i="7"/>
  <c r="T617" i="3"/>
  <c r="AF617" i="3" s="1"/>
  <c r="D428" i="7"/>
  <c r="D593" i="7"/>
  <c r="D571" i="7"/>
  <c r="T523" i="3"/>
  <c r="D423" i="7"/>
  <c r="D434" i="7"/>
  <c r="T435" i="3"/>
  <c r="AF435" i="3" s="1"/>
  <c r="D592" i="7"/>
  <c r="D426" i="7"/>
  <c r="D556" i="7"/>
  <c r="D425" i="7"/>
  <c r="D431" i="7"/>
  <c r="D465" i="7"/>
  <c r="T557" i="3"/>
  <c r="AF557" i="3" s="1"/>
  <c r="D620" i="7"/>
  <c r="T596" i="3"/>
  <c r="AF596" i="3" s="1"/>
  <c r="D623" i="7"/>
  <c r="T610" i="3"/>
  <c r="AF610" i="3" s="1"/>
  <c r="T542" i="3"/>
  <c r="AF542" i="3" s="1"/>
  <c r="D536" i="7"/>
  <c r="D604" i="7"/>
  <c r="T536" i="3"/>
  <c r="AF536" i="3" s="1"/>
  <c r="D508" i="7"/>
  <c r="D514" i="7"/>
  <c r="C407" i="3"/>
  <c r="C408" i="3" s="1"/>
  <c r="C409" i="3" s="1"/>
  <c r="C410" i="3" s="1"/>
  <c r="C411" i="3" s="1"/>
  <c r="C412" i="3" s="1"/>
  <c r="C413" i="3" s="1"/>
  <c r="C414" i="3" s="1"/>
  <c r="C415" i="3" s="1"/>
  <c r="C416" i="3" s="1"/>
  <c r="C417" i="3" s="1"/>
  <c r="C418" i="3" s="1"/>
  <c r="C419" i="3" s="1"/>
  <c r="C420" i="3" s="1"/>
  <c r="C421" i="3" s="1"/>
  <c r="D440" i="7"/>
  <c r="C422" i="3"/>
  <c r="C423" i="3" s="1"/>
  <c r="D299" i="7"/>
  <c r="D304" i="7"/>
  <c r="D301" i="7"/>
  <c r="D294" i="7"/>
  <c r="D119" i="7"/>
  <c r="D300" i="7"/>
  <c r="D385" i="7"/>
  <c r="D372" i="7"/>
  <c r="D547" i="7"/>
  <c r="D386" i="7"/>
  <c r="D384" i="7"/>
  <c r="D544" i="7"/>
  <c r="D546" i="7"/>
  <c r="D545" i="7"/>
  <c r="D549" i="7"/>
  <c r="D108" i="7"/>
  <c r="C405" i="3"/>
  <c r="D92" i="7"/>
  <c r="D98" i="7"/>
  <c r="D93" i="7"/>
  <c r="D107" i="7"/>
  <c r="D111" i="7"/>
  <c r="D295" i="7"/>
  <c r="D118" i="7"/>
  <c r="D296" i="7"/>
  <c r="D305" i="7"/>
  <c r="D117" i="7"/>
  <c r="D548" i="7"/>
  <c r="D131" i="7"/>
  <c r="EA22" i="2"/>
  <c r="DZ22" i="2" s="1"/>
  <c r="D97" i="7"/>
  <c r="D99" i="7"/>
  <c r="D106" i="7"/>
  <c r="D349" i="7"/>
  <c r="AF6" i="3"/>
  <c r="AF100" i="3"/>
  <c r="DL20" i="2" s="1"/>
  <c r="DN20" i="2" s="1"/>
  <c r="DO20" i="2" s="1"/>
  <c r="AF101" i="3"/>
  <c r="DL21" i="2" s="1"/>
  <c r="DN21" i="2" s="1"/>
  <c r="DO21" i="2" s="1"/>
  <c r="AF597" i="3"/>
  <c r="AF427" i="3"/>
  <c r="AF432" i="3"/>
  <c r="AF336" i="3"/>
  <c r="AF166" i="3"/>
  <c r="AF158" i="3"/>
  <c r="AF150" i="3"/>
  <c r="AF142" i="3"/>
  <c r="AF134" i="3"/>
  <c r="AF126" i="3"/>
  <c r="AF334" i="3"/>
  <c r="AF437" i="3"/>
  <c r="AF429" i="3"/>
  <c r="AF335" i="3"/>
  <c r="AF436" i="3"/>
  <c r="AF160" i="3"/>
  <c r="AF152" i="3"/>
  <c r="AF144" i="3"/>
  <c r="AF136" i="3"/>
  <c r="AF128" i="3"/>
  <c r="AF438" i="3"/>
  <c r="AF165" i="3"/>
  <c r="AF157" i="3"/>
  <c r="AF149" i="3"/>
  <c r="AF141" i="3"/>
  <c r="AF133" i="3"/>
  <c r="AF125" i="3"/>
  <c r="AF159" i="3"/>
  <c r="AF151" i="3"/>
  <c r="AF143" i="3"/>
  <c r="AF135" i="3"/>
  <c r="AF127" i="3"/>
  <c r="AF598" i="3"/>
  <c r="AF359" i="3"/>
  <c r="AF112" i="3"/>
  <c r="AF357" i="3"/>
  <c r="AF114" i="3"/>
  <c r="AF115" i="3"/>
  <c r="AF363" i="3"/>
  <c r="AF116" i="3"/>
  <c r="AF117" i="3"/>
  <c r="AF361" i="3"/>
  <c r="AF360" i="3"/>
  <c r="AF358" i="3"/>
  <c r="AF594" i="3"/>
  <c r="AF595" i="3"/>
  <c r="AF599" i="3"/>
  <c r="AF606" i="3"/>
  <c r="AF604" i="3"/>
  <c r="AF608" i="3"/>
  <c r="AF609" i="3"/>
  <c r="AF612" i="3"/>
  <c r="AF619" i="3"/>
  <c r="AF500" i="3"/>
  <c r="AF384" i="3"/>
  <c r="AF471" i="3"/>
  <c r="AF319" i="3"/>
  <c r="AF188" i="3"/>
  <c r="AF476" i="3"/>
  <c r="AF467" i="3"/>
  <c r="AF211" i="3"/>
  <c r="AF297" i="3"/>
  <c r="AF49" i="3"/>
  <c r="AF251" i="3"/>
  <c r="AF63" i="3"/>
  <c r="AF238" i="3"/>
  <c r="AF410" i="3"/>
  <c r="AF566" i="3"/>
  <c r="AF588" i="3"/>
  <c r="AF620" i="3"/>
  <c r="AF558" i="3"/>
  <c r="AF227" i="3"/>
  <c r="AF271" i="3"/>
  <c r="AF387" i="3"/>
  <c r="AF220" i="3"/>
  <c r="AF503" i="3"/>
  <c r="AF443" i="3"/>
  <c r="AF574" i="3"/>
  <c r="AF422" i="3"/>
  <c r="AF555" i="3"/>
  <c r="AF46" i="3"/>
  <c r="AF230" i="3"/>
  <c r="AF226" i="3"/>
  <c r="AF264" i="3"/>
  <c r="AF477" i="3"/>
  <c r="AF415" i="3"/>
  <c r="AF420" i="3"/>
  <c r="AF189" i="3"/>
  <c r="AF249" i="3"/>
  <c r="AF20" i="3"/>
  <c r="AF474" i="3"/>
  <c r="AF571" i="3"/>
  <c r="AF54" i="3"/>
  <c r="AF408" i="3"/>
  <c r="AF470" i="3"/>
  <c r="AF379" i="3"/>
  <c r="AF575" i="3"/>
  <c r="AF383" i="3"/>
  <c r="AF497" i="3"/>
  <c r="AF385" i="3"/>
  <c r="AF176" i="3"/>
  <c r="AF340" i="3"/>
  <c r="AF215" i="3"/>
  <c r="AF519" i="3"/>
  <c r="AF538" i="3"/>
  <c r="AF193" i="3"/>
  <c r="AF255" i="3"/>
  <c r="AF446" i="3"/>
  <c r="AF106" i="3"/>
  <c r="AF570" i="3"/>
  <c r="AF322" i="3"/>
  <c r="AF224" i="3"/>
  <c r="AF177" i="3"/>
  <c r="AF508" i="3"/>
  <c r="AF41" i="3"/>
  <c r="AF270" i="3"/>
  <c r="AF397" i="3"/>
  <c r="AF306" i="3"/>
  <c r="AF21" i="3"/>
  <c r="AF376" i="3"/>
  <c r="AF576" i="3"/>
  <c r="AF315" i="3"/>
  <c r="AF478" i="3"/>
  <c r="AF537" i="3"/>
  <c r="AF181" i="3"/>
  <c r="AF455" i="3"/>
  <c r="AF407" i="3"/>
  <c r="AF504" i="3"/>
  <c r="AF459" i="3"/>
  <c r="AF562" i="3"/>
  <c r="AF217" i="3"/>
  <c r="AF223" i="3"/>
  <c r="AF321" i="3"/>
  <c r="AF290" i="3"/>
  <c r="AF341" i="3"/>
  <c r="AF260" i="3"/>
  <c r="AF553" i="3"/>
  <c r="AF307" i="3"/>
  <c r="AF295" i="3"/>
  <c r="AF448" i="3"/>
  <c r="AF64" i="3"/>
  <c r="AF561" i="3"/>
  <c r="AF237" i="3"/>
  <c r="AF509" i="3"/>
  <c r="AF187" i="3"/>
  <c r="AF261" i="3"/>
  <c r="AF308" i="3"/>
  <c r="AF250" i="3"/>
  <c r="AF186" i="3"/>
  <c r="AF483" i="3"/>
  <c r="AF465" i="3"/>
  <c r="AF450" i="3"/>
  <c r="AF43" i="3"/>
  <c r="AF311" i="3"/>
  <c r="AF15" i="3"/>
  <c r="AF292" i="3"/>
  <c r="AF212" i="3"/>
  <c r="AF58" i="3"/>
  <c r="AF105" i="3"/>
  <c r="AF252" i="3"/>
  <c r="AF392" i="3"/>
  <c r="AF456" i="3"/>
  <c r="AF53" i="3"/>
  <c r="ES21" i="1" s="1"/>
  <c r="AF491" i="3"/>
  <c r="AF466" i="3"/>
  <c r="AF460" i="3"/>
  <c r="AF413" i="3"/>
  <c r="AF324" i="3"/>
  <c r="AF479" i="3"/>
  <c r="AF464" i="3"/>
  <c r="AF398" i="3"/>
  <c r="AF183" i="3"/>
  <c r="AF296" i="3"/>
  <c r="AF449" i="3"/>
  <c r="AF551" i="3"/>
  <c r="AF330" i="3"/>
  <c r="AF386" i="3"/>
  <c r="AF14" i="3"/>
  <c r="AF60" i="3"/>
  <c r="AF291" i="3"/>
  <c r="AF313" i="3"/>
  <c r="AF50" i="3"/>
  <c r="AF563" i="3"/>
  <c r="AF582" i="3"/>
  <c r="AF343" i="3"/>
  <c r="AF257" i="3"/>
  <c r="AF583" i="3"/>
  <c r="AF461" i="3"/>
  <c r="AF445" i="3"/>
  <c r="AF210" i="3"/>
  <c r="AF516" i="3"/>
  <c r="AF247" i="3"/>
  <c r="AF544" i="3"/>
  <c r="AF329" i="3"/>
  <c r="AF447" i="3"/>
  <c r="AF323" i="3"/>
  <c r="AF418" i="3"/>
  <c r="AF104" i="3"/>
  <c r="D48" i="7"/>
  <c r="AF7" i="3"/>
  <c r="AF99" i="3"/>
  <c r="DL19" i="2" s="1"/>
  <c r="DN19" i="2" s="1"/>
  <c r="DO19" i="2" s="1"/>
  <c r="AF231" i="3"/>
  <c r="AF169" i="3"/>
  <c r="AF66" i="3"/>
  <c r="BR77" i="1" s="1"/>
  <c r="AF228" i="3"/>
  <c r="AF200" i="3"/>
  <c r="AF178" i="3"/>
  <c r="AF393" i="3"/>
  <c r="AR8" i="1" s="1"/>
  <c r="AF221" i="3"/>
  <c r="AF47" i="3"/>
  <c r="AF182" i="3"/>
  <c r="AF254" i="3"/>
  <c r="AF472" i="3"/>
  <c r="AF481" i="3"/>
  <c r="AF546" i="3"/>
  <c r="AF8" i="3"/>
  <c r="AF380" i="3"/>
  <c r="AF337" i="3"/>
  <c r="AF162" i="3"/>
  <c r="AF154" i="3"/>
  <c r="AF146" i="3"/>
  <c r="AF138" i="3"/>
  <c r="AF130" i="3"/>
  <c r="AF122" i="3"/>
  <c r="AF164" i="3"/>
  <c r="AF156" i="3"/>
  <c r="AF148" i="3"/>
  <c r="AF140" i="3"/>
  <c r="AF132" i="3"/>
  <c r="AF124" i="3"/>
  <c r="AF161" i="3"/>
  <c r="AF153" i="3"/>
  <c r="AF145" i="3"/>
  <c r="AF137" i="3"/>
  <c r="AF129" i="3"/>
  <c r="AF121" i="3"/>
  <c r="AF430" i="3"/>
  <c r="AF163" i="3"/>
  <c r="AF155" i="3"/>
  <c r="AF147" i="3"/>
  <c r="AF139" i="3"/>
  <c r="AF131" i="3"/>
  <c r="AF123" i="3"/>
  <c r="AF602" i="3"/>
  <c r="AF356" i="3"/>
  <c r="AF355" i="3"/>
  <c r="AF362" i="3"/>
  <c r="AF111" i="3"/>
  <c r="AF593" i="3"/>
  <c r="AF603" i="3"/>
  <c r="AF605" i="3"/>
  <c r="AF611" i="3"/>
  <c r="AF615" i="3"/>
  <c r="AF616" i="3"/>
  <c r="AF507" i="3"/>
  <c r="AF457" i="3"/>
  <c r="AF179" i="3"/>
  <c r="AF399" i="3"/>
  <c r="AF328" i="3"/>
  <c r="AF201" i="3"/>
  <c r="AF327" i="3"/>
  <c r="AF458" i="3"/>
  <c r="AF59" i="3"/>
  <c r="AF587" i="3"/>
  <c r="AF305" i="3"/>
  <c r="AF299" i="3"/>
  <c r="AF199" i="3"/>
  <c r="AF209" i="3"/>
  <c r="AF487" i="3"/>
  <c r="AF222" i="3"/>
  <c r="AF39" i="3"/>
  <c r="ES11" i="1" s="1"/>
  <c r="EG20" i="1" s="1"/>
  <c r="AF523" i="3"/>
  <c r="AF265" i="3"/>
  <c r="AF266" i="3"/>
  <c r="AF314" i="3"/>
  <c r="AF107" i="3"/>
  <c r="AF444" i="3"/>
  <c r="AF27" i="3"/>
  <c r="AF492" i="3"/>
  <c r="AF304" i="3"/>
  <c r="AF556" i="3"/>
  <c r="AF489" i="3"/>
  <c r="AF312" i="3"/>
  <c r="AF300" i="3"/>
  <c r="AF486" i="3"/>
  <c r="AF248" i="3"/>
  <c r="AF373" i="3"/>
  <c r="AF579" i="3"/>
  <c r="AF25" i="3"/>
  <c r="AF36" i="3"/>
  <c r="AF480" i="3"/>
  <c r="AF514" i="3"/>
  <c r="AF196" i="3"/>
  <c r="AF405" i="3"/>
  <c r="AF13" i="3"/>
  <c r="AF518" i="3"/>
  <c r="AF485" i="3"/>
  <c r="AF42" i="3"/>
  <c r="AF67" i="3"/>
  <c r="AF85" i="3"/>
  <c r="AF9" i="3"/>
  <c r="AF565" i="3"/>
  <c r="AF520" i="3"/>
  <c r="AF206" i="3"/>
  <c r="AF539" i="3"/>
  <c r="AF543" i="3"/>
  <c r="AF320" i="3"/>
  <c r="AF18" i="3"/>
  <c r="AF475" i="3"/>
  <c r="AF586" i="3"/>
  <c r="AF170" i="3"/>
  <c r="AF316" i="3"/>
  <c r="AF495" i="3"/>
  <c r="AF19" i="3"/>
  <c r="AF26" i="3"/>
  <c r="AF253" i="3"/>
  <c r="AF482" i="3"/>
  <c r="AF490" i="3"/>
  <c r="AF498" i="3"/>
  <c r="AF581" i="3"/>
  <c r="AF298" i="3"/>
  <c r="AF236" i="3"/>
  <c r="AF192" i="3"/>
  <c r="AF40" i="3"/>
  <c r="AF567" i="3"/>
  <c r="AF416" i="3"/>
  <c r="AF493" i="3"/>
  <c r="AF65" i="3"/>
  <c r="AF269" i="3"/>
  <c r="AF469" i="3"/>
  <c r="AF303" i="3"/>
  <c r="AF24" i="3"/>
  <c r="AF259" i="3"/>
  <c r="AF462" i="3"/>
  <c r="AF180" i="3"/>
  <c r="AF552" i="3"/>
  <c r="AF463" i="3"/>
  <c r="AF378" i="3"/>
  <c r="AF216" i="3"/>
  <c r="AF394" i="3"/>
  <c r="AF499" i="3"/>
  <c r="AF258" i="3"/>
  <c r="AF229" i="3"/>
  <c r="AF521" i="3"/>
  <c r="AF522" i="3"/>
  <c r="AF580" i="3"/>
  <c r="AF494" i="3"/>
  <c r="AF564" i="3"/>
  <c r="AF12" i="3"/>
  <c r="AF377" i="3"/>
  <c r="AF235" i="3"/>
  <c r="AF55" i="3"/>
  <c r="AF496" i="3"/>
  <c r="AF225" i="3"/>
  <c r="T232" i="3"/>
  <c r="D360" i="7"/>
  <c r="D112" i="7"/>
  <c r="D100" i="7"/>
  <c r="D91" i="7"/>
  <c r="D25" i="7"/>
  <c r="D114" i="7"/>
  <c r="D110" i="7"/>
  <c r="D24" i="7"/>
  <c r="D95" i="7"/>
  <c r="D90" i="7"/>
  <c r="D96" i="7"/>
  <c r="D274" i="7"/>
  <c r="AF91" i="3"/>
  <c r="DL22" i="2" s="1"/>
  <c r="DN22" i="2" s="1"/>
  <c r="DO22" i="2" s="1"/>
  <c r="AF95" i="3"/>
  <c r="DL4" i="2" s="1"/>
  <c r="DN4" i="2" s="1"/>
  <c r="DO4" i="2" s="1"/>
  <c r="AF277" i="3"/>
  <c r="AF287" i="3"/>
  <c r="AF281" i="3"/>
  <c r="AF282" i="3"/>
  <c r="AF286" i="3"/>
  <c r="AF283" i="3"/>
  <c r="AF276" i="3"/>
  <c r="AF278" i="3"/>
  <c r="AF529" i="3"/>
  <c r="AF366" i="3"/>
  <c r="AF528" i="3"/>
  <c r="AF113" i="3"/>
  <c r="AF90" i="3"/>
  <c r="AF89" i="3"/>
  <c r="AF93" i="3"/>
  <c r="AF88" i="3"/>
  <c r="AF94" i="3"/>
  <c r="AF96" i="3"/>
  <c r="AF92" i="3"/>
  <c r="AF367" i="3"/>
  <c r="AF354" i="3"/>
  <c r="AF368" i="3"/>
  <c r="AF526" i="3"/>
  <c r="AF527" i="3"/>
  <c r="AF531" i="3"/>
  <c r="AF530" i="3"/>
  <c r="AF74" i="3"/>
  <c r="AF78" i="3"/>
  <c r="AF80" i="3"/>
  <c r="AF81" i="3"/>
  <c r="AF73" i="3"/>
  <c r="AF77" i="3"/>
  <c r="AF72" i="3"/>
  <c r="DL3" i="2" s="1"/>
  <c r="DN3" i="2" s="1"/>
  <c r="DO3" i="2" s="1"/>
  <c r="T30" i="3"/>
  <c r="W30" i="3"/>
  <c r="AF256" i="3"/>
  <c r="AF75" i="3"/>
  <c r="AF331" i="3"/>
  <c r="S31" i="3"/>
  <c r="Q32" i="3"/>
  <c r="AF342" i="3"/>
  <c r="AF82" i="3"/>
  <c r="AF76" i="3"/>
  <c r="AF79" i="3"/>
  <c r="BR75" i="1" l="1"/>
  <c r="BR76" i="1"/>
  <c r="Y349" i="3"/>
  <c r="AF349" i="3" s="1"/>
  <c r="ES22" i="1"/>
  <c r="Y348" i="3"/>
  <c r="AF348" i="3" s="1"/>
  <c r="BR74" i="1"/>
  <c r="Y243" i="3"/>
  <c r="Y241" i="3"/>
  <c r="AR6" i="1"/>
  <c r="AR7" i="1" s="1"/>
  <c r="Y545" i="3"/>
  <c r="AF545" i="3" s="1"/>
  <c r="Y346" i="3"/>
  <c r="AF346" i="3" s="1"/>
  <c r="Y347" i="3"/>
  <c r="AF347" i="3" s="1"/>
  <c r="Y242" i="3"/>
  <c r="W31" i="3"/>
  <c r="AF232" i="3"/>
  <c r="C424" i="3"/>
  <c r="EG22" i="1"/>
  <c r="T31" i="3"/>
  <c r="DL40" i="2"/>
  <c r="DN40" i="2" s="1"/>
  <c r="DO40" i="2" s="1"/>
  <c r="DL23" i="2"/>
  <c r="DN23" i="2" s="1"/>
  <c r="DO23" i="2" s="1"/>
  <c r="DL62" i="2"/>
  <c r="DN62" i="2" s="1"/>
  <c r="DO62" i="2" s="1"/>
  <c r="Q33" i="3"/>
  <c r="S32" i="3"/>
  <c r="AF30" i="3"/>
  <c r="AF31" i="3" l="1"/>
  <c r="A31" i="3" s="1"/>
  <c r="B31" i="3" s="1"/>
  <c r="W32" i="3"/>
  <c r="C425" i="3"/>
  <c r="T32" i="3"/>
  <c r="Q34" i="3"/>
  <c r="S33" i="3"/>
  <c r="AF32" i="3" l="1"/>
  <c r="A32" i="3" s="1"/>
  <c r="B32" i="3" s="1"/>
  <c r="W33" i="3"/>
  <c r="C426" i="3"/>
  <c r="T33" i="3"/>
  <c r="Q35" i="3"/>
  <c r="S34" i="3"/>
  <c r="S35" i="3" l="1"/>
  <c r="AF33" i="3"/>
  <c r="A33" i="3" s="1"/>
  <c r="B33" i="3" s="1"/>
  <c r="W34" i="3"/>
  <c r="C427" i="3"/>
  <c r="T35" i="3"/>
  <c r="T34" i="3"/>
  <c r="W35" i="3" l="1"/>
  <c r="AF35" i="3" s="1"/>
  <c r="A35" i="3" s="1"/>
  <c r="AF34" i="3"/>
  <c r="A34" i="3" s="1"/>
  <c r="B34" i="3" s="1"/>
  <c r="C428" i="3"/>
  <c r="B35" i="3" l="1"/>
  <c r="B36" i="3" s="1"/>
  <c r="B37" i="3" s="1"/>
  <c r="C429" i="3"/>
  <c r="C430" i="3" l="1"/>
  <c r="B38" i="3"/>
  <c r="C431" i="3" l="1"/>
  <c r="B39" i="3"/>
  <c r="C432" i="3" l="1"/>
  <c r="C433" i="3" s="1"/>
  <c r="C434" i="3" s="1"/>
  <c r="C435" i="3" s="1"/>
  <c r="C436" i="3" s="1"/>
  <c r="C437" i="3" s="1"/>
  <c r="C438" i="3" s="1"/>
  <c r="C439" i="3" s="1"/>
  <c r="C440" i="3" s="1"/>
  <c r="B40" i="3"/>
  <c r="EO20" i="2" l="1"/>
  <c r="EP20" i="2" s="1"/>
  <c r="ER20" i="2" s="1"/>
  <c r="EO12" i="2"/>
  <c r="EL12" i="2" s="1"/>
  <c r="ES12" i="2" s="1"/>
  <c r="ET12" i="2" s="1"/>
  <c r="EO26" i="2"/>
  <c r="EL26" i="2" s="1"/>
  <c r="ES26" i="2" s="1"/>
  <c r="ET26" i="2" s="1"/>
  <c r="EO18" i="2"/>
  <c r="EL18" i="2" s="1"/>
  <c r="ES18" i="2" s="1"/>
  <c r="ET18" i="2" s="1"/>
  <c r="EO5" i="2"/>
  <c r="EL5" i="2" s="1"/>
  <c r="ES5" i="2" s="1"/>
  <c r="ET5" i="2" s="1"/>
  <c r="EO24" i="2"/>
  <c r="EL24" i="2" s="1"/>
  <c r="ES24" i="2" s="1"/>
  <c r="ET24" i="2" s="1"/>
  <c r="EO11" i="2"/>
  <c r="EL11" i="2" s="1"/>
  <c r="ES11" i="2" s="1"/>
  <c r="ET11" i="2" s="1"/>
  <c r="EO30" i="2"/>
  <c r="EL30" i="2" s="1"/>
  <c r="ES30" i="2" s="1"/>
  <c r="ET30" i="2" s="1"/>
  <c r="EO17" i="2"/>
  <c r="EL17" i="2" s="1"/>
  <c r="ES17" i="2" s="1"/>
  <c r="ET17" i="2" s="1"/>
  <c r="EO9" i="2"/>
  <c r="EL9" i="2" s="1"/>
  <c r="ES9" i="2" s="1"/>
  <c r="ET9" i="2" s="1"/>
  <c r="EO28" i="2"/>
  <c r="EL28" i="2" s="1"/>
  <c r="ES28" i="2" s="1"/>
  <c r="ET28" i="2" s="1"/>
  <c r="EO15" i="2"/>
  <c r="EL15" i="2" s="1"/>
  <c r="ES15" i="2" s="1"/>
  <c r="ET15" i="2" s="1"/>
  <c r="EO7" i="2"/>
  <c r="EL7" i="2" s="1"/>
  <c r="ES7" i="2" s="1"/>
  <c r="ET7" i="2" s="1"/>
  <c r="EO13" i="2"/>
  <c r="EL13" i="2" s="1"/>
  <c r="ES13" i="2" s="1"/>
  <c r="ET13" i="2" s="1"/>
  <c r="EO27" i="2"/>
  <c r="EP27" i="2" s="1"/>
  <c r="ER27" i="2" s="1"/>
  <c r="EO19" i="2"/>
  <c r="EL19" i="2" s="1"/>
  <c r="ES19" i="2" s="1"/>
  <c r="ET19" i="2" s="1"/>
  <c r="EO6" i="2"/>
  <c r="EO25" i="2"/>
  <c r="EP25" i="2" s="1"/>
  <c r="ER25" i="2" s="1"/>
  <c r="EO3" i="2"/>
  <c r="EL3" i="2" s="1"/>
  <c r="ES3" i="2" s="1"/>
  <c r="ET3" i="2" s="1"/>
  <c r="EO31" i="2"/>
  <c r="EP31" i="2" s="1"/>
  <c r="ER31" i="2" s="1"/>
  <c r="EO23" i="2"/>
  <c r="EL23" i="2" s="1"/>
  <c r="ES23" i="2" s="1"/>
  <c r="ET23" i="2" s="1"/>
  <c r="EO10" i="2"/>
  <c r="EP10" i="2" s="1"/>
  <c r="ER10" i="2" s="1"/>
  <c r="EO29" i="2"/>
  <c r="EL29" i="2" s="1"/>
  <c r="ES29" i="2" s="1"/>
  <c r="ET29" i="2" s="1"/>
  <c r="EO16" i="2"/>
  <c r="EP16" i="2" s="1"/>
  <c r="ER16" i="2" s="1"/>
  <c r="EO8" i="2"/>
  <c r="EL8" i="2" s="1"/>
  <c r="ES8" i="2" s="1"/>
  <c r="ET8" i="2" s="1"/>
  <c r="EO22" i="2"/>
  <c r="EP22" i="2" s="1"/>
  <c r="ER22" i="2" s="1"/>
  <c r="EO14" i="2"/>
  <c r="EL14" i="2" s="1"/>
  <c r="ES14" i="2" s="1"/>
  <c r="ET14" i="2" s="1"/>
  <c r="EO21" i="2"/>
  <c r="EO4" i="2"/>
  <c r="EO2" i="2"/>
  <c r="B41" i="3"/>
  <c r="EP11" i="2" l="1"/>
  <c r="ER11" i="2" s="1"/>
  <c r="EL6" i="2"/>
  <c r="ES6" i="2" s="1"/>
  <c r="ET6" i="2" s="1"/>
  <c r="EP28" i="2"/>
  <c r="ER28" i="2" s="1"/>
  <c r="EP26" i="2"/>
  <c r="ER26" i="2" s="1"/>
  <c r="EP17" i="2"/>
  <c r="ER17" i="2" s="1"/>
  <c r="EL20" i="2"/>
  <c r="ES20" i="2" s="1"/>
  <c r="ET20" i="2" s="1"/>
  <c r="EP23" i="2"/>
  <c r="ER23" i="2" s="1"/>
  <c r="EL27" i="2"/>
  <c r="ES27" i="2" s="1"/>
  <c r="ET27" i="2" s="1"/>
  <c r="EP12" i="2"/>
  <c r="ER12" i="2" s="1"/>
  <c r="EP14" i="2"/>
  <c r="ER14" i="2" s="1"/>
  <c r="EP29" i="2"/>
  <c r="ER29" i="2" s="1"/>
  <c r="EP9" i="2"/>
  <c r="ER9" i="2" s="1"/>
  <c r="EL10" i="2"/>
  <c r="ES10" i="2" s="1"/>
  <c r="ET10" i="2" s="1"/>
  <c r="EP24" i="2"/>
  <c r="ER24" i="2" s="1"/>
  <c r="EL22" i="2"/>
  <c r="ES22" i="2" s="1"/>
  <c r="ET22" i="2" s="1"/>
  <c r="EL25" i="2"/>
  <c r="ES25" i="2" s="1"/>
  <c r="ET25" i="2" s="1"/>
  <c r="EP15" i="2"/>
  <c r="ER15" i="2" s="1"/>
  <c r="EP30" i="2"/>
  <c r="ER30" i="2" s="1"/>
  <c r="EP18" i="2"/>
  <c r="ER18" i="2" s="1"/>
  <c r="EP13" i="2"/>
  <c r="ER13" i="2" s="1"/>
  <c r="EL16" i="2"/>
  <c r="ES16" i="2" s="1"/>
  <c r="ET16" i="2" s="1"/>
  <c r="EL31" i="2"/>
  <c r="ES31" i="2" s="1"/>
  <c r="ET31" i="2" s="1"/>
  <c r="EP19" i="2"/>
  <c r="ER19" i="2" s="1"/>
  <c r="EL4" i="2"/>
  <c r="ES4" i="2" s="1"/>
  <c r="ET4" i="2" s="1"/>
  <c r="EL2" i="2"/>
  <c r="ES2" i="2" s="1"/>
  <c r="ET2" i="2" s="1"/>
  <c r="EP21" i="2"/>
  <c r="ER21" i="2" s="1"/>
  <c r="EL21" i="2"/>
  <c r="ES21" i="2" s="1"/>
  <c r="ET21" i="2" s="1"/>
  <c r="B42" i="3"/>
  <c r="EP8" i="2" l="1"/>
  <c r="EP7" i="2"/>
  <c r="EP6" i="2"/>
  <c r="EP5" i="2"/>
  <c r="EP4" i="2"/>
  <c r="EP3" i="2"/>
  <c r="EP2" i="2"/>
  <c r="B43" i="3"/>
  <c r="ER8" i="2" l="1"/>
  <c r="ER7" i="2"/>
  <c r="ER6" i="2"/>
  <c r="ER5" i="2"/>
  <c r="ER4" i="2"/>
  <c r="ER3" i="2"/>
  <c r="ER2" i="2"/>
  <c r="B44" i="3"/>
  <c r="BF96" i="1" l="1"/>
  <c r="BF94" i="1"/>
  <c r="BF100" i="1"/>
  <c r="BF98" i="1"/>
  <c r="BF102" i="1"/>
  <c r="BF92" i="1"/>
  <c r="BF104" i="1"/>
  <c r="BF90" i="1"/>
  <c r="BF86" i="1"/>
  <c r="BF88" i="1"/>
  <c r="BF84" i="1"/>
  <c r="BF81" i="1"/>
  <c r="BF103" i="1"/>
  <c r="BF101" i="1"/>
  <c r="BF99" i="1"/>
  <c r="BF97" i="1"/>
  <c r="BF95" i="1"/>
  <c r="BF93" i="1"/>
  <c r="BF91" i="1"/>
  <c r="BF89" i="1"/>
  <c r="BF87" i="1"/>
  <c r="BF85" i="1"/>
  <c r="BF83" i="1"/>
  <c r="BF82" i="1"/>
  <c r="B96" i="1"/>
  <c r="AK96" i="1" s="1"/>
  <c r="B104" i="1"/>
  <c r="B88" i="1"/>
  <c r="B92" i="1"/>
  <c r="B95" i="1"/>
  <c r="B93" i="1"/>
  <c r="B81" i="1"/>
  <c r="B83" i="1"/>
  <c r="B98" i="1"/>
  <c r="B90" i="1"/>
  <c r="B100" i="1"/>
  <c r="B84" i="1"/>
  <c r="B103" i="1"/>
  <c r="B87" i="1"/>
  <c r="B101" i="1"/>
  <c r="B85" i="1"/>
  <c r="B97" i="1"/>
  <c r="B102" i="1"/>
  <c r="B94" i="1"/>
  <c r="B86" i="1"/>
  <c r="B91" i="1"/>
  <c r="B89" i="1"/>
  <c r="B82" i="1"/>
  <c r="B99" i="1"/>
  <c r="B45" i="3"/>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69" i="3" s="1"/>
  <c r="B70" i="3" s="1"/>
  <c r="B71" i="3" s="1"/>
  <c r="B72" i="3" s="1"/>
  <c r="B73" i="3" s="1"/>
  <c r="B74" i="3" s="1"/>
  <c r="B75" i="3" s="1"/>
  <c r="B76" i="3" s="1"/>
  <c r="B77" i="3" s="1"/>
  <c r="B78" i="3" s="1"/>
  <c r="B79" i="3" s="1"/>
  <c r="B80" i="3" s="1"/>
  <c r="B81" i="3" s="1"/>
  <c r="B82" i="3" s="1"/>
  <c r="B83" i="3" s="1"/>
  <c r="B84" i="3" s="1"/>
  <c r="B85" i="3" s="1"/>
  <c r="B86" i="3" s="1"/>
  <c r="B87" i="3" s="1"/>
  <c r="B88" i="3" s="1"/>
  <c r="B89" i="3" s="1"/>
  <c r="B90" i="3" s="1"/>
  <c r="B91" i="3" s="1"/>
  <c r="B92" i="3" s="1"/>
  <c r="B93" i="3" s="1"/>
  <c r="B94" i="3" s="1"/>
  <c r="B95" i="3" s="1"/>
  <c r="B96" i="3" s="1"/>
  <c r="B97" i="3" s="1"/>
  <c r="B98" i="3" s="1"/>
  <c r="B99" i="3" s="1"/>
  <c r="B100" i="3" s="1"/>
  <c r="B101" i="3" s="1"/>
  <c r="B102" i="3" s="1"/>
  <c r="B103" i="3" s="1"/>
  <c r="B104" i="3" s="1"/>
  <c r="B105" i="3" s="1"/>
  <c r="B106" i="3" s="1"/>
  <c r="B107" i="3" s="1"/>
  <c r="B108" i="3" s="1"/>
  <c r="B109" i="3" s="1"/>
  <c r="B110" i="3" s="1"/>
  <c r="B111" i="3" s="1"/>
  <c r="B112" i="3" s="1"/>
  <c r="B113" i="3" s="1"/>
  <c r="B114" i="3" s="1"/>
  <c r="B115" i="3" s="1"/>
  <c r="B116" i="3" s="1"/>
  <c r="B117" i="3" s="1"/>
  <c r="B118" i="3" s="1"/>
  <c r="B119" i="3" s="1"/>
  <c r="B120" i="3" s="1"/>
  <c r="B121" i="3" s="1"/>
  <c r="B122" i="3" s="1"/>
  <c r="B123" i="3" s="1"/>
  <c r="B124" i="3" s="1"/>
  <c r="B125" i="3" s="1"/>
  <c r="B126" i="3" s="1"/>
  <c r="B127" i="3" s="1"/>
  <c r="B128" i="3" s="1"/>
  <c r="B129" i="3" s="1"/>
  <c r="B130" i="3" s="1"/>
  <c r="B131" i="3" s="1"/>
  <c r="B132" i="3" s="1"/>
  <c r="B133" i="3" s="1"/>
  <c r="B134" i="3" s="1"/>
  <c r="B135" i="3" s="1"/>
  <c r="B136" i="3" s="1"/>
  <c r="B137" i="3" s="1"/>
  <c r="B138" i="3" s="1"/>
  <c r="B139" i="3" s="1"/>
  <c r="B140" i="3" s="1"/>
  <c r="B141" i="3" s="1"/>
  <c r="B142" i="3" s="1"/>
  <c r="B143" i="3" s="1"/>
  <c r="B144" i="3" s="1"/>
  <c r="B145" i="3" s="1"/>
  <c r="B146" i="3" s="1"/>
  <c r="B147" i="3" s="1"/>
  <c r="B148" i="3" s="1"/>
  <c r="B149" i="3" s="1"/>
  <c r="B150" i="3" s="1"/>
  <c r="B151" i="3" s="1"/>
  <c r="B152" i="3" s="1"/>
  <c r="B153" i="3" s="1"/>
  <c r="B154" i="3" s="1"/>
  <c r="B155" i="3" s="1"/>
  <c r="B156" i="3" s="1"/>
  <c r="B157" i="3" s="1"/>
  <c r="B158" i="3" s="1"/>
  <c r="B159" i="3" s="1"/>
  <c r="B160" i="3" s="1"/>
  <c r="B161" i="3" s="1"/>
  <c r="B162" i="3" s="1"/>
  <c r="B163" i="3" s="1"/>
  <c r="B164" i="3" s="1"/>
  <c r="B165" i="3" s="1"/>
  <c r="B166" i="3" s="1"/>
  <c r="B167" i="3" s="1"/>
  <c r="B168" i="3" s="1"/>
  <c r="B169" i="3" s="1"/>
  <c r="B170" i="3" s="1"/>
  <c r="B171" i="3" s="1"/>
  <c r="B172" i="3" s="1"/>
  <c r="B173" i="3" s="1"/>
  <c r="B174" i="3" s="1"/>
  <c r="B175" i="3" s="1"/>
  <c r="B176" i="3" s="1"/>
  <c r="B177" i="3" s="1"/>
  <c r="B178" i="3" s="1"/>
  <c r="B179" i="3" s="1"/>
  <c r="B180" i="3" s="1"/>
  <c r="B181" i="3" s="1"/>
  <c r="B182" i="3" s="1"/>
  <c r="B183" i="3" s="1"/>
  <c r="B184" i="3" s="1"/>
  <c r="B185" i="3" s="1"/>
  <c r="B186" i="3" s="1"/>
  <c r="B187" i="3" s="1"/>
  <c r="B188" i="3" s="1"/>
  <c r="B189" i="3" s="1"/>
  <c r="B190" i="3" s="1"/>
  <c r="B191" i="3" s="1"/>
  <c r="B192" i="3" s="1"/>
  <c r="B193" i="3" s="1"/>
  <c r="B194" i="3" s="1"/>
  <c r="B195" i="3" s="1"/>
  <c r="B196" i="3" s="1"/>
  <c r="B197" i="3" s="1"/>
  <c r="B198" i="3" s="1"/>
  <c r="B199" i="3" s="1"/>
  <c r="B200" i="3" s="1"/>
  <c r="B201" i="3" s="1"/>
  <c r="B202" i="3" s="1"/>
  <c r="B203" i="3" s="1"/>
  <c r="B204" i="3" s="1"/>
  <c r="B205" i="3" s="1"/>
  <c r="B206" i="3" s="1"/>
  <c r="B207" i="3" s="1"/>
  <c r="B208" i="3" s="1"/>
  <c r="B209" i="3" s="1"/>
  <c r="B210" i="3" s="1"/>
  <c r="B211" i="3" s="1"/>
  <c r="B212" i="3" s="1"/>
  <c r="B213" i="3" s="1"/>
  <c r="B214" i="3" s="1"/>
  <c r="B215" i="3" s="1"/>
  <c r="B216" i="3" s="1"/>
  <c r="B217" i="3" s="1"/>
  <c r="B218" i="3" s="1"/>
  <c r="B219" i="3" s="1"/>
  <c r="B220" i="3" s="1"/>
  <c r="B221" i="3" s="1"/>
  <c r="B222" i="3" s="1"/>
  <c r="B223" i="3" s="1"/>
  <c r="B224" i="3" s="1"/>
  <c r="B225" i="3" s="1"/>
  <c r="B226" i="3" s="1"/>
  <c r="B227" i="3" s="1"/>
  <c r="B228" i="3" s="1"/>
  <c r="B229" i="3" s="1"/>
  <c r="B230" i="3" s="1"/>
  <c r="B231" i="3" s="1"/>
  <c r="AR96" i="1" l="1"/>
  <c r="AY96" i="1"/>
  <c r="W96" i="1"/>
  <c r="BT96" i="1"/>
  <c r="AE96" i="1"/>
  <c r="AY104" i="1"/>
  <c r="AR104" i="1"/>
  <c r="AK104" i="1"/>
  <c r="W104" i="1"/>
  <c r="AE104" i="1"/>
  <c r="BT104" i="1"/>
  <c r="W82" i="1"/>
  <c r="AE82" i="1"/>
  <c r="AK82" i="1"/>
  <c r="AR82" i="1"/>
  <c r="AY82" i="1"/>
  <c r="AE91" i="1"/>
  <c r="AR91" i="1"/>
  <c r="BT91" i="1"/>
  <c r="AY91" i="1"/>
  <c r="W91" i="1"/>
  <c r="AK91" i="1"/>
  <c r="W94" i="1"/>
  <c r="BT94" i="1"/>
  <c r="AY94" i="1"/>
  <c r="AR94" i="1"/>
  <c r="AE94" i="1"/>
  <c r="AK94" i="1"/>
  <c r="AE101" i="1"/>
  <c r="AR101" i="1"/>
  <c r="BT101" i="1"/>
  <c r="AY101" i="1"/>
  <c r="W101" i="1"/>
  <c r="AK101" i="1"/>
  <c r="AE87" i="1"/>
  <c r="W87" i="1"/>
  <c r="AR87" i="1"/>
  <c r="AY87" i="1"/>
  <c r="AK87" i="1"/>
  <c r="W84" i="1"/>
  <c r="AY84" i="1"/>
  <c r="AR84" i="1"/>
  <c r="AE84" i="1"/>
  <c r="AK84" i="1"/>
  <c r="W90" i="1"/>
  <c r="AK90" i="1"/>
  <c r="AR90" i="1"/>
  <c r="AY90" i="1"/>
  <c r="AE90" i="1"/>
  <c r="BT90" i="1"/>
  <c r="W81" i="1"/>
  <c r="AE81" i="1"/>
  <c r="AK81" i="1"/>
  <c r="AY81" i="1"/>
  <c r="AR81" i="1"/>
  <c r="BT93" i="1"/>
  <c r="AY93" i="1"/>
  <c r="AK93" i="1"/>
  <c r="AE93" i="1"/>
  <c r="W93" i="1"/>
  <c r="AR93" i="1"/>
  <c r="AE99" i="1"/>
  <c r="W99" i="1"/>
  <c r="AR99" i="1"/>
  <c r="BT99" i="1"/>
  <c r="AY99" i="1"/>
  <c r="AK99" i="1"/>
  <c r="AE89" i="1"/>
  <c r="AR89" i="1"/>
  <c r="BT89" i="1"/>
  <c r="AY89" i="1"/>
  <c r="W89" i="1"/>
  <c r="AK89" i="1"/>
  <c r="W86" i="1"/>
  <c r="AY86" i="1"/>
  <c r="AR86" i="1"/>
  <c r="AE86" i="1"/>
  <c r="AK86" i="1"/>
  <c r="W102" i="1"/>
  <c r="BT102" i="1"/>
  <c r="AY102" i="1"/>
  <c r="AR102" i="1"/>
  <c r="AE102" i="1"/>
  <c r="AK102" i="1"/>
  <c r="AE97" i="1"/>
  <c r="W97" i="1"/>
  <c r="AR97" i="1"/>
  <c r="BT97" i="1"/>
  <c r="AY97" i="1"/>
  <c r="AK97" i="1"/>
  <c r="AE85" i="1"/>
  <c r="AR85" i="1"/>
  <c r="W85" i="1"/>
  <c r="AY85" i="1"/>
  <c r="AK85" i="1"/>
  <c r="AE103" i="1"/>
  <c r="W103" i="1"/>
  <c r="AR103" i="1"/>
  <c r="BT103" i="1"/>
  <c r="AY103" i="1"/>
  <c r="AK103" i="1"/>
  <c r="W100" i="1"/>
  <c r="AE100" i="1"/>
  <c r="BT100" i="1"/>
  <c r="AR100" i="1"/>
  <c r="AY100" i="1"/>
  <c r="AK100" i="1"/>
  <c r="W98" i="1"/>
  <c r="AE98" i="1"/>
  <c r="BT98" i="1"/>
  <c r="AY98" i="1"/>
  <c r="AR98" i="1"/>
  <c r="AK98" i="1"/>
  <c r="AY83" i="1"/>
  <c r="AR83" i="1"/>
  <c r="AE83" i="1"/>
  <c r="W83" i="1"/>
  <c r="AK83" i="1"/>
  <c r="AY95" i="1"/>
  <c r="AK95" i="1"/>
  <c r="BT95" i="1"/>
  <c r="AE95" i="1"/>
  <c r="AR95" i="1"/>
  <c r="W95" i="1"/>
  <c r="W92" i="1"/>
  <c r="BT92" i="1"/>
  <c r="AE92" i="1"/>
  <c r="AR92" i="1"/>
  <c r="AK92" i="1"/>
  <c r="AY92" i="1"/>
  <c r="AY88" i="1"/>
  <c r="AR88" i="1"/>
  <c r="AK88" i="1"/>
  <c r="W88" i="1"/>
  <c r="AE88" i="1"/>
  <c r="BT88" i="1"/>
  <c r="B232" i="3"/>
  <c r="B233" i="3" s="1"/>
  <c r="B234" i="3" s="1"/>
  <c r="BT85" i="1" l="1"/>
  <c r="BT87" i="1"/>
  <c r="BT86" i="1"/>
  <c r="BT84" i="1"/>
  <c r="BT83" i="1"/>
  <c r="BT82" i="1"/>
  <c r="BT81" i="1"/>
  <c r="B235" i="3"/>
  <c r="B236" i="3" l="1"/>
  <c r="B237" i="3" l="1"/>
  <c r="B238" i="3" l="1"/>
  <c r="B239" i="3" l="1"/>
  <c r="B240" i="3" l="1"/>
  <c r="B241" i="3" l="1"/>
  <c r="B242" i="3" l="1"/>
  <c r="B243" i="3" l="1"/>
  <c r="B244" i="3" l="1"/>
  <c r="B245" i="3" l="1"/>
  <c r="B246" i="3" l="1"/>
  <c r="B247" i="3" s="1"/>
  <c r="B248" i="3" s="1"/>
  <c r="B249" i="3" s="1"/>
  <c r="B250" i="3" s="1"/>
  <c r="B251" i="3" s="1"/>
  <c r="B252" i="3" s="1"/>
  <c r="B253" i="3" s="1"/>
  <c r="B254" i="3" s="1"/>
  <c r="B255" i="3" s="1"/>
  <c r="B256" i="3" s="1"/>
  <c r="B257" i="3" s="1"/>
  <c r="B258" i="3" s="1"/>
  <c r="B259" i="3" s="1"/>
  <c r="B260" i="3" s="1"/>
  <c r="B261" i="3" s="1"/>
  <c r="B262" i="3" s="1"/>
  <c r="B263" i="3" s="1"/>
  <c r="B264" i="3" s="1"/>
  <c r="B265" i="3" s="1"/>
  <c r="B266" i="3" s="1"/>
  <c r="B267" i="3" s="1"/>
  <c r="B268" i="3" s="1"/>
  <c r="B269" i="3" s="1"/>
  <c r="B270" i="3" s="1"/>
  <c r="B271" i="3" s="1"/>
  <c r="B272" i="3" s="1"/>
  <c r="B273" i="3" s="1"/>
  <c r="B274" i="3" s="1"/>
  <c r="B275" i="3" s="1"/>
  <c r="B276" i="3" s="1"/>
  <c r="B277" i="3" s="1"/>
  <c r="B278" i="3" s="1"/>
  <c r="B279" i="3" s="1"/>
  <c r="B280" i="3" s="1"/>
  <c r="B281" i="3" s="1"/>
  <c r="B282" i="3" s="1"/>
  <c r="B283" i="3" s="1"/>
  <c r="B284" i="3" s="1"/>
  <c r="B285" i="3" s="1"/>
  <c r="B286" i="3" s="1"/>
  <c r="B287" i="3" s="1"/>
  <c r="B288" i="3" s="1"/>
  <c r="B289" i="3" s="1"/>
  <c r="B290" i="3" s="1"/>
  <c r="B291" i="3" s="1"/>
  <c r="B292" i="3" s="1"/>
  <c r="B293" i="3" s="1"/>
  <c r="B294" i="3" s="1"/>
  <c r="B295" i="3" s="1"/>
  <c r="B296" i="3" s="1"/>
  <c r="B297" i="3" s="1"/>
  <c r="B298" i="3" s="1"/>
  <c r="B299" i="3" s="1"/>
  <c r="B300" i="3" s="1"/>
  <c r="B301" i="3" s="1"/>
  <c r="B302" i="3" s="1"/>
  <c r="B303" i="3" s="1"/>
  <c r="B304" i="3" s="1"/>
  <c r="B305" i="3" s="1"/>
  <c r="B306" i="3" s="1"/>
  <c r="B307" i="3" s="1"/>
  <c r="B308" i="3" s="1"/>
  <c r="B309" i="3" s="1"/>
  <c r="B310" i="3" s="1"/>
  <c r="B311" i="3" s="1"/>
  <c r="B312" i="3" s="1"/>
  <c r="B313" i="3" s="1"/>
  <c r="B314" i="3" s="1"/>
  <c r="B315" i="3" s="1"/>
  <c r="B316" i="3" s="1"/>
  <c r="B317" i="3" s="1"/>
  <c r="B318" i="3" s="1"/>
  <c r="B319" i="3" s="1"/>
  <c r="B320" i="3" s="1"/>
  <c r="B321" i="3" s="1"/>
  <c r="B322" i="3" s="1"/>
  <c r="B323" i="3" s="1"/>
  <c r="B324" i="3" s="1"/>
  <c r="B325" i="3" s="1"/>
  <c r="B326" i="3" s="1"/>
  <c r="B327" i="3" s="1"/>
  <c r="B328" i="3" s="1"/>
  <c r="B329" i="3" s="1"/>
  <c r="B330" i="3" s="1"/>
  <c r="B331" i="3" s="1"/>
  <c r="B332" i="3" s="1"/>
  <c r="B333" i="3" s="1"/>
  <c r="B334" i="3" s="1"/>
  <c r="B335" i="3" s="1"/>
  <c r="B336" i="3" s="1"/>
  <c r="B337" i="3" s="1"/>
  <c r="B338" i="3" s="1"/>
  <c r="B339" i="3" s="1"/>
  <c r="B340" i="3" s="1"/>
  <c r="B341" i="3" s="1"/>
  <c r="B342" i="3" s="1"/>
  <c r="B343" i="3" s="1"/>
  <c r="B344" i="3" s="1"/>
  <c r="B345" i="3" s="1"/>
  <c r="B346" i="3" s="1"/>
  <c r="B347" i="3" s="1"/>
  <c r="B348" i="3" s="1"/>
  <c r="B349" i="3" s="1"/>
  <c r="B350" i="3" s="1"/>
  <c r="B351" i="3" s="1"/>
  <c r="B352" i="3" s="1"/>
  <c r="B353" i="3" s="1"/>
  <c r="B354" i="3" s="1"/>
  <c r="B355" i="3" s="1"/>
  <c r="B356" i="3" s="1"/>
  <c r="B357" i="3" s="1"/>
  <c r="B358" i="3" s="1"/>
  <c r="B359" i="3" s="1"/>
  <c r="B360" i="3" s="1"/>
  <c r="B361" i="3" s="1"/>
  <c r="B362" i="3" s="1"/>
  <c r="B363" i="3" s="1"/>
  <c r="B364" i="3" s="1"/>
  <c r="B365" i="3" s="1"/>
  <c r="B366" i="3" s="1"/>
  <c r="B367" i="3" s="1"/>
  <c r="B368" i="3" s="1"/>
  <c r="B369" i="3" s="1"/>
  <c r="B370" i="3" s="1"/>
  <c r="B371" i="3" s="1"/>
  <c r="B372" i="3" s="1"/>
  <c r="B373" i="3" s="1"/>
  <c r="B374" i="3" s="1"/>
  <c r="B375" i="3" s="1"/>
  <c r="B376" i="3" s="1"/>
  <c r="B377" i="3" s="1"/>
  <c r="B378" i="3" s="1"/>
  <c r="B379" i="3" s="1"/>
  <c r="B380" i="3" s="1"/>
  <c r="B381" i="3" s="1"/>
  <c r="B382" i="3" s="1"/>
  <c r="B383" i="3" s="1"/>
  <c r="B384" i="3" s="1"/>
  <c r="B385" i="3" s="1"/>
  <c r="B386" i="3" s="1"/>
  <c r="B387" i="3" s="1"/>
  <c r="B388" i="3" s="1"/>
  <c r="B389" i="3" s="1"/>
  <c r="B390" i="3" s="1"/>
  <c r="B391" i="3" s="1"/>
  <c r="B392" i="3" s="1"/>
  <c r="B393" i="3" s="1"/>
  <c r="B394" i="3" s="1"/>
  <c r="B395" i="3" s="1"/>
  <c r="B396" i="3" s="1"/>
  <c r="B397" i="3" s="1"/>
  <c r="B398" i="3" s="1"/>
  <c r="B399" i="3" s="1"/>
  <c r="B400" i="3" s="1"/>
  <c r="B401" i="3" s="1"/>
  <c r="B402" i="3" s="1"/>
  <c r="B403" i="3" s="1"/>
  <c r="B404" i="3" s="1"/>
  <c r="B405" i="3" s="1"/>
  <c r="B406" i="3" s="1"/>
  <c r="B407" i="3" s="1"/>
  <c r="B408" i="3" s="1"/>
  <c r="B409" i="3" s="1"/>
  <c r="B410" i="3" s="1"/>
  <c r="B411" i="3" s="1"/>
  <c r="B412" i="3" s="1"/>
  <c r="B413" i="3" s="1"/>
  <c r="B414" i="3" s="1"/>
  <c r="B415" i="3" s="1"/>
  <c r="B416" i="3" s="1"/>
  <c r="B417" i="3" s="1"/>
  <c r="B418" i="3" s="1"/>
  <c r="B419" i="3" s="1"/>
  <c r="B420" i="3" s="1"/>
  <c r="B421" i="3" s="1"/>
  <c r="B422" i="3" s="1"/>
  <c r="B423" i="3" s="1"/>
  <c r="B424" i="3" s="1"/>
  <c r="B425" i="3" s="1"/>
  <c r="B426" i="3" s="1"/>
  <c r="B427" i="3" s="1"/>
  <c r="B428" i="3" s="1"/>
  <c r="B429" i="3" s="1"/>
  <c r="B430" i="3" s="1"/>
  <c r="B431" i="3" s="1"/>
  <c r="B432" i="3" s="1"/>
  <c r="B433" i="3" s="1"/>
  <c r="B434" i="3" s="1"/>
  <c r="B435" i="3" s="1"/>
  <c r="B436" i="3" s="1"/>
  <c r="B437" i="3" s="1"/>
  <c r="B438" i="3" s="1"/>
  <c r="B439" i="3" s="1"/>
  <c r="B440" i="3" s="1"/>
  <c r="B441" i="3" s="1"/>
  <c r="B442" i="3" s="1"/>
  <c r="B443" i="3" s="1"/>
  <c r="B444" i="3" s="1"/>
  <c r="B445" i="3" s="1"/>
  <c r="B446" i="3" s="1"/>
  <c r="B447" i="3" s="1"/>
  <c r="B448" i="3" s="1"/>
  <c r="B449" i="3" s="1"/>
  <c r="B450" i="3" s="1"/>
  <c r="B451" i="3" s="1"/>
  <c r="B452" i="3" s="1"/>
  <c r="B453" i="3" s="1"/>
  <c r="B454" i="3" s="1"/>
  <c r="B455" i="3" s="1"/>
  <c r="B456" i="3" s="1"/>
  <c r="B457" i="3" s="1"/>
  <c r="B458" i="3" s="1"/>
  <c r="B459" i="3" s="1"/>
  <c r="B460" i="3" s="1"/>
  <c r="B461" i="3" s="1"/>
  <c r="B462" i="3" s="1"/>
  <c r="B463" i="3" s="1"/>
  <c r="B464" i="3" s="1"/>
  <c r="B465" i="3" s="1"/>
  <c r="B466" i="3" s="1"/>
  <c r="B467" i="3" s="1"/>
  <c r="B468" i="3" s="1"/>
  <c r="B469" i="3" s="1"/>
  <c r="B470" i="3" s="1"/>
  <c r="B471" i="3" s="1"/>
  <c r="B472" i="3" s="1"/>
  <c r="B473" i="3" s="1"/>
  <c r="B474" i="3" s="1"/>
  <c r="B475" i="3" s="1"/>
  <c r="B476" i="3" s="1"/>
  <c r="B477" i="3" s="1"/>
  <c r="B478" i="3" s="1"/>
  <c r="B479" i="3" s="1"/>
  <c r="B480" i="3" s="1"/>
  <c r="B481" i="3" s="1"/>
  <c r="B482" i="3" s="1"/>
  <c r="B483" i="3" s="1"/>
  <c r="B484" i="3" s="1"/>
  <c r="B485" i="3" s="1"/>
  <c r="B486" i="3" s="1"/>
  <c r="B487" i="3" s="1"/>
  <c r="B488" i="3" s="1"/>
  <c r="B489" i="3" s="1"/>
  <c r="B490" i="3" s="1"/>
  <c r="B491" i="3" s="1"/>
  <c r="B492" i="3" s="1"/>
  <c r="B493" i="3" s="1"/>
  <c r="B494" i="3" s="1"/>
  <c r="B495" i="3" s="1"/>
  <c r="B496" i="3" s="1"/>
  <c r="B497" i="3" s="1"/>
  <c r="B498" i="3" s="1"/>
  <c r="B499" i="3" s="1"/>
  <c r="B500" i="3" s="1"/>
  <c r="B501" i="3" s="1"/>
  <c r="B502" i="3" s="1"/>
  <c r="B503" i="3" s="1"/>
  <c r="B504" i="3" s="1"/>
  <c r="B505" i="3" s="1"/>
  <c r="B506" i="3" s="1"/>
  <c r="B507" i="3" s="1"/>
  <c r="B508" i="3" s="1"/>
  <c r="B509" i="3" s="1"/>
  <c r="B510" i="3" s="1"/>
  <c r="B511" i="3" s="1"/>
  <c r="B512" i="3" s="1"/>
  <c r="B513" i="3" s="1"/>
  <c r="B514" i="3" s="1"/>
  <c r="B515" i="3" s="1"/>
  <c r="B516" i="3" s="1"/>
  <c r="B517" i="3" s="1"/>
  <c r="B518" i="3" s="1"/>
  <c r="B519" i="3" s="1"/>
  <c r="B520" i="3" s="1"/>
  <c r="B521" i="3" s="1"/>
  <c r="B522" i="3" s="1"/>
  <c r="B523" i="3" s="1"/>
  <c r="B524" i="3" s="1"/>
  <c r="B525" i="3" s="1"/>
  <c r="B526" i="3" s="1"/>
  <c r="B527" i="3" s="1"/>
  <c r="B528" i="3" s="1"/>
  <c r="B529" i="3" s="1"/>
  <c r="B530" i="3" s="1"/>
  <c r="B531" i="3" s="1"/>
  <c r="B532" i="3" s="1"/>
  <c r="B533" i="3" s="1"/>
  <c r="B534" i="3" s="1"/>
  <c r="B535" i="3" s="1"/>
  <c r="B536" i="3" s="1"/>
  <c r="B537" i="3" s="1"/>
  <c r="B538" i="3" s="1"/>
  <c r="B539" i="3" s="1"/>
  <c r="B540" i="3" s="1"/>
  <c r="B541" i="3" s="1"/>
  <c r="B542" i="3" s="1"/>
  <c r="B543" i="3" s="1"/>
  <c r="B544" i="3" s="1"/>
  <c r="B545" i="3" s="1"/>
  <c r="B546" i="3" s="1"/>
  <c r="B547" i="3" s="1"/>
  <c r="B548" i="3" s="1"/>
  <c r="B549" i="3" s="1"/>
  <c r="B550" i="3" s="1"/>
  <c r="B551" i="3" s="1"/>
  <c r="B552" i="3" s="1"/>
  <c r="B553" i="3" s="1"/>
  <c r="B554" i="3" s="1"/>
  <c r="B555" i="3" s="1"/>
  <c r="B556" i="3" s="1"/>
  <c r="B557" i="3" s="1"/>
  <c r="B558" i="3" s="1"/>
  <c r="B559" i="3" s="1"/>
  <c r="B560" i="3" s="1"/>
  <c r="B561" i="3" s="1"/>
  <c r="B562" i="3" s="1"/>
  <c r="B563" i="3" s="1"/>
  <c r="B564" i="3" s="1"/>
  <c r="B565" i="3" s="1"/>
  <c r="B566" i="3" s="1"/>
  <c r="B567" i="3" s="1"/>
  <c r="B568" i="3" s="1"/>
  <c r="B569" i="3" s="1"/>
  <c r="B570" i="3" s="1"/>
  <c r="B571" i="3" s="1"/>
  <c r="B572" i="3" s="1"/>
  <c r="B573" i="3" s="1"/>
  <c r="B574" i="3" s="1"/>
  <c r="B575" i="3" s="1"/>
  <c r="B576" i="3" s="1"/>
  <c r="B577" i="3" s="1"/>
  <c r="B578" i="3" s="1"/>
  <c r="B579" i="3" s="1"/>
  <c r="B580" i="3" s="1"/>
  <c r="B581" i="3" s="1"/>
  <c r="B582" i="3" s="1"/>
  <c r="B583" i="3" s="1"/>
  <c r="B584" i="3" s="1"/>
  <c r="B585" i="3" s="1"/>
  <c r="B586" i="3" s="1"/>
  <c r="B587" i="3" s="1"/>
  <c r="B588" i="3" s="1"/>
  <c r="B589" i="3" s="1"/>
  <c r="B590" i="3" s="1"/>
  <c r="B591" i="3" s="1"/>
  <c r="B592" i="3" s="1"/>
  <c r="B593" i="3" s="1"/>
  <c r="B594" i="3" s="1"/>
  <c r="B595" i="3" s="1"/>
  <c r="B596" i="3" s="1"/>
  <c r="B597" i="3" s="1"/>
  <c r="B598" i="3" s="1"/>
  <c r="B599" i="3" s="1"/>
  <c r="B600" i="3" s="1"/>
  <c r="B601" i="3" s="1"/>
  <c r="B602" i="3" s="1"/>
  <c r="B603" i="3" s="1"/>
  <c r="B604" i="3" s="1"/>
  <c r="B605" i="3" s="1"/>
  <c r="B606" i="3" s="1"/>
  <c r="B607" i="3" s="1"/>
  <c r="B608" i="3" s="1"/>
  <c r="B609" i="3" s="1"/>
  <c r="B610" i="3" s="1"/>
  <c r="B611" i="3" s="1"/>
  <c r="B612" i="3" s="1"/>
  <c r="B613" i="3" s="1"/>
  <c r="B614" i="3" s="1"/>
  <c r="B615" i="3" s="1"/>
  <c r="B616" i="3" s="1"/>
  <c r="B617" i="3" s="1"/>
  <c r="B618" i="3" s="1"/>
  <c r="B619" i="3" s="1"/>
  <c r="B620" i="3" s="1"/>
  <c r="AI176" i="2" l="1"/>
  <c r="AJ2" i="2"/>
  <c r="AK2" i="2" s="1"/>
  <c r="AM2" i="2" s="1"/>
  <c r="AI2" i="2"/>
  <c r="AI3" i="2"/>
  <c r="AJ3" i="2"/>
  <c r="AK3" i="2" s="1"/>
  <c r="AM3" i="2" s="1"/>
  <c r="AI4" i="2"/>
  <c r="AJ5" i="2"/>
  <c r="AK5" i="2" s="1"/>
  <c r="AM5" i="2" s="1"/>
  <c r="AI8" i="2"/>
  <c r="AI7" i="2"/>
  <c r="AJ4" i="2"/>
  <c r="AK4" i="2" s="1"/>
  <c r="AM4" i="2" s="1"/>
  <c r="AI6" i="2"/>
  <c r="AI9" i="2"/>
  <c r="AJ7" i="2"/>
  <c r="AK7" i="2" s="1"/>
  <c r="AM7" i="2" s="1"/>
  <c r="AJ6" i="2"/>
  <c r="AK6" i="2" s="1"/>
  <c r="AM6" i="2" s="1"/>
  <c r="AI5" i="2"/>
  <c r="AI10" i="2"/>
  <c r="AJ275" i="2"/>
  <c r="AK275" i="2" s="1"/>
  <c r="AM275" i="2" s="1"/>
  <c r="AH275" i="2" s="1"/>
  <c r="AJ371" i="2"/>
  <c r="AK371" i="2" s="1"/>
  <c r="AM371" i="2" s="1"/>
  <c r="AH371" i="2" s="1"/>
  <c r="AI429" i="2"/>
  <c r="AI18" i="2"/>
  <c r="AI64" i="2"/>
  <c r="AJ48" i="2"/>
  <c r="AK48" i="2" s="1"/>
  <c r="AM48" i="2" s="1"/>
  <c r="AI78" i="2"/>
  <c r="AJ280" i="2"/>
  <c r="AK280" i="2" s="1"/>
  <c r="AM280" i="2" s="1"/>
  <c r="AH280" i="2" s="1"/>
  <c r="AJ33" i="2"/>
  <c r="AK33" i="2" s="1"/>
  <c r="AM33" i="2" s="1"/>
  <c r="AI427" i="2"/>
  <c r="AJ324" i="2"/>
  <c r="AK324" i="2" s="1"/>
  <c r="AM324" i="2" s="1"/>
  <c r="AH324" i="2" s="1"/>
  <c r="AI87" i="2"/>
  <c r="AI393" i="2"/>
  <c r="AI332" i="2"/>
  <c r="AJ431" i="2"/>
  <c r="AK431" i="2" s="1"/>
  <c r="AM431" i="2" s="1"/>
  <c r="AH431" i="2" s="1"/>
  <c r="AJ23" i="2"/>
  <c r="AK23" i="2" s="1"/>
  <c r="AM23" i="2" s="1"/>
  <c r="AJ162" i="2"/>
  <c r="AK162" i="2" s="1"/>
  <c r="AM162" i="2" s="1"/>
  <c r="AH162" i="2" s="1"/>
  <c r="AI175" i="2"/>
  <c r="AI182" i="2"/>
  <c r="AJ106" i="2"/>
  <c r="AK106" i="2" s="1"/>
  <c r="AM106" i="2" s="1"/>
  <c r="AH106" i="2" s="1"/>
  <c r="AI281" i="2"/>
  <c r="AJ445" i="2"/>
  <c r="AK445" i="2" s="1"/>
  <c r="AM445" i="2" s="1"/>
  <c r="AH445" i="2" s="1"/>
  <c r="AJ442" i="2"/>
  <c r="AK442" i="2" s="1"/>
  <c r="AM442" i="2" s="1"/>
  <c r="AH442" i="2" s="1"/>
  <c r="AI144" i="2"/>
  <c r="AJ81" i="2"/>
  <c r="AK81" i="2" s="1"/>
  <c r="AM81" i="2" s="1"/>
  <c r="AH81" i="2" s="1"/>
  <c r="AJ168" i="2"/>
  <c r="AK168" i="2" s="1"/>
  <c r="AM168" i="2" s="1"/>
  <c r="AH168" i="2" s="1"/>
  <c r="AI163" i="2"/>
  <c r="AJ79" i="2"/>
  <c r="AK79" i="2" s="1"/>
  <c r="AM79" i="2" s="1"/>
  <c r="AH79" i="2" s="1"/>
  <c r="AI317" i="2"/>
  <c r="AJ96" i="2"/>
  <c r="AK96" i="2" s="1"/>
  <c r="AM96" i="2" s="1"/>
  <c r="AH96" i="2" s="1"/>
  <c r="AI426" i="2"/>
  <c r="AI438" i="2"/>
  <c r="AJ362" i="2"/>
  <c r="AK362" i="2" s="1"/>
  <c r="AM362" i="2" s="1"/>
  <c r="AH362" i="2" s="1"/>
  <c r="AJ422" i="2"/>
  <c r="AK422" i="2" s="1"/>
  <c r="AM422" i="2" s="1"/>
  <c r="AH422" i="2" s="1"/>
  <c r="AJ247" i="2"/>
  <c r="AK247" i="2" s="1"/>
  <c r="AM247" i="2" s="1"/>
  <c r="AH247" i="2" s="1"/>
  <c r="AJ271" i="2"/>
  <c r="AK271" i="2" s="1"/>
  <c r="AM271" i="2" s="1"/>
  <c r="AH271" i="2" s="1"/>
  <c r="AJ418" i="2"/>
  <c r="AK418" i="2" s="1"/>
  <c r="AM418" i="2" s="1"/>
  <c r="AH418" i="2" s="1"/>
  <c r="AJ160" i="2"/>
  <c r="AK160" i="2" s="1"/>
  <c r="AM160" i="2" s="1"/>
  <c r="AH160" i="2" s="1"/>
  <c r="AI49" i="2"/>
  <c r="AJ441" i="2"/>
  <c r="AK441" i="2" s="1"/>
  <c r="AM441" i="2" s="1"/>
  <c r="AH441" i="2" s="1"/>
  <c r="AI115" i="2"/>
  <c r="AI370" i="2"/>
  <c r="AJ101" i="2"/>
  <c r="AK101" i="2" s="1"/>
  <c r="AM101" i="2" s="1"/>
  <c r="AH101" i="2" s="1"/>
  <c r="AI112" i="2"/>
  <c r="AI48" i="2"/>
  <c r="AJ270" i="2"/>
  <c r="AK270" i="2" s="1"/>
  <c r="AM270" i="2" s="1"/>
  <c r="AH270" i="2" s="1"/>
  <c r="AJ212" i="2"/>
  <c r="AK212" i="2" s="1"/>
  <c r="AM212" i="2" s="1"/>
  <c r="AH212" i="2" s="1"/>
  <c r="AI355" i="2"/>
  <c r="AJ136" i="2"/>
  <c r="AK136" i="2" s="1"/>
  <c r="AM136" i="2" s="1"/>
  <c r="AH136" i="2" s="1"/>
  <c r="AJ228" i="2"/>
  <c r="AK228" i="2" s="1"/>
  <c r="AM228" i="2" s="1"/>
  <c r="AH228" i="2" s="1"/>
  <c r="AI232" i="2"/>
  <c r="AI386" i="2"/>
  <c r="AJ249" i="2"/>
  <c r="AK249" i="2" s="1"/>
  <c r="AM249" i="2" s="1"/>
  <c r="AH249" i="2" s="1"/>
  <c r="AJ340" i="2"/>
  <c r="AK340" i="2" s="1"/>
  <c r="AM340" i="2" s="1"/>
  <c r="AH340" i="2" s="1"/>
  <c r="AJ215" i="2"/>
  <c r="AK215" i="2" s="1"/>
  <c r="AM215" i="2" s="1"/>
  <c r="AH215" i="2" s="1"/>
  <c r="AI330" i="2"/>
  <c r="AI321" i="2"/>
  <c r="AI164" i="2"/>
  <c r="AI407" i="2"/>
  <c r="AI196" i="2"/>
  <c r="AI373" i="2"/>
  <c r="AJ156" i="2"/>
  <c r="AK156" i="2" s="1"/>
  <c r="AM156" i="2" s="1"/>
  <c r="AH156" i="2" s="1"/>
  <c r="AJ273" i="2"/>
  <c r="AK273" i="2" s="1"/>
  <c r="AM273" i="2" s="1"/>
  <c r="AH273" i="2" s="1"/>
  <c r="AI146" i="2"/>
  <c r="AI109" i="2"/>
  <c r="AJ323" i="2"/>
  <c r="AK323" i="2" s="1"/>
  <c r="AM323" i="2" s="1"/>
  <c r="AH323" i="2" s="1"/>
  <c r="AI77" i="2"/>
  <c r="AI191" i="2"/>
  <c r="AJ41" i="2"/>
  <c r="AK41" i="2" s="1"/>
  <c r="AM41" i="2" s="1"/>
  <c r="AI384" i="2"/>
  <c r="AI368" i="2"/>
  <c r="AI357" i="2"/>
  <c r="AJ447" i="2"/>
  <c r="AK447" i="2" s="1"/>
  <c r="AM447" i="2" s="1"/>
  <c r="AH447" i="2" s="1"/>
  <c r="AI67" i="2"/>
  <c r="AI21" i="2"/>
  <c r="AI110" i="2"/>
  <c r="AI152" i="2"/>
  <c r="AJ59" i="2"/>
  <c r="AK59" i="2" s="1"/>
  <c r="AM59" i="2" s="1"/>
  <c r="AH59" i="2" s="1"/>
  <c r="AI50" i="2"/>
  <c r="AJ310" i="2"/>
  <c r="AK310" i="2" s="1"/>
  <c r="AM310" i="2" s="1"/>
  <c r="AH310" i="2" s="1"/>
  <c r="AJ221" i="2"/>
  <c r="AK221" i="2" s="1"/>
  <c r="AM221" i="2" s="1"/>
  <c r="AH221" i="2" s="1"/>
  <c r="AJ47" i="2"/>
  <c r="AK47" i="2" s="1"/>
  <c r="AM47" i="2" s="1"/>
  <c r="AJ99" i="2"/>
  <c r="AK99" i="2" s="1"/>
  <c r="AM99" i="2" s="1"/>
  <c r="AH99" i="2" s="1"/>
  <c r="AI209" i="2"/>
  <c r="AI435" i="2"/>
  <c r="AI215" i="2"/>
  <c r="AJ344" i="2"/>
  <c r="AK344" i="2" s="1"/>
  <c r="AM344" i="2" s="1"/>
  <c r="AH344" i="2" s="1"/>
  <c r="AI55" i="2"/>
  <c r="AI315" i="2"/>
  <c r="AJ91" i="2"/>
  <c r="AK91" i="2" s="1"/>
  <c r="AM91" i="2" s="1"/>
  <c r="AH91" i="2" s="1"/>
  <c r="AJ266" i="2"/>
  <c r="AK266" i="2" s="1"/>
  <c r="AM266" i="2" s="1"/>
  <c r="AH266" i="2" s="1"/>
  <c r="AI294" i="2"/>
  <c r="AJ265" i="2"/>
  <c r="AK265" i="2" s="1"/>
  <c r="AM265" i="2" s="1"/>
  <c r="AH265" i="2" s="1"/>
  <c r="AI76" i="2"/>
  <c r="AI242" i="2"/>
  <c r="AJ52" i="2"/>
  <c r="AK52" i="2" s="1"/>
  <c r="AM52" i="2" s="1"/>
  <c r="AJ117" i="2"/>
  <c r="AK117" i="2" s="1"/>
  <c r="AM117" i="2" s="1"/>
  <c r="AH117" i="2" s="1"/>
  <c r="AJ107" i="2"/>
  <c r="AK107" i="2" s="1"/>
  <c r="AM107" i="2" s="1"/>
  <c r="AH107" i="2" s="1"/>
  <c r="AI333" i="2"/>
  <c r="AJ153" i="2"/>
  <c r="AK153" i="2" s="1"/>
  <c r="AM153" i="2" s="1"/>
  <c r="AH153" i="2" s="1"/>
  <c r="AJ306" i="2"/>
  <c r="AK306" i="2" s="1"/>
  <c r="AM306" i="2" s="1"/>
  <c r="AH306" i="2" s="1"/>
  <c r="AI257" i="2"/>
  <c r="AJ390" i="2"/>
  <c r="AK390" i="2" s="1"/>
  <c r="AM390" i="2" s="1"/>
  <c r="AH390" i="2" s="1"/>
  <c r="AI422" i="2"/>
  <c r="AI58" i="2"/>
  <c r="AI68" i="2"/>
  <c r="AJ213" i="2"/>
  <c r="AK213" i="2" s="1"/>
  <c r="AM213" i="2" s="1"/>
  <c r="AH213" i="2" s="1"/>
  <c r="AI288" i="2"/>
  <c r="AI181" i="2"/>
  <c r="AJ31" i="2"/>
  <c r="AK31" i="2" s="1"/>
  <c r="AM31" i="2" s="1"/>
  <c r="AJ285" i="2"/>
  <c r="AK285" i="2" s="1"/>
  <c r="AM285" i="2" s="1"/>
  <c r="AH285" i="2" s="1"/>
  <c r="AJ24" i="2"/>
  <c r="AK24" i="2" s="1"/>
  <c r="AM24" i="2" s="1"/>
  <c r="AJ124" i="2"/>
  <c r="AK124" i="2" s="1"/>
  <c r="AM124" i="2" s="1"/>
  <c r="AH124" i="2" s="1"/>
  <c r="AJ176" i="2"/>
  <c r="AK176" i="2" s="1"/>
  <c r="AM176" i="2" s="1"/>
  <c r="AH176" i="2" s="1"/>
  <c r="AI417" i="2"/>
  <c r="AI309" i="2"/>
  <c r="AJ366" i="2"/>
  <c r="AK366" i="2" s="1"/>
  <c r="AM366" i="2" s="1"/>
  <c r="AH366" i="2" s="1"/>
  <c r="AJ412" i="2"/>
  <c r="AK412" i="2" s="1"/>
  <c r="AM412" i="2" s="1"/>
  <c r="AH412" i="2" s="1"/>
  <c r="AJ402" i="2"/>
  <c r="AK402" i="2" s="1"/>
  <c r="AM402" i="2" s="1"/>
  <c r="AH402" i="2" s="1"/>
  <c r="AJ351" i="2"/>
  <c r="AK351" i="2" s="1"/>
  <c r="AM351" i="2" s="1"/>
  <c r="AH351" i="2" s="1"/>
  <c r="AJ234" i="2"/>
  <c r="AK234" i="2" s="1"/>
  <c r="AM234" i="2" s="1"/>
  <c r="AH234" i="2" s="1"/>
  <c r="AI358" i="2"/>
  <c r="AJ51" i="2"/>
  <c r="AK51" i="2" s="1"/>
  <c r="AM51" i="2" s="1"/>
  <c r="AJ377" i="2"/>
  <c r="AK377" i="2" s="1"/>
  <c r="AM377" i="2" s="1"/>
  <c r="AH377" i="2" s="1"/>
  <c r="AI97" i="2"/>
  <c r="AI106" i="2"/>
  <c r="AI406" i="2"/>
  <c r="AJ50" i="2"/>
  <c r="AK50" i="2" s="1"/>
  <c r="AM50" i="2" s="1"/>
  <c r="AJ407" i="2"/>
  <c r="AK407" i="2" s="1"/>
  <c r="AM407" i="2" s="1"/>
  <c r="AH407" i="2" s="1"/>
  <c r="AJ288" i="2"/>
  <c r="AK288" i="2" s="1"/>
  <c r="AM288" i="2" s="1"/>
  <c r="AH288" i="2" s="1"/>
  <c r="AJ404" i="2"/>
  <c r="AK404" i="2" s="1"/>
  <c r="AM404" i="2" s="1"/>
  <c r="AH404" i="2" s="1"/>
  <c r="AI166" i="2"/>
  <c r="AJ207" i="2"/>
  <c r="AK207" i="2" s="1"/>
  <c r="AM207" i="2" s="1"/>
  <c r="AH207" i="2" s="1"/>
  <c r="AI372" i="2"/>
  <c r="AI343" i="2"/>
  <c r="AI397" i="2"/>
  <c r="AI83" i="2"/>
  <c r="AI151" i="2"/>
  <c r="AI233" i="2"/>
  <c r="AJ145" i="2"/>
  <c r="AK145" i="2" s="1"/>
  <c r="AM145" i="2" s="1"/>
  <c r="AH145" i="2" s="1"/>
  <c r="AI180" i="2"/>
  <c r="AI360" i="2"/>
  <c r="AJ279" i="2"/>
  <c r="AK279" i="2" s="1"/>
  <c r="AM279" i="2" s="1"/>
  <c r="AH279" i="2" s="1"/>
  <c r="AJ198" i="2"/>
  <c r="AK198" i="2" s="1"/>
  <c r="AM198" i="2" s="1"/>
  <c r="AH198" i="2" s="1"/>
  <c r="AJ429" i="2"/>
  <c r="AK429" i="2" s="1"/>
  <c r="AM429" i="2" s="1"/>
  <c r="AH429" i="2" s="1"/>
  <c r="AI103" i="2"/>
  <c r="AI391" i="2"/>
  <c r="AI102" i="2"/>
  <c r="AI168" i="2"/>
  <c r="AJ53" i="2"/>
  <c r="AK53" i="2" s="1"/>
  <c r="AM53" i="2" s="1"/>
  <c r="AH53" i="2" s="1"/>
  <c r="AJ332" i="2"/>
  <c r="AK332" i="2" s="1"/>
  <c r="AM332" i="2" s="1"/>
  <c r="AH332" i="2" s="1"/>
  <c r="AJ327" i="2"/>
  <c r="AK327" i="2" s="1"/>
  <c r="AM327" i="2" s="1"/>
  <c r="AH327" i="2" s="1"/>
  <c r="AJ259" i="2"/>
  <c r="AK259" i="2" s="1"/>
  <c r="AM259" i="2" s="1"/>
  <c r="AH259" i="2" s="1"/>
  <c r="AJ98" i="2"/>
  <c r="AK98" i="2" s="1"/>
  <c r="AM98" i="2" s="1"/>
  <c r="AH98" i="2" s="1"/>
  <c r="AJ367" i="2"/>
  <c r="AK367" i="2" s="1"/>
  <c r="AM367" i="2" s="1"/>
  <c r="AH367" i="2" s="1"/>
  <c r="AI331" i="2"/>
  <c r="AJ235" i="2"/>
  <c r="AK235" i="2" s="1"/>
  <c r="AM235" i="2" s="1"/>
  <c r="AH235" i="2" s="1"/>
  <c r="AJ317" i="2"/>
  <c r="AK317" i="2" s="1"/>
  <c r="AM317" i="2" s="1"/>
  <c r="AH317" i="2" s="1"/>
  <c r="AJ424" i="2"/>
  <c r="AK424" i="2" s="1"/>
  <c r="AM424" i="2" s="1"/>
  <c r="AH424" i="2" s="1"/>
  <c r="AI437" i="2"/>
  <c r="AJ347" i="2"/>
  <c r="AK347" i="2" s="1"/>
  <c r="AM347" i="2" s="1"/>
  <c r="AH347" i="2" s="1"/>
  <c r="AJ28" i="2"/>
  <c r="AK28" i="2" s="1"/>
  <c r="AM28" i="2" s="1"/>
  <c r="AI408" i="2"/>
  <c r="AJ152" i="2"/>
  <c r="AK152" i="2" s="1"/>
  <c r="AM152" i="2" s="1"/>
  <c r="AH152" i="2" s="1"/>
  <c r="AJ330" i="2"/>
  <c r="AK330" i="2" s="1"/>
  <c r="AM330" i="2" s="1"/>
  <c r="AH330" i="2" s="1"/>
  <c r="AJ345" i="2"/>
  <c r="AK345" i="2" s="1"/>
  <c r="AM345" i="2" s="1"/>
  <c r="AH345" i="2" s="1"/>
  <c r="AI311" i="2"/>
  <c r="AJ419" i="2"/>
  <c r="AK419" i="2" s="1"/>
  <c r="AM419" i="2" s="1"/>
  <c r="AH419" i="2" s="1"/>
  <c r="AI283" i="2"/>
  <c r="AI150" i="2"/>
  <c r="AJ364" i="2"/>
  <c r="AK364" i="2" s="1"/>
  <c r="AM364" i="2" s="1"/>
  <c r="AH364" i="2" s="1"/>
  <c r="AJ202" i="2"/>
  <c r="AK202" i="2" s="1"/>
  <c r="AM202" i="2" s="1"/>
  <c r="AH202" i="2" s="1"/>
  <c r="AJ135" i="2"/>
  <c r="AK135" i="2" s="1"/>
  <c r="AM135" i="2" s="1"/>
  <c r="AH135" i="2" s="1"/>
  <c r="AJ140" i="2"/>
  <c r="AK140" i="2" s="1"/>
  <c r="AM140" i="2" s="1"/>
  <c r="AH140" i="2" s="1"/>
  <c r="AJ115" i="2"/>
  <c r="AK115" i="2" s="1"/>
  <c r="AM115" i="2" s="1"/>
  <c r="AH115" i="2" s="1"/>
  <c r="AI195" i="2"/>
  <c r="AI165" i="2"/>
  <c r="AJ35" i="2"/>
  <c r="AK35" i="2" s="1"/>
  <c r="AM35" i="2" s="1"/>
  <c r="AI114" i="2"/>
  <c r="AJ54" i="2"/>
  <c r="AK54" i="2" s="1"/>
  <c r="AM54" i="2" s="1"/>
  <c r="AH54" i="2" s="1"/>
  <c r="AJ43" i="2"/>
  <c r="AK43" i="2" s="1"/>
  <c r="AM43" i="2" s="1"/>
  <c r="AJ255" i="2"/>
  <c r="AK255" i="2" s="1"/>
  <c r="AM255" i="2" s="1"/>
  <c r="AH255" i="2" s="1"/>
  <c r="AI124" i="2"/>
  <c r="AI263" i="2"/>
  <c r="AI285" i="2"/>
  <c r="AJ383" i="2"/>
  <c r="AK383" i="2" s="1"/>
  <c r="AM383" i="2" s="1"/>
  <c r="AH383" i="2" s="1"/>
  <c r="AI365" i="2"/>
  <c r="AJ146" i="2"/>
  <c r="AK146" i="2" s="1"/>
  <c r="AM146" i="2" s="1"/>
  <c r="AH146" i="2" s="1"/>
  <c r="AI337" i="2"/>
  <c r="AJ66" i="2"/>
  <c r="AK66" i="2" s="1"/>
  <c r="AM66" i="2" s="1"/>
  <c r="AH66" i="2" s="1"/>
  <c r="AJ427" i="2"/>
  <c r="AK427" i="2" s="1"/>
  <c r="AM427" i="2" s="1"/>
  <c r="AH427" i="2" s="1"/>
  <c r="AI161" i="2"/>
  <c r="AJ83" i="2"/>
  <c r="AK83" i="2" s="1"/>
  <c r="AM83" i="2" s="1"/>
  <c r="AH83" i="2" s="1"/>
  <c r="AI204" i="2"/>
  <c r="AJ300" i="2"/>
  <c r="AK300" i="2" s="1"/>
  <c r="AM300" i="2" s="1"/>
  <c r="AH300" i="2" s="1"/>
  <c r="AJ261" i="2"/>
  <c r="AK261" i="2" s="1"/>
  <c r="AM261" i="2" s="1"/>
  <c r="AH261" i="2" s="1"/>
  <c r="AJ92" i="2"/>
  <c r="AK92" i="2" s="1"/>
  <c r="AM92" i="2" s="1"/>
  <c r="AH92" i="2" s="1"/>
  <c r="AJ93" i="2"/>
  <c r="AK93" i="2" s="1"/>
  <c r="AM93" i="2" s="1"/>
  <c r="AH93" i="2" s="1"/>
  <c r="AI40" i="2"/>
  <c r="AJ183" i="2"/>
  <c r="AK183" i="2" s="1"/>
  <c r="AM183" i="2" s="1"/>
  <c r="AH183" i="2" s="1"/>
  <c r="AI412" i="2"/>
  <c r="AI394" i="2"/>
  <c r="AJ97" i="2"/>
  <c r="AK97" i="2" s="1"/>
  <c r="AM97" i="2" s="1"/>
  <c r="AH97" i="2" s="1"/>
  <c r="AI211" i="2"/>
  <c r="AI153" i="2"/>
  <c r="AI291" i="2"/>
  <c r="AI302" i="2"/>
  <c r="AI350" i="2"/>
  <c r="AI377" i="2"/>
  <c r="AI425" i="2"/>
  <c r="AI186" i="2"/>
  <c r="AI130" i="2"/>
  <c r="AI217" i="2"/>
  <c r="AI328" i="2"/>
  <c r="AI200" i="2"/>
  <c r="AI380" i="2"/>
  <c r="AJ443" i="2"/>
  <c r="AK443" i="2" s="1"/>
  <c r="AM443" i="2" s="1"/>
  <c r="AH443" i="2" s="1"/>
  <c r="AJ392" i="2"/>
  <c r="AK392" i="2" s="1"/>
  <c r="AM392" i="2" s="1"/>
  <c r="AH392" i="2" s="1"/>
  <c r="AI341" i="2"/>
  <c r="AI326" i="2"/>
  <c r="AI314" i="2"/>
  <c r="AJ177" i="2"/>
  <c r="AK177" i="2" s="1"/>
  <c r="AM177" i="2" s="1"/>
  <c r="AH177" i="2" s="1"/>
  <c r="AJ58" i="2"/>
  <c r="AK58" i="2" s="1"/>
  <c r="AM58" i="2" s="1"/>
  <c r="AH58" i="2" s="1"/>
  <c r="AJ133" i="2"/>
  <c r="AK133" i="2" s="1"/>
  <c r="AM133" i="2" s="1"/>
  <c r="AH133" i="2" s="1"/>
  <c r="AJ365" i="2"/>
  <c r="AK365" i="2" s="1"/>
  <c r="AM365" i="2" s="1"/>
  <c r="AH365" i="2" s="1"/>
  <c r="AI238" i="2"/>
  <c r="AJ245" i="2"/>
  <c r="AK245" i="2" s="1"/>
  <c r="AM245" i="2" s="1"/>
  <c r="AH245" i="2" s="1"/>
  <c r="AJ148" i="2"/>
  <c r="AK148" i="2" s="1"/>
  <c r="AM148" i="2" s="1"/>
  <c r="AH148" i="2" s="1"/>
  <c r="AI86" i="2"/>
  <c r="AJ349" i="2"/>
  <c r="AK349" i="2" s="1"/>
  <c r="AM349" i="2" s="1"/>
  <c r="AH349" i="2" s="1"/>
  <c r="AJ197" i="2"/>
  <c r="AK197" i="2" s="1"/>
  <c r="AM197" i="2" s="1"/>
  <c r="AH197" i="2" s="1"/>
  <c r="AI216" i="2"/>
  <c r="AI375" i="2"/>
  <c r="AI30" i="2"/>
  <c r="AJ87" i="2"/>
  <c r="AK87" i="2" s="1"/>
  <c r="AM87" i="2" s="1"/>
  <c r="AH87" i="2" s="1"/>
  <c r="AJ193" i="2"/>
  <c r="AK193" i="2" s="1"/>
  <c r="AM193" i="2" s="1"/>
  <c r="AH193" i="2" s="1"/>
  <c r="AJ173" i="2"/>
  <c r="AK173" i="2" s="1"/>
  <c r="AM173" i="2" s="1"/>
  <c r="AH173" i="2" s="1"/>
  <c r="AI140" i="2"/>
  <c r="AI104" i="2"/>
  <c r="AI402" i="2"/>
  <c r="AJ328" i="2"/>
  <c r="AK328" i="2" s="1"/>
  <c r="AM328" i="2" s="1"/>
  <c r="AH328" i="2" s="1"/>
  <c r="AJ206" i="2"/>
  <c r="AK206" i="2" s="1"/>
  <c r="AM206" i="2" s="1"/>
  <c r="AH206" i="2" s="1"/>
  <c r="AI221" i="2"/>
  <c r="AJ105" i="2"/>
  <c r="AK105" i="2" s="1"/>
  <c r="AM105" i="2" s="1"/>
  <c r="AH105" i="2" s="1"/>
  <c r="AI443" i="2"/>
  <c r="AJ210" i="2"/>
  <c r="AK210" i="2" s="1"/>
  <c r="AM210" i="2" s="1"/>
  <c r="AH210" i="2" s="1"/>
  <c r="AI203" i="2"/>
  <c r="AJ426" i="2"/>
  <c r="AK426" i="2" s="1"/>
  <c r="AM426" i="2" s="1"/>
  <c r="AH426" i="2" s="1"/>
  <c r="AI57" i="2"/>
  <c r="AJ222" i="2"/>
  <c r="AK222" i="2" s="1"/>
  <c r="AM222" i="2" s="1"/>
  <c r="AH222" i="2" s="1"/>
  <c r="AJ118" i="2"/>
  <c r="AK118" i="2" s="1"/>
  <c r="AM118" i="2" s="1"/>
  <c r="AH118" i="2" s="1"/>
  <c r="AJ111" i="2"/>
  <c r="AK111" i="2" s="1"/>
  <c r="AM111" i="2" s="1"/>
  <c r="AH111" i="2" s="1"/>
  <c r="AJ321" i="2"/>
  <c r="AK321" i="2" s="1"/>
  <c r="AM321" i="2" s="1"/>
  <c r="AH321" i="2" s="1"/>
  <c r="AJ325" i="2"/>
  <c r="AK325" i="2" s="1"/>
  <c r="AM325" i="2" s="1"/>
  <c r="AH325" i="2" s="1"/>
  <c r="AI84" i="2"/>
  <c r="AI207" i="2"/>
  <c r="AI400" i="2"/>
  <c r="AI342" i="2"/>
  <c r="AI310" i="2"/>
  <c r="AJ373" i="2"/>
  <c r="AK373" i="2" s="1"/>
  <c r="AM373" i="2" s="1"/>
  <c r="AH373" i="2" s="1"/>
  <c r="AI255" i="2"/>
  <c r="AI440" i="2"/>
  <c r="AI100" i="2"/>
  <c r="AJ242" i="2"/>
  <c r="AK242" i="2" s="1"/>
  <c r="AM242" i="2" s="1"/>
  <c r="AH242" i="2" s="1"/>
  <c r="AI132" i="2"/>
  <c r="AI296" i="2"/>
  <c r="AI222" i="2"/>
  <c r="AI60" i="2"/>
  <c r="AI245" i="2"/>
  <c r="AJ414" i="2"/>
  <c r="AK414" i="2" s="1"/>
  <c r="AM414" i="2" s="1"/>
  <c r="AH414" i="2" s="1"/>
  <c r="AI264" i="2"/>
  <c r="AJ71" i="2"/>
  <c r="AK71" i="2" s="1"/>
  <c r="AM71" i="2" s="1"/>
  <c r="AH71" i="2" s="1"/>
  <c r="AI89" i="2"/>
  <c r="AJ218" i="2"/>
  <c r="AK218" i="2" s="1"/>
  <c r="AM218" i="2" s="1"/>
  <c r="AH218" i="2" s="1"/>
  <c r="AJ389" i="2"/>
  <c r="AK389" i="2" s="1"/>
  <c r="AM389" i="2" s="1"/>
  <c r="AH389" i="2" s="1"/>
  <c r="AJ90" i="2"/>
  <c r="AK90" i="2" s="1"/>
  <c r="AM90" i="2" s="1"/>
  <c r="AH90" i="2" s="1"/>
  <c r="AJ201" i="2"/>
  <c r="AK201" i="2" s="1"/>
  <c r="AM201" i="2" s="1"/>
  <c r="AH201" i="2" s="1"/>
  <c r="AJ27" i="2"/>
  <c r="AK27" i="2" s="1"/>
  <c r="AM27" i="2" s="1"/>
  <c r="AJ425" i="2"/>
  <c r="AK425" i="2" s="1"/>
  <c r="AM425" i="2" s="1"/>
  <c r="AH425" i="2" s="1"/>
  <c r="AJ60" i="2"/>
  <c r="AK60" i="2" s="1"/>
  <c r="AM60" i="2" s="1"/>
  <c r="AH60" i="2" s="1"/>
  <c r="AJ352" i="2"/>
  <c r="AK352" i="2" s="1"/>
  <c r="AM352" i="2" s="1"/>
  <c r="AH352" i="2" s="1"/>
  <c r="AJ394" i="2"/>
  <c r="AK394" i="2" s="1"/>
  <c r="AM394" i="2" s="1"/>
  <c r="AH394" i="2" s="1"/>
  <c r="AI395" i="2"/>
  <c r="AJ225" i="2"/>
  <c r="AK225" i="2" s="1"/>
  <c r="AM225" i="2" s="1"/>
  <c r="AH225" i="2" s="1"/>
  <c r="AJ217" i="2"/>
  <c r="AK217" i="2" s="1"/>
  <c r="AM217" i="2" s="1"/>
  <c r="AH217" i="2" s="1"/>
  <c r="AI128" i="2"/>
  <c r="AJ378" i="2"/>
  <c r="AK378" i="2" s="1"/>
  <c r="AM378" i="2" s="1"/>
  <c r="AH378" i="2" s="1"/>
  <c r="AJ450" i="2"/>
  <c r="AK450" i="2" s="1"/>
  <c r="AM450" i="2" s="1"/>
  <c r="AH450" i="2" s="1"/>
  <c r="AJ29" i="2"/>
  <c r="AK29" i="2" s="1"/>
  <c r="AM29" i="2" s="1"/>
  <c r="AI73" i="2"/>
  <c r="AJ172" i="2"/>
  <c r="AK172" i="2" s="1"/>
  <c r="AM172" i="2" s="1"/>
  <c r="AH172" i="2" s="1"/>
  <c r="AI392" i="2"/>
  <c r="AI143" i="2"/>
  <c r="AJ251" i="2"/>
  <c r="AK251" i="2" s="1"/>
  <c r="AM251" i="2" s="1"/>
  <c r="AH251" i="2" s="1"/>
  <c r="AJ316" i="2"/>
  <c r="AK316" i="2" s="1"/>
  <c r="AM316" i="2" s="1"/>
  <c r="AH316" i="2" s="1"/>
  <c r="AJ302" i="2"/>
  <c r="AK302" i="2" s="1"/>
  <c r="AM302" i="2" s="1"/>
  <c r="AH302" i="2" s="1"/>
  <c r="AI243" i="2"/>
  <c r="AJ269" i="2"/>
  <c r="AK269" i="2" s="1"/>
  <c r="AM269" i="2" s="1"/>
  <c r="AH269" i="2" s="1"/>
  <c r="AJ211" i="2"/>
  <c r="AK211" i="2" s="1"/>
  <c r="AM211" i="2" s="1"/>
  <c r="AH211" i="2" s="1"/>
  <c r="AI250" i="2"/>
  <c r="AJ359" i="2"/>
  <c r="AK359" i="2" s="1"/>
  <c r="AM359" i="2" s="1"/>
  <c r="AH359" i="2" s="1"/>
  <c r="AI37" i="2"/>
  <c r="AJ401" i="2"/>
  <c r="AK401" i="2" s="1"/>
  <c r="AM401" i="2" s="1"/>
  <c r="AH401" i="2" s="1"/>
  <c r="AI379" i="2"/>
  <c r="AI448" i="2"/>
  <c r="AI194" i="2"/>
  <c r="AI121" i="2"/>
  <c r="AI415" i="2"/>
  <c r="AI385" i="2"/>
  <c r="AJ386" i="2"/>
  <c r="AK386" i="2" s="1"/>
  <c r="AM386" i="2" s="1"/>
  <c r="AH386" i="2" s="1"/>
  <c r="AJ49" i="2"/>
  <c r="AK49" i="2" s="1"/>
  <c r="AM49" i="2" s="1"/>
  <c r="AJ382" i="2"/>
  <c r="AK382" i="2" s="1"/>
  <c r="AM382" i="2" s="1"/>
  <c r="AH382" i="2" s="1"/>
  <c r="AI129" i="2"/>
  <c r="AI335" i="2"/>
  <c r="AI198" i="2"/>
  <c r="AJ73" i="2"/>
  <c r="AK73" i="2" s="1"/>
  <c r="AM73" i="2" s="1"/>
  <c r="AH73" i="2" s="1"/>
  <c r="AJ143" i="2"/>
  <c r="AK143" i="2" s="1"/>
  <c r="AM143" i="2" s="1"/>
  <c r="AH143" i="2" s="1"/>
  <c r="AI345" i="2"/>
  <c r="AJ353" i="2"/>
  <c r="AK353" i="2" s="1"/>
  <c r="AM353" i="2" s="1"/>
  <c r="AH353" i="2" s="1"/>
  <c r="AJ227" i="2"/>
  <c r="AK227" i="2" s="1"/>
  <c r="AM227" i="2" s="1"/>
  <c r="AH227" i="2" s="1"/>
  <c r="AI300" i="2"/>
  <c r="AJ121" i="2"/>
  <c r="AK121" i="2" s="1"/>
  <c r="AM121" i="2" s="1"/>
  <c r="AH121" i="2" s="1"/>
  <c r="AI127" i="2"/>
  <c r="AJ397" i="2"/>
  <c r="AK397" i="2" s="1"/>
  <c r="AM397" i="2" s="1"/>
  <c r="AH397" i="2" s="1"/>
  <c r="AJ179" i="2"/>
  <c r="AK179" i="2" s="1"/>
  <c r="AM179" i="2" s="1"/>
  <c r="AH179" i="2" s="1"/>
  <c r="AJ307" i="2"/>
  <c r="AK307" i="2" s="1"/>
  <c r="AM307" i="2" s="1"/>
  <c r="AH307" i="2" s="1"/>
  <c r="AJ313" i="2"/>
  <c r="AK313" i="2" s="1"/>
  <c r="AM313" i="2" s="1"/>
  <c r="AH313" i="2" s="1"/>
  <c r="AJ219" i="2"/>
  <c r="AK219" i="2" s="1"/>
  <c r="AM219" i="2" s="1"/>
  <c r="AH219" i="2" s="1"/>
  <c r="AI282" i="2"/>
  <c r="AI304" i="2"/>
  <c r="AJ109" i="2"/>
  <c r="AK109" i="2" s="1"/>
  <c r="AM109" i="2" s="1"/>
  <c r="AH109" i="2" s="1"/>
  <c r="AI177" i="2"/>
  <c r="AI91" i="2"/>
  <c r="AI295" i="2"/>
  <c r="AI117" i="2"/>
  <c r="AI363" i="2"/>
  <c r="AJ331" i="2"/>
  <c r="AK331" i="2" s="1"/>
  <c r="AM331" i="2" s="1"/>
  <c r="AH331" i="2" s="1"/>
  <c r="AJ370" i="2"/>
  <c r="AK370" i="2" s="1"/>
  <c r="AM370" i="2" s="1"/>
  <c r="AH370" i="2" s="1"/>
  <c r="AI66" i="2"/>
  <c r="AI32" i="2"/>
  <c r="AJ37" i="2"/>
  <c r="AK37" i="2" s="1"/>
  <c r="AM37" i="2" s="1"/>
  <c r="AI286" i="2"/>
  <c r="AJ381" i="2"/>
  <c r="AK381" i="2" s="1"/>
  <c r="AM381" i="2" s="1"/>
  <c r="AH381" i="2" s="1"/>
  <c r="AJ354" i="2"/>
  <c r="AK354" i="2" s="1"/>
  <c r="AM354" i="2" s="1"/>
  <c r="AH354" i="2" s="1"/>
  <c r="AI271" i="2"/>
  <c r="AI308" i="2"/>
  <c r="AI27" i="2"/>
  <c r="AJ30" i="2"/>
  <c r="AK30" i="2" s="1"/>
  <c r="AM30" i="2" s="1"/>
  <c r="AI228" i="2"/>
  <c r="AI111" i="2"/>
  <c r="AJ55" i="2"/>
  <c r="AK55" i="2" s="1"/>
  <c r="AM55" i="2" s="1"/>
  <c r="AH55" i="2" s="1"/>
  <c r="AJ428" i="2"/>
  <c r="AK428" i="2" s="1"/>
  <c r="AM428" i="2" s="1"/>
  <c r="AH428" i="2" s="1"/>
  <c r="AI305" i="2"/>
  <c r="AJ190" i="2"/>
  <c r="AK190" i="2" s="1"/>
  <c r="AM190" i="2" s="1"/>
  <c r="AH190" i="2" s="1"/>
  <c r="AJ223" i="2"/>
  <c r="AK223" i="2" s="1"/>
  <c r="AM223" i="2" s="1"/>
  <c r="AH223" i="2" s="1"/>
  <c r="AJ343" i="2"/>
  <c r="AK343" i="2" s="1"/>
  <c r="AM343" i="2" s="1"/>
  <c r="AH343" i="2" s="1"/>
  <c r="AI45" i="2"/>
  <c r="AJ355" i="2"/>
  <c r="AK355" i="2" s="1"/>
  <c r="AM355" i="2" s="1"/>
  <c r="AH355" i="2" s="1"/>
  <c r="AI414" i="2"/>
  <c r="AI251" i="2"/>
  <c r="AJ282" i="2"/>
  <c r="AK282" i="2" s="1"/>
  <c r="AM282" i="2" s="1"/>
  <c r="AH282" i="2" s="1"/>
  <c r="AI38" i="2"/>
  <c r="AI411" i="2"/>
  <c r="AJ19" i="2"/>
  <c r="AK19" i="2" s="1"/>
  <c r="AM19" i="2" s="1"/>
  <c r="AI292" i="2"/>
  <c r="AI201" i="2"/>
  <c r="AI444" i="2"/>
  <c r="AJ342" i="2"/>
  <c r="AK342" i="2" s="1"/>
  <c r="AM342" i="2" s="1"/>
  <c r="AH342" i="2" s="1"/>
  <c r="AI214" i="2"/>
  <c r="AI137" i="2"/>
  <c r="AI344" i="2"/>
  <c r="AJ64" i="2"/>
  <c r="AK64" i="2" s="1"/>
  <c r="AM64" i="2" s="1"/>
  <c r="AH64" i="2" s="1"/>
  <c r="AI287" i="2"/>
  <c r="AJ20" i="2"/>
  <c r="AK20" i="2" s="1"/>
  <c r="AM20" i="2" s="1"/>
  <c r="AJ102" i="2"/>
  <c r="AK102" i="2" s="1"/>
  <c r="AM102" i="2" s="1"/>
  <c r="AH102" i="2" s="1"/>
  <c r="AJ346" i="2"/>
  <c r="AK346" i="2" s="1"/>
  <c r="AM346" i="2" s="1"/>
  <c r="AH346" i="2" s="1"/>
  <c r="AJ358" i="2"/>
  <c r="AK358" i="2" s="1"/>
  <c r="AM358" i="2" s="1"/>
  <c r="AH358" i="2" s="1"/>
  <c r="AJ375" i="2"/>
  <c r="AK375" i="2" s="1"/>
  <c r="AM375" i="2" s="1"/>
  <c r="AH375" i="2" s="1"/>
  <c r="AJ283" i="2"/>
  <c r="AK283" i="2" s="1"/>
  <c r="AM283" i="2" s="1"/>
  <c r="AH283" i="2" s="1"/>
  <c r="AJ274" i="2"/>
  <c r="AK274" i="2" s="1"/>
  <c r="AM274" i="2" s="1"/>
  <c r="AH274" i="2" s="1"/>
  <c r="AI193" i="2"/>
  <c r="AJ301" i="2"/>
  <c r="AK301" i="2" s="1"/>
  <c r="AM301" i="2" s="1"/>
  <c r="AH301" i="2" s="1"/>
  <c r="AI303" i="2"/>
  <c r="AJ257" i="2"/>
  <c r="AK257" i="2" s="1"/>
  <c r="AM257" i="2" s="1"/>
  <c r="AH257" i="2" s="1"/>
  <c r="AI169" i="2"/>
  <c r="AJ85" i="2"/>
  <c r="AK85" i="2" s="1"/>
  <c r="AM85" i="2" s="1"/>
  <c r="AH85" i="2" s="1"/>
  <c r="AI149" i="2"/>
  <c r="AI224" i="2"/>
  <c r="AJ113" i="2"/>
  <c r="AK113" i="2" s="1"/>
  <c r="AM113" i="2" s="1"/>
  <c r="AH113" i="2" s="1"/>
  <c r="AJ398" i="2"/>
  <c r="AK398" i="2" s="1"/>
  <c r="AM398" i="2" s="1"/>
  <c r="AH398" i="2" s="1"/>
  <c r="AI69" i="2"/>
  <c r="AI171" i="2"/>
  <c r="AI252" i="2"/>
  <c r="AJ147" i="2"/>
  <c r="AK147" i="2" s="1"/>
  <c r="AM147" i="2" s="1"/>
  <c r="AH147" i="2" s="1"/>
  <c r="AJ290" i="2"/>
  <c r="AK290" i="2" s="1"/>
  <c r="AM290" i="2" s="1"/>
  <c r="AH290" i="2" s="1"/>
  <c r="AI346" i="2"/>
  <c r="AI63" i="2"/>
  <c r="AI99" i="2"/>
  <c r="AI320" i="2"/>
  <c r="AI327" i="2"/>
  <c r="AI234" i="2"/>
  <c r="AJ189" i="2"/>
  <c r="AK189" i="2" s="1"/>
  <c r="AM189" i="2" s="1"/>
  <c r="AH189" i="2" s="1"/>
  <c r="AI116" i="2"/>
  <c r="AI354" i="2"/>
  <c r="AJ167" i="2"/>
  <c r="AK167" i="2" s="1"/>
  <c r="AM167" i="2" s="1"/>
  <c r="AH167" i="2" s="1"/>
  <c r="AJ89" i="2"/>
  <c r="AK89" i="2" s="1"/>
  <c r="AM89" i="2" s="1"/>
  <c r="AH89" i="2" s="1"/>
  <c r="AJ230" i="2"/>
  <c r="AK230" i="2" s="1"/>
  <c r="AM230" i="2" s="1"/>
  <c r="AH230" i="2" s="1"/>
  <c r="AJ388" i="2"/>
  <c r="AK388" i="2" s="1"/>
  <c r="AM388" i="2" s="1"/>
  <c r="AH388" i="2" s="1"/>
  <c r="AI47" i="2"/>
  <c r="AJ260" i="2"/>
  <c r="AK260" i="2" s="1"/>
  <c r="AM260" i="2" s="1"/>
  <c r="AH260" i="2" s="1"/>
  <c r="AJ44" i="2"/>
  <c r="AK44" i="2" s="1"/>
  <c r="AM44" i="2" s="1"/>
  <c r="AJ312" i="2"/>
  <c r="AK312" i="2" s="1"/>
  <c r="AM312" i="2" s="1"/>
  <c r="AH312" i="2" s="1"/>
  <c r="AJ400" i="2"/>
  <c r="AK400" i="2" s="1"/>
  <c r="AM400" i="2" s="1"/>
  <c r="AH400" i="2" s="1"/>
  <c r="AJ132" i="2"/>
  <c r="AK132" i="2" s="1"/>
  <c r="AM132" i="2" s="1"/>
  <c r="AH132" i="2" s="1"/>
  <c r="AJ258" i="2"/>
  <c r="AK258" i="2" s="1"/>
  <c r="AM258" i="2" s="1"/>
  <c r="AH258" i="2" s="1"/>
  <c r="AI62" i="2"/>
  <c r="AI59" i="2"/>
  <c r="AI269" i="2"/>
  <c r="AJ151" i="2"/>
  <c r="AK151" i="2" s="1"/>
  <c r="AM151" i="2" s="1"/>
  <c r="AH151" i="2" s="1"/>
  <c r="AI352" i="2"/>
  <c r="AI154" i="2"/>
  <c r="AJ62" i="2"/>
  <c r="AK62" i="2" s="1"/>
  <c r="AM62" i="2" s="1"/>
  <c r="AH62" i="2" s="1"/>
  <c r="AI325" i="2"/>
  <c r="AJ233" i="2"/>
  <c r="AK233" i="2" s="1"/>
  <c r="AM233" i="2" s="1"/>
  <c r="AH233" i="2" s="1"/>
  <c r="AI26" i="2"/>
  <c r="AI241" i="2"/>
  <c r="AJ387" i="2"/>
  <c r="AK387" i="2" s="1"/>
  <c r="AM387" i="2" s="1"/>
  <c r="AH387" i="2" s="1"/>
  <c r="AI266" i="2"/>
  <c r="AI31" i="2"/>
  <c r="AJ417" i="2"/>
  <c r="AK417" i="2" s="1"/>
  <c r="AM417" i="2" s="1"/>
  <c r="AH417" i="2" s="1"/>
  <c r="AI433" i="2"/>
  <c r="AI20" i="2"/>
  <c r="AJ335" i="2"/>
  <c r="AK335" i="2" s="1"/>
  <c r="AM335" i="2" s="1"/>
  <c r="AH335" i="2" s="1"/>
  <c r="AI312" i="2"/>
  <c r="AJ267" i="2"/>
  <c r="AK267" i="2" s="1"/>
  <c r="AM267" i="2" s="1"/>
  <c r="AH267" i="2" s="1"/>
  <c r="AJ185" i="2"/>
  <c r="AK185" i="2" s="1"/>
  <c r="AM185" i="2" s="1"/>
  <c r="AH185" i="2" s="1"/>
  <c r="AJ338" i="2"/>
  <c r="AK338" i="2" s="1"/>
  <c r="AM338" i="2" s="1"/>
  <c r="AH338" i="2" s="1"/>
  <c r="AI185" i="2"/>
  <c r="AI259" i="2"/>
  <c r="AI276" i="2"/>
  <c r="AJ187" i="2"/>
  <c r="AK187" i="2" s="1"/>
  <c r="AM187" i="2" s="1"/>
  <c r="AH187" i="2" s="1"/>
  <c r="AI119" i="2"/>
  <c r="AJ138" i="2"/>
  <c r="AK138" i="2" s="1"/>
  <c r="AM138" i="2" s="1"/>
  <c r="AH138" i="2" s="1"/>
  <c r="AI187" i="2"/>
  <c r="AJ231" i="2"/>
  <c r="AK231" i="2" s="1"/>
  <c r="AM231" i="2" s="1"/>
  <c r="AH231" i="2" s="1"/>
  <c r="AJ314" i="2"/>
  <c r="AK314" i="2" s="1"/>
  <c r="AM314" i="2" s="1"/>
  <c r="AH314" i="2" s="1"/>
  <c r="AJ408" i="2"/>
  <c r="AK408" i="2" s="1"/>
  <c r="AM408" i="2" s="1"/>
  <c r="AH408" i="2" s="1"/>
  <c r="AI334" i="2"/>
  <c r="AI92" i="2"/>
  <c r="AJ315" i="2"/>
  <c r="AK315" i="2" s="1"/>
  <c r="AM315" i="2" s="1"/>
  <c r="AH315" i="2" s="1"/>
  <c r="AJ165" i="2"/>
  <c r="AK165" i="2" s="1"/>
  <c r="AM165" i="2" s="1"/>
  <c r="AH165" i="2" s="1"/>
  <c r="AJ333" i="2"/>
  <c r="AK333" i="2" s="1"/>
  <c r="AM333" i="2" s="1"/>
  <c r="AH333" i="2" s="1"/>
  <c r="AI147" i="2"/>
  <c r="AJ42" i="2"/>
  <c r="AK42" i="2" s="1"/>
  <c r="AM42" i="2" s="1"/>
  <c r="AI227" i="2"/>
  <c r="AJ237" i="2"/>
  <c r="AK237" i="2" s="1"/>
  <c r="AM237" i="2" s="1"/>
  <c r="AH237" i="2" s="1"/>
  <c r="AI387" i="2"/>
  <c r="AJ108" i="2"/>
  <c r="AK108" i="2" s="1"/>
  <c r="AM108" i="2" s="1"/>
  <c r="AH108" i="2" s="1"/>
  <c r="AI231" i="2"/>
  <c r="AI94" i="2"/>
  <c r="AI278" i="2"/>
  <c r="AJ299" i="2"/>
  <c r="AK299" i="2" s="1"/>
  <c r="AM299" i="2" s="1"/>
  <c r="AH299" i="2" s="1"/>
  <c r="AI142" i="2"/>
  <c r="AI96" i="2"/>
  <c r="AI34" i="2"/>
  <c r="AI451" i="2"/>
  <c r="AI210" i="2"/>
  <c r="AJ68" i="2"/>
  <c r="AK68" i="2" s="1"/>
  <c r="AM68" i="2" s="1"/>
  <c r="AH68" i="2" s="1"/>
  <c r="AJ141" i="2"/>
  <c r="AK141" i="2" s="1"/>
  <c r="AM141" i="2" s="1"/>
  <c r="AH141" i="2" s="1"/>
  <c r="AJ329" i="2"/>
  <c r="AK329" i="2" s="1"/>
  <c r="AM329" i="2" s="1"/>
  <c r="AH329" i="2" s="1"/>
  <c r="AJ406" i="2"/>
  <c r="AK406" i="2" s="1"/>
  <c r="AM406" i="2" s="1"/>
  <c r="AH406" i="2" s="1"/>
  <c r="AI170" i="2"/>
  <c r="AI423" i="2"/>
  <c r="AJ319" i="2"/>
  <c r="AK319" i="2" s="1"/>
  <c r="AM319" i="2" s="1"/>
  <c r="AH319" i="2" s="1"/>
  <c r="AJ204" i="2"/>
  <c r="AK204" i="2" s="1"/>
  <c r="AM204" i="2" s="1"/>
  <c r="AH204" i="2" s="1"/>
  <c r="AJ361" i="2"/>
  <c r="AK361" i="2" s="1"/>
  <c r="AM361" i="2" s="1"/>
  <c r="AH361" i="2" s="1"/>
  <c r="AI158" i="2"/>
  <c r="AI29" i="2"/>
  <c r="AI246" i="2"/>
  <c r="AI293" i="2"/>
  <c r="AI108" i="2"/>
  <c r="AI71" i="2"/>
  <c r="AJ451" i="2"/>
  <c r="AK451" i="2" s="1"/>
  <c r="AM451" i="2" s="1"/>
  <c r="AH451" i="2" s="1"/>
  <c r="AI428" i="2"/>
  <c r="AJ88" i="2"/>
  <c r="AK88" i="2" s="1"/>
  <c r="AM88" i="2" s="1"/>
  <c r="AH88" i="2" s="1"/>
  <c r="AJ76" i="2"/>
  <c r="AK76" i="2" s="1"/>
  <c r="AM76" i="2" s="1"/>
  <c r="AH76" i="2" s="1"/>
  <c r="AJ34" i="2"/>
  <c r="AK34" i="2" s="1"/>
  <c r="AM34" i="2" s="1"/>
  <c r="AJ69" i="2"/>
  <c r="AK69" i="2" s="1"/>
  <c r="AM69" i="2" s="1"/>
  <c r="AH69" i="2" s="1"/>
  <c r="AI199" i="2"/>
  <c r="AJ296" i="2"/>
  <c r="AK296" i="2" s="1"/>
  <c r="AM296" i="2" s="1"/>
  <c r="AH296" i="2" s="1"/>
  <c r="AI262" i="2"/>
  <c r="AJ84" i="2"/>
  <c r="AK84" i="2" s="1"/>
  <c r="AM84" i="2" s="1"/>
  <c r="AH84" i="2" s="1"/>
  <c r="AJ169" i="2"/>
  <c r="AK169" i="2" s="1"/>
  <c r="AM169" i="2" s="1"/>
  <c r="AH169" i="2" s="1"/>
  <c r="AJ268" i="2"/>
  <c r="AK268" i="2" s="1"/>
  <c r="AM268" i="2" s="1"/>
  <c r="AH268" i="2" s="1"/>
  <c r="AJ415" i="2"/>
  <c r="AK415" i="2" s="1"/>
  <c r="AM415" i="2" s="1"/>
  <c r="AH415" i="2" s="1"/>
  <c r="AI167" i="2"/>
  <c r="AJ250" i="2"/>
  <c r="AK250" i="2" s="1"/>
  <c r="AM250" i="2" s="1"/>
  <c r="AH250" i="2" s="1"/>
  <c r="AI54" i="2"/>
  <c r="AJ339" i="2"/>
  <c r="AK339" i="2" s="1"/>
  <c r="AM339" i="2" s="1"/>
  <c r="AH339" i="2" s="1"/>
  <c r="AJ61" i="2"/>
  <c r="AK61" i="2" s="1"/>
  <c r="AM61" i="2" s="1"/>
  <c r="AH61" i="2" s="1"/>
  <c r="AI213" i="2"/>
  <c r="AI65" i="2"/>
  <c r="AI256" i="2"/>
  <c r="AJ205" i="2"/>
  <c r="AK205" i="2" s="1"/>
  <c r="AM205" i="2" s="1"/>
  <c r="AH205" i="2" s="1"/>
  <c r="AJ393" i="2"/>
  <c r="AK393" i="2" s="1"/>
  <c r="AM393" i="2" s="1"/>
  <c r="AH393" i="2" s="1"/>
  <c r="AI72" i="2"/>
  <c r="AI388" i="2"/>
  <c r="AI434" i="2"/>
  <c r="AI348" i="2"/>
  <c r="AI244" i="2"/>
  <c r="AI70" i="2"/>
  <c r="AJ253" i="2"/>
  <c r="AK253" i="2" s="1"/>
  <c r="AM253" i="2" s="1"/>
  <c r="AH253" i="2" s="1"/>
  <c r="AI80" i="2"/>
  <c r="AJ263" i="2"/>
  <c r="AK263" i="2" s="1"/>
  <c r="AM263" i="2" s="1"/>
  <c r="AH263" i="2" s="1"/>
  <c r="AJ110" i="2"/>
  <c r="AK110" i="2" s="1"/>
  <c r="AM110" i="2" s="1"/>
  <c r="AH110" i="2" s="1"/>
  <c r="AI313" i="2"/>
  <c r="AI24" i="2"/>
  <c r="AJ243" i="2"/>
  <c r="AK243" i="2" s="1"/>
  <c r="AM243" i="2" s="1"/>
  <c r="AH243" i="2" s="1"/>
  <c r="AJ157" i="2"/>
  <c r="AK157" i="2" s="1"/>
  <c r="AM157" i="2" s="1"/>
  <c r="AH157" i="2" s="1"/>
  <c r="AI273" i="2"/>
  <c r="AJ272" i="2"/>
  <c r="AK272" i="2" s="1"/>
  <c r="AM272" i="2" s="1"/>
  <c r="AH272" i="2" s="1"/>
  <c r="AJ182" i="2"/>
  <c r="AK182" i="2" s="1"/>
  <c r="AM182" i="2" s="1"/>
  <c r="AH182" i="2" s="1"/>
  <c r="AI19" i="2"/>
  <c r="AJ384" i="2"/>
  <c r="AK384" i="2" s="1"/>
  <c r="AM384" i="2" s="1"/>
  <c r="AH384" i="2" s="1"/>
  <c r="AI421" i="2"/>
  <c r="AI289" i="2"/>
  <c r="AJ186" i="2"/>
  <c r="AK186" i="2" s="1"/>
  <c r="AM186" i="2" s="1"/>
  <c r="AH186" i="2" s="1"/>
  <c r="AI268" i="2"/>
  <c r="AJ216" i="2"/>
  <c r="AK216" i="2" s="1"/>
  <c r="AM216" i="2" s="1"/>
  <c r="AH216" i="2" s="1"/>
  <c r="AI133" i="2"/>
  <c r="AJ149" i="2"/>
  <c r="AK149" i="2" s="1"/>
  <c r="AM149" i="2" s="1"/>
  <c r="AH149" i="2" s="1"/>
  <c r="AJ444" i="2"/>
  <c r="AK444" i="2" s="1"/>
  <c r="AM444" i="2" s="1"/>
  <c r="AH444" i="2" s="1"/>
  <c r="AJ181" i="2"/>
  <c r="AK181" i="2" s="1"/>
  <c r="AM181" i="2" s="1"/>
  <c r="AH181" i="2" s="1"/>
  <c r="AJ195" i="2"/>
  <c r="AK195" i="2" s="1"/>
  <c r="AM195" i="2" s="1"/>
  <c r="AH195" i="2" s="1"/>
  <c r="AJ119" i="2"/>
  <c r="AK119" i="2" s="1"/>
  <c r="AM119" i="2" s="1"/>
  <c r="AH119" i="2" s="1"/>
  <c r="AI230" i="2"/>
  <c r="AJ241" i="2"/>
  <c r="AK241" i="2" s="1"/>
  <c r="AM241" i="2" s="1"/>
  <c r="AH241" i="2" s="1"/>
  <c r="AJ436" i="2"/>
  <c r="AK436" i="2" s="1"/>
  <c r="AM436" i="2" s="1"/>
  <c r="AH436" i="2" s="1"/>
  <c r="AJ203" i="2"/>
  <c r="AK203" i="2" s="1"/>
  <c r="AM203" i="2" s="1"/>
  <c r="AH203" i="2" s="1"/>
  <c r="AI419" i="2"/>
  <c r="AI367" i="2"/>
  <c r="AI74" i="2"/>
  <c r="AI389" i="2"/>
  <c r="AI107" i="2"/>
  <c r="AJ411" i="2"/>
  <c r="AK411" i="2" s="1"/>
  <c r="AM411" i="2" s="1"/>
  <c r="AH411" i="2" s="1"/>
  <c r="AI442" i="2"/>
  <c r="AI101" i="2"/>
  <c r="AI179" i="2"/>
  <c r="AI118" i="2"/>
  <c r="AI399" i="2"/>
  <c r="AI173" i="2"/>
  <c r="AI299" i="2"/>
  <c r="AJ144" i="2"/>
  <c r="AK144" i="2" s="1"/>
  <c r="AM144" i="2" s="1"/>
  <c r="AH144" i="2" s="1"/>
  <c r="AI208" i="2"/>
  <c r="AJ277" i="2"/>
  <c r="AK277" i="2" s="1"/>
  <c r="AM277" i="2" s="1"/>
  <c r="AH277" i="2" s="1"/>
  <c r="AI413" i="2"/>
  <c r="AJ409" i="2"/>
  <c r="AK409" i="2" s="1"/>
  <c r="AM409" i="2" s="1"/>
  <c r="AH409" i="2" s="1"/>
  <c r="AJ127" i="2"/>
  <c r="AK127" i="2" s="1"/>
  <c r="AM127" i="2" s="1"/>
  <c r="AH127" i="2" s="1"/>
  <c r="AI75" i="2"/>
  <c r="AI280" i="2"/>
  <c r="AI39" i="2"/>
  <c r="AJ305" i="2"/>
  <c r="AK305" i="2" s="1"/>
  <c r="AM305" i="2" s="1"/>
  <c r="AH305" i="2" s="1"/>
  <c r="AI405" i="2"/>
  <c r="AI81" i="2"/>
  <c r="AJ114" i="2"/>
  <c r="AK114" i="2" s="1"/>
  <c r="AM114" i="2" s="1"/>
  <c r="AH114" i="2" s="1"/>
  <c r="AI383" i="2"/>
  <c r="AJ229" i="2"/>
  <c r="AK229" i="2" s="1"/>
  <c r="AM229" i="2" s="1"/>
  <c r="AH229" i="2" s="1"/>
  <c r="AI141" i="2"/>
  <c r="AJ449" i="2"/>
  <c r="AK449" i="2" s="1"/>
  <c r="AM449" i="2" s="1"/>
  <c r="AH449" i="2" s="1"/>
  <c r="AJ63" i="2"/>
  <c r="AK63" i="2" s="1"/>
  <c r="AM63" i="2" s="1"/>
  <c r="AH63" i="2" s="1"/>
  <c r="AI88" i="2"/>
  <c r="AJ248" i="2"/>
  <c r="AK248" i="2" s="1"/>
  <c r="AM248" i="2" s="1"/>
  <c r="AH248" i="2" s="1"/>
  <c r="AI351" i="2"/>
  <c r="AI374" i="2"/>
  <c r="AI364" i="2"/>
  <c r="AJ438" i="2"/>
  <c r="AK438" i="2" s="1"/>
  <c r="AM438" i="2" s="1"/>
  <c r="AH438" i="2" s="1"/>
  <c r="AI318" i="2"/>
  <c r="AI90" i="2"/>
  <c r="AJ40" i="2"/>
  <c r="AK40" i="2" s="1"/>
  <c r="AM40" i="2" s="1"/>
  <c r="AJ337" i="2"/>
  <c r="AK337" i="2" s="1"/>
  <c r="AM337" i="2" s="1"/>
  <c r="AH337" i="2" s="1"/>
  <c r="AI223" i="2"/>
  <c r="AI95" i="2"/>
  <c r="AJ239" i="2"/>
  <c r="AK239" i="2" s="1"/>
  <c r="AM239" i="2" s="1"/>
  <c r="AH239" i="2" s="1"/>
  <c r="AJ448" i="2"/>
  <c r="AK448" i="2" s="1"/>
  <c r="AM448" i="2" s="1"/>
  <c r="AH448" i="2" s="1"/>
  <c r="AI274" i="2"/>
  <c r="AJ320" i="2"/>
  <c r="AK320" i="2" s="1"/>
  <c r="AM320" i="2" s="1"/>
  <c r="AH320" i="2" s="1"/>
  <c r="AI226" i="2"/>
  <c r="AI279" i="2"/>
  <c r="AI277" i="2"/>
  <c r="AJ65" i="2"/>
  <c r="AK65" i="2" s="1"/>
  <c r="AM65" i="2" s="1"/>
  <c r="AH65" i="2" s="1"/>
  <c r="AJ94" i="2"/>
  <c r="AK94" i="2" s="1"/>
  <c r="AM94" i="2" s="1"/>
  <c r="AH94" i="2" s="1"/>
  <c r="AJ297" i="2"/>
  <c r="AK297" i="2" s="1"/>
  <c r="AM297" i="2" s="1"/>
  <c r="AH297" i="2" s="1"/>
  <c r="AJ70" i="2"/>
  <c r="AK70" i="2" s="1"/>
  <c r="AM70" i="2" s="1"/>
  <c r="AH70" i="2" s="1"/>
  <c r="AI41" i="2"/>
  <c r="AI174" i="2"/>
  <c r="AJ170" i="2"/>
  <c r="AK170" i="2" s="1"/>
  <c r="AM170" i="2" s="1"/>
  <c r="AH170" i="2" s="1"/>
  <c r="AI156" i="2"/>
  <c r="AI436" i="2"/>
  <c r="AI316" i="2"/>
  <c r="AJ137" i="2"/>
  <c r="AK137" i="2" s="1"/>
  <c r="AM137" i="2" s="1"/>
  <c r="AH137" i="2" s="1"/>
  <c r="AJ224" i="2"/>
  <c r="AK224" i="2" s="1"/>
  <c r="AM224" i="2" s="1"/>
  <c r="AH224" i="2" s="1"/>
  <c r="AI306" i="2"/>
  <c r="AJ57" i="2"/>
  <c r="AK57" i="2" s="1"/>
  <c r="AM57" i="2" s="1"/>
  <c r="AH57" i="2" s="1"/>
  <c r="AI23" i="2"/>
  <c r="AJ22" i="2"/>
  <c r="AK22" i="2" s="1"/>
  <c r="AM22" i="2" s="1"/>
  <c r="AJ192" i="2"/>
  <c r="AK192" i="2" s="1"/>
  <c r="AM192" i="2" s="1"/>
  <c r="AH192" i="2" s="1"/>
  <c r="AI189" i="2"/>
  <c r="AJ104" i="2"/>
  <c r="AK104" i="2" s="1"/>
  <c r="AM104" i="2" s="1"/>
  <c r="AH104" i="2" s="1"/>
  <c r="AJ238" i="2"/>
  <c r="AK238" i="2" s="1"/>
  <c r="AM238" i="2" s="1"/>
  <c r="AH238" i="2" s="1"/>
  <c r="AI409" i="2"/>
  <c r="AJ74" i="2"/>
  <c r="AK74" i="2" s="1"/>
  <c r="AM74" i="2" s="1"/>
  <c r="AH74" i="2" s="1"/>
  <c r="AI298" i="2"/>
  <c r="AI33" i="2"/>
  <c r="AJ125" i="2"/>
  <c r="AK125" i="2" s="1"/>
  <c r="AM125" i="2" s="1"/>
  <c r="AH125" i="2" s="1"/>
  <c r="AI42" i="2"/>
  <c r="AJ77" i="2"/>
  <c r="AK77" i="2" s="1"/>
  <c r="AM77" i="2" s="1"/>
  <c r="AH77" i="2" s="1"/>
  <c r="AI249" i="2"/>
  <c r="AI430" i="2"/>
  <c r="AI205" i="2"/>
  <c r="AJ72" i="2"/>
  <c r="AK72" i="2" s="1"/>
  <c r="AM72" i="2" s="1"/>
  <c r="AH72" i="2" s="1"/>
  <c r="AI53" i="2"/>
  <c r="AI135" i="2"/>
  <c r="AI347" i="2"/>
  <c r="AJ410" i="2"/>
  <c r="AK410" i="2" s="1"/>
  <c r="AM410" i="2" s="1"/>
  <c r="AH410" i="2" s="1"/>
  <c r="AI297" i="2"/>
  <c r="AI184" i="2"/>
  <c r="AI403" i="2"/>
  <c r="AJ45" i="2"/>
  <c r="AK45" i="2" s="1"/>
  <c r="AM45" i="2" s="1"/>
  <c r="AJ303" i="2"/>
  <c r="AK303" i="2" s="1"/>
  <c r="AM303" i="2" s="1"/>
  <c r="AH303" i="2" s="1"/>
  <c r="AJ130" i="2"/>
  <c r="AK130" i="2" s="1"/>
  <c r="AM130" i="2" s="1"/>
  <c r="AH130" i="2" s="1"/>
  <c r="AJ291" i="2"/>
  <c r="AK291" i="2" s="1"/>
  <c r="AM291" i="2" s="1"/>
  <c r="AH291" i="2" s="1"/>
  <c r="AJ405" i="2"/>
  <c r="AK405" i="2" s="1"/>
  <c r="AM405" i="2" s="1"/>
  <c r="AH405" i="2" s="1"/>
  <c r="AJ220" i="2"/>
  <c r="AK220" i="2" s="1"/>
  <c r="AM220" i="2" s="1"/>
  <c r="AH220" i="2" s="1"/>
  <c r="AI93" i="2"/>
  <c r="AI272" i="2"/>
  <c r="AJ82" i="2"/>
  <c r="AK82" i="2" s="1"/>
  <c r="AM82" i="2" s="1"/>
  <c r="AH82" i="2" s="1"/>
  <c r="AI254" i="2"/>
  <c r="AJ308" i="2"/>
  <c r="AK308" i="2" s="1"/>
  <c r="AM308" i="2" s="1"/>
  <c r="AH308" i="2" s="1"/>
  <c r="AJ413" i="2"/>
  <c r="AK413" i="2" s="1"/>
  <c r="AM413" i="2" s="1"/>
  <c r="AH413" i="2" s="1"/>
  <c r="AJ256" i="2"/>
  <c r="AK256" i="2" s="1"/>
  <c r="AM256" i="2" s="1"/>
  <c r="AH256" i="2" s="1"/>
  <c r="AI212" i="2"/>
  <c r="AJ391" i="2"/>
  <c r="AK391" i="2" s="1"/>
  <c r="AM391" i="2" s="1"/>
  <c r="AH391" i="2" s="1"/>
  <c r="AJ209" i="2"/>
  <c r="AK209" i="2" s="1"/>
  <c r="AM209" i="2" s="1"/>
  <c r="AH209" i="2" s="1"/>
  <c r="AJ116" i="2"/>
  <c r="AK116" i="2" s="1"/>
  <c r="AM116" i="2" s="1"/>
  <c r="AH116" i="2" s="1"/>
  <c r="AJ369" i="2"/>
  <c r="AK369" i="2" s="1"/>
  <c r="AM369" i="2" s="1"/>
  <c r="AH369" i="2" s="1"/>
  <c r="AI17" i="2"/>
  <c r="AI359" i="2"/>
  <c r="AI239" i="2"/>
  <c r="AI240" i="2"/>
  <c r="AI356" i="2"/>
  <c r="AJ214" i="2"/>
  <c r="AK214" i="2" s="1"/>
  <c r="AM214" i="2" s="1"/>
  <c r="AH214" i="2" s="1"/>
  <c r="AI139" i="2"/>
  <c r="AI340" i="2"/>
  <c r="AJ356" i="2"/>
  <c r="AK356" i="2" s="1"/>
  <c r="AM356" i="2" s="1"/>
  <c r="AH356" i="2" s="1"/>
  <c r="AI431" i="2"/>
  <c r="AJ120" i="2"/>
  <c r="AK120" i="2" s="1"/>
  <c r="AM120" i="2" s="1"/>
  <c r="AH120" i="2" s="1"/>
  <c r="AJ32" i="2"/>
  <c r="AK32" i="2" s="1"/>
  <c r="AM32" i="2" s="1"/>
  <c r="AI220" i="2"/>
  <c r="AJ286" i="2"/>
  <c r="AK286" i="2" s="1"/>
  <c r="AM286" i="2" s="1"/>
  <c r="AH286" i="2" s="1"/>
  <c r="AJ95" i="2"/>
  <c r="AK95" i="2" s="1"/>
  <c r="AM95" i="2" s="1"/>
  <c r="AH95" i="2" s="1"/>
  <c r="AI336" i="2"/>
  <c r="AJ131" i="2"/>
  <c r="AK131" i="2" s="1"/>
  <c r="AM131" i="2" s="1"/>
  <c r="AH131" i="2" s="1"/>
  <c r="AI192" i="2"/>
  <c r="AJ103" i="2"/>
  <c r="AK103" i="2" s="1"/>
  <c r="AM103" i="2" s="1"/>
  <c r="AH103" i="2" s="1"/>
  <c r="AJ142" i="2"/>
  <c r="AK142" i="2" s="1"/>
  <c r="AM142" i="2" s="1"/>
  <c r="AH142" i="2" s="1"/>
  <c r="AI188" i="2"/>
  <c r="AJ423" i="2"/>
  <c r="AK423" i="2" s="1"/>
  <c r="AM423" i="2" s="1"/>
  <c r="AH423" i="2" s="1"/>
  <c r="AI197" i="2"/>
  <c r="AI253" i="2"/>
  <c r="AJ416" i="2"/>
  <c r="AK416" i="2" s="1"/>
  <c r="AM416" i="2" s="1"/>
  <c r="AH416" i="2" s="1"/>
  <c r="AJ56" i="2"/>
  <c r="AK56" i="2" s="1"/>
  <c r="AM56" i="2" s="1"/>
  <c r="AH56" i="2" s="1"/>
  <c r="AI247" i="2"/>
  <c r="AI339" i="2"/>
  <c r="AJ254" i="2"/>
  <c r="AK254" i="2" s="1"/>
  <c r="AM254" i="2" s="1"/>
  <c r="AH254" i="2" s="1"/>
  <c r="AJ159" i="2"/>
  <c r="AK159" i="2" s="1"/>
  <c r="AM159" i="2" s="1"/>
  <c r="AH159" i="2" s="1"/>
  <c r="AJ246" i="2"/>
  <c r="AK246" i="2" s="1"/>
  <c r="AM246" i="2" s="1"/>
  <c r="AH246" i="2" s="1"/>
  <c r="AI267" i="2"/>
  <c r="AI136" i="2"/>
  <c r="AI218" i="2"/>
  <c r="AJ38" i="2"/>
  <c r="AK38" i="2" s="1"/>
  <c r="AM38" i="2" s="1"/>
  <c r="AI126" i="2"/>
  <c r="AI235" i="2"/>
  <c r="AJ39" i="2"/>
  <c r="AK39" i="2" s="1"/>
  <c r="AM39" i="2" s="1"/>
  <c r="AI398" i="2"/>
  <c r="AI122" i="2"/>
  <c r="AJ196" i="2"/>
  <c r="AK196" i="2" s="1"/>
  <c r="AM196" i="2" s="1"/>
  <c r="AH196" i="2" s="1"/>
  <c r="AI349" i="2"/>
  <c r="AI125" i="2"/>
  <c r="AJ236" i="2"/>
  <c r="AK236" i="2" s="1"/>
  <c r="AM236" i="2" s="1"/>
  <c r="AH236" i="2" s="1"/>
  <c r="AI290" i="2"/>
  <c r="AJ276" i="2"/>
  <c r="AK276" i="2" s="1"/>
  <c r="AM276" i="2" s="1"/>
  <c r="AH276" i="2" s="1"/>
  <c r="AJ395" i="2"/>
  <c r="AK395" i="2" s="1"/>
  <c r="AM395" i="2" s="1"/>
  <c r="AH395" i="2" s="1"/>
  <c r="AJ385" i="2"/>
  <c r="AK385" i="2" s="1"/>
  <c r="AM385" i="2" s="1"/>
  <c r="AH385" i="2" s="1"/>
  <c r="AJ292" i="2"/>
  <c r="AK292" i="2" s="1"/>
  <c r="AM292" i="2" s="1"/>
  <c r="AH292" i="2" s="1"/>
  <c r="AJ368" i="2"/>
  <c r="AK368" i="2" s="1"/>
  <c r="AM368" i="2" s="1"/>
  <c r="AH368" i="2" s="1"/>
  <c r="AI82" i="2"/>
  <c r="AI178" i="2"/>
  <c r="AJ199" i="2"/>
  <c r="AK199" i="2" s="1"/>
  <c r="AM199" i="2" s="1"/>
  <c r="AH199" i="2" s="1"/>
  <c r="AI44" i="2"/>
  <c r="AI134" i="2"/>
  <c r="AJ240" i="2"/>
  <c r="AK240" i="2" s="1"/>
  <c r="AM240" i="2" s="1"/>
  <c r="AH240" i="2" s="1"/>
  <c r="AJ188" i="2"/>
  <c r="AK188" i="2" s="1"/>
  <c r="AM188" i="2" s="1"/>
  <c r="AH188" i="2" s="1"/>
  <c r="AJ208" i="2"/>
  <c r="AK208" i="2" s="1"/>
  <c r="AM208" i="2" s="1"/>
  <c r="AH208" i="2" s="1"/>
  <c r="AJ134" i="2"/>
  <c r="AK134" i="2" s="1"/>
  <c r="AM134" i="2" s="1"/>
  <c r="AH134" i="2" s="1"/>
  <c r="AI79" i="2"/>
  <c r="AI225" i="2"/>
  <c r="AI329" i="2"/>
  <c r="AJ298" i="2"/>
  <c r="AK298" i="2" s="1"/>
  <c r="AM298" i="2" s="1"/>
  <c r="AH298" i="2" s="1"/>
  <c r="AI324" i="2"/>
  <c r="AJ200" i="2"/>
  <c r="AK200" i="2" s="1"/>
  <c r="AM200" i="2" s="1"/>
  <c r="AH200" i="2" s="1"/>
  <c r="AJ166" i="2"/>
  <c r="AK166" i="2" s="1"/>
  <c r="AM166" i="2" s="1"/>
  <c r="AH166" i="2" s="1"/>
  <c r="AI43" i="2"/>
  <c r="AI449" i="2"/>
  <c r="AI420" i="2"/>
  <c r="AJ232" i="2"/>
  <c r="AK232" i="2" s="1"/>
  <c r="AM232" i="2" s="1"/>
  <c r="AH232" i="2" s="1"/>
  <c r="AJ154" i="2"/>
  <c r="AK154" i="2" s="1"/>
  <c r="AM154" i="2" s="1"/>
  <c r="AH154" i="2" s="1"/>
  <c r="AI353" i="2"/>
  <c r="AI450" i="2"/>
  <c r="AI237" i="2"/>
  <c r="AJ128" i="2"/>
  <c r="AK128" i="2" s="1"/>
  <c r="AM128" i="2" s="1"/>
  <c r="AH128" i="2" s="1"/>
  <c r="AI265" i="2"/>
  <c r="AJ175" i="2"/>
  <c r="AK175" i="2" s="1"/>
  <c r="AM175" i="2" s="1"/>
  <c r="AH175" i="2" s="1"/>
  <c r="AI376" i="2"/>
  <c r="AJ139" i="2"/>
  <c r="AK139" i="2" s="1"/>
  <c r="AM139" i="2" s="1"/>
  <c r="AH139" i="2" s="1"/>
  <c r="AI138" i="2"/>
  <c r="AJ226" i="2"/>
  <c r="AK226" i="2" s="1"/>
  <c r="AM226" i="2" s="1"/>
  <c r="AH226" i="2" s="1"/>
  <c r="AJ293" i="2"/>
  <c r="AK293" i="2" s="1"/>
  <c r="AM293" i="2" s="1"/>
  <c r="AH293" i="2" s="1"/>
  <c r="AJ129" i="2"/>
  <c r="AK129" i="2" s="1"/>
  <c r="AM129" i="2" s="1"/>
  <c r="AH129" i="2" s="1"/>
  <c r="AJ350" i="2"/>
  <c r="AK350" i="2" s="1"/>
  <c r="AM350" i="2" s="1"/>
  <c r="AH350" i="2" s="1"/>
  <c r="AI120" i="2"/>
  <c r="AI46" i="2"/>
  <c r="AI366" i="2"/>
  <c r="AI323" i="2"/>
  <c r="AI36" i="2"/>
  <c r="AJ311" i="2"/>
  <c r="AK311" i="2" s="1"/>
  <c r="AM311" i="2" s="1"/>
  <c r="AH311" i="2" s="1"/>
  <c r="AJ123" i="2"/>
  <c r="AK123" i="2" s="1"/>
  <c r="AM123" i="2" s="1"/>
  <c r="AH123" i="2" s="1"/>
  <c r="AI301" i="2"/>
  <c r="AJ126" i="2"/>
  <c r="AK126" i="2" s="1"/>
  <c r="AM126" i="2" s="1"/>
  <c r="AH126" i="2" s="1"/>
  <c r="AI159" i="2"/>
  <c r="AI162" i="2"/>
  <c r="AJ244" i="2"/>
  <c r="AK244" i="2" s="1"/>
  <c r="AM244" i="2" s="1"/>
  <c r="AH244" i="2" s="1"/>
  <c r="AI260" i="2"/>
  <c r="AJ67" i="2"/>
  <c r="AK67" i="2" s="1"/>
  <c r="AM67" i="2" s="1"/>
  <c r="AH67" i="2" s="1"/>
  <c r="AI307" i="2"/>
  <c r="AI424" i="2"/>
  <c r="AI382" i="2"/>
  <c r="AJ262" i="2"/>
  <c r="AK262" i="2" s="1"/>
  <c r="AM262" i="2" s="1"/>
  <c r="AH262" i="2" s="1"/>
  <c r="AI206" i="2"/>
  <c r="AJ420" i="2"/>
  <c r="AK420" i="2" s="1"/>
  <c r="AM420" i="2" s="1"/>
  <c r="AH420" i="2" s="1"/>
  <c r="AI98" i="2"/>
  <c r="AI219" i="2"/>
  <c r="AJ78" i="2"/>
  <c r="AK78" i="2" s="1"/>
  <c r="AM78" i="2" s="1"/>
  <c r="AH78" i="2" s="1"/>
  <c r="AJ334" i="2"/>
  <c r="AK334" i="2" s="1"/>
  <c r="AM334" i="2" s="1"/>
  <c r="AH334" i="2" s="1"/>
  <c r="AI35" i="2"/>
  <c r="AJ433" i="2"/>
  <c r="AK433" i="2" s="1"/>
  <c r="AM433" i="2" s="1"/>
  <c r="AH433" i="2" s="1"/>
  <c r="AJ379" i="2"/>
  <c r="AK379" i="2" s="1"/>
  <c r="AM379" i="2" s="1"/>
  <c r="AH379" i="2" s="1"/>
  <c r="AJ440" i="2"/>
  <c r="AK440" i="2" s="1"/>
  <c r="AM440" i="2" s="1"/>
  <c r="AH440" i="2" s="1"/>
  <c r="AJ326" i="2"/>
  <c r="AK326" i="2" s="1"/>
  <c r="AM326" i="2" s="1"/>
  <c r="AH326" i="2" s="1"/>
  <c r="AJ252" i="2"/>
  <c r="AK252" i="2" s="1"/>
  <c r="AM252" i="2" s="1"/>
  <c r="AH252" i="2" s="1"/>
  <c r="AI236" i="2"/>
  <c r="AJ432" i="2"/>
  <c r="AK432" i="2" s="1"/>
  <c r="AM432" i="2" s="1"/>
  <c r="AH432" i="2" s="1"/>
  <c r="AI401" i="2"/>
  <c r="AJ155" i="2"/>
  <c r="AK155" i="2" s="1"/>
  <c r="AM155" i="2" s="1"/>
  <c r="AH155" i="2" s="1"/>
  <c r="AJ363" i="2"/>
  <c r="AK363" i="2" s="1"/>
  <c r="AM363" i="2" s="1"/>
  <c r="AH363" i="2" s="1"/>
  <c r="AI441" i="2"/>
  <c r="AJ180" i="2"/>
  <c r="AK180" i="2" s="1"/>
  <c r="AM180" i="2" s="1"/>
  <c r="AH180" i="2" s="1"/>
  <c r="AI361" i="2"/>
  <c r="AJ446" i="2"/>
  <c r="AK446" i="2" s="1"/>
  <c r="AM446" i="2" s="1"/>
  <c r="AH446" i="2" s="1"/>
  <c r="AI371" i="2"/>
  <c r="AI145" i="2"/>
  <c r="AI378" i="2"/>
  <c r="AJ158" i="2"/>
  <c r="AK158" i="2" s="1"/>
  <c r="AM158" i="2" s="1"/>
  <c r="AH158" i="2" s="1"/>
  <c r="AJ21" i="2"/>
  <c r="AK21" i="2" s="1"/>
  <c r="AM21" i="2" s="1"/>
  <c r="AI85" i="2"/>
  <c r="AI439" i="2"/>
  <c r="AI319" i="2"/>
  <c r="AI157" i="2"/>
  <c r="AI155" i="2"/>
  <c r="AI390" i="2"/>
  <c r="AI362" i="2"/>
  <c r="AJ281" i="2"/>
  <c r="AK281" i="2" s="1"/>
  <c r="AM281" i="2" s="1"/>
  <c r="AH281" i="2" s="1"/>
  <c r="AJ171" i="2"/>
  <c r="AK171" i="2" s="1"/>
  <c r="AM171" i="2" s="1"/>
  <c r="AH171" i="2" s="1"/>
  <c r="AJ430" i="2"/>
  <c r="AK430" i="2" s="1"/>
  <c r="AM430" i="2" s="1"/>
  <c r="AH430" i="2" s="1"/>
  <c r="AJ36" i="2"/>
  <c r="AK36" i="2" s="1"/>
  <c r="AM36" i="2" s="1"/>
  <c r="AI381" i="2"/>
  <c r="AI56" i="2"/>
  <c r="AJ150" i="2"/>
  <c r="AK150" i="2" s="1"/>
  <c r="AM150" i="2" s="1"/>
  <c r="AH150" i="2" s="1"/>
  <c r="AJ372" i="2"/>
  <c r="AK372" i="2" s="1"/>
  <c r="AM372" i="2" s="1"/>
  <c r="AH372" i="2" s="1"/>
  <c r="AJ309" i="2"/>
  <c r="AK309" i="2" s="1"/>
  <c r="AM309" i="2" s="1"/>
  <c r="AH309" i="2" s="1"/>
  <c r="AJ194" i="2"/>
  <c r="AK194" i="2" s="1"/>
  <c r="AM194" i="2" s="1"/>
  <c r="AH194" i="2" s="1"/>
  <c r="AJ294" i="2"/>
  <c r="AK294" i="2" s="1"/>
  <c r="AM294" i="2" s="1"/>
  <c r="AH294" i="2" s="1"/>
  <c r="AI52" i="2"/>
  <c r="AI25" i="2"/>
  <c r="AI396" i="2"/>
  <c r="AI404" i="2"/>
  <c r="AJ357" i="2"/>
  <c r="AK357" i="2" s="1"/>
  <c r="AM357" i="2" s="1"/>
  <c r="AH357" i="2" s="1"/>
  <c r="AI275" i="2"/>
  <c r="AI28" i="2"/>
  <c r="AI172" i="2"/>
  <c r="AI446" i="2"/>
  <c r="AJ295" i="2"/>
  <c r="AK295" i="2" s="1"/>
  <c r="AM295" i="2" s="1"/>
  <c r="AH295" i="2" s="1"/>
  <c r="AJ191" i="2"/>
  <c r="AK191" i="2" s="1"/>
  <c r="AM191" i="2" s="1"/>
  <c r="AH191" i="2" s="1"/>
  <c r="AI202" i="2"/>
  <c r="AJ348" i="2"/>
  <c r="AK348" i="2" s="1"/>
  <c r="AM348" i="2" s="1"/>
  <c r="AH348" i="2" s="1"/>
  <c r="AJ439" i="2"/>
  <c r="AK439" i="2" s="1"/>
  <c r="AM439" i="2" s="1"/>
  <c r="AH439" i="2" s="1"/>
  <c r="AJ284" i="2"/>
  <c r="AK284" i="2" s="1"/>
  <c r="AM284" i="2" s="1"/>
  <c r="AH284" i="2" s="1"/>
  <c r="AI369" i="2"/>
  <c r="AI51" i="2"/>
  <c r="AJ380" i="2"/>
  <c r="AK380" i="2" s="1"/>
  <c r="AM380" i="2" s="1"/>
  <c r="AH380" i="2" s="1"/>
  <c r="AI418" i="2"/>
  <c r="AJ161" i="2"/>
  <c r="AK161" i="2" s="1"/>
  <c r="AM161" i="2" s="1"/>
  <c r="AH161" i="2" s="1"/>
  <c r="AJ374" i="2"/>
  <c r="AK374" i="2" s="1"/>
  <c r="AM374" i="2" s="1"/>
  <c r="AH374" i="2" s="1"/>
  <c r="AJ287" i="2"/>
  <c r="AK287" i="2" s="1"/>
  <c r="AM287" i="2" s="1"/>
  <c r="AH287" i="2" s="1"/>
  <c r="AJ46" i="2"/>
  <c r="AK46" i="2" s="1"/>
  <c r="AM46" i="2" s="1"/>
  <c r="AJ318" i="2"/>
  <c r="AK318" i="2" s="1"/>
  <c r="AM318" i="2" s="1"/>
  <c r="AH318" i="2" s="1"/>
  <c r="AJ100" i="2"/>
  <c r="AK100" i="2" s="1"/>
  <c r="AM100" i="2" s="1"/>
  <c r="AH100" i="2" s="1"/>
  <c r="AI248" i="2"/>
  <c r="AJ403" i="2"/>
  <c r="AK403" i="2" s="1"/>
  <c r="AM403" i="2" s="1"/>
  <c r="AH403" i="2" s="1"/>
  <c r="AI258" i="2"/>
  <c r="AI229" i="2"/>
  <c r="AJ336" i="2"/>
  <c r="AK336" i="2" s="1"/>
  <c r="AM336" i="2" s="1"/>
  <c r="AH336" i="2" s="1"/>
  <c r="AI284" i="2"/>
  <c r="AI270" i="2"/>
  <c r="AI131" i="2"/>
  <c r="AJ399" i="2"/>
  <c r="AK399" i="2" s="1"/>
  <c r="AM399" i="2" s="1"/>
  <c r="AH399" i="2" s="1"/>
  <c r="AI447" i="2"/>
  <c r="AJ174" i="2"/>
  <c r="AK174" i="2" s="1"/>
  <c r="AM174" i="2" s="1"/>
  <c r="AH174" i="2" s="1"/>
  <c r="AJ341" i="2"/>
  <c r="AK341" i="2" s="1"/>
  <c r="AM341" i="2" s="1"/>
  <c r="AH341" i="2" s="1"/>
  <c r="AI183" i="2"/>
  <c r="AI416" i="2"/>
  <c r="AJ184" i="2"/>
  <c r="AK184" i="2" s="1"/>
  <c r="AM184" i="2" s="1"/>
  <c r="AH184" i="2" s="1"/>
  <c r="AI22" i="2"/>
  <c r="AJ75" i="2"/>
  <c r="AK75" i="2" s="1"/>
  <c r="AM75" i="2" s="1"/>
  <c r="AH75" i="2" s="1"/>
  <c r="AJ437" i="2"/>
  <c r="AK437" i="2" s="1"/>
  <c r="AM437" i="2" s="1"/>
  <c r="AH437" i="2" s="1"/>
  <c r="AJ396" i="2"/>
  <c r="AK396" i="2" s="1"/>
  <c r="AM396" i="2" s="1"/>
  <c r="AH396" i="2" s="1"/>
  <c r="AI190" i="2"/>
  <c r="AJ376" i="2"/>
  <c r="AK376" i="2" s="1"/>
  <c r="AM376" i="2" s="1"/>
  <c r="AH376" i="2" s="1"/>
  <c r="AI61" i="2"/>
  <c r="AI105" i="2"/>
  <c r="AJ360" i="2"/>
  <c r="AK360" i="2" s="1"/>
  <c r="AM360" i="2" s="1"/>
  <c r="AH360" i="2" s="1"/>
  <c r="AI113" i="2"/>
  <c r="AJ434" i="2"/>
  <c r="AK434" i="2" s="1"/>
  <c r="AM434" i="2" s="1"/>
  <c r="AH434" i="2" s="1"/>
  <c r="AJ289" i="2"/>
  <c r="AK289" i="2" s="1"/>
  <c r="AM289" i="2" s="1"/>
  <c r="AH289" i="2" s="1"/>
  <c r="AJ164" i="2"/>
  <c r="AK164" i="2" s="1"/>
  <c r="AM164" i="2" s="1"/>
  <c r="AH164" i="2" s="1"/>
  <c r="AJ80" i="2"/>
  <c r="AK80" i="2" s="1"/>
  <c r="AM80" i="2" s="1"/>
  <c r="AH80" i="2" s="1"/>
  <c r="AJ435" i="2"/>
  <c r="AK435" i="2" s="1"/>
  <c r="AM435" i="2" s="1"/>
  <c r="AH435" i="2" s="1"/>
  <c r="AI16" i="2"/>
  <c r="AJ12" i="2"/>
  <c r="AK12" i="2" s="1"/>
  <c r="AM12" i="2" s="1"/>
  <c r="AJ11" i="2"/>
  <c r="AK11" i="2" s="1"/>
  <c r="AM11" i="2" s="1"/>
  <c r="AI14" i="2"/>
  <c r="AI11" i="2"/>
  <c r="AI12" i="2"/>
  <c r="AI13" i="2"/>
  <c r="AJ10" i="2"/>
  <c r="AK10" i="2" s="1"/>
  <c r="AM10" i="2" s="1"/>
  <c r="AI338" i="2"/>
  <c r="AI160" i="2"/>
  <c r="AI261" i="2"/>
  <c r="AJ112" i="2"/>
  <c r="AK112" i="2" s="1"/>
  <c r="AM112" i="2" s="1"/>
  <c r="AH112" i="2" s="1"/>
  <c r="AI410" i="2"/>
  <c r="AI148" i="2"/>
  <c r="AI432" i="2"/>
  <c r="AJ421" i="2"/>
  <c r="AK421" i="2" s="1"/>
  <c r="AM421" i="2" s="1"/>
  <c r="AH421" i="2" s="1"/>
  <c r="AI445" i="2"/>
  <c r="AJ178" i="2"/>
  <c r="AK178" i="2" s="1"/>
  <c r="AM178" i="2" s="1"/>
  <c r="AH178" i="2" s="1"/>
  <c r="AJ264" i="2"/>
  <c r="AK264" i="2" s="1"/>
  <c r="AM264" i="2" s="1"/>
  <c r="AH264" i="2" s="1"/>
  <c r="AI123" i="2"/>
  <c r="AJ86" i="2"/>
  <c r="AK86" i="2" s="1"/>
  <c r="AM86" i="2" s="1"/>
  <c r="AH86" i="2" s="1"/>
  <c r="AJ163" i="2"/>
  <c r="AK163" i="2" s="1"/>
  <c r="AM163" i="2" s="1"/>
  <c r="AH163" i="2" s="1"/>
  <c r="AJ278" i="2"/>
  <c r="AK278" i="2" s="1"/>
  <c r="AM278" i="2" s="1"/>
  <c r="AH278" i="2" s="1"/>
  <c r="AJ322" i="2"/>
  <c r="AK322" i="2" s="1"/>
  <c r="AM322" i="2" s="1"/>
  <c r="AH322" i="2" s="1"/>
  <c r="AI322" i="2"/>
  <c r="AJ304" i="2"/>
  <c r="AK304" i="2" s="1"/>
  <c r="AM304" i="2" s="1"/>
  <c r="AH304" i="2" s="1"/>
  <c r="AJ122" i="2"/>
  <c r="AK122" i="2" s="1"/>
  <c r="AM122" i="2" s="1"/>
  <c r="AH122" i="2" s="1"/>
  <c r="AI15" i="2"/>
  <c r="AZ19" i="1"/>
  <c r="U242" i="3"/>
  <c r="U241" i="3"/>
  <c r="U48" i="3"/>
  <c r="U243" i="3"/>
  <c r="AF242" i="3" l="1"/>
  <c r="AF48" i="3"/>
  <c r="AF243" i="3"/>
  <c r="AJ26" i="2" s="1"/>
  <c r="AK26" i="2" s="1"/>
  <c r="AM26" i="2" s="1"/>
  <c r="AA8" i="1"/>
  <c r="L74" i="1"/>
  <c r="AF241" i="3"/>
  <c r="AJ25" i="2" s="1"/>
  <c r="AK25" i="2" s="1"/>
  <c r="AM25" i="2" s="1"/>
  <c r="AJ13" i="2" l="1"/>
  <c r="AK13" i="2" s="1"/>
  <c r="AM13" i="2" s="1"/>
  <c r="AJ8" i="2"/>
  <c r="AK8" i="2" s="1"/>
  <c r="AM8" i="2" s="1"/>
  <c r="AJ18" i="2"/>
  <c r="AK18" i="2" s="1"/>
  <c r="AM18" i="2" s="1"/>
  <c r="AJ9" i="2"/>
  <c r="AK9" i="2" s="1"/>
  <c r="AM9" i="2" s="1"/>
  <c r="AJ16" i="2"/>
  <c r="AK16" i="2" s="1"/>
  <c r="AM16" i="2" s="1"/>
  <c r="AJ17" i="2"/>
  <c r="AK17" i="2" s="1"/>
  <c r="AM17" i="2" s="1"/>
  <c r="AJ14" i="2"/>
  <c r="AK14" i="2" s="1"/>
  <c r="AM14" i="2" s="1"/>
  <c r="AJ15" i="2"/>
  <c r="AK15" i="2" s="1"/>
  <c r="AM15" i="2" s="1"/>
  <c r="AY77" i="1"/>
  <c r="AY75" i="1"/>
  <c r="AH76" i="1"/>
  <c r="AY76" i="1"/>
  <c r="AH77" i="1"/>
  <c r="AH51" i="2" l="1"/>
  <c r="AH50" i="2"/>
  <c r="AH52" i="2"/>
  <c r="AH49" i="2"/>
  <c r="AH48" i="2"/>
  <c r="AH46" i="2"/>
  <c r="AH47" i="2"/>
  <c r="AH45" i="2"/>
  <c r="AH41" i="2"/>
  <c r="AH44" i="2"/>
  <c r="AH43" i="2"/>
  <c r="AH42" i="2"/>
  <c r="AH36" i="2"/>
  <c r="AH40" i="2"/>
  <c r="AH39" i="2"/>
  <c r="AH38" i="2"/>
  <c r="AH37" i="2"/>
  <c r="AH35" i="2"/>
  <c r="AH33" i="2"/>
  <c r="AH34" i="2"/>
  <c r="AH31" i="2"/>
  <c r="AH32" i="2"/>
  <c r="AH30" i="2"/>
  <c r="AH10" i="2"/>
  <c r="AH14" i="2"/>
  <c r="AH2" i="2"/>
  <c r="AH21" i="2"/>
  <c r="AH11" i="2"/>
  <c r="AH22" i="2"/>
  <c r="AH26" i="2"/>
  <c r="AH13" i="2"/>
  <c r="AH23" i="2"/>
  <c r="AH9" i="2"/>
  <c r="AH12" i="2"/>
  <c r="AH25" i="2"/>
  <c r="AH8" i="2"/>
  <c r="AH18" i="2"/>
  <c r="AH27" i="2"/>
  <c r="AH28" i="2"/>
  <c r="AH29" i="2"/>
  <c r="AH16" i="2"/>
  <c r="AH4" i="2"/>
  <c r="AH15" i="2"/>
  <c r="AH24" i="2"/>
  <c r="AH17" i="2"/>
  <c r="AH6" i="2"/>
  <c r="AH3" i="2"/>
  <c r="AH7" i="2"/>
  <c r="AH20" i="2"/>
  <c r="AH5" i="2"/>
  <c r="AH19" i="2"/>
  <c r="AN47" i="2" l="1"/>
  <c r="CB98" i="1" s="1"/>
  <c r="AN23" i="2"/>
  <c r="DO85" i="1" s="1"/>
  <c r="AN56" i="2"/>
  <c r="DO102" i="1" s="1"/>
  <c r="AN32" i="2"/>
  <c r="CB90" i="1" s="1"/>
  <c r="AN41" i="2"/>
  <c r="CB95" i="1" s="1"/>
  <c r="AN33" i="2"/>
  <c r="DO90" i="1" s="1"/>
  <c r="AN50" i="2"/>
  <c r="DO99" i="1" s="1"/>
  <c r="AN7" i="2"/>
  <c r="DO77" i="1" s="1"/>
  <c r="AN140" i="2"/>
  <c r="AO140" i="2" s="1"/>
  <c r="AN349" i="2"/>
  <c r="AO349" i="2" s="1"/>
  <c r="AN158" i="2"/>
  <c r="AO158" i="2" s="1"/>
  <c r="AN60" i="2"/>
  <c r="DO104" i="1" s="1"/>
  <c r="AN54" i="2"/>
  <c r="DO101" i="1" s="1"/>
  <c r="AN16" i="2"/>
  <c r="CB82" i="1" s="1"/>
  <c r="AN4" i="2"/>
  <c r="CB76" i="1" s="1"/>
  <c r="AN45" i="2"/>
  <c r="CB97" i="1" s="1"/>
  <c r="AN34" i="2"/>
  <c r="CB91" i="1" s="1"/>
  <c r="AN70" i="2"/>
  <c r="AO70" i="2" s="1"/>
  <c r="AN36" i="2"/>
  <c r="DO92" i="1" s="1"/>
  <c r="AN8" i="2"/>
  <c r="CB78" i="1" s="1"/>
  <c r="AN46" i="2"/>
  <c r="DO97" i="1" s="1"/>
  <c r="AN37" i="2"/>
  <c r="CB93" i="1" s="1"/>
  <c r="AN18" i="2"/>
  <c r="CB83" i="1" s="1"/>
  <c r="AN40" i="2"/>
  <c r="DO94" i="1" s="1"/>
  <c r="AN29" i="2"/>
  <c r="DO88" i="1" s="1"/>
  <c r="AN49" i="2"/>
  <c r="CB99" i="1" s="1"/>
  <c r="AN48" i="2"/>
  <c r="DO98" i="1" s="1"/>
  <c r="AN55" i="2"/>
  <c r="CB102" i="1" s="1"/>
  <c r="AN44" i="2"/>
  <c r="DO96" i="1" s="1"/>
  <c r="AN3" i="2"/>
  <c r="DO75" i="1" s="1"/>
  <c r="AN14" i="2"/>
  <c r="CB81" i="1" s="1"/>
  <c r="AN12" i="2"/>
  <c r="CB80" i="1" s="1"/>
  <c r="AN21" i="2"/>
  <c r="DO84" i="1" s="1"/>
  <c r="AN104" i="2"/>
  <c r="AO104" i="2" s="1"/>
  <c r="AN374" i="2"/>
  <c r="AO374" i="2" s="1"/>
  <c r="AN415" i="2"/>
  <c r="AO415" i="2" s="1"/>
  <c r="AN386" i="2"/>
  <c r="AO386" i="2" s="1"/>
  <c r="AN81" i="2"/>
  <c r="AO81" i="2" s="1"/>
  <c r="AN84" i="2"/>
  <c r="AO84" i="2" s="1"/>
  <c r="AN257" i="2"/>
  <c r="AO257" i="2" s="1"/>
  <c r="AN311" i="2"/>
  <c r="AO311" i="2" s="1"/>
  <c r="AN428" i="2"/>
  <c r="AO428" i="2" s="1"/>
  <c r="AN343" i="2"/>
  <c r="AO343" i="2" s="1"/>
  <c r="AN190" i="2"/>
  <c r="AO190" i="2" s="1"/>
  <c r="AN401" i="2"/>
  <c r="AO401" i="2" s="1"/>
  <c r="AN161" i="2"/>
  <c r="AO161" i="2" s="1"/>
  <c r="AN245" i="2"/>
  <c r="AO245" i="2" s="1"/>
  <c r="AN218" i="2"/>
  <c r="AO218" i="2" s="1"/>
  <c r="AN212" i="2"/>
  <c r="AO212" i="2" s="1"/>
  <c r="AN351" i="2"/>
  <c r="AO351" i="2" s="1"/>
  <c r="AN282" i="2"/>
  <c r="AO282" i="2" s="1"/>
  <c r="AN253" i="2"/>
  <c r="AO253" i="2" s="1"/>
  <c r="AN121" i="2"/>
  <c r="AO121" i="2" s="1"/>
  <c r="AN451" i="2"/>
  <c r="AO451" i="2" s="1"/>
  <c r="AN170" i="2"/>
  <c r="AO170" i="2" s="1"/>
  <c r="AN238" i="2"/>
  <c r="AO238" i="2" s="1"/>
  <c r="AN51" i="2"/>
  <c r="CB100" i="1" s="1"/>
  <c r="AN35" i="2"/>
  <c r="DO91" i="1" s="1"/>
  <c r="AN10" i="2"/>
  <c r="CB79" i="1" s="1"/>
  <c r="AN25" i="2"/>
  <c r="DO86" i="1" s="1"/>
  <c r="AN42" i="2"/>
  <c r="DO95" i="1" s="1"/>
  <c r="AN13" i="2"/>
  <c r="DO80" i="1" s="1"/>
  <c r="AN26" i="2"/>
  <c r="CB87" i="1" s="1"/>
  <c r="AN30" i="2"/>
  <c r="CB89" i="1" s="1"/>
  <c r="AN15" i="2"/>
  <c r="DO81" i="1" s="1"/>
  <c r="AN9" i="2"/>
  <c r="DO78" i="1" s="1"/>
  <c r="AN52" i="2"/>
  <c r="DO100" i="1" s="1"/>
  <c r="AN11" i="2"/>
  <c r="DO79" i="1" s="1"/>
  <c r="AN39" i="2"/>
  <c r="CB94" i="1" s="1"/>
  <c r="AN43" i="2"/>
  <c r="CB96" i="1" s="1"/>
  <c r="AN6" i="2"/>
  <c r="CB77" i="1" s="1"/>
  <c r="AN28" i="2"/>
  <c r="CB88" i="1" s="1"/>
  <c r="AN58" i="2"/>
  <c r="DO103" i="1" s="1"/>
  <c r="AN17" i="2"/>
  <c r="DO82" i="1" s="1"/>
  <c r="AN20" i="2"/>
  <c r="CB84" i="1" s="1"/>
  <c r="AN31" i="2"/>
  <c r="DO89" i="1" s="1"/>
  <c r="AN19" i="2"/>
  <c r="DO83" i="1" s="1"/>
  <c r="AN53" i="2"/>
  <c r="CB101" i="1" s="1"/>
  <c r="AN5" i="2"/>
  <c r="DO76" i="1" s="1"/>
  <c r="AN27" i="2"/>
  <c r="DO87" i="1" s="1"/>
  <c r="AN22" i="2"/>
  <c r="CB85" i="1" s="1"/>
  <c r="AN59" i="2"/>
  <c r="CB104" i="1" s="1"/>
  <c r="AN38" i="2"/>
  <c r="DO93" i="1" s="1"/>
  <c r="AN276" i="2"/>
  <c r="AO276" i="2" s="1"/>
  <c r="AN126" i="2"/>
  <c r="AO126" i="2" s="1"/>
  <c r="AN336" i="2"/>
  <c r="AO336" i="2" s="1"/>
  <c r="AN24" i="2"/>
  <c r="CB86" i="1" s="1"/>
  <c r="AN112" i="2"/>
  <c r="AO112" i="2" s="1"/>
  <c r="AN132" i="2"/>
  <c r="AO132" i="2" s="1"/>
  <c r="AN184" i="2"/>
  <c r="AO184" i="2" s="1"/>
  <c r="AN105" i="2"/>
  <c r="AO105" i="2" s="1"/>
  <c r="AN302" i="2"/>
  <c r="AO302" i="2" s="1"/>
  <c r="AN135" i="2"/>
  <c r="AO135" i="2" s="1"/>
  <c r="AN404" i="2"/>
  <c r="AO404" i="2" s="1"/>
  <c r="AN99" i="2"/>
  <c r="AO99" i="2" s="1"/>
  <c r="AN72" i="2"/>
  <c r="AO72" i="2" s="1"/>
  <c r="AN114" i="2"/>
  <c r="AO114" i="2" s="1"/>
  <c r="AN109" i="2"/>
  <c r="AO109" i="2" s="1"/>
  <c r="AN265" i="2"/>
  <c r="AO265" i="2" s="1"/>
  <c r="AN274" i="2"/>
  <c r="AO274" i="2" s="1"/>
  <c r="AN92" i="2"/>
  <c r="AO92" i="2" s="1"/>
  <c r="AN437" i="2"/>
  <c r="AO437" i="2" s="1"/>
  <c r="AN275" i="2"/>
  <c r="AO275" i="2" s="1"/>
  <c r="AN296" i="2"/>
  <c r="AO296" i="2" s="1"/>
  <c r="AN221" i="2"/>
  <c r="AO221" i="2" s="1"/>
  <c r="AN323" i="2"/>
  <c r="AO323" i="2" s="1"/>
  <c r="AN71" i="2"/>
  <c r="AO71" i="2" s="1"/>
  <c r="AN241" i="2"/>
  <c r="AO241" i="2" s="1"/>
  <c r="AN357" i="2"/>
  <c r="AO357" i="2" s="1"/>
  <c r="AN111" i="2"/>
  <c r="AO111" i="2" s="1"/>
  <c r="AN292" i="2"/>
  <c r="AO292" i="2" s="1"/>
  <c r="AN261" i="2"/>
  <c r="AO261" i="2" s="1"/>
  <c r="AN186" i="2"/>
  <c r="AO186" i="2" s="1"/>
  <c r="AN63" i="2"/>
  <c r="AO63" i="2" s="1"/>
  <c r="AN148" i="2"/>
  <c r="AO148" i="2" s="1"/>
  <c r="AN225" i="2"/>
  <c r="AO225" i="2" s="1"/>
  <c r="AN308" i="2"/>
  <c r="AO308" i="2" s="1"/>
  <c r="AN378" i="2"/>
  <c r="AO378" i="2" s="1"/>
  <c r="AN304" i="2"/>
  <c r="AO304" i="2" s="1"/>
  <c r="AN397" i="2"/>
  <c r="AO397" i="2" s="1"/>
  <c r="AN144" i="2"/>
  <c r="AO144" i="2" s="1"/>
  <c r="AN57" i="2"/>
  <c r="CB103" i="1" s="1"/>
  <c r="AN281" i="2"/>
  <c r="AO281" i="2" s="1"/>
  <c r="AN202" i="2"/>
  <c r="AO202" i="2" s="1"/>
  <c r="AN291" i="2"/>
  <c r="AO291" i="2" s="1"/>
  <c r="AN303" i="2"/>
  <c r="AO303" i="2" s="1"/>
  <c r="AN117" i="2"/>
  <c r="AO117" i="2" s="1"/>
  <c r="AN418" i="2"/>
  <c r="AO418" i="2" s="1"/>
  <c r="AN169" i="2"/>
  <c r="AO169" i="2" s="1"/>
  <c r="AN79" i="2"/>
  <c r="AO79" i="2" s="1"/>
  <c r="AN133" i="2"/>
  <c r="AO133" i="2" s="1"/>
  <c r="AN77" i="2"/>
  <c r="AO77" i="2" s="1"/>
  <c r="AN438" i="2"/>
  <c r="AO438" i="2" s="1"/>
  <c r="AN236" i="2"/>
  <c r="AO236" i="2" s="1"/>
  <c r="AN255" i="2"/>
  <c r="AO255" i="2" s="1"/>
  <c r="AN328" i="2"/>
  <c r="AO328" i="2" s="1"/>
  <c r="AN288" i="2"/>
  <c r="AO288" i="2" s="1"/>
  <c r="AN123" i="2"/>
  <c r="AO123" i="2" s="1"/>
  <c r="AN172" i="2"/>
  <c r="AO172" i="2" s="1"/>
  <c r="AN345" i="2"/>
  <c r="AO345" i="2" s="1"/>
  <c r="AN300" i="2"/>
  <c r="AO300" i="2" s="1"/>
  <c r="AN295" i="2"/>
  <c r="AO295" i="2" s="1"/>
  <c r="AN73" i="2"/>
  <c r="AO73" i="2" s="1"/>
  <c r="AN145" i="2"/>
  <c r="AO145" i="2" s="1"/>
  <c r="AN412" i="2"/>
  <c r="AO412" i="2" s="1"/>
  <c r="AN445" i="2"/>
  <c r="AO445" i="2" s="1"/>
  <c r="AN96" i="2"/>
  <c r="AO96" i="2" s="1"/>
  <c r="AN142" i="2"/>
  <c r="AO142" i="2" s="1"/>
  <c r="AN367" i="2"/>
  <c r="AO367" i="2" s="1"/>
  <c r="AN195" i="2"/>
  <c r="AO195" i="2" s="1"/>
  <c r="AN252" i="2"/>
  <c r="AO252" i="2" s="1"/>
  <c r="AN285" i="2"/>
  <c r="AO285" i="2" s="1"/>
  <c r="AN214" i="2"/>
  <c r="AO214" i="2" s="1"/>
  <c r="AN402" i="2"/>
  <c r="AO402" i="2" s="1"/>
  <c r="AN64" i="2"/>
  <c r="AO64" i="2" s="1"/>
  <c r="AN370" i="2"/>
  <c r="AO370" i="2" s="1"/>
  <c r="AN220" i="2"/>
  <c r="AO220" i="2" s="1"/>
  <c r="AN62" i="2"/>
  <c r="AO62" i="2" s="1"/>
  <c r="AN189" i="2"/>
  <c r="AO189" i="2" s="1"/>
  <c r="AN246" i="2"/>
  <c r="AO246" i="2" s="1"/>
  <c r="AN376" i="2"/>
  <c r="AO376" i="2" s="1"/>
  <c r="AN102" i="2"/>
  <c r="AO102" i="2" s="1"/>
  <c r="AN385" i="2"/>
  <c r="AO385" i="2" s="1"/>
  <c r="AN272" i="2"/>
  <c r="AO272" i="2" s="1"/>
  <c r="AN416" i="2"/>
  <c r="AO416" i="2" s="1"/>
  <c r="AN382" i="2"/>
  <c r="AO382" i="2" s="1"/>
  <c r="AN90" i="2"/>
  <c r="AO90" i="2" s="1"/>
  <c r="AN360" i="2"/>
  <c r="AO360" i="2" s="1"/>
  <c r="AN286" i="2"/>
  <c r="AO286" i="2" s="1"/>
  <c r="AN86" i="2"/>
  <c r="AO86" i="2" s="1"/>
  <c r="AN159" i="2"/>
  <c r="AO159" i="2" s="1"/>
  <c r="AN239" i="2"/>
  <c r="AO239" i="2" s="1"/>
  <c r="AN242" i="2"/>
  <c r="AO242" i="2" s="1"/>
  <c r="AN103" i="2"/>
  <c r="AO103" i="2" s="1"/>
  <c r="AN196" i="2"/>
  <c r="AO196" i="2" s="1"/>
  <c r="AN228" i="2"/>
  <c r="AO228" i="2" s="1"/>
  <c r="AN320" i="2"/>
  <c r="AO320" i="2" s="1"/>
  <c r="AN74" i="2"/>
  <c r="AO74" i="2" s="1"/>
  <c r="AN284" i="2"/>
  <c r="AO284" i="2" s="1"/>
  <c r="AN337" i="2"/>
  <c r="AO337" i="2" s="1"/>
  <c r="AN83" i="2"/>
  <c r="AO83" i="2" s="1"/>
  <c r="AN179" i="2"/>
  <c r="AO179" i="2" s="1"/>
  <c r="AN260" i="2"/>
  <c r="AO260" i="2" s="1"/>
  <c r="AN87" i="2"/>
  <c r="AO87" i="2" s="1"/>
  <c r="AN294" i="2"/>
  <c r="AO294" i="2" s="1"/>
  <c r="AN405" i="2"/>
  <c r="AO405" i="2" s="1"/>
  <c r="AN227" i="2"/>
  <c r="AO227" i="2" s="1"/>
  <c r="AN431" i="2"/>
  <c r="AO431" i="2" s="1"/>
  <c r="AN181" i="2"/>
  <c r="AO181" i="2" s="1"/>
  <c r="AN388" i="2"/>
  <c r="AO388" i="2" s="1"/>
  <c r="AN147" i="2"/>
  <c r="AO147" i="2" s="1"/>
  <c r="AN192" i="2"/>
  <c r="AO192" i="2" s="1"/>
  <c r="AN194" i="2"/>
  <c r="AO194" i="2" s="1"/>
  <c r="AN67" i="2"/>
  <c r="AO67" i="2" s="1"/>
  <c r="AN226" i="2"/>
  <c r="AO226" i="2" s="1"/>
  <c r="AN313" i="2"/>
  <c r="AO313" i="2" s="1"/>
  <c r="AN130" i="2"/>
  <c r="AO130" i="2" s="1"/>
  <c r="AN321" i="2"/>
  <c r="AO321" i="2" s="1"/>
  <c r="AN166" i="2"/>
  <c r="AO166" i="2" s="1"/>
  <c r="AN299" i="2"/>
  <c r="AO299" i="2" s="1"/>
  <c r="AN441" i="2"/>
  <c r="AO441" i="2" s="1"/>
  <c r="AN410" i="2"/>
  <c r="AO410" i="2" s="1"/>
  <c r="AN379" i="2"/>
  <c r="AO379" i="2" s="1"/>
  <c r="AN162" i="2"/>
  <c r="AO162" i="2" s="1"/>
  <c r="AN237" i="2"/>
  <c r="AO237" i="2" s="1"/>
  <c r="AN446" i="2"/>
  <c r="AO446" i="2" s="1"/>
  <c r="AN203" i="2"/>
  <c r="AO203" i="2" s="1"/>
  <c r="AN193" i="2"/>
  <c r="AO193" i="2" s="1"/>
  <c r="AN106" i="2"/>
  <c r="AO106" i="2" s="1"/>
  <c r="AN287" i="2"/>
  <c r="AO287" i="2" s="1"/>
  <c r="AN429" i="2"/>
  <c r="AO429" i="2" s="1"/>
  <c r="AN204" i="2"/>
  <c r="AO204" i="2" s="1"/>
  <c r="AN153" i="2"/>
  <c r="AO153" i="2" s="1"/>
  <c r="AN229" i="2"/>
  <c r="AO229" i="2" s="1"/>
  <c r="AN400" i="2"/>
  <c r="AO400" i="2" s="1"/>
  <c r="AN448" i="2"/>
  <c r="AO448" i="2" s="1"/>
  <c r="AN97" i="2"/>
  <c r="AO97" i="2" s="1"/>
  <c r="AN436" i="2"/>
  <c r="AO436" i="2" s="1"/>
  <c r="AN372" i="2"/>
  <c r="AO372" i="2" s="1"/>
  <c r="AN168" i="2"/>
  <c r="AO168" i="2" s="1"/>
  <c r="AN222" i="2"/>
  <c r="AO222" i="2" s="1"/>
  <c r="AN310" i="2"/>
  <c r="AO310" i="2" s="1"/>
  <c r="AN183" i="2"/>
  <c r="AO183" i="2" s="1"/>
  <c r="AN149" i="2"/>
  <c r="AO149" i="2" s="1"/>
  <c r="AN146" i="2"/>
  <c r="AO146" i="2" s="1"/>
  <c r="AN254" i="2"/>
  <c r="AO254" i="2" s="1"/>
  <c r="AN185" i="2"/>
  <c r="AO185" i="2" s="1"/>
  <c r="AN167" i="2"/>
  <c r="AO167" i="2" s="1"/>
  <c r="AN230" i="2"/>
  <c r="AO230" i="2" s="1"/>
  <c r="AN306" i="2"/>
  <c r="AO306" i="2" s="1"/>
  <c r="AN422" i="2"/>
  <c r="AO422" i="2" s="1"/>
  <c r="AN315" i="2"/>
  <c r="AO315" i="2" s="1"/>
  <c r="AN69" i="2"/>
  <c r="AO69" i="2" s="1"/>
  <c r="AN119" i="2"/>
  <c r="AO119" i="2" s="1"/>
  <c r="AN150" i="2"/>
  <c r="AO150" i="2" s="1"/>
  <c r="AN207" i="2"/>
  <c r="AO207" i="2" s="1"/>
  <c r="AN354" i="2"/>
  <c r="AO354" i="2" s="1"/>
  <c r="AN270" i="2"/>
  <c r="AO270" i="2" s="1"/>
  <c r="AN307" i="2"/>
  <c r="AO307" i="2" s="1"/>
  <c r="AN298" i="2"/>
  <c r="AO298" i="2" s="1"/>
  <c r="AN440" i="2"/>
  <c r="AO440" i="2" s="1"/>
  <c r="AN235" i="2"/>
  <c r="AO235" i="2" s="1"/>
  <c r="AN339" i="2"/>
  <c r="AO339" i="2" s="1"/>
  <c r="AN160" i="2"/>
  <c r="AO160" i="2" s="1"/>
  <c r="AN206" i="2"/>
  <c r="AO206" i="2" s="1"/>
  <c r="AN314" i="2"/>
  <c r="AO314" i="2" s="1"/>
  <c r="AN82" i="2"/>
  <c r="AO82" i="2" s="1"/>
  <c r="AN205" i="2"/>
  <c r="AO205" i="2" s="1"/>
  <c r="AN423" i="2"/>
  <c r="AO423" i="2" s="1"/>
  <c r="AN395" i="2"/>
  <c r="AO395" i="2" s="1"/>
  <c r="AN100" i="2"/>
  <c r="AO100" i="2" s="1"/>
  <c r="AN250" i="2"/>
  <c r="AO250" i="2" s="1"/>
  <c r="AN356" i="2"/>
  <c r="AO356" i="2" s="1"/>
  <c r="AN198" i="2"/>
  <c r="AO198" i="2" s="1"/>
  <c r="AN364" i="2"/>
  <c r="AO364" i="2" s="1"/>
  <c r="AN420" i="2"/>
  <c r="AO420" i="2" s="1"/>
  <c r="AN66" i="2"/>
  <c r="AO66" i="2" s="1"/>
  <c r="AN128" i="2"/>
  <c r="AO128" i="2" s="1"/>
  <c r="AN359" i="2"/>
  <c r="AO359" i="2" s="1"/>
  <c r="AN271" i="2"/>
  <c r="AO271" i="2" s="1"/>
  <c r="AN396" i="2"/>
  <c r="AO396" i="2" s="1"/>
  <c r="AN80" i="2"/>
  <c r="AO80" i="2" s="1"/>
  <c r="AN326" i="2"/>
  <c r="AO326" i="2" s="1"/>
  <c r="AN325" i="2"/>
  <c r="AO325" i="2" s="1"/>
  <c r="AN363" i="2"/>
  <c r="AO363" i="2" s="1"/>
  <c r="AN61" i="2"/>
  <c r="AO61" i="2" s="1"/>
  <c r="AN442" i="2"/>
  <c r="AO442" i="2" s="1"/>
  <c r="AN377" i="2"/>
  <c r="AO377" i="2" s="1"/>
  <c r="AN427" i="2"/>
  <c r="AO427" i="2" s="1"/>
  <c r="AN352" i="2"/>
  <c r="AO352" i="2" s="1"/>
  <c r="AN342" i="2"/>
  <c r="AO342" i="2" s="1"/>
  <c r="AN348" i="2"/>
  <c r="AO348" i="2" s="1"/>
  <c r="AN224" i="2"/>
  <c r="AO224" i="2" s="1"/>
  <c r="AN98" i="2"/>
  <c r="AO98" i="2" s="1"/>
  <c r="AN366" i="2"/>
  <c r="AO366" i="2" s="1"/>
  <c r="AN209" i="2"/>
  <c r="AO209" i="2" s="1"/>
  <c r="AN134" i="2"/>
  <c r="AO134" i="2" s="1"/>
  <c r="AN200" i="2"/>
  <c r="AO200" i="2" s="1"/>
  <c r="AN421" i="2"/>
  <c r="AO421" i="2" s="1"/>
  <c r="AN368" i="2"/>
  <c r="AO368" i="2" s="1"/>
  <c r="AN125" i="2"/>
  <c r="AO125" i="2" s="1"/>
  <c r="AN176" i="2"/>
  <c r="AO176" i="2" s="1"/>
  <c r="AN279" i="2"/>
  <c r="AO279" i="2" s="1"/>
  <c r="AN449" i="2"/>
  <c r="AO449" i="2" s="1"/>
  <c r="AN249" i="2"/>
  <c r="AO249" i="2" s="1"/>
  <c r="AN434" i="2"/>
  <c r="AO434" i="2" s="1"/>
  <c r="AN187" i="2"/>
  <c r="AO187" i="2" s="1"/>
  <c r="AN232" i="2"/>
  <c r="AO232" i="2" s="1"/>
  <c r="AN151" i="2"/>
  <c r="AO151" i="2" s="1"/>
  <c r="AN389" i="2"/>
  <c r="AO389" i="2" s="1"/>
  <c r="AN155" i="2"/>
  <c r="AO155" i="2" s="1"/>
  <c r="AN115" i="2"/>
  <c r="AO115" i="2" s="1"/>
  <c r="AN340" i="2"/>
  <c r="AO340" i="2" s="1"/>
  <c r="AN165" i="2"/>
  <c r="AO165" i="2" s="1"/>
  <c r="AN210" i="2"/>
  <c r="AO210" i="2" s="1"/>
  <c r="AN317" i="2"/>
  <c r="AO317" i="2" s="1"/>
  <c r="AN424" i="2"/>
  <c r="AO424" i="2" s="1"/>
  <c r="AN108" i="2"/>
  <c r="AO108" i="2" s="1"/>
  <c r="AN393" i="2"/>
  <c r="AO393" i="2" s="1"/>
  <c r="AN173" i="2"/>
  <c r="AO173" i="2" s="1"/>
  <c r="AN156" i="2"/>
  <c r="AO156" i="2" s="1"/>
  <c r="AN373" i="2"/>
  <c r="AO373" i="2" s="1"/>
  <c r="AN107" i="2"/>
  <c r="AO107" i="2" s="1"/>
  <c r="AN318" i="2"/>
  <c r="AO318" i="2" s="1"/>
  <c r="AN365" i="2"/>
  <c r="AO365" i="2" s="1"/>
  <c r="AN332" i="2"/>
  <c r="AO332" i="2" s="1"/>
  <c r="AN398" i="2"/>
  <c r="AO398" i="2" s="1"/>
  <c r="AN390" i="2"/>
  <c r="AO390" i="2" s="1"/>
  <c r="AN129" i="2"/>
  <c r="AO129" i="2" s="1"/>
  <c r="AN110" i="2"/>
  <c r="AO110" i="2" s="1"/>
  <c r="AN138" i="2"/>
  <c r="AO138" i="2" s="1"/>
  <c r="AN131" i="2"/>
  <c r="AO131" i="2" s="1"/>
  <c r="AN213" i="2"/>
  <c r="AO213" i="2" s="1"/>
  <c r="AN244" i="2"/>
  <c r="AO244" i="2" s="1"/>
  <c r="AN137" i="2"/>
  <c r="AO137" i="2" s="1"/>
  <c r="AN267" i="2"/>
  <c r="AO267" i="2" s="1"/>
  <c r="AN301" i="2"/>
  <c r="AO301" i="2" s="1"/>
  <c r="AN211" i="2"/>
  <c r="AO211" i="2" s="1"/>
  <c r="AN223" i="2"/>
  <c r="AO223" i="2" s="1"/>
  <c r="AN384" i="2"/>
  <c r="AO384" i="2" s="1"/>
  <c r="AN406" i="2"/>
  <c r="AO406" i="2" s="1"/>
  <c r="AN443" i="2"/>
  <c r="AO443" i="2" s="1"/>
  <c r="AN141" i="2"/>
  <c r="AO141" i="2" s="1"/>
  <c r="AN171" i="2"/>
  <c r="AO171" i="2" s="1"/>
  <c r="AN305" i="2"/>
  <c r="AO305" i="2" s="1"/>
  <c r="AN391" i="2"/>
  <c r="AO391" i="2" s="1"/>
  <c r="AN251" i="2"/>
  <c r="AO251" i="2" s="1"/>
  <c r="AN430" i="2"/>
  <c r="AO430" i="2" s="1"/>
  <c r="AN116" i="2"/>
  <c r="AO116" i="2" s="1"/>
  <c r="AN120" i="2"/>
  <c r="AO120" i="2" s="1"/>
  <c r="AN78" i="2"/>
  <c r="AO78" i="2" s="1"/>
  <c r="AN75" i="2"/>
  <c r="AO75" i="2" s="1"/>
  <c r="AN380" i="2"/>
  <c r="AO380" i="2" s="1"/>
  <c r="AN2" i="2"/>
  <c r="CB75" i="1" s="1"/>
  <c r="AN152" i="2"/>
  <c r="AO152" i="2" s="1"/>
  <c r="AN409" i="2"/>
  <c r="AO409" i="2" s="1"/>
  <c r="AN347" i="2"/>
  <c r="AO347" i="2" s="1"/>
  <c r="AN113" i="2"/>
  <c r="AO113" i="2" s="1"/>
  <c r="AN414" i="2"/>
  <c r="AO414" i="2" s="1"/>
  <c r="AN297" i="2"/>
  <c r="AO297" i="2" s="1"/>
  <c r="AN233" i="2"/>
  <c r="AO233" i="2" s="1"/>
  <c r="AN199" i="2"/>
  <c r="AO199" i="2" s="1"/>
  <c r="AN231" i="2"/>
  <c r="AO231" i="2" s="1"/>
  <c r="AN355" i="2"/>
  <c r="AO355" i="2" s="1"/>
  <c r="AN329" i="2"/>
  <c r="AO329" i="2" s="1"/>
  <c r="AN164" i="2"/>
  <c r="AO164" i="2" s="1"/>
  <c r="AN177" i="2"/>
  <c r="AO177" i="2" s="1"/>
  <c r="AN435" i="2"/>
  <c r="AO435" i="2" s="1"/>
  <c r="AN425" i="2"/>
  <c r="AO425" i="2" s="1"/>
  <c r="AN403" i="2"/>
  <c r="AO403" i="2" s="1"/>
  <c r="AN327" i="2"/>
  <c r="AO327" i="2" s="1"/>
  <c r="AN335" i="2"/>
  <c r="AO335" i="2" s="1"/>
  <c r="AN163" i="2"/>
  <c r="AO163" i="2" s="1"/>
  <c r="AN333" i="2"/>
  <c r="AO333" i="2" s="1"/>
  <c r="AN432" i="2"/>
  <c r="AO432" i="2" s="1"/>
  <c r="AN361" i="2"/>
  <c r="AO361" i="2" s="1"/>
  <c r="AN143" i="2"/>
  <c r="AO143" i="2" s="1"/>
  <c r="AN127" i="2"/>
  <c r="AO127" i="2" s="1"/>
  <c r="AN263" i="2"/>
  <c r="AO263" i="2" s="1"/>
  <c r="AN346" i="2"/>
  <c r="AO346" i="2" s="1"/>
  <c r="AN293" i="2"/>
  <c r="AO293" i="2" s="1"/>
  <c r="AN154" i="2"/>
  <c r="AO154" i="2" s="1"/>
  <c r="AN413" i="2"/>
  <c r="AO413" i="2" s="1"/>
  <c r="AN341" i="2"/>
  <c r="AO341" i="2" s="1"/>
  <c r="AN399" i="2"/>
  <c r="AO399" i="2" s="1"/>
  <c r="AN450" i="2"/>
  <c r="AO450" i="2" s="1"/>
  <c r="AN277" i="2"/>
  <c r="AO277" i="2" s="1"/>
  <c r="AN338" i="2"/>
  <c r="AO338" i="2" s="1"/>
  <c r="AN85" i="2"/>
  <c r="AO85" i="2" s="1"/>
  <c r="AN174" i="2"/>
  <c r="AO174" i="2" s="1"/>
  <c r="AN76" i="2"/>
  <c r="AO76" i="2" s="1"/>
  <c r="AN88" i="2"/>
  <c r="AO88" i="2" s="1"/>
  <c r="AN316" i="2"/>
  <c r="AO316" i="2" s="1"/>
  <c r="AN375" i="2"/>
  <c r="AO375" i="2" s="1"/>
  <c r="AN269" i="2"/>
  <c r="AO269" i="2" s="1"/>
  <c r="AN68" i="2"/>
  <c r="AO68" i="2" s="1"/>
  <c r="AN208" i="2"/>
  <c r="AO208" i="2" s="1"/>
  <c r="AN350" i="2"/>
  <c r="AO350" i="2" s="1"/>
  <c r="AN417" i="2"/>
  <c r="AO417" i="2" s="1"/>
  <c r="AN262" i="2"/>
  <c r="AO262" i="2" s="1"/>
  <c r="AN248" i="2"/>
  <c r="AO248" i="2" s="1"/>
  <c r="AN101" i="2"/>
  <c r="AO101" i="2" s="1"/>
  <c r="AN439" i="2"/>
  <c r="AO439" i="2" s="1"/>
  <c r="AN358" i="2"/>
  <c r="AO358" i="2" s="1"/>
  <c r="AN268" i="2"/>
  <c r="AO268" i="2" s="1"/>
  <c r="AN362" i="2"/>
  <c r="AO362" i="2" s="1"/>
  <c r="AN124" i="2"/>
  <c r="AO124" i="2" s="1"/>
  <c r="AN411" i="2"/>
  <c r="AO411" i="2" s="1"/>
  <c r="AN243" i="2"/>
  <c r="AO243" i="2" s="1"/>
  <c r="AN392" i="2"/>
  <c r="AO392" i="2" s="1"/>
  <c r="AN240" i="2"/>
  <c r="AO240" i="2" s="1"/>
  <c r="AN369" i="2"/>
  <c r="AO369" i="2" s="1"/>
  <c r="AN319" i="2"/>
  <c r="AO319" i="2" s="1"/>
  <c r="AN290" i="2"/>
  <c r="AO290" i="2" s="1"/>
  <c r="AN118" i="2"/>
  <c r="AO118" i="2" s="1"/>
  <c r="AN65" i="2"/>
  <c r="AO65" i="2" s="1"/>
  <c r="AN387" i="2"/>
  <c r="AO387" i="2" s="1"/>
  <c r="AN408" i="2"/>
  <c r="AO408" i="2" s="1"/>
  <c r="AN322" i="2"/>
  <c r="AO322" i="2" s="1"/>
  <c r="AN95" i="2"/>
  <c r="AO95" i="2" s="1"/>
  <c r="AN280" i="2"/>
  <c r="AO280" i="2" s="1"/>
  <c r="AN136" i="2"/>
  <c r="AO136" i="2" s="1"/>
  <c r="AN258" i="2"/>
  <c r="AO258" i="2" s="1"/>
  <c r="AN188" i="2"/>
  <c r="AO188" i="2" s="1"/>
  <c r="AN234" i="2"/>
  <c r="AO234" i="2" s="1"/>
  <c r="AN178" i="2"/>
  <c r="AO178" i="2" s="1"/>
  <c r="AN331" i="2"/>
  <c r="AO331" i="2" s="1"/>
  <c r="AN330" i="2"/>
  <c r="AO330" i="2" s="1"/>
  <c r="AN182" i="2"/>
  <c r="AO182" i="2" s="1"/>
  <c r="AN344" i="2"/>
  <c r="AO344" i="2" s="1"/>
  <c r="AN157" i="2"/>
  <c r="AO157" i="2" s="1"/>
  <c r="AN94" i="2"/>
  <c r="AO94" i="2" s="1"/>
  <c r="AN289" i="2"/>
  <c r="AO289" i="2" s="1"/>
  <c r="AN353" i="2"/>
  <c r="AO353" i="2" s="1"/>
  <c r="AN201" i="2"/>
  <c r="AO201" i="2" s="1"/>
  <c r="AN216" i="2"/>
  <c r="AO216" i="2" s="1"/>
  <c r="AN273" i="2"/>
  <c r="AO273" i="2" s="1"/>
  <c r="AN394" i="2"/>
  <c r="AO394" i="2" s="1"/>
  <c r="AN407" i="2"/>
  <c r="AO407" i="2" s="1"/>
  <c r="AN89" i="2"/>
  <c r="AO89" i="2" s="1"/>
  <c r="AN256" i="2"/>
  <c r="AO256" i="2" s="1"/>
  <c r="AN278" i="2"/>
  <c r="AO278" i="2" s="1"/>
  <c r="AN433" i="2"/>
  <c r="AO433" i="2" s="1"/>
  <c r="AN93" i="2"/>
  <c r="AO93" i="2" s="1"/>
  <c r="AN371" i="2"/>
  <c r="AO371" i="2" s="1"/>
  <c r="AN426" i="2"/>
  <c r="AO426" i="2" s="1"/>
  <c r="AN180" i="2"/>
  <c r="AO180" i="2" s="1"/>
  <c r="AN219" i="2"/>
  <c r="AO219" i="2" s="1"/>
  <c r="AN266" i="2"/>
  <c r="AO266" i="2" s="1"/>
  <c r="AN139" i="2"/>
  <c r="AO139" i="2" s="1"/>
  <c r="AN334" i="2"/>
  <c r="AO334" i="2" s="1"/>
  <c r="AN217" i="2"/>
  <c r="AO217" i="2" s="1"/>
  <c r="AN324" i="2"/>
  <c r="AO324" i="2" s="1"/>
  <c r="AN175" i="2"/>
  <c r="AO175" i="2" s="1"/>
  <c r="AN197" i="2"/>
  <c r="AO197" i="2" s="1"/>
  <c r="AN91" i="2"/>
  <c r="AO91" i="2" s="1"/>
  <c r="AN247" i="2"/>
  <c r="AO247" i="2" s="1"/>
  <c r="AN264" i="2"/>
  <c r="AO264" i="2" s="1"/>
  <c r="AN283" i="2"/>
  <c r="AO283" i="2" s="1"/>
  <c r="AN122" i="2"/>
  <c r="AO122" i="2" s="1"/>
  <c r="AN381" i="2"/>
  <c r="AO381" i="2" s="1"/>
  <c r="AN191" i="2"/>
  <c r="AO191" i="2" s="1"/>
  <c r="AN447" i="2"/>
  <c r="AO447" i="2" s="1"/>
  <c r="AN215" i="2"/>
  <c r="AO215" i="2" s="1"/>
  <c r="AN419" i="2"/>
  <c r="AO419" i="2" s="1"/>
  <c r="AN259" i="2"/>
  <c r="AO259" i="2" s="1"/>
  <c r="AN312" i="2"/>
  <c r="AO312" i="2" s="1"/>
  <c r="AN309" i="2"/>
  <c r="AO309" i="2" s="1"/>
  <c r="AN383" i="2"/>
  <c r="AO383" i="2" s="1"/>
  <c r="AN444" i="2"/>
  <c r="AO444" i="2" s="1"/>
  <c r="AO49" i="2" l="1"/>
  <c r="DE99" i="1" s="1"/>
  <c r="AO8" i="2"/>
  <c r="DE78" i="1" s="1"/>
  <c r="AO55" i="2"/>
  <c r="DE102" i="1" s="1"/>
  <c r="AO33" i="2"/>
  <c r="ER90" i="1" s="1"/>
  <c r="AO7" i="2"/>
  <c r="ER77" i="1" s="1"/>
  <c r="AO56" i="2"/>
  <c r="ER102" i="1" s="1"/>
  <c r="AO4" i="2"/>
  <c r="DE76" i="1" s="1"/>
  <c r="AO34" i="2"/>
  <c r="DE91" i="1" s="1"/>
  <c r="AO26" i="2"/>
  <c r="DE87" i="1" s="1"/>
  <c r="AO16" i="2"/>
  <c r="DE82" i="1" s="1"/>
  <c r="AO12" i="2"/>
  <c r="DE80" i="1" s="1"/>
  <c r="AO3" i="2"/>
  <c r="ER75" i="1" s="1"/>
  <c r="AO31" i="2"/>
  <c r="ER89" i="1" s="1"/>
  <c r="AO46" i="2"/>
  <c r="ER97" i="1" s="1"/>
  <c r="AO18" i="2"/>
  <c r="DE83" i="1" s="1"/>
  <c r="AO14" i="2"/>
  <c r="DE81" i="1" s="1"/>
  <c r="AO58" i="2"/>
  <c r="ER103" i="1" s="1"/>
  <c r="AO5" i="2"/>
  <c r="ER76" i="1" s="1"/>
  <c r="AO52" i="2"/>
  <c r="ER100" i="1" s="1"/>
  <c r="AO39" i="2"/>
  <c r="DE94" i="1" s="1"/>
  <c r="AO54" i="2"/>
  <c r="ER101" i="1" s="1"/>
  <c r="AO41" i="2"/>
  <c r="DE95" i="1" s="1"/>
  <c r="AO47" i="2"/>
  <c r="DE98" i="1" s="1"/>
  <c r="AO22" i="2"/>
  <c r="DE85" i="1" s="1"/>
  <c r="AO44" i="2"/>
  <c r="ER96" i="1" s="1"/>
  <c r="AO27" i="2"/>
  <c r="ER87" i="1" s="1"/>
  <c r="AO9" i="2"/>
  <c r="ER78" i="1" s="1"/>
  <c r="AO25" i="2"/>
  <c r="ER86" i="1" s="1"/>
  <c r="AO35" i="2"/>
  <c r="ER91" i="1" s="1"/>
  <c r="AO30" i="2"/>
  <c r="DE89" i="1" s="1"/>
  <c r="AO29" i="2"/>
  <c r="ER88" i="1" s="1"/>
  <c r="AO10" i="2"/>
  <c r="DE79" i="1" s="1"/>
  <c r="AO51" i="2"/>
  <c r="DE100" i="1" s="1"/>
  <c r="AO15" i="2"/>
  <c r="ER81" i="1" s="1"/>
  <c r="AO36" i="2"/>
  <c r="ER92" i="1" s="1"/>
  <c r="AO48" i="2"/>
  <c r="ER98" i="1" s="1"/>
  <c r="AO50" i="2"/>
  <c r="ER99" i="1" s="1"/>
  <c r="AO42" i="2"/>
  <c r="ER95" i="1" s="1"/>
  <c r="AO38" i="2"/>
  <c r="ER93" i="1" s="1"/>
  <c r="AO6" i="2"/>
  <c r="DE77" i="1" s="1"/>
  <c r="AO19" i="2"/>
  <c r="ER83" i="1" s="1"/>
  <c r="AO20" i="2"/>
  <c r="DE84" i="1" s="1"/>
  <c r="AO21" i="2"/>
  <c r="ER84" i="1" s="1"/>
  <c r="AO23" i="2"/>
  <c r="ER85" i="1" s="1"/>
  <c r="AO60" i="2"/>
  <c r="ER104" i="1" s="1"/>
  <c r="AO37" i="2"/>
  <c r="DE93" i="1" s="1"/>
  <c r="CB92" i="1"/>
  <c r="AO53" i="2"/>
  <c r="DE101" i="1" s="1"/>
  <c r="AO45" i="2"/>
  <c r="DE97" i="1" s="1"/>
  <c r="AO32" i="2"/>
  <c r="DE90" i="1" s="1"/>
  <c r="AO28" i="2"/>
  <c r="DE88" i="1" s="1"/>
  <c r="AO40" i="2"/>
  <c r="ER94" i="1" s="1"/>
  <c r="AO57" i="2"/>
  <c r="DE103" i="1" s="1"/>
  <c r="AO11" i="2"/>
  <c r="ER79" i="1" s="1"/>
  <c r="AO13" i="2"/>
  <c r="ER80" i="1" s="1"/>
  <c r="AO59" i="2"/>
  <c r="DE104" i="1" s="1"/>
  <c r="AO43" i="2"/>
  <c r="DE96" i="1" s="1"/>
  <c r="AO24" i="2"/>
  <c r="DE86" i="1" s="1"/>
  <c r="AO17" i="2"/>
  <c r="ER82" i="1" s="1"/>
  <c r="AO2" i="2"/>
  <c r="DE75" i="1" s="1"/>
  <c r="DE92" i="1"/>
  <c r="EJ12" i="2"/>
  <c r="EJ6" i="2"/>
  <c r="EJ9" i="2"/>
  <c r="EJ11" i="2"/>
  <c r="EJ15" i="2"/>
  <c r="EJ10" i="2"/>
  <c r="EJ5" i="2"/>
  <c r="EJ7" i="2"/>
  <c r="EJ14" i="2"/>
  <c r="EJ16" i="2"/>
  <c r="EJ17" i="2"/>
  <c r="EJ13" i="2"/>
  <c r="EJ8" i="2"/>
  <c r="EE37" i="2"/>
  <c r="ED37" i="2"/>
  <c r="DT37" i="2"/>
  <c r="DY37" i="2"/>
  <c r="EF37" i="2"/>
  <c r="EB37" i="2"/>
  <c r="EC37" i="2" s="1"/>
  <c r="EF36" i="2"/>
  <c r="DY36" i="2"/>
  <c r="EE36" i="2"/>
  <c r="DT36" i="2"/>
  <c r="ED36" i="2"/>
  <c r="EE35" i="2"/>
  <c r="ED35" i="2"/>
  <c r="DT35" i="2"/>
  <c r="EF35" i="2"/>
  <c r="DY35" i="2"/>
  <c r="EB35" i="2"/>
  <c r="EC35" i="2" s="1"/>
  <c r="EF34" i="2"/>
  <c r="DY34" i="2"/>
  <c r="ED34" i="2"/>
  <c r="EE34" i="2"/>
  <c r="DT34" i="2"/>
  <c r="EE33" i="2"/>
  <c r="ED33" i="2"/>
  <c r="DT33" i="2"/>
  <c r="DY33" i="2"/>
  <c r="EF33" i="2"/>
  <c r="EB33" i="2"/>
  <c r="EC33" i="2" s="1"/>
  <c r="EF32" i="2"/>
  <c r="DY32" i="2"/>
  <c r="EE32" i="2"/>
  <c r="DT32" i="2"/>
  <c r="ED32" i="2"/>
  <c r="EE31" i="2"/>
  <c r="ED31" i="2"/>
  <c r="DT31" i="2"/>
  <c r="EF31" i="2"/>
  <c r="DY31" i="2"/>
  <c r="EB31" i="2"/>
  <c r="EC31" i="2" s="1"/>
  <c r="EF30" i="2"/>
  <c r="DY30" i="2"/>
  <c r="ED30" i="2"/>
  <c r="DT30" i="2"/>
  <c r="EE30" i="2"/>
  <c r="EF29" i="2"/>
  <c r="DY29" i="2"/>
  <c r="EE29" i="2"/>
  <c r="ED29" i="2"/>
  <c r="DT29" i="2"/>
  <c r="ED28" i="2"/>
  <c r="DT28" i="2"/>
  <c r="DY28" i="2"/>
  <c r="EE28" i="2"/>
  <c r="EF28" i="2"/>
  <c r="EF27" i="2"/>
  <c r="DY27" i="2"/>
  <c r="DT27" i="2"/>
  <c r="EE27" i="2"/>
  <c r="ED27" i="2"/>
  <c r="EB36" i="2"/>
  <c r="EC36" i="2" s="1"/>
  <c r="DK35" i="2"/>
  <c r="DL35" i="2" s="1"/>
  <c r="DN35" i="2" s="1"/>
  <c r="DO35" i="2" s="1"/>
  <c r="DR34" i="2"/>
  <c r="DR33" i="2"/>
  <c r="EB32" i="2"/>
  <c r="EC32" i="2" s="1"/>
  <c r="DK31" i="2"/>
  <c r="EA31" i="2" s="1"/>
  <c r="DZ31" i="2" s="1"/>
  <c r="DR30" i="2"/>
  <c r="EF26" i="2"/>
  <c r="DY26" i="2"/>
  <c r="EE26" i="2"/>
  <c r="ED26" i="2"/>
  <c r="DT26" i="2"/>
  <c r="ED25" i="2"/>
  <c r="DT25" i="2"/>
  <c r="DY25" i="2"/>
  <c r="EF25" i="2"/>
  <c r="EE25" i="2"/>
  <c r="EF24" i="2"/>
  <c r="DY24" i="2"/>
  <c r="EE24" i="2"/>
  <c r="DT24" i="2"/>
  <c r="ED24" i="2"/>
  <c r="EB29" i="2"/>
  <c r="EC29" i="2" s="1"/>
  <c r="EB28" i="2"/>
  <c r="EC28" i="2" s="1"/>
  <c r="EB27" i="2"/>
  <c r="EC27" i="2" s="1"/>
  <c r="EB26" i="2"/>
  <c r="EC26" i="2" s="1"/>
  <c r="EB25" i="2"/>
  <c r="EC25" i="2" s="1"/>
  <c r="EB24" i="2"/>
  <c r="EC24" i="2" s="1"/>
  <c r="DU37" i="2"/>
  <c r="DV37" i="2" s="1"/>
  <c r="DW37" i="2" s="1"/>
  <c r="DU24" i="2"/>
  <c r="DV24" i="2" s="1"/>
  <c r="DW24" i="2" s="1"/>
  <c r="DR36" i="2"/>
  <c r="EG36" i="2" s="1"/>
  <c r="EJ36" i="2" s="1"/>
  <c r="DK36" i="2"/>
  <c r="DL36" i="2" s="1"/>
  <c r="EB34" i="2"/>
  <c r="EC34" i="2" s="1"/>
  <c r="DK33" i="2"/>
  <c r="DL33" i="2" s="1"/>
  <c r="DR31" i="2"/>
  <c r="DK29" i="2"/>
  <c r="DL29" i="2" s="1"/>
  <c r="DK28" i="2"/>
  <c r="DL28" i="2" s="1"/>
  <c r="DK27" i="2"/>
  <c r="DL27" i="2" s="1"/>
  <c r="DK26" i="2"/>
  <c r="DL26" i="2" s="1"/>
  <c r="DR29" i="2"/>
  <c r="EG29" i="2" s="1"/>
  <c r="EJ29" i="2" s="1"/>
  <c r="DR28" i="2"/>
  <c r="EG28" i="2" s="1"/>
  <c r="EJ28" i="2" s="1"/>
  <c r="DR27" i="2"/>
  <c r="EG27" i="2" s="1"/>
  <c r="EJ27" i="2" s="1"/>
  <c r="DR26" i="2"/>
  <c r="EG26" i="2" s="1"/>
  <c r="EJ26" i="2" s="1"/>
  <c r="DR25" i="2"/>
  <c r="EG25" i="2" s="1"/>
  <c r="EJ25" i="2" s="1"/>
  <c r="DU27" i="2"/>
  <c r="DV27" i="2" s="1"/>
  <c r="DU29" i="2"/>
  <c r="DV29" i="2" s="1"/>
  <c r="DU35" i="2"/>
  <c r="DV35" i="2" s="1"/>
  <c r="DU26" i="2"/>
  <c r="DV26" i="2" s="1"/>
  <c r="DW26" i="2" s="1"/>
  <c r="DU32" i="2"/>
  <c r="DV32" i="2" s="1"/>
  <c r="DU34" i="2"/>
  <c r="DV34" i="2" s="1"/>
  <c r="DW34" i="2" s="1"/>
  <c r="DK37" i="2"/>
  <c r="DR35" i="2"/>
  <c r="EG35" i="2" s="1"/>
  <c r="EJ35" i="2" s="1"/>
  <c r="DK34" i="2"/>
  <c r="DR32" i="2"/>
  <c r="DK32" i="2"/>
  <c r="EB30" i="2"/>
  <c r="EC30" i="2" s="1"/>
  <c r="DK30" i="2"/>
  <c r="DK25" i="2"/>
  <c r="DU25" i="2"/>
  <c r="DV25" i="2" s="1"/>
  <c r="DU31" i="2"/>
  <c r="DV31" i="2" s="1"/>
  <c r="DW31" i="2" s="1"/>
  <c r="DU33" i="2"/>
  <c r="DV33" i="2" s="1"/>
  <c r="DU28" i="2"/>
  <c r="DV28" i="2" s="1"/>
  <c r="DU30" i="2"/>
  <c r="DV30" i="2" s="1"/>
  <c r="DU36" i="2"/>
  <c r="DV36" i="2" s="1"/>
  <c r="DW36" i="2" s="1"/>
  <c r="DR37" i="2"/>
  <c r="EG37" i="2" s="1"/>
  <c r="EJ37" i="2" s="1"/>
  <c r="DR24" i="2"/>
  <c r="EG24" i="2" s="1"/>
  <c r="EJ24" i="2" s="1"/>
  <c r="DK24" i="2"/>
  <c r="DL31" i="2" l="1"/>
  <c r="DN31" i="2" s="1"/>
  <c r="DO31" i="2" s="1"/>
  <c r="DP31" i="2" s="1"/>
  <c r="DH31" i="2" s="1"/>
  <c r="DN27" i="2"/>
  <c r="DO27" i="2" s="1"/>
  <c r="DP27" i="2" s="1"/>
  <c r="DH27" i="2" s="1"/>
  <c r="DQ24" i="2"/>
  <c r="DQ25" i="2" s="1"/>
  <c r="DQ26" i="2" s="1"/>
  <c r="DQ27" i="2" s="1"/>
  <c r="DQ28" i="2" s="1"/>
  <c r="DQ29" i="2" s="1"/>
  <c r="DQ30" i="2" s="1"/>
  <c r="DQ31" i="2" s="1"/>
  <c r="DQ32" i="2" s="1"/>
  <c r="DQ33" i="2" s="1"/>
  <c r="DQ34" i="2" s="1"/>
  <c r="DQ35" i="2" s="1"/>
  <c r="DQ36" i="2" s="1"/>
  <c r="DQ37" i="2" s="1"/>
  <c r="DQ38" i="2" s="1"/>
  <c r="DN36" i="2"/>
  <c r="DO36" i="2" s="1"/>
  <c r="DP36" i="2" s="1"/>
  <c r="DH36" i="2" s="1"/>
  <c r="DN29" i="2"/>
  <c r="DO29" i="2" s="1"/>
  <c r="DP35" i="2"/>
  <c r="DH35" i="2" s="1"/>
  <c r="EA35" i="2"/>
  <c r="DZ35" i="2" s="1"/>
  <c r="DW33" i="2"/>
  <c r="DX33" i="2" s="1"/>
  <c r="DW30" i="2"/>
  <c r="DX30" i="2" s="1"/>
  <c r="DX36" i="2"/>
  <c r="DW28" i="2"/>
  <c r="DX28" i="2" s="1"/>
  <c r="DW25" i="2"/>
  <c r="DX25" i="2" s="1"/>
  <c r="EG32" i="2"/>
  <c r="EJ32" i="2" s="1"/>
  <c r="DL24" i="2"/>
  <c r="DN24" i="2" s="1"/>
  <c r="DO24" i="2" s="1"/>
  <c r="EA24" i="2"/>
  <c r="DZ24" i="2" s="1"/>
  <c r="DX31" i="2"/>
  <c r="DL25" i="2"/>
  <c r="DN25" i="2" s="1"/>
  <c r="DO25" i="2" s="1"/>
  <c r="EA25" i="2"/>
  <c r="DZ25" i="2" s="1"/>
  <c r="DL32" i="2"/>
  <c r="DN32" i="2" s="1"/>
  <c r="DO32" i="2" s="1"/>
  <c r="EA32" i="2"/>
  <c r="DZ32" i="2" s="1"/>
  <c r="EA34" i="2"/>
  <c r="DZ34" i="2" s="1"/>
  <c r="DL34" i="2"/>
  <c r="DN34" i="2" s="1"/>
  <c r="DO34" i="2" s="1"/>
  <c r="EA30" i="2"/>
  <c r="DZ30" i="2" s="1"/>
  <c r="DL30" i="2"/>
  <c r="DN30" i="2" s="1"/>
  <c r="DO30" i="2" s="1"/>
  <c r="EA37" i="2"/>
  <c r="DZ37" i="2" s="1"/>
  <c r="DL37" i="2"/>
  <c r="DN37" i="2" s="1"/>
  <c r="DO37" i="2" s="1"/>
  <c r="DW35" i="2"/>
  <c r="DX35" i="2" s="1"/>
  <c r="DW32" i="2"/>
  <c r="DX32" i="2" s="1"/>
  <c r="DW27" i="2"/>
  <c r="DX27" i="2" s="1"/>
  <c r="DN26" i="2"/>
  <c r="DO26" i="2" s="1"/>
  <c r="DN28" i="2"/>
  <c r="DO28" i="2" s="1"/>
  <c r="EG31" i="2"/>
  <c r="EJ31" i="2" s="1"/>
  <c r="DN33" i="2"/>
  <c r="DO33" i="2" s="1"/>
  <c r="DX24" i="2"/>
  <c r="DX37" i="2"/>
  <c r="EA26" i="2"/>
  <c r="DZ26" i="2" s="1"/>
  <c r="EA28" i="2"/>
  <c r="DZ28" i="2" s="1"/>
  <c r="EG30" i="2"/>
  <c r="EJ30" i="2" s="1"/>
  <c r="EG34" i="2"/>
  <c r="EJ34" i="2" s="1"/>
  <c r="EA33" i="2"/>
  <c r="DZ33" i="2" s="1"/>
  <c r="EA36" i="2"/>
  <c r="DZ36" i="2" s="1"/>
  <c r="DX34" i="2"/>
  <c r="DX26" i="2"/>
  <c r="DW29" i="2"/>
  <c r="DX29" i="2" s="1"/>
  <c r="EA27" i="2"/>
  <c r="DZ27" i="2" s="1"/>
  <c r="EA29" i="2"/>
  <c r="DZ29" i="2" s="1"/>
  <c r="EG33" i="2"/>
  <c r="EJ33" i="2" s="1"/>
  <c r="DQ39" i="2" l="1"/>
  <c r="DQ40" i="2" s="1"/>
  <c r="DQ41" i="2" s="1"/>
  <c r="DQ42" i="2" s="1"/>
  <c r="DQ43" i="2" s="1"/>
  <c r="DQ44" i="2" s="1"/>
  <c r="DQ45" i="2" s="1"/>
  <c r="DQ46" i="2" s="1"/>
  <c r="DQ47" i="2" s="1"/>
  <c r="DQ48" i="2" s="1"/>
  <c r="DQ49" i="2" s="1"/>
  <c r="DQ50" i="2" s="1"/>
  <c r="DQ51" i="2" s="1"/>
  <c r="DQ52" i="2" s="1"/>
  <c r="DQ53" i="2" s="1"/>
  <c r="DQ54" i="2" s="1"/>
  <c r="DQ55" i="2" s="1"/>
  <c r="DQ56" i="2" s="1"/>
  <c r="DQ57" i="2" s="1"/>
  <c r="DQ58" i="2" s="1"/>
  <c r="DQ59" i="2" s="1"/>
  <c r="DQ60" i="2" s="1"/>
  <c r="DQ61" i="2" s="1"/>
  <c r="DQ62" i="2" s="1"/>
  <c r="DQ63" i="2" s="1"/>
  <c r="DQ64" i="2" s="1"/>
  <c r="DQ65" i="2" s="1"/>
  <c r="DQ66" i="2" s="1"/>
  <c r="DQ67" i="2" s="1"/>
  <c r="DQ68" i="2" s="1"/>
  <c r="DQ69" i="2" s="1"/>
  <c r="DQ70" i="2" s="1"/>
  <c r="DQ71" i="2" s="1"/>
  <c r="DQ72" i="2" s="1"/>
  <c r="DQ73" i="2" s="1"/>
  <c r="DQ74" i="2" s="1"/>
  <c r="DQ75" i="2" s="1"/>
  <c r="DQ76" i="2" s="1"/>
  <c r="DQ77" i="2" s="1"/>
  <c r="DQ78" i="2" s="1"/>
  <c r="DQ79" i="2" s="1"/>
  <c r="DQ80" i="2" s="1"/>
  <c r="DQ81" i="2" s="1"/>
  <c r="DQ82" i="2" s="1"/>
  <c r="DP34" i="2"/>
  <c r="DH34" i="2" s="1"/>
  <c r="DP26" i="2"/>
  <c r="DH26" i="2" s="1"/>
  <c r="DP32" i="2"/>
  <c r="DH32" i="2" s="1"/>
  <c r="DP24" i="2"/>
  <c r="DH24" i="2" s="1"/>
  <c r="DP33" i="2"/>
  <c r="DH33" i="2" s="1"/>
  <c r="DP28" i="2"/>
  <c r="DH28" i="2" s="1"/>
  <c r="DP37" i="2"/>
  <c r="DH37" i="2" s="1"/>
  <c r="DP30" i="2"/>
  <c r="DH30" i="2" s="1"/>
  <c r="DP25" i="2"/>
  <c r="DH25" i="2" s="1"/>
  <c r="DP29" i="2"/>
  <c r="DH29" i="2" s="1"/>
  <c r="DJ124" i="2" l="1"/>
  <c r="ED124" i="2" s="1"/>
  <c r="DJ83" i="2"/>
  <c r="EE83" i="2" s="1"/>
  <c r="DJ84" i="2"/>
  <c r="EE84" i="2" s="1"/>
  <c r="DJ92" i="2"/>
  <c r="DK92" i="2" s="1"/>
  <c r="DJ114" i="2"/>
  <c r="ED114" i="2" s="1"/>
  <c r="DJ97" i="2"/>
  <c r="DK97" i="2" s="1"/>
  <c r="DJ108" i="2"/>
  <c r="DU108" i="2" s="1"/>
  <c r="DV108" i="2" s="1"/>
  <c r="DJ98" i="2"/>
  <c r="DK98" i="2" s="1"/>
  <c r="DJ113" i="2"/>
  <c r="EF113" i="2" s="1"/>
  <c r="DJ88" i="2"/>
  <c r="EE88" i="2" s="1"/>
  <c r="DJ100" i="2"/>
  <c r="EF100" i="2" s="1"/>
  <c r="DJ116" i="2"/>
  <c r="DU116" i="2" s="1"/>
  <c r="DV116" i="2" s="1"/>
  <c r="DW116" i="2" s="1"/>
  <c r="DJ90" i="2"/>
  <c r="ED90" i="2" s="1"/>
  <c r="DJ106" i="2"/>
  <c r="DU106" i="2" s="1"/>
  <c r="DV106" i="2" s="1"/>
  <c r="DJ122" i="2"/>
  <c r="EB122" i="2" s="1"/>
  <c r="EC122" i="2" s="1"/>
  <c r="DJ89" i="2"/>
  <c r="EE89" i="2" s="1"/>
  <c r="DJ105" i="2"/>
  <c r="DY105" i="2" s="1"/>
  <c r="DJ121" i="2"/>
  <c r="DU121" i="2" s="1"/>
  <c r="DV121" i="2" s="1"/>
  <c r="DJ96" i="2"/>
  <c r="EE96" i="2" s="1"/>
  <c r="DJ104" i="2"/>
  <c r="ED104" i="2" s="1"/>
  <c r="DJ112" i="2"/>
  <c r="EF112" i="2" s="1"/>
  <c r="DJ120" i="2"/>
  <c r="EF120" i="2" s="1"/>
  <c r="DJ86" i="2"/>
  <c r="EF86" i="2" s="1"/>
  <c r="DJ94" i="2"/>
  <c r="DR94" i="2" s="1"/>
  <c r="EG94" i="2" s="1"/>
  <c r="EJ94" i="2" s="1"/>
  <c r="DJ102" i="2"/>
  <c r="EF102" i="2" s="1"/>
  <c r="DJ110" i="2"/>
  <c r="EF110" i="2" s="1"/>
  <c r="DJ118" i="2"/>
  <c r="EE118" i="2" s="1"/>
  <c r="DJ126" i="2"/>
  <c r="EF126" i="2" s="1"/>
  <c r="DJ85" i="2"/>
  <c r="EF85" i="2" s="1"/>
  <c r="DJ93" i="2"/>
  <c r="EB93" i="2" s="1"/>
  <c r="EC93" i="2" s="1"/>
  <c r="DJ101" i="2"/>
  <c r="EF101" i="2" s="1"/>
  <c r="DJ109" i="2"/>
  <c r="DY109" i="2" s="1"/>
  <c r="DJ117" i="2"/>
  <c r="EE117" i="2" s="1"/>
  <c r="DJ125" i="2"/>
  <c r="EE125" i="2" s="1"/>
  <c r="DJ87" i="2"/>
  <c r="DU87" i="2" s="1"/>
  <c r="DV87" i="2" s="1"/>
  <c r="DW87" i="2" s="1"/>
  <c r="DJ91" i="2"/>
  <c r="DT91" i="2" s="1"/>
  <c r="DJ95" i="2"/>
  <c r="DY95" i="2" s="1"/>
  <c r="DJ99" i="2"/>
  <c r="EB99" i="2" s="1"/>
  <c r="EC99" i="2" s="1"/>
  <c r="DJ103" i="2"/>
  <c r="DY103" i="2" s="1"/>
  <c r="DJ107" i="2"/>
  <c r="EF107" i="2" s="1"/>
  <c r="DJ111" i="2"/>
  <c r="DU111" i="2" s="1"/>
  <c r="DV111" i="2" s="1"/>
  <c r="DJ115" i="2"/>
  <c r="EB115" i="2" s="1"/>
  <c r="EC115" i="2" s="1"/>
  <c r="DJ119" i="2"/>
  <c r="DK119" i="2" s="1"/>
  <c r="DJ123" i="2"/>
  <c r="EE123" i="2" s="1"/>
  <c r="DJ127" i="2"/>
  <c r="ED127" i="2" s="1"/>
  <c r="EE92" i="2"/>
  <c r="EE100" i="2"/>
  <c r="EE94" i="2"/>
  <c r="EF89" i="2" l="1"/>
  <c r="DK101" i="2"/>
  <c r="DL101" i="2" s="1"/>
  <c r="DN101" i="2" s="1"/>
  <c r="DO101" i="2" s="1"/>
  <c r="DP101" i="2" s="1"/>
  <c r="DH101" i="2" s="1"/>
  <c r="EB85" i="2"/>
  <c r="EC85" i="2" s="1"/>
  <c r="DT96" i="2"/>
  <c r="EE114" i="2"/>
  <c r="EB113" i="2"/>
  <c r="EC113" i="2" s="1"/>
  <c r="DT87" i="2"/>
  <c r="DX87" i="2" s="1"/>
  <c r="DR124" i="2"/>
  <c r="EG124" i="2" s="1"/>
  <c r="EJ124" i="2" s="1"/>
  <c r="DU117" i="2"/>
  <c r="DV117" i="2" s="1"/>
  <c r="ED113" i="2"/>
  <c r="DY102" i="2"/>
  <c r="DT86" i="2"/>
  <c r="DT84" i="2"/>
  <c r="DR114" i="2"/>
  <c r="EG114" i="2" s="1"/>
  <c r="EJ114" i="2" s="1"/>
  <c r="EB124" i="2"/>
  <c r="EC124" i="2" s="1"/>
  <c r="EF124" i="2"/>
  <c r="DR113" i="2"/>
  <c r="EG113" i="2" s="1"/>
  <c r="EJ113" i="2" s="1"/>
  <c r="DU113" i="2"/>
  <c r="DV113" i="2" s="1"/>
  <c r="DW113" i="2" s="1"/>
  <c r="DU105" i="2"/>
  <c r="DV105" i="2" s="1"/>
  <c r="DW105" i="2" s="1"/>
  <c r="DT118" i="2"/>
  <c r="DT112" i="2"/>
  <c r="ED84" i="2"/>
  <c r="DU103" i="2"/>
  <c r="DV103" i="2" s="1"/>
  <c r="DW103" i="2" s="1"/>
  <c r="DU122" i="2"/>
  <c r="DV122" i="2" s="1"/>
  <c r="DW122" i="2" s="1"/>
  <c r="DK114" i="2"/>
  <c r="EA114" i="2" s="1"/>
  <c r="DZ114" i="2" s="1"/>
  <c r="DU90" i="2"/>
  <c r="DV90" i="2" s="1"/>
  <c r="DW90" i="2" s="1"/>
  <c r="DU124" i="2"/>
  <c r="DV124" i="2" s="1"/>
  <c r="DY124" i="2"/>
  <c r="DR108" i="2"/>
  <c r="EG108" i="2" s="1"/>
  <c r="EJ108" i="2" s="1"/>
  <c r="EF117" i="2"/>
  <c r="DU127" i="2"/>
  <c r="DV127" i="2" s="1"/>
  <c r="DW127" i="2" s="1"/>
  <c r="DU95" i="2"/>
  <c r="DV95" i="2" s="1"/>
  <c r="DW95" i="2" s="1"/>
  <c r="DU115" i="2"/>
  <c r="DV115" i="2" s="1"/>
  <c r="DW115" i="2" s="1"/>
  <c r="DR98" i="2"/>
  <c r="EG98" i="2" s="1"/>
  <c r="EJ98" i="2" s="1"/>
  <c r="DU125" i="2"/>
  <c r="DV125" i="2" s="1"/>
  <c r="DW125" i="2" s="1"/>
  <c r="EE104" i="2"/>
  <c r="EE91" i="2"/>
  <c r="DT117" i="2"/>
  <c r="DY117" i="2"/>
  <c r="EE113" i="2"/>
  <c r="DT113" i="2"/>
  <c r="DK113" i="2"/>
  <c r="DL113" i="2" s="1"/>
  <c r="DN113" i="2" s="1"/>
  <c r="DO113" i="2" s="1"/>
  <c r="DP113" i="2" s="1"/>
  <c r="DH113" i="2" s="1"/>
  <c r="DY113" i="2"/>
  <c r="ED105" i="2"/>
  <c r="EB101" i="2"/>
  <c r="EC101" i="2" s="1"/>
  <c r="DK85" i="2"/>
  <c r="DL85" i="2" s="1"/>
  <c r="DN85" i="2" s="1"/>
  <c r="DO85" i="2" s="1"/>
  <c r="DP85" i="2" s="1"/>
  <c r="DH85" i="2" s="1"/>
  <c r="DK118" i="2"/>
  <c r="EA118" i="2" s="1"/>
  <c r="DZ118" i="2" s="1"/>
  <c r="DT102" i="2"/>
  <c r="DY86" i="2"/>
  <c r="EB112" i="2"/>
  <c r="EC112" i="2" s="1"/>
  <c r="DK96" i="2"/>
  <c r="EA96" i="2" s="1"/>
  <c r="DZ96" i="2" s="1"/>
  <c r="DK84" i="2"/>
  <c r="DL84" i="2" s="1"/>
  <c r="DN84" i="2" s="1"/>
  <c r="DO84" i="2" s="1"/>
  <c r="EF84" i="2"/>
  <c r="EB119" i="2"/>
  <c r="EC119" i="2" s="1"/>
  <c r="ED111" i="2"/>
  <c r="EF95" i="2"/>
  <c r="DY87" i="2"/>
  <c r="DR122" i="2"/>
  <c r="EG122" i="2" s="1"/>
  <c r="EJ122" i="2" s="1"/>
  <c r="EB114" i="2"/>
  <c r="EC114" i="2" s="1"/>
  <c r="DT90" i="2"/>
  <c r="DK124" i="2"/>
  <c r="DL124" i="2" s="1"/>
  <c r="DN124" i="2" s="1"/>
  <c r="DO124" i="2" s="1"/>
  <c r="DP124" i="2" s="1"/>
  <c r="DH124" i="2" s="1"/>
  <c r="EE124" i="2"/>
  <c r="DT124" i="2"/>
  <c r="DK100" i="2"/>
  <c r="EA100" i="2" s="1"/>
  <c r="DZ100" i="2" s="1"/>
  <c r="DT127" i="2"/>
  <c r="DT119" i="2"/>
  <c r="EE111" i="2"/>
  <c r="EF103" i="2"/>
  <c r="DR121" i="2"/>
  <c r="EG121" i="2" s="1"/>
  <c r="EJ121" i="2" s="1"/>
  <c r="EB97" i="2"/>
  <c r="EC97" i="2" s="1"/>
  <c r="EE126" i="2"/>
  <c r="DR120" i="2"/>
  <c r="EG120" i="2" s="1"/>
  <c r="EJ120" i="2" s="1"/>
  <c r="DY99" i="2"/>
  <c r="DR125" i="2"/>
  <c r="EG125" i="2" s="1"/>
  <c r="EJ125" i="2" s="1"/>
  <c r="DU109" i="2"/>
  <c r="DV109" i="2" s="1"/>
  <c r="DW109" i="2" s="1"/>
  <c r="DK93" i="2"/>
  <c r="EA93" i="2" s="1"/>
  <c r="DZ93" i="2" s="1"/>
  <c r="DK126" i="2"/>
  <c r="EA126" i="2" s="1"/>
  <c r="DZ126" i="2" s="1"/>
  <c r="DT110" i="2"/>
  <c r="EF94" i="2"/>
  <c r="DY104" i="2"/>
  <c r="ED88" i="2"/>
  <c r="ED123" i="2"/>
  <c r="ED107" i="2"/>
  <c r="DK91" i="2"/>
  <c r="DL91" i="2" s="1"/>
  <c r="DN91" i="2" s="1"/>
  <c r="DO91" i="2" s="1"/>
  <c r="DP91" i="2" s="1"/>
  <c r="DH91" i="2" s="1"/>
  <c r="DK83" i="2"/>
  <c r="DL83" i="2" s="1"/>
  <c r="DN83" i="2" s="1"/>
  <c r="DO83" i="2" s="1"/>
  <c r="DT106" i="2"/>
  <c r="EF98" i="2"/>
  <c r="DY125" i="2"/>
  <c r="EB125" i="2"/>
  <c r="EC125" i="2" s="1"/>
  <c r="DK121" i="2"/>
  <c r="DL121" i="2" s="1"/>
  <c r="DN121" i="2" s="1"/>
  <c r="DO121" i="2" s="1"/>
  <c r="DP121" i="2" s="1"/>
  <c r="DH121" i="2" s="1"/>
  <c r="DY89" i="2"/>
  <c r="EE110" i="2"/>
  <c r="DK120" i="2"/>
  <c r="EA120" i="2" s="1"/>
  <c r="DZ120" i="2" s="1"/>
  <c r="DY88" i="2"/>
  <c r="DX127" i="2"/>
  <c r="DU123" i="2"/>
  <c r="DV123" i="2" s="1"/>
  <c r="DW123" i="2" s="1"/>
  <c r="DR117" i="2"/>
  <c r="EG117" i="2" s="1"/>
  <c r="EJ117" i="2" s="1"/>
  <c r="EB117" i="2"/>
  <c r="EC117" i="2" s="1"/>
  <c r="DK117" i="2"/>
  <c r="DL117" i="2" s="1"/>
  <c r="DN117" i="2" s="1"/>
  <c r="DO117" i="2" s="1"/>
  <c r="DP117" i="2" s="1"/>
  <c r="DH117" i="2" s="1"/>
  <c r="ED117" i="2"/>
  <c r="DK105" i="2"/>
  <c r="DL105" i="2" s="1"/>
  <c r="DN105" i="2" s="1"/>
  <c r="DO105" i="2" s="1"/>
  <c r="DP105" i="2" s="1"/>
  <c r="DH105" i="2" s="1"/>
  <c r="DU101" i="2"/>
  <c r="DV101" i="2" s="1"/>
  <c r="DW101" i="2" s="1"/>
  <c r="DT101" i="2"/>
  <c r="DU85" i="2"/>
  <c r="DV85" i="2" s="1"/>
  <c r="DW85" i="2" s="1"/>
  <c r="DT85" i="2"/>
  <c r="DY118" i="2"/>
  <c r="ED118" i="2"/>
  <c r="EE102" i="2"/>
  <c r="DK102" i="2"/>
  <c r="DL102" i="2" s="1"/>
  <c r="DN102" i="2" s="1"/>
  <c r="DO102" i="2" s="1"/>
  <c r="DP102" i="2" s="1"/>
  <c r="DH102" i="2" s="1"/>
  <c r="EE86" i="2"/>
  <c r="DK86" i="2"/>
  <c r="EA86" i="2" s="1"/>
  <c r="DZ86" i="2" s="1"/>
  <c r="DK112" i="2"/>
  <c r="DL112" i="2" s="1"/>
  <c r="DN112" i="2" s="1"/>
  <c r="DO112" i="2" s="1"/>
  <c r="DP112" i="2" s="1"/>
  <c r="DH112" i="2" s="1"/>
  <c r="DU112" i="2"/>
  <c r="DV112" i="2" s="1"/>
  <c r="DW112" i="2" s="1"/>
  <c r="DX112" i="2" s="1"/>
  <c r="DY96" i="2"/>
  <c r="ED96" i="2"/>
  <c r="DK127" i="2"/>
  <c r="DL127" i="2" s="1"/>
  <c r="DN127" i="2" s="1"/>
  <c r="DO127" i="2" s="1"/>
  <c r="DP127" i="2" s="1"/>
  <c r="DH127" i="2" s="1"/>
  <c r="ED119" i="2"/>
  <c r="DT111" i="2"/>
  <c r="DT103" i="2"/>
  <c r="DT95" i="2"/>
  <c r="EF87" i="2"/>
  <c r="DY122" i="2"/>
  <c r="EE90" i="2"/>
  <c r="DT123" i="2"/>
  <c r="DK123" i="2"/>
  <c r="DL123" i="2" s="1"/>
  <c r="DN123" i="2" s="1"/>
  <c r="DO123" i="2" s="1"/>
  <c r="DP123" i="2" s="1"/>
  <c r="DH123" i="2" s="1"/>
  <c r="DY123" i="2"/>
  <c r="EB123" i="2"/>
  <c r="EC123" i="2" s="1"/>
  <c r="EE115" i="2"/>
  <c r="DT115" i="2"/>
  <c r="ED115" i="2"/>
  <c r="DK115" i="2"/>
  <c r="DL115" i="2" s="1"/>
  <c r="DN115" i="2" s="1"/>
  <c r="DO115" i="2" s="1"/>
  <c r="DP115" i="2" s="1"/>
  <c r="DH115" i="2" s="1"/>
  <c r="DY115" i="2"/>
  <c r="DU107" i="2"/>
  <c r="DV107" i="2" s="1"/>
  <c r="DW107" i="2" s="1"/>
  <c r="EB107" i="2"/>
  <c r="EC107" i="2" s="1"/>
  <c r="DR107" i="2"/>
  <c r="EG107" i="2" s="1"/>
  <c r="EJ107" i="2" s="1"/>
  <c r="DY107" i="2"/>
  <c r="EE99" i="2"/>
  <c r="EF99" i="2"/>
  <c r="DT99" i="2"/>
  <c r="ED99" i="2"/>
  <c r="DK99" i="2"/>
  <c r="EA99" i="2" s="1"/>
  <c r="DZ99" i="2" s="1"/>
  <c r="DU91" i="2"/>
  <c r="DV91" i="2" s="1"/>
  <c r="DW91" i="2" s="1"/>
  <c r="DX91" i="2" s="1"/>
  <c r="EB91" i="2"/>
  <c r="EC91" i="2" s="1"/>
  <c r="DR91" i="2"/>
  <c r="EG91" i="2" s="1"/>
  <c r="EJ91" i="2" s="1"/>
  <c r="DY91" i="2"/>
  <c r="EB109" i="2"/>
  <c r="EC109" i="2" s="1"/>
  <c r="DK109" i="2"/>
  <c r="DL109" i="2" s="1"/>
  <c r="DN109" i="2" s="1"/>
  <c r="DO109" i="2" s="1"/>
  <c r="DP109" i="2" s="1"/>
  <c r="DH109" i="2" s="1"/>
  <c r="EF109" i="2"/>
  <c r="DT109" i="2"/>
  <c r="EE93" i="2"/>
  <c r="DR93" i="2"/>
  <c r="EG93" i="2" s="1"/>
  <c r="EJ93" i="2" s="1"/>
  <c r="ED93" i="2"/>
  <c r="EF93" i="2"/>
  <c r="DU93" i="2"/>
  <c r="DV93" i="2" s="1"/>
  <c r="DW93" i="2" s="1"/>
  <c r="EB126" i="2"/>
  <c r="EC126" i="2" s="1"/>
  <c r="DR126" i="2"/>
  <c r="EG126" i="2" s="1"/>
  <c r="EJ126" i="2" s="1"/>
  <c r="DY126" i="2"/>
  <c r="DU126" i="2"/>
  <c r="DV126" i="2" s="1"/>
  <c r="DW126" i="2" s="1"/>
  <c r="ED110" i="2"/>
  <c r="DY110" i="2"/>
  <c r="DR110" i="2"/>
  <c r="EG110" i="2" s="1"/>
  <c r="EJ110" i="2" s="1"/>
  <c r="DU110" i="2"/>
  <c r="DV110" i="2" s="1"/>
  <c r="DW110" i="2" s="1"/>
  <c r="ED94" i="2"/>
  <c r="DT94" i="2"/>
  <c r="EB94" i="2"/>
  <c r="EC94" i="2" s="1"/>
  <c r="DK94" i="2"/>
  <c r="EA94" i="2" s="1"/>
  <c r="DZ94" i="2" s="1"/>
  <c r="ED120" i="2"/>
  <c r="DT120" i="2"/>
  <c r="EE120" i="2"/>
  <c r="DU120" i="2"/>
  <c r="DV120" i="2" s="1"/>
  <c r="DW120" i="2" s="1"/>
  <c r="DX120" i="2" s="1"/>
  <c r="EB104" i="2"/>
  <c r="EC104" i="2" s="1"/>
  <c r="DR104" i="2"/>
  <c r="EG104" i="2" s="1"/>
  <c r="EJ104" i="2" s="1"/>
  <c r="DU104" i="2"/>
  <c r="DV104" i="2" s="1"/>
  <c r="DW104" i="2" s="1"/>
  <c r="EF104" i="2"/>
  <c r="EE121" i="2"/>
  <c r="EF121" i="2"/>
  <c r="DT121" i="2"/>
  <c r="ED121" i="2"/>
  <c r="DT89" i="2"/>
  <c r="DK89" i="2"/>
  <c r="DL89" i="2" s="1"/>
  <c r="DN89" i="2" s="1"/>
  <c r="DO89" i="2" s="1"/>
  <c r="DP89" i="2" s="1"/>
  <c r="DH89" i="2" s="1"/>
  <c r="EB89" i="2"/>
  <c r="EC89" i="2" s="1"/>
  <c r="ED89" i="2"/>
  <c r="EF106" i="2"/>
  <c r="DY106" i="2"/>
  <c r="DK106" i="2"/>
  <c r="EA106" i="2" s="1"/>
  <c r="DZ106" i="2" s="1"/>
  <c r="EB106" i="2"/>
  <c r="EC106" i="2" s="1"/>
  <c r="DR106" i="2"/>
  <c r="EG106" i="2" s="1"/>
  <c r="EJ106" i="2" s="1"/>
  <c r="EE116" i="2"/>
  <c r="EB116" i="2"/>
  <c r="EC116" i="2" s="1"/>
  <c r="DK116" i="2"/>
  <c r="DL116" i="2" s="1"/>
  <c r="DN116" i="2" s="1"/>
  <c r="DO116" i="2" s="1"/>
  <c r="DP116" i="2" s="1"/>
  <c r="DH116" i="2" s="1"/>
  <c r="EB88" i="2"/>
  <c r="EC88" i="2" s="1"/>
  <c r="DR88" i="2"/>
  <c r="EG88" i="2" s="1"/>
  <c r="EJ88" i="2" s="1"/>
  <c r="DU88" i="2"/>
  <c r="DV88" i="2" s="1"/>
  <c r="DW88" i="2" s="1"/>
  <c r="EF88" i="2"/>
  <c r="ED98" i="2"/>
  <c r="DU98" i="2"/>
  <c r="DV98" i="2" s="1"/>
  <c r="DW98" i="2" s="1"/>
  <c r="EE98" i="2"/>
  <c r="DT98" i="2"/>
  <c r="ED97" i="2"/>
  <c r="DY97" i="2"/>
  <c r="DR97" i="2"/>
  <c r="EG97" i="2" s="1"/>
  <c r="EJ97" i="2" s="1"/>
  <c r="DU97" i="2"/>
  <c r="DV97" i="2" s="1"/>
  <c r="DW97" i="2" s="1"/>
  <c r="EB92" i="2"/>
  <c r="EC92" i="2" s="1"/>
  <c r="DT92" i="2"/>
  <c r="ED92" i="2"/>
  <c r="DY83" i="2"/>
  <c r="DT83" i="2"/>
  <c r="DU83" i="2"/>
  <c r="DV83" i="2" s="1"/>
  <c r="DW83" i="2" s="1"/>
  <c r="DR83" i="2"/>
  <c r="DQ83" i="2" s="1"/>
  <c r="EF83" i="2"/>
  <c r="DK125" i="2"/>
  <c r="DL125" i="2" s="1"/>
  <c r="DN125" i="2" s="1"/>
  <c r="DO125" i="2" s="1"/>
  <c r="DP125" i="2" s="1"/>
  <c r="DH125" i="2" s="1"/>
  <c r="ED125" i="2"/>
  <c r="DT125" i="2"/>
  <c r="EF125" i="2"/>
  <c r="DY121" i="2"/>
  <c r="EB121" i="2"/>
  <c r="EC121" i="2" s="1"/>
  <c r="DR109" i="2"/>
  <c r="EG109" i="2" s="1"/>
  <c r="EJ109" i="2" s="1"/>
  <c r="ED109" i="2"/>
  <c r="EE109" i="2"/>
  <c r="EE97" i="2"/>
  <c r="DT97" i="2"/>
  <c r="EF97" i="2"/>
  <c r="DY93" i="2"/>
  <c r="DT93" i="2"/>
  <c r="DU89" i="2"/>
  <c r="DV89" i="2" s="1"/>
  <c r="DW89" i="2" s="1"/>
  <c r="DX89" i="2" s="1"/>
  <c r="DR89" i="2"/>
  <c r="EG89" i="2" s="1"/>
  <c r="EJ89" i="2" s="1"/>
  <c r="ED126" i="2"/>
  <c r="DT126" i="2"/>
  <c r="DK110" i="2"/>
  <c r="DL110" i="2" s="1"/>
  <c r="EB110" i="2"/>
  <c r="EC110" i="2" s="1"/>
  <c r="DU94" i="2"/>
  <c r="DV94" i="2" s="1"/>
  <c r="DW94" i="2" s="1"/>
  <c r="DY94" i="2"/>
  <c r="EB120" i="2"/>
  <c r="EC120" i="2" s="1"/>
  <c r="DY120" i="2"/>
  <c r="DK104" i="2"/>
  <c r="EA104" i="2" s="1"/>
  <c r="DZ104" i="2" s="1"/>
  <c r="DT104" i="2"/>
  <c r="DK88" i="2"/>
  <c r="DL88" i="2" s="1"/>
  <c r="DN88" i="2" s="1"/>
  <c r="DO88" i="2" s="1"/>
  <c r="DP88" i="2" s="1"/>
  <c r="DH88" i="2" s="1"/>
  <c r="DT88" i="2"/>
  <c r="EF123" i="2"/>
  <c r="DR123" i="2"/>
  <c r="EG123" i="2" s="1"/>
  <c r="EJ123" i="2" s="1"/>
  <c r="EF115" i="2"/>
  <c r="DR115" i="2"/>
  <c r="EG115" i="2" s="1"/>
  <c r="EJ115" i="2" s="1"/>
  <c r="DK107" i="2"/>
  <c r="DL107" i="2" s="1"/>
  <c r="DN107" i="2" s="1"/>
  <c r="DO107" i="2" s="1"/>
  <c r="DP107" i="2" s="1"/>
  <c r="DH107" i="2" s="1"/>
  <c r="DT107" i="2"/>
  <c r="EE107" i="2"/>
  <c r="DR99" i="2"/>
  <c r="EG99" i="2" s="1"/>
  <c r="EJ99" i="2" s="1"/>
  <c r="DU99" i="2"/>
  <c r="DV99" i="2" s="1"/>
  <c r="DW99" i="2" s="1"/>
  <c r="ED91" i="2"/>
  <c r="EF91" i="2"/>
  <c r="EB83" i="2"/>
  <c r="EC83" i="2" s="1"/>
  <c r="ED83" i="2"/>
  <c r="EE106" i="2"/>
  <c r="ED106" i="2"/>
  <c r="EB98" i="2"/>
  <c r="EC98" i="2" s="1"/>
  <c r="DY98" i="2"/>
  <c r="DT116" i="2"/>
  <c r="DX116" i="2" s="1"/>
  <c r="EF92" i="2"/>
  <c r="EF116" i="2"/>
  <c r="ED116" i="2"/>
  <c r="DR116" i="2"/>
  <c r="EG116" i="2" s="1"/>
  <c r="EJ116" i="2" s="1"/>
  <c r="DY116" i="2"/>
  <c r="DU92" i="2"/>
  <c r="DV92" i="2" s="1"/>
  <c r="DW92" i="2" s="1"/>
  <c r="DX92" i="2" s="1"/>
  <c r="DY92" i="2"/>
  <c r="DR92" i="2"/>
  <c r="EG92" i="2" s="1"/>
  <c r="EJ92" i="2" s="1"/>
  <c r="EF127" i="2"/>
  <c r="DY127" i="2"/>
  <c r="EB127" i="2"/>
  <c r="EC127" i="2" s="1"/>
  <c r="EE127" i="2"/>
  <c r="DR127" i="2"/>
  <c r="EG127" i="2" s="1"/>
  <c r="EJ127" i="2" s="1"/>
  <c r="EE119" i="2"/>
  <c r="DR119" i="2"/>
  <c r="EG119" i="2" s="1"/>
  <c r="EJ119" i="2" s="1"/>
  <c r="EF119" i="2"/>
  <c r="DU119" i="2"/>
  <c r="DV119" i="2" s="1"/>
  <c r="DW119" i="2" s="1"/>
  <c r="DY119" i="2"/>
  <c r="EF111" i="2"/>
  <c r="DY111" i="2"/>
  <c r="DK111" i="2"/>
  <c r="DL111" i="2" s="1"/>
  <c r="DN111" i="2" s="1"/>
  <c r="DO111" i="2" s="1"/>
  <c r="DP111" i="2" s="1"/>
  <c r="DH111" i="2" s="1"/>
  <c r="EB111" i="2"/>
  <c r="EC111" i="2" s="1"/>
  <c r="DR111" i="2"/>
  <c r="EG111" i="2" s="1"/>
  <c r="EJ111" i="2" s="1"/>
  <c r="EE103" i="2"/>
  <c r="ED103" i="2"/>
  <c r="DK103" i="2"/>
  <c r="DL103" i="2" s="1"/>
  <c r="DN103" i="2" s="1"/>
  <c r="DO103" i="2" s="1"/>
  <c r="DP103" i="2" s="1"/>
  <c r="DH103" i="2" s="1"/>
  <c r="EB103" i="2"/>
  <c r="EC103" i="2" s="1"/>
  <c r="DR103" i="2"/>
  <c r="EG103" i="2" s="1"/>
  <c r="EJ103" i="2" s="1"/>
  <c r="EE95" i="2"/>
  <c r="ED95" i="2"/>
  <c r="DK95" i="2"/>
  <c r="EA95" i="2" s="1"/>
  <c r="DZ95" i="2" s="1"/>
  <c r="EB95" i="2"/>
  <c r="EC95" i="2" s="1"/>
  <c r="DR95" i="2"/>
  <c r="EG95" i="2" s="1"/>
  <c r="EJ95" i="2" s="1"/>
  <c r="EE87" i="2"/>
  <c r="ED87" i="2"/>
  <c r="DK87" i="2"/>
  <c r="DL87" i="2" s="1"/>
  <c r="DN87" i="2" s="1"/>
  <c r="DO87" i="2" s="1"/>
  <c r="DP87" i="2" s="1"/>
  <c r="DH87" i="2" s="1"/>
  <c r="EB87" i="2"/>
  <c r="EC87" i="2" s="1"/>
  <c r="DR87" i="2"/>
  <c r="EG87" i="2" s="1"/>
  <c r="EJ87" i="2" s="1"/>
  <c r="ED101" i="2"/>
  <c r="DY101" i="2"/>
  <c r="DR101" i="2"/>
  <c r="EG101" i="2" s="1"/>
  <c r="EJ101" i="2" s="1"/>
  <c r="EE101" i="2"/>
  <c r="ED85" i="2"/>
  <c r="DY85" i="2"/>
  <c r="DR85" i="2"/>
  <c r="EG85" i="2" s="1"/>
  <c r="EJ85" i="2" s="1"/>
  <c r="EE85" i="2"/>
  <c r="EB118" i="2"/>
  <c r="EC118" i="2" s="1"/>
  <c r="DR118" i="2"/>
  <c r="EG118" i="2" s="1"/>
  <c r="EJ118" i="2" s="1"/>
  <c r="DU118" i="2"/>
  <c r="DV118" i="2" s="1"/>
  <c r="DW118" i="2" s="1"/>
  <c r="EF118" i="2"/>
  <c r="ED102" i="2"/>
  <c r="DU102" i="2"/>
  <c r="DV102" i="2" s="1"/>
  <c r="DW102" i="2" s="1"/>
  <c r="DX102" i="2" s="1"/>
  <c r="EB102" i="2"/>
  <c r="EC102" i="2" s="1"/>
  <c r="DR102" i="2"/>
  <c r="EG102" i="2" s="1"/>
  <c r="EJ102" i="2" s="1"/>
  <c r="ED86" i="2"/>
  <c r="DU86" i="2"/>
  <c r="DV86" i="2" s="1"/>
  <c r="DW86" i="2" s="1"/>
  <c r="EB86" i="2"/>
  <c r="EC86" i="2" s="1"/>
  <c r="DR86" i="2"/>
  <c r="EG86" i="2" s="1"/>
  <c r="EJ86" i="2" s="1"/>
  <c r="ED112" i="2"/>
  <c r="DY112" i="2"/>
  <c r="EE112" i="2"/>
  <c r="DR112" i="2"/>
  <c r="EG112" i="2" s="1"/>
  <c r="EJ112" i="2" s="1"/>
  <c r="EB96" i="2"/>
  <c r="EC96" i="2" s="1"/>
  <c r="DR96" i="2"/>
  <c r="EG96" i="2" s="1"/>
  <c r="EJ96" i="2" s="1"/>
  <c r="DU96" i="2"/>
  <c r="DV96" i="2" s="1"/>
  <c r="DW96" i="2" s="1"/>
  <c r="EF96" i="2"/>
  <c r="EF105" i="2"/>
  <c r="EB105" i="2"/>
  <c r="EC105" i="2" s="1"/>
  <c r="DT105" i="2"/>
  <c r="DR105" i="2"/>
  <c r="EG105" i="2" s="1"/>
  <c r="EJ105" i="2" s="1"/>
  <c r="EE105" i="2"/>
  <c r="EE122" i="2"/>
  <c r="DT122" i="2"/>
  <c r="EF122" i="2"/>
  <c r="ED122" i="2"/>
  <c r="DK122" i="2"/>
  <c r="EA122" i="2" s="1"/>
  <c r="DZ122" i="2" s="1"/>
  <c r="EF90" i="2"/>
  <c r="DY90" i="2"/>
  <c r="DR90" i="2"/>
  <c r="EG90" i="2" s="1"/>
  <c r="EJ90" i="2" s="1"/>
  <c r="EB90" i="2"/>
  <c r="EC90" i="2" s="1"/>
  <c r="DK90" i="2"/>
  <c r="DL90" i="2" s="1"/>
  <c r="DN90" i="2" s="1"/>
  <c r="DO90" i="2" s="1"/>
  <c r="DP90" i="2" s="1"/>
  <c r="DH90" i="2" s="1"/>
  <c r="EB100" i="2"/>
  <c r="EC100" i="2" s="1"/>
  <c r="DT100" i="2"/>
  <c r="ED100" i="2"/>
  <c r="EE108" i="2"/>
  <c r="EB108" i="2"/>
  <c r="EC108" i="2" s="1"/>
  <c r="DY108" i="2"/>
  <c r="DU114" i="2"/>
  <c r="DV114" i="2" s="1"/>
  <c r="DW114" i="2" s="1"/>
  <c r="DY114" i="2"/>
  <c r="EF114" i="2"/>
  <c r="DT114" i="2"/>
  <c r="EB84" i="2"/>
  <c r="EC84" i="2" s="1"/>
  <c r="DR84" i="2"/>
  <c r="EG84" i="2" s="1"/>
  <c r="EJ84" i="2" s="1"/>
  <c r="DY84" i="2"/>
  <c r="DU84" i="2"/>
  <c r="DV84" i="2" s="1"/>
  <c r="DW84" i="2" s="1"/>
  <c r="DX84" i="2" s="1"/>
  <c r="DK108" i="2"/>
  <c r="EA108" i="2" s="1"/>
  <c r="DZ108" i="2" s="1"/>
  <c r="ED108" i="2"/>
  <c r="EF108" i="2"/>
  <c r="DT108" i="2"/>
  <c r="DU100" i="2"/>
  <c r="DV100" i="2" s="1"/>
  <c r="DW100" i="2" s="1"/>
  <c r="DY100" i="2"/>
  <c r="DR100" i="2"/>
  <c r="EG100" i="2" s="1"/>
  <c r="EJ100" i="2" s="1"/>
  <c r="DX105" i="2"/>
  <c r="EA121" i="2"/>
  <c r="DZ121" i="2" s="1"/>
  <c r="DW117" i="2"/>
  <c r="EA113" i="2"/>
  <c r="DZ113" i="2" s="1"/>
  <c r="DL97" i="2"/>
  <c r="DN97" i="2" s="1"/>
  <c r="DO97" i="2" s="1"/>
  <c r="DP97" i="2" s="1"/>
  <c r="DH97" i="2" s="1"/>
  <c r="EA97" i="2"/>
  <c r="DZ97" i="2" s="1"/>
  <c r="DL126" i="2"/>
  <c r="DN126" i="2" s="1"/>
  <c r="DO126" i="2" s="1"/>
  <c r="DP126" i="2" s="1"/>
  <c r="DH126" i="2" s="1"/>
  <c r="DW108" i="2"/>
  <c r="DW121" i="2"/>
  <c r="EA119" i="2"/>
  <c r="DZ119" i="2" s="1"/>
  <c r="DL119" i="2"/>
  <c r="DN119" i="2" s="1"/>
  <c r="DO119" i="2" s="1"/>
  <c r="DP119" i="2" s="1"/>
  <c r="DH119" i="2" s="1"/>
  <c r="DW111" i="2"/>
  <c r="DL114" i="2"/>
  <c r="DN114" i="2" s="1"/>
  <c r="DO114" i="2" s="1"/>
  <c r="DP114" i="2" s="1"/>
  <c r="DH114" i="2" s="1"/>
  <c r="DW106" i="2"/>
  <c r="EA98" i="2"/>
  <c r="DZ98" i="2" s="1"/>
  <c r="DL98" i="2"/>
  <c r="DN98" i="2" s="1"/>
  <c r="DO98" i="2" s="1"/>
  <c r="DP98" i="2" s="1"/>
  <c r="DH98" i="2" s="1"/>
  <c r="DW124" i="2"/>
  <c r="EA92" i="2"/>
  <c r="DZ92" i="2" s="1"/>
  <c r="DL92" i="2"/>
  <c r="DN92" i="2" s="1"/>
  <c r="DO92" i="2" s="1"/>
  <c r="DP92" i="2" s="1"/>
  <c r="DH92" i="2" s="1"/>
  <c r="DX103" i="2" l="1"/>
  <c r="EA115" i="2"/>
  <c r="DZ115" i="2" s="1"/>
  <c r="EA105" i="2"/>
  <c r="DZ105" i="2" s="1"/>
  <c r="EA101" i="2"/>
  <c r="DZ101" i="2" s="1"/>
  <c r="EA83" i="2"/>
  <c r="DZ83" i="2" s="1"/>
  <c r="EA91" i="2"/>
  <c r="DZ91" i="2" s="1"/>
  <c r="EA85" i="2"/>
  <c r="DZ85" i="2" s="1"/>
  <c r="EA102" i="2"/>
  <c r="DZ102" i="2" s="1"/>
  <c r="DL96" i="2"/>
  <c r="DN96" i="2" s="1"/>
  <c r="DO96" i="2" s="1"/>
  <c r="DP96" i="2" s="1"/>
  <c r="DH96" i="2" s="1"/>
  <c r="DL118" i="2"/>
  <c r="DN118" i="2" s="1"/>
  <c r="DO118" i="2" s="1"/>
  <c r="DP118" i="2" s="1"/>
  <c r="DH118" i="2" s="1"/>
  <c r="EA124" i="2"/>
  <c r="DZ124" i="2" s="1"/>
  <c r="DL120" i="2"/>
  <c r="DN120" i="2" s="1"/>
  <c r="DO120" i="2" s="1"/>
  <c r="DP120" i="2" s="1"/>
  <c r="DH120" i="2" s="1"/>
  <c r="DX106" i="2"/>
  <c r="DX111" i="2"/>
  <c r="DX96" i="2"/>
  <c r="EA84" i="2"/>
  <c r="DZ84" i="2" s="1"/>
  <c r="EA112" i="2"/>
  <c r="DZ112" i="2" s="1"/>
  <c r="DX117" i="2"/>
  <c r="DX126" i="2"/>
  <c r="EA127" i="2"/>
  <c r="DZ127" i="2" s="1"/>
  <c r="DL100" i="2"/>
  <c r="DN100" i="2" s="1"/>
  <c r="DO100" i="2" s="1"/>
  <c r="DP100" i="2" s="1"/>
  <c r="DH100" i="2" s="1"/>
  <c r="DL93" i="2"/>
  <c r="DN93" i="2" s="1"/>
  <c r="DO93" i="2" s="1"/>
  <c r="DP93" i="2" s="1"/>
  <c r="DH93" i="2" s="1"/>
  <c r="DL99" i="2"/>
  <c r="DN99" i="2" s="1"/>
  <c r="DO99" i="2" s="1"/>
  <c r="DP99" i="2" s="1"/>
  <c r="DH99" i="2" s="1"/>
  <c r="DL86" i="2"/>
  <c r="DN86" i="2" s="1"/>
  <c r="DO86" i="2" s="1"/>
  <c r="DP86" i="2" s="1"/>
  <c r="DH86" i="2" s="1"/>
  <c r="EA117" i="2"/>
  <c r="DZ117" i="2" s="1"/>
  <c r="EA123" i="2"/>
  <c r="DZ123" i="2" s="1"/>
  <c r="DX95" i="2"/>
  <c r="DX90" i="2"/>
  <c r="DX113" i="2"/>
  <c r="EA116" i="2"/>
  <c r="DZ116" i="2" s="1"/>
  <c r="DL94" i="2"/>
  <c r="DN94" i="2" s="1"/>
  <c r="DO94" i="2" s="1"/>
  <c r="DP94" i="2" s="1"/>
  <c r="DH94" i="2" s="1"/>
  <c r="DX118" i="2"/>
  <c r="DX119" i="2"/>
  <c r="DX109" i="2"/>
  <c r="DX124" i="2"/>
  <c r="EG83" i="2"/>
  <c r="EJ83" i="2" s="1"/>
  <c r="DX115" i="2"/>
  <c r="DL104" i="2"/>
  <c r="DN104" i="2" s="1"/>
  <c r="DO104" i="2" s="1"/>
  <c r="DP104" i="2" s="1"/>
  <c r="DH104" i="2" s="1"/>
  <c r="DL106" i="2"/>
  <c r="DN106" i="2" s="1"/>
  <c r="DO106" i="2" s="1"/>
  <c r="DP106" i="2" s="1"/>
  <c r="DH106" i="2" s="1"/>
  <c r="EA109" i="2"/>
  <c r="DZ109" i="2" s="1"/>
  <c r="EA107" i="2"/>
  <c r="DZ107" i="2" s="1"/>
  <c r="EA125" i="2"/>
  <c r="DZ125" i="2" s="1"/>
  <c r="DX121" i="2"/>
  <c r="EA88" i="2"/>
  <c r="DZ88" i="2" s="1"/>
  <c r="EA110" i="2"/>
  <c r="DZ110" i="2" s="1"/>
  <c r="DX88" i="2"/>
  <c r="DX85" i="2"/>
  <c r="DX101" i="2"/>
  <c r="DL122" i="2"/>
  <c r="DN122" i="2" s="1"/>
  <c r="DO122" i="2" s="1"/>
  <c r="DP122" i="2" s="1"/>
  <c r="DH122" i="2" s="1"/>
  <c r="EA103" i="2"/>
  <c r="DZ103" i="2" s="1"/>
  <c r="DX123" i="2"/>
  <c r="EA89" i="2"/>
  <c r="DZ89" i="2" s="1"/>
  <c r="EA87" i="2"/>
  <c r="DZ87" i="2" s="1"/>
  <c r="DX97" i="2"/>
  <c r="DX83" i="2"/>
  <c r="DX99" i="2"/>
  <c r="EA111" i="2"/>
  <c r="DZ111" i="2" s="1"/>
  <c r="DN110" i="2"/>
  <c r="DO110" i="2" s="1"/>
  <c r="DP110" i="2" s="1"/>
  <c r="DH110" i="2" s="1"/>
  <c r="DX125" i="2"/>
  <c r="DX107" i="2"/>
  <c r="DX98" i="2"/>
  <c r="DL108" i="2"/>
  <c r="DN108" i="2" s="1"/>
  <c r="DO108" i="2" s="1"/>
  <c r="DP108" i="2" s="1"/>
  <c r="DH108" i="2" s="1"/>
  <c r="DX104" i="2"/>
  <c r="DX93" i="2"/>
  <c r="DX86" i="2"/>
  <c r="DX94" i="2"/>
  <c r="DX110" i="2"/>
  <c r="DX122" i="2"/>
  <c r="DX108" i="2"/>
  <c r="DL95" i="2"/>
  <c r="DN95" i="2" s="1"/>
  <c r="DO95" i="2" s="1"/>
  <c r="DP95" i="2" s="1"/>
  <c r="DH95" i="2" s="1"/>
  <c r="EA90" i="2"/>
  <c r="DZ90" i="2" s="1"/>
  <c r="DX114" i="2"/>
  <c r="DQ84" i="2"/>
  <c r="DQ85" i="2" s="1"/>
  <c r="DQ86" i="2" s="1"/>
  <c r="DQ87" i="2" s="1"/>
  <c r="DQ88" i="2" s="1"/>
  <c r="DQ89" i="2" s="1"/>
  <c r="DQ90" i="2" s="1"/>
  <c r="DQ91" i="2" s="1"/>
  <c r="DQ92" i="2" s="1"/>
  <c r="DQ93" i="2" s="1"/>
  <c r="DQ94" i="2" s="1"/>
  <c r="DQ95" i="2" s="1"/>
  <c r="DQ96" i="2" s="1"/>
  <c r="DQ97" i="2" s="1"/>
  <c r="DQ98" i="2" s="1"/>
  <c r="DQ99" i="2" s="1"/>
  <c r="DQ100" i="2" s="1"/>
  <c r="DQ101" i="2" s="1"/>
  <c r="DQ102" i="2" s="1"/>
  <c r="DQ103" i="2" s="1"/>
  <c r="DQ104" i="2" s="1"/>
  <c r="DQ105" i="2" s="1"/>
  <c r="DQ106" i="2" s="1"/>
  <c r="DQ107" i="2" s="1"/>
  <c r="DQ108" i="2" s="1"/>
  <c r="DQ109" i="2" s="1"/>
  <c r="DQ110" i="2" s="1"/>
  <c r="DQ111" i="2" s="1"/>
  <c r="DQ112" i="2" s="1"/>
  <c r="DQ113" i="2" s="1"/>
  <c r="DQ114" i="2" s="1"/>
  <c r="DQ115" i="2" s="1"/>
  <c r="DQ116" i="2" s="1"/>
  <c r="DQ117" i="2" s="1"/>
  <c r="DQ118" i="2" s="1"/>
  <c r="DQ119" i="2" s="1"/>
  <c r="DQ120" i="2" s="1"/>
  <c r="DQ121" i="2" s="1"/>
  <c r="DQ122" i="2" s="1"/>
  <c r="DQ123" i="2" s="1"/>
  <c r="DQ124" i="2" s="1"/>
  <c r="DQ125" i="2" s="1"/>
  <c r="DQ126" i="2" s="1"/>
  <c r="DQ127" i="2" s="1"/>
  <c r="DX100" i="2"/>
  <c r="DP23" i="2" l="1"/>
  <c r="DH23" i="2" s="1"/>
  <c r="DP19" i="2"/>
  <c r="DH19" i="2" s="1"/>
  <c r="DP20" i="2"/>
  <c r="DH20" i="2" s="1"/>
  <c r="DP4" i="2"/>
  <c r="DH4" i="2" s="1"/>
  <c r="DP40" i="2"/>
  <c r="DH40" i="2" s="1"/>
  <c r="DP83" i="2"/>
  <c r="DH83" i="2" s="1"/>
  <c r="DP22" i="2"/>
  <c r="DH22" i="2" s="1"/>
  <c r="DP62" i="2"/>
  <c r="DH62" i="2" s="1"/>
  <c r="DP18" i="2"/>
  <c r="DH18" i="2" s="1"/>
  <c r="DP3" i="2"/>
  <c r="DH3" i="2" s="1"/>
  <c r="DP21" i="2"/>
  <c r="DH21" i="2" s="1"/>
  <c r="DP84" i="2"/>
  <c r="DH84" i="2" s="1"/>
  <c r="BY27" i="1" l="1"/>
  <c r="BY43" i="1"/>
  <c r="AG35" i="1"/>
  <c r="E32" i="1"/>
  <c r="DM32" i="1" s="1"/>
  <c r="BQ38" i="1"/>
  <c r="E31" i="1"/>
  <c r="DM31" i="1" s="1"/>
  <c r="BI27" i="1"/>
  <c r="BY30" i="1"/>
  <c r="E30" i="1"/>
  <c r="DM30" i="1" s="1"/>
  <c r="EC30" i="1" s="1"/>
  <c r="AG38" i="1"/>
  <c r="BI32" i="1"/>
  <c r="BI43" i="1"/>
  <c r="BQ35" i="1"/>
  <c r="BY35" i="1"/>
  <c r="E39" i="1"/>
  <c r="DM39" i="1" s="1"/>
  <c r="E44" i="1"/>
  <c r="EK44" i="1" s="1"/>
  <c r="AG30" i="1"/>
  <c r="AG27" i="1"/>
  <c r="AG43" i="1"/>
  <c r="BI40" i="1"/>
  <c r="BI35" i="1"/>
  <c r="BQ30" i="1"/>
  <c r="BQ27" i="1"/>
  <c r="BQ43" i="1"/>
  <c r="BY38" i="1"/>
  <c r="BY39" i="1"/>
  <c r="E27" i="1"/>
  <c r="DM27" i="1" s="1"/>
  <c r="EK27" i="1" s="1"/>
  <c r="E38" i="1"/>
  <c r="BB38" i="1" s="1"/>
  <c r="E29" i="1"/>
  <c r="DE29" i="1" s="1"/>
  <c r="E36" i="1"/>
  <c r="DM36" i="1" s="1"/>
  <c r="EC36" i="1" s="1"/>
  <c r="E41" i="1"/>
  <c r="DE41" i="1" s="1"/>
  <c r="AG26" i="1"/>
  <c r="AG34" i="1"/>
  <c r="AG42" i="1"/>
  <c r="AG31" i="1"/>
  <c r="AG39" i="1"/>
  <c r="BI26" i="1"/>
  <c r="BI36" i="1"/>
  <c r="BI44" i="1"/>
  <c r="BI31" i="1"/>
  <c r="BI39" i="1"/>
  <c r="BQ26" i="1"/>
  <c r="BQ34" i="1"/>
  <c r="BQ42" i="1"/>
  <c r="BQ31" i="1"/>
  <c r="BQ39" i="1"/>
  <c r="BY26" i="1"/>
  <c r="BY34" i="1"/>
  <c r="BY42" i="1"/>
  <c r="BY31" i="1"/>
  <c r="BY45" i="1"/>
  <c r="E28" i="1"/>
  <c r="CW28" i="1" s="1"/>
  <c r="E34" i="1"/>
  <c r="DM34" i="1" s="1"/>
  <c r="E42" i="1"/>
  <c r="DM42" i="1" s="1"/>
  <c r="E43" i="1"/>
  <c r="DM43" i="1" s="1"/>
  <c r="E26" i="1"/>
  <c r="E33" i="1"/>
  <c r="DM33" i="1" s="1"/>
  <c r="E40" i="1"/>
  <c r="EC40" i="1" s="1"/>
  <c r="E37" i="1"/>
  <c r="DM37" i="1" s="1"/>
  <c r="E45" i="1"/>
  <c r="EC45" i="1" s="1"/>
  <c r="E35" i="1"/>
  <c r="DM35" i="1" s="1"/>
  <c r="EK35" i="1" s="1"/>
  <c r="AG28" i="1"/>
  <c r="AG32" i="1"/>
  <c r="AG36" i="1"/>
  <c r="AG40" i="1"/>
  <c r="AG44" i="1"/>
  <c r="AG29" i="1"/>
  <c r="AG33" i="1"/>
  <c r="AG37" i="1"/>
  <c r="AG41" i="1"/>
  <c r="AG45" i="1"/>
  <c r="BI30" i="1"/>
  <c r="BI34" i="1"/>
  <c r="BI38" i="1"/>
  <c r="BI42" i="1"/>
  <c r="BI28" i="1"/>
  <c r="BI29" i="1"/>
  <c r="BI33" i="1"/>
  <c r="BI37" i="1"/>
  <c r="BI41" i="1"/>
  <c r="BI45" i="1"/>
  <c r="BQ28" i="1"/>
  <c r="BQ32" i="1"/>
  <c r="BQ36" i="1"/>
  <c r="BQ40" i="1"/>
  <c r="BQ44" i="1"/>
  <c r="BQ29" i="1"/>
  <c r="BQ33" i="1"/>
  <c r="BQ37" i="1"/>
  <c r="BQ41" i="1"/>
  <c r="BQ45" i="1"/>
  <c r="BY28" i="1"/>
  <c r="BY32" i="1"/>
  <c r="BY36" i="1"/>
  <c r="BY40" i="1"/>
  <c r="BY44" i="1"/>
  <c r="BY29" i="1"/>
  <c r="BY33" i="1"/>
  <c r="BY37" i="1"/>
  <c r="BY41" i="1"/>
  <c r="DE39" i="1"/>
  <c r="EC37" i="1" l="1"/>
  <c r="CW30" i="1"/>
  <c r="DU41" i="1"/>
  <c r="DE27" i="1"/>
  <c r="EK34" i="1"/>
  <c r="ES39" i="1"/>
  <c r="BB39" i="1"/>
  <c r="DM41" i="1"/>
  <c r="DU37" i="1"/>
  <c r="EC43" i="1"/>
  <c r="EK41" i="1"/>
  <c r="EK39" i="1"/>
  <c r="BB41" i="1"/>
  <c r="CW29" i="1"/>
  <c r="CW27" i="1"/>
  <c r="DM29" i="1"/>
  <c r="EC29" i="1" s="1"/>
  <c r="DE30" i="1"/>
  <c r="EH88" i="2"/>
  <c r="EI75" i="2"/>
  <c r="DE40" i="1"/>
  <c r="DE31" i="1"/>
  <c r="EI82" i="2"/>
  <c r="EH40" i="2"/>
  <c r="EI98" i="2"/>
  <c r="EK45" i="1"/>
  <c r="EH51" i="2"/>
  <c r="EH53" i="2"/>
  <c r="EH52" i="2"/>
  <c r="EI116" i="2"/>
  <c r="DM28" i="1"/>
  <c r="EK28" i="1" s="1"/>
  <c r="EK40" i="1"/>
  <c r="EH62" i="2"/>
  <c r="EI63" i="2"/>
  <c r="EI68" i="2"/>
  <c r="EI80" i="2"/>
  <c r="EI4" i="2"/>
  <c r="EH26" i="2"/>
  <c r="EH101" i="2"/>
  <c r="EH31" i="2"/>
  <c r="ES32" i="1"/>
  <c r="DE32" i="1"/>
  <c r="EH69" i="2"/>
  <c r="EI3" i="2"/>
  <c r="EI59" i="2"/>
  <c r="EH3" i="2"/>
  <c r="EJ3" i="2" s="1"/>
  <c r="EI60" i="2"/>
  <c r="EI70" i="2"/>
  <c r="EH49" i="2"/>
  <c r="EI81" i="2"/>
  <c r="EH64" i="2"/>
  <c r="EH14" i="2"/>
  <c r="EH63" i="2"/>
  <c r="EI36" i="2"/>
  <c r="EH108" i="2"/>
  <c r="EI115" i="2"/>
  <c r="EI45" i="2"/>
  <c r="EC42" i="1"/>
  <c r="EK31" i="1"/>
  <c r="EK38" i="1"/>
  <c r="CW36" i="1"/>
  <c r="CW31" i="1"/>
  <c r="CW32" i="1"/>
  <c r="EH15" i="2"/>
  <c r="EI85" i="2"/>
  <c r="EI125" i="2"/>
  <c r="CW37" i="1"/>
  <c r="DE35" i="1"/>
  <c r="DE43" i="1"/>
  <c r="EK37" i="1"/>
  <c r="ES37" i="1"/>
  <c r="EC33" i="1"/>
  <c r="EI64" i="2"/>
  <c r="EH71" i="2"/>
  <c r="EH23" i="2"/>
  <c r="EH48" i="2"/>
  <c r="EI69" i="2"/>
  <c r="EI72" i="2"/>
  <c r="EH68" i="2"/>
  <c r="EI58" i="2"/>
  <c r="EI50" i="2"/>
  <c r="EI73" i="2"/>
  <c r="EH22" i="2"/>
  <c r="EH50" i="2"/>
  <c r="EH46" i="2"/>
  <c r="EI15" i="2"/>
  <c r="EI47" i="2"/>
  <c r="EI9" i="2"/>
  <c r="EI51" i="2"/>
  <c r="EH11" i="2"/>
  <c r="EH8" i="2"/>
  <c r="EI27" i="2"/>
  <c r="EI32" i="2"/>
  <c r="EI89" i="2"/>
  <c r="EH100" i="2"/>
  <c r="EH93" i="2"/>
  <c r="EH109" i="2"/>
  <c r="EI117" i="2"/>
  <c r="EI126" i="2"/>
  <c r="EI57" i="2"/>
  <c r="EI40" i="2"/>
  <c r="EH34" i="2"/>
  <c r="EI105" i="2"/>
  <c r="EH112" i="2"/>
  <c r="DU43" i="1"/>
  <c r="EC41" i="1"/>
  <c r="ES41" i="1"/>
  <c r="DU39" i="1"/>
  <c r="EC39" i="1"/>
  <c r="CW35" i="1"/>
  <c r="CW43" i="1"/>
  <c r="CW41" i="1"/>
  <c r="BB30" i="1"/>
  <c r="CW39" i="1"/>
  <c r="CW33" i="1"/>
  <c r="DM45" i="1"/>
  <c r="BB45" i="1"/>
  <c r="DM40" i="1"/>
  <c r="CW40" i="1"/>
  <c r="DM26" i="1"/>
  <c r="EC26" i="1" s="1"/>
  <c r="CW26" i="1"/>
  <c r="EH125" i="2"/>
  <c r="EH117" i="2"/>
  <c r="EH118" i="2"/>
  <c r="EH116" i="2"/>
  <c r="EI112" i="2"/>
  <c r="EI102" i="2"/>
  <c r="EI94" i="2"/>
  <c r="EI110" i="2"/>
  <c r="EI101" i="2"/>
  <c r="EI91" i="2"/>
  <c r="EH90" i="2"/>
  <c r="EI37" i="2"/>
  <c r="EI31" i="2"/>
  <c r="EI24" i="2"/>
  <c r="EI33" i="2"/>
  <c r="EH55" i="2"/>
  <c r="EH13" i="2"/>
  <c r="EH44" i="2"/>
  <c r="EI12" i="2"/>
  <c r="EH75" i="2"/>
  <c r="EH61" i="2"/>
  <c r="EH58" i="2"/>
  <c r="EH59" i="2"/>
  <c r="EH56" i="2"/>
  <c r="EI122" i="2"/>
  <c r="EI118" i="2"/>
  <c r="EH126" i="2"/>
  <c r="EI121" i="2"/>
  <c r="EI114" i="2"/>
  <c r="EI119" i="2"/>
  <c r="EI113" i="2"/>
  <c r="EI109" i="2"/>
  <c r="EH107" i="2"/>
  <c r="EH103" i="2"/>
  <c r="EH99" i="2"/>
  <c r="EH95" i="2"/>
  <c r="EH91" i="2"/>
  <c r="EH111" i="2"/>
  <c r="EH106" i="2"/>
  <c r="EH102" i="2"/>
  <c r="EH98" i="2"/>
  <c r="EH92" i="2"/>
  <c r="EH86" i="2"/>
  <c r="EI93" i="2"/>
  <c r="EI86" i="2"/>
  <c r="EI83" i="2"/>
  <c r="EH37" i="2"/>
  <c r="EI34" i="2"/>
  <c r="EH30" i="2"/>
  <c r="EH27" i="2"/>
  <c r="EH24" i="2"/>
  <c r="EH29" i="2"/>
  <c r="EI25" i="2"/>
  <c r="EH66" i="2"/>
  <c r="EH47" i="2"/>
  <c r="EI55" i="2"/>
  <c r="EI5" i="2"/>
  <c r="EI76" i="2"/>
  <c r="EI62" i="2"/>
  <c r="EI6" i="2"/>
  <c r="EI79" i="2"/>
  <c r="EI43" i="2"/>
  <c r="EI78" i="2"/>
  <c r="DE42" i="1"/>
  <c r="BB42" i="1"/>
  <c r="EK42" i="1"/>
  <c r="DU42" i="1"/>
  <c r="DE28" i="1"/>
  <c r="DE36" i="1"/>
  <c r="BB36" i="1"/>
  <c r="DE38" i="1"/>
  <c r="CW38" i="1"/>
  <c r="EC38" i="1"/>
  <c r="ES38" i="1"/>
  <c r="DE44" i="1"/>
  <c r="BB44" i="1"/>
  <c r="ES44" i="1"/>
  <c r="EC44" i="1"/>
  <c r="DU45" i="1"/>
  <c r="ES45" i="1"/>
  <c r="DU40" i="1"/>
  <c r="ES40" i="1"/>
  <c r="EI74" i="2"/>
  <c r="EI23" i="2"/>
  <c r="EH70" i="2"/>
  <c r="EH67" i="2"/>
  <c r="EI42" i="2"/>
  <c r="EI61" i="2"/>
  <c r="EH6" i="2"/>
  <c r="EH17" i="2"/>
  <c r="EI41" i="2"/>
  <c r="EH10" i="2"/>
  <c r="EI22" i="2"/>
  <c r="EI66" i="2"/>
  <c r="EH72" i="2"/>
  <c r="EH4" i="2"/>
  <c r="EH7" i="2"/>
  <c r="EH5" i="2"/>
  <c r="EI54" i="2"/>
  <c r="EI14" i="2"/>
  <c r="EI67" i="2"/>
  <c r="EH9" i="2"/>
  <c r="EI16" i="2"/>
  <c r="EI10" i="2"/>
  <c r="EI13" i="2"/>
  <c r="EH38" i="2"/>
  <c r="EI7" i="2"/>
  <c r="EH43" i="2"/>
  <c r="EH12" i="2"/>
  <c r="EH42" i="2"/>
  <c r="EH16" i="2"/>
  <c r="EH45" i="2"/>
  <c r="EI17" i="2"/>
  <c r="EI71" i="2"/>
  <c r="EH41" i="2"/>
  <c r="EI49" i="2"/>
  <c r="EH73" i="2"/>
  <c r="EI56" i="2"/>
  <c r="EH82" i="2"/>
  <c r="EH32" i="2"/>
  <c r="EH28" i="2"/>
  <c r="EI35" i="2"/>
  <c r="EI84" i="2"/>
  <c r="EH84" i="2"/>
  <c r="EH96" i="2"/>
  <c r="EH104" i="2"/>
  <c r="EH89" i="2"/>
  <c r="EH97" i="2"/>
  <c r="EH105" i="2"/>
  <c r="EI111" i="2"/>
  <c r="EI123" i="2"/>
  <c r="EH124" i="2"/>
  <c r="EI120" i="2"/>
  <c r="EI8" i="2"/>
  <c r="EI11" i="2"/>
  <c r="EH57" i="2"/>
  <c r="EH65" i="2"/>
  <c r="EH74" i="2"/>
  <c r="EI28" i="2"/>
  <c r="EH85" i="2"/>
  <c r="EI97" i="2"/>
  <c r="EI90" i="2"/>
  <c r="EI106" i="2"/>
  <c r="EH113" i="2"/>
  <c r="EH121" i="2"/>
  <c r="ES42" i="1"/>
  <c r="DU44" i="1"/>
  <c r="DU38" i="1"/>
  <c r="CW45" i="1"/>
  <c r="BB40" i="1"/>
  <c r="CW42" i="1"/>
  <c r="CW44" i="1"/>
  <c r="DE26" i="1"/>
  <c r="DE45" i="1"/>
  <c r="DM44" i="1"/>
  <c r="DM38" i="1"/>
  <c r="CW34" i="1"/>
  <c r="DE37" i="1"/>
  <c r="EI124" i="2"/>
  <c r="EI65" i="2"/>
  <c r="EH77" i="2"/>
  <c r="EI48" i="2"/>
  <c r="EH78" i="2"/>
  <c r="EI38" i="2"/>
  <c r="EH79" i="2"/>
  <c r="EI52" i="2"/>
  <c r="EH80" i="2"/>
  <c r="EH54" i="2"/>
  <c r="EI44" i="2"/>
  <c r="EH76" i="2"/>
  <c r="EI53" i="2"/>
  <c r="EI46" i="2"/>
  <c r="EH60" i="2"/>
  <c r="EH81" i="2"/>
  <c r="EI39" i="2"/>
  <c r="EH39" i="2"/>
  <c r="EI77" i="2"/>
  <c r="EH25" i="2"/>
  <c r="EI29" i="2"/>
  <c r="EH35" i="2"/>
  <c r="EI26" i="2"/>
  <c r="EI30" i="2"/>
  <c r="EH33" i="2"/>
  <c r="EH36" i="2"/>
  <c r="EH83" i="2"/>
  <c r="EH87" i="2"/>
  <c r="EH94" i="2"/>
  <c r="EI87" i="2"/>
  <c r="EI95" i="2"/>
  <c r="EI99" i="2"/>
  <c r="EI103" i="2"/>
  <c r="EI107" i="2"/>
  <c r="EI88" i="2"/>
  <c r="EI92" i="2"/>
  <c r="EI96" i="2"/>
  <c r="EI100" i="2"/>
  <c r="EI104" i="2"/>
  <c r="EI108" i="2"/>
  <c r="EH110" i="2"/>
  <c r="EH114" i="2"/>
  <c r="EH120" i="2"/>
  <c r="EH115" i="2"/>
  <c r="EH122" i="2"/>
  <c r="EI127" i="2"/>
  <c r="EH119" i="2"/>
  <c r="EH123" i="2"/>
  <c r="EH127" i="2"/>
  <c r="EK43" i="1"/>
  <c r="ES43" i="1"/>
  <c r="DU34" i="1"/>
  <c r="BB37" i="1"/>
  <c r="BB43" i="1"/>
  <c r="DE33" i="1"/>
  <c r="DE34" i="1"/>
  <c r="ES31" i="1"/>
  <c r="EK33" i="1"/>
  <c r="ES33" i="1"/>
  <c r="DU33" i="1"/>
  <c r="DU27" i="1"/>
  <c r="EK30" i="1"/>
  <c r="EC27" i="1"/>
  <c r="ES27" i="1"/>
  <c r="EC34" i="1"/>
  <c r="EC31" i="1"/>
  <c r="DU30" i="1"/>
  <c r="ES30" i="1"/>
  <c r="EC35" i="1"/>
  <c r="DU35" i="1"/>
  <c r="ES35" i="1"/>
  <c r="DU31" i="1"/>
  <c r="ES36" i="1"/>
  <c r="DU36" i="1"/>
  <c r="EK36" i="1"/>
  <c r="EK32" i="1"/>
  <c r="ES34" i="1"/>
  <c r="DU32" i="1"/>
  <c r="EC32" i="1"/>
  <c r="ES29" i="1" l="1"/>
  <c r="DU29" i="1"/>
  <c r="EJ62" i="2"/>
  <c r="BB31" i="1" s="1"/>
  <c r="ES28" i="1"/>
  <c r="DU28" i="1"/>
  <c r="EK29" i="1"/>
  <c r="EJ4" i="2"/>
  <c r="BB26" i="1" s="1"/>
  <c r="BB34" i="1"/>
  <c r="EJ40" i="2"/>
  <c r="BB33" i="1" s="1"/>
  <c r="EC28" i="1"/>
  <c r="ES26" i="1"/>
  <c r="EK26" i="1"/>
  <c r="DU26" i="1"/>
  <c r="BB29" i="1" l="1"/>
  <c r="BB27" i="1"/>
  <c r="BB28" i="1"/>
  <c r="BB32" i="1"/>
  <c r="BB35" i="1"/>
  <c r="T9" i="6" l="1"/>
  <c r="T10" i="6"/>
</calcChain>
</file>

<file path=xl/sharedStrings.xml><?xml version="1.0" encoding="utf-8"?>
<sst xmlns="http://schemas.openxmlformats.org/spreadsheetml/2006/main" count="8291" uniqueCount="4129">
  <si>
    <t>General</t>
  </si>
  <si>
    <t>Character Name:</t>
  </si>
  <si>
    <t>Player Name:</t>
  </si>
  <si>
    <t>Race:</t>
  </si>
  <si>
    <t>Age:</t>
  </si>
  <si>
    <t>Height:</t>
  </si>
  <si>
    <t>Weight:</t>
  </si>
  <si>
    <t>Size:</t>
  </si>
  <si>
    <t>Profession:</t>
  </si>
  <si>
    <t>Experience:</t>
  </si>
  <si>
    <t>Level:</t>
  </si>
  <si>
    <t>Sex:</t>
  </si>
  <si>
    <t>Lifespan:</t>
  </si>
  <si>
    <t>BMR:</t>
  </si>
  <si>
    <t>Nat. AT:</t>
  </si>
  <si>
    <t>Hits:</t>
  </si>
  <si>
    <t>Death:</t>
  </si>
  <si>
    <t>Max PP:</t>
  </si>
  <si>
    <t>Rec.:</t>
  </si>
  <si>
    <t>Alignment:</t>
  </si>
  <si>
    <t>Realm:</t>
  </si>
  <si>
    <t>Culture:</t>
  </si>
  <si>
    <t>Deity:</t>
  </si>
  <si>
    <t>DP:</t>
  </si>
  <si>
    <t>Statistics</t>
  </si>
  <si>
    <t>Agility:</t>
  </si>
  <si>
    <t>Constitution:</t>
  </si>
  <si>
    <t>Empathy:</t>
  </si>
  <si>
    <t>Intuition:</t>
  </si>
  <si>
    <t>Memory:</t>
  </si>
  <si>
    <t>Presence:</t>
  </si>
  <si>
    <t>Quickness:</t>
  </si>
  <si>
    <t>Reasoning:</t>
  </si>
  <si>
    <t>Self Discipline:</t>
  </si>
  <si>
    <t>Strength:</t>
  </si>
  <si>
    <t>Temp.</t>
  </si>
  <si>
    <t>Pot.</t>
  </si>
  <si>
    <t>Bonus</t>
  </si>
  <si>
    <t>Racial</t>
  </si>
  <si>
    <t>Misc</t>
  </si>
  <si>
    <t>Total</t>
  </si>
  <si>
    <t>Resistances</t>
  </si>
  <si>
    <t>Mentalism (Pr):</t>
  </si>
  <si>
    <t>Physical (Co):</t>
  </si>
  <si>
    <t>Fear (SD):</t>
  </si>
  <si>
    <t>Cold / Ice:</t>
  </si>
  <si>
    <t>Heat / Fire:</t>
  </si>
  <si>
    <t>Light / Electricity:</t>
  </si>
  <si>
    <t>Mental Attack:</t>
  </si>
  <si>
    <t>Stat.</t>
  </si>
  <si>
    <t>Statistic</t>
  </si>
  <si>
    <t>Misc.</t>
  </si>
  <si>
    <t>Weapons &amp; Ammunition</t>
  </si>
  <si>
    <t>Weapon / Ammunition</t>
  </si>
  <si>
    <t>Table</t>
  </si>
  <si>
    <t>Quality</t>
  </si>
  <si>
    <t>OB</t>
  </si>
  <si>
    <t>Hits</t>
  </si>
  <si>
    <t>Critical</t>
  </si>
  <si>
    <t>Fumble</t>
  </si>
  <si>
    <t>Damage</t>
  </si>
  <si>
    <t>Strength</t>
  </si>
  <si>
    <t>+20</t>
  </si>
  <si>
    <t>+0</t>
  </si>
  <si>
    <t>Armour</t>
  </si>
  <si>
    <t>Head:</t>
  </si>
  <si>
    <t>Neck:</t>
  </si>
  <si>
    <t>Chest:</t>
  </si>
  <si>
    <t>Abdomen:</t>
  </si>
  <si>
    <t>Back:</t>
  </si>
  <si>
    <t>Waist:</t>
  </si>
  <si>
    <t>Groin:</t>
  </si>
  <si>
    <t>Weight</t>
  </si>
  <si>
    <t>Fit %</t>
  </si>
  <si>
    <t>AT</t>
  </si>
  <si>
    <t>DB</t>
  </si>
  <si>
    <t>Missile</t>
  </si>
  <si>
    <t>Perception</t>
  </si>
  <si>
    <t>Man.</t>
  </si>
  <si>
    <t>Perc.</t>
  </si>
  <si>
    <t>Modifications</t>
  </si>
  <si>
    <t>Shield</t>
  </si>
  <si>
    <t>Shield:</t>
  </si>
  <si>
    <t>Ranks</t>
  </si>
  <si>
    <t>Passive</t>
  </si>
  <si>
    <t>Partial</t>
  </si>
  <si>
    <t>Full</t>
  </si>
  <si>
    <t>Parry</t>
  </si>
  <si>
    <t>Armour &amp; Shield</t>
  </si>
  <si>
    <t>DB &amp; Multiple Attacks</t>
  </si>
  <si>
    <t>Normal:</t>
  </si>
  <si>
    <t>Magic:</t>
  </si>
  <si>
    <t>Flying:</t>
  </si>
  <si>
    <t>Partial Block:</t>
  </si>
  <si>
    <t>Full Block:</t>
  </si>
  <si>
    <t>Partial Dodge:</t>
  </si>
  <si>
    <t>Full Dodge:</t>
  </si>
  <si>
    <t>- Evasion -</t>
  </si>
  <si>
    <t>Partial:</t>
  </si>
  <si>
    <t>Success:</t>
  </si>
  <si>
    <t>Absolute:</t>
  </si>
  <si>
    <t>x2 Attacks:</t>
  </si>
  <si>
    <t>x3 Attacks:</t>
  </si>
  <si>
    <t>x4 Attacks:</t>
  </si>
  <si>
    <t>x5 Attacks:</t>
  </si>
  <si>
    <t>Common Skills</t>
  </si>
  <si>
    <t>Skills</t>
  </si>
  <si>
    <t>Spell Casting</t>
  </si>
  <si>
    <t>List</t>
  </si>
  <si>
    <t>SCR</t>
  </si>
  <si>
    <t>Grace</t>
  </si>
  <si>
    <t>Trick</t>
  </si>
  <si>
    <t>Type</t>
  </si>
  <si>
    <t>Helm</t>
  </si>
  <si>
    <t>Maneuver Penalty / Miscellaneous:</t>
  </si>
  <si>
    <t>Racial / Body Development:</t>
  </si>
  <si>
    <t>Total (Pack / No Pack):</t>
  </si>
  <si>
    <t>/</t>
  </si>
  <si>
    <t>Encumbrance</t>
  </si>
  <si>
    <t>Equipment / Coin Weight:</t>
  </si>
  <si>
    <t>Backpack Weight:</t>
  </si>
  <si>
    <t>Maneuver Penalty / Skill Total:</t>
  </si>
  <si>
    <t>Missile Penalty:</t>
  </si>
  <si>
    <t>Weight Allowance (% / lbs):</t>
  </si>
  <si>
    <t>Load % (Pack / No Pack):</t>
  </si>
  <si>
    <t>Encumbrance (Pack / No Pack):</t>
  </si>
  <si>
    <t>Max Pace (Pack / No Pack):</t>
  </si>
  <si>
    <t>Coins</t>
  </si>
  <si>
    <t>Notes</t>
  </si>
  <si>
    <t>Cent:</t>
  </si>
  <si>
    <t>- By Jessica Louise Ewers -</t>
  </si>
  <si>
    <t>V0.1</t>
  </si>
  <si>
    <t>Equipment</t>
  </si>
  <si>
    <t>No.</t>
  </si>
  <si>
    <t>Length</t>
  </si>
  <si>
    <t>Value</t>
  </si>
  <si>
    <t>Amount</t>
  </si>
  <si>
    <t>Primary Material</t>
  </si>
  <si>
    <t>Secondary Material</t>
  </si>
  <si>
    <t>Backpack</t>
  </si>
  <si>
    <t>Talents &amp; Flaws</t>
  </si>
  <si>
    <t>Description</t>
  </si>
  <si>
    <t>Flaws</t>
  </si>
  <si>
    <t>Talents</t>
  </si>
  <si>
    <t>Personal Horse</t>
  </si>
  <si>
    <t>Animal</t>
  </si>
  <si>
    <t>Animal Handling [Ag/Em]</t>
  </si>
  <si>
    <t>Skill</t>
  </si>
  <si>
    <t>Stat</t>
  </si>
  <si>
    <t>Knack</t>
  </si>
  <si>
    <t>Prof.</t>
  </si>
  <si>
    <t>Penalty</t>
  </si>
  <si>
    <t>Profession</t>
  </si>
  <si>
    <t>Animal Riding [Ag/Em]</t>
  </si>
  <si>
    <t>Animal Training [Ag/Em]</t>
  </si>
  <si>
    <t>Awareness</t>
  </si>
  <si>
    <t>Awareness [In/Re]</t>
  </si>
  <si>
    <t>Tracking</t>
  </si>
  <si>
    <t>Battle Expertise</t>
  </si>
  <si>
    <t>Battle Expertise [- -]</t>
  </si>
  <si>
    <t>Maneuvering in Armour</t>
  </si>
  <si>
    <t>Mounted Combat</t>
  </si>
  <si>
    <t>Protect</t>
  </si>
  <si>
    <t>Restricted Quarters</t>
  </si>
  <si>
    <t>Subduing</t>
  </si>
  <si>
    <t>Body Discipline</t>
  </si>
  <si>
    <t>Adrenal Defense</t>
  </si>
  <si>
    <t>Adrenal Focus</t>
  </si>
  <si>
    <t>Adrenal Speed</t>
  </si>
  <si>
    <t>Adrenal Strength</t>
  </si>
  <si>
    <t>Quick-draw</t>
  </si>
  <si>
    <t>Body Discipline [Co/SD]</t>
  </si>
  <si>
    <t>Brawn</t>
  </si>
  <si>
    <t>Brawn [Co/SD]</t>
  </si>
  <si>
    <t>Body Development</t>
  </si>
  <si>
    <t>Fortitude</t>
  </si>
  <si>
    <t>Weight-training</t>
  </si>
  <si>
    <t>Substance Tolerance [Co/SD]</t>
  </si>
  <si>
    <t>Alcohol</t>
  </si>
  <si>
    <t>Drugs</t>
  </si>
  <si>
    <t>Tobacco</t>
  </si>
  <si>
    <t>Combat Expertise</t>
  </si>
  <si>
    <t>Combat Expertise [- -]</t>
  </si>
  <si>
    <t>Blind Fighting</t>
  </si>
  <si>
    <t>Disarm</t>
  </si>
  <si>
    <t>Footwork</t>
  </si>
  <si>
    <t>Multiple Attacks</t>
  </si>
  <si>
    <t>Reverse Strike</t>
  </si>
  <si>
    <t>Combat Training</t>
  </si>
  <si>
    <t>Melee Weapons [Ag/St]</t>
  </si>
  <si>
    <t>Blade</t>
  </si>
  <si>
    <t>Greater Blade</t>
  </si>
  <si>
    <t>Chain</t>
  </si>
  <si>
    <t>Greater Chain</t>
  </si>
  <si>
    <t>Hafted</t>
  </si>
  <si>
    <t>Greater Hafted</t>
  </si>
  <si>
    <t>Pole-arm</t>
  </si>
  <si>
    <t>Shield Bash</t>
  </si>
  <si>
    <t>Net</t>
  </si>
  <si>
    <t>Rock</t>
  </si>
  <si>
    <t>Whip</t>
  </si>
  <si>
    <t>Shield [Ag/St]</t>
  </si>
  <si>
    <t>Ranged Weapons [Ag/St]</t>
  </si>
  <si>
    <t>Bow</t>
  </si>
  <si>
    <t>Crossbow</t>
  </si>
  <si>
    <t>Sling</t>
  </si>
  <si>
    <t>Thrown</t>
  </si>
  <si>
    <t>Blowpipe</t>
  </si>
  <si>
    <t>Bola</t>
  </si>
  <si>
    <t>Boomerang</t>
  </si>
  <si>
    <t>Firearm</t>
  </si>
  <si>
    <t>Greater Firearm</t>
  </si>
  <si>
    <t>Unarmed Strikes [Ag/St]</t>
  </si>
  <si>
    <t>Strikes</t>
  </si>
  <si>
    <t>Sweeps &amp; Throws</t>
  </si>
  <si>
    <t>Wrestling</t>
  </si>
  <si>
    <t>Heavy Weapons [Ag/St]</t>
  </si>
  <si>
    <t>Composition</t>
  </si>
  <si>
    <t>Composition [Em/In]</t>
  </si>
  <si>
    <t>Illusion Crafting</t>
  </si>
  <si>
    <t>Journalism</t>
  </si>
  <si>
    <t>Musical Composition</t>
  </si>
  <si>
    <t>Playright</t>
  </si>
  <si>
    <t>Poetic Improvisation</t>
  </si>
  <si>
    <t>Reporting</t>
  </si>
  <si>
    <t>Writing</t>
  </si>
  <si>
    <t>Crafting</t>
  </si>
  <si>
    <t>Crafting [Ag/Me]</t>
  </si>
  <si>
    <t>Ceramics</t>
  </si>
  <si>
    <t>Culinary</t>
  </si>
  <si>
    <t>Drafting</t>
  </si>
  <si>
    <t>Drawing/Painting</t>
  </si>
  <si>
    <t>Embroidery</t>
  </si>
  <si>
    <t>Fabric Craft</t>
  </si>
  <si>
    <t>Falsification</t>
  </si>
  <si>
    <t>Fletching</t>
  </si>
  <si>
    <t>Forgery</t>
  </si>
  <si>
    <t>Glass-working</t>
  </si>
  <si>
    <t>Leather Craft</t>
  </si>
  <si>
    <t>Metal Craft</t>
  </si>
  <si>
    <t>Stone Craft</t>
  </si>
  <si>
    <t>Wood Craft</t>
  </si>
  <si>
    <t>Barbering</t>
  </si>
  <si>
    <t>Candle Maker</t>
  </si>
  <si>
    <t>Cooper</t>
  </si>
  <si>
    <t>Furrier</t>
  </si>
  <si>
    <t>Miller</t>
  </si>
  <si>
    <t>Paper Making</t>
  </si>
  <si>
    <t>Net Making</t>
  </si>
  <si>
    <t>Potter</t>
  </si>
  <si>
    <t>Quilting</t>
  </si>
  <si>
    <t>Roofer</t>
  </si>
  <si>
    <t>Sail Making</t>
  </si>
  <si>
    <t>Spinner</t>
  </si>
  <si>
    <t>Taxidermist</t>
  </si>
  <si>
    <t>Upholstery</t>
  </si>
  <si>
    <t>Wicker Work</t>
  </si>
  <si>
    <t>Farrier</t>
  </si>
  <si>
    <t>Delving</t>
  </si>
  <si>
    <t>Attunement</t>
  </si>
  <si>
    <t>Engineering</t>
  </si>
  <si>
    <t>Engineering [Me/Re]</t>
  </si>
  <si>
    <t>Basic Engineering</t>
  </si>
  <si>
    <t>Civil Engineering</t>
  </si>
  <si>
    <t>Crude Weapons Design</t>
  </si>
  <si>
    <t>Gimmickry</t>
  </si>
  <si>
    <t>Industrial Chemical Engineering</t>
  </si>
  <si>
    <t>Medical Chemical Engineering</t>
  </si>
  <si>
    <t>Sanitation Engineering</t>
  </si>
  <si>
    <t>Siege Engineering</t>
  </si>
  <si>
    <t>Mechanical Engineering [Me/Re]</t>
  </si>
  <si>
    <t>Aircraft Engineering</t>
  </si>
  <si>
    <t>Combustion Engine Engineering</t>
  </si>
  <si>
    <t>General Mechanics Engineering</t>
  </si>
  <si>
    <t>Land Vehicle Engineering</t>
  </si>
  <si>
    <t>Criminal Engineering [Me/Re]</t>
  </si>
  <si>
    <t>Counterfeiting Technology Engineering</t>
  </si>
  <si>
    <t>Forgery Technology Engineering</t>
  </si>
  <si>
    <t>Medical Engineering [Me/Re]</t>
  </si>
  <si>
    <t>Surgical Equipment Engineering</t>
  </si>
  <si>
    <t>Weapon Design [Me/Re]</t>
  </si>
  <si>
    <t>Explosive Engineering</t>
  </si>
  <si>
    <t>Mounted Projectile Engineering</t>
  </si>
  <si>
    <t>Projectile Weapon Engineering</t>
  </si>
  <si>
    <t>Environmental</t>
  </si>
  <si>
    <t>Engineering [In/Me]</t>
  </si>
  <si>
    <t>Navigation</t>
  </si>
  <si>
    <t>Rowing Boat</t>
  </si>
  <si>
    <t>Sailing Boat</t>
  </si>
  <si>
    <t>Driving [In/Me]</t>
  </si>
  <si>
    <t>Horse-drawn Carriage</t>
  </si>
  <si>
    <t>Locomotive</t>
  </si>
  <si>
    <t>Survival [In/Me]</t>
  </si>
  <si>
    <t>Alpine</t>
  </si>
  <si>
    <t>Ocean</t>
  </si>
  <si>
    <t>Underground</t>
  </si>
  <si>
    <t>Ice Caps &amp; Polar Deserts</t>
  </si>
  <si>
    <t>Tundra</t>
  </si>
  <si>
    <t>Boreal Forests</t>
  </si>
  <si>
    <t>Desert &amp; Xeric Shrublands</t>
  </si>
  <si>
    <t>Prairies &amp; Steppes</t>
  </si>
  <si>
    <t>Temperate Forests</t>
  </si>
  <si>
    <t>Hot Deserts</t>
  </si>
  <si>
    <t>Savannas &amp; Grasslands</t>
  </si>
  <si>
    <t>Tropical Forests</t>
  </si>
  <si>
    <t>Gunnery Expertise</t>
  </si>
  <si>
    <t>Gunnery Expertise [- -]</t>
  </si>
  <si>
    <t>Moving Target</t>
  </si>
  <si>
    <t>Sniping</t>
  </si>
  <si>
    <t>Targeting</t>
  </si>
  <si>
    <t>Gunslinging</t>
  </si>
  <si>
    <t>Gymnastics</t>
  </si>
  <si>
    <t>Gymnastics [Ag/Qu]</t>
  </si>
  <si>
    <t>Acrobatics</t>
  </si>
  <si>
    <t>Contortions</t>
  </si>
  <si>
    <t>Jumping</t>
  </si>
  <si>
    <t>Lore</t>
  </si>
  <si>
    <t>Art History</t>
  </si>
  <si>
    <t>Circle Lore</t>
  </si>
  <si>
    <t>Flora Lore</t>
  </si>
  <si>
    <t>Heraldry Lore</t>
  </si>
  <si>
    <t>Historic Lore</t>
  </si>
  <si>
    <t>Lock Lore</t>
  </si>
  <si>
    <t>Philosophy Lore</t>
  </si>
  <si>
    <t>Lore [Me/Me]</t>
  </si>
  <si>
    <t>Other Lore [Me/Me]</t>
  </si>
  <si>
    <t>Poisons Lore</t>
  </si>
  <si>
    <t>Magic Lore</t>
  </si>
  <si>
    <t>Religion Lore</t>
  </si>
  <si>
    <t>Religious History</t>
  </si>
  <si>
    <t>Trading Lore</t>
  </si>
  <si>
    <t>Vehicles Lore</t>
  </si>
  <si>
    <t>Visual Arts</t>
  </si>
  <si>
    <t>Appraisal [Me/Me]</t>
  </si>
  <si>
    <t>Appraisal</t>
  </si>
  <si>
    <t>Evaluation, Armour</t>
  </si>
  <si>
    <t>Evaluation, Weapon</t>
  </si>
  <si>
    <t>Languages, Spoken [Me/Me]</t>
  </si>
  <si>
    <t>Languages, Written [Me/Me]</t>
  </si>
  <si>
    <t>Languages [Me/Me]</t>
  </si>
  <si>
    <t>Lip Reading</t>
  </si>
  <si>
    <t>Signalling</t>
  </si>
  <si>
    <t>Law [Me/Me]</t>
  </si>
  <si>
    <t>Materials Lore [Me/Me]</t>
  </si>
  <si>
    <t>Bone/Horn</t>
  </si>
  <si>
    <t>Fabrics</t>
  </si>
  <si>
    <t>Leather</t>
  </si>
  <si>
    <t>Metal</t>
  </si>
  <si>
    <t>Stone</t>
  </si>
  <si>
    <t>Wood</t>
  </si>
  <si>
    <t>Racial Lore [Me/Me]</t>
  </si>
  <si>
    <t>Human</t>
  </si>
  <si>
    <t>Frontier</t>
  </si>
  <si>
    <t>Werewolf</t>
  </si>
  <si>
    <t>Sasquatch</t>
  </si>
  <si>
    <t>Alien</t>
  </si>
  <si>
    <t>Vampire</t>
  </si>
  <si>
    <t>Witch</t>
  </si>
  <si>
    <t>Region Lore [Me/Me]</t>
  </si>
  <si>
    <t>Tactics [Me/Me]</t>
  </si>
  <si>
    <t>Battlefield</t>
  </si>
  <si>
    <t>Guerrilla</t>
  </si>
  <si>
    <t>Sabotage</t>
  </si>
  <si>
    <t>Siege</t>
  </si>
  <si>
    <t>Small Unit</t>
  </si>
  <si>
    <t>Strategic</t>
  </si>
  <si>
    <t>Medical</t>
  </si>
  <si>
    <t>Medical [In/Me]</t>
  </si>
  <si>
    <t>Herbalism</t>
  </si>
  <si>
    <t>First Aid</t>
  </si>
  <si>
    <t>Second Aid</t>
  </si>
  <si>
    <t>Medical Practice</t>
  </si>
  <si>
    <t>Poison Mastery</t>
  </si>
  <si>
    <t>Medical Science</t>
  </si>
  <si>
    <t>Mental Discipline</t>
  </si>
  <si>
    <t>Mental Discipline [Pr/SD]</t>
  </si>
  <si>
    <t>Meditation</t>
  </si>
  <si>
    <t>Mental Focus</t>
  </si>
  <si>
    <t>Mnemonics</t>
  </si>
  <si>
    <t>Control Lycanthropy</t>
  </si>
  <si>
    <t>Movement</t>
  </si>
  <si>
    <t>Movement [Ag/St]</t>
  </si>
  <si>
    <t>Climbing</t>
  </si>
  <si>
    <t>Flying</t>
  </si>
  <si>
    <t>Running</t>
  </si>
  <si>
    <t>Swimming</t>
  </si>
  <si>
    <t>Performance Art</t>
  </si>
  <si>
    <t>Performance Art [Em/Pr]</t>
  </si>
  <si>
    <t>Acting</t>
  </si>
  <si>
    <t>Public Speaking</t>
  </si>
  <si>
    <t>Ventriloquism</t>
  </si>
  <si>
    <t>Singing</t>
  </si>
  <si>
    <t>Canon</t>
  </si>
  <si>
    <t>Mimickry</t>
  </si>
  <si>
    <t>Mimery</t>
  </si>
  <si>
    <t>Tale Telling</t>
  </si>
  <si>
    <t>Dancing</t>
  </si>
  <si>
    <t>Stage Magic</t>
  </si>
  <si>
    <t>Play Instrument [Em/Pr]</t>
  </si>
  <si>
    <t>String Instrument</t>
  </si>
  <si>
    <t>Percussion Instrument</t>
  </si>
  <si>
    <t>Wind Instrument</t>
  </si>
  <si>
    <t>Magical Expertise</t>
  </si>
  <si>
    <t>Grace [- -]</t>
  </si>
  <si>
    <t>Spell Trickery [- -]</t>
  </si>
  <si>
    <t>Magical Manipulation</t>
  </si>
  <si>
    <t>Magical Manipulation [SD/SD]</t>
  </si>
  <si>
    <t>Channeling</t>
  </si>
  <si>
    <t>Power Development</t>
  </si>
  <si>
    <t>Power Projection</t>
  </si>
  <si>
    <t>Directed Spell [SD/SD]</t>
  </si>
  <si>
    <t>Elemental Attacks</t>
  </si>
  <si>
    <t>Illusionary Attacks</t>
  </si>
  <si>
    <t>Hurling</t>
  </si>
  <si>
    <t>Magical Powers</t>
  </si>
  <si>
    <t>Base Lists [SD/SD]</t>
  </si>
  <si>
    <t>Open Lists [SD/SD]</t>
  </si>
  <si>
    <t>Closed Lists [SD/SD]</t>
  </si>
  <si>
    <t>Restricted Lists [SD/SD]</t>
  </si>
  <si>
    <t>Magic Ritual [SD/SD]</t>
  </si>
  <si>
    <t>Alteration</t>
  </si>
  <si>
    <t>Creation</t>
  </si>
  <si>
    <t>Defensive</t>
  </si>
  <si>
    <t>Destruction</t>
  </si>
  <si>
    <t>Elemental</t>
  </si>
  <si>
    <t>Healing</t>
  </si>
  <si>
    <t>Informational</t>
  </si>
  <si>
    <t>Transportation</t>
  </si>
  <si>
    <t>Science</t>
  </si>
  <si>
    <t>Science [Me/Re]</t>
  </si>
  <si>
    <t>Aerodynamics</t>
  </si>
  <si>
    <t>Agriculture</t>
  </si>
  <si>
    <t>Anthropology</t>
  </si>
  <si>
    <t>Archaeology</t>
  </si>
  <si>
    <t>Architecture</t>
  </si>
  <si>
    <t>Astronomy</t>
  </si>
  <si>
    <t>Atmospherics</t>
  </si>
  <si>
    <t>Audiovisuals</t>
  </si>
  <si>
    <t>Biochemistry</t>
  </si>
  <si>
    <t>Biology</t>
  </si>
  <si>
    <t>Botany</t>
  </si>
  <si>
    <t>Caving</t>
  </si>
  <si>
    <t>Chemistry</t>
  </si>
  <si>
    <t>Cosmetology</t>
  </si>
  <si>
    <t>Criminal Investigation</t>
  </si>
  <si>
    <t>Criminal Psychology</t>
  </si>
  <si>
    <t>Cryptology</t>
  </si>
  <si>
    <t>Dowsing</t>
  </si>
  <si>
    <t>Drug Trafficking</t>
  </si>
  <si>
    <t>Ecology</t>
  </si>
  <si>
    <t>Evolution Theory</t>
  </si>
  <si>
    <t>Fashion</t>
  </si>
  <si>
    <t>Finance</t>
  </si>
  <si>
    <t>Gambling</t>
  </si>
  <si>
    <t>Genetics</t>
  </si>
  <si>
    <t>Horticulture</t>
  </si>
  <si>
    <t>Interior Design</t>
  </si>
  <si>
    <t>Law Enforcement</t>
  </si>
  <si>
    <t>Mapping</t>
  </si>
  <si>
    <t>Metallurgy</t>
  </si>
  <si>
    <t>Mining</t>
  </si>
  <si>
    <t>Oceanography</t>
  </si>
  <si>
    <t>Organised Crime</t>
  </si>
  <si>
    <t>Photography</t>
  </si>
  <si>
    <t>Physics</t>
  </si>
  <si>
    <t>Planetology</t>
  </si>
  <si>
    <t>Politcal Science</t>
  </si>
  <si>
    <t>Propaganda</t>
  </si>
  <si>
    <t>Research</t>
  </si>
  <si>
    <t>Rope Mastery</t>
  </si>
  <si>
    <t>Sociology</t>
  </si>
  <si>
    <t>Star Gazing</t>
  </si>
  <si>
    <t>Tax Evasion</t>
  </si>
  <si>
    <t>Urban Design</t>
  </si>
  <si>
    <t>Weather Watching</t>
  </si>
  <si>
    <t>Zoology</t>
  </si>
  <si>
    <t>Mathematics [Me/Re]</t>
  </si>
  <si>
    <t>Basic Mathematics</t>
  </si>
  <si>
    <t>Advanced Mathematics</t>
  </si>
  <si>
    <t>Military Organization [Me/Re]</t>
  </si>
  <si>
    <t>Ground Forces</t>
  </si>
  <si>
    <t>Marine Forces</t>
  </si>
  <si>
    <t>Social</t>
  </si>
  <si>
    <t>Influence [Em/In]</t>
  </si>
  <si>
    <t>Begging</t>
  </si>
  <si>
    <t>Diplomacy</t>
  </si>
  <si>
    <t>Education</t>
  </si>
  <si>
    <t>Hypnosis</t>
  </si>
  <si>
    <t>Interrogation</t>
  </si>
  <si>
    <t>Labour Relations</t>
  </si>
  <si>
    <t>Leadership</t>
  </si>
  <si>
    <t>Proselytism</t>
  </si>
  <si>
    <t>Social Awareness</t>
  </si>
  <si>
    <t>Trading</t>
  </si>
  <si>
    <t>Social [Em/In]</t>
  </si>
  <si>
    <t>Brain Washing</t>
  </si>
  <si>
    <t>Bribery</t>
  </si>
  <si>
    <t>Charm</t>
  </si>
  <si>
    <t>Duping</t>
  </si>
  <si>
    <t>Intimidation</t>
  </si>
  <si>
    <t>Seduction</t>
  </si>
  <si>
    <t>Subterfuge</t>
  </si>
  <si>
    <t>Directed Spells</t>
  </si>
  <si>
    <t>Melee</t>
  </si>
  <si>
    <t>Ranged</t>
  </si>
  <si>
    <t>Unarmed</t>
  </si>
  <si>
    <t>Ambush [Ag/SD]</t>
  </si>
  <si>
    <t>Subterfuge [Ag/SD]</t>
  </si>
  <si>
    <t>Concealment</t>
  </si>
  <si>
    <t>Evidence Dispersal</t>
  </si>
  <si>
    <t>Picking Pockets</t>
  </si>
  <si>
    <t>Stalking</t>
  </si>
  <si>
    <t>Trickery</t>
  </si>
  <si>
    <t>Technology</t>
  </si>
  <si>
    <t>Technology [In/Re]</t>
  </si>
  <si>
    <t>Aquatics Technics</t>
  </si>
  <si>
    <t>Audiophile Technics</t>
  </si>
  <si>
    <t>Communications</t>
  </si>
  <si>
    <t>Demolitions</t>
  </si>
  <si>
    <t>Fabrication</t>
  </si>
  <si>
    <t>Genetic Technics</t>
  </si>
  <si>
    <t>Heavy Machine Operation</t>
  </si>
  <si>
    <t>Industrial Ceramics</t>
  </si>
  <si>
    <t>Locks</t>
  </si>
  <si>
    <t>Medical Technics</t>
  </si>
  <si>
    <t>Musical Technics</t>
  </si>
  <si>
    <t>Optical Technics</t>
  </si>
  <si>
    <t>Safe Cracking</t>
  </si>
  <si>
    <t>Security Operations</t>
  </si>
  <si>
    <t>Traps</t>
  </si>
  <si>
    <t>Vehicle Body Repair</t>
  </si>
  <si>
    <t>Armour Repair [In/Re]</t>
  </si>
  <si>
    <t>Leather Armour</t>
  </si>
  <si>
    <t>Metal Armour</t>
  </si>
  <si>
    <t>Criminal Technology [In/Re]</t>
  </si>
  <si>
    <t>Counterfeiting Technics</t>
  </si>
  <si>
    <t>Forgery Technics</t>
  </si>
  <si>
    <t>Tracking Technics</t>
  </si>
  <si>
    <t>Electronic Technics</t>
  </si>
  <si>
    <t>Mechanical Technology [In/Re]</t>
  </si>
  <si>
    <t>Aircraft Technics</t>
  </si>
  <si>
    <t>Combustion Engine Technics</t>
  </si>
  <si>
    <t>General Mechanics Technics</t>
  </si>
  <si>
    <t>Submersible Technics</t>
  </si>
  <si>
    <t>Surface Vehicle Technics</t>
  </si>
  <si>
    <t>Power Systems Technology [In/Re]</t>
  </si>
  <si>
    <t>Batteries / Power Cells</t>
  </si>
  <si>
    <t>Hydroelectric Technics</t>
  </si>
  <si>
    <t>Magnetic Power Technics</t>
  </si>
  <si>
    <t>Magnetic-powered Technics</t>
  </si>
  <si>
    <t>Weapon Technology [In/Re]</t>
  </si>
  <si>
    <t>Explosive Technics</t>
  </si>
  <si>
    <t>Mounted Projectile Weapon Technics</t>
  </si>
  <si>
    <t>Projectile Weapon Technics</t>
  </si>
  <si>
    <t>Vocation</t>
  </si>
  <si>
    <t>Administration [Em/Me]</t>
  </si>
  <si>
    <t>Accounting</t>
  </si>
  <si>
    <t>Administrator</t>
  </si>
  <si>
    <t>Booking</t>
  </si>
  <si>
    <t>Librarian</t>
  </si>
  <si>
    <t>Corporate Management</t>
  </si>
  <si>
    <t>Officer</t>
  </si>
  <si>
    <t>Critic</t>
  </si>
  <si>
    <t>Service [Em/Me]</t>
  </si>
  <si>
    <t>Attendant</t>
  </si>
  <si>
    <t>Coachman</t>
  </si>
  <si>
    <t>Lawyer</t>
  </si>
  <si>
    <t>Preacher</t>
  </si>
  <si>
    <t>Child Care</t>
  </si>
  <si>
    <t>Innkeeping</t>
  </si>
  <si>
    <t>Counselor</t>
  </si>
  <si>
    <t>Guide</t>
  </si>
  <si>
    <t>Messenger</t>
  </si>
  <si>
    <t>Sales Clerk</t>
  </si>
  <si>
    <t>Valet</t>
  </si>
  <si>
    <t>Trade [Em/Me]</t>
  </si>
  <si>
    <t>Sailor</t>
  </si>
  <si>
    <t>Scribe</t>
  </si>
  <si>
    <t>Soldier</t>
  </si>
  <si>
    <t>Commercial Art</t>
  </si>
  <si>
    <t>Stagecoach</t>
  </si>
  <si>
    <t>Marine Piloting [In/Me]</t>
  </si>
  <si>
    <t>Barge</t>
  </si>
  <si>
    <t>Submarine</t>
  </si>
  <si>
    <t>Wainwright</t>
  </si>
  <si>
    <t>Animal Healing [Ag/Em]</t>
  </si>
  <si>
    <t>Cobbler</t>
  </si>
  <si>
    <t>Saddler</t>
  </si>
  <si>
    <t>Tanner</t>
  </si>
  <si>
    <t>Tooler</t>
  </si>
  <si>
    <t>Aerial Forces</t>
  </si>
  <si>
    <t>Etcher</t>
  </si>
  <si>
    <t>Gold Smith</t>
  </si>
  <si>
    <t>Silver Smith</t>
  </si>
  <si>
    <t>Tin Smith</t>
  </si>
  <si>
    <t>Weapon Smith</t>
  </si>
  <si>
    <t>Foundry</t>
  </si>
  <si>
    <t>Carpentry</t>
  </si>
  <si>
    <t>Cart Wright</t>
  </si>
  <si>
    <t>Building Wright</t>
  </si>
  <si>
    <t>Ship Wright</t>
  </si>
  <si>
    <t>Wheel Wright</t>
  </si>
  <si>
    <t>Animal Category</t>
  </si>
  <si>
    <t>Animal Skills</t>
  </si>
  <si>
    <t>Animal Handling Sub-category</t>
  </si>
  <si>
    <t>Animal Handling Skills</t>
  </si>
  <si>
    <t>Animal Riding Sub-category</t>
  </si>
  <si>
    <t>Animal Riding Skills</t>
  </si>
  <si>
    <t>Animal Training Sub-category</t>
  </si>
  <si>
    <t>Animal Training Skills</t>
  </si>
  <si>
    <t>Awareness Category</t>
  </si>
  <si>
    <t>Awareness Skills</t>
  </si>
  <si>
    <t>Sight</t>
  </si>
  <si>
    <t>Hearing</t>
  </si>
  <si>
    <t>Smell</t>
  </si>
  <si>
    <t>Taste</t>
  </si>
  <si>
    <t>Touch</t>
  </si>
  <si>
    <t>Body Discipline Category</t>
  </si>
  <si>
    <t>Body Discipline Skills</t>
  </si>
  <si>
    <t>Brawn Category</t>
  </si>
  <si>
    <t>Brawn Skills</t>
  </si>
  <si>
    <t>Substance Tolerance Sub-category</t>
  </si>
  <si>
    <t>Substance Tolerance Skills</t>
  </si>
  <si>
    <t>Battle Expertise Category</t>
  </si>
  <si>
    <t>Battle Expertise Skills</t>
  </si>
  <si>
    <t>Combat Expertise Category</t>
  </si>
  <si>
    <t>Combat Expertise Skills</t>
  </si>
  <si>
    <t>Combat Training Category</t>
  </si>
  <si>
    <t>Combat Training Skills</t>
  </si>
  <si>
    <t>Melee Weapons Sub-category</t>
  </si>
  <si>
    <t>Melee Weapons Skills</t>
  </si>
  <si>
    <t>Shield Sub-category</t>
  </si>
  <si>
    <t>Shield Skills</t>
  </si>
  <si>
    <t>Ranged Weapons Sub-category</t>
  </si>
  <si>
    <t>Ranged Weapons Skills</t>
  </si>
  <si>
    <t>Unarmed Sub-category</t>
  </si>
  <si>
    <t>Unarmed Skills</t>
  </si>
  <si>
    <t>Heavy Weapons Sub-category</t>
  </si>
  <si>
    <t>Heavy Weapons Skills</t>
  </si>
  <si>
    <t>Composition &amp; Performance Art Skills</t>
  </si>
  <si>
    <t>Composition Category</t>
  </si>
  <si>
    <t>Crafting &amp; Vocation Skills</t>
  </si>
  <si>
    <t>Crafting Category</t>
  </si>
  <si>
    <t>Crafting Skills</t>
  </si>
  <si>
    <t>Delving Category</t>
  </si>
  <si>
    <t>Delving Skills</t>
  </si>
  <si>
    <t>Engineering &amp; Technology Skills</t>
  </si>
  <si>
    <t>Engineering Category</t>
  </si>
  <si>
    <t>Engineering Skills (cat)</t>
  </si>
  <si>
    <t>Engineering Sub-category</t>
  </si>
  <si>
    <t>Engineering Skills</t>
  </si>
  <si>
    <t>Mechanical Engineering Sub-category</t>
  </si>
  <si>
    <t>Mechanical Engineering Skills</t>
  </si>
  <si>
    <t>Criminal Engineering Sub-category</t>
  </si>
  <si>
    <t>Criminal Engineering Skills</t>
  </si>
  <si>
    <t>Medical Engineering Sub-category</t>
  </si>
  <si>
    <t>Medical Engineering Skills</t>
  </si>
  <si>
    <t>Weapon Design Sub-category</t>
  </si>
  <si>
    <t>Weapon Design Skills</t>
  </si>
  <si>
    <t>Environmental Category</t>
  </si>
  <si>
    <t>Environmental Skills</t>
  </si>
  <si>
    <t>Environmental Sub-category</t>
  </si>
  <si>
    <t>Driving Sub-category</t>
  </si>
  <si>
    <t>Driving Skills</t>
  </si>
  <si>
    <t>Survival Sub-category</t>
  </si>
  <si>
    <t>Survival Skills</t>
  </si>
  <si>
    <t>Gunnery Expertise Category</t>
  </si>
  <si>
    <t>Gunnery Expertise Skills</t>
  </si>
  <si>
    <t>Gymnastic Category</t>
  </si>
  <si>
    <t>Gymnastic Skills</t>
  </si>
  <si>
    <t>Lore Category</t>
  </si>
  <si>
    <t>Lore Skills</t>
  </si>
  <si>
    <t>Other Lore Skills</t>
  </si>
  <si>
    <t>Appraisal Sub-category</t>
  </si>
  <si>
    <t>Appraisal Skills</t>
  </si>
  <si>
    <t>Languages Sub-category</t>
  </si>
  <si>
    <t>Languages Skills (cat)</t>
  </si>
  <si>
    <t>Languages, Spoken Sub-category</t>
  </si>
  <si>
    <t>Languages, Spoken Skills</t>
  </si>
  <si>
    <t>Languages, Written Sub-category</t>
  </si>
  <si>
    <t>Languages, Written Skills</t>
  </si>
  <si>
    <t>Languages Skills (sub-cat)</t>
  </si>
  <si>
    <t>Law Sub-category</t>
  </si>
  <si>
    <t>Law Skills</t>
  </si>
  <si>
    <t>Materials Lore Sub-category</t>
  </si>
  <si>
    <t>Materials Lore Skills</t>
  </si>
  <si>
    <t>Racial Lore Sub-category</t>
  </si>
  <si>
    <t>Racial Lore Skills</t>
  </si>
  <si>
    <t>Region Sub-category</t>
  </si>
  <si>
    <t>Region Skills</t>
  </si>
  <si>
    <t>Tactics Sub-category</t>
  </si>
  <si>
    <t>Tactics Skills</t>
  </si>
  <si>
    <t>Medical Category</t>
  </si>
  <si>
    <t>Medical Skills</t>
  </si>
  <si>
    <t>Medical Science Category</t>
  </si>
  <si>
    <t>Medical Science Skills</t>
  </si>
  <si>
    <t>Mental Discipline Category</t>
  </si>
  <si>
    <t>Mental Discipline Skills</t>
  </si>
  <si>
    <t>Movement Category</t>
  </si>
  <si>
    <t>Movement Skills</t>
  </si>
  <si>
    <t>Performance Art Category</t>
  </si>
  <si>
    <t>Performance Art Skills (cat)</t>
  </si>
  <si>
    <t>Performance Art Sub-category</t>
  </si>
  <si>
    <t>Performance Art Skills (sub-cat)</t>
  </si>
  <si>
    <t>Play Instrument Sub-category</t>
  </si>
  <si>
    <t>Play Instrument Skills</t>
  </si>
  <si>
    <t>Psionic Expertise Category</t>
  </si>
  <si>
    <t>Psionic Expertise Skills</t>
  </si>
  <si>
    <t>Grace Sub-category</t>
  </si>
  <si>
    <t>Grace Skills</t>
  </si>
  <si>
    <t>Directed Spell Sub-category</t>
  </si>
  <si>
    <t>Directed Spell Skills</t>
  </si>
  <si>
    <t>Base Lists Sub-category</t>
  </si>
  <si>
    <t>Base Lists Skills</t>
  </si>
  <si>
    <t>Open Lists Sub-category</t>
  </si>
  <si>
    <t>Open Lists Skills</t>
  </si>
  <si>
    <t>Closed Lists Sub-category</t>
  </si>
  <si>
    <t>Closed Lists Skills</t>
  </si>
  <si>
    <t>Restricted Lists Sub-category</t>
  </si>
  <si>
    <t>Restricted Lists Skills</t>
  </si>
  <si>
    <t>Science Category</t>
  </si>
  <si>
    <t>Science Skills</t>
  </si>
  <si>
    <t>Science Sub-Category</t>
  </si>
  <si>
    <t>Mathematics Sub-category</t>
  </si>
  <si>
    <t>Mathematics Skills</t>
  </si>
  <si>
    <t>Military Organization Sub-category</t>
  </si>
  <si>
    <t>Military Organization Skills</t>
  </si>
  <si>
    <t>Social Category</t>
  </si>
  <si>
    <t>Social Skills (cat)</t>
  </si>
  <si>
    <t>Social Sub-category</t>
  </si>
  <si>
    <t>Social Skills (sub-cat)</t>
  </si>
  <si>
    <t>Empathy</t>
  </si>
  <si>
    <t>Influence Sub-category</t>
  </si>
  <si>
    <t>Influence Skills</t>
  </si>
  <si>
    <t>Subterfuge Category</t>
  </si>
  <si>
    <t>Subterfuge Skills</t>
  </si>
  <si>
    <t>Ambush Sub-category</t>
  </si>
  <si>
    <t>Ambush Skills</t>
  </si>
  <si>
    <t>Subterfuge Sub-category</t>
  </si>
  <si>
    <t>Technology Category</t>
  </si>
  <si>
    <t>Technology Skills</t>
  </si>
  <si>
    <t>Technology Sub-category</t>
  </si>
  <si>
    <t>Armour Repair Sub-category</t>
  </si>
  <si>
    <t>Armour Repair Skills</t>
  </si>
  <si>
    <t>Criminal Technology Sub-category</t>
  </si>
  <si>
    <t>Criminal Technology Skills</t>
  </si>
  <si>
    <t>Mechanical Technology Sub-Category</t>
  </si>
  <si>
    <t>Mechanical Technology Skills</t>
  </si>
  <si>
    <t>Weapon Design Sub-Category</t>
  </si>
  <si>
    <t>Vocation Category</t>
  </si>
  <si>
    <t>Vocation Skills</t>
  </si>
  <si>
    <t>Administration Sub-category</t>
  </si>
  <si>
    <t>Administration Skills</t>
  </si>
  <si>
    <t>Service Sub-category</t>
  </si>
  <si>
    <t>Service Skills</t>
  </si>
  <si>
    <t>Trade Sub-category</t>
  </si>
  <si>
    <t>Trade Skills</t>
  </si>
  <si>
    <t>Animal Healing Sub-category</t>
  </si>
  <si>
    <t>Animal Healing Skills</t>
  </si>
  <si>
    <t>Composition Skills</t>
  </si>
  <si>
    <t>Delving [Em/In]</t>
  </si>
  <si>
    <t>Marine Piloting Sub-category</t>
  </si>
  <si>
    <t>Marine Piloting Skills</t>
  </si>
  <si>
    <t>Other Lore Sub-category</t>
  </si>
  <si>
    <t>Power Manipulation Category</t>
  </si>
  <si>
    <t>Power Manipulation Skills (cat)</t>
  </si>
  <si>
    <t>Power Manipulation Sub-category</t>
  </si>
  <si>
    <t>Power Manipulation Skills (sub-cat)</t>
  </si>
  <si>
    <t>Magical Powers Category</t>
  </si>
  <si>
    <t>Magical Powers Skills</t>
  </si>
  <si>
    <t>Magical Training Sub-category</t>
  </si>
  <si>
    <t>Category Statistic</t>
  </si>
  <si>
    <t>Skill Statistic</t>
  </si>
  <si>
    <t>Culture Ranks</t>
  </si>
  <si>
    <t>Level Ranks</t>
  </si>
  <si>
    <t>Ranged Penalties</t>
  </si>
  <si>
    <t>Spell Trickery Sub-category</t>
  </si>
  <si>
    <t>Spell Trickery Skills</t>
  </si>
  <si>
    <t>Magic Ritual Sub-category</t>
  </si>
  <si>
    <t>Magic Ritual Skills</t>
  </si>
  <si>
    <t>Ag/Em</t>
  </si>
  <si>
    <t>Pr</t>
  </si>
  <si>
    <t>- -</t>
  </si>
  <si>
    <t>In/Re</t>
  </si>
  <si>
    <t>SD</t>
  </si>
  <si>
    <t>Co/SD</t>
  </si>
  <si>
    <t>Ag</t>
  </si>
  <si>
    <t>Qu</t>
  </si>
  <si>
    <t>St</t>
  </si>
  <si>
    <t>Co</t>
  </si>
  <si>
    <t>Ag/St</t>
  </si>
  <si>
    <t>Em/In</t>
  </si>
  <si>
    <t>Re</t>
  </si>
  <si>
    <t>Ag/Me</t>
  </si>
  <si>
    <t>In</t>
  </si>
  <si>
    <t>Me/Re</t>
  </si>
  <si>
    <t>In/Me</t>
  </si>
  <si>
    <t>Ag/Qu</t>
  </si>
  <si>
    <t>Me/Me</t>
  </si>
  <si>
    <t>M</t>
  </si>
  <si>
    <t>Pr/SD</t>
  </si>
  <si>
    <t>Me</t>
  </si>
  <si>
    <t>Em/Pr</t>
  </si>
  <si>
    <t>Coin Weights</t>
  </si>
  <si>
    <t>0.</t>
  </si>
  <si>
    <t>Power Level</t>
  </si>
  <si>
    <t>Choose the Power Level of the campaign, this will increase the Professional Knacks, PP recovery and minimum temporary statistics. This will be set by your GM, and cannot be changed. Superior is that standard reccommended Power Level.</t>
  </si>
  <si>
    <t>Power Level:</t>
  </si>
  <si>
    <t>Superior</t>
  </si>
  <si>
    <t>Average</t>
  </si>
  <si>
    <t>Heroic</t>
  </si>
  <si>
    <t>Legendary</t>
  </si>
  <si>
    <t>Epic</t>
  </si>
  <si>
    <t>1a.</t>
  </si>
  <si>
    <t>Character Details</t>
  </si>
  <si>
    <t>Harsh</t>
  </si>
  <si>
    <t>Mentalism</t>
  </si>
  <si>
    <t>Height (ft):</t>
  </si>
  <si>
    <t>Weight (lbs):</t>
  </si>
  <si>
    <t>Neutral</t>
  </si>
  <si>
    <t>None</t>
  </si>
  <si>
    <t>60 - 80</t>
  </si>
  <si>
    <t>1b.</t>
  </si>
  <si>
    <t>Each of the five different Combat Training sub-categories (Melee, Shield, Ranged, Unarmed &amp; Siege Weapons) need ranking in order from 1-5 below, 1 being your characters primary Combat Training sub-category, and 5 being the one your character is least efficient with.</t>
  </si>
  <si>
    <t>-</t>
  </si>
  <si>
    <t>Heavy Weapons</t>
  </si>
  <si>
    <t>1c.</t>
  </si>
  <si>
    <t>Temporary &amp; Potential Statistics</t>
  </si>
  <si>
    <t>Roll for your Temporary &amp; Potential Statistics, and enter them here, the first column is used for your Temporary statistics while the other is reserved for Potential statistics. Once done, select the two statistics to receive a Stat Gain roll, and enter the result of the rolls in the third column. The final column shows the resulting temporary stat.</t>
  </si>
  <si>
    <t>Temporary</t>
  </si>
  <si>
    <t>Potential</t>
  </si>
  <si>
    <t>Stat Gain</t>
  </si>
  <si>
    <t>Final Statistic</t>
  </si>
  <si>
    <t>1d.</t>
  </si>
  <si>
    <t>Professional Skills</t>
  </si>
  <si>
    <t>Choose your Professional Skills here. Each drop-down menu is automatically populated by your Profession selection, so all options on the list are allowed. You are able to type the skill instead of scrolling through the menu, but you must spell it exactly as it is in the menu, otherwise it will not recognise it (note, the spreadsheet is written in British, English).</t>
  </si>
  <si>
    <t>1.</t>
  </si>
  <si>
    <t>2.</t>
  </si>
  <si>
    <t>3.</t>
  </si>
  <si>
    <t>4.</t>
  </si>
  <si>
    <t>Psion Development</t>
  </si>
  <si>
    <t>5.</t>
  </si>
  <si>
    <t>6.</t>
  </si>
  <si>
    <t>7.</t>
  </si>
  <si>
    <t>8.</t>
  </si>
  <si>
    <t>9.</t>
  </si>
  <si>
    <t>10.</t>
  </si>
  <si>
    <t>1e.</t>
  </si>
  <si>
    <t>Professional Knacks</t>
  </si>
  <si>
    <t>Choose your Professional Skills Knacks. Same as 'Professional Skills' above. Power Level will determine how many skills you can have and what the maximum skill bonus can be. Please see chart 11.1: Power Level, pg. 106 for your options. The first selection boxes are the skills, and the second is for the bonus. Remember not to let the total bonus exceed the Power Level Total</t>
  </si>
  <si>
    <t>Bonus:</t>
  </si>
  <si>
    <t>Jessica Louise Ewers</t>
  </si>
  <si>
    <t>RMU Core Races</t>
  </si>
  <si>
    <t>Em</t>
  </si>
  <si>
    <t>Cha.</t>
  </si>
  <si>
    <t>Ess.</t>
  </si>
  <si>
    <t>Men.</t>
  </si>
  <si>
    <t>Phy.</t>
  </si>
  <si>
    <t>Fear</t>
  </si>
  <si>
    <t>End.</t>
  </si>
  <si>
    <t>DP</t>
  </si>
  <si>
    <t>Size</t>
  </si>
  <si>
    <t>Stride</t>
  </si>
  <si>
    <t>Rec.</t>
  </si>
  <si>
    <t>Av. Height</t>
  </si>
  <si>
    <t>Modifier</t>
  </si>
  <si>
    <t>Av. Weight</t>
  </si>
  <si>
    <t>Talent 1</t>
  </si>
  <si>
    <t>Talent 2</t>
  </si>
  <si>
    <t>Talent 3</t>
  </si>
  <si>
    <t>Talent 4</t>
  </si>
  <si>
    <t>Talent 5</t>
  </si>
  <si>
    <t>Talent 6</t>
  </si>
  <si>
    <t>Flaw 1</t>
  </si>
  <si>
    <t>Flaw 2</t>
  </si>
  <si>
    <t>Flaw 3</t>
  </si>
  <si>
    <t>Flaw 4</t>
  </si>
  <si>
    <t>(5)</t>
  </si>
  <si>
    <t>+ (2d10 - 11)"</t>
  </si>
  <si>
    <t>Mi (1)</t>
  </si>
  <si>
    <t>(1)</t>
  </si>
  <si>
    <t>Mi</t>
  </si>
  <si>
    <t>D (2)</t>
  </si>
  <si>
    <t>(2)</t>
  </si>
  <si>
    <t>D</t>
  </si>
  <si>
    <t>T (3)</t>
  </si>
  <si>
    <t>(3)</t>
  </si>
  <si>
    <t>T</t>
  </si>
  <si>
    <t>S (4)</t>
  </si>
  <si>
    <t>(4)</t>
  </si>
  <si>
    <t>S</t>
  </si>
  <si>
    <t>M (5)</t>
  </si>
  <si>
    <t>B (6)</t>
  </si>
  <si>
    <t>(6)</t>
  </si>
  <si>
    <t>B</t>
  </si>
  <si>
    <t>L (7)</t>
  </si>
  <si>
    <t>(7)</t>
  </si>
  <si>
    <t>L</t>
  </si>
  <si>
    <t>H (8)</t>
  </si>
  <si>
    <t>(8)</t>
  </si>
  <si>
    <t>H</t>
  </si>
  <si>
    <t>G (9)</t>
  </si>
  <si>
    <t>(9)</t>
  </si>
  <si>
    <t>G</t>
  </si>
  <si>
    <t>E (10)</t>
  </si>
  <si>
    <t>(10)</t>
  </si>
  <si>
    <t>E</t>
  </si>
  <si>
    <t>I (11)</t>
  </si>
  <si>
    <t>(11)</t>
  </si>
  <si>
    <t>I</t>
  </si>
  <si>
    <t>O (12)</t>
  </si>
  <si>
    <t>(12)</t>
  </si>
  <si>
    <t>O</t>
  </si>
  <si>
    <t>V (13)</t>
  </si>
  <si>
    <t>(13)</t>
  </si>
  <si>
    <t>V</t>
  </si>
  <si>
    <t>Sizes</t>
  </si>
  <si>
    <t>Recovery</t>
  </si>
  <si>
    <t>Natural Elemental Immunity (cold)</t>
  </si>
  <si>
    <t>Natural Elemental Immunity (heat)</t>
  </si>
  <si>
    <t>Resistance to Elements (heat) I</t>
  </si>
  <si>
    <t>Weakness to Elements (cold) I</t>
  </si>
  <si>
    <t>Prodigy (Animal Handling) I</t>
  </si>
  <si>
    <t>Prodigy (Animal Handling) II</t>
  </si>
  <si>
    <t>Prodigy (Mechanics) I</t>
  </si>
  <si>
    <t>Vigorous: Cold I</t>
  </si>
  <si>
    <t>Vigorous: Heat I</t>
  </si>
  <si>
    <t>Talent List</t>
  </si>
  <si>
    <t>Acute Hearing I</t>
  </si>
  <si>
    <t>+5 Perception involving hearing</t>
  </si>
  <si>
    <t>Acute Hearing II</t>
  </si>
  <si>
    <t>+10 Perception involving hearing</t>
  </si>
  <si>
    <t>Acute Hearing III</t>
  </si>
  <si>
    <t>+15 Perception involving hearing</t>
  </si>
  <si>
    <t>Acute Hearing IV</t>
  </si>
  <si>
    <t>+20 Perception involving hearing</t>
  </si>
  <si>
    <t>Acute Hearing V</t>
  </si>
  <si>
    <t>+25 Perception involving hearing</t>
  </si>
  <si>
    <t>Acute Smell I</t>
  </si>
  <si>
    <t>+5 Perception involving smell</t>
  </si>
  <si>
    <t>Acute Smell II</t>
  </si>
  <si>
    <t>+10 Perception involving smell</t>
  </si>
  <si>
    <t>Acute Smell III</t>
  </si>
  <si>
    <t>+15 Perception involving smell</t>
  </si>
  <si>
    <t>Acute Smell IV</t>
  </si>
  <si>
    <t>+20 Perception involving smell</t>
  </si>
  <si>
    <t>Acute Smell V</t>
  </si>
  <si>
    <t>+25 Perception involving smell</t>
  </si>
  <si>
    <t>Acute Taste I</t>
  </si>
  <si>
    <t>+5 Perception involving taste</t>
  </si>
  <si>
    <t>Acute Taste II</t>
  </si>
  <si>
    <t>+10 Perception involving taste</t>
  </si>
  <si>
    <t>Acute Taste III</t>
  </si>
  <si>
    <t>+15 Perception involving taste</t>
  </si>
  <si>
    <t>Acute Taste IV</t>
  </si>
  <si>
    <t>+20 Perception involving taste</t>
  </si>
  <si>
    <t>Acute Taste V</t>
  </si>
  <si>
    <t>+25 Perception involving taste</t>
  </si>
  <si>
    <t>Acute Touch I</t>
  </si>
  <si>
    <t>+5 Perception involving touch</t>
  </si>
  <si>
    <t>Acute Touch II</t>
  </si>
  <si>
    <t>+10 Perception involving touch</t>
  </si>
  <si>
    <t>Acute Touch III</t>
  </si>
  <si>
    <t>+15 Perception involving touch</t>
  </si>
  <si>
    <t>Acute Touch IV</t>
  </si>
  <si>
    <t>+20 Perception involving touch</t>
  </si>
  <si>
    <t>Acute Touch V</t>
  </si>
  <si>
    <t>+25 Perception involving touch</t>
  </si>
  <si>
    <t>Acute Vision I</t>
  </si>
  <si>
    <t>+5 Perception involving vision</t>
  </si>
  <si>
    <t>Acute Vision II</t>
  </si>
  <si>
    <t>+10 Perception involving vision</t>
  </si>
  <si>
    <t>Acute Vision III</t>
  </si>
  <si>
    <t>+15 Perception involving vision</t>
  </si>
  <si>
    <t>Acute Vision IV</t>
  </si>
  <si>
    <t>+20 Perception involving vision</t>
  </si>
  <si>
    <t>Acute Vision V</t>
  </si>
  <si>
    <t>+25 Perception involving vision</t>
  </si>
  <si>
    <t>Adapted Form (water)</t>
  </si>
  <si>
    <t>Flared limbs, webbed fingers, gills, blood can handle sudden pressure changes and extreme pressures</t>
  </si>
  <si>
    <t>Ambidextrous</t>
  </si>
  <si>
    <t>Off-hand penalty (-20) for weapons does not apply</t>
  </si>
  <si>
    <t>Animal Empathy I</t>
  </si>
  <si>
    <t>+25 to maneuvers involving one type of animal, and can empathically communicate up to 100'</t>
  </si>
  <si>
    <t>Animal Empathy II</t>
  </si>
  <si>
    <t>+25 to maneuvers involving one type of animal, and can empathically communicate up to 125'</t>
  </si>
  <si>
    <t>Animal Empathy III</t>
  </si>
  <si>
    <t>+25 to maneuvers involving one type of animal, and can empathically communicate up to 150'</t>
  </si>
  <si>
    <t>Animal Empathy IV</t>
  </si>
  <si>
    <t>+25 to maneuvers involving one type of animal, and can empathically communicate up to 175'</t>
  </si>
  <si>
    <t>Animal Empathy V</t>
  </si>
  <si>
    <t>+25 to maneuvers involving one type of animal, and can empathically communicate up to 200'</t>
  </si>
  <si>
    <t>Camoflage (chameleon)</t>
  </si>
  <si>
    <t>Can change skin colour and texture to match suitable terrain, +50 to Stalking</t>
  </si>
  <si>
    <t>Darkvision I</t>
  </si>
  <si>
    <t>You can see 20' in complete darkness</t>
  </si>
  <si>
    <t>Darkvision II</t>
  </si>
  <si>
    <t>You can see 30' in complete darkness</t>
  </si>
  <si>
    <t>Darkvision III</t>
  </si>
  <si>
    <t>You can see 40' in complete darkness</t>
  </si>
  <si>
    <t>Darkvision IV</t>
  </si>
  <si>
    <t>You can see 50' in complete darkness</t>
  </si>
  <si>
    <t>Darkvision V</t>
  </si>
  <si>
    <t>You can see 60' in complete darkness</t>
  </si>
  <si>
    <t>Deadeye I</t>
  </si>
  <si>
    <t>All range penalties for a specific ranged Combat Training is modified by -10</t>
  </si>
  <si>
    <t>Deadeye II</t>
  </si>
  <si>
    <t>All range penalties for a specific ranged Combat Training is modified by -20</t>
  </si>
  <si>
    <t>Deadeye III</t>
  </si>
  <si>
    <t>All range penalties for a specific ranged Combat Training is modified by -30</t>
  </si>
  <si>
    <t>Deadeye IV</t>
  </si>
  <si>
    <t>All range penalties for a specific ranged Combat Training is modified by -40</t>
  </si>
  <si>
    <t>Deadeye V</t>
  </si>
  <si>
    <t>All range penalties for a specific ranged Combat Training is modified by -50</t>
  </si>
  <si>
    <t>Destiny Sense I</t>
  </si>
  <si>
    <t>Instinctively know the direction to a specific goal once per day</t>
  </si>
  <si>
    <t>Destiny Sense II</t>
  </si>
  <si>
    <t>Instinctively know the direction and distance to a specific goal once per day</t>
  </si>
  <si>
    <t>Echolocation</t>
  </si>
  <si>
    <t>Your ears are mentally tuned to provide images of your surroundings and any beings in it. +40 Hearing</t>
  </si>
  <si>
    <t>Efficient Sleeper I</t>
  </si>
  <si>
    <t>You get benefits from 3 hours sleep as others do with 4 hours of sleep</t>
  </si>
  <si>
    <t>Efficient Sleeper II</t>
  </si>
  <si>
    <t>You get benefits from 2 hours sleep as others do with 4 hours of sleep</t>
  </si>
  <si>
    <t>Elemental Immunity (cold)</t>
  </si>
  <si>
    <t>Immune to all effects of cold and ice, both magical and natural</t>
  </si>
  <si>
    <t>Elemental Immunity (heat)</t>
  </si>
  <si>
    <t>Immune to all effects of heat and fire, both magical and natural</t>
  </si>
  <si>
    <t>Elemental Immunity (light)</t>
  </si>
  <si>
    <t>Immune to all effects of light and lightning, both magical and natural</t>
  </si>
  <si>
    <t>Eloquence I</t>
  </si>
  <si>
    <t>+5 to all Spellcasting rolls</t>
  </si>
  <si>
    <t>Eloquence II</t>
  </si>
  <si>
    <t>+10 to all Spellcasting rolls</t>
  </si>
  <si>
    <t>Eloquence III</t>
  </si>
  <si>
    <t>+15 to all Spellcasting rolls</t>
  </si>
  <si>
    <t>Eloquence IV</t>
  </si>
  <si>
    <t>+20 to all Spellcasting rolls</t>
  </si>
  <si>
    <t>Eloquence V</t>
  </si>
  <si>
    <t>+25 to all Spellcasting rolls</t>
  </si>
  <si>
    <t>Read emotions of those within 25'. +50 Social Awareness where appropriate</t>
  </si>
  <si>
    <t>Enhanced Attack (Melee) I</t>
  </si>
  <si>
    <t>+1 Size to all melee attacks</t>
  </si>
  <si>
    <t>Enhanced Attack (Melee) II</t>
  </si>
  <si>
    <t>+2 Size to all melee attacks</t>
  </si>
  <si>
    <t>Enhanced Attack (Melee) III</t>
  </si>
  <si>
    <t>+3 Size to all melee attacks</t>
  </si>
  <si>
    <t>Enhanced Attack I</t>
  </si>
  <si>
    <t>One attack is regarded as +1 Size</t>
  </si>
  <si>
    <t>Enhanced Attack II</t>
  </si>
  <si>
    <t>One attack is regarded as +2 Size</t>
  </si>
  <si>
    <t>Enhanced Attack III</t>
  </si>
  <si>
    <t>One attack is regarded as +3 Size</t>
  </si>
  <si>
    <t>Extended Reach I</t>
  </si>
  <si>
    <t>Cast Touch spells from a single spell list with a range of 5'</t>
  </si>
  <si>
    <t>Extended Reach II</t>
  </si>
  <si>
    <t>Cast Touch spells from a single spell list with a range of 10'</t>
  </si>
  <si>
    <t>Extended Reach III</t>
  </si>
  <si>
    <t>Cast Touch spells from a single spell list with a range of 15'</t>
  </si>
  <si>
    <t>Extended Reach IV</t>
  </si>
  <si>
    <t>Cast Touch spells from a single spell list with a range of 20'</t>
  </si>
  <si>
    <t>Extended Reach V</t>
  </si>
  <si>
    <t>Cast Touch spells from a single spell list with a range of 25'</t>
  </si>
  <si>
    <t>Extra Sense I</t>
  </si>
  <si>
    <t>Can sense things inside body or affecting character</t>
  </si>
  <si>
    <t>Extra Sense II</t>
  </si>
  <si>
    <t>Can sense things in contact with body</t>
  </si>
  <si>
    <t>Extra Sense III</t>
  </si>
  <si>
    <t>General sense of direction and intensity (like smell). Can attack unseen targets at -50</t>
  </si>
  <si>
    <t>Extra Sense IV</t>
  </si>
  <si>
    <t>Direction, intensity and distance, weak on specific details. Can attack unseen targets at -25</t>
  </si>
  <si>
    <t>Extra Sense V</t>
  </si>
  <si>
    <t>Can sense in specific detail, can attack unseen targets normally</t>
  </si>
  <si>
    <t>Eyestalk I</t>
  </si>
  <si>
    <t>Can see with a 360 degree arc. You cannot be surprised or flanked.</t>
  </si>
  <si>
    <t>Eyestalk II</t>
  </si>
  <si>
    <t>Eyestalk III</t>
  </si>
  <si>
    <t>Can see with a 360 degree arc. You cannot be surprised or flanked. +3 Perception</t>
  </si>
  <si>
    <t>Eyestalk IV</t>
  </si>
  <si>
    <t>Can see with a 360 degree arc. You cannot be surprised or flanked. +5 Perception</t>
  </si>
  <si>
    <t>Eyestalk V</t>
  </si>
  <si>
    <t>Can see with a 360 degree arc. You cannot be surprised or flanked. +8 Perception</t>
  </si>
  <si>
    <t>Eyestalk VI</t>
  </si>
  <si>
    <t>Can see with a 360 degree arc. You cannot be surprised or flanked. +10 Perception</t>
  </si>
  <si>
    <t>Eyestalk VII</t>
  </si>
  <si>
    <t>Can see with a 360 degree arc. You cannot be surprised or flanked. +13 Perception</t>
  </si>
  <si>
    <t>Eyestalk VIII</t>
  </si>
  <si>
    <t>Can see with a 360 degree arc. You cannot be surprised or flanked. +15 Perception</t>
  </si>
  <si>
    <t>Fast Healer</t>
  </si>
  <si>
    <t>Recovery times are halved</t>
  </si>
  <si>
    <t>Foiler I</t>
  </si>
  <si>
    <t>Any foe attacking you that you are aware of has a +1 modifier to their Fumble range.</t>
  </si>
  <si>
    <t>Foiler II</t>
  </si>
  <si>
    <t>Any foe attacking you that you are aware of has a +2 modifier to their Fumble range.</t>
  </si>
  <si>
    <t>Foiler III</t>
  </si>
  <si>
    <t>Any foe attacking you that you are aware of has a +3 modifier to their Fumble range.</t>
  </si>
  <si>
    <t>Foiler IV</t>
  </si>
  <si>
    <t>Any foe attacking you that you are aware of has a +4 modifier to their Fumble range.</t>
  </si>
  <si>
    <t>Foiler V</t>
  </si>
  <si>
    <t>Any foe attacking you that you are aware of has a +5 modifier to their Fumble range.</t>
  </si>
  <si>
    <t>Frenzy</t>
  </si>
  <si>
    <t>You can enter a frenzied rage. See A&amp;CL section 5.3, pg. 73.</t>
  </si>
  <si>
    <t>Golden Throat I</t>
  </si>
  <si>
    <t>+10 to maneuvers to verbally calm or persuade</t>
  </si>
  <si>
    <t>Golden Throat II</t>
  </si>
  <si>
    <t>+20 to maneuvers to verbally calm or persuade</t>
  </si>
  <si>
    <t>Golden Throat III</t>
  </si>
  <si>
    <t>+30 to maneuvers to verbally calm or persuade</t>
  </si>
  <si>
    <t>Golden Throat IV</t>
  </si>
  <si>
    <t>+40 to maneuvers to verbally calm or persuade</t>
  </si>
  <si>
    <t>Golden Throat V</t>
  </si>
  <si>
    <t>+50 to maneuvers to verbally calm or persuade</t>
  </si>
  <si>
    <t>Graceful Recovery I</t>
  </si>
  <si>
    <t>Spell Failure rolls are reduced by up to 5</t>
  </si>
  <si>
    <t>Graceful Recovery II</t>
  </si>
  <si>
    <t>Spell Failure rolls are reduced by up to 10</t>
  </si>
  <si>
    <t>Graceful Recovery III</t>
  </si>
  <si>
    <t>Spell Failure rolls are reduced by up to 15</t>
  </si>
  <si>
    <t>Graceful Recovery IV</t>
  </si>
  <si>
    <t>Spell Failure rolls are reduced by up to 20</t>
  </si>
  <si>
    <t>Graceful Recovery V</t>
  </si>
  <si>
    <t>Spell Failure rolls are reduced by up to 25</t>
  </si>
  <si>
    <t>Hearing: Cat</t>
  </si>
  <si>
    <t>Can hear high pitched noises better and pin-point sound in the vicinity more effectively</t>
  </si>
  <si>
    <t>Hearing: Dog</t>
  </si>
  <si>
    <t>Can pin-point sound in the vicinity more effectively, and can hear up to 4x further. +10 Perception</t>
  </si>
  <si>
    <t>Hybrid I</t>
  </si>
  <si>
    <t>You gain access to another realm of magic</t>
  </si>
  <si>
    <t>Hybrid II</t>
  </si>
  <si>
    <t>You gain access to all realms of magic</t>
  </si>
  <si>
    <t>Innate Spell List (Mind Speech, lvl 10)</t>
  </si>
  <si>
    <t>Has innate magical abilities with the Mind Speech Mentalism Spell List up to level 10</t>
  </si>
  <si>
    <t>Iron Will I</t>
  </si>
  <si>
    <t>+5 to Resistance Rolls versus mental spells</t>
  </si>
  <si>
    <t>Iron Will II</t>
  </si>
  <si>
    <t>+10 to Resistance Rolls versus mental spells</t>
  </si>
  <si>
    <t>Iron Will III</t>
  </si>
  <si>
    <t>+15 to Resistance Rolls versus mental spells</t>
  </si>
  <si>
    <t>Iron Will IV</t>
  </si>
  <si>
    <t>+20 to Resistance Rolls versus mental spells</t>
  </si>
  <si>
    <t>Iron Will V</t>
  </si>
  <si>
    <t>+25 to Resistance Rolls versus mental spells</t>
  </si>
  <si>
    <t>Light Sleeper</t>
  </si>
  <si>
    <t>+25 Perception to awake from sleep and subsequent rolls to act</t>
  </si>
  <si>
    <t>Look of Eagles I</t>
  </si>
  <si>
    <t>+10 to all Leadership maneuvers, and followers get a +2 to Fear RR</t>
  </si>
  <si>
    <t>Look of Eagles II</t>
  </si>
  <si>
    <t>+20 to all Leadership maneuvers, and followers get a +4 to Fear RR</t>
  </si>
  <si>
    <t>Look of Eagles III</t>
  </si>
  <si>
    <t>+30 to all Leadership maneuvers, and followers get a +6 to Fear RR</t>
  </si>
  <si>
    <t>Look of Eagles IV</t>
  </si>
  <si>
    <t>+40 to all Leadership maneuvers, and followers get a +8 to Fear RR</t>
  </si>
  <si>
    <t>Look of Eagles V</t>
  </si>
  <si>
    <t>+50 to all Leadership maneuvers, and followers get a +10 to Fear RR</t>
  </si>
  <si>
    <t>Magical Resistance I</t>
  </si>
  <si>
    <t>+5 Resistance to chosen realm of magic</t>
  </si>
  <si>
    <t>Magical Resistance II</t>
  </si>
  <si>
    <t>+10 Resistance to chosen realm of magic</t>
  </si>
  <si>
    <t>Magical Resistance III</t>
  </si>
  <si>
    <t>+15 Resistance to chosen realm of magic</t>
  </si>
  <si>
    <t>Magical Resistance IV</t>
  </si>
  <si>
    <t>+20 Resistance to chosen realm of magic</t>
  </si>
  <si>
    <t>Magical Resistance V</t>
  </si>
  <si>
    <t>+25 Resistance to chosen realm of magic</t>
  </si>
  <si>
    <t>Natural Armour I</t>
  </si>
  <si>
    <t>+1 natural AT, with no encumbrance or maneuver penalties, but does not provide a RR.</t>
  </si>
  <si>
    <t>Natural Armour II</t>
  </si>
  <si>
    <t>+2 natural AT, with no encumbrance or maneuver penalties, but does not provide a RR.</t>
  </si>
  <si>
    <t>Natural Armour III</t>
  </si>
  <si>
    <t>+3 natural AT, with no encumbrance or maneuver penalties, but does not provide a RR.</t>
  </si>
  <si>
    <t>Natural Armour IV</t>
  </si>
  <si>
    <t>+4 natural AT, with no encumbrance or maneuver penalties, but does not provide a RR.</t>
  </si>
  <si>
    <t>Natural Armour IX</t>
  </si>
  <si>
    <t>+9 natural AT, with no encumbrance or maneuver penalties, but does not provide a RR.</t>
  </si>
  <si>
    <t>Natural Armour V</t>
  </si>
  <si>
    <t>+5 natural AT, with no encumbrance or maneuver penalties, but does not provide a RR.</t>
  </si>
  <si>
    <t>Natural Armour VI</t>
  </si>
  <si>
    <t>+6 natural AT, with no encumbrance or maneuver penalties, but does not provide a RR.</t>
  </si>
  <si>
    <t>Natural Armour VII</t>
  </si>
  <si>
    <t>+7 natural AT, with no encumbrance or maneuver penalties, but does not provide a RR.</t>
  </si>
  <si>
    <t>Natural Armour VIII</t>
  </si>
  <si>
    <t>+8 natural AT, with no encumbrance or maneuver penalties, but does not provide a RR.</t>
  </si>
  <si>
    <t>Immune to all effects of natural cold and ice, and takes half hits from cold attacks</t>
  </si>
  <si>
    <t>Immune to all effects of natural heat and fire, and takes half hits from heat attacks</t>
  </si>
  <si>
    <t>Natural Elemental Immunity (light)</t>
  </si>
  <si>
    <t>Immune to all effects of natural light and lightning, and takes half hits from light attacks</t>
  </si>
  <si>
    <t>Natural Weaponry</t>
  </si>
  <si>
    <t>Receive a natural attack such as claw or stinger</t>
  </si>
  <si>
    <t>Neutral Odor</t>
  </si>
  <si>
    <t>All attemps to percieve your presence based on smell is at -50</t>
  </si>
  <si>
    <t>Nightvision</t>
  </si>
  <si>
    <t>You can see in dim light, such as nighttime, as well as a human can see in daylight</t>
  </si>
  <si>
    <t>Nose: Uncanny Tracking I</t>
  </si>
  <si>
    <t>+10 Awareness: Tracking (automatically added)</t>
  </si>
  <si>
    <t>Nose: Uncanny Tracking II</t>
  </si>
  <si>
    <t>+20 Awareness: Tracking (automatically added)</t>
  </si>
  <si>
    <t>Nose: Uncanny Tracking III</t>
  </si>
  <si>
    <t>+30 Awareness: Tracking (automatically added)</t>
  </si>
  <si>
    <t>Nose: Uncanny Tracking IV</t>
  </si>
  <si>
    <t>+40 Awareness: Tracking (automatically added)</t>
  </si>
  <si>
    <t>Nose: Uncanny Tracking V</t>
  </si>
  <si>
    <t>+50 Awareness: Tracking (automatically added)</t>
  </si>
  <si>
    <t>Opportunistic Strike</t>
  </si>
  <si>
    <t>If foe fumbles in melee, you can make a 0-AP attack against him (in addition to any other attack)</t>
  </si>
  <si>
    <t>Partial camoflage (chameleon) I</t>
  </si>
  <si>
    <t>Can change skin colour (not texture) to match simple terrain colours, +50 to Stalking.</t>
  </si>
  <si>
    <t>Partial camoflage (chameleon) II</t>
  </si>
  <si>
    <t>Can change skin colour (not texture) to match simple terrain colours, +80 to Stalking.</t>
  </si>
  <si>
    <t>Partial camoflage, forest (chameleon) I</t>
  </si>
  <si>
    <t>Can change skin colour (not texture) to match simple terrain colours in a forest, +50 to Stalking.</t>
  </si>
  <si>
    <t>Partial camoflage, forest (chameleon) II</t>
  </si>
  <si>
    <t>Can change skin colour (not texture) to match simple terrain colours in a forest, +80 to Stalking.</t>
  </si>
  <si>
    <t>Perfect Pitch I (Play Instrument)</t>
  </si>
  <si>
    <t>Can reproduce any pitch with an instrument. +10 Performance Art: Play Instrument</t>
  </si>
  <si>
    <t>Perfect Pitch I (Singing)</t>
  </si>
  <si>
    <t>Can reproduce any pitch with your voice. +10 Performance Art: Singing</t>
  </si>
  <si>
    <t>Perfect Pitch II (Play Instrument)</t>
  </si>
  <si>
    <t>Can reproduce any pitch with an instrument. +20 Performance Art: Play Instrument</t>
  </si>
  <si>
    <t>Perfect Pitch II (Singing)</t>
  </si>
  <si>
    <t>Can reproduce any pitch with your voice. +20 Performance Art: Singing</t>
  </si>
  <si>
    <t>Perfect Pitch III (Play Instrument)</t>
  </si>
  <si>
    <t>Can reproduce any pitch with an instrument. +30 Performance Art: Play Instrument</t>
  </si>
  <si>
    <t>Perfect Pitch III (Singing)</t>
  </si>
  <si>
    <t>Can reproduce any pitch with your voice. +30 Performance Art: Singing</t>
  </si>
  <si>
    <t>Physical Resistance I</t>
  </si>
  <si>
    <t>+5 Physical Resistance</t>
  </si>
  <si>
    <t>Physical Resistance II</t>
  </si>
  <si>
    <t>+10 Physical Resistance</t>
  </si>
  <si>
    <t>Physical Resistance III</t>
  </si>
  <si>
    <t>+15 Physical Resistance</t>
  </si>
  <si>
    <t>Physical Resistance IV</t>
  </si>
  <si>
    <t>+20 Physical Resistance</t>
  </si>
  <si>
    <t>Physical Resistance V</t>
  </si>
  <si>
    <t>+25 Physical Resistance</t>
  </si>
  <si>
    <t>Power Recycling I</t>
  </si>
  <si>
    <t>When you fail a spell, recover half of the Power Points spent</t>
  </si>
  <si>
    <t>Power Recycling II</t>
  </si>
  <si>
    <t>When you fail a spell, recover all of the Power Points spent</t>
  </si>
  <si>
    <t>Pressing the Advantage I</t>
  </si>
  <si>
    <t>Every time you inflict a critical on an opponent in melee, you get a +5 OB Bonus on your next attack</t>
  </si>
  <si>
    <t>Pressing the Advantage II</t>
  </si>
  <si>
    <t>Every time you inflict a critical on an opponent in melee, you get a +10 OB Bonus on your next attack</t>
  </si>
  <si>
    <t>Pressing the Advantage III</t>
  </si>
  <si>
    <t>Every time you inflict a critical on an opponent in melee, you get a +15 OB Bonus on your next attack</t>
  </si>
  <si>
    <t>Pressing the Advantage IV</t>
  </si>
  <si>
    <t>Every time you inflict a critical on an opponent in melee, you get a +20 OB Bonus on your next attack</t>
  </si>
  <si>
    <t>Pressing the Advantage V</t>
  </si>
  <si>
    <t>Every time you inflict a critical on an opponent in melee, you get a +25 OB Bonus on your next attack</t>
  </si>
  <si>
    <t>Prodigy (Acrobatics) I</t>
  </si>
  <si>
    <t>+5 to Acrobatics</t>
  </si>
  <si>
    <t>Prodigy (Acrobatics) II</t>
  </si>
  <si>
    <t>+10 to Acrobatics</t>
  </si>
  <si>
    <t>Prodigy (Acrobatics) III</t>
  </si>
  <si>
    <t>+15 to Acrobatics</t>
  </si>
  <si>
    <t>Prodigy (Acrobatics) IV</t>
  </si>
  <si>
    <t>+20 to Acrobatics</t>
  </si>
  <si>
    <t>Prodigy (Acrobatics) V</t>
  </si>
  <si>
    <t>+25 to Acrobatics</t>
  </si>
  <si>
    <t>Prodigy (Acting) I</t>
  </si>
  <si>
    <t>+5 to Acting</t>
  </si>
  <si>
    <t>Prodigy (Acting) II</t>
  </si>
  <si>
    <t>+10 to Acting</t>
  </si>
  <si>
    <t>Prodigy (Acting) III</t>
  </si>
  <si>
    <t>+15 to Acting</t>
  </si>
  <si>
    <t>Prodigy (Acting) IV</t>
  </si>
  <si>
    <t>+20 to Acting</t>
  </si>
  <si>
    <t>+5 to Animal Handling</t>
  </si>
  <si>
    <t>+10 to Animal Handling</t>
  </si>
  <si>
    <t>Prodigy (Animal Handling) III</t>
  </si>
  <si>
    <t>+15 to Animal Handling</t>
  </si>
  <si>
    <t>Prodigy (Animal Handling) IV</t>
  </si>
  <si>
    <t>+20 to Animal Handling</t>
  </si>
  <si>
    <t>Prodigy (Animal Riding) I</t>
  </si>
  <si>
    <t>+5 to Animal Riding</t>
  </si>
  <si>
    <t>Prodigy (Animal Riding) II</t>
  </si>
  <si>
    <t>+10 to Animal Riding</t>
  </si>
  <si>
    <t>Prodigy (Animal Riding) III</t>
  </si>
  <si>
    <t>+15 to Animal Riding</t>
  </si>
  <si>
    <t>Prodigy (Animal Riding) IV</t>
  </si>
  <si>
    <t>+20 to Animal Riding</t>
  </si>
  <si>
    <t>Prodigy (Attunement) I</t>
  </si>
  <si>
    <t>+5 to Attunement</t>
  </si>
  <si>
    <t>Prodigy (Attunement) II</t>
  </si>
  <si>
    <t>+10 to Attunement</t>
  </si>
  <si>
    <t>Prodigy (Attunement) III</t>
  </si>
  <si>
    <t>+15 to Attunement</t>
  </si>
  <si>
    <t>Prodigy (Attunement) IV</t>
  </si>
  <si>
    <t>+20 to Attunement</t>
  </si>
  <si>
    <t>Prodigy (Climbing) I</t>
  </si>
  <si>
    <t>+5 to Climbing</t>
  </si>
  <si>
    <t>Prodigy (Climbing) II</t>
  </si>
  <si>
    <t>+10 to Climbing</t>
  </si>
  <si>
    <t>Prodigy (Climbing) III</t>
  </si>
  <si>
    <t>+15 to Climbing</t>
  </si>
  <si>
    <t>Prodigy (Climbing) IV</t>
  </si>
  <si>
    <t>+20 to Climbing</t>
  </si>
  <si>
    <t>Prodigy (Combat Training: Melee) I</t>
  </si>
  <si>
    <t>+5 to Combat Training: Melee</t>
  </si>
  <si>
    <t>Prodigy (Combat Training: Melee) II</t>
  </si>
  <si>
    <t>+10 to Combat Training: Melee</t>
  </si>
  <si>
    <t>Prodigy (Combat Training: Melee) III</t>
  </si>
  <si>
    <t>+15 to Combat Training: Melee</t>
  </si>
  <si>
    <t>Prodigy (Combat Training: Melee) IV</t>
  </si>
  <si>
    <t>+20 to Combat Training: Melee</t>
  </si>
  <si>
    <t>Prodigy (Contortions) I</t>
  </si>
  <si>
    <t>+5 to Contortions</t>
  </si>
  <si>
    <t>Prodigy (Contortions) II</t>
  </si>
  <si>
    <t>+10 to Contortions</t>
  </si>
  <si>
    <t>Prodigy (Contortions) III</t>
  </si>
  <si>
    <t>+15 to Contortions</t>
  </si>
  <si>
    <t>Prodigy (Contortions) IV</t>
  </si>
  <si>
    <t>+20 to Contortions</t>
  </si>
  <si>
    <t>Prodigy (Crafts) I</t>
  </si>
  <si>
    <t>+5 to Crafts</t>
  </si>
  <si>
    <t>Prodigy (Crafts) II</t>
  </si>
  <si>
    <t>+10 to Crafts</t>
  </si>
  <si>
    <t>Prodigy (Crafts) III</t>
  </si>
  <si>
    <t>+15 to Crafts</t>
  </si>
  <si>
    <t>Prodigy (Crafts) IV</t>
  </si>
  <si>
    <t>+20 to Crafts</t>
  </si>
  <si>
    <t>Prodigy (Duping) I</t>
  </si>
  <si>
    <t>+5 to Duping</t>
  </si>
  <si>
    <t>Prodigy (Duping) II</t>
  </si>
  <si>
    <t>+10 to Duping</t>
  </si>
  <si>
    <t>Prodigy (Duping) III</t>
  </si>
  <si>
    <t>+15 to Duping</t>
  </si>
  <si>
    <t>Prodigy (Duping) IV</t>
  </si>
  <si>
    <t>+20 to Duping</t>
  </si>
  <si>
    <t>Prodigy (Flying/Gliding) I</t>
  </si>
  <si>
    <t>+5 to Flying/Gliding</t>
  </si>
  <si>
    <t>Prodigy (Flying/Gliding) II</t>
  </si>
  <si>
    <t>+10 to Flying/Gliding</t>
  </si>
  <si>
    <t>Prodigy (Flying/Gliding) III</t>
  </si>
  <si>
    <t>+15 to Flying/Gliding</t>
  </si>
  <si>
    <t>Prodigy (Flying/Gliding) IV</t>
  </si>
  <si>
    <t>+20 to Flying/Gliding</t>
  </si>
  <si>
    <t>Prodigy (Flying/Gliding) V</t>
  </si>
  <si>
    <t>+25 to Flying/Gliding</t>
  </si>
  <si>
    <t>Prodigy (Intimidation) I</t>
  </si>
  <si>
    <t>+5 to Intimidation</t>
  </si>
  <si>
    <t>Prodigy (Intimidation) II</t>
  </si>
  <si>
    <t>+10 to Intimidation</t>
  </si>
  <si>
    <t>Prodigy (Intimidation) III</t>
  </si>
  <si>
    <t>+15 to Intimidation</t>
  </si>
  <si>
    <t>Prodigy (Intimidation) IV</t>
  </si>
  <si>
    <t>+20 to Intimidation</t>
  </si>
  <si>
    <t>Prodigy (Intimidation) V</t>
  </si>
  <si>
    <t>+25 to Intimidation</t>
  </si>
  <si>
    <t>Prodigy (Leadership) I</t>
  </si>
  <si>
    <t>+5 to Leadership</t>
  </si>
  <si>
    <t>Prodigy (Leadership) II</t>
  </si>
  <si>
    <t>+10 to Leadership</t>
  </si>
  <si>
    <t>Prodigy (Leadership) III</t>
  </si>
  <si>
    <t>+15 to Leadership</t>
  </si>
  <si>
    <t>Prodigy (Leadership) IV</t>
  </si>
  <si>
    <t>+20 to Leadership</t>
  </si>
  <si>
    <t>+5 to Mechanics</t>
  </si>
  <si>
    <t>Prodigy (Mechanics) II</t>
  </si>
  <si>
    <t>+10 to Mechanics</t>
  </si>
  <si>
    <t>Prodigy (Mechanics) III</t>
  </si>
  <si>
    <t>+15 to Mechanics</t>
  </si>
  <si>
    <t>Prodigy (Mechanics) IV</t>
  </si>
  <si>
    <t>+20 to Mechanics</t>
  </si>
  <si>
    <t>Prodigy (Mechanics) V</t>
  </si>
  <si>
    <t>+25 to Mechanics</t>
  </si>
  <si>
    <t>Prodigy (Mounted Combat) I</t>
  </si>
  <si>
    <t>+5 to Mounted Combat</t>
  </si>
  <si>
    <t>Prodigy (Mounted Combat) II</t>
  </si>
  <si>
    <t>+10 to Mounted Combat</t>
  </si>
  <si>
    <t>Prodigy (Mounted Combat) III</t>
  </si>
  <si>
    <t>+15 to Mounted Combat</t>
  </si>
  <si>
    <t>Prodigy (Mounted Combat) IV</t>
  </si>
  <si>
    <t>+20 to Mounted Combat</t>
  </si>
  <si>
    <t>Prodigy (Navigation: Marine) I</t>
  </si>
  <si>
    <t>+5 to Navigation: Marine</t>
  </si>
  <si>
    <t>Prodigy (Navigation: Marine) II</t>
  </si>
  <si>
    <t>+10 to Navigation: Marine</t>
  </si>
  <si>
    <t>Prodigy (Navigation: Marine) III</t>
  </si>
  <si>
    <t>+15 to Navigation: Marine</t>
  </si>
  <si>
    <t>Prodigy (Navigation: Marine) IV</t>
  </si>
  <si>
    <t>+20 to Navigation: Marine</t>
  </si>
  <si>
    <t>Prodigy (Perception) I</t>
  </si>
  <si>
    <t>+5 to Perception</t>
  </si>
  <si>
    <t>Prodigy (Perception) II</t>
  </si>
  <si>
    <t>+10 to Perception</t>
  </si>
  <si>
    <t>Prodigy (Perception) III</t>
  </si>
  <si>
    <t>+15 to Perception</t>
  </si>
  <si>
    <t>Prodigy (Perception) IV</t>
  </si>
  <si>
    <t>+20 to Perception</t>
  </si>
  <si>
    <t>Prodigy (Pilot: Boats) I</t>
  </si>
  <si>
    <t>+5 to Piloting on marine vehicles</t>
  </si>
  <si>
    <t>Prodigy (Pilot: Boats) II</t>
  </si>
  <si>
    <t>+10 to Piloting on marine vehicles</t>
  </si>
  <si>
    <t>Prodigy (Pilot: Boats) III</t>
  </si>
  <si>
    <t>+15 to Piloting on marine vehicles</t>
  </si>
  <si>
    <t>Prodigy (Pilot: Boats) IV</t>
  </si>
  <si>
    <t>+20 to Piloting on marine vehicles</t>
  </si>
  <si>
    <t>Prodigy (Science: Research) I</t>
  </si>
  <si>
    <t>+5 to Science: Research</t>
  </si>
  <si>
    <t>Prodigy (Science: Research) II</t>
  </si>
  <si>
    <t>+10 to Science: Research</t>
  </si>
  <si>
    <t>Prodigy (Science: Research) III</t>
  </si>
  <si>
    <t>+15 to Science: Research</t>
  </si>
  <si>
    <t>Prodigy (Science: Research) IV</t>
  </si>
  <si>
    <t>+20 to Science: Research</t>
  </si>
  <si>
    <t>Prodigy (Science: Research) V</t>
  </si>
  <si>
    <t>+25 to Science: Research</t>
  </si>
  <si>
    <t>Prodigy (Stalking) I</t>
  </si>
  <si>
    <t>+5 to Stalking</t>
  </si>
  <si>
    <t>Prodigy (Stalking) II</t>
  </si>
  <si>
    <t>+10 to Stalking</t>
  </si>
  <si>
    <t>Prodigy (Stalking) III</t>
  </si>
  <si>
    <t>+15 to Stalking</t>
  </si>
  <si>
    <t>Prodigy (Stalking) IV</t>
  </si>
  <si>
    <t>+20 to Stalking</t>
  </si>
  <si>
    <t>Prodigy (Stalking: natural) I</t>
  </si>
  <si>
    <t>+5 Stalking when in the wild</t>
  </si>
  <si>
    <t>Prodigy (Stalking: natural) II</t>
  </si>
  <si>
    <t>+10 Stalking when in the wild</t>
  </si>
  <si>
    <t>Prodigy (Stalking: natural) III</t>
  </si>
  <si>
    <t>+15 Stalking when in the wild</t>
  </si>
  <si>
    <t>Prodigy (Stalking: natural) IV</t>
  </si>
  <si>
    <t>+20 Stalking when in the wild</t>
  </si>
  <si>
    <t>Prodigy (Survival: Deserts) I</t>
  </si>
  <si>
    <t>+5 to Survival whilst in the desert</t>
  </si>
  <si>
    <t>Prodigy (Survival: Deserts) II</t>
  </si>
  <si>
    <t>+10 to Survival whilst in the desert</t>
  </si>
  <si>
    <t>Prodigy (Survival: Deserts) III</t>
  </si>
  <si>
    <t>+15 to Survival whilst in the desert</t>
  </si>
  <si>
    <t>Prodigy (Survival: Deserts) IV</t>
  </si>
  <si>
    <t>+20 to Survival whilst in the desert</t>
  </si>
  <si>
    <t>Prodigy (Survival: Forest) I</t>
  </si>
  <si>
    <t>+5 to Survival whilst in the forest and wooded areas</t>
  </si>
  <si>
    <t>Prodigy (Survival: Forest) II</t>
  </si>
  <si>
    <t>+10 to Survival whilst in the forest and wooded areas</t>
  </si>
  <si>
    <t>Prodigy (Survival: Forest) III</t>
  </si>
  <si>
    <t>+15 to Survival whilst in the forest and wooded areas</t>
  </si>
  <si>
    <t>Prodigy (Survival: Forest) IV</t>
  </si>
  <si>
    <t>+20 to Survival whilst in the forest and wooded areas</t>
  </si>
  <si>
    <t>Prodigy (Survival: Grasslands) I</t>
  </si>
  <si>
    <t xml:space="preserve">+5 to Survival whilst in the Grasslands </t>
  </si>
  <si>
    <t>Prodigy (Survival: Grasslands) II</t>
  </si>
  <si>
    <t xml:space="preserve">+10 to Survival whilst in the Grasslands </t>
  </si>
  <si>
    <t>Prodigy (Survival: Grasslands) III</t>
  </si>
  <si>
    <t xml:space="preserve">+15 to Survival whilst in the Grasslands </t>
  </si>
  <si>
    <t>Prodigy (Survival: Grasslands) IV</t>
  </si>
  <si>
    <t xml:space="preserve">+20 to Survival whilst in the Grasslands </t>
  </si>
  <si>
    <t>Prodigy (Survival: Hills) I</t>
  </si>
  <si>
    <t xml:space="preserve">+5 to Survival whilst in the Hills </t>
  </si>
  <si>
    <t>Prodigy (Survival: Hills) II</t>
  </si>
  <si>
    <t xml:space="preserve">+10 to Survival whilst in the Hills </t>
  </si>
  <si>
    <t>Prodigy (Survival: Hills) III</t>
  </si>
  <si>
    <t xml:space="preserve">+15 to Survival whilst in the Hills </t>
  </si>
  <si>
    <t>Prodigy (Survival: Hills) IV</t>
  </si>
  <si>
    <t xml:space="preserve">+20 to Survival whilst in the Hills </t>
  </si>
  <si>
    <t>Prodigy (Survival: Ocean) I</t>
  </si>
  <si>
    <t>+5 to Survival whilst in the Ocean</t>
  </si>
  <si>
    <t>Prodigy (Survival: Ocean) II</t>
  </si>
  <si>
    <t>+10 to Survival whilst in the Ocean</t>
  </si>
  <si>
    <t>Prodigy (Survival: Ocean) III</t>
  </si>
  <si>
    <t>+15 to Survival whilst in the Ocean</t>
  </si>
  <si>
    <t>Prodigy (Survival: Ocean) IV</t>
  </si>
  <si>
    <t>+20 to Survival whilst in the Ocean</t>
  </si>
  <si>
    <t>Prodigy (Survival: Sea) I</t>
  </si>
  <si>
    <t>+5 to Survival whilst on the seas of oceans</t>
  </si>
  <si>
    <t>Prodigy (Survival: Sea) II</t>
  </si>
  <si>
    <t>+10 to Survival whilst on the seas of oceans</t>
  </si>
  <si>
    <t>Prodigy (Survival: Sea) III</t>
  </si>
  <si>
    <t>+15 to Survival whilst on the seas of oceans</t>
  </si>
  <si>
    <t>Prodigy (Survival: Sea) IV</t>
  </si>
  <si>
    <t>+20 to Survival whilst on the seas of oceans</t>
  </si>
  <si>
    <t>Prodigy (Swimming) I</t>
  </si>
  <si>
    <t>+5 to Swimming</t>
  </si>
  <si>
    <t>Prodigy (Swimming) II</t>
  </si>
  <si>
    <t>+10 to Swimming</t>
  </si>
  <si>
    <t>Prodigy (Swimming) III</t>
  </si>
  <si>
    <t>+15 to Swimming</t>
  </si>
  <si>
    <t>Prodigy (Swimming) IV</t>
  </si>
  <si>
    <t>+20 to Swimming</t>
  </si>
  <si>
    <t>Prodigy (Swimming) V</t>
  </si>
  <si>
    <t>+25 to Swimming</t>
  </si>
  <si>
    <t>Prodigy (Tracking) II</t>
  </si>
  <si>
    <t xml:space="preserve">+10 to Tracking </t>
  </si>
  <si>
    <t>Prodigy (Tracking) III</t>
  </si>
  <si>
    <t xml:space="preserve">+15 to Tracking </t>
  </si>
  <si>
    <t>Prodigy (Tracking) IV</t>
  </si>
  <si>
    <t xml:space="preserve">+20 to Tracking </t>
  </si>
  <si>
    <t>Prodigy (Tracking: Deserts) I</t>
  </si>
  <si>
    <t>+5 to Tracking whilst in the desert</t>
  </si>
  <si>
    <t>Prodigy (Tracking: Deserts) II</t>
  </si>
  <si>
    <t>+10 to Tracking whilst in the desert</t>
  </si>
  <si>
    <t>Prodigy (Tracking: Deserts) III</t>
  </si>
  <si>
    <t>+15 to Tracking whilst in the desert</t>
  </si>
  <si>
    <t>Prodigy (Tracking: Deserts) IV</t>
  </si>
  <si>
    <t>+20 to Tracking whilst in the desert</t>
  </si>
  <si>
    <t>Prodigy (Trading) I</t>
  </si>
  <si>
    <t>+5 to Trading</t>
  </si>
  <si>
    <t>Prodigy (Trading) II</t>
  </si>
  <si>
    <t>+10 to Trading</t>
  </si>
  <si>
    <t>Prodigy (Trading) III</t>
  </si>
  <si>
    <t>+15 to Trading</t>
  </si>
  <si>
    <t>Prodigy (Trading) IV</t>
  </si>
  <si>
    <t>+20 to Trading</t>
  </si>
  <si>
    <t>Prodigy (Trickery) I</t>
  </si>
  <si>
    <t>+5 to Trickery</t>
  </si>
  <si>
    <t>Prodigy (Trickery) II</t>
  </si>
  <si>
    <t>+10 to Trickery</t>
  </si>
  <si>
    <t>Prodigy (Trickery) III</t>
  </si>
  <si>
    <t>+15 to Trickery</t>
  </si>
  <si>
    <t>Prodigy (Trickery) IV</t>
  </si>
  <si>
    <t>+20 to Trickery</t>
  </si>
  <si>
    <t>Prodigy I</t>
  </si>
  <si>
    <t>+5 to any one skill</t>
  </si>
  <si>
    <t>Prodigy II</t>
  </si>
  <si>
    <t>+10 to any one skill</t>
  </si>
  <si>
    <t>Prodigy III</t>
  </si>
  <si>
    <t>+15 to any one skill</t>
  </si>
  <si>
    <t>Prodigy IV</t>
  </si>
  <si>
    <t>+20 to any one skill</t>
  </si>
  <si>
    <t>Prodigy V</t>
  </si>
  <si>
    <t>+25 to any one skill</t>
  </si>
  <si>
    <t>Quick-Caster I</t>
  </si>
  <si>
    <r>
      <t xml:space="preserve">The number of AP required to cast a spell from any </t>
    </r>
    <r>
      <rPr>
        <b/>
        <sz val="11"/>
        <color rgb="FF000000"/>
        <rFont val="Calibri"/>
        <family val="2"/>
      </rPr>
      <t>ONE</t>
    </r>
    <r>
      <rPr>
        <sz val="11"/>
        <color theme="1"/>
        <rFont val="Calibri"/>
        <family val="2"/>
        <scheme val="minor"/>
      </rPr>
      <t xml:space="preserve"> list is 2-3 AP</t>
    </r>
  </si>
  <si>
    <t>Quick-Caster II</t>
  </si>
  <si>
    <r>
      <t xml:space="preserve">The number of AP required to cast a spell from any </t>
    </r>
    <r>
      <rPr>
        <b/>
        <sz val="11"/>
        <color rgb="FF000000"/>
        <rFont val="Calibri"/>
        <family val="2"/>
      </rPr>
      <t>ONE</t>
    </r>
    <r>
      <rPr>
        <sz val="11"/>
        <color theme="1"/>
        <rFont val="Calibri"/>
        <family val="2"/>
        <scheme val="minor"/>
      </rPr>
      <t xml:space="preserve"> list is 2 AP</t>
    </r>
  </si>
  <si>
    <t>Quickdraw/Quickload</t>
  </si>
  <si>
    <t>Drawing or loading for a specific Combat Training skill is treated as Instantaneous (0 AP)</t>
  </si>
  <si>
    <t>Resistance to Elements (cold water) I</t>
  </si>
  <si>
    <t>+5 DB, RR and Endurance against cold water OR the critical is reduced by 1 severity.</t>
  </si>
  <si>
    <t>Resistance to Elements (cold water) II</t>
  </si>
  <si>
    <t>+10 DB, RR and Endurance against cold water OR the critical is reduced by 1 severity.</t>
  </si>
  <si>
    <t>Resistance to Elements (cold water) III</t>
  </si>
  <si>
    <t>+15 DB, RR and Endurance against cold water OR the critical is reduced by 2 severities.</t>
  </si>
  <si>
    <t>Resistance to Elements (cold water) IV</t>
  </si>
  <si>
    <t>+20 DB, RR and Endurance against cold water OR the critical is reduced by 2 severities.</t>
  </si>
  <si>
    <t>Resistance to Elements (cold) I</t>
  </si>
  <si>
    <r>
      <t xml:space="preserve">+5 DB, RR and Endurance against Cold/Ice </t>
    </r>
    <r>
      <rPr>
        <b/>
        <sz val="11"/>
        <color rgb="FF000000"/>
        <rFont val="Calibri"/>
        <family val="2"/>
      </rPr>
      <t xml:space="preserve">OR </t>
    </r>
    <r>
      <rPr>
        <sz val="11"/>
        <color theme="1"/>
        <rFont val="Calibri"/>
        <family val="2"/>
        <scheme val="minor"/>
      </rPr>
      <t>the critical is reduced by 1 severity.</t>
    </r>
  </si>
  <si>
    <t>Resistance to Elements (cold) II</t>
  </si>
  <si>
    <r>
      <t xml:space="preserve">+10 DB, RR and Endurance against Cold/Ice </t>
    </r>
    <r>
      <rPr>
        <b/>
        <sz val="11"/>
        <color rgb="FF000000"/>
        <rFont val="Calibri"/>
        <family val="2"/>
      </rPr>
      <t xml:space="preserve">OR </t>
    </r>
    <r>
      <rPr>
        <sz val="11"/>
        <color theme="1"/>
        <rFont val="Calibri"/>
        <family val="2"/>
        <scheme val="minor"/>
      </rPr>
      <t>the critical is reduced by 1 severity.</t>
    </r>
  </si>
  <si>
    <t>Resistance to Elements (cold) III</t>
  </si>
  <si>
    <r>
      <t xml:space="preserve">+15 DB, RR and Endurance against Cold/Ice </t>
    </r>
    <r>
      <rPr>
        <b/>
        <sz val="11"/>
        <color rgb="FF000000"/>
        <rFont val="Calibri"/>
        <family val="2"/>
      </rPr>
      <t xml:space="preserve">OR </t>
    </r>
    <r>
      <rPr>
        <sz val="11"/>
        <color theme="1"/>
        <rFont val="Calibri"/>
        <family val="2"/>
        <scheme val="minor"/>
      </rPr>
      <t>the critical is reduced by 2 severities.</t>
    </r>
  </si>
  <si>
    <t>Resistance to Elements (cold) IV</t>
  </si>
  <si>
    <r>
      <t xml:space="preserve">+20 DB, RR and Endurance against Cold/Ice </t>
    </r>
    <r>
      <rPr>
        <b/>
        <sz val="11"/>
        <color rgb="FF000000"/>
        <rFont val="Calibri"/>
        <family val="2"/>
      </rPr>
      <t xml:space="preserve">OR </t>
    </r>
    <r>
      <rPr>
        <sz val="11"/>
        <color theme="1"/>
        <rFont val="Calibri"/>
        <family val="2"/>
        <scheme val="minor"/>
      </rPr>
      <t>the critical is reduced by 2 severities.</t>
    </r>
  </si>
  <si>
    <t>Resistance to Elements (cold) V</t>
  </si>
  <si>
    <r>
      <t xml:space="preserve">+25 DB, RR and Endurance against Cold/Ice </t>
    </r>
    <r>
      <rPr>
        <b/>
        <sz val="11"/>
        <color rgb="FF000000"/>
        <rFont val="Calibri"/>
        <family val="2"/>
      </rPr>
      <t xml:space="preserve">OR </t>
    </r>
    <r>
      <rPr>
        <sz val="11"/>
        <color theme="1"/>
        <rFont val="Calibri"/>
        <family val="2"/>
        <scheme val="minor"/>
      </rPr>
      <t>the critical is reduced by 3 severities.</t>
    </r>
  </si>
  <si>
    <t>Resistance to Elements (cold) VI</t>
  </si>
  <si>
    <r>
      <t xml:space="preserve">+30 DB, RR and Endurance against Cold/Ice </t>
    </r>
    <r>
      <rPr>
        <b/>
        <sz val="11"/>
        <color rgb="FF000000"/>
        <rFont val="Calibri"/>
        <family val="2"/>
      </rPr>
      <t xml:space="preserve">OR </t>
    </r>
    <r>
      <rPr>
        <sz val="11"/>
        <color theme="1"/>
        <rFont val="Calibri"/>
        <family val="2"/>
        <scheme val="minor"/>
      </rPr>
      <t>the critical is reduced by 3 severities.</t>
    </r>
  </si>
  <si>
    <r>
      <t xml:space="preserve">+5 DB, RR and Endurance against Heat/Fire </t>
    </r>
    <r>
      <rPr>
        <b/>
        <sz val="11"/>
        <color rgb="FF000000"/>
        <rFont val="Calibri"/>
        <family val="2"/>
      </rPr>
      <t>OR</t>
    </r>
    <r>
      <rPr>
        <sz val="11"/>
        <color theme="1"/>
        <rFont val="Calibri"/>
        <family val="2"/>
        <scheme val="minor"/>
      </rPr>
      <t xml:space="preserve"> the critical is reduced by 1 severity.</t>
    </r>
  </si>
  <si>
    <t>Resistance to Elements (heat) II</t>
  </si>
  <si>
    <r>
      <t xml:space="preserve">+10 DB, RR and Endurance against Heat/Fire </t>
    </r>
    <r>
      <rPr>
        <b/>
        <sz val="11"/>
        <color rgb="FF000000"/>
        <rFont val="Calibri"/>
        <family val="2"/>
      </rPr>
      <t>OR</t>
    </r>
    <r>
      <rPr>
        <sz val="11"/>
        <color theme="1"/>
        <rFont val="Calibri"/>
        <family val="2"/>
        <scheme val="minor"/>
      </rPr>
      <t xml:space="preserve"> the critical is reduced by 1 severity.</t>
    </r>
  </si>
  <si>
    <t>Resistance to Elements (heat) III</t>
  </si>
  <si>
    <r>
      <t xml:space="preserve">+15 DB, RR and Endurance against Heat/Fire </t>
    </r>
    <r>
      <rPr>
        <b/>
        <sz val="11"/>
        <color rgb="FF000000"/>
        <rFont val="Calibri"/>
        <family val="2"/>
      </rPr>
      <t>OR</t>
    </r>
    <r>
      <rPr>
        <sz val="11"/>
        <color theme="1"/>
        <rFont val="Calibri"/>
        <family val="2"/>
        <scheme val="minor"/>
      </rPr>
      <t xml:space="preserve"> the critical is reduced by 2 severities.</t>
    </r>
  </si>
  <si>
    <t>Resistance to Elements (heat) IV</t>
  </si>
  <si>
    <r>
      <t xml:space="preserve">+20 DB, RR and Endurance against Heat/Fire </t>
    </r>
    <r>
      <rPr>
        <b/>
        <sz val="11"/>
        <color rgb="FF000000"/>
        <rFont val="Calibri"/>
        <family val="2"/>
      </rPr>
      <t>OR</t>
    </r>
    <r>
      <rPr>
        <sz val="11"/>
        <color theme="1"/>
        <rFont val="Calibri"/>
        <family val="2"/>
        <scheme val="minor"/>
      </rPr>
      <t xml:space="preserve"> the critical is reduced by 2 severities.</t>
    </r>
  </si>
  <si>
    <t>Resistance to Elements (light) I</t>
  </si>
  <si>
    <r>
      <t xml:space="preserve">+5 DB, RR and Endurance against Light/Electricity </t>
    </r>
    <r>
      <rPr>
        <b/>
        <sz val="11"/>
        <color rgb="FF000000"/>
        <rFont val="Calibri"/>
        <family val="2"/>
      </rPr>
      <t>OR</t>
    </r>
    <r>
      <rPr>
        <sz val="11"/>
        <color theme="1"/>
        <rFont val="Calibri"/>
        <family val="2"/>
        <scheme val="minor"/>
      </rPr>
      <t xml:space="preserve"> the critical is reduced by 1 severity.</t>
    </r>
  </si>
  <si>
    <t>Resistance to Elements (light) II</t>
  </si>
  <si>
    <r>
      <t xml:space="preserve">+10 DB, RR and Endurance against Light/Electricity </t>
    </r>
    <r>
      <rPr>
        <b/>
        <sz val="11"/>
        <color rgb="FF000000"/>
        <rFont val="Calibri"/>
        <family val="2"/>
      </rPr>
      <t>OR</t>
    </r>
    <r>
      <rPr>
        <sz val="11"/>
        <color theme="1"/>
        <rFont val="Calibri"/>
        <family val="2"/>
        <scheme val="minor"/>
      </rPr>
      <t xml:space="preserve"> the critical is reduced by 1 severity.</t>
    </r>
  </si>
  <si>
    <t>Resistance to Elements (light) III</t>
  </si>
  <si>
    <r>
      <t xml:space="preserve">+15 DB, RR and Endurance against Light/Electricity </t>
    </r>
    <r>
      <rPr>
        <b/>
        <sz val="11"/>
        <color rgb="FF000000"/>
        <rFont val="Calibri"/>
        <family val="2"/>
      </rPr>
      <t>OR</t>
    </r>
    <r>
      <rPr>
        <sz val="11"/>
        <color theme="1"/>
        <rFont val="Calibri"/>
        <family val="2"/>
        <scheme val="minor"/>
      </rPr>
      <t xml:space="preserve"> the critical is reduced by 2 severities.</t>
    </r>
  </si>
  <si>
    <t>Resistance to Elements (light) IV</t>
  </si>
  <si>
    <r>
      <t xml:space="preserve">+20 DB, RR and Endurance against Light/Electricity </t>
    </r>
    <r>
      <rPr>
        <b/>
        <sz val="11"/>
        <color rgb="FF000000"/>
        <rFont val="Calibri"/>
        <family val="2"/>
      </rPr>
      <t>OR</t>
    </r>
    <r>
      <rPr>
        <sz val="11"/>
        <color theme="1"/>
        <rFont val="Calibri"/>
        <family val="2"/>
        <scheme val="minor"/>
      </rPr>
      <t xml:space="preserve"> the critical is reduced by 2 severities.</t>
    </r>
  </si>
  <si>
    <t>Riposte</t>
  </si>
  <si>
    <t>After a successful parry (using all OB) you may make a 0-AP attack with an OB of 50 - (foes attack roll)</t>
  </si>
  <si>
    <t>Scope Skills I</t>
  </si>
  <si>
    <t>All spells from one spell list will have 2x radius or # of targets</t>
  </si>
  <si>
    <t>Scope Skills II</t>
  </si>
  <si>
    <t>All spells from one spell list will have 3x radius or # of targets</t>
  </si>
  <si>
    <t>Scope Skills III</t>
  </si>
  <si>
    <t>All spells from one spell list will have 4x radius or # of targets</t>
  </si>
  <si>
    <t>Sense Weakness</t>
  </si>
  <si>
    <t>With a successful perception roll, and 1 round of observation, you may re-roll a critical against foe.</t>
  </si>
  <si>
    <t>Sight: Eagle</t>
  </si>
  <si>
    <t>Good peripheral vision, and can see a hare two miles away. +20 Awareness: Perception</t>
  </si>
  <si>
    <t>Sight: Gecko</t>
  </si>
  <si>
    <t>See colour at night, better depth vision and see more detail up close. +10 to Awareness: Perception</t>
  </si>
  <si>
    <t>Slow Bleeder I</t>
  </si>
  <si>
    <t>Reduce bleeding effect by 1 Hit/round for each wound suffered</t>
  </si>
  <si>
    <t>Slow Bleeder II</t>
  </si>
  <si>
    <t>Reduce bleeding effect by 2 Hit/round for each wound suffered</t>
  </si>
  <si>
    <t>Slow Bleeder III</t>
  </si>
  <si>
    <t>Reduce bleeding effect by 3 Hit/round for each wound suffered</t>
  </si>
  <si>
    <t>Smell: Dog</t>
  </si>
  <si>
    <t>300 times more sensitive to humans. +30 to Awareness: Perception involving sense of smell</t>
  </si>
  <si>
    <t>Smell: Rat</t>
  </si>
  <si>
    <t>50 times more sensitive to humans. +10 to Awareness: Perception involving sense of smell</t>
  </si>
  <si>
    <t>Spatial Skills I</t>
  </si>
  <si>
    <t>All spells from one spell list will have 1.5x range</t>
  </si>
  <si>
    <t>Spatial Skills II</t>
  </si>
  <si>
    <t>All spells from one spell list will have 2x range</t>
  </si>
  <si>
    <t>Spatial Skills III</t>
  </si>
  <si>
    <t>All spells from one spell list will have 2.5x range</t>
  </si>
  <si>
    <t>Subconscious Discipline I</t>
  </si>
  <si>
    <t>All concentration spells from one spell list will continue for half the amount of rounds spent concentration</t>
  </si>
  <si>
    <t>Subconscious Discipline II</t>
  </si>
  <si>
    <t>All concentration spells from one spell list will continue for the amount of rounds spent concentration</t>
  </si>
  <si>
    <t>Subconscious Preparation</t>
  </si>
  <si>
    <t>You count as having prepared 1 round longer than you actually have</t>
  </si>
  <si>
    <t>Temporal Skills I</t>
  </si>
  <si>
    <t>All spells from one spell list will have 1.5x duration</t>
  </si>
  <si>
    <t>Temporal Skills II</t>
  </si>
  <si>
    <t>All spells from one spell list will have 2x duration</t>
  </si>
  <si>
    <t>Temporal Skills III</t>
  </si>
  <si>
    <t>All spells from one spell list will have 2.5x duration</t>
  </si>
  <si>
    <t>Temporal Skills IV</t>
  </si>
  <si>
    <t>All spells from one spell list will have 3x duration</t>
  </si>
  <si>
    <t>Tetrachromatic Vision</t>
  </si>
  <si>
    <r>
      <t xml:space="preserve">Can see ultraviolet. </t>
    </r>
    <r>
      <rPr>
        <b/>
        <sz val="11"/>
        <color rgb="FF000000"/>
        <rFont val="Calibri"/>
        <family val="2"/>
      </rPr>
      <t>Invisibility</t>
    </r>
    <r>
      <rPr>
        <sz val="11"/>
        <color theme="1"/>
        <rFont val="Calibri"/>
        <family val="2"/>
        <scheme val="minor"/>
      </rPr>
      <t xml:space="preserve"> and </t>
    </r>
    <r>
      <rPr>
        <b/>
        <sz val="11"/>
        <color rgb="FF000000"/>
        <rFont val="Calibri"/>
        <family val="2"/>
      </rPr>
      <t>Unseen</t>
    </r>
    <r>
      <rPr>
        <sz val="11"/>
        <color theme="1"/>
        <rFont val="Calibri"/>
        <family val="2"/>
        <scheme val="minor"/>
      </rPr>
      <t xml:space="preserve"> spells reflect in this colour, and can be seen</t>
    </r>
  </si>
  <si>
    <t>Third Eyelid</t>
  </si>
  <si>
    <t>Unaffected by dust, sand, or water in eyes</t>
  </si>
  <si>
    <t>Tough I</t>
  </si>
  <si>
    <t>+5 Base Hit Points</t>
  </si>
  <si>
    <t>Tough II</t>
  </si>
  <si>
    <t>+10 Base Hit Points</t>
  </si>
  <si>
    <t>Tough III</t>
  </si>
  <si>
    <t>+15 Base Hit Points</t>
  </si>
  <si>
    <t>Tough IV</t>
  </si>
  <si>
    <t>+20 Base Hit Points</t>
  </si>
  <si>
    <t>Tough V</t>
  </si>
  <si>
    <t>+25 Base Hit Points</t>
  </si>
  <si>
    <t>Vestigial Wings</t>
  </si>
  <si>
    <t>Useless in most cases, but may provide some gliding abilities</t>
  </si>
  <si>
    <t>Vigorous I</t>
  </si>
  <si>
    <t>+10 modifier to all Endurance</t>
  </si>
  <si>
    <t>Vigorous II</t>
  </si>
  <si>
    <t>+20 modifier to all Endurance</t>
  </si>
  <si>
    <t>Vigorous III</t>
  </si>
  <si>
    <t>+30 modifier to all Endurance</t>
  </si>
  <si>
    <t>Vigorous IV</t>
  </si>
  <si>
    <t>+40 modifier to all Endurance</t>
  </si>
  <si>
    <t>Vigorous V</t>
  </si>
  <si>
    <t>+50 modifier to all Endurance</t>
  </si>
  <si>
    <t>+10 modifier to all Endurance rolls whist in the cold</t>
  </si>
  <si>
    <t>Vigorous: Cold II</t>
  </si>
  <si>
    <t>+20 modifier to all Endurance rolls whist in the cold</t>
  </si>
  <si>
    <t>Vigorous: Cold III</t>
  </si>
  <si>
    <t>+30 modifier to all Endurance rolls whist in the cold</t>
  </si>
  <si>
    <t>Vigorous: Cold IV</t>
  </si>
  <si>
    <t>+40 modifier to all Endurance rolls whist in the cold</t>
  </si>
  <si>
    <t>Vigorous: Cold V</t>
  </si>
  <si>
    <t>+50 modifier to all Endurance rolls whist in the cold</t>
  </si>
  <si>
    <t>Vigorous: Horse Riding I</t>
  </si>
  <si>
    <t>+10 modifier to all Endurance rolls whist riding horses, wagons or chariots</t>
  </si>
  <si>
    <t>Vigorous: Horse Riding II</t>
  </si>
  <si>
    <t>+20 modifier to all Endurance rolls whist riding horses, wagons or chariots</t>
  </si>
  <si>
    <t>Vigorous: Horse Riding III</t>
  </si>
  <si>
    <t>+30 modifier to all Endurance rolls whist riding horses, wagons or chariots</t>
  </si>
  <si>
    <t>Vigorous: Horse Riding IV</t>
  </si>
  <si>
    <t>+40 modifier to all Endurance rolls whist riding horses, wagons or chariots</t>
  </si>
  <si>
    <t>Vigorous: Horse Riding V</t>
  </si>
  <si>
    <t>+50 modifier to all Endurance rolls whist riding horses, wagons or chariots</t>
  </si>
  <si>
    <t>Visions I</t>
  </si>
  <si>
    <t>You can receive visions based on objects touched with bare skin, once a day</t>
  </si>
  <si>
    <t>Visions II</t>
  </si>
  <si>
    <t>You can receive visions based on objects touched with bare skin, twice a day</t>
  </si>
  <si>
    <t>Visions III</t>
  </si>
  <si>
    <t>You can receive visions based on objects touched with bare skin, thrice a day</t>
  </si>
  <si>
    <t>Wings, feathered</t>
  </si>
  <si>
    <t>Muscular wings, and set with feathers. Wings may fold on back or side. Provide Flight</t>
  </si>
  <si>
    <t>Animalistic</t>
  </si>
  <si>
    <t>Being is a beast, living largely in the moment, lacking language and much, if any, capacity for abstract thinking</t>
  </si>
  <si>
    <t>Dense</t>
  </si>
  <si>
    <t>-25 to Endurance whilst swimming</t>
  </si>
  <si>
    <t>Distinct Odor</t>
  </si>
  <si>
    <t>+50 to others Perception and Tracking to efforts based on smell</t>
  </si>
  <si>
    <t>Disturbing Voice I</t>
  </si>
  <si>
    <t>-20 to any maneuver to verbally calm or persuade others</t>
  </si>
  <si>
    <t>Disturbing Voice II</t>
  </si>
  <si>
    <t>-40 to any maneuver to verbally calm or persuade others</t>
  </si>
  <si>
    <t>Disturbing Voice III</t>
  </si>
  <si>
    <t>-60 to any maneuver to verbally calm or persuade others</t>
  </si>
  <si>
    <t>Elemental Vulnerability (cold)</t>
  </si>
  <si>
    <t>Vulnerable to all effects of cold and ice, both magical and natural. Take double hits</t>
  </si>
  <si>
    <t>Elemental Vulnerability (heat)</t>
  </si>
  <si>
    <t>Vulnerable to all effects of heat and fire, both magical and natural. Take double hits</t>
  </si>
  <si>
    <t>Elemental Vulnerability (light)</t>
  </si>
  <si>
    <t>Vulnerable to all effects of light and lightning, both magical and natural. Take double hits</t>
  </si>
  <si>
    <t>Fear of Daylight</t>
  </si>
  <si>
    <t>You are scared of daylight, but no negative effects of being in sunlight other than fear itself</t>
  </si>
  <si>
    <t>Feeble I</t>
  </si>
  <si>
    <t>-10 modifier to all Endurance</t>
  </si>
  <si>
    <t>Feeble II</t>
  </si>
  <si>
    <t>-20 modifier to all Endurance</t>
  </si>
  <si>
    <t>Feeble III</t>
  </si>
  <si>
    <t>-30 modifier to all Endurance</t>
  </si>
  <si>
    <t>Feeble IV</t>
  </si>
  <si>
    <t>-40 modifier to all Endurance</t>
  </si>
  <si>
    <t>Feeble V</t>
  </si>
  <si>
    <t>-50 modifier to all Endurance</t>
  </si>
  <si>
    <t>Feeble: Cold I</t>
  </si>
  <si>
    <t>-10 modifier to all Endurance whilst in the Cold</t>
  </si>
  <si>
    <t>Feeble: Cold II</t>
  </si>
  <si>
    <t>-20 modifier to all Endurance whilst in the Cold</t>
  </si>
  <si>
    <t>Feeble: Cold III</t>
  </si>
  <si>
    <t>-30 modifier to all Endurance whilst in the Cold</t>
  </si>
  <si>
    <t>Feeble: Cold IV</t>
  </si>
  <si>
    <t>-40 modifier to all Endurance whilst in the Cold</t>
  </si>
  <si>
    <t>Feeble: Cold V</t>
  </si>
  <si>
    <t>-50 modifier to all Endurance whilst in the Cold</t>
  </si>
  <si>
    <t>Feeble: Heat I</t>
  </si>
  <si>
    <t>-10 modifier to all Endurance whilst in the heat</t>
  </si>
  <si>
    <t>Feeble: Heat II</t>
  </si>
  <si>
    <t>-20 modifier to all Endurance whilst in the heat</t>
  </si>
  <si>
    <t>Feeble: Heat III</t>
  </si>
  <si>
    <t>-30 modifier to all Endurance whilst in the heat</t>
  </si>
  <si>
    <t>Feeble: Heat IV</t>
  </si>
  <si>
    <t>-40 modifier to all Endurance whilst in the heat</t>
  </si>
  <si>
    <t>Feeble: Heat V</t>
  </si>
  <si>
    <t>-50 modifier to all Endurance whilst in the heat</t>
  </si>
  <si>
    <t>Fragile I</t>
  </si>
  <si>
    <t>-5 Base Hit Points</t>
  </si>
  <si>
    <t>Fragile II</t>
  </si>
  <si>
    <t>-10 Base Hit Points</t>
  </si>
  <si>
    <t>Fragile III</t>
  </si>
  <si>
    <t>-15 Base Hit Points</t>
  </si>
  <si>
    <t>Fragile IV</t>
  </si>
  <si>
    <t>-20 Base Hit Points</t>
  </si>
  <si>
    <t>Fragile V</t>
  </si>
  <si>
    <t>-25 Base Hit Points</t>
  </si>
  <si>
    <t>Heavy Sleeper</t>
  </si>
  <si>
    <t>-25 Penalty to Perception rolls to awaken</t>
  </si>
  <si>
    <t>Inept (Climbing) I</t>
  </si>
  <si>
    <t>-5 to Climbing</t>
  </si>
  <si>
    <t>Inept (Climbing) II</t>
  </si>
  <si>
    <t>-10 to Climbing</t>
  </si>
  <si>
    <t>Inept (Climbing) III</t>
  </si>
  <si>
    <t>-15 to Climbing</t>
  </si>
  <si>
    <t>Inept (Climbing) IV</t>
  </si>
  <si>
    <t>-20 to Climbing</t>
  </si>
  <si>
    <t>Inept (Climbing) V</t>
  </si>
  <si>
    <t>-25 to Climbing</t>
  </si>
  <si>
    <t>Inept (Influence) I</t>
  </si>
  <si>
    <t>-5 to Influence</t>
  </si>
  <si>
    <t>Inept (Influence) II</t>
  </si>
  <si>
    <t>-10 to Influence</t>
  </si>
  <si>
    <t>Inept (Influence) III</t>
  </si>
  <si>
    <t>-15 to Influence</t>
  </si>
  <si>
    <t>Inept (Influence) IV</t>
  </si>
  <si>
    <t>-20 to Influence</t>
  </si>
  <si>
    <t>Inept (Influence) V</t>
  </si>
  <si>
    <t>-25 to Influence</t>
  </si>
  <si>
    <t>Inept (Social Awareness) I</t>
  </si>
  <si>
    <t>-5 to Social Awareness</t>
  </si>
  <si>
    <t>Inept (Social Awareness) II</t>
  </si>
  <si>
    <t>-10 to Social Awareness</t>
  </si>
  <si>
    <t>Inept (Social Awareness) III</t>
  </si>
  <si>
    <t>-15 to Social Awareness</t>
  </si>
  <si>
    <t>Inept (Social Awareness) IV</t>
  </si>
  <si>
    <t>-20 to Social Awareness</t>
  </si>
  <si>
    <t>Inept (Social Awareness) V</t>
  </si>
  <si>
    <t>-25 to Social Awareness</t>
  </si>
  <si>
    <t>Inept I</t>
  </si>
  <si>
    <t>-5 to any one skill</t>
  </si>
  <si>
    <t>Inept II</t>
  </si>
  <si>
    <t>-10 to any one skill</t>
  </si>
  <si>
    <t>Inept III</t>
  </si>
  <si>
    <t>-15 to any one skill</t>
  </si>
  <si>
    <t>Inept IV</t>
  </si>
  <si>
    <t>-20 to any one skill</t>
  </si>
  <si>
    <t>Inept V</t>
  </si>
  <si>
    <t>-25 to any one skill</t>
  </si>
  <si>
    <t>Inglorious Failure I</t>
  </si>
  <si>
    <t>When suffering a spell failure, your Spell Failure roll is increased by +5</t>
  </si>
  <si>
    <t>Inglorious Failure II</t>
  </si>
  <si>
    <t>When suffering a spell failure, your Spell Failure roll is increased by +10</t>
  </si>
  <si>
    <t>Inglorious Failure III</t>
  </si>
  <si>
    <t>When suffering a spell failure, your Spell Failure roll is increased by +15</t>
  </si>
  <si>
    <t>Inglorious Failure IV</t>
  </si>
  <si>
    <t>When suffering a spell failure, your Spell Failure roll is increased by +20</t>
  </si>
  <si>
    <t>Inglorious Failure V</t>
  </si>
  <si>
    <t>When suffering a spell failure, your Spell Failure roll is increased by +25</t>
  </si>
  <si>
    <t>Lesser Attack I</t>
  </si>
  <si>
    <t>One attack is regarded as -1 Size</t>
  </si>
  <si>
    <t>Lesser Attack II</t>
  </si>
  <si>
    <t>One attack is regarded as -2 Size</t>
  </si>
  <si>
    <t>Lesser Attack III</t>
  </si>
  <si>
    <t>One attack is regarded as -3 Size</t>
  </si>
  <si>
    <t>Light Boned I</t>
  </si>
  <si>
    <t>Damage inflicted on you is increased as if you are 1 size smaller</t>
  </si>
  <si>
    <t>Light Boned II</t>
  </si>
  <si>
    <t>Damage inflicted on you is increased as if you are 2 sizes smaller</t>
  </si>
  <si>
    <t>Light Boned III</t>
  </si>
  <si>
    <t>Damage inflicted on you is increased as if you are 3 sizes smaller</t>
  </si>
  <si>
    <t>Light-sensitive I</t>
  </si>
  <si>
    <t>You cannot take direct sunlight, and you are at -25 on any maneuver while in bright light</t>
  </si>
  <si>
    <t>Light-sensitive II</t>
  </si>
  <si>
    <t>You cannot take direct sunlight, and you are at -50 on any maneuver while in bright light</t>
  </si>
  <si>
    <t>Light-sensitive III</t>
  </si>
  <si>
    <t>You cannot take direct sunlight, and you are at -75 on any maneuver while in bright light</t>
  </si>
  <si>
    <t>Low Intelligence</t>
  </si>
  <si>
    <t>You can think, and so act, quickly given simple parameters, although higher thought processes are beyond you</t>
  </si>
  <si>
    <t>Magical Vulnerability I</t>
  </si>
  <si>
    <t>-5 Resistance to chosen realm of magic</t>
  </si>
  <si>
    <t>Magical Vulnerability II</t>
  </si>
  <si>
    <t>-10 Resistance to chosen realm of magic</t>
  </si>
  <si>
    <t>Magical Vulnerability III</t>
  </si>
  <si>
    <t>-15 Resistance to chosen realm of magic</t>
  </si>
  <si>
    <t>Magical Vulnerability IV</t>
  </si>
  <si>
    <t>-20 Resistance to chosen realm of magic</t>
  </si>
  <si>
    <t>Magical Vulnerability V</t>
  </si>
  <si>
    <t>-25 Resistance to chosen realm of magic</t>
  </si>
  <si>
    <t>Math Illiterate</t>
  </si>
  <si>
    <t>Cannot add or subtract without your fingers, cannot multiply at all, and cannot count higher than 20</t>
  </si>
  <si>
    <t>Missing Sense (feel/touch)</t>
  </si>
  <si>
    <t>You are completely missing your sense of touch</t>
  </si>
  <si>
    <t>Missing Sense (hearing)</t>
  </si>
  <si>
    <t>You are completely missing your sense of hearing</t>
  </si>
  <si>
    <t>Missing Sense (sight)</t>
  </si>
  <si>
    <t>You are completely missing your sense of sight</t>
  </si>
  <si>
    <t>Missing Sense (smell)</t>
  </si>
  <si>
    <t>You are completely missing your sense of smell</t>
  </si>
  <si>
    <t>Missing Sense (taste)</t>
  </si>
  <si>
    <t>You are completely missing your sense of taste</t>
  </si>
  <si>
    <t>Mumbler I</t>
  </si>
  <si>
    <t>-5 Spellcasting Rolls</t>
  </si>
  <si>
    <t>Mumbler II</t>
  </si>
  <si>
    <t>-10 Spellcasting Rolls</t>
  </si>
  <si>
    <t>Mumbler III</t>
  </si>
  <si>
    <t>-15 Spellcasting Rolls</t>
  </si>
  <si>
    <t>Mumbler IV</t>
  </si>
  <si>
    <t>-20 Spellcasting Rolls</t>
  </si>
  <si>
    <t>Mumbler V</t>
  </si>
  <si>
    <t>-25 Spellcasting Rolls</t>
  </si>
  <si>
    <t>Natural Elemental Vulnerability (cold)</t>
  </si>
  <si>
    <t>Vulnerable to all effects of natural cold and ice, and takes double hits from cold attacks</t>
  </si>
  <si>
    <t>Natural Elemental Vulnerability (heat)</t>
  </si>
  <si>
    <t>Vulnerable to all effects of natural heat and fire, and takes double hits from heat attacks</t>
  </si>
  <si>
    <t>Natural Elemental Vulnerability (light)</t>
  </si>
  <si>
    <t>Vulnerable to all effects of natural light and lightning, and takes double hits from light attacks</t>
  </si>
  <si>
    <t>Physical Vulnerability I</t>
  </si>
  <si>
    <t>-5 Physical Resistance</t>
  </si>
  <si>
    <t>Physical Vulnerability II</t>
  </si>
  <si>
    <t>-10 Physical Resistance</t>
  </si>
  <si>
    <t>Physical Vulnerability III</t>
  </si>
  <si>
    <t>-15 Physical Resistance</t>
  </si>
  <si>
    <t>Physical Vulnerability IV</t>
  </si>
  <si>
    <t>-20 Physical Resistance</t>
  </si>
  <si>
    <t>Physical Vulnerability V</t>
  </si>
  <si>
    <t>-25 Physical Resistance</t>
  </si>
  <si>
    <t>Poor Hearing I</t>
  </si>
  <si>
    <t>-5 Perception involving hearing</t>
  </si>
  <si>
    <t>Poor Hearing II</t>
  </si>
  <si>
    <t>-10 Perception involving hearing</t>
  </si>
  <si>
    <t>Poor Hearing III</t>
  </si>
  <si>
    <t>-15 Perception involving hearing</t>
  </si>
  <si>
    <t>Poor Hearing IV</t>
  </si>
  <si>
    <t>-20 Perception involving hearing</t>
  </si>
  <si>
    <t>Poor Hearing V</t>
  </si>
  <si>
    <t>-25 Perception involving hearing</t>
  </si>
  <si>
    <t>Poor Smell I</t>
  </si>
  <si>
    <t>-5 Perception involving smell</t>
  </si>
  <si>
    <t>Poor Smell II</t>
  </si>
  <si>
    <t>-10 Perception involving smell</t>
  </si>
  <si>
    <t>Poor Smell III</t>
  </si>
  <si>
    <t>-15 Perception involving smell</t>
  </si>
  <si>
    <t>Poor Smell IV</t>
  </si>
  <si>
    <t>-20 Perception involving smell</t>
  </si>
  <si>
    <t>Poor Smell V</t>
  </si>
  <si>
    <t>-25 Perception involving smell</t>
  </si>
  <si>
    <t>Poor Taste I</t>
  </si>
  <si>
    <t>-5 Perception involving taste</t>
  </si>
  <si>
    <t>Poor Taste II</t>
  </si>
  <si>
    <t>-10 Perception involving taste</t>
  </si>
  <si>
    <t>Poor Taste III</t>
  </si>
  <si>
    <t>-15 Perception involving taste</t>
  </si>
  <si>
    <t>Poor Taste IV</t>
  </si>
  <si>
    <t>-20 Perception involving taste</t>
  </si>
  <si>
    <t>Poor Taste V</t>
  </si>
  <si>
    <t>-25 Perception involving taste</t>
  </si>
  <si>
    <t>Poor Touch I</t>
  </si>
  <si>
    <t>-5 Perception involving touch</t>
  </si>
  <si>
    <t>Poor Touch II</t>
  </si>
  <si>
    <t>-10 Perception involving touch</t>
  </si>
  <si>
    <t>Poor Touch III</t>
  </si>
  <si>
    <t>-15 Perception involving touch</t>
  </si>
  <si>
    <t>Poor Touch IV</t>
  </si>
  <si>
    <t>-20 Perception involving touch</t>
  </si>
  <si>
    <t>Poor Touch V</t>
  </si>
  <si>
    <t>-25 Perception involving touch</t>
  </si>
  <si>
    <t>Poor Vision I</t>
  </si>
  <si>
    <t>-5 Perception involving vision</t>
  </si>
  <si>
    <t>Poor Vision II</t>
  </si>
  <si>
    <t>-10 Perception involving vision</t>
  </si>
  <si>
    <t>Poor Vision III</t>
  </si>
  <si>
    <t>-15 Perception involving vision</t>
  </si>
  <si>
    <t>Poor Vision IV</t>
  </si>
  <si>
    <t>-20 Perception involving vision</t>
  </si>
  <si>
    <t>Poor Vision V</t>
  </si>
  <si>
    <t>-25 Perception involving vision</t>
  </si>
  <si>
    <t>Restless Sleeper I</t>
  </si>
  <si>
    <t>You get benefits from 5 hours sleep as others do with 4 hours of sleep</t>
  </si>
  <si>
    <t>Restless Sleeper II</t>
  </si>
  <si>
    <t>You get benefits from 6 hours sleep as others do with 4 hours of sleep</t>
  </si>
  <si>
    <t>Restricted Diet (carnivore)</t>
  </si>
  <si>
    <t>You are only capable of eating meat</t>
  </si>
  <si>
    <t>Restricted Diet (herbivore)</t>
  </si>
  <si>
    <t>You are only capable of eating plants</t>
  </si>
  <si>
    <t>Revulsion</t>
  </si>
  <si>
    <t>When you can see someone bleeding, you must pass a Fear/Terror RR equal to the amount of bleeding visible</t>
  </si>
  <si>
    <t>Slow Healer</t>
  </si>
  <si>
    <t>Recovery times are double</t>
  </si>
  <si>
    <t>Uncoordinated I</t>
  </si>
  <si>
    <t>Penalties to actions made while moving are treated as if you were moving 1 pace faster</t>
  </si>
  <si>
    <t>Uncoordinated II</t>
  </si>
  <si>
    <t>Penalties to actions made while moving are treated as if you were moving 2 pace faster</t>
  </si>
  <si>
    <t>Weak Natural Attack I</t>
  </si>
  <si>
    <t>One natural attack is treated as 1 size smaller</t>
  </si>
  <si>
    <t>Weak Natural Attack II</t>
  </si>
  <si>
    <t>One natural attack is treated as 2 sizes smaller</t>
  </si>
  <si>
    <t>Weak Natural Attack III</t>
  </si>
  <si>
    <t>One natural attack is treated as 3 sizes smaller</t>
  </si>
  <si>
    <t>-5 DB, RR and Endurance against Cold/Ice OR the critical is increased by 1 severity.</t>
  </si>
  <si>
    <t>Weakness to Elements (cold) II</t>
  </si>
  <si>
    <t>-10 DB, RR and Endurance against Cold/Ice OR the critical is increased by 1 severity.</t>
  </si>
  <si>
    <t>Weakness to Elements (cold) III</t>
  </si>
  <si>
    <t>-15 DB, RR and Endurance against Cold/Ice OR the critical is increased by 2 severities.</t>
  </si>
  <si>
    <t>Weakness to Elements (cold) IV</t>
  </si>
  <si>
    <t>-20 DB, RR and Endurance against Cold/Ice OR the critical is increased by 2 severities.</t>
  </si>
  <si>
    <t>Weakness to Elements (heat) I</t>
  </si>
  <si>
    <t>-5 DB, RR and Endurance against Heat/Fire OR the critical is increased by 1 severity.</t>
  </si>
  <si>
    <t>Weakness to Elements (heat) II</t>
  </si>
  <si>
    <t>-10 DB, RR and Endurance against Heat/Fire OR the critical is increased by 1 severity.</t>
  </si>
  <si>
    <t>Weakness to Elements (heat) III</t>
  </si>
  <si>
    <t>-15 DB, RR and Endurance against Heat/Fire OR the critical is increased by 2 severities.</t>
  </si>
  <si>
    <t>Weakness to Elements (heat) IV</t>
  </si>
  <si>
    <t>-20 DB, RR and Endurance against Heat/Fire OR the critical is increased by 2 severities.</t>
  </si>
  <si>
    <t>Weakness to Elements (light) I</t>
  </si>
  <si>
    <t>-5 DB, RR and Endurance against Light/Electricity OR the critical is increased by 1 severity.</t>
  </si>
  <si>
    <t>Weakness to Elements (light) II</t>
  </si>
  <si>
    <t>-10 DB, RR and Endurance against Light/Electricity OR the critical is increased by 1 severity.</t>
  </si>
  <si>
    <t>Weakness to Elements (light) III</t>
  </si>
  <si>
    <t>-15 DB, RR and Endurance against Light/Electricity OR the critical is increased by 2 severities.</t>
  </si>
  <si>
    <t>Weakness to Elements (light) IV</t>
  </si>
  <si>
    <t>-20 DB, RR and Endurance against Light/Electricity OR the critical is increased by 2 severities.</t>
  </si>
  <si>
    <t>Vigorous: Heat II</t>
  </si>
  <si>
    <t>Vigorous: Heat III</t>
  </si>
  <si>
    <t>Vigorous: Heat IV</t>
  </si>
  <si>
    <t>Vigorous: Heat V</t>
  </si>
  <si>
    <t>+10 modifier to all Endurance rolls whist in the heat</t>
  </si>
  <si>
    <t>+20 modifier to all Endurance rolls whist in the heat</t>
  </si>
  <si>
    <t>+30 modifier to all Endurance rolls whist in the heat</t>
  </si>
  <si>
    <t>+40 modifier to all Endurance rolls whist in the heat</t>
  </si>
  <si>
    <t>+50 modifier to all Endurance rolls whist in the heat</t>
  </si>
  <si>
    <t>Prodigy (Engineering) I</t>
  </si>
  <si>
    <t>+5 to Engineering</t>
  </si>
  <si>
    <t>Prodigy (Engineering) II</t>
  </si>
  <si>
    <t>+10 to Engineering</t>
  </si>
  <si>
    <t>Prodigy (Engineering) III</t>
  </si>
  <si>
    <t>+15 to Engineering</t>
  </si>
  <si>
    <t>Prodigy (Engineering) IV</t>
  </si>
  <si>
    <t>+20 to Engineering</t>
  </si>
  <si>
    <t>Female</t>
  </si>
  <si>
    <t>Choice</t>
  </si>
  <si>
    <t>Fighter</t>
  </si>
  <si>
    <t>Warrior Monk</t>
  </si>
  <si>
    <t>Thief</t>
  </si>
  <si>
    <t>Rogue</t>
  </si>
  <si>
    <t>Labourer</t>
  </si>
  <si>
    <t>Scholar</t>
  </si>
  <si>
    <t>Ranger</t>
  </si>
  <si>
    <t>Paladin</t>
  </si>
  <si>
    <t>Monk</t>
  </si>
  <si>
    <t>Magent</t>
  </si>
  <si>
    <t>Bard</t>
  </si>
  <si>
    <t>Essence</t>
  </si>
  <si>
    <t>Dabbler</t>
  </si>
  <si>
    <t>Cleric</t>
  </si>
  <si>
    <t>Druid</t>
  </si>
  <si>
    <t>Magician</t>
  </si>
  <si>
    <t>Illusionist</t>
  </si>
  <si>
    <t>Mentalist</t>
  </si>
  <si>
    <t>Lay Healer</t>
  </si>
  <si>
    <t>Healer</t>
  </si>
  <si>
    <t>ChannelingMentalism</t>
  </si>
  <si>
    <t>Mystic</t>
  </si>
  <si>
    <t>EssenceMentalism</t>
  </si>
  <si>
    <t>Sorcerer</t>
  </si>
  <si>
    <t>ChannelingEssence</t>
  </si>
  <si>
    <t>Alchemist, Adept</t>
  </si>
  <si>
    <t>Alchemist, Psychographer</t>
  </si>
  <si>
    <t>Alchemist, Sanctifier</t>
  </si>
  <si>
    <t>Cowboy</t>
  </si>
  <si>
    <t>Gambler</t>
  </si>
  <si>
    <t>Gunslinger</t>
  </si>
  <si>
    <t>Private Detective</t>
  </si>
  <si>
    <t>Channeling &amp; Essence</t>
  </si>
  <si>
    <t>Channeling &amp; Mentalism</t>
  </si>
  <si>
    <t>Essence &amp; Mentalism</t>
  </si>
  <si>
    <t>Arcane</t>
  </si>
  <si>
    <t>Chan.</t>
  </si>
  <si>
    <t>Ment.</t>
  </si>
  <si>
    <t>Realm Stats</t>
  </si>
  <si>
    <t>Actual</t>
  </si>
  <si>
    <t>Essence (Em):</t>
  </si>
  <si>
    <t>Channeling (In):</t>
  </si>
  <si>
    <t>Ag/SD</t>
  </si>
  <si>
    <t>Em/Me</t>
  </si>
  <si>
    <t>Base</t>
  </si>
  <si>
    <t>Urban</t>
  </si>
  <si>
    <t>Select Culture Ranks</t>
  </si>
  <si>
    <t>Lore Sub-category</t>
  </si>
  <si>
    <t>Horse</t>
  </si>
  <si>
    <t>Current</t>
  </si>
  <si>
    <t xml:space="preserve">Level </t>
  </si>
  <si>
    <t xml:space="preserve">Points to Spend </t>
  </si>
  <si>
    <t xml:space="preserve">Points Spent </t>
  </si>
  <si>
    <t xml:space="preserve">Points Remaining </t>
  </si>
  <si>
    <t>Cost</t>
  </si>
  <si>
    <t>DP/level</t>
  </si>
  <si>
    <t>DP / Level</t>
  </si>
  <si>
    <t>Current Level</t>
  </si>
  <si>
    <t>Experience</t>
  </si>
  <si>
    <t>Exp to next level</t>
  </si>
  <si>
    <t>Exp of current level</t>
  </si>
  <si>
    <t>Exp / Level</t>
  </si>
  <si>
    <t>Exp gained this level</t>
  </si>
  <si>
    <t>Next lvl:</t>
  </si>
  <si>
    <t>Exp / DP</t>
  </si>
  <si>
    <t>DP earned</t>
  </si>
  <si>
    <t>3a.</t>
  </si>
  <si>
    <t>Here is where you choose your characters Talents &amp; Flaws. Each race begins with a total number of Bonus DP, that may be spent on Talents &amp; Flaws. Talents will reduce your available DP while Flaws will increase them. The First section of this box details the Talents &amp; Flaws your chosen race already begins with, while the second box is empty waiting for your selections. Your available DP is determined by Race, and is shown below, it will auto-calculate as you select your Talents &amp; Flaws, so just make sure this total ends at 0 or higher. Remember, any Bonus DP not spent can be spent on skills during the Level-up process. Also the maximum amount of DP you can spend on any one Talent is determined by the Power Level, and is shown below. Any bonuses that affect skills, statistics, resistances etc... will be automatically reflected on the character sheet.</t>
  </si>
  <si>
    <t>Racial Talents</t>
  </si>
  <si>
    <t>Racial Flaws</t>
  </si>
  <si>
    <t>3b.</t>
  </si>
  <si>
    <t>Choose Talents &amp; Flaws</t>
  </si>
  <si>
    <t>Character Talents</t>
  </si>
  <si>
    <t>Points</t>
  </si>
  <si>
    <t>Character Flaws</t>
  </si>
  <si>
    <t>Citizen</t>
  </si>
  <si>
    <t>Theif</t>
  </si>
  <si>
    <t>Skill Costs</t>
  </si>
  <si>
    <t>Creature Lore</t>
  </si>
  <si>
    <t>Psionic Expertise Sub-category</t>
  </si>
  <si>
    <t>Psionic Expertise Skills (sub-category)</t>
  </si>
  <si>
    <t>Transcendence</t>
  </si>
  <si>
    <t>Transcendence [- -]</t>
  </si>
  <si>
    <t>Runes</t>
  </si>
  <si>
    <t>Lawman</t>
  </si>
  <si>
    <t>Merchant</t>
  </si>
  <si>
    <t>Stableman</t>
  </si>
  <si>
    <t>Business Law</t>
  </si>
  <si>
    <t>Civil Law</t>
  </si>
  <si>
    <t>Criminal Law</t>
  </si>
  <si>
    <t>English</t>
  </si>
  <si>
    <t>+10</t>
  </si>
  <si>
    <t>+30</t>
  </si>
  <si>
    <t>+40</t>
  </si>
  <si>
    <t xml:space="preserve">Professional Skills - </t>
  </si>
  <si>
    <t xml:space="preserve">Professional Knacks - </t>
  </si>
  <si>
    <t>Animal Handling</t>
  </si>
  <si>
    <t>Animal Riding</t>
  </si>
  <si>
    <t>Quick-Draw</t>
  </si>
  <si>
    <t>Substance Tolerance</t>
  </si>
  <si>
    <t>Skill 1</t>
  </si>
  <si>
    <t>Skill 2</t>
  </si>
  <si>
    <t>Skill 3</t>
  </si>
  <si>
    <t>Skill 4</t>
  </si>
  <si>
    <t>Mechanical Engineering</t>
  </si>
  <si>
    <t>Criminal Engineering</t>
  </si>
  <si>
    <t>Medical Engineering</t>
  </si>
  <si>
    <t>Weapon Design</t>
  </si>
  <si>
    <t>Driving</t>
  </si>
  <si>
    <t>Survival</t>
  </si>
  <si>
    <t>Gymnastic</t>
  </si>
  <si>
    <t>Other Lore</t>
  </si>
  <si>
    <t>Language</t>
  </si>
  <si>
    <t>Law</t>
  </si>
  <si>
    <t>Materials</t>
  </si>
  <si>
    <t>Region</t>
  </si>
  <si>
    <t>Tactics</t>
  </si>
  <si>
    <t>Play Instrument</t>
  </si>
  <si>
    <t>Power Manipulation</t>
  </si>
  <si>
    <t>Mathematics</t>
  </si>
  <si>
    <t>Military Organization</t>
  </si>
  <si>
    <t>Influence</t>
  </si>
  <si>
    <t>Spellcasting</t>
  </si>
  <si>
    <t>Open</t>
  </si>
  <si>
    <t>Closed</t>
  </si>
  <si>
    <t>Restricted</t>
  </si>
  <si>
    <t>Psion Ritual</t>
  </si>
  <si>
    <t>Ambush</t>
  </si>
  <si>
    <t>Armour Repair</t>
  </si>
  <si>
    <t>Criminal Technics</t>
  </si>
  <si>
    <t>Mechanical Technics</t>
  </si>
  <si>
    <t>Weapon Technics</t>
  </si>
  <si>
    <t>Administration</t>
  </si>
  <si>
    <t>Service</t>
  </si>
  <si>
    <t>Trade</t>
  </si>
  <si>
    <t>Animal Training</t>
  </si>
  <si>
    <t>Animal Healing</t>
  </si>
  <si>
    <t>Marine Piloting</t>
  </si>
  <si>
    <t>Doctor</t>
  </si>
  <si>
    <t>Spell Trickery</t>
  </si>
  <si>
    <t>Skill 5</t>
  </si>
  <si>
    <t>15 / 20</t>
  </si>
  <si>
    <t>1 / 2</t>
  </si>
  <si>
    <t>1 / 3</t>
  </si>
  <si>
    <t>2 / 3</t>
  </si>
  <si>
    <t>2 / 4</t>
  </si>
  <si>
    <t>3 / 4</t>
  </si>
  <si>
    <t>3 / 5</t>
  </si>
  <si>
    <t>4 / 6</t>
  </si>
  <si>
    <t>5 / 7</t>
  </si>
  <si>
    <t>6 / 8</t>
  </si>
  <si>
    <t>7 / 10</t>
  </si>
  <si>
    <t>9 / 12</t>
  </si>
  <si>
    <t>12 / 15</t>
  </si>
  <si>
    <t>Cow</t>
  </si>
  <si>
    <t>Directed Spell</t>
  </si>
  <si>
    <t>Height</t>
  </si>
  <si>
    <t>L Shoulder:</t>
  </si>
  <si>
    <t>R Shoulder:</t>
  </si>
  <si>
    <t>L Upper Arm:</t>
  </si>
  <si>
    <t>R Upper Arm:</t>
  </si>
  <si>
    <t>L Lower Arm:</t>
  </si>
  <si>
    <t>R Lower Arm:</t>
  </si>
  <si>
    <t>L Hand:</t>
  </si>
  <si>
    <t>R Hand:</t>
  </si>
  <si>
    <t>L Upper Leg:</t>
  </si>
  <si>
    <t>R Upper Leg:</t>
  </si>
  <si>
    <t>L Lower Leg:</t>
  </si>
  <si>
    <t>R Lower Leg:</t>
  </si>
  <si>
    <t>L Foot:</t>
  </si>
  <si>
    <t>R Foot:</t>
  </si>
  <si>
    <t>Head</t>
  </si>
  <si>
    <t>Neck</t>
  </si>
  <si>
    <t>Chest</t>
  </si>
  <si>
    <t>Abdomen</t>
  </si>
  <si>
    <t>Back</t>
  </si>
  <si>
    <t>Waist</t>
  </si>
  <si>
    <t>Groin</t>
  </si>
  <si>
    <t>Shoulder</t>
  </si>
  <si>
    <t>Upper Arm</t>
  </si>
  <si>
    <t>Lower Arm</t>
  </si>
  <si>
    <t>Hand</t>
  </si>
  <si>
    <t>Upper Leg</t>
  </si>
  <si>
    <t>Lower Leg</t>
  </si>
  <si>
    <t>Foot</t>
  </si>
  <si>
    <t>Light Cloth</t>
  </si>
  <si>
    <t>Improved Light Cloth</t>
  </si>
  <si>
    <t>Heavy Cloth</t>
  </si>
  <si>
    <t>Improved Heavy Cloth</t>
  </si>
  <si>
    <t>Soft Leather</t>
  </si>
  <si>
    <t>Improved Soft Leather</t>
  </si>
  <si>
    <t>Superior Soft Leather</t>
  </si>
  <si>
    <t>Hide Scale</t>
  </si>
  <si>
    <t>Improved Hide Scale</t>
  </si>
  <si>
    <t>Superior Hide Scale</t>
  </si>
  <si>
    <t>Fine Hide Scale</t>
  </si>
  <si>
    <t>Laminar</t>
  </si>
  <si>
    <t>Improved Laminar</t>
  </si>
  <si>
    <t>Superior Laminar</t>
  </si>
  <si>
    <t>Fine Laminar</t>
  </si>
  <si>
    <t>Light Dragon Scale Armour</t>
  </si>
  <si>
    <t>Pine Laminar</t>
  </si>
  <si>
    <t>Fir Laminar</t>
  </si>
  <si>
    <t>Ash Laminar</t>
  </si>
  <si>
    <t>Oak Laminar</t>
  </si>
  <si>
    <t>Hickory Laminar</t>
  </si>
  <si>
    <t>Rigid Leather</t>
  </si>
  <si>
    <t>Improved Rigid Leather</t>
  </si>
  <si>
    <t>Superior Rigid Leather</t>
  </si>
  <si>
    <t>Fine Rigid Leather</t>
  </si>
  <si>
    <t>Rigid Pine</t>
  </si>
  <si>
    <t>Rigid Fir</t>
  </si>
  <si>
    <t>Rigid Ash</t>
  </si>
  <si>
    <t>Rigid Oak</t>
  </si>
  <si>
    <t>Rigid Hickory</t>
  </si>
  <si>
    <t>Iron Scale</t>
  </si>
  <si>
    <t>Low Steel Scale</t>
  </si>
  <si>
    <t>High Steel Scale</t>
  </si>
  <si>
    <t>White Alloy Scale</t>
  </si>
  <si>
    <t>Black Alloy Scale</t>
  </si>
  <si>
    <t>Gold Scale</t>
  </si>
  <si>
    <t>Silver Scale</t>
  </si>
  <si>
    <t>Copper Scale</t>
  </si>
  <si>
    <t>Inferior Bronze Scale</t>
  </si>
  <si>
    <t>Superior Bronze Scale</t>
  </si>
  <si>
    <t>Adamant Steel Scale</t>
  </si>
  <si>
    <t>Obsidian Scale</t>
  </si>
  <si>
    <t>Medium Dragon Scale</t>
  </si>
  <si>
    <t>Pine Scale</t>
  </si>
  <si>
    <t>Fir Scale</t>
  </si>
  <si>
    <t>Ash Scale</t>
  </si>
  <si>
    <t>Oak Scale</t>
  </si>
  <si>
    <t>Hickory Scale</t>
  </si>
  <si>
    <t>Iron Mail</t>
  </si>
  <si>
    <t>Low Steel Mail</t>
  </si>
  <si>
    <t>High Steel Mail</t>
  </si>
  <si>
    <t>White Alloy Mail</t>
  </si>
  <si>
    <t>Black Alloy Mail</t>
  </si>
  <si>
    <t>Gold Mail</t>
  </si>
  <si>
    <t>Silver Mail</t>
  </si>
  <si>
    <t>Copper Mail</t>
  </si>
  <si>
    <t>Inferior Bronze Mail</t>
  </si>
  <si>
    <t>Superior Bronze Mail</t>
  </si>
  <si>
    <t>Adamant Steel Mail</t>
  </si>
  <si>
    <t>Dragon Scale Mail</t>
  </si>
  <si>
    <t>Iron Brigandine</t>
  </si>
  <si>
    <t>Low Steel Brigandine</t>
  </si>
  <si>
    <t>High Steel Brigandine</t>
  </si>
  <si>
    <t>White Alloy Brigandine</t>
  </si>
  <si>
    <t>Black Alloy Brigandine</t>
  </si>
  <si>
    <t>Gold Brigandine</t>
  </si>
  <si>
    <t>Silver Brigandine</t>
  </si>
  <si>
    <t>Copper Brigandine</t>
  </si>
  <si>
    <t>Inferior Bronze Brigandine</t>
  </si>
  <si>
    <t>Superior Bronze Brigandine</t>
  </si>
  <si>
    <t>Adamant Steel Brigandine</t>
  </si>
  <si>
    <t>Obsidian Brigandine</t>
  </si>
  <si>
    <t>Dragon Scale Brigandine</t>
  </si>
  <si>
    <t>Pine Brigandine</t>
  </si>
  <si>
    <t>Fir Brigandine</t>
  </si>
  <si>
    <t>Ash Brigandine</t>
  </si>
  <si>
    <t>Oak Brigandine</t>
  </si>
  <si>
    <t>Hickory Brigandine</t>
  </si>
  <si>
    <t>Iron Plate</t>
  </si>
  <si>
    <t>Low Steel Plate</t>
  </si>
  <si>
    <t>High Steel Plate</t>
  </si>
  <si>
    <t>White Alloy Plate</t>
  </si>
  <si>
    <t>Black Alloy Plate</t>
  </si>
  <si>
    <t>Gold Plate</t>
  </si>
  <si>
    <t>Silver Plate</t>
  </si>
  <si>
    <t>Copper Plate</t>
  </si>
  <si>
    <t>Inferior Bronze Plate</t>
  </si>
  <si>
    <t>Superior Bronze Plate</t>
  </si>
  <si>
    <t>Adamant Steel Plate</t>
  </si>
  <si>
    <t>Obsidian Plate</t>
  </si>
  <si>
    <t>Pine Plate</t>
  </si>
  <si>
    <t>Fir Plate</t>
  </si>
  <si>
    <t>Ash Plate</t>
  </si>
  <si>
    <t>Oak Plate</t>
  </si>
  <si>
    <t>Hickory Plate</t>
  </si>
  <si>
    <t>Maneuver</t>
  </si>
  <si>
    <t>Other</t>
  </si>
  <si>
    <t>Armour Fit</t>
  </si>
  <si>
    <t>Region 1</t>
  </si>
  <si>
    <t>Region 2</t>
  </si>
  <si>
    <t>Region 3</t>
  </si>
  <si>
    <t>Common Skill</t>
  </si>
  <si>
    <t>Y</t>
  </si>
  <si>
    <t>N</t>
  </si>
  <si>
    <t>No Shield</t>
  </si>
  <si>
    <t>Pine Target Shield</t>
  </si>
  <si>
    <t>Fir Target Shield</t>
  </si>
  <si>
    <t>Ash Target Shield</t>
  </si>
  <si>
    <t>Oak Target Shield</t>
  </si>
  <si>
    <t>Hickory Target Shield</t>
  </si>
  <si>
    <t>Hide Target Shield</t>
  </si>
  <si>
    <t>Hardened Leather Target Shield</t>
  </si>
  <si>
    <t>Iron Target Shield</t>
  </si>
  <si>
    <t>Low Steel Target Shield</t>
  </si>
  <si>
    <t>High Steel Target Shield</t>
  </si>
  <si>
    <t>White Alloy Target Shield</t>
  </si>
  <si>
    <t>Black Alloy Target Shield</t>
  </si>
  <si>
    <t>Gold Target Shield</t>
  </si>
  <si>
    <t>Silver Target Shield</t>
  </si>
  <si>
    <t>Copper Target Shield</t>
  </si>
  <si>
    <t>Inferior Bronze Target Shield</t>
  </si>
  <si>
    <t>Superior Bronze Target Shield</t>
  </si>
  <si>
    <t>Adamant Steel Target Shield</t>
  </si>
  <si>
    <t>Obsidian Target Shield</t>
  </si>
  <si>
    <t>Dragon Scale Target Shield</t>
  </si>
  <si>
    <t>Pine Normal Shield</t>
  </si>
  <si>
    <t>Fir Normal Shield</t>
  </si>
  <si>
    <t>Ash Normal Shield</t>
  </si>
  <si>
    <t>Oak Normal Shield</t>
  </si>
  <si>
    <t>Hickory Normal Shield</t>
  </si>
  <si>
    <t>Hide Normal Shield</t>
  </si>
  <si>
    <t>Hardened Leather Normal Shield</t>
  </si>
  <si>
    <t>Iron Normal Shield</t>
  </si>
  <si>
    <t>Low Steel Normal Shield</t>
  </si>
  <si>
    <t>High Steel Normal Shield</t>
  </si>
  <si>
    <t>White Alloy Normal Shield</t>
  </si>
  <si>
    <t>Black Alloy Normal Shield</t>
  </si>
  <si>
    <t>Gold Normal Shield</t>
  </si>
  <si>
    <t>Silver Normal Shield</t>
  </si>
  <si>
    <t>Copper Normal Shield</t>
  </si>
  <si>
    <t>Inferior Bronze Normal Shield</t>
  </si>
  <si>
    <t>Superior Bronze Normal Shield</t>
  </si>
  <si>
    <t>Adamant Steel Normal Shield</t>
  </si>
  <si>
    <t>Obsidian Normal Shield</t>
  </si>
  <si>
    <t>Dragon Scale Normal Shield</t>
  </si>
  <si>
    <t>Pine Full Shield</t>
  </si>
  <si>
    <t>Fir Full Shield</t>
  </si>
  <si>
    <t>Ash Full Shield</t>
  </si>
  <si>
    <t>Oak Full Shield</t>
  </si>
  <si>
    <t>Hickory Full Shield</t>
  </si>
  <si>
    <t>Hide Full Shield</t>
  </si>
  <si>
    <t>Hardened Leather Full Shield</t>
  </si>
  <si>
    <t>Iron Full Shield</t>
  </si>
  <si>
    <t>Low Steel Full Shield</t>
  </si>
  <si>
    <t>High Steel Full Shield</t>
  </si>
  <si>
    <t>White Alloy Full Shield</t>
  </si>
  <si>
    <t>Black Alloy Full Shield</t>
  </si>
  <si>
    <t>Gold Full Shield</t>
  </si>
  <si>
    <t>Silver Full Shield</t>
  </si>
  <si>
    <t>Copper Full Shield</t>
  </si>
  <si>
    <t>Inferior Bronze Full Shield</t>
  </si>
  <si>
    <t>Superior Bronze Full Shield</t>
  </si>
  <si>
    <t>Adamant Steel Full Shield</t>
  </si>
  <si>
    <t>Obsidian Full Shield</t>
  </si>
  <si>
    <t>Dragon Scale Full Shield</t>
  </si>
  <si>
    <t>Pine Wall Shield</t>
  </si>
  <si>
    <t>Fir Wall Shield</t>
  </si>
  <si>
    <t>Ash Wall Shield</t>
  </si>
  <si>
    <t>Oak Wall Shield</t>
  </si>
  <si>
    <t>Hickory Wall Shield</t>
  </si>
  <si>
    <t>Hide Wall Shield</t>
  </si>
  <si>
    <t>Hardened Leather Wall Shield</t>
  </si>
  <si>
    <t>Iron Wall Shield</t>
  </si>
  <si>
    <t>Low Steel Wall Shield</t>
  </si>
  <si>
    <t>High Steel Wall Shield</t>
  </si>
  <si>
    <t>White Alloy Wall Shield</t>
  </si>
  <si>
    <t>Black Alloy Wall Shield</t>
  </si>
  <si>
    <t>Gold Wall Shield</t>
  </si>
  <si>
    <t>Silver Wall Shield</t>
  </si>
  <si>
    <t>Copper Wall Shield</t>
  </si>
  <si>
    <t>Inferior Bronze Wall Shield</t>
  </si>
  <si>
    <t>Superior Bronze Wall Shield</t>
  </si>
  <si>
    <t>Adamant Steel Wall Shield</t>
  </si>
  <si>
    <t>Obsidian Wall Shield</t>
  </si>
  <si>
    <t>Dragon Scale Wall Shield</t>
  </si>
  <si>
    <t>Enc.</t>
  </si>
  <si>
    <t>Parries</t>
  </si>
  <si>
    <t>Str</t>
  </si>
  <si>
    <t>Shield Fit</t>
  </si>
  <si>
    <t>Encumbrance (Pack)</t>
  </si>
  <si>
    <t>Encumbrance (No Pack)</t>
  </si>
  <si>
    <t>Maneuver Penalty</t>
  </si>
  <si>
    <t>Perception Penalties</t>
  </si>
  <si>
    <t>Arrow</t>
  </si>
  <si>
    <t>Brush</t>
  </si>
  <si>
    <t>Primary</t>
  </si>
  <si>
    <t>Secondary</t>
  </si>
  <si>
    <t>Ash</t>
  </si>
  <si>
    <t>Iron</t>
  </si>
  <si>
    <t>Torch</t>
  </si>
  <si>
    <t>Compass</t>
  </si>
  <si>
    <t>Sack (small)</t>
  </si>
  <si>
    <t>Sack (large)</t>
  </si>
  <si>
    <t>Flint &amp; Steel</t>
  </si>
  <si>
    <t>Tinderbox</t>
  </si>
  <si>
    <t>Canvas Tent (2-man)</t>
  </si>
  <si>
    <t>Canvas Tent (4-man)</t>
  </si>
  <si>
    <t>Canvas Tent (8-man)</t>
  </si>
  <si>
    <t>Sheepherder's Stove</t>
  </si>
  <si>
    <t>Fishhook &amp; Line</t>
  </si>
  <si>
    <t>Fishing Rod &amp; Reel</t>
  </si>
  <si>
    <t>Fishing Net (small)</t>
  </si>
  <si>
    <t>Fishing Net (large)</t>
  </si>
  <si>
    <t>Fish Trap</t>
  </si>
  <si>
    <t>Animal Trap</t>
  </si>
  <si>
    <t>Blanket (light)</t>
  </si>
  <si>
    <t>Blanket (heavy)</t>
  </si>
  <si>
    <t>Folding Cot</t>
  </si>
  <si>
    <t>Camp Stool</t>
  </si>
  <si>
    <t>Camp Chair</t>
  </si>
  <si>
    <t>Canteen (small)</t>
  </si>
  <si>
    <t>Canteen (medium)</t>
  </si>
  <si>
    <t>Canteen (large)</t>
  </si>
  <si>
    <t>Waterskin (small)</t>
  </si>
  <si>
    <t>Waterskin (large)</t>
  </si>
  <si>
    <t>Lantern</t>
  </si>
  <si>
    <t>Lamp</t>
  </si>
  <si>
    <t>Crock</t>
  </si>
  <si>
    <t>Chest (small)</t>
  </si>
  <si>
    <t>Chest (medium)</t>
  </si>
  <si>
    <t>Chest (large)</t>
  </si>
  <si>
    <t>Steamer Trunk</t>
  </si>
  <si>
    <t>Carpet Bag</t>
  </si>
  <si>
    <t>Strongbox</t>
  </si>
  <si>
    <t>Adze</t>
  </si>
  <si>
    <t>Awl</t>
  </si>
  <si>
    <t>Barbed Wire</t>
  </si>
  <si>
    <t>Blacksmith's Post Drill</t>
  </si>
  <si>
    <t>Swivel Vise (small)</t>
  </si>
  <si>
    <t>Swivel Vise (large)</t>
  </si>
  <si>
    <t>Brace &amp; Bit Hand Drill</t>
  </si>
  <si>
    <t>Drill Bit</t>
  </si>
  <si>
    <t>Branding Iron</t>
  </si>
  <si>
    <t>Carding Comb</t>
  </si>
  <si>
    <t>Carpenter's Level</t>
  </si>
  <si>
    <t>Carpenter's Square</t>
  </si>
  <si>
    <t>Dynamite</t>
  </si>
  <si>
    <t>Farrier's Knife</t>
  </si>
  <si>
    <t>Farrier's Hammer</t>
  </si>
  <si>
    <t>Grappling Hook</t>
  </si>
  <si>
    <t>Hatchet</t>
  </si>
  <si>
    <t>Hoe</t>
  </si>
  <si>
    <t>Ingot, Iron</t>
  </si>
  <si>
    <t>Ingot, Lead</t>
  </si>
  <si>
    <t>Ingot, Silver</t>
  </si>
  <si>
    <t>Ingot, Gold</t>
  </si>
  <si>
    <t>Ingot, Platinum</t>
  </si>
  <si>
    <t>Iron Spike</t>
  </si>
  <si>
    <t>Iron Wedge</t>
  </si>
  <si>
    <t>Ladder</t>
  </si>
  <si>
    <t>Backpack, Leather (small)</t>
  </si>
  <si>
    <t>Backpack, Leather (medium)</t>
  </si>
  <si>
    <t>Backpack, Leather (large)</t>
  </si>
  <si>
    <t>Backpack, Canvas (small)</t>
  </si>
  <si>
    <t>Backpack, Canvas (medium)</t>
  </si>
  <si>
    <t>Backpack, Canvas (large)</t>
  </si>
  <si>
    <t>Hammock, Cloth</t>
  </si>
  <si>
    <t>Bucket, Canvas (small)</t>
  </si>
  <si>
    <t>Bucket, Canvas (large)</t>
  </si>
  <si>
    <t>Jar, Ceramic (small)</t>
  </si>
  <si>
    <t>Jar, Ceramic (Medium)</t>
  </si>
  <si>
    <t>Jar, Ceramic (Large)</t>
  </si>
  <si>
    <t>Jar, Glass (small)</t>
  </si>
  <si>
    <t>Jar, Glass (medium)</t>
  </si>
  <si>
    <t>Jar, Glass (large)</t>
  </si>
  <si>
    <t>Bucket, Wood (small)</t>
  </si>
  <si>
    <t>Bucket, Wood (large)</t>
  </si>
  <si>
    <t>Anvil, Portable (light)</t>
  </si>
  <si>
    <t>Anvil, Portable (heavy)</t>
  </si>
  <si>
    <t>Anvil, Standard</t>
  </si>
  <si>
    <t>Barbed Wire, Galvanised</t>
  </si>
  <si>
    <t>Chain (heavy)</t>
  </si>
  <si>
    <t>Chain (light)</t>
  </si>
  <si>
    <t>Chisel, Cold</t>
  </si>
  <si>
    <t>Chisel, Masonry</t>
  </si>
  <si>
    <t>Chisel, Wood</t>
  </si>
  <si>
    <t>Crowbar (heavy)</t>
  </si>
  <si>
    <t>Crowbar (standard)</t>
  </si>
  <si>
    <t>Mallet, Wood</t>
  </si>
  <si>
    <t>Marine Chronometer</t>
  </si>
  <si>
    <t>Measuring Tape</t>
  </si>
  <si>
    <t>Mitre Box &amp; Saw</t>
  </si>
  <si>
    <t>Slide Rule</t>
  </si>
  <si>
    <t>Metal File (small)</t>
  </si>
  <si>
    <t>Metal File (Medium)</t>
  </si>
  <si>
    <t>Metal File (large)</t>
  </si>
  <si>
    <t>Nail</t>
  </si>
  <si>
    <t>Screw</t>
  </si>
  <si>
    <t>Screw Driver</t>
  </si>
  <si>
    <t>Pick Axe</t>
  </si>
  <si>
    <t>Pitchfork</t>
  </si>
  <si>
    <t>Pliers (small)</t>
  </si>
  <si>
    <t>Pliers (large)</t>
  </si>
  <si>
    <t>Plow, Wooden</t>
  </si>
  <si>
    <t>Plow Blade, Steel</t>
  </si>
  <si>
    <t>Rake, Wooden</t>
  </si>
  <si>
    <t>Rope (light)</t>
  </si>
  <si>
    <t>Rope (standard)</t>
  </si>
  <si>
    <t>Rope (heavy)</t>
  </si>
  <si>
    <t>Rope (hawser)</t>
  </si>
  <si>
    <t>Scythe</t>
  </si>
  <si>
    <t>Scythe, Reaver</t>
  </si>
  <si>
    <t>Shepherd's Crook</t>
  </si>
  <si>
    <t>Shovel</t>
  </si>
  <si>
    <t>Sickle</t>
  </si>
  <si>
    <t>Spoke Shave</t>
  </si>
  <si>
    <t>Tongs (small)</t>
  </si>
  <si>
    <t>Tongs (large)</t>
  </si>
  <si>
    <t>Splitting Wedge, Iron</t>
  </si>
  <si>
    <t>Splitting Wedge, Wooden</t>
  </si>
  <si>
    <t>Windlass</t>
  </si>
  <si>
    <t>Winnowing Flail</t>
  </si>
  <si>
    <t>Wood Axe</t>
  </si>
  <si>
    <t>Wood File (small)</t>
  </si>
  <si>
    <t>Wood File (medium)</t>
  </si>
  <si>
    <t>Wood File (large)</t>
  </si>
  <si>
    <t>Wood Saw, Steel</t>
  </si>
  <si>
    <t>Crosscut Saw (small)</t>
  </si>
  <si>
    <t>Crosscut Saw (large)</t>
  </si>
  <si>
    <t>Bellows, Portable</t>
  </si>
  <si>
    <t>Bit &amp; Bridle</t>
  </si>
  <si>
    <t>Riding Saddle, English</t>
  </si>
  <si>
    <t>Riding Saddle, McCleccan</t>
  </si>
  <si>
    <t>Riding Saddle, Western</t>
  </si>
  <si>
    <t>Riding Saddle, Ladies</t>
  </si>
  <si>
    <t>Packsaddle</t>
  </si>
  <si>
    <t>Saddle Blanket</t>
  </si>
  <si>
    <t>Saddle Bags (small)</t>
  </si>
  <si>
    <t>Saddle Bags (medium)</t>
  </si>
  <si>
    <t>Saddle Bags (large)</t>
  </si>
  <si>
    <t>Horse Collar</t>
  </si>
  <si>
    <t>Draft Harness</t>
  </si>
  <si>
    <t>Ox Yoke</t>
  </si>
  <si>
    <t>Horseshoe, Common</t>
  </si>
  <si>
    <t>Riding Crop</t>
  </si>
  <si>
    <t>Driving Whip</t>
  </si>
  <si>
    <t>Saddle Rifle Scabbard</t>
  </si>
  <si>
    <t>Lariat</t>
  </si>
  <si>
    <t>6-10</t>
  </si>
  <si>
    <t>10-50</t>
  </si>
  <si>
    <t>2-3</t>
  </si>
  <si>
    <t>Balance</t>
  </si>
  <si>
    <t>Item</t>
  </si>
  <si>
    <t>Items</t>
  </si>
  <si>
    <t>Material 1</t>
  </si>
  <si>
    <t>Material 2</t>
  </si>
  <si>
    <t>Base Materials</t>
  </si>
  <si>
    <t>Actual Materials</t>
  </si>
  <si>
    <t>Brass</t>
  </si>
  <si>
    <t>%</t>
  </si>
  <si>
    <t>Base Cost</t>
  </si>
  <si>
    <t>Base Weight</t>
  </si>
  <si>
    <t>Hide</t>
  </si>
  <si>
    <t>Low Steel</t>
  </si>
  <si>
    <t>High Steel</t>
  </si>
  <si>
    <t>White Alloy</t>
  </si>
  <si>
    <t>Black Alloy</t>
  </si>
  <si>
    <t>Gold</t>
  </si>
  <si>
    <t>Silver</t>
  </si>
  <si>
    <t>Copper</t>
  </si>
  <si>
    <t>Inferior Bronze</t>
  </si>
  <si>
    <t>Superior Bronze</t>
  </si>
  <si>
    <t>Pine</t>
  </si>
  <si>
    <t>Fir</t>
  </si>
  <si>
    <t>Oak</t>
  </si>
  <si>
    <t>Hickory</t>
  </si>
  <si>
    <t>Bow Wood</t>
  </si>
  <si>
    <t>Sup. Bow Wood</t>
  </si>
  <si>
    <t>Glass</t>
  </si>
  <si>
    <t>Flint</t>
  </si>
  <si>
    <t>Obsidian</t>
  </si>
  <si>
    <t>Plastic</t>
  </si>
  <si>
    <t>Work</t>
  </si>
  <si>
    <t>English Yew</t>
  </si>
  <si>
    <t>Base Bonus</t>
  </si>
  <si>
    <t>Diff</t>
  </si>
  <si>
    <t>New Cost</t>
  </si>
  <si>
    <t>Density</t>
  </si>
  <si>
    <t>Final Weight</t>
  </si>
  <si>
    <t>Calculations</t>
  </si>
  <si>
    <t>Matches (box of 100)</t>
  </si>
  <si>
    <t>3-5</t>
  </si>
  <si>
    <t>0.5+</t>
  </si>
  <si>
    <t>1-5</t>
  </si>
  <si>
    <t>Ceramic</t>
  </si>
  <si>
    <t>Lead</t>
  </si>
  <si>
    <t>Mass lb/ft^3</t>
  </si>
  <si>
    <t>Balance Weight</t>
  </si>
  <si>
    <t>Cash Register</t>
  </si>
  <si>
    <t>Book Cover</t>
  </si>
  <si>
    <t>Book, Encyclopedia</t>
  </si>
  <si>
    <t>Book, Scholarly</t>
  </si>
  <si>
    <t>Book, Religious</t>
  </si>
  <si>
    <t>Book, Fiction</t>
  </si>
  <si>
    <t>Book, Dime Novel</t>
  </si>
  <si>
    <t>Chalk</t>
  </si>
  <si>
    <t>Lead Pencil</t>
  </si>
  <si>
    <t>Ink, Coloured</t>
  </si>
  <si>
    <t>Ink, Black</t>
  </si>
  <si>
    <t>Inkwell, Silver Plated</t>
  </si>
  <si>
    <t>Inkwell, Tin</t>
  </si>
  <si>
    <t>Newspaper</t>
  </si>
  <si>
    <t>Paper</t>
  </si>
  <si>
    <t>Carbon Paper</t>
  </si>
  <si>
    <t>Parchment</t>
  </si>
  <si>
    <t>Portable Writing Case</t>
  </si>
  <si>
    <t>Quill Pen, Brass Nib</t>
  </si>
  <si>
    <t>Fountain Pen</t>
  </si>
  <si>
    <t>Ball-point Pen</t>
  </si>
  <si>
    <t>Acid, Weak</t>
  </si>
  <si>
    <t>Acid, Standard</t>
  </si>
  <si>
    <t>Acid, Strong</t>
  </si>
  <si>
    <t>Chlorine</t>
  </si>
  <si>
    <t>Mortar &amp; Pestle</t>
  </si>
  <si>
    <t>Vial, Tin</t>
  </si>
  <si>
    <t>Vial, Glass</t>
  </si>
  <si>
    <t>Jar, Glass (tiny)</t>
  </si>
  <si>
    <t>Bottle, Glass (small)</t>
  </si>
  <si>
    <t>Altar Cloth, Plain</t>
  </si>
  <si>
    <t>Altar Cloth, Ornate</t>
  </si>
  <si>
    <t>Bishop's Ring</t>
  </si>
  <si>
    <t>Chalice, Plain</t>
  </si>
  <si>
    <t>Chalice, Ornate</t>
  </si>
  <si>
    <t>Censer</t>
  </si>
  <si>
    <t>Holy Symbol</t>
  </si>
  <si>
    <t>Incense</t>
  </si>
  <si>
    <t>Prayer Beads</t>
  </si>
  <si>
    <t>Snuffing Bell</t>
  </si>
  <si>
    <t>Accordian</t>
  </si>
  <si>
    <t>Autoharp</t>
  </si>
  <si>
    <t>Bagpipes</t>
  </si>
  <si>
    <t>Banjo</t>
  </si>
  <si>
    <t>Castanets</t>
  </si>
  <si>
    <t>Cello</t>
  </si>
  <si>
    <t>Chimes</t>
  </si>
  <si>
    <t>Clarinet</t>
  </si>
  <si>
    <t>Concertina</t>
  </si>
  <si>
    <t>Cymbals</t>
  </si>
  <si>
    <t>Double Bass</t>
  </si>
  <si>
    <t>Drum</t>
  </si>
  <si>
    <t>Fife</t>
  </si>
  <si>
    <t>Flugelhorn</t>
  </si>
  <si>
    <t>Flute</t>
  </si>
  <si>
    <t>Guitar</t>
  </si>
  <si>
    <t>Harmonica</t>
  </si>
  <si>
    <t>Harp (large)</t>
  </si>
  <si>
    <t>Hunting Horn</t>
  </si>
  <si>
    <t>Hurdy-gurdy</t>
  </si>
  <si>
    <t>Jew's Harp</t>
  </si>
  <si>
    <t>Kettle Drums</t>
  </si>
  <si>
    <t>Mandolin</t>
  </si>
  <si>
    <t>Rattle</t>
  </si>
  <si>
    <t>Recorder</t>
  </si>
  <si>
    <t>Tambourine</t>
  </si>
  <si>
    <t>Triangle</t>
  </si>
  <si>
    <t>Trombone</t>
  </si>
  <si>
    <t>Trumpet, Valved</t>
  </si>
  <si>
    <t>Viol</t>
  </si>
  <si>
    <t>Violin</t>
  </si>
  <si>
    <t>Xylophone, Wooden</t>
  </si>
  <si>
    <t>Xylophone, Metal</t>
  </si>
  <si>
    <t>Zither</t>
  </si>
  <si>
    <t>Printed Music, Sheet</t>
  </si>
  <si>
    <t>Metranome</t>
  </si>
  <si>
    <t>Iron Pan (small)</t>
  </si>
  <si>
    <t>Iron Pan (large)</t>
  </si>
  <si>
    <t>Iron Pot (small)</t>
  </si>
  <si>
    <t>Iron Pot (medium)</t>
  </si>
  <si>
    <t>Iron Pot (large)</t>
  </si>
  <si>
    <t>Iron Kettle (large)</t>
  </si>
  <si>
    <t>Iron Kettle (standard)</t>
  </si>
  <si>
    <t>Iron Cauldron (small)</t>
  </si>
  <si>
    <t>Iron Cauldron (medium)</t>
  </si>
  <si>
    <t>Iron Cauldron (large)</t>
  </si>
  <si>
    <t>Baking Pan</t>
  </si>
  <si>
    <t>Bread Loaf Pan</t>
  </si>
  <si>
    <t>Covered Canning Pot</t>
  </si>
  <si>
    <t>Iron Griddle</t>
  </si>
  <si>
    <t>Iron Skillet</t>
  </si>
  <si>
    <t>Iron Muffin Pan</t>
  </si>
  <si>
    <t>Pot Hanger (small)</t>
  </si>
  <si>
    <t>Pot Hanger (medium)</t>
  </si>
  <si>
    <t>Pot Hanger (large)</t>
  </si>
  <si>
    <t>Coffee Pot</t>
  </si>
  <si>
    <t>Tea Kettle</t>
  </si>
  <si>
    <t>Pie Tin</t>
  </si>
  <si>
    <t>Pressure Cooker</t>
  </si>
  <si>
    <t>Potato Masher</t>
  </si>
  <si>
    <t>Lemon Squeezer, Wood</t>
  </si>
  <si>
    <t>Pastry Boards</t>
  </si>
  <si>
    <t>Grater, Tin</t>
  </si>
  <si>
    <t>Lunch Box</t>
  </si>
  <si>
    <t>Roaster</t>
  </si>
  <si>
    <t>Waffle Iron</t>
  </si>
  <si>
    <t>Spit, Portable</t>
  </si>
  <si>
    <t>Spit, Small</t>
  </si>
  <si>
    <t>Spit, Large</t>
  </si>
  <si>
    <t>Ladle, Tin</t>
  </si>
  <si>
    <t>Ladle, Silver</t>
  </si>
  <si>
    <t>Spoon, Wooden</t>
  </si>
  <si>
    <t>Spoon, Silverplate</t>
  </si>
  <si>
    <t>Spoon, Silver</t>
  </si>
  <si>
    <t>Spoon, Gold-plated</t>
  </si>
  <si>
    <t>Knife, Silverplate</t>
  </si>
  <si>
    <t>Knife, Silver</t>
  </si>
  <si>
    <t>Knife, Gold-plated</t>
  </si>
  <si>
    <t>Fork, Silverplate</t>
  </si>
  <si>
    <t>Fork, Silver</t>
  </si>
  <si>
    <t>Fork, Gold-plated</t>
  </si>
  <si>
    <t>Kraut Fork</t>
  </si>
  <si>
    <t>Bowl, Tin (small)</t>
  </si>
  <si>
    <t>Bowl, Silverplate (small)</t>
  </si>
  <si>
    <t>Bowl, Pottery (small)</t>
  </si>
  <si>
    <t>Bowl, China (small)</t>
  </si>
  <si>
    <t>Bowl, Tin (large)</t>
  </si>
  <si>
    <t>Bowl, Silverplate (large)</t>
  </si>
  <si>
    <t>Bowl, Pottery (large)</t>
  </si>
  <si>
    <t>Bowl, China (large)</t>
  </si>
  <si>
    <t>Pitcher, Tin</t>
  </si>
  <si>
    <t>Pitcher, Silverplate</t>
  </si>
  <si>
    <t>Pitcher, Pottery</t>
  </si>
  <si>
    <t>Pitcher, Silver</t>
  </si>
  <si>
    <t>Pitcher, China</t>
  </si>
  <si>
    <t>Platter, Tin (small)</t>
  </si>
  <si>
    <t>Platter, Silverplate (small)</t>
  </si>
  <si>
    <t>Platter, Tin (large)</t>
  </si>
  <si>
    <t>Platter, Silverplate (large)</t>
  </si>
  <si>
    <t>Platter, Silver (large)</t>
  </si>
  <si>
    <t>Mug, Tin</t>
  </si>
  <si>
    <t>Mug, Silverplate</t>
  </si>
  <si>
    <t>Mug, Pottery</t>
  </si>
  <si>
    <t>Mug, Silver</t>
  </si>
  <si>
    <t>Goblet, Glass</t>
  </si>
  <si>
    <t>Goblet, Crystal</t>
  </si>
  <si>
    <t>Salt Shaker</t>
  </si>
  <si>
    <t>Pepper Mill</t>
  </si>
  <si>
    <t>Blanket, Light</t>
  </si>
  <si>
    <t>Blanket, Heavy</t>
  </si>
  <si>
    <t>Sheets, Muslin</t>
  </si>
  <si>
    <t>Sheets, Linen</t>
  </si>
  <si>
    <t>Bird Cage, Brass</t>
  </si>
  <si>
    <t>Soap, Coarse</t>
  </si>
  <si>
    <t>Soap, Perfumed</t>
  </si>
  <si>
    <t>Stool, Wooden</t>
  </si>
  <si>
    <t>Seat Cushion, Plain</t>
  </si>
  <si>
    <t>Seat Cushion, Fine</t>
  </si>
  <si>
    <t>Seat Cushion, Ornate</t>
  </si>
  <si>
    <t>Candelabra, Silver</t>
  </si>
  <si>
    <t>Candelabra, Brass</t>
  </si>
  <si>
    <t>Candelabra, Silver-plated</t>
  </si>
  <si>
    <t>Candelabra, Gold-plated</t>
  </si>
  <si>
    <t>Flat Iron</t>
  </si>
  <si>
    <t>Cylinder Phonograph</t>
  </si>
  <si>
    <t>Record-cylinder</t>
  </si>
  <si>
    <t>Phonograph Record</t>
  </si>
  <si>
    <t>Belt, Leather</t>
  </si>
  <si>
    <t>Cavalry Boots, Leather</t>
  </si>
  <si>
    <t>Cowboy Boots, Plain</t>
  </si>
  <si>
    <t>Cowboy Boots, Fancy</t>
  </si>
  <si>
    <t>Workman's Boots, Leather</t>
  </si>
  <si>
    <t>Buckle, Silver-plated</t>
  </si>
  <si>
    <t>Buckle, Brass</t>
  </si>
  <si>
    <t>Buckle, Gold-plated</t>
  </si>
  <si>
    <t>Overcoat, Woolen</t>
  </si>
  <si>
    <t>Coat, Linen</t>
  </si>
  <si>
    <t>Gauntlet, Leather</t>
  </si>
  <si>
    <t>Gloves, Leather</t>
  </si>
  <si>
    <t>Hat, Wide-brimmed Felt</t>
  </si>
  <si>
    <t>Cowboy Hat</t>
  </si>
  <si>
    <t>Sombrero</t>
  </si>
  <si>
    <t>Tophat, Beaver</t>
  </si>
  <si>
    <t>Tophat, Silk</t>
  </si>
  <si>
    <t>Nightshirt, Linen</t>
  </si>
  <si>
    <t>Nightshirt, Woolen</t>
  </si>
  <si>
    <t>Union Suit (longjohns)</t>
  </si>
  <si>
    <t>Shirt, Linen</t>
  </si>
  <si>
    <t>Shirt, Silk</t>
  </si>
  <si>
    <t>Shirt, Woolen</t>
  </si>
  <si>
    <t>Slippers, Leather</t>
  </si>
  <si>
    <t>Moccasins, Leather</t>
  </si>
  <si>
    <t>Pants (with pockets)</t>
  </si>
  <si>
    <t>Blue Jeans, Denim</t>
  </si>
  <si>
    <t>Overalls</t>
  </si>
  <si>
    <t>Tuxedo</t>
  </si>
  <si>
    <t>Vest, Linen</t>
  </si>
  <si>
    <t>Vest, Leather</t>
  </si>
  <si>
    <t>Vest, Embroidered</t>
  </si>
  <si>
    <t>Bonnet, Woolen</t>
  </si>
  <si>
    <t>Bonnet, Linen</t>
  </si>
  <si>
    <t>Bonnet, Lace</t>
  </si>
  <si>
    <t>Cloak, Fur-lined</t>
  </si>
  <si>
    <t>Cloak, Woolen</t>
  </si>
  <si>
    <t>Dress, Coarse</t>
  </si>
  <si>
    <t>Dress, Normal</t>
  </si>
  <si>
    <t>Dress, Fine</t>
  </si>
  <si>
    <t>Dress, Exotic</t>
  </si>
  <si>
    <t>Bustle Skirt</t>
  </si>
  <si>
    <t>Garters, Silk</t>
  </si>
  <si>
    <t>Gloves, Doeskin</t>
  </si>
  <si>
    <t>Gloves, Fur-lined</t>
  </si>
  <si>
    <t>Lace Ribbon (5')</t>
  </si>
  <si>
    <t>Negligee</t>
  </si>
  <si>
    <t>Nightgown</t>
  </si>
  <si>
    <t>Hoop Skirt</t>
  </si>
  <si>
    <t>Purse, Plain</t>
  </si>
  <si>
    <t>Purse, Ornate</t>
  </si>
  <si>
    <t>Shift, Woolen</t>
  </si>
  <si>
    <t>Shift, Linen</t>
  </si>
  <si>
    <t>Shift, Silk</t>
  </si>
  <si>
    <t>Shirtwaist, Plain</t>
  </si>
  <si>
    <t>Shirtwaist, Fine</t>
  </si>
  <si>
    <t>Skirt, Plain</t>
  </si>
  <si>
    <t>Skirt, Fancy</t>
  </si>
  <si>
    <t>Shoes, High Heel</t>
  </si>
  <si>
    <t>Stockings, Linen</t>
  </si>
  <si>
    <t>Stockings, Woolen</t>
  </si>
  <si>
    <t>Stockings, Silk</t>
  </si>
  <si>
    <t>Cloth, Coarse</t>
  </si>
  <si>
    <t>Cloth, Normal</t>
  </si>
  <si>
    <t>Cloth, Fine</t>
  </si>
  <si>
    <t>Cloth, Exotic</t>
  </si>
  <si>
    <t>Needle</t>
  </si>
  <si>
    <t>Pin</t>
  </si>
  <si>
    <t>Thread</t>
  </si>
  <si>
    <t>Thread, Coloured</t>
  </si>
  <si>
    <t>Shears</t>
  </si>
  <si>
    <t>Aspirin</t>
  </si>
  <si>
    <t>Bandages, Linen</t>
  </si>
  <si>
    <t>Chloroform</t>
  </si>
  <si>
    <t>Cranial Drill</t>
  </si>
  <si>
    <t>Crutches</t>
  </si>
  <si>
    <t>Digitalis</t>
  </si>
  <si>
    <t>Diptheria-vaccine</t>
  </si>
  <si>
    <t>Ether</t>
  </si>
  <si>
    <t>Patent Medicine</t>
  </si>
  <si>
    <t>Eyeglasses</t>
  </si>
  <si>
    <t>False Teeth, Ivory</t>
  </si>
  <si>
    <t>Flat probe, Steel</t>
  </si>
  <si>
    <t>Forceps, Steel (small)</t>
  </si>
  <si>
    <t>Forceps, Steel (large)</t>
  </si>
  <si>
    <t>Herbal Remedy</t>
  </si>
  <si>
    <t>Hook, Bronze</t>
  </si>
  <si>
    <t>Hook, Steel</t>
  </si>
  <si>
    <t>Knife, Surgical</t>
  </si>
  <si>
    <t>Laughing Gas</t>
  </si>
  <si>
    <t>Medical Book, Exotic</t>
  </si>
  <si>
    <t>Medical Book, Modern</t>
  </si>
  <si>
    <t>Medical Book, Classical</t>
  </si>
  <si>
    <t>Opthalmoscope</t>
  </si>
  <si>
    <t>Pegleg, Ivory</t>
  </si>
  <si>
    <t>Pegleg, Wooden</t>
  </si>
  <si>
    <t>Wooden Leg</t>
  </si>
  <si>
    <t>Pulse Watch</t>
  </si>
  <si>
    <t>Quinine</t>
  </si>
  <si>
    <t>Rabies-vaccine</t>
  </si>
  <si>
    <t>Saw, amputation</t>
  </si>
  <si>
    <t>Smallpox Innoculation</t>
  </si>
  <si>
    <t>Stethascope</t>
  </si>
  <si>
    <t>Surgical Scissors, Steel</t>
  </si>
  <si>
    <t>Suturing Needle, Curved</t>
  </si>
  <si>
    <t>Syringe</t>
  </si>
  <si>
    <t>Thread, Surgical</t>
  </si>
  <si>
    <t>Tongue Depressor, Wooden</t>
  </si>
  <si>
    <t>Tooth-wrench</t>
  </si>
  <si>
    <t>Tuberculin Test</t>
  </si>
  <si>
    <t>Wire, Steel</t>
  </si>
  <si>
    <t>Lockpicks, Poor Quality</t>
  </si>
  <si>
    <t>Lockpicks, Average Quality</t>
  </si>
  <si>
    <t>Lockpicks, Fine Quality</t>
  </si>
  <si>
    <t>Skeleton Key</t>
  </si>
  <si>
    <t>Lock, Simple</t>
  </si>
  <si>
    <t>Lock, Average</t>
  </si>
  <si>
    <t>Lock, Complex</t>
  </si>
  <si>
    <t>Lock, Impossible</t>
  </si>
  <si>
    <t>Lock, Pick-proof</t>
  </si>
  <si>
    <t>Lock, Cylinder</t>
  </si>
  <si>
    <t>Padlock, Simple</t>
  </si>
  <si>
    <t>Padlock, Average</t>
  </si>
  <si>
    <t>Padlock, Complex</t>
  </si>
  <si>
    <t>Crowbar, Standard</t>
  </si>
  <si>
    <t>Purse-cutter Blade</t>
  </si>
  <si>
    <t>Rosin</t>
  </si>
  <si>
    <t>Caltrops</t>
  </si>
  <si>
    <t>Invisible Ink</t>
  </si>
  <si>
    <t>Camera</t>
  </si>
  <si>
    <t>Camera Film, Celluloid</t>
  </si>
  <si>
    <t>Camera Film, Glass Plate</t>
  </si>
  <si>
    <t>Photo Paper</t>
  </si>
  <si>
    <t>Cockfighting Spurs</t>
  </si>
  <si>
    <t>Die</t>
  </si>
  <si>
    <t>Die, Loaded</t>
  </si>
  <si>
    <t>Playing Cards</t>
  </si>
  <si>
    <t>Playing Cards, Marked</t>
  </si>
  <si>
    <t>Crystal Ball</t>
  </si>
  <si>
    <t>Tennis Raquet</t>
  </si>
  <si>
    <t>Tennis Ball</t>
  </si>
  <si>
    <t>Brush, Grooming</t>
  </si>
  <si>
    <t>Brush, Cleaning</t>
  </si>
  <si>
    <t>Comb</t>
  </si>
  <si>
    <t>Hairbrush</t>
  </si>
  <si>
    <t>Mapcase, Leather</t>
  </si>
  <si>
    <t>Map, Local</t>
  </si>
  <si>
    <t>Map, Regional</t>
  </si>
  <si>
    <t>Map, Continent</t>
  </si>
  <si>
    <t>Map, National</t>
  </si>
  <si>
    <t>Map, World</t>
  </si>
  <si>
    <t>Globe</t>
  </si>
  <si>
    <t>Flag (small)</t>
  </si>
  <si>
    <t>Flag (large)</t>
  </si>
  <si>
    <t>Opera Glasses</t>
  </si>
  <si>
    <t>Spyglass</t>
  </si>
  <si>
    <t>Binoculars</t>
  </si>
  <si>
    <t>Hand Mirror, Silvered Glass</t>
  </si>
  <si>
    <t>Shoe Horn</t>
  </si>
  <si>
    <t>Chess Set, Standard</t>
  </si>
  <si>
    <t>Chess Set, Ornate</t>
  </si>
  <si>
    <t>Walking Stick</t>
  </si>
  <si>
    <t>Watch</t>
  </si>
  <si>
    <t>Travelling Clock</t>
  </si>
  <si>
    <t>China Doll</t>
  </si>
  <si>
    <t>Pipe, Clay</t>
  </si>
  <si>
    <t>Cigarette Papers</t>
  </si>
  <si>
    <t>Cigar</t>
  </si>
  <si>
    <t>Snuff</t>
  </si>
  <si>
    <t>Snuff Box, Plain</t>
  </si>
  <si>
    <t>Snuff Box, Ornate</t>
  </si>
  <si>
    <t>Cologne/Perfume</t>
  </si>
  <si>
    <t>Cosmetics</t>
  </si>
  <si>
    <t>Axe</t>
  </si>
  <si>
    <t>Blackjack</t>
  </si>
  <si>
    <t>Club</t>
  </si>
  <si>
    <t>Composite Bow</t>
  </si>
  <si>
    <t>Cudgel</t>
  </si>
  <si>
    <t>Cutlass</t>
  </si>
  <si>
    <t>Dagger</t>
  </si>
  <si>
    <t>Dirk</t>
  </si>
  <si>
    <t>Foil</t>
  </si>
  <si>
    <t>Handaxe</t>
  </si>
  <si>
    <t>Tomahawk</t>
  </si>
  <si>
    <t>Harpoon</t>
  </si>
  <si>
    <t>Lasso</t>
  </si>
  <si>
    <t>Long Bow</t>
  </si>
  <si>
    <t>Rapier</t>
  </si>
  <si>
    <t>Sabre</t>
  </si>
  <si>
    <t>Scimitar</t>
  </si>
  <si>
    <t>Short Bow</t>
  </si>
  <si>
    <t>Spear</t>
  </si>
  <si>
    <t>Quiver</t>
  </si>
  <si>
    <t>Military Gunbelt</t>
  </si>
  <si>
    <t>Bayonet</t>
  </si>
  <si>
    <t>Gunbelt &amp; Holster</t>
  </si>
  <si>
    <t>Belt Scabbard, Plain</t>
  </si>
  <si>
    <t>Belt Scabbard, Ornamented</t>
  </si>
  <si>
    <t>Sheath, Plain</t>
  </si>
  <si>
    <t>Sheath, Ornamented</t>
  </si>
  <si>
    <t>Gunpowder</t>
  </si>
  <si>
    <t>Powder Flask</t>
  </si>
  <si>
    <t>Powder Measure</t>
  </si>
  <si>
    <t>Water</t>
  </si>
  <si>
    <t>Acid</t>
  </si>
  <si>
    <t>Tin</t>
  </si>
  <si>
    <t>5+</t>
  </si>
  <si>
    <t>1.5-2</t>
  </si>
  <si>
    <t>0.75-1.5</t>
  </si>
  <si>
    <t>75+</t>
  </si>
  <si>
    <t>2+</t>
  </si>
  <si>
    <t>2-4</t>
  </si>
  <si>
    <t>2-5</t>
  </si>
  <si>
    <t>3-8</t>
  </si>
  <si>
    <t>3-4</t>
  </si>
  <si>
    <t>1.5-3</t>
  </si>
  <si>
    <t>4-8</t>
  </si>
  <si>
    <t>3-6</t>
  </si>
  <si>
    <t>2-3.5</t>
  </si>
  <si>
    <t>3-7</t>
  </si>
  <si>
    <t>4-6</t>
  </si>
  <si>
    <t>0.25+</t>
  </si>
  <si>
    <t>0.05-2</t>
  </si>
  <si>
    <t>1+</t>
  </si>
  <si>
    <t>15-25</t>
  </si>
  <si>
    <t>1-100</t>
  </si>
  <si>
    <t>0.25-0.5</t>
  </si>
  <si>
    <t>1.5+</t>
  </si>
  <si>
    <t>25+</t>
  </si>
  <si>
    <t>5-15</t>
  </si>
  <si>
    <t>1.5-3.5</t>
  </si>
  <si>
    <t>1-10</t>
  </si>
  <si>
    <t>15+</t>
  </si>
  <si>
    <t>15-35</t>
  </si>
  <si>
    <t>7+</t>
  </si>
  <si>
    <t>4-10</t>
  </si>
  <si>
    <t>0.15+</t>
  </si>
  <si>
    <t>3+</t>
  </si>
  <si>
    <t>0.1-0.25</t>
  </si>
  <si>
    <t>Eraser, India Rubber</t>
  </si>
  <si>
    <t>0.05-0.15</t>
  </si>
  <si>
    <t>Anemometer</t>
  </si>
  <si>
    <t>Barometer</t>
  </si>
  <si>
    <t>Battery</t>
  </si>
  <si>
    <t>Pump, Air</t>
  </si>
  <si>
    <t>Pump, Vacuum</t>
  </si>
  <si>
    <t>Telescope</t>
  </si>
  <si>
    <t>Telescope, Reflecting</t>
  </si>
  <si>
    <t>Thermometer</t>
  </si>
  <si>
    <t>15-75</t>
  </si>
  <si>
    <t>10-15</t>
  </si>
  <si>
    <t>50+</t>
  </si>
  <si>
    <t>15-20</t>
  </si>
  <si>
    <t>Beaker, Glass (medium)</t>
  </si>
  <si>
    <t>Beaker, Glass (large)</t>
  </si>
  <si>
    <t>150+</t>
  </si>
  <si>
    <t>35+</t>
  </si>
  <si>
    <t>0.1-1</t>
  </si>
  <si>
    <t>8-10</t>
  </si>
  <si>
    <t>5-10</t>
  </si>
  <si>
    <t>1-1.6</t>
  </si>
  <si>
    <t>5-7</t>
  </si>
  <si>
    <t>14-40</t>
  </si>
  <si>
    <t>0.05-1</t>
  </si>
  <si>
    <t>25-35</t>
  </si>
  <si>
    <t>1-3</t>
  </si>
  <si>
    <t>50-100</t>
  </si>
  <si>
    <t>8-15</t>
  </si>
  <si>
    <t>2.25-12</t>
  </si>
  <si>
    <t>0.1-5.25</t>
  </si>
  <si>
    <t>0.25-2.5</t>
  </si>
  <si>
    <t>2.75+</t>
  </si>
  <si>
    <t>6-15</t>
  </si>
  <si>
    <t>0.1-1.4</t>
  </si>
  <si>
    <t>1-1.5</t>
  </si>
  <si>
    <t>1.25+</t>
  </si>
  <si>
    <t>1.5-6.95</t>
  </si>
  <si>
    <t>7.5+</t>
  </si>
  <si>
    <t>3.75+</t>
  </si>
  <si>
    <t>Apron, Cloth, Women</t>
  </si>
  <si>
    <t>Shoes, Fine Leather, Mens</t>
  </si>
  <si>
    <t>Shoes, Normal, Mens</t>
  </si>
  <si>
    <t>Shoes, Normal, Womens</t>
  </si>
  <si>
    <t>Shoes, Fine Leather, Womens</t>
  </si>
  <si>
    <t>Apron, Cloth, Mens</t>
  </si>
  <si>
    <t>Apron, Leather, Mens</t>
  </si>
  <si>
    <t>5.95+</t>
  </si>
  <si>
    <t>15.95+</t>
  </si>
  <si>
    <t>2.5+</t>
  </si>
  <si>
    <t>7-10</t>
  </si>
  <si>
    <t>2.25+</t>
  </si>
  <si>
    <t>Information</t>
  </si>
  <si>
    <t>0.016+</t>
  </si>
  <si>
    <t>0.12-0.18</t>
  </si>
  <si>
    <t>Per Foot</t>
  </si>
  <si>
    <t>0.25-2</t>
  </si>
  <si>
    <t>0.5-1</t>
  </si>
  <si>
    <t>Crowbar, Heavy</t>
  </si>
  <si>
    <t>1-75</t>
  </si>
  <si>
    <t>Light Dagger</t>
  </si>
  <si>
    <t>Cowboy Hat, Heavy</t>
  </si>
  <si>
    <t>1.3+</t>
  </si>
  <si>
    <t>0.73+</t>
  </si>
  <si>
    <t>0.2-0.7</t>
  </si>
  <si>
    <t>1.35+</t>
  </si>
  <si>
    <t>0.75+</t>
  </si>
  <si>
    <t>0.85+</t>
  </si>
  <si>
    <t>Embroidered Shoes, Womens</t>
  </si>
  <si>
    <t>Location</t>
  </si>
  <si>
    <t>Chest, Abdomen, Back, Waist</t>
  </si>
  <si>
    <t>Neck, Back</t>
  </si>
  <si>
    <t>Clothes</t>
  </si>
  <si>
    <t>Actual Value</t>
  </si>
  <si>
    <t>No Armour</t>
  </si>
  <si>
    <t>Forage Cap, Military</t>
  </si>
  <si>
    <t>Hardee Hat, Military</t>
  </si>
  <si>
    <t>Kepis, Military</t>
  </si>
  <si>
    <t>Slouch Hat, Military</t>
  </si>
  <si>
    <t>Frock Coat, Military</t>
  </si>
  <si>
    <t>Dress Coat, Military</t>
  </si>
  <si>
    <t>Sack Coat, Military</t>
  </si>
  <si>
    <t>Shell Jacket, Military</t>
  </si>
  <si>
    <t>Great Coat, Military</t>
  </si>
  <si>
    <t>Metal Breastplate</t>
  </si>
  <si>
    <t>Chest, Abdomen, Back</t>
  </si>
  <si>
    <t>Chest, Abdomen</t>
  </si>
  <si>
    <t>Metal Cuirass</t>
  </si>
  <si>
    <t>Plate</t>
  </si>
  <si>
    <t>Suffix</t>
  </si>
  <si>
    <t>Metal Pauldron, Left</t>
  </si>
  <si>
    <t>L Shoulder</t>
  </si>
  <si>
    <t>R Shoulder</t>
  </si>
  <si>
    <t>L Upper Arm</t>
  </si>
  <si>
    <t>R Upper Arm</t>
  </si>
  <si>
    <t>L Lower Arm</t>
  </si>
  <si>
    <t>R Lower Arm</t>
  </si>
  <si>
    <t>L Hand</t>
  </si>
  <si>
    <t>R Hand</t>
  </si>
  <si>
    <t>L Upper Leg</t>
  </si>
  <si>
    <t>R Upper Leg</t>
  </si>
  <si>
    <t>L Lower Leg</t>
  </si>
  <si>
    <t>R Lower Leg</t>
  </si>
  <si>
    <t>L Foot</t>
  </si>
  <si>
    <t>R Foot</t>
  </si>
  <si>
    <t>Chest, Abdomen, Waist, Groin, L Upper Leg, R Upper Leg</t>
  </si>
  <si>
    <t>Chest, Abdomen, Back, Waist, Groin, L Upper Leg, R Upper Leg</t>
  </si>
  <si>
    <t>Groin, L Upper Leg, R Upper Leg</t>
  </si>
  <si>
    <t>L Foot, R Foot</t>
  </si>
  <si>
    <t>L Lower Leg, R Lower Leg, L Foot, R Foot</t>
  </si>
  <si>
    <t>Groin, L Upper Leg, R Upper Leg, L Lower Leg, R Lower Leg</t>
  </si>
  <si>
    <t>Chest, Abdomen, Back, Waist, Groin, L Upper Leg, R Upper Leg, L Lower Leg, R Lower Leg</t>
  </si>
  <si>
    <t>Upper Leg, L Lower Leg, R Lower Leg, L Foot, R Foot</t>
  </si>
  <si>
    <t>Chest, Abdomen, Back, Waist, L Shoulder, R Shoulder, Groin, L Upper Leg, R Upper Leg, L Lower Leg, R Lower Leg</t>
  </si>
  <si>
    <t>Chest, Abdomen, Back, Waist, L Shoulder, R Shoulder, L Upper Arm, R Upper Arm</t>
  </si>
  <si>
    <t>Chest, Abdomen, Back, Waist, Groin, L Upper Leg, R Upper Leg, L Shoulder, R Shoulder, L Upper Arm, R Upper Arm, L Lower Arm, R Lower Arm</t>
  </si>
  <si>
    <t>Chest, Abdomen, Back, Waist, Groin, L Shoulder, R Shoulder, L Upper Arm, R Upper Arm, L Lower Arm, R Lower Arm, L Upper Leg, R Upper Leg, L Lower Leg, R Lower Leg</t>
  </si>
  <si>
    <t>L Hand, R Hand</t>
  </si>
  <si>
    <t>Weighted Short Bow</t>
  </si>
  <si>
    <t>Weapons</t>
  </si>
  <si>
    <t>Point Blank</t>
  </si>
  <si>
    <t>Short</t>
  </si>
  <si>
    <t>Medium</t>
  </si>
  <si>
    <t>Long</t>
  </si>
  <si>
    <t>Extreme</t>
  </si>
  <si>
    <t>Absurd</t>
  </si>
  <si>
    <t>Skill Bonus</t>
  </si>
  <si>
    <t>Rank</t>
  </si>
  <si>
    <t>Unarmed Strikes</t>
  </si>
  <si>
    <t>Unarmed Sweeps</t>
  </si>
  <si>
    <t>Dagger (thrown)</t>
  </si>
  <si>
    <t>Dirk (thrown)</t>
  </si>
  <si>
    <t>Handaxe (thrown)</t>
  </si>
  <si>
    <t>Tomahawk (thrown)</t>
  </si>
  <si>
    <t>Harpoon (thrown)</t>
  </si>
  <si>
    <t>Spear (thrown)</t>
  </si>
  <si>
    <t>Cudgel (thrown)</t>
  </si>
  <si>
    <t>Light Dagger (thrown)</t>
  </si>
  <si>
    <t>Battle Axe</t>
  </si>
  <si>
    <t>Sweeps</t>
  </si>
  <si>
    <t>Grappling</t>
  </si>
  <si>
    <t>Range</t>
  </si>
  <si>
    <t>Bonus Mod</t>
  </si>
  <si>
    <t>Ammunition Pouch</t>
  </si>
  <si>
    <t>Book, Fiction (large)</t>
  </si>
  <si>
    <t>Harmonica, Standard</t>
  </si>
  <si>
    <t>Carried Equipment</t>
  </si>
  <si>
    <t>Horses</t>
  </si>
  <si>
    <t>Breed</t>
  </si>
  <si>
    <t>Colour</t>
  </si>
  <si>
    <t>Musculature</t>
  </si>
  <si>
    <t>Capacity</t>
  </si>
  <si>
    <t>OB Mod</t>
  </si>
  <si>
    <t>Donkey</t>
  </si>
  <si>
    <t>Mule</t>
  </si>
  <si>
    <t>Pony</t>
  </si>
  <si>
    <t>Mustang</t>
  </si>
  <si>
    <t>Quarterhorse</t>
  </si>
  <si>
    <t>Thoroughbred</t>
  </si>
  <si>
    <t>Plowhorse</t>
  </si>
  <si>
    <t>L Front Upper Leg:</t>
  </si>
  <si>
    <t>R Front Upper Leg:</t>
  </si>
  <si>
    <t>L Front Lower Leg:</t>
  </si>
  <si>
    <t>R Front Lower Leg:</t>
  </si>
  <si>
    <t>L Front Hoof:</t>
  </si>
  <si>
    <t>R Front Hoof:</t>
  </si>
  <si>
    <t>L Hip:</t>
  </si>
  <si>
    <t>R Hip:</t>
  </si>
  <si>
    <t>L Rear Upper Leg:</t>
  </si>
  <si>
    <t>R Rear Upper Leg:</t>
  </si>
  <si>
    <t>L Rear Lower Leg:</t>
  </si>
  <si>
    <t>R Rear Lower Leg:</t>
  </si>
  <si>
    <t>L Rear Hoof:</t>
  </si>
  <si>
    <t>R Rear Hoof:</t>
  </si>
  <si>
    <t>Horse Name:</t>
  </si>
  <si>
    <t>Horse Breed:</t>
  </si>
  <si>
    <t>Encumbrance:</t>
  </si>
  <si>
    <t>Equipment Weight:</t>
  </si>
  <si>
    <t>Recovery:</t>
  </si>
  <si>
    <t>Nat AT:</t>
  </si>
  <si>
    <t>Endurance</t>
  </si>
  <si>
    <t>Load %:</t>
  </si>
  <si>
    <t>Max Pace:</t>
  </si>
  <si>
    <t>Encumbrance Penalty:</t>
  </si>
  <si>
    <t>Total:</t>
  </si>
  <si>
    <t>Maneuver Pen. / Miscellaneous:</t>
  </si>
  <si>
    <t>Full Metal Barding</t>
  </si>
  <si>
    <t>L Hip</t>
  </si>
  <si>
    <t>R Hip</t>
  </si>
  <si>
    <t>L Front Upper Leg</t>
  </si>
  <si>
    <t>R Front Upper Leg</t>
  </si>
  <si>
    <t>L Front Lower Leg</t>
  </si>
  <si>
    <t>R Front Lower Leg</t>
  </si>
  <si>
    <t>L Front Hoof</t>
  </si>
  <si>
    <t>R Front Hoof</t>
  </si>
  <si>
    <t>L Rear Upper Leg</t>
  </si>
  <si>
    <t>R Rear Upper Leg</t>
  </si>
  <si>
    <t>L Rear Lower Leg</t>
  </si>
  <si>
    <t>R Rear Lower Leg</t>
  </si>
  <si>
    <t>L Rear Hoof</t>
  </si>
  <si>
    <t>R Rear Hoof</t>
  </si>
  <si>
    <t>L Flank:</t>
  </si>
  <si>
    <t>R Flank:</t>
  </si>
  <si>
    <t>L Flank</t>
  </si>
  <si>
    <t>R Flank</t>
  </si>
  <si>
    <t>Head, Neck, L Flank, R Flank, Back, L Hip, R Hip, L Shoulder, R Shoulder, L Front Upper Leg, R Front Upper Leg, L Rear Upper Leg, R Rear Upper Leg</t>
  </si>
  <si>
    <t>Maneuver Penalty:</t>
  </si>
  <si>
    <t>Skill Total:</t>
  </si>
  <si>
    <t>Maneuver Pen:</t>
  </si>
  <si>
    <t>Miscellaneous:</t>
  </si>
  <si>
    <t>Racial:</t>
  </si>
  <si>
    <t>Body Development:</t>
  </si>
  <si>
    <t>Weight Allowance (lbs):</t>
  </si>
  <si>
    <t>Greater Warhorse</t>
  </si>
  <si>
    <t>Lesser Warhorse</t>
  </si>
  <si>
    <t>Wild</t>
  </si>
  <si>
    <t>Load:</t>
  </si>
  <si>
    <t>Philadelphia Deringer</t>
  </si>
  <si>
    <t>German Silver</t>
  </si>
  <si>
    <t>.41 Back Action Percussion Lock Pistol, 1852-1868</t>
  </si>
  <si>
    <t>Philadelphia Deringer, Long</t>
  </si>
  <si>
    <t>Remington Model 95 Derringer</t>
  </si>
  <si>
    <t>Philadelphia Deringer, Stub</t>
  </si>
  <si>
    <t>.22 Sharps Derringer</t>
  </si>
  <si>
    <t>.30 Sharps Derringer</t>
  </si>
  <si>
    <t>.32 Rimfire Sharps Derringer</t>
  </si>
  <si>
    <t>.22 Sharps Derringer, Long</t>
  </si>
  <si>
    <t>.32 Rimfire Sharps Derringer, Long</t>
  </si>
  <si>
    <t>.30 Sharps Derringer, Long</t>
  </si>
  <si>
    <t>.32 Rimfire Sharps Derringer, Stub</t>
  </si>
  <si>
    <t>.38 Rimfire Moore Derringer</t>
  </si>
  <si>
    <t>.38 Rimfire Pistol, 1861-1865</t>
  </si>
  <si>
    <t>.41 Rimfire Army Derringer</t>
  </si>
  <si>
    <t>.41 Rimfire Pistol, 1865-1870</t>
  </si>
  <si>
    <t>.41 Rimfire Two Barrel Pistol, 1866-1935</t>
  </si>
  <si>
    <t>.22 Rimfire Four Barrel Pistol, 1859-1874</t>
  </si>
  <si>
    <t>.30 Rimfire Four Barrel Pistol, 1859-1874</t>
  </si>
  <si>
    <t>.32 Rimfire Four Barrel Pistol, 1862-1867</t>
  </si>
  <si>
    <t>.32 Rimfire Four Barrel Pistol, 1867-1874</t>
  </si>
  <si>
    <t>.36 Colt Paterson Revolver</t>
  </si>
  <si>
    <t>.28 Colt Paterson Revolver</t>
  </si>
  <si>
    <t>5 Shot Single Action Percussion Revolver, 1836-1838</t>
  </si>
  <si>
    <t>5 Shot Single Action Percussion Revolver, 1837-1838</t>
  </si>
  <si>
    <t>.28 Colt Paterson Lever-action Revolver</t>
  </si>
  <si>
    <t>.36 Colt Paterson Lever-action Revolver</t>
  </si>
  <si>
    <t>5 Shot Lever Action Percussion Revolver, 1839-1842</t>
  </si>
  <si>
    <t>.36 Colt Paterson Revolver, Long</t>
  </si>
  <si>
    <t>.36 Colt Paterson Lever-action Revolver, Long</t>
  </si>
  <si>
    <t>Percussion Lock Rifle, 1841-1856</t>
  </si>
  <si>
    <t>Rifled Percussion Lock Rifle, Maynard Tape, 1856-1860</t>
  </si>
  <si>
    <t>Rifled Percussion Lock Rifle, 1861-1873</t>
  </si>
  <si>
    <t>Rifled Percussion Lock Rifle, 1863-1873</t>
  </si>
  <si>
    <t>.58 U.S. M1863 (Springfield) Rifle</t>
  </si>
  <si>
    <t>.58 U.S. M1861 (Springfield) Rifle</t>
  </si>
  <si>
    <t>.58 Harpers Ferry M1855 Rifle, Short</t>
  </si>
  <si>
    <t>.58 U.S. M1855 Rifle</t>
  </si>
  <si>
    <t>.54 U.S. M1841 (mississippi) Rifle</t>
  </si>
  <si>
    <t>Muzzle-loading Rifled Percussion Musket, 1853-1867</t>
  </si>
  <si>
    <t>.577 British P1866 Snider-Enfield Rifle, Long</t>
  </si>
  <si>
    <t>.577 British P1866 Snider-Enfield Rifle, Short</t>
  </si>
  <si>
    <t>.577 British P1866 Snider-Enfield Rifle</t>
  </si>
  <si>
    <t>.577 British P1866 Snider-Enfield Artillery Carbine</t>
  </si>
  <si>
    <t>.577 British P1853 Enfield</t>
  </si>
  <si>
    <t>Muzzle-loading Rifled Percussion Musket, 1861-1867</t>
  </si>
  <si>
    <t>.58 British P1861 Enfield Musketoon</t>
  </si>
  <si>
    <t>.577 British P1866 Snider-Enfield Cavalry Carbine</t>
  </si>
  <si>
    <t>Breech-loading Single Shot Rifle, 1866-1874</t>
  </si>
  <si>
    <t>Bailey Machine Gun</t>
  </si>
  <si>
    <t>Harper's Ferry Blunderbuss</t>
  </si>
  <si>
    <t>MAS 1873 Revolver</t>
  </si>
  <si>
    <t>MAS 1874 Revolver d'Officier</t>
  </si>
  <si>
    <t>11mm French Double-action 6 Shot Revolver, 1873-1887</t>
  </si>
  <si>
    <t>11mm French Double-action 6 Shot Revolver, 1874-1887</t>
  </si>
  <si>
    <t>10 Gauge Coach Gun</t>
  </si>
  <si>
    <t>12 Gauge Coach Gun</t>
  </si>
  <si>
    <t>10 Gauge Double-barrelled Shotgun, 1850+</t>
  </si>
  <si>
    <t>12 Gauge Double-barrelled Shotgun, 1850+</t>
  </si>
  <si>
    <t>1 Dollar:</t>
  </si>
  <si>
    <t>10 Dollar:</t>
  </si>
  <si>
    <t>5 Dollar:</t>
  </si>
  <si>
    <t>20 Dollar:</t>
  </si>
  <si>
    <t>Dollar:</t>
  </si>
  <si>
    <t>Quarter:</t>
  </si>
  <si>
    <t>Eagle:</t>
  </si>
  <si>
    <t>Dime:</t>
  </si>
  <si>
    <t>Double Eagle:</t>
  </si>
  <si>
    <t>3 Dollar Pc:</t>
  </si>
  <si>
    <t>Qtr Eagle:</t>
  </si>
  <si>
    <t>Gold Dollar:</t>
  </si>
  <si>
    <t>Hlf Dollar:</t>
  </si>
  <si>
    <t>20¢ Piece:</t>
  </si>
  <si>
    <t>Five-Cent:</t>
  </si>
  <si>
    <t>3¢ Nickel:</t>
  </si>
  <si>
    <t>Enc. Penalty (Pack / No Pack):</t>
  </si>
  <si>
    <t>Half Eagle:</t>
  </si>
  <si>
    <t>Bread, White</t>
  </si>
  <si>
    <t>Bread, Rye</t>
  </si>
  <si>
    <t>Bread, Wheat</t>
  </si>
  <si>
    <t>Doughnut</t>
  </si>
  <si>
    <t>Pie</t>
  </si>
  <si>
    <t>Cookie</t>
  </si>
  <si>
    <t>Beef, Veal</t>
  </si>
  <si>
    <t>Beef, Steak</t>
  </si>
  <si>
    <t>Beef, Roast</t>
  </si>
  <si>
    <t>Beef, Other Cut</t>
  </si>
  <si>
    <t>Buffalo, Steak</t>
  </si>
  <si>
    <t>Buffalo, Roast</t>
  </si>
  <si>
    <t>Buffalo, Other Cut</t>
  </si>
  <si>
    <t>Pork, Loin</t>
  </si>
  <si>
    <t>Pork, Ham</t>
  </si>
  <si>
    <t>Pork, Bacon</t>
  </si>
  <si>
    <t>Pork, Other Cut</t>
  </si>
  <si>
    <t>Lamb, Leg</t>
  </si>
  <si>
    <t>Mutton, Chop</t>
  </si>
  <si>
    <t>Chicken</t>
  </si>
  <si>
    <t>Duck</t>
  </si>
  <si>
    <t>Goose</t>
  </si>
  <si>
    <t>Turkey</t>
  </si>
  <si>
    <t>Fish, Fresh River</t>
  </si>
  <si>
    <t>Fish, Carp</t>
  </si>
  <si>
    <t>Fish, Pike</t>
  </si>
  <si>
    <t>Fish, Crab</t>
  </si>
  <si>
    <t>Fish, Clam</t>
  </si>
  <si>
    <t>Fish, Shrimp</t>
  </si>
  <si>
    <t>Butter, Salted</t>
  </si>
  <si>
    <t>Butter, Unsalted</t>
  </si>
  <si>
    <t>Cheese, Low Quality</t>
  </si>
  <si>
    <t>Cheese, Average Quality</t>
  </si>
  <si>
    <t>Cheese, Fine Quality</t>
  </si>
  <si>
    <t>Cream</t>
  </si>
  <si>
    <t>Egg</t>
  </si>
  <si>
    <t>Milk, Cow</t>
  </si>
  <si>
    <t>Milk, Goat</t>
  </si>
  <si>
    <t>Apple</t>
  </si>
  <si>
    <t>Berry, Wild</t>
  </si>
  <si>
    <t>Cherry</t>
  </si>
  <si>
    <t>Crabapple</t>
  </si>
  <si>
    <t>Date</t>
  </si>
  <si>
    <t>Fig</t>
  </si>
  <si>
    <t>Grape</t>
  </si>
  <si>
    <t>Melon</t>
  </si>
  <si>
    <t>Nut, Wild</t>
  </si>
  <si>
    <t>Olive</t>
  </si>
  <si>
    <t>Pear</t>
  </si>
  <si>
    <t>Pineapple</t>
  </si>
  <si>
    <t>Plum</t>
  </si>
  <si>
    <t>Raspberry</t>
  </si>
  <si>
    <t>Strawberry</t>
  </si>
  <si>
    <t>Citrus</t>
  </si>
  <si>
    <t>Artichoke</t>
  </si>
  <si>
    <t>Bean, Fresh</t>
  </si>
  <si>
    <t>Bean, Dried</t>
  </si>
  <si>
    <t>Beetroot</t>
  </si>
  <si>
    <t>Cabbage</t>
  </si>
  <si>
    <t>Carrot</t>
  </si>
  <si>
    <t>Cauliflower</t>
  </si>
  <si>
    <t>Leek</t>
  </si>
  <si>
    <t>Lentils</t>
  </si>
  <si>
    <t>Lettuce</t>
  </si>
  <si>
    <t>Onion</t>
  </si>
  <si>
    <t>Parsnip</t>
  </si>
  <si>
    <t>Peas, Fresh</t>
  </si>
  <si>
    <t>Potato</t>
  </si>
  <si>
    <t>Radish</t>
  </si>
  <si>
    <t>Turnip</t>
  </si>
  <si>
    <t>Cloves</t>
  </si>
  <si>
    <t>Cinnamon</t>
  </si>
  <si>
    <t>Garlic</t>
  </si>
  <si>
    <t>Ginger</t>
  </si>
  <si>
    <t>Honey</t>
  </si>
  <si>
    <t>Mint</t>
  </si>
  <si>
    <t>Mustard Seed</t>
  </si>
  <si>
    <t>Nutmeg</t>
  </si>
  <si>
    <t>Parsley</t>
  </si>
  <si>
    <t>Pepper</t>
  </si>
  <si>
    <t>Cayenne Pepper</t>
  </si>
  <si>
    <t>Rosemary</t>
  </si>
  <si>
    <t>Saffron</t>
  </si>
  <si>
    <t>Sage</t>
  </si>
  <si>
    <t>Salt</t>
  </si>
  <si>
    <t>Sugar</t>
  </si>
  <si>
    <t>Syrup, Maple</t>
  </si>
  <si>
    <t>Thyme</t>
  </si>
  <si>
    <t>Beef, Salted</t>
  </si>
  <si>
    <t>Pork, Salted</t>
  </si>
  <si>
    <t>Fish, Salted</t>
  </si>
  <si>
    <t>Salmon, Smoked</t>
  </si>
  <si>
    <t>Beef, Smoked</t>
  </si>
  <si>
    <t>Pork, Smoked</t>
  </si>
  <si>
    <t>Hardtack</t>
  </si>
  <si>
    <t>Beef, Jerked</t>
  </si>
  <si>
    <t>Fish, Dried</t>
  </si>
  <si>
    <t>Apple Cider, Fresh</t>
  </si>
  <si>
    <t>Apple Cider, Fermented</t>
  </si>
  <si>
    <t>Brandy</t>
  </si>
  <si>
    <t>Wine, Poor</t>
  </si>
  <si>
    <t>Wine, Average</t>
  </si>
  <si>
    <t>Wine, Fine</t>
  </si>
  <si>
    <t>Wine, Excellent</t>
  </si>
  <si>
    <t>Wine, Champagne</t>
  </si>
  <si>
    <t>Whiskey</t>
  </si>
  <si>
    <t>Beer</t>
  </si>
  <si>
    <t>Double Beer</t>
  </si>
  <si>
    <t>Small Beer</t>
  </si>
  <si>
    <t>Ale</t>
  </si>
  <si>
    <t>Stout</t>
  </si>
  <si>
    <t>Bitter</t>
  </si>
  <si>
    <t>Canned Meat (various)</t>
  </si>
  <si>
    <t>Canned Vegetables (various)</t>
  </si>
  <si>
    <t>Canned Fruits (various)</t>
  </si>
  <si>
    <t>Graham Crackers</t>
  </si>
  <si>
    <t>Pancake Mix</t>
  </si>
  <si>
    <t>Coffee Beans</t>
  </si>
  <si>
    <t>Tea</t>
  </si>
  <si>
    <t>Cocoa</t>
  </si>
  <si>
    <t>Condensed Milk</t>
  </si>
  <si>
    <t>Gelatin Dessert</t>
  </si>
  <si>
    <t>Jam</t>
  </si>
  <si>
    <t>Jelly</t>
  </si>
  <si>
    <t>Margarine</t>
  </si>
  <si>
    <t>Potato Chips</t>
  </si>
  <si>
    <t>Ice Cream Soda</t>
  </si>
  <si>
    <t>Vinegar</t>
  </si>
  <si>
    <t>Chocolate Bar</t>
  </si>
  <si>
    <t>Chewing Gum</t>
  </si>
  <si>
    <t>Other Typical Candies</t>
  </si>
  <si>
    <t>Flour, Wheat</t>
  </si>
  <si>
    <t>Flour, Rye</t>
  </si>
  <si>
    <t>Flour, Barley</t>
  </si>
  <si>
    <t>Flour, Oat</t>
  </si>
  <si>
    <t>Flour, Corn Meal</t>
  </si>
  <si>
    <t>Cooking Oil</t>
  </si>
  <si>
    <t>Olive Oil</t>
  </si>
  <si>
    <t>Lard</t>
  </si>
  <si>
    <t>Lamp Oil</t>
  </si>
  <si>
    <t>Candle, Tallow</t>
  </si>
  <si>
    <t>Candle, Wax</t>
  </si>
  <si>
    <t>Barrel, 12 Gallon</t>
  </si>
  <si>
    <t>Barrel, 25 Gallon</t>
  </si>
  <si>
    <t>Barrel, 50 Gallon</t>
  </si>
  <si>
    <t>Barrel, 100 Gallon</t>
  </si>
  <si>
    <t>Barrel, 350 Gallon</t>
  </si>
  <si>
    <t>Beehive</t>
  </si>
  <si>
    <t>Blacksmith's Vise, Small</t>
  </si>
  <si>
    <t>Blacksmith's Vise, Medium</t>
  </si>
  <si>
    <t>Blacksmith's Vise, Large</t>
  </si>
  <si>
    <t>Blacksmith's Stocks and Dies</t>
  </si>
  <si>
    <t>Grindstone</t>
  </si>
  <si>
    <t>Hammer, Blacksmith's</t>
  </si>
  <si>
    <t>Hammer, Carpenter's</t>
  </si>
  <si>
    <t>Mold, Metal Casting</t>
  </si>
  <si>
    <t>Pulley, Small</t>
  </si>
  <si>
    <t>Pulley, Large</t>
  </si>
  <si>
    <t>Wheelbarrow</t>
  </si>
  <si>
    <t>Whitewash</t>
  </si>
  <si>
    <t>Wood Glue</t>
  </si>
  <si>
    <t>Improved Steam Engine</t>
  </si>
  <si>
    <t>Improved Steam Engine, Large</t>
  </si>
  <si>
    <t>Bellows, Standard</t>
  </si>
  <si>
    <t>Blast Furnace</t>
  </si>
  <si>
    <t>Bottle Machine</t>
  </si>
  <si>
    <t>Cream Seperator</t>
  </si>
  <si>
    <t>Forge, Portable</t>
  </si>
  <si>
    <t>Forge, Standard</t>
  </si>
  <si>
    <t>Cotton Gin</t>
  </si>
  <si>
    <t>Horizontal Boring Machine</t>
  </si>
  <si>
    <t>Incubator (eggs)</t>
  </si>
  <si>
    <t>Lathe, Steam-driven</t>
  </si>
  <si>
    <t>Lathe, Pattern-cutting</t>
  </si>
  <si>
    <t>Milling Machine</t>
  </si>
  <si>
    <t>Nail Cutter</t>
  </si>
  <si>
    <t>McCormack Reaper</t>
  </si>
  <si>
    <t>Rolling Mill (sheet metal)</t>
  </si>
  <si>
    <t>Steam Sawmill</t>
  </si>
  <si>
    <t>Potter's Wheel</t>
  </si>
  <si>
    <t>Printing Press, Small</t>
  </si>
  <si>
    <t>Printing Press, Rotary</t>
  </si>
  <si>
    <t>Typesetting Machine</t>
  </si>
  <si>
    <t>Sewing Machine</t>
  </si>
  <si>
    <t>Spinning Wheel</t>
  </si>
  <si>
    <t>Hydraulic Spinning Machine</t>
  </si>
  <si>
    <t>Weaving Loom, Small</t>
  </si>
  <si>
    <t>Weaving Loom, Large</t>
  </si>
  <si>
    <t>Weaving Loom, Pattern-weaving</t>
  </si>
  <si>
    <t>Weaving Loom, Semi-automatic</t>
  </si>
  <si>
    <t>Ribbing Machine</t>
  </si>
  <si>
    <t>Wire-drawing Machine</t>
  </si>
  <si>
    <t>Camel, Riding</t>
  </si>
  <si>
    <t>Camel, Racing</t>
  </si>
  <si>
    <t>Camel, Draft</t>
  </si>
  <si>
    <t>Elephant</t>
  </si>
  <si>
    <t>Horse, Light</t>
  </si>
  <si>
    <t>Horse, Medium</t>
  </si>
  <si>
    <t>Horse, Heavy</t>
  </si>
  <si>
    <t>Bull</t>
  </si>
  <si>
    <t>Calf</t>
  </si>
  <si>
    <t>Ox</t>
  </si>
  <si>
    <t>Goat</t>
  </si>
  <si>
    <t>Pig</t>
  </si>
  <si>
    <t>Suckling Pig</t>
  </si>
  <si>
    <t>Sheep, Coarse Wool</t>
  </si>
  <si>
    <t>Sheep, Fine Wool</t>
  </si>
  <si>
    <t>Lamb, Course Wool</t>
  </si>
  <si>
    <t>Lamb, Fine Wool</t>
  </si>
  <si>
    <t>Wagon, Small (2-horse)</t>
  </si>
  <si>
    <t>Wagon, Large (4-horse)</t>
  </si>
  <si>
    <t>Conestoga Wagon (4-6 horse)</t>
  </si>
  <si>
    <t>Pony Cart</t>
  </si>
  <si>
    <t>Surrey (2-horse)</t>
  </si>
  <si>
    <t>Carriage (2-horse)</t>
  </si>
  <si>
    <t>Carriage (4-horse)</t>
  </si>
  <si>
    <t>Closed Coach (2-horse)</t>
  </si>
  <si>
    <t>Cart (1-horse)</t>
  </si>
  <si>
    <t>Closed Coach (4-horse)</t>
  </si>
  <si>
    <t>Stage Coach (4-6 horse)</t>
  </si>
  <si>
    <t>Gig (1-horse)</t>
  </si>
  <si>
    <t>Buggy (1-2 horse)</t>
  </si>
  <si>
    <t>Howdah</t>
  </si>
  <si>
    <t>Paddle</t>
  </si>
  <si>
    <t>Oar</t>
  </si>
  <si>
    <t>Canoe</t>
  </si>
  <si>
    <t>Boat, Small (4 people)</t>
  </si>
  <si>
    <t>Boat, Large (8 people)</t>
  </si>
  <si>
    <t>Longboat (16 people)</t>
  </si>
  <si>
    <t>Mast &amp; Sail</t>
  </si>
  <si>
    <t>Steam Locomotive</t>
  </si>
  <si>
    <t>Refrigerator Car</t>
  </si>
  <si>
    <t>Stable/Cattle Car</t>
  </si>
  <si>
    <t>Boxcar</t>
  </si>
  <si>
    <t>Passenger Car</t>
  </si>
  <si>
    <t>Pullman Sleeper Car</t>
  </si>
  <si>
    <t>Dining Car</t>
  </si>
  <si>
    <t>Mail Car</t>
  </si>
  <si>
    <t>Baggage Car</t>
  </si>
  <si>
    <t>Flatbed Car</t>
  </si>
  <si>
    <t>Caboose</t>
  </si>
  <si>
    <t>Private Railroad Car</t>
  </si>
  <si>
    <t>Fatale</t>
  </si>
  <si>
    <t>Male</t>
  </si>
  <si>
    <t>5' 08"</t>
  </si>
  <si>
    <t>Nicholas</t>
  </si>
  <si>
    <t>Camel</t>
  </si>
  <si>
    <t>List 1</t>
  </si>
  <si>
    <t>List 2</t>
  </si>
  <si>
    <t>List 3</t>
  </si>
  <si>
    <t>Houri</t>
  </si>
  <si>
    <t>Lores (bard)</t>
  </si>
  <si>
    <t>Glamours (witch)</t>
  </si>
  <si>
    <t>Controlling Songs (bard)</t>
  </si>
  <si>
    <t>Mind Mastery (closed mentalism)</t>
  </si>
  <si>
    <t>Mind Subversion (evil mentalism)</t>
  </si>
  <si>
    <t>Alluring Ways (houri)</t>
  </si>
  <si>
    <t>Kisses (houri)</t>
  </si>
  <si>
    <t>Houri's Change (houri)</t>
  </si>
  <si>
    <t>Influences (houri)</t>
  </si>
  <si>
    <t>Entertaining Ways (bard)</t>
  </si>
  <si>
    <t>Inspiring Songs (bard)</t>
  </si>
  <si>
    <t>Item Lore (bard)</t>
  </si>
  <si>
    <t>Sound Control (bard)</t>
  </si>
  <si>
    <t>Sound Projection (bard)</t>
  </si>
  <si>
    <t>Concealment Mastery (dabbler)</t>
  </si>
  <si>
    <t>Influences (dabbler)</t>
  </si>
  <si>
    <t>Guises (ilusionist)</t>
  </si>
  <si>
    <t>Houri's Beguilement</t>
  </si>
  <si>
    <t>Houri's Kiss</t>
  </si>
  <si>
    <t>Assassination Mastery (magent)</t>
  </si>
  <si>
    <t>Disguise Mastery (magent)</t>
  </si>
  <si>
    <t>Escapes (magent)</t>
  </si>
  <si>
    <t>Gathering Secrets (magent)</t>
  </si>
  <si>
    <t>Misdirections (magent)</t>
  </si>
  <si>
    <t>Poison Mastery (magent)</t>
  </si>
  <si>
    <t>Bolt, Ice</t>
  </si>
  <si>
    <t>Bindery Glue</t>
  </si>
  <si>
    <t>Calculating Machine</t>
  </si>
  <si>
    <t>Calculation Machine, IBM</t>
  </si>
  <si>
    <t>Paint, Watercolour</t>
  </si>
  <si>
    <t>Typewriter</t>
  </si>
  <si>
    <t>Blackboard, Slate</t>
  </si>
  <si>
    <t>Writing Tablet, Slate</t>
  </si>
  <si>
    <t>Writing Tablet, Paper</t>
  </si>
  <si>
    <t>Electrometer</t>
  </si>
  <si>
    <t>Electromagnet</t>
  </si>
  <si>
    <t>Farraday Motor, Electric</t>
  </si>
  <si>
    <t>Microscope</t>
  </si>
  <si>
    <t>Fishing Rod &amp; Reel, light</t>
  </si>
  <si>
    <t>Fishing Rod &amp; Reel, heavy</t>
  </si>
  <si>
    <t>Fishing Net (medium)</t>
  </si>
  <si>
    <t>Aspergill, Gold-plated</t>
  </si>
  <si>
    <t>Aspergill, Silver</t>
  </si>
  <si>
    <t>Aspergill, Brass</t>
  </si>
  <si>
    <t>Bell, Church</t>
  </si>
  <si>
    <t>Bell, Orchestra</t>
  </si>
  <si>
    <t>Calliope, Steam</t>
  </si>
  <si>
    <t>Harpsichord, Antique</t>
  </si>
  <si>
    <t>Piano, Upright</t>
  </si>
  <si>
    <t>Piano, Grand</t>
  </si>
  <si>
    <t>Piano, Player</t>
  </si>
  <si>
    <t>Parlor Organ</t>
  </si>
  <si>
    <t>Pipe Organ</t>
  </si>
  <si>
    <t>175+</t>
  </si>
  <si>
    <t>400+</t>
  </si>
  <si>
    <t>Spit, Mechanical</t>
  </si>
  <si>
    <t>Bed, Wood</t>
  </si>
  <si>
    <t>Bed, Iron</t>
  </si>
  <si>
    <t>Bed, Brass</t>
  </si>
  <si>
    <t>Bed, Bunk</t>
  </si>
  <si>
    <t>Mattress, Feather</t>
  </si>
  <si>
    <t>Mattress, Stuffed</t>
  </si>
  <si>
    <t>Bed Springs</t>
  </si>
  <si>
    <t>Wardrobe</t>
  </si>
  <si>
    <t>Dresser</t>
  </si>
  <si>
    <t>Desk</t>
  </si>
  <si>
    <t>Desk, Rolltop</t>
  </si>
  <si>
    <t>Bookcase</t>
  </si>
  <si>
    <t>Book Stand</t>
  </si>
  <si>
    <t>Table, Wooden (small)</t>
  </si>
  <si>
    <t>Table, Wooden (medium)</t>
  </si>
  <si>
    <t>Table, Wooden (large)</t>
  </si>
  <si>
    <t>Bench, Wicker (2-person)</t>
  </si>
  <si>
    <t>Bench, Wooden (4-person)</t>
  </si>
  <si>
    <t>Bench, Wooden (6-person)</t>
  </si>
  <si>
    <t>Chair, Plain Wooden</t>
  </si>
  <si>
    <t>Chair, Ornate Wooden</t>
  </si>
  <si>
    <t>Carpet Sweeper</t>
  </si>
  <si>
    <t>Carpet, Coarse</t>
  </si>
  <si>
    <t>Carpet, Fine</t>
  </si>
  <si>
    <t>Carpet, Exotic</t>
  </si>
  <si>
    <t>Chandelier, Bronze</t>
  </si>
  <si>
    <t>Chandelier, Wooden</t>
  </si>
  <si>
    <t>Sofa</t>
  </si>
  <si>
    <t>Buffet</t>
  </si>
  <si>
    <t>Heating Stove</t>
  </si>
  <si>
    <t>Kitchen Cook Stove</t>
  </si>
  <si>
    <t>Ironing Board</t>
  </si>
  <si>
    <t>Clothespin</t>
  </si>
  <si>
    <t>Wash Tub</t>
  </si>
  <si>
    <t>Wash Board</t>
  </si>
  <si>
    <t>Glass Window, Pane</t>
  </si>
  <si>
    <t>Plate Glass Window</t>
  </si>
  <si>
    <t>Curtains, Coarse</t>
  </si>
  <si>
    <t>Curtains, Fine</t>
  </si>
  <si>
    <t>Curtains, Ornate</t>
  </si>
  <si>
    <t>Curtains, Exotic</t>
  </si>
  <si>
    <t>Painting, Framed</t>
  </si>
  <si>
    <t>Sculpture, Bronze</t>
  </si>
  <si>
    <t>Sculpture, Marble</t>
  </si>
  <si>
    <t>Tub, Wooden</t>
  </si>
  <si>
    <t>Clock</t>
  </si>
  <si>
    <t>Clock, Pendulum</t>
  </si>
  <si>
    <t>Phonograph</t>
  </si>
  <si>
    <t>Window Shade</t>
  </si>
  <si>
    <t>Vanity Mirror</t>
  </si>
  <si>
    <t>Cravat/Necktie</t>
  </si>
  <si>
    <t>- : Clothing : -</t>
  </si>
  <si>
    <t>- Men's Clothing -</t>
  </si>
  <si>
    <t>- : Animals : -</t>
  </si>
  <si>
    <t>- : Transportation : -</t>
  </si>
  <si>
    <t>- : Food : -</t>
  </si>
  <si>
    <t>- Fresh Bread -</t>
  </si>
  <si>
    <t>- Fresh Meat -</t>
  </si>
  <si>
    <t>- Fish -</t>
  </si>
  <si>
    <t>- Dairy Products -</t>
  </si>
  <si>
    <t>- Fruit and Grain -</t>
  </si>
  <si>
    <t>- Vegetables -</t>
  </si>
  <si>
    <t>- Herbs, Spices and Flavourings -</t>
  </si>
  <si>
    <t>- Preserved Foods -</t>
  </si>
  <si>
    <t>- Beverages -</t>
  </si>
  <si>
    <t>- Pre-packaged Foods -</t>
  </si>
  <si>
    <t>- Candy -</t>
  </si>
  <si>
    <t>- Flours -</t>
  </si>
  <si>
    <t>- Oils -</t>
  </si>
  <si>
    <t>- : Outdoor Survival : -</t>
  </si>
  <si>
    <t>- : Containers : -</t>
  </si>
  <si>
    <t>- : Tools : -</t>
  </si>
  <si>
    <t>- : Machine : -</t>
  </si>
  <si>
    <t>- : Scriptorium : -</t>
  </si>
  <si>
    <t>- : Science : -</t>
  </si>
  <si>
    <t>- : Religious : -</t>
  </si>
  <si>
    <t>- : Musical Instruments : -</t>
  </si>
  <si>
    <t>- : Cooking and Eating : -</t>
  </si>
  <si>
    <t>- : Household : -</t>
  </si>
  <si>
    <t>- Women's Clothing -</t>
  </si>
  <si>
    <t>- Military Clothing -</t>
  </si>
  <si>
    <t>- Armour -</t>
  </si>
  <si>
    <t>- Sewing -</t>
  </si>
  <si>
    <t>- Medicine -</t>
  </si>
  <si>
    <t>Cadaver</t>
  </si>
  <si>
    <t>25-50</t>
  </si>
  <si>
    <t>100-150</t>
  </si>
  <si>
    <t>- Thieves and Spies -</t>
  </si>
  <si>
    <t>Metal File (medium)</t>
  </si>
  <si>
    <t>- Miscellaneous -</t>
  </si>
  <si>
    <t>10' Pole</t>
  </si>
  <si>
    <t>Bicycle</t>
  </si>
  <si>
    <t>Roller Skates (in-line)</t>
  </si>
  <si>
    <t>Billiard Table</t>
  </si>
  <si>
    <t>Billiard Cues</t>
  </si>
  <si>
    <t>Stilt</t>
  </si>
  <si>
    <t>Firework</t>
  </si>
  <si>
    <t>Stock Ticker</t>
  </si>
  <si>
    <t>Stock Ticker, Telegraph Connection</t>
  </si>
  <si>
    <t>Mirror, Silvered Glass</t>
  </si>
  <si>
    <t>Rocking Horse, Wooden</t>
  </si>
  <si>
    <t>- : Typical Weapons : -</t>
  </si>
  <si>
    <t>- Accessories -</t>
  </si>
  <si>
    <t>- Old Firearms -</t>
  </si>
  <si>
    <t>- Modern Firearms -</t>
  </si>
  <si>
    <t>- Old Heavy Firearms -</t>
  </si>
  <si>
    <t>- Modern Heavy Firearms -</t>
  </si>
  <si>
    <t>Agar Gun</t>
  </si>
  <si>
    <t>.58 Hand-cranked Machine Gun, 1861-1865</t>
  </si>
  <si>
    <t>- Ammunition -</t>
  </si>
  <si>
    <t>.32 Heavy Machine Gun, 1875-1876</t>
  </si>
  <si>
    <t>- Ancient Firearms -</t>
  </si>
  <si>
    <t>8 Shot Repeating Flintlock Rifle, 1777</t>
  </si>
  <si>
    <t>Belton Flintlock Rifle</t>
  </si>
  <si>
    <t>Belton Flintlock Pistol</t>
  </si>
  <si>
    <t>4 Shot Repeating Flintlock Pistol, 1777</t>
  </si>
  <si>
    <t>British Flintlock Blunderbuss</t>
  </si>
  <si>
    <t>Dragon Blunderbuss</t>
  </si>
  <si>
    <t>British Flintlock Blunderbuss Rifle, 1788-1816</t>
  </si>
  <si>
    <t>Brown Bess, Long</t>
  </si>
  <si>
    <t>Brown Bess, Short</t>
  </si>
  <si>
    <t>Brown Bess, India</t>
  </si>
  <si>
    <t>Brown Bess, New</t>
  </si>
  <si>
    <t>Brown Bess, Sea Service</t>
  </si>
  <si>
    <t>.75 British Muzzle Loading Flintlock Musket, 1722-1864</t>
  </si>
  <si>
    <t>Burnside Carbine</t>
  </si>
  <si>
    <t>.54 Breech-loading Percussion Carbine, 1858-1870</t>
  </si>
  <si>
    <t>Blunderbuss Rifle, 1808-1857</t>
  </si>
  <si>
    <t>Blunderbuss Pistol, 1808-1857</t>
  </si>
  <si>
    <t>.69 French Flintlock Single Shot Rifle, 1717-1840</t>
  </si>
  <si>
    <t>Charleville 1717 Musket</t>
  </si>
  <si>
    <t>Charleville 1728 Musket</t>
  </si>
  <si>
    <t>Charleville 1763 Musket</t>
  </si>
  <si>
    <t>Charleville 1766 Musket</t>
  </si>
  <si>
    <t>Charleville 1770 Musket</t>
  </si>
  <si>
    <t>Charleville 1777 Musket</t>
  </si>
  <si>
    <t>Charleville Carbine</t>
  </si>
  <si>
    <t>Charleville Artillery</t>
  </si>
  <si>
    <t>Charleville Dragoon</t>
  </si>
  <si>
    <t>Charleville Navy</t>
  </si>
  <si>
    <t>.69 French Flintlock Single Shot Rifle, 1728-1840</t>
  </si>
  <si>
    <t>.69 French Flintlock Single Shot Rifle, 1763-1840</t>
  </si>
  <si>
    <t>.69 French Flintlock Single Shot Rifle, 1766-1840</t>
  </si>
  <si>
    <t>.69 French Flintlock Single Shot Rifle, 1770-1840</t>
  </si>
  <si>
    <t>.69 French Flintlock Single Shot Rifle, 1777-1840</t>
  </si>
  <si>
    <t>10 Gauge Coach Gun, Short</t>
  </si>
  <si>
    <t>10 Gauge Coach Gun, Long</t>
  </si>
  <si>
    <t>12 Gauge Coach Gun, Short</t>
  </si>
  <si>
    <t>12 Gauge Coach Gun, Long</t>
  </si>
  <si>
    <t>- Modern Shotguns -</t>
  </si>
  <si>
    <t>Colt 1851 Navy Revolver</t>
  </si>
  <si>
    <t>.36 Single-action 6 Shot Revolver, 1851-1878</t>
  </si>
  <si>
    <t>Colt Army Model 1860</t>
  </si>
  <si>
    <t>.44 Single-action 6 Shot Revolver, 1860-1873</t>
  </si>
  <si>
    <t>Whitneyville Hartford Dragoon Revolver</t>
  </si>
  <si>
    <t>.44 Single-action 6 Shot Revolver, 1847-1848</t>
  </si>
  <si>
    <t>First Model Colt Dragoon Revolver</t>
  </si>
  <si>
    <t>Second Model Colt Dragoon Revolver</t>
  </si>
  <si>
    <t>Third Model Colt Dragoon Revolver</t>
  </si>
  <si>
    <t>.44 Single-action 6 Shot Revolver, 1848-1850</t>
  </si>
  <si>
    <t>.44 Single-action 6 Shot Revolver, 1850-1851</t>
  </si>
  <si>
    <t>.44 Single-action 6 Shot Revolver, 1851-1860</t>
  </si>
  <si>
    <t>Colt Walker</t>
  </si>
  <si>
    <t>.44 Single-action 6 Shot Revolver, 1846-1864</t>
  </si>
  <si>
    <t>Colt 1848 Pocket Revolver</t>
  </si>
  <si>
    <t>.24 Colt 1848 Pocket Pistol</t>
  </si>
  <si>
    <t>.24 Single-action 6 Shot Revolver, 1847-1848</t>
  </si>
  <si>
    <t>.44 Single-action 6 Shot Revolver, 1849-1860</t>
  </si>
  <si>
    <t>.31 Colt 1849 Pocket Pistol</t>
  </si>
  <si>
    <t>.31 Single-action 6 Shot Revolver, 1849-1851</t>
  </si>
  <si>
    <t>.36 Colt Pocket Police Pistol</t>
  </si>
  <si>
    <t>.36 Single-action 5 Shot Revolver, 1862-1873</t>
  </si>
  <si>
    <t>.45 Single-action 6 Shot Revolver, 1873-1892</t>
  </si>
  <si>
    <t>Colt Single Action Army 'Civilian'</t>
  </si>
  <si>
    <t>Colt Single Action Army 'Sheriffs'</t>
  </si>
  <si>
    <t>Colt Single Action Army 'Artillery'</t>
  </si>
  <si>
    <t>Colt Single Action Army 'Cavalry'</t>
  </si>
  <si>
    <t>.44 Colt Single Action Army</t>
  </si>
  <si>
    <t>.44 Henry Single-action 6 Shot Revolver, 1875-1880</t>
  </si>
  <si>
    <t>Colt M1861 Navy Revolver</t>
  </si>
  <si>
    <t>.36 Single-action 6 Shot Revolver, 1861-1873</t>
  </si>
  <si>
    <t>.38 Single-action 6 Shot Revolver, 1869-1873</t>
  </si>
  <si>
    <t>Colt M1861 'Richards-Mason' Revolver</t>
  </si>
  <si>
    <t>.34 Colt New Model Revolving Rifle</t>
  </si>
  <si>
    <t>.36 Colt New Model Revolving Rifle</t>
  </si>
  <si>
    <t>.38 Colt New Model Revolving Rifle</t>
  </si>
  <si>
    <t>.40 Colt New Model Revolving Rifle</t>
  </si>
  <si>
    <t>.44 Colt New Model Revolving Rifle</t>
  </si>
  <si>
    <t>.34 6 Shot Ring-lever Repeating Rifle, 1856-1864</t>
  </si>
  <si>
    <t>.36 6 Shot Ring-lever Repeating Rifle, 1856-1864</t>
  </si>
  <si>
    <t>.38 6 Shot Ring-lever Repeating Rifle, 1856-1864</t>
  </si>
  <si>
    <t>.40 6 Shot Ring-lever Repeating Rifle, 1856-1864</t>
  </si>
  <si>
    <t>.44 6 Shot Ring-lever Repeating Rifle, 1856-1864</t>
  </si>
  <si>
    <t>.56 Colt New Model Revolving Rifle</t>
  </si>
  <si>
    <t>.56 5 Shot Ring-lever Repeating Rifle, 1856-1864</t>
  </si>
  <si>
    <t>.34 Colt New Model Revolving Rifle, Stub</t>
  </si>
  <si>
    <t>.34 Colt New Model Revolving Rifle, Short</t>
  </si>
  <si>
    <t>.34 Colt New Model Revolving Rifle, Large</t>
  </si>
  <si>
    <t>Clothes &amp; Armour</t>
  </si>
  <si>
    <t>Cowboy Boots, Plain, Heavy</t>
  </si>
  <si>
    <t>Coat, Linen, Standard</t>
  </si>
  <si>
    <t>Cravat/Necktie, Fancy</t>
  </si>
  <si>
    <t>Gloves, Leather, Plain</t>
  </si>
  <si>
    <t>Shirt, Linen, Plain</t>
  </si>
  <si>
    <t>Shoes, Normal, Mens, Plain</t>
  </si>
  <si>
    <t>- Horse Armour -</t>
  </si>
  <si>
    <t>- : Horse : -</t>
  </si>
  <si>
    <t>- Tack and Harness -</t>
  </si>
  <si>
    <t>.36 Colt New Model Revolving Rifle, Short</t>
  </si>
  <si>
    <t>.36 Colt New Model Revolving Rifle, Long</t>
  </si>
  <si>
    <t>.36 Colt New Model Revolving Rifle, Stub</t>
  </si>
  <si>
    <t>.38 Colt New Model Revolving Rifle, Stub</t>
  </si>
  <si>
    <t>.38 Colt New Model Revolving Rifle, Short</t>
  </si>
  <si>
    <t>.38 Colt New Model Revolving Rifle, Long</t>
  </si>
  <si>
    <t>.40 Colt New Model Revolving Rifle, Stub</t>
  </si>
  <si>
    <t>.40 Colt New Model Revolving Rifle, Short</t>
  </si>
  <si>
    <t>.40 Colt New Model Revolving Rifle, Long</t>
  </si>
  <si>
    <t>.44 Colt New Model Revolving Rifle, Stub</t>
  </si>
  <si>
    <t>.44 Colt New Model Revolving Rifle, Short</t>
  </si>
  <si>
    <t>.44 Colt New Model Revolving Rifle, Long</t>
  </si>
  <si>
    <t>.56 Colt New Model Revolving Rifle, Stub</t>
  </si>
  <si>
    <t>.56 Colt New Model Revolving Rifle, Short</t>
  </si>
  <si>
    <t>.56 Colt New Model Revolving Rifle, Long</t>
  </si>
  <si>
    <t>Confederate Revolving Cannon</t>
  </si>
  <si>
    <t>2.0 Percussion 5 Shot Cannon, 1861-1865</t>
  </si>
  <si>
    <t>.42 Gatling Gun</t>
  </si>
  <si>
    <t>.42 Crank Handle 6-10 Barrel Machine Gun, 1862-1911</t>
  </si>
  <si>
    <t>.45-70 Gatling Gun</t>
  </si>
  <si>
    <t>.50 Gatling Gun</t>
  </si>
  <si>
    <t>1" Gatling Gun</t>
  </si>
  <si>
    <t>.45-70 Crank Handle 6-10 Barrel Machine Gun, 1862-1911</t>
  </si>
  <si>
    <t>.50 Crank Handle 6-10 Barrel Machine Gun, 1862-1911</t>
  </si>
  <si>
    <t>1" Crank Handle 6-10 Barrel Machine Gun, 1862-1911</t>
  </si>
  <si>
    <t>.44 Henry Repeating Rifle</t>
  </si>
  <si>
    <t>.44 Breech-loading Lever-action 16 Shot Rifle, 1860-1866</t>
  </si>
  <si>
    <t>Winchester Rifle</t>
  </si>
  <si>
    <t>1866-1940</t>
  </si>
  <si>
    <t>.44 Colt Cartridge</t>
  </si>
  <si>
    <t>Short Dagger</t>
  </si>
  <si>
    <t>- Weapons, Secondary -</t>
  </si>
  <si>
    <t>Belton Flintlock Rifle (club)</t>
  </si>
  <si>
    <t>Belton Flintlock Pistol (club)</t>
  </si>
  <si>
    <t>Philadelphia Deringer (club)</t>
  </si>
  <si>
    <t>Philadelphia Deringer, Stub (club)</t>
  </si>
  <si>
    <t>Philadelphia Deringer, Long (club)</t>
  </si>
  <si>
    <t>.22 Sharps Derringer (club)</t>
  </si>
  <si>
    <t>.22 Sharps Derringer, Long (club)</t>
  </si>
  <si>
    <t>.30 Sharps Derringer (club)</t>
  </si>
  <si>
    <t>.30 Sharps Derringer, Long (club)</t>
  </si>
  <si>
    <t>.32 Rimfire Sharps Derringer (club)</t>
  </si>
  <si>
    <t>.32 Rimfire Sharps Derringer, Stub (club)</t>
  </si>
  <si>
    <t>.32 Rimfire Sharps Derringer, Long (club)</t>
  </si>
  <si>
    <t>.38 Rimfire Moore Derringer (club)</t>
  </si>
  <si>
    <t>.41 Rimfire Army Derringer (club)</t>
  </si>
  <si>
    <t>.28 Colt Paterson Revolver (club)</t>
  </si>
  <si>
    <t>.36 Colt Paterson Revolver (club)</t>
  </si>
  <si>
    <t>.36 Colt Paterson Revolver, Long (club)</t>
  </si>
  <si>
    <t>.28 Colt Paterson Lever-action Revolver (club)</t>
  </si>
  <si>
    <t>.36 Colt Paterson Lever-action Revolver (club)</t>
  </si>
  <si>
    <t>.36 Colt Paterson Lever-action Revolver, Long (club)</t>
  </si>
  <si>
    <t>.54 U.S. M1841 (mississippi) Rifle (club)</t>
  </si>
  <si>
    <t>.58 U.S. M1855 Rifle (club)</t>
  </si>
  <si>
    <t>.58 Harpers Ferry M1855 Rifle, Short (club)</t>
  </si>
  <si>
    <t>.58 U.S. M1861 (Springfield) Rifle (club)</t>
  </si>
  <si>
    <t>.58 U.S. M1863 (Springfield) Rifle (club)</t>
  </si>
  <si>
    <t>.577 British P1853 Enfield (club)</t>
  </si>
  <si>
    <t>.58 British P1861 Enfield Musketoon (club)</t>
  </si>
  <si>
    <t>.577 British P1866 Snider-Enfield Rifle (club)</t>
  </si>
  <si>
    <t>.577 British P1866 Snider-Enfield Rifle, Long (club)</t>
  </si>
  <si>
    <t>.577 British P1866 Snider-Enfield Rifle, Short (club)</t>
  </si>
  <si>
    <t>.577 British P1866 Snider-Enfield Cavalry Carbine (club)</t>
  </si>
  <si>
    <t>.577 British P1866 Snider-Enfield Artillery Carbine (club)</t>
  </si>
  <si>
    <t>British Flintlock Blunderbuss (club)</t>
  </si>
  <si>
    <t>Harper's Ferry Blunderbuss (club)</t>
  </si>
  <si>
    <t>Dragon Blunderbuss (club)</t>
  </si>
  <si>
    <t>Brown Bess, Long (club)</t>
  </si>
  <si>
    <t>Brown Bess, Short (club)</t>
  </si>
  <si>
    <t>Brown Bess, India (club)</t>
  </si>
  <si>
    <t>Brown Bess, New (club)</t>
  </si>
  <si>
    <t>Brown Bess, Sea Service (club)</t>
  </si>
  <si>
    <t>Burnside Carbine (club)</t>
  </si>
  <si>
    <t>Charleville 1717 Musket (club)</t>
  </si>
  <si>
    <t>Charleville 1728 Musket (club)</t>
  </si>
  <si>
    <t>Charleville 1763 Musket (club)</t>
  </si>
  <si>
    <t>Charleville 1766 Musket (club)</t>
  </si>
  <si>
    <t>Charleville 1770 Musket (club)</t>
  </si>
  <si>
    <t>Charleville 1777 Musket (club)</t>
  </si>
  <si>
    <t>Charleville Carbine (club)</t>
  </si>
  <si>
    <t>Charleville Artillery (club)</t>
  </si>
  <si>
    <t>Charleville Dragoon (club)</t>
  </si>
  <si>
    <t>Charleville Navy (club)</t>
  </si>
  <si>
    <t>Colt Walker (club)</t>
  </si>
  <si>
    <t>Whitneyville Hartford Dragoon Revolver (club)</t>
  </si>
  <si>
    <t>First Model Colt Dragoon Revolver (club)</t>
  </si>
  <si>
    <t>Second Model Colt Dragoon Revolver (club)</t>
  </si>
  <si>
    <t>Third Model Colt Dragoon Revolver (club)</t>
  </si>
  <si>
    <t>.24 Colt 1848 Pocket Pistol (club)</t>
  </si>
  <si>
    <t>.31 Colt 1849 Pocket Pistol (club)</t>
  </si>
  <si>
    <t>Colt 1848 Pocket Revolver (club)</t>
  </si>
  <si>
    <t>.34 Colt New Model Revolving Rifle, Stub (club)</t>
  </si>
  <si>
    <t>.34 Colt New Model Revolving Rifle, Short (club)</t>
  </si>
  <si>
    <t>.34 Colt New Model Revolving Rifle (club)</t>
  </si>
  <si>
    <t>.34 Colt New Model Revolving Rifle, Large (club)</t>
  </si>
  <si>
    <t>.36 Colt New Model Revolving Rifle, Stub (club)</t>
  </si>
  <si>
    <t>.36 Colt New Model Revolving Rifle, Short (club)</t>
  </si>
  <si>
    <t>.36 Colt New Model Revolving Rifle (club)</t>
  </si>
  <si>
    <t>.36 Colt New Model Revolving Rifle, Long (club)</t>
  </si>
  <si>
    <t>.38 Colt New Model Revolving Rifle, Stub (club)</t>
  </si>
  <si>
    <t>.38 Colt New Model Revolving Rifle, Short (club)</t>
  </si>
  <si>
    <t>.38 Colt New Model Revolving Rifle (club)</t>
  </si>
  <si>
    <t>.38 Colt New Model Revolving Rifle, Long (club)</t>
  </si>
  <si>
    <t>.40 Colt New Model Revolving Rifle, Stub (club)</t>
  </si>
  <si>
    <t>.40 Colt New Model Revolving Rifle, Short (club)</t>
  </si>
  <si>
    <t>.40 Colt New Model Revolving Rifle (club)</t>
  </si>
  <si>
    <t>.40 Colt New Model Revolving Rifle, Long (club)</t>
  </si>
  <si>
    <t>.44 Colt New Model Revolving Rifle, Stub (club)</t>
  </si>
  <si>
    <t>.44 Colt New Model Revolving Rifle, Short (club)</t>
  </si>
  <si>
    <t>.44 Colt New Model Revolving Rifle (club)</t>
  </si>
  <si>
    <t>.44 Colt New Model Revolving Rifle, Long (club)</t>
  </si>
  <si>
    <t>.56 Colt New Model Revolving Rifle, Stub (club)</t>
  </si>
  <si>
    <t>.56 Colt New Model Revolving Rifle, Short (club)</t>
  </si>
  <si>
    <t>.56 Colt New Model Revolving Rifle (club)</t>
  </si>
  <si>
    <t>.56 Colt New Model Revolving Rifle, Long (club)</t>
  </si>
  <si>
    <t>.44 Henry Repeating Rifle (club)</t>
  </si>
  <si>
    <t>Colt Army Model 1860 (club)</t>
  </si>
  <si>
    <t>Colt M1861 Navy Revolver (club)</t>
  </si>
  <si>
    <t>Colt M1861 'Richards-Mason' Revolver (club)</t>
  </si>
  <si>
    <t>.36 Colt Pocket Police Pistol (club)</t>
  </si>
  <si>
    <t>Remington Model 95 Derringer (club)</t>
  </si>
  <si>
    <t>Winchester Rifle (club)</t>
  </si>
  <si>
    <t>MAS 1873 Revolver (club)</t>
  </si>
  <si>
    <t>MAS 1874 Revolver d'Officier (club)</t>
  </si>
  <si>
    <t>Colt 1851 Navy Revolver (club)</t>
  </si>
  <si>
    <t>Colt Single Action Army 'Sheriffs' (club)</t>
  </si>
  <si>
    <t>Colt Single Action Army 'Civilian' (club)</t>
  </si>
  <si>
    <t>Colt Single Action Army 'Artillery' (club)</t>
  </si>
  <si>
    <t>Colt Single Action Army 'Cavalry' (club)</t>
  </si>
  <si>
    <t>.44 Colt Single Action Army (club)</t>
  </si>
  <si>
    <t>10 Gauge Coach Gun, Short (club)</t>
  </si>
  <si>
    <t>10 Gauge Coach Gun (club)</t>
  </si>
  <si>
    <t>10 Gauge Coach Gun, Long (club)</t>
  </si>
  <si>
    <t>12 Gauge Coach Gun, Short (club)</t>
  </si>
  <si>
    <t>12 Gauge Coach Gun (club)</t>
  </si>
  <si>
    <t>12 Gauge Coach Gun, Long (club)</t>
  </si>
  <si>
    <t>Fighting Stick</t>
  </si>
  <si>
    <t>Cudgel (Thrown)</t>
  </si>
  <si>
    <t>Flail</t>
  </si>
  <si>
    <t>War Hammer</t>
  </si>
  <si>
    <t>- Weapon Accessories -</t>
  </si>
  <si>
    <t>1-2</t>
  </si>
  <si>
    <t>0.5-0.75</t>
  </si>
  <si>
    <t>Gunbelt &amp; Holster, Sturdy</t>
  </si>
  <si>
    <t>Woodcutter</t>
  </si>
  <si>
    <t>Russian</t>
  </si>
  <si>
    <t>R</t>
  </si>
  <si>
    <t xml:space="preserve">Agility  </t>
  </si>
  <si>
    <t xml:space="preserve">Constitution  </t>
  </si>
  <si>
    <t xml:space="preserve">Empathy  </t>
  </si>
  <si>
    <t xml:space="preserve">Intuition  </t>
  </si>
  <si>
    <t xml:space="preserve">Memory  </t>
  </si>
  <si>
    <t xml:space="preserve">Presence  </t>
  </si>
  <si>
    <t xml:space="preserve">Quickness  </t>
  </si>
  <si>
    <t xml:space="preserve">Reasoning  </t>
  </si>
  <si>
    <t xml:space="preserve">Self Discipline  </t>
  </si>
  <si>
    <t xml:space="preserve">Strength  </t>
  </si>
  <si>
    <t>Spells</t>
  </si>
  <si>
    <t>Mastery</t>
  </si>
  <si>
    <t>Spell Mods</t>
  </si>
  <si>
    <t>Hybrid</t>
  </si>
  <si>
    <t>Open Channeling</t>
  </si>
  <si>
    <t>Open Essence</t>
  </si>
  <si>
    <t>Open Mentalism</t>
  </si>
  <si>
    <t>Healer Base Lists</t>
  </si>
  <si>
    <t>Barrier Law</t>
  </si>
  <si>
    <t>Delving Ways</t>
  </si>
  <si>
    <t>Anticipations</t>
  </si>
  <si>
    <t>Cleansing</t>
  </si>
  <si>
    <t>Concussion's Way</t>
  </si>
  <si>
    <t>Detecting Ways</t>
  </si>
  <si>
    <t>Attack Avoidance</t>
  </si>
  <si>
    <t>Blood Ways</t>
  </si>
  <si>
    <t>Detection Mastery</t>
  </si>
  <si>
    <t>Elemental Shields</t>
  </si>
  <si>
    <t>Brilliance</t>
  </si>
  <si>
    <t>Bone Ways</t>
  </si>
  <si>
    <t>Light's Way</t>
  </si>
  <si>
    <t>Essence's Hand</t>
  </si>
  <si>
    <t>Cloaking</t>
  </si>
  <si>
    <t>Muscle Ways</t>
  </si>
  <si>
    <t>Lofty Movements</t>
  </si>
  <si>
    <t>Essence's Perceptions</t>
  </si>
  <si>
    <t>Damage Resistance</t>
  </si>
  <si>
    <t>Organ Ways</t>
  </si>
  <si>
    <t>Nature's Law</t>
  </si>
  <si>
    <t>Lesser Illusions</t>
  </si>
  <si>
    <t>Surface Ways</t>
  </si>
  <si>
    <t>Purifications</t>
  </si>
  <si>
    <t>Physical Enhancement</t>
  </si>
  <si>
    <t>Detections</t>
  </si>
  <si>
    <t>Sound's Way</t>
  </si>
  <si>
    <t>Rune Mastery</t>
  </si>
  <si>
    <t>Seemings</t>
  </si>
  <si>
    <t>Mystic Base Lists</t>
  </si>
  <si>
    <t>Spell Defense</t>
  </si>
  <si>
    <t>Spell Wall</t>
  </si>
  <si>
    <t>Spell Resistance</t>
  </si>
  <si>
    <t>Confusing Ways</t>
  </si>
  <si>
    <t>Weather Ways</t>
  </si>
  <si>
    <t>Unbarring Ways</t>
  </si>
  <si>
    <t>Telekinesis</t>
  </si>
  <si>
    <t>Gas Alteration</t>
  </si>
  <si>
    <t>Hiding</t>
  </si>
  <si>
    <t>Closed Channeling</t>
  </si>
  <si>
    <t>Closed Essence</t>
  </si>
  <si>
    <t>Closed Mentalism</t>
  </si>
  <si>
    <t>Liquid Alteration</t>
  </si>
  <si>
    <t>Blood Law</t>
  </si>
  <si>
    <t>Dispelling Ways</t>
  </si>
  <si>
    <t>Gas Manipulation</t>
  </si>
  <si>
    <t>Mystical Change</t>
  </si>
  <si>
    <t>Bone Law</t>
  </si>
  <si>
    <t>Fluid Elements</t>
  </si>
  <si>
    <t>Liquid Manipulation</t>
  </si>
  <si>
    <t>Solid Alteration</t>
  </si>
  <si>
    <t>Calm Spirits</t>
  </si>
  <si>
    <t>Gate Mastery</t>
  </si>
  <si>
    <t>Mind's Door</t>
  </si>
  <si>
    <t>Creations</t>
  </si>
  <si>
    <t>Invisible Ways</t>
  </si>
  <si>
    <t>Mind Mastery</t>
  </si>
  <si>
    <t>Sorcerer Base Lists</t>
  </si>
  <si>
    <t>Locating Ways</t>
  </si>
  <si>
    <t>Living Change</t>
  </si>
  <si>
    <t>Flesh Destruction</t>
  </si>
  <si>
    <t>Lofty Bridge</t>
  </si>
  <si>
    <t>Self Healing</t>
  </si>
  <si>
    <t>Fluid Destruction</t>
  </si>
  <si>
    <t>Mounted Ways</t>
  </si>
  <si>
    <t>Luminous Elements</t>
  </si>
  <si>
    <t>Sense Mastery</t>
  </si>
  <si>
    <t>Gas Destruction</t>
  </si>
  <si>
    <t>Muscle Law</t>
  </si>
  <si>
    <t>Rapid Ways</t>
  </si>
  <si>
    <t>Shifting</t>
  </si>
  <si>
    <t>Mind Destruction</t>
  </si>
  <si>
    <t>Nerve &amp; Organ Law</t>
  </si>
  <si>
    <t>Shield Mastery</t>
  </si>
  <si>
    <t>Solid Manipulation</t>
  </si>
  <si>
    <t>Solid Destruction</t>
  </si>
  <si>
    <t>Symbolic Ways</t>
  </si>
  <si>
    <t>Solid Elements</t>
  </si>
  <si>
    <t>Speed</t>
  </si>
  <si>
    <t>Soul Destruction</t>
  </si>
  <si>
    <t>Spell Enhancement</t>
  </si>
  <si>
    <t>Cleric Base Lists</t>
  </si>
  <si>
    <t>Spell Reins</t>
  </si>
  <si>
    <t>Lay Healer Base Lists</t>
  </si>
  <si>
    <t>Channels</t>
  </si>
  <si>
    <t>Spirit Mastery</t>
  </si>
  <si>
    <t>Blood Mastery</t>
  </si>
  <si>
    <t>Communal Ways</t>
  </si>
  <si>
    <t>Bone Mastery</t>
  </si>
  <si>
    <t>Life Mastery</t>
  </si>
  <si>
    <t>Bard Base Lists</t>
  </si>
  <si>
    <t>Concussion Mastery</t>
  </si>
  <si>
    <t>Protections</t>
  </si>
  <si>
    <t>Controlling Songs</t>
  </si>
  <si>
    <t>Muscle Mastery</t>
  </si>
  <si>
    <t>Repulsions</t>
  </si>
  <si>
    <t>Entertaining Ways</t>
  </si>
  <si>
    <t>Nerve and Organ Mastery</t>
  </si>
  <si>
    <t>Summons</t>
  </si>
  <si>
    <t>Inspiring Songs</t>
  </si>
  <si>
    <t>Prosthetics</t>
  </si>
  <si>
    <t>Item Lore</t>
  </si>
  <si>
    <t>Druid Base Lists</t>
  </si>
  <si>
    <t>Sound Control</t>
  </si>
  <si>
    <t>Magent Base Lists</t>
  </si>
  <si>
    <t>Animal Mastery</t>
  </si>
  <si>
    <t>Sound Projection</t>
  </si>
  <si>
    <t>Assassination Mastery</t>
  </si>
  <si>
    <t>Herb Mastery</t>
  </si>
  <si>
    <t>Disguise Mastery</t>
  </si>
  <si>
    <t>Nature's Lore</t>
  </si>
  <si>
    <t>Dabbler Base Lists</t>
  </si>
  <si>
    <t>Escapes</t>
  </si>
  <si>
    <t>Nature's Protection</t>
  </si>
  <si>
    <t>Concealment Mastery</t>
  </si>
  <si>
    <t>Gathering Secrets</t>
  </si>
  <si>
    <t>Nature's Wrath</t>
  </si>
  <si>
    <t>Influences</t>
  </si>
  <si>
    <t>Misdirections</t>
  </si>
  <si>
    <t>Plant Mastery</t>
  </si>
  <si>
    <t>Mechanisms</t>
  </si>
  <si>
    <t>Movement Mastery</t>
  </si>
  <si>
    <t>Paladin Base Lists</t>
  </si>
  <si>
    <t>Senses</t>
  </si>
  <si>
    <t>Mentalist Base Lists</t>
  </si>
  <si>
    <t>Cursebreaking</t>
  </si>
  <si>
    <t>Trade Mastery</t>
  </si>
  <si>
    <t>Mind Attack</t>
  </si>
  <si>
    <t>Holy Arms</t>
  </si>
  <si>
    <t>Mind Control</t>
  </si>
  <si>
    <t>Holy Healing</t>
  </si>
  <si>
    <t>Illusionist Base Lists</t>
  </si>
  <si>
    <t>Mind Merge</t>
  </si>
  <si>
    <t>Holy Shields</t>
  </si>
  <si>
    <t>Guises</t>
  </si>
  <si>
    <t>Mind Speech</t>
  </si>
  <si>
    <t>Holy War</t>
  </si>
  <si>
    <t>Illusion Mastery</t>
  </si>
  <si>
    <t>Presence</t>
  </si>
  <si>
    <t>Inspiring Ways</t>
  </si>
  <si>
    <t>Light Molding</t>
  </si>
  <si>
    <t>Sense Control</t>
  </si>
  <si>
    <t>Mind Sense Molding</t>
  </si>
  <si>
    <t>Ranger Base Lists</t>
  </si>
  <si>
    <t>Sense Molding</t>
  </si>
  <si>
    <t>Monk Base Lists</t>
  </si>
  <si>
    <t>Beastly Ways</t>
  </si>
  <si>
    <t>Sound Molding</t>
  </si>
  <si>
    <t>Body Reins</t>
  </si>
  <si>
    <t>Inner Walls</t>
  </si>
  <si>
    <t>Combat Mastery</t>
  </si>
  <si>
    <t>Moving Ways</t>
  </si>
  <si>
    <t>Magician Base Lists</t>
  </si>
  <si>
    <t>Evasions</t>
  </si>
  <si>
    <t>Nature's Guises</t>
  </si>
  <si>
    <t>Earth Law</t>
  </si>
  <si>
    <t>Mind Over Matter</t>
  </si>
  <si>
    <t>Pathmastery</t>
  </si>
  <si>
    <t>Fire Law</t>
  </si>
  <si>
    <t>Monk's Bridge</t>
  </si>
  <si>
    <t>Survival's Way</t>
  </si>
  <si>
    <t>Ice Law</t>
  </si>
  <si>
    <t>Monk's Sense</t>
  </si>
  <si>
    <t>Light Law</t>
  </si>
  <si>
    <t>Evil Channeling Lists</t>
  </si>
  <si>
    <t>Water Law</t>
  </si>
  <si>
    <t>Evil Mentalism Lists</t>
  </si>
  <si>
    <t>Curses</t>
  </si>
  <si>
    <t>Wind Law</t>
  </si>
  <si>
    <t>Mind Death</t>
  </si>
  <si>
    <t>Dark Channels</t>
  </si>
  <si>
    <t>Mind Disease</t>
  </si>
  <si>
    <t>Demonic Pacts</t>
  </si>
  <si>
    <t>Evil Essence Lists</t>
  </si>
  <si>
    <t>Mind Domination</t>
  </si>
  <si>
    <t>Demonic Summons</t>
  </si>
  <si>
    <t>Darkness</t>
  </si>
  <si>
    <t>Mind Erosion</t>
  </si>
  <si>
    <t>Disease</t>
  </si>
  <si>
    <t>Dark Summons</t>
  </si>
  <si>
    <t>Mind Illusions</t>
  </si>
  <si>
    <t>Wounding</t>
  </si>
  <si>
    <t>Essence Twisting</t>
  </si>
  <si>
    <t>Mind Subversion</t>
  </si>
  <si>
    <t>Foul Transformations</t>
  </si>
  <si>
    <t>Necromancy Mastery</t>
  </si>
  <si>
    <t>Necromantic Ways</t>
  </si>
  <si>
    <t>Houri's Kisses</t>
  </si>
  <si>
    <t>Rest.</t>
  </si>
  <si>
    <t>.42 LeMat Revolver</t>
  </si>
  <si>
    <t>.36 LeMat Revolver</t>
  </si>
  <si>
    <t>.36 Cap and Ball Black Powder Revolver, 1856-1865</t>
  </si>
  <si>
    <t>.42 Cap and Ball Black Powder Revolver, 1856-1865</t>
  </si>
  <si>
    <t>.36 LeMat Revolver Carbine</t>
  </si>
  <si>
    <t>.42 LeMat Revolver Carbine</t>
  </si>
  <si>
    <t>.32 Baby LeMat</t>
  </si>
  <si>
    <t>.32 Cap and Ball Black Powder Revolver, 1856-1865</t>
  </si>
  <si>
    <t>Gasser M1870</t>
  </si>
  <si>
    <t>11.3x36mmR 6 Round Cylinder Revolver, 1870-1898</t>
  </si>
  <si>
    <t>Gasser-Kropatschek M1876</t>
  </si>
  <si>
    <t>9mm 6 Round Cylinder Revolver, 1876-1898</t>
  </si>
  <si>
    <t>Remington Pocket M1858</t>
  </si>
  <si>
    <t>Remington Navy M1858</t>
  </si>
  <si>
    <t>Remington Army M1858</t>
  </si>
  <si>
    <t>.31 Percussion Revolver, 1858-1875</t>
  </si>
  <si>
    <t>.36 Percussion Revolver, 1858-1875</t>
  </si>
  <si>
    <t>.44 Percussion Revolver, 1858-1875</t>
  </si>
  <si>
    <t>Remington Conversion cal .46</t>
  </si>
  <si>
    <t>.46 Rimfire Revolver, 1868-1875</t>
  </si>
  <si>
    <t>Remington Rolling Block Rifle</t>
  </si>
  <si>
    <t>Rolling Block Breech Loading Single-shot Rifle, 1867-1918</t>
  </si>
  <si>
    <t>Reload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</si>
</sst>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27" x14ac:knownFonts="1">
    <font>
      <sz val="11"/>
      <color theme="1"/>
      <name val="Calibri"/>
      <family val="2"/>
      <scheme val="minor"/>
    </font>
    <font>
      <b/>
      <sz val="11"/>
      <color theme="1"/>
      <name val="Calibri"/>
      <family val="2"/>
      <scheme val="minor"/>
    </font>
    <font>
      <sz val="11"/>
      <color theme="1"/>
      <name val="Pristina"/>
      <family val="4"/>
    </font>
    <font>
      <sz val="12"/>
      <color theme="1"/>
      <name val="Pristina"/>
      <family val="4"/>
    </font>
    <font>
      <sz val="14"/>
      <color theme="1"/>
      <name val="Pristina"/>
      <family val="4"/>
    </font>
    <font>
      <sz val="16"/>
      <color theme="1"/>
      <name val="Pristina"/>
      <family val="4"/>
    </font>
    <font>
      <sz val="28"/>
      <color theme="1"/>
      <name val="Pristina"/>
      <family val="4"/>
    </font>
    <font>
      <b/>
      <sz val="12"/>
      <color rgb="FFE2EFDA"/>
      <name val="Calibri"/>
      <family val="2"/>
    </font>
    <font>
      <sz val="10"/>
      <color rgb="FF000000"/>
      <name val="Calibri"/>
      <family val="2"/>
    </font>
    <font>
      <sz val="11"/>
      <color rgb="FFC00000"/>
      <name val="Calibri"/>
      <family val="2"/>
    </font>
    <font>
      <b/>
      <sz val="11"/>
      <color rgb="FF000000"/>
      <name val="Calibri"/>
      <family val="2"/>
    </font>
    <font>
      <b/>
      <sz val="11"/>
      <name val="Calibri"/>
      <family val="2"/>
    </font>
    <font>
      <sz val="11"/>
      <color theme="0"/>
      <name val="Calibri"/>
      <family val="2"/>
      <scheme val="minor"/>
    </font>
    <font>
      <sz val="11"/>
      <name val="Calibri"/>
      <family val="2"/>
    </font>
    <font>
      <sz val="11"/>
      <name val="Calibri"/>
      <family val="2"/>
      <scheme val="minor"/>
    </font>
    <font>
      <sz val="11"/>
      <color rgb="FF000000"/>
      <name val="Calibri"/>
      <family val="2"/>
    </font>
    <font>
      <sz val="11"/>
      <color theme="1"/>
      <name val="Calibri"/>
      <family val="2"/>
      <scheme val="minor"/>
    </font>
    <font>
      <b/>
      <sz val="11"/>
      <color rgb="FFFFFFFF"/>
      <name val="Calibri"/>
      <family val="2"/>
    </font>
    <font>
      <sz val="11"/>
      <color theme="7" tint="-0.499984740745262"/>
      <name val="Pristina"/>
      <family val="4"/>
    </font>
    <font>
      <b/>
      <sz val="11"/>
      <color theme="1"/>
      <name val="Pristina"/>
      <family val="4"/>
    </font>
    <font>
      <b/>
      <sz val="12"/>
      <color theme="1"/>
      <name val="Pristina"/>
      <family val="4"/>
    </font>
    <font>
      <b/>
      <sz val="11"/>
      <color theme="7" tint="-0.499984740745262"/>
      <name val="Pristina"/>
      <family val="4"/>
    </font>
    <font>
      <sz val="11"/>
      <name val="Pristina"/>
      <family val="4"/>
    </font>
    <font>
      <b/>
      <sz val="12"/>
      <color theme="7" tint="-0.499984740745262"/>
      <name val="Pristina"/>
      <family val="4"/>
    </font>
    <font>
      <b/>
      <sz val="11"/>
      <color theme="7" tint="-0.249977111117893"/>
      <name val="Pristina"/>
      <family val="4"/>
    </font>
    <font>
      <sz val="16"/>
      <name val="Pristina"/>
      <family val="4"/>
    </font>
    <font>
      <sz val="11"/>
      <color theme="1"/>
      <name val="Calibri"/>
      <family val="2"/>
    </font>
  </fonts>
  <fills count="23">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
      <patternFill patternType="solid">
        <fgColor rgb="FF548235"/>
        <bgColor rgb="FF548235"/>
      </patternFill>
    </fill>
    <fill>
      <patternFill patternType="solid">
        <fgColor rgb="FFC6E0B4"/>
        <bgColor rgb="FFC6E0B4"/>
      </patternFill>
    </fill>
    <fill>
      <patternFill patternType="solid">
        <fgColor rgb="FFE2EFDA"/>
        <bgColor rgb="FFE2EFDA"/>
      </patternFill>
    </fill>
    <fill>
      <patternFill patternType="solid">
        <fgColor rgb="FFBDD7EE"/>
        <bgColor rgb="FFBDD7EE"/>
      </patternFill>
    </fill>
    <fill>
      <patternFill patternType="solid">
        <fgColor rgb="FF9BC2E6"/>
        <bgColor rgb="FF9BC2E6"/>
      </patternFill>
    </fill>
    <fill>
      <patternFill patternType="solid">
        <fgColor rgb="FFA9D08E"/>
        <bgColor rgb="FFA9D08E"/>
      </patternFill>
    </fill>
    <fill>
      <patternFill patternType="solid">
        <fgColor theme="9" tint="0.59999389629810485"/>
        <bgColor rgb="FFE2EFDA"/>
      </patternFill>
    </fill>
    <fill>
      <patternFill patternType="solid">
        <fgColor theme="9" tint="0.79998168889431442"/>
        <bgColor rgb="FFC6E0B4"/>
      </patternFill>
    </fill>
    <fill>
      <patternFill patternType="solid">
        <fgColor theme="9" tint="0.79998168889431442"/>
        <bgColor rgb="FFE2EFDA"/>
      </patternFill>
    </fill>
    <fill>
      <patternFill patternType="solid">
        <fgColor theme="9" tint="0.59999389629810485"/>
        <bgColor rgb="FFC6E0B4"/>
      </patternFill>
    </fill>
    <fill>
      <patternFill patternType="solid">
        <fgColor rgb="FFFFD966"/>
        <bgColor rgb="FFFFD966"/>
      </patternFill>
    </fill>
    <fill>
      <patternFill patternType="solid">
        <fgColor rgb="FFFFF2CC"/>
        <bgColor rgb="FFFFF2CC"/>
      </patternFill>
    </fill>
    <fill>
      <patternFill patternType="solid">
        <fgColor rgb="FFFFE699"/>
        <bgColor rgb="FFFFE699"/>
      </patternFill>
    </fill>
    <fill>
      <patternFill patternType="solid">
        <fgColor theme="7" tint="0.79998168889431442"/>
        <bgColor rgb="FFFFF2CC"/>
      </patternFill>
    </fill>
    <fill>
      <patternFill patternType="solid">
        <fgColor theme="7" tint="0.59999389629810485"/>
        <bgColor rgb="FFFFE699"/>
      </patternFill>
    </fill>
    <fill>
      <patternFill patternType="solid">
        <fgColor theme="7" tint="0.59999389629810485"/>
        <bgColor rgb="FFFFF2CC"/>
      </patternFill>
    </fill>
    <fill>
      <patternFill patternType="solid">
        <fgColor rgb="FFA5A5A5"/>
        <bgColor rgb="FFA5A5A5"/>
      </patternFill>
    </fill>
    <fill>
      <patternFill patternType="solid">
        <fgColor theme="7" tint="0.79998168889431442"/>
        <bgColor rgb="FFFFE699"/>
      </patternFill>
    </fill>
    <fill>
      <patternFill patternType="solid">
        <fgColor rgb="FFFFFAEB"/>
        <bgColor indexed="64"/>
      </patternFill>
    </fill>
  </fills>
  <borders count="9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305496"/>
      </left>
      <right style="medium">
        <color rgb="FF305496"/>
      </right>
      <top style="medium">
        <color rgb="FF305496"/>
      </top>
      <bottom style="medium">
        <color rgb="FF305496"/>
      </bottom>
      <diagonal/>
    </border>
    <border>
      <left style="thin">
        <color rgb="FF000000"/>
      </left>
      <right/>
      <top/>
      <bottom style="thin">
        <color rgb="FF000000"/>
      </bottom>
      <diagonal/>
    </border>
    <border>
      <left style="thin">
        <color rgb="FF000000"/>
      </left>
      <right/>
      <top style="thin">
        <color rgb="FF000000"/>
      </top>
      <bottom style="thin">
        <color indexed="64"/>
      </bottom>
      <diagonal/>
    </border>
    <border>
      <left/>
      <right style="medium">
        <color rgb="FF305496"/>
      </right>
      <top style="thin">
        <color rgb="FF000000"/>
      </top>
      <bottom style="thin">
        <color indexed="64"/>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style="medium">
        <color rgb="FF305496"/>
      </bottom>
      <diagonal/>
    </border>
    <border>
      <left/>
      <right style="medium">
        <color rgb="FF305496"/>
      </right>
      <top/>
      <bottom/>
      <diagonal/>
    </border>
    <border>
      <left/>
      <right style="thin">
        <color rgb="FF000000"/>
      </right>
      <top style="medium">
        <color rgb="FF305496"/>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style="medium">
        <color rgb="FF203764"/>
      </right>
      <top style="thin">
        <color rgb="FF000000"/>
      </top>
      <bottom/>
      <diagonal/>
    </border>
    <border>
      <left style="medium">
        <color rgb="FF203764"/>
      </left>
      <right style="medium">
        <color rgb="FF203764"/>
      </right>
      <top style="medium">
        <color rgb="FF203764"/>
      </top>
      <bottom style="medium">
        <color rgb="FF203764"/>
      </bottom>
      <diagonal/>
    </border>
    <border>
      <left/>
      <right style="medium">
        <color rgb="FF203764"/>
      </right>
      <top/>
      <bottom/>
      <diagonal/>
    </border>
    <border>
      <left/>
      <right style="medium">
        <color rgb="FF203764"/>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1F4E78"/>
      </right>
      <top style="thin">
        <color rgb="FF000000"/>
      </top>
      <bottom/>
      <diagonal/>
    </border>
    <border>
      <left style="medium">
        <color rgb="FF1F4E78"/>
      </left>
      <right style="medium">
        <color rgb="FF1F4E78"/>
      </right>
      <top style="medium">
        <color rgb="FF1F4E78"/>
      </top>
      <bottom style="medium">
        <color rgb="FF1F4E78"/>
      </bottom>
      <diagonal/>
    </border>
    <border>
      <left style="thin">
        <color rgb="FF000000"/>
      </left>
      <right style="medium">
        <color rgb="FF1F4E78"/>
      </right>
      <top/>
      <bottom/>
      <diagonal/>
    </border>
    <border>
      <left style="thin">
        <color rgb="FF000000"/>
      </left>
      <right style="medium">
        <color rgb="FF1F4E78"/>
      </right>
      <top/>
      <bottom style="thin">
        <color rgb="FF000000"/>
      </bottom>
      <diagonal/>
    </border>
    <border>
      <left style="thin">
        <color rgb="FF000000"/>
      </left>
      <right style="thin">
        <color rgb="FF000000"/>
      </right>
      <top/>
      <bottom/>
      <diagonal/>
    </border>
    <border>
      <left style="medium">
        <color rgb="FF1F4E78"/>
      </left>
      <right style="medium">
        <color rgb="FF1F4E78"/>
      </right>
      <top style="thin">
        <color rgb="FF000000"/>
      </top>
      <bottom/>
      <diagonal/>
    </border>
    <border>
      <left style="medium">
        <color rgb="FF1F4E78"/>
      </left>
      <right style="medium">
        <color rgb="FF1F4E78"/>
      </right>
      <top/>
      <bottom/>
      <diagonal/>
    </border>
    <border>
      <left style="medium">
        <color rgb="FF1F4E78"/>
      </left>
      <right style="medium">
        <color rgb="FF1F4E78"/>
      </right>
      <top/>
      <bottom style="thin">
        <color rgb="FF000000"/>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right style="dashed">
        <color indexed="64"/>
      </right>
      <top style="thin">
        <color indexed="64"/>
      </top>
      <bottom/>
      <diagonal/>
    </border>
    <border>
      <left/>
      <right style="dashed">
        <color indexed="64"/>
      </right>
      <top/>
      <bottom/>
      <diagonal/>
    </border>
    <border>
      <left/>
      <right style="dashed">
        <color indexed="64"/>
      </right>
      <top/>
      <bottom style="thin">
        <color indexed="64"/>
      </bottom>
      <diagonal/>
    </border>
    <border>
      <left style="thin">
        <color rgb="FFFFFFFF"/>
      </left>
      <right style="thin">
        <color rgb="FFFFFFFF"/>
      </right>
      <top/>
      <bottom/>
      <diagonal/>
    </border>
    <border>
      <left style="thin">
        <color rgb="FF000000"/>
      </left>
      <right style="thin">
        <color rgb="FFFFFFFF"/>
      </right>
      <top/>
      <bottom/>
      <diagonal/>
    </border>
    <border>
      <left/>
      <right style="thin">
        <color rgb="FFFFFFFF"/>
      </right>
      <top/>
      <bottom/>
      <diagonal/>
    </border>
    <border>
      <left style="thin">
        <color indexed="64"/>
      </left>
      <right style="thin">
        <color rgb="FFFFFFFF"/>
      </right>
      <top style="thin">
        <color indexed="64"/>
      </top>
      <bottom style="thin">
        <color indexed="64"/>
      </bottom>
      <diagonal/>
    </border>
    <border>
      <left style="thin">
        <color rgb="FF000000"/>
      </left>
      <right style="thin">
        <color rgb="FFFFFFFF"/>
      </right>
      <top style="thin">
        <color indexed="64"/>
      </top>
      <bottom style="thin">
        <color indexed="64"/>
      </bottom>
      <diagonal/>
    </border>
    <border>
      <left/>
      <right style="thin">
        <color rgb="FFFFFFFF"/>
      </right>
      <top style="thin">
        <color indexed="64"/>
      </top>
      <bottom style="thin">
        <color indexed="64"/>
      </bottom>
      <diagonal/>
    </border>
    <border>
      <left style="thin">
        <color rgb="FFFFFFFF"/>
      </left>
      <right style="thin">
        <color rgb="FFFFFFFF"/>
      </right>
      <top style="thin">
        <color indexed="64"/>
      </top>
      <bottom style="thin">
        <color indexed="64"/>
      </bottom>
      <diagonal/>
    </border>
    <border>
      <left style="thin">
        <color rgb="FFFFFFFF"/>
      </left>
      <right style="thin">
        <color indexed="64"/>
      </right>
      <top style="thin">
        <color indexed="64"/>
      </top>
      <bottom style="thin">
        <color indexed="64"/>
      </bottom>
      <diagonal/>
    </border>
    <border>
      <left style="medium">
        <color rgb="FF1F4E78"/>
      </left>
      <right/>
      <top/>
      <bottom/>
      <diagonal/>
    </border>
    <border>
      <left style="thin">
        <color rgb="FF000000"/>
      </left>
      <right/>
      <top style="medium">
        <color rgb="FF1F4E78"/>
      </top>
      <bottom style="medium">
        <color rgb="FF1F4E78"/>
      </bottom>
      <diagonal/>
    </border>
    <border>
      <left style="double">
        <color rgb="FF3F3F3F"/>
      </left>
      <right style="double">
        <color rgb="FF3F3F3F"/>
      </right>
      <top style="double">
        <color rgb="FF3F3F3F"/>
      </top>
      <bottom style="double">
        <color rgb="FF3F3F3F"/>
      </bottom>
      <diagonal/>
    </border>
    <border>
      <left style="thin">
        <color rgb="FFFFFFFF"/>
      </left>
      <right/>
      <top/>
      <bottom/>
      <diagonal/>
    </border>
    <border>
      <left style="thin">
        <color indexed="64"/>
      </left>
      <right style="thin">
        <color rgb="FFFFFFFF"/>
      </right>
      <top style="thin">
        <color indexed="64"/>
      </top>
      <bottom/>
      <diagonal/>
    </border>
    <border>
      <left style="thin">
        <color rgb="FF000000"/>
      </left>
      <right style="thin">
        <color rgb="FFFFFFFF"/>
      </right>
      <top style="thin">
        <color indexed="64"/>
      </top>
      <bottom/>
      <diagonal/>
    </border>
    <border>
      <left style="thin">
        <color rgb="FFFFFFFF"/>
      </left>
      <right style="thin">
        <color rgb="FFFFFFFF"/>
      </right>
      <top style="thin">
        <color indexed="64"/>
      </top>
      <bottom/>
      <diagonal/>
    </border>
    <border>
      <left style="thin">
        <color rgb="FFFFFFFF"/>
      </left>
      <right style="thin">
        <color indexed="64"/>
      </right>
      <top style="thin">
        <color indexed="64"/>
      </top>
      <bottom/>
      <diagonal/>
    </border>
    <border>
      <left style="thin">
        <color indexed="64"/>
      </left>
      <right style="thin">
        <color rgb="FFFFFFFF"/>
      </right>
      <top/>
      <bottom/>
      <diagonal/>
    </border>
    <border>
      <left style="thin">
        <color rgb="FFFFFFFF"/>
      </left>
      <right style="thin">
        <color indexed="64"/>
      </right>
      <top/>
      <bottom/>
      <diagonal/>
    </border>
    <border>
      <left style="double">
        <color rgb="FF3F3F3F"/>
      </left>
      <right/>
      <top style="double">
        <color rgb="FF3F3F3F"/>
      </top>
      <bottom style="double">
        <color rgb="FF3F3F3F"/>
      </bottom>
      <diagonal/>
    </border>
    <border>
      <left style="thin">
        <color theme="0"/>
      </left>
      <right style="thin">
        <color theme="0"/>
      </right>
      <top style="thin">
        <color indexed="64"/>
      </top>
      <bottom/>
      <diagonal/>
    </border>
    <border>
      <left style="thin">
        <color theme="0"/>
      </left>
      <right style="thin">
        <color theme="0"/>
      </right>
      <top/>
      <bottom/>
      <diagonal/>
    </border>
    <border>
      <left style="thin">
        <color theme="0"/>
      </left>
      <right style="thin">
        <color rgb="FFFFFFFF"/>
      </right>
      <top style="thin">
        <color indexed="64"/>
      </top>
      <bottom style="thin">
        <color indexed="64"/>
      </bottom>
      <diagonal/>
    </border>
    <border>
      <left style="thin">
        <color indexed="64"/>
      </left>
      <right/>
      <top style="thin">
        <color indexed="64"/>
      </top>
      <bottom style="thin">
        <color rgb="FF000000"/>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rgb="FF000000"/>
      </right>
      <top style="thin">
        <color rgb="FF000000"/>
      </top>
      <bottom/>
      <diagonal/>
    </border>
    <border>
      <left style="thin">
        <color rgb="FF000000"/>
      </left>
      <right style="thin">
        <color indexed="64"/>
      </right>
      <top style="thin">
        <color rgb="FF000000"/>
      </top>
      <bottom/>
      <diagonal/>
    </border>
    <border>
      <left style="thin">
        <color rgb="FF000000"/>
      </left>
      <right/>
      <top/>
      <bottom style="medium">
        <color rgb="FF1F4E78"/>
      </bottom>
      <diagonal/>
    </border>
    <border>
      <left/>
      <right style="thin">
        <color theme="0"/>
      </right>
      <top style="thin">
        <color indexed="64"/>
      </top>
      <bottom/>
      <diagonal/>
    </border>
    <border>
      <left/>
      <right style="thin">
        <color theme="0"/>
      </right>
      <top/>
      <bottom/>
      <diagonal/>
    </border>
    <border>
      <left style="thin">
        <color indexed="64"/>
      </left>
      <right/>
      <top/>
      <bottom style="thin">
        <color theme="0"/>
      </bottom>
      <diagonal/>
    </border>
    <border>
      <left/>
      <right/>
      <top/>
      <bottom style="thin">
        <color theme="0"/>
      </bottom>
      <diagonal/>
    </border>
    <border>
      <left/>
      <right style="thin">
        <color theme="0"/>
      </right>
      <top/>
      <bottom style="thin">
        <color theme="0"/>
      </bottom>
      <diagonal/>
    </border>
    <border>
      <left/>
      <right/>
      <top style="thin">
        <color theme="0"/>
      </top>
      <bottom/>
      <diagonal/>
    </border>
    <border>
      <left/>
      <right style="thin">
        <color theme="0"/>
      </right>
      <top style="thin">
        <color theme="0"/>
      </top>
      <bottom/>
      <diagonal/>
    </border>
    <border>
      <left/>
      <right style="thin">
        <color theme="0"/>
      </right>
      <top/>
      <bottom style="thin">
        <color indexed="64"/>
      </bottom>
      <diagonal/>
    </border>
    <border>
      <left style="thin">
        <color theme="0"/>
      </left>
      <right/>
      <top/>
      <bottom/>
      <diagonal/>
    </border>
    <border>
      <left style="thin">
        <color theme="0"/>
      </left>
      <right/>
      <top style="thin">
        <color indexed="64"/>
      </top>
      <bottom/>
      <diagonal/>
    </border>
    <border>
      <left style="thin">
        <color theme="0"/>
      </left>
      <right/>
      <top/>
      <bottom style="thin">
        <color indexed="64"/>
      </bottom>
      <diagonal/>
    </border>
    <border>
      <left/>
      <right style="thin">
        <color rgb="FF000000"/>
      </right>
      <top/>
      <bottom style="thin">
        <color indexed="64"/>
      </bottom>
      <diagonal/>
    </border>
    <border>
      <left style="medium">
        <color rgb="FF1F4E78"/>
      </left>
      <right/>
      <top/>
      <bottom style="thin">
        <color indexed="64"/>
      </bottom>
      <diagonal/>
    </border>
  </borders>
  <cellStyleXfs count="5">
    <xf numFmtId="0" fontId="0" fillId="0" borderId="0"/>
    <xf numFmtId="0" fontId="15" fillId="0" borderId="0" applyNumberFormat="0" applyFont="0" applyBorder="0" applyProtection="0"/>
    <xf numFmtId="9" fontId="16" fillId="0" borderId="0" applyFont="0" applyFill="0" applyBorder="0" applyAlignment="0" applyProtection="0"/>
    <xf numFmtId="0" fontId="17" fillId="20" borderId="63" applyNumberFormat="0" applyAlignment="0" applyProtection="0"/>
    <xf numFmtId="0" fontId="15" fillId="0" borderId="0" applyNumberFormat="0" applyFont="0" applyBorder="0" applyProtection="0"/>
  </cellStyleXfs>
  <cellXfs count="531">
    <xf numFmtId="0" fontId="0" fillId="0" borderId="0" xfId="0"/>
    <xf numFmtId="0" fontId="5" fillId="0" borderId="0" xfId="0" applyFont="1" applyAlignment="1">
      <alignment vertical="center"/>
    </xf>
    <xf numFmtId="0" fontId="2" fillId="0" borderId="0" xfId="0" applyFont="1" applyAlignment="1">
      <alignment vertical="center"/>
    </xf>
    <xf numFmtId="0" fontId="0" fillId="0" borderId="0" xfId="0" applyAlignment="1">
      <alignment horizontal="right"/>
    </xf>
    <xf numFmtId="0" fontId="0" fillId="0" borderId="0" xfId="0" applyAlignment="1">
      <alignment horizontal="center"/>
    </xf>
    <xf numFmtId="0" fontId="0" fillId="0" borderId="0" xfId="0" applyAlignment="1">
      <alignment horizontal="center" wrapText="1"/>
    </xf>
    <xf numFmtId="0" fontId="0" fillId="0" borderId="0" xfId="0" quotePrefix="1" applyAlignment="1">
      <alignment horizontal="center"/>
    </xf>
    <xf numFmtId="0" fontId="0" fillId="0" borderId="0" xfId="0" applyAlignment="1">
      <alignment vertical="center"/>
    </xf>
    <xf numFmtId="0" fontId="0" fillId="0" borderId="0" xfId="0" applyAlignment="1">
      <alignment horizontal="left"/>
    </xf>
    <xf numFmtId="49" fontId="0" fillId="0" borderId="0" xfId="0" applyNumberFormat="1" applyAlignment="1">
      <alignment horizontal="right"/>
    </xf>
    <xf numFmtId="49" fontId="0" fillId="0" borderId="0" xfId="0" applyNumberFormat="1" applyAlignment="1">
      <alignment horizontal="center"/>
    </xf>
    <xf numFmtId="0" fontId="0" fillId="0" borderId="0" xfId="0" quotePrefix="1" applyAlignment="1">
      <alignment horizontal="left"/>
    </xf>
    <xf numFmtId="0" fontId="0" fillId="0" borderId="0" xfId="0" applyAlignment="1">
      <alignment horizontal="center" textRotation="90"/>
    </xf>
    <xf numFmtId="0" fontId="5" fillId="0" borderId="0" xfId="0" applyFont="1" applyAlignment="1">
      <alignment horizontal="center" vertical="center"/>
    </xf>
    <xf numFmtId="0" fontId="1" fillId="0" borderId="0" xfId="0" applyFont="1" applyAlignment="1">
      <alignment horizontal="center"/>
    </xf>
    <xf numFmtId="0" fontId="0" fillId="15" borderId="53" xfId="0" applyFill="1" applyBorder="1" applyAlignment="1">
      <alignment horizontal="center"/>
    </xf>
    <xf numFmtId="0" fontId="0" fillId="16" borderId="53" xfId="0" applyFill="1" applyBorder="1" applyAlignment="1">
      <alignment horizontal="center"/>
    </xf>
    <xf numFmtId="0" fontId="10" fillId="15" borderId="53" xfId="0" applyFont="1" applyFill="1" applyBorder="1" applyAlignment="1">
      <alignment horizontal="center"/>
    </xf>
    <xf numFmtId="0" fontId="0" fillId="16" borderId="55" xfId="0" applyFill="1" applyBorder="1" applyAlignment="1">
      <alignment horizontal="center"/>
    </xf>
    <xf numFmtId="0" fontId="0" fillId="15" borderId="55" xfId="0" applyFill="1" applyBorder="1" applyAlignment="1">
      <alignment horizontal="center"/>
    </xf>
    <xf numFmtId="0" fontId="13" fillId="16" borderId="53" xfId="0" applyFont="1" applyFill="1" applyBorder="1" applyAlignment="1">
      <alignment horizontal="center"/>
    </xf>
    <xf numFmtId="0" fontId="14" fillId="15" borderId="53" xfId="0" applyFont="1" applyFill="1" applyBorder="1" applyAlignment="1">
      <alignment horizontal="center"/>
    </xf>
    <xf numFmtId="0" fontId="0" fillId="15" borderId="0" xfId="0" applyFill="1" applyAlignment="1">
      <alignment horizontal="center"/>
    </xf>
    <xf numFmtId="0" fontId="0" fillId="17" borderId="0" xfId="0" applyFill="1" applyAlignment="1">
      <alignment horizontal="center"/>
    </xf>
    <xf numFmtId="0" fontId="0" fillId="19" borderId="0" xfId="0" applyFill="1" applyAlignment="1">
      <alignment horizontal="center"/>
    </xf>
    <xf numFmtId="0" fontId="0" fillId="18" borderId="0" xfId="0" applyFill="1" applyAlignment="1">
      <alignment horizontal="center"/>
    </xf>
    <xf numFmtId="0" fontId="0" fillId="15" borderId="0" xfId="0" applyFill="1"/>
    <xf numFmtId="0" fontId="0" fillId="14" borderId="58" xfId="0" applyFill="1" applyBorder="1" applyAlignment="1">
      <alignment horizontal="center"/>
    </xf>
    <xf numFmtId="0" fontId="0" fillId="14" borderId="59" xfId="0" applyFill="1" applyBorder="1" applyAlignment="1">
      <alignment horizontal="center"/>
    </xf>
    <xf numFmtId="0" fontId="0" fillId="14" borderId="60" xfId="0" applyFill="1" applyBorder="1" applyAlignment="1">
      <alignment horizontal="center"/>
    </xf>
    <xf numFmtId="0" fontId="0" fillId="15" borderId="11" xfId="0" applyFill="1" applyBorder="1" applyAlignment="1">
      <alignment horizontal="center"/>
    </xf>
    <xf numFmtId="0" fontId="0" fillId="16" borderId="0" xfId="0" applyFill="1" applyAlignment="1">
      <alignment horizontal="center"/>
    </xf>
    <xf numFmtId="0" fontId="0" fillId="16" borderId="0" xfId="0" applyFill="1"/>
    <xf numFmtId="0" fontId="0" fillId="16" borderId="11" xfId="0" applyFill="1" applyBorder="1" applyAlignment="1">
      <alignment horizontal="center"/>
    </xf>
    <xf numFmtId="0" fontId="0" fillId="19" borderId="5" xfId="0" applyFill="1" applyBorder="1" applyAlignment="1">
      <alignment horizontal="center"/>
    </xf>
    <xf numFmtId="0" fontId="0" fillId="18" borderId="5" xfId="0" applyFill="1" applyBorder="1" applyAlignment="1">
      <alignment horizontal="center"/>
    </xf>
    <xf numFmtId="0" fontId="0" fillId="16" borderId="5" xfId="0" applyFill="1" applyBorder="1" applyAlignment="1">
      <alignment horizontal="center"/>
    </xf>
    <xf numFmtId="0" fontId="0" fillId="16" borderId="5" xfId="0" applyFill="1" applyBorder="1"/>
    <xf numFmtId="0" fontId="0" fillId="16" borderId="6" xfId="0" applyFill="1" applyBorder="1" applyAlignment="1">
      <alignment horizontal="center"/>
    </xf>
    <xf numFmtId="1" fontId="0" fillId="0" borderId="0" xfId="0" applyNumberFormat="1"/>
    <xf numFmtId="1" fontId="0" fillId="0" borderId="0" xfId="0" applyNumberFormat="1" applyAlignment="1">
      <alignment horizontal="left"/>
    </xf>
    <xf numFmtId="0" fontId="12" fillId="0" borderId="0" xfId="0" applyFont="1"/>
    <xf numFmtId="0" fontId="14" fillId="0" borderId="0" xfId="0" applyFont="1"/>
    <xf numFmtId="0" fontId="14" fillId="0" borderId="64" xfId="0" applyFont="1" applyBorder="1" applyAlignment="1">
      <alignment horizontal="center"/>
    </xf>
    <xf numFmtId="0" fontId="0" fillId="14" borderId="7" xfId="0" applyFill="1" applyBorder="1" applyAlignment="1">
      <alignment horizontal="center"/>
    </xf>
    <xf numFmtId="0" fontId="0" fillId="14" borderId="8" xfId="0" applyFill="1" applyBorder="1" applyAlignment="1">
      <alignment horizontal="center"/>
    </xf>
    <xf numFmtId="0" fontId="13" fillId="15" borderId="67" xfId="0" applyFont="1" applyFill="1" applyBorder="1" applyAlignment="1">
      <alignment horizontal="center"/>
    </xf>
    <xf numFmtId="0" fontId="0" fillId="15" borderId="67" xfId="0" applyFill="1" applyBorder="1" applyAlignment="1">
      <alignment horizontal="center"/>
    </xf>
    <xf numFmtId="0" fontId="0" fillId="15" borderId="68" xfId="0" applyFill="1" applyBorder="1" applyAlignment="1">
      <alignment horizontal="center"/>
    </xf>
    <xf numFmtId="0" fontId="0" fillId="16" borderId="70" xfId="0" applyFill="1" applyBorder="1" applyAlignment="1">
      <alignment horizontal="center"/>
    </xf>
    <xf numFmtId="0" fontId="10" fillId="15" borderId="70" xfId="0" applyFont="1" applyFill="1" applyBorder="1" applyAlignment="1">
      <alignment horizontal="center"/>
    </xf>
    <xf numFmtId="0" fontId="0" fillId="16" borderId="10" xfId="0" applyFill="1" applyBorder="1" applyAlignment="1">
      <alignment horizontal="center"/>
    </xf>
    <xf numFmtId="0" fontId="0" fillId="14" borderId="67" xfId="0" applyFill="1" applyBorder="1"/>
    <xf numFmtId="0" fontId="0" fillId="14" borderId="67" xfId="0" applyFill="1" applyBorder="1" applyAlignment="1">
      <alignment horizontal="center"/>
    </xf>
    <xf numFmtId="0" fontId="0" fillId="14" borderId="68" xfId="0" applyFill="1" applyBorder="1" applyAlignment="1">
      <alignment horizontal="center"/>
    </xf>
    <xf numFmtId="0" fontId="0" fillId="15" borderId="10" xfId="0" applyFill="1" applyBorder="1" applyAlignment="1">
      <alignment horizontal="right"/>
    </xf>
    <xf numFmtId="0" fontId="0" fillId="15" borderId="70" xfId="0" applyFill="1" applyBorder="1" applyAlignment="1">
      <alignment horizontal="center"/>
    </xf>
    <xf numFmtId="0" fontId="0" fillId="19" borderId="10" xfId="0" applyFill="1" applyBorder="1" applyAlignment="1">
      <alignment horizontal="right"/>
    </xf>
    <xf numFmtId="0" fontId="1" fillId="14" borderId="59" xfId="0" applyFont="1" applyFill="1" applyBorder="1" applyAlignment="1">
      <alignment horizontal="center"/>
    </xf>
    <xf numFmtId="0" fontId="1" fillId="0" borderId="0" xfId="0" applyFont="1"/>
    <xf numFmtId="2" fontId="0" fillId="0" borderId="0" xfId="0" applyNumberFormat="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0" fontId="17" fillId="20" borderId="71" xfId="3" applyBorder="1" applyAlignment="1">
      <alignment horizontal="right"/>
    </xf>
    <xf numFmtId="0" fontId="0" fillId="0" borderId="0" xfId="1" applyFont="1" applyAlignment="1">
      <alignment horizontal="right"/>
    </xf>
    <xf numFmtId="0" fontId="0" fillId="0" borderId="0" xfId="1" applyFont="1" applyAlignment="1">
      <alignment horizontal="right" vertical="center"/>
    </xf>
    <xf numFmtId="0" fontId="0" fillId="0" borderId="0" xfId="4" applyFont="1" applyAlignment="1">
      <alignment horizontal="right"/>
    </xf>
    <xf numFmtId="0" fontId="0" fillId="0" borderId="0" xfId="4" applyFont="1" applyAlignment="1">
      <alignment horizontal="right" vertical="center"/>
    </xf>
    <xf numFmtId="0" fontId="0" fillId="0" borderId="10" xfId="0" applyBorder="1" applyAlignment="1">
      <alignment horizontal="right"/>
    </xf>
    <xf numFmtId="16" fontId="0" fillId="0" borderId="0" xfId="0" quotePrefix="1" applyNumberFormat="1" applyAlignment="1">
      <alignment horizontal="center"/>
    </xf>
    <xf numFmtId="49" fontId="0" fillId="0" borderId="0" xfId="1" quotePrefix="1" applyNumberFormat="1" applyFont="1" applyAlignment="1">
      <alignment horizontal="center"/>
    </xf>
    <xf numFmtId="17" fontId="0" fillId="0" borderId="0" xfId="0" quotePrefix="1" applyNumberFormat="1" applyAlignment="1">
      <alignment horizontal="center"/>
    </xf>
    <xf numFmtId="0" fontId="2" fillId="0" borderId="0" xfId="0" applyFont="1" applyAlignment="1">
      <alignment horizontal="center" vertical="center"/>
    </xf>
    <xf numFmtId="0" fontId="2" fillId="0" borderId="11" xfId="0" applyFont="1" applyBorder="1" applyAlignment="1">
      <alignment vertical="center"/>
    </xf>
    <xf numFmtId="0" fontId="2" fillId="0" borderId="10" xfId="0" applyFont="1" applyBorder="1" applyAlignment="1">
      <alignment vertical="center"/>
    </xf>
    <xf numFmtId="0" fontId="2" fillId="0" borderId="4" xfId="0" applyFont="1" applyBorder="1" applyAlignment="1">
      <alignment vertical="center"/>
    </xf>
    <xf numFmtId="0" fontId="2" fillId="0" borderId="5" xfId="0" applyFont="1" applyBorder="1" applyAlignment="1">
      <alignment vertical="center"/>
    </xf>
    <xf numFmtId="0" fontId="3" fillId="0" borderId="0" xfId="0" applyFont="1" applyAlignment="1">
      <alignment vertical="center"/>
    </xf>
    <xf numFmtId="0" fontId="3" fillId="0" borderId="11" xfId="0" applyFont="1" applyBorder="1" applyAlignment="1">
      <alignment vertical="center"/>
    </xf>
    <xf numFmtId="0" fontId="19" fillId="0" borderId="0" xfId="0" applyFont="1" applyAlignment="1">
      <alignment vertical="center"/>
    </xf>
    <xf numFmtId="1" fontId="3" fillId="0" borderId="0" xfId="0" applyNumberFormat="1" applyFont="1" applyAlignment="1">
      <alignment vertical="center"/>
    </xf>
    <xf numFmtId="0" fontId="20" fillId="0" borderId="0" xfId="0" applyFont="1" applyAlignment="1">
      <alignment vertical="center"/>
    </xf>
    <xf numFmtId="0" fontId="19" fillId="0" borderId="5" xfId="0" applyFont="1" applyBorder="1" applyAlignment="1">
      <alignment vertical="center"/>
    </xf>
    <xf numFmtId="0" fontId="1" fillId="0" borderId="0" xfId="0" applyFont="1" applyAlignment="1">
      <alignment horizontal="left"/>
    </xf>
    <xf numFmtId="0" fontId="10" fillId="0" borderId="0" xfId="0" applyFont="1" applyAlignment="1">
      <alignment horizontal="right" vertical="center"/>
    </xf>
    <xf numFmtId="0" fontId="10" fillId="0" borderId="0" xfId="0" applyFont="1" applyAlignment="1">
      <alignment horizontal="center" vertical="center"/>
    </xf>
    <xf numFmtId="0" fontId="1" fillId="0" borderId="5" xfId="0" applyFont="1" applyBorder="1" applyAlignment="1">
      <alignment horizontal="center"/>
    </xf>
    <xf numFmtId="0" fontId="2" fillId="0" borderId="2" xfId="0" applyFont="1" applyBorder="1" applyAlignment="1">
      <alignment vertical="center"/>
    </xf>
    <xf numFmtId="0" fontId="2" fillId="0" borderId="3" xfId="0" applyFont="1" applyBorder="1" applyAlignment="1">
      <alignment vertical="center"/>
    </xf>
    <xf numFmtId="0" fontId="1" fillId="0" borderId="0" xfId="0" applyFont="1" applyAlignment="1">
      <alignment horizontal="right"/>
    </xf>
    <xf numFmtId="0" fontId="2" fillId="0" borderId="0" xfId="0" applyFont="1" applyAlignment="1">
      <alignment horizontal="left" vertical="center"/>
    </xf>
    <xf numFmtId="0" fontId="2" fillId="0" borderId="0" xfId="0" applyFont="1" applyAlignment="1">
      <alignment horizontal="right" vertical="center"/>
    </xf>
    <xf numFmtId="0" fontId="19" fillId="0" borderId="6" xfId="0" applyFont="1" applyBorder="1" applyAlignment="1">
      <alignment vertical="center"/>
    </xf>
    <xf numFmtId="0" fontId="20" fillId="0" borderId="11" xfId="0" applyFont="1" applyBorder="1" applyAlignment="1">
      <alignment vertical="center"/>
    </xf>
    <xf numFmtId="0" fontId="5" fillId="2" borderId="7" xfId="0" applyFont="1" applyFill="1" applyBorder="1" applyAlignment="1">
      <alignment vertical="center"/>
    </xf>
    <xf numFmtId="0" fontId="5" fillId="2" borderId="8" xfId="0" applyFont="1" applyFill="1" applyBorder="1" applyAlignment="1">
      <alignment vertical="center"/>
    </xf>
    <xf numFmtId="0" fontId="5" fillId="2" borderId="9" xfId="0" applyFont="1" applyFill="1" applyBorder="1" applyAlignment="1">
      <alignment vertical="center"/>
    </xf>
    <xf numFmtId="0" fontId="19" fillId="0" borderId="11" xfId="0" applyFont="1" applyBorder="1" applyAlignment="1">
      <alignment vertical="center"/>
    </xf>
    <xf numFmtId="0" fontId="2" fillId="0" borderId="1" xfId="0" applyFont="1" applyBorder="1" applyAlignment="1">
      <alignment vertical="center"/>
    </xf>
    <xf numFmtId="2" fontId="3" fillId="0" borderId="0" xfId="0" applyNumberFormat="1" applyFont="1" applyAlignment="1">
      <alignment vertical="center"/>
    </xf>
    <xf numFmtId="2" fontId="3" fillId="0" borderId="11" xfId="0" applyNumberFormat="1" applyFont="1" applyBorder="1" applyAlignment="1">
      <alignment vertical="center"/>
    </xf>
    <xf numFmtId="0" fontId="21" fillId="0" borderId="0" xfId="0" applyFont="1" applyAlignment="1">
      <alignment vertical="center"/>
    </xf>
    <xf numFmtId="0" fontId="21" fillId="0" borderId="11" xfId="0" applyFont="1" applyBorder="1" applyAlignment="1">
      <alignment vertical="center"/>
    </xf>
    <xf numFmtId="0" fontId="2" fillId="0" borderId="0" xfId="0" applyFont="1" applyAlignment="1">
      <alignment horizontal="center"/>
    </xf>
    <xf numFmtId="0" fontId="2" fillId="0" borderId="0" xfId="0" applyFont="1"/>
    <xf numFmtId="0" fontId="26" fillId="0" borderId="0" xfId="0" applyFont="1"/>
    <xf numFmtId="0" fontId="24" fillId="0" borderId="0" xfId="0" applyFont="1" applyAlignment="1">
      <alignment vertical="center"/>
    </xf>
    <xf numFmtId="0" fontId="0" fillId="0" borderId="0" xfId="0" quotePrefix="1" applyAlignment="1">
      <alignment horizontal="right"/>
    </xf>
    <xf numFmtId="165" fontId="10" fillId="15" borderId="53" xfId="0" applyNumberFormat="1" applyFont="1" applyFill="1" applyBorder="1" applyAlignment="1">
      <alignment horizontal="center"/>
    </xf>
    <xf numFmtId="0" fontId="1" fillId="15" borderId="72" xfId="0" applyFont="1" applyFill="1" applyBorder="1" applyAlignment="1">
      <alignment horizontal="center"/>
    </xf>
    <xf numFmtId="0" fontId="1" fillId="19" borderId="73" xfId="0" applyFont="1" applyFill="1" applyBorder="1" applyAlignment="1">
      <alignment horizontal="center"/>
    </xf>
    <xf numFmtId="0" fontId="1" fillId="16" borderId="73" xfId="0" applyFont="1" applyFill="1" applyBorder="1" applyAlignment="1">
      <alignment horizontal="center"/>
    </xf>
    <xf numFmtId="0" fontId="1" fillId="15" borderId="73" xfId="0" applyFont="1" applyFill="1" applyBorder="1" applyAlignment="1">
      <alignment horizontal="center"/>
    </xf>
    <xf numFmtId="0" fontId="1" fillId="21" borderId="73" xfId="0" applyFont="1" applyFill="1" applyBorder="1" applyAlignment="1">
      <alignment horizontal="center"/>
    </xf>
    <xf numFmtId="0" fontId="1" fillId="14" borderId="74" xfId="0" applyFont="1" applyFill="1" applyBorder="1" applyAlignment="1">
      <alignment horizontal="center"/>
    </xf>
    <xf numFmtId="166" fontId="0" fillId="0" borderId="0" xfId="0" applyNumberFormat="1" applyAlignment="1">
      <alignment horizontal="center"/>
    </xf>
    <xf numFmtId="0" fontId="2" fillId="2" borderId="0" xfId="0" applyFont="1" applyFill="1" applyAlignment="1">
      <alignment vertical="center"/>
    </xf>
    <xf numFmtId="0" fontId="2" fillId="22" borderId="0" xfId="0" applyFont="1" applyFill="1" applyAlignment="1">
      <alignment vertical="center"/>
    </xf>
    <xf numFmtId="0" fontId="19" fillId="2" borderId="0" xfId="0" applyFont="1" applyFill="1" applyAlignment="1">
      <alignment vertical="center"/>
    </xf>
    <xf numFmtId="0" fontId="2" fillId="2" borderId="5" xfId="0" applyFont="1" applyFill="1" applyBorder="1" applyAlignment="1">
      <alignment vertical="center"/>
    </xf>
    <xf numFmtId="0" fontId="10" fillId="0" borderId="0" xfId="0" applyFont="1"/>
    <xf numFmtId="0" fontId="11" fillId="0" borderId="0" xfId="0" applyFont="1" applyAlignment="1">
      <alignment horizontal="center"/>
    </xf>
    <xf numFmtId="0" fontId="11" fillId="0" borderId="0" xfId="0" applyFont="1" applyAlignment="1">
      <alignment horizontal="right"/>
    </xf>
    <xf numFmtId="0" fontId="14" fillId="0" borderId="0" xfId="0" applyFont="1" applyAlignment="1">
      <alignment horizontal="right"/>
    </xf>
    <xf numFmtId="0" fontId="14" fillId="0" borderId="0" xfId="0" applyFont="1" applyAlignment="1">
      <alignment horizontal="center"/>
    </xf>
    <xf numFmtId="0" fontId="1" fillId="0" borderId="0" xfId="0" quotePrefix="1" applyFont="1" applyAlignment="1">
      <alignment horizontal="center"/>
    </xf>
    <xf numFmtId="0" fontId="11" fillId="0" borderId="0" xfId="3" applyFont="1" applyFill="1" applyBorder="1" applyAlignment="1">
      <alignment horizontal="center"/>
    </xf>
    <xf numFmtId="0" fontId="1" fillId="0" borderId="0" xfId="0" applyFont="1" applyAlignment="1">
      <alignment horizontal="center" textRotation="90"/>
    </xf>
    <xf numFmtId="0" fontId="2" fillId="0" borderId="0" xfId="0" applyFont="1" applyAlignment="1">
      <alignment vertical="center"/>
    </xf>
    <xf numFmtId="0" fontId="2" fillId="0" borderId="0" xfId="0" applyFont="1" applyAlignment="1">
      <alignment horizontal="center" vertical="center"/>
    </xf>
    <xf numFmtId="0" fontId="2" fillId="22" borderId="0" xfId="0" applyFont="1" applyFill="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2" borderId="10" xfId="0" applyFont="1" applyFill="1" applyBorder="1" applyAlignment="1">
      <alignment vertical="center"/>
    </xf>
    <xf numFmtId="0" fontId="2" fillId="22" borderId="0" xfId="0" applyFont="1" applyFill="1" applyAlignment="1">
      <alignment vertical="center"/>
    </xf>
    <xf numFmtId="0" fontId="2" fillId="2" borderId="10" xfId="0" applyFont="1" applyFill="1" applyBorder="1" applyAlignment="1">
      <alignment vertical="center"/>
    </xf>
    <xf numFmtId="0" fontId="2" fillId="2" borderId="0" xfId="0" applyFont="1" applyFill="1" applyAlignment="1">
      <alignment vertical="center"/>
    </xf>
    <xf numFmtId="0" fontId="2" fillId="2" borderId="4" xfId="0" applyFont="1" applyFill="1" applyBorder="1" applyAlignment="1">
      <alignment vertical="center"/>
    </xf>
    <xf numFmtId="0" fontId="2" fillId="2" borderId="5" xfId="0" applyFont="1" applyFill="1" applyBorder="1" applyAlignment="1">
      <alignment vertical="center"/>
    </xf>
    <xf numFmtId="0" fontId="18" fillId="0" borderId="10" xfId="0" applyFont="1" applyBorder="1" applyAlignment="1">
      <alignment vertical="center"/>
    </xf>
    <xf numFmtId="0" fontId="18" fillId="0" borderId="0" xfId="0" applyFont="1" applyAlignment="1">
      <alignment vertical="center"/>
    </xf>
    <xf numFmtId="0" fontId="23" fillId="0" borderId="0" xfId="0" applyFont="1" applyAlignment="1">
      <alignment horizontal="center" vertical="center"/>
    </xf>
    <xf numFmtId="0" fontId="3" fillId="0" borderId="0" xfId="0" applyFont="1" applyAlignment="1">
      <alignment horizontal="center" vertical="center"/>
    </xf>
    <xf numFmtId="0" fontId="18" fillId="0" borderId="0" xfId="0" applyFont="1" applyAlignment="1">
      <alignment horizontal="center" vertical="center"/>
    </xf>
    <xf numFmtId="0" fontId="2" fillId="0" borderId="0" xfId="0" applyFont="1" applyAlignment="1">
      <alignment horizontal="left" vertical="center"/>
    </xf>
    <xf numFmtId="0" fontId="2" fillId="0" borderId="11" xfId="0" applyFont="1" applyBorder="1" applyAlignment="1">
      <alignment horizontal="left" vertical="center"/>
    </xf>
    <xf numFmtId="2" fontId="2" fillId="0" borderId="0" xfId="0" applyNumberFormat="1" applyFont="1" applyAlignment="1">
      <alignment horizontal="center"/>
    </xf>
    <xf numFmtId="0" fontId="2" fillId="0" borderId="0" xfId="0" applyFont="1" applyAlignment="1">
      <alignment horizontal="center"/>
    </xf>
    <xf numFmtId="0" fontId="20" fillId="0" borderId="0" xfId="0" applyFont="1" applyAlignment="1">
      <alignment horizontal="center" vertical="center"/>
    </xf>
    <xf numFmtId="0" fontId="2" fillId="0" borderId="10" xfId="0" applyFont="1" applyBorder="1" applyAlignment="1">
      <alignment horizontal="right" vertical="center"/>
    </xf>
    <xf numFmtId="0" fontId="2" fillId="0" borderId="0" xfId="0" applyFont="1" applyAlignment="1">
      <alignment horizontal="right" vertical="center"/>
    </xf>
    <xf numFmtId="0" fontId="2" fillId="0" borderId="10" xfId="0" applyFont="1" applyBorder="1" applyAlignment="1">
      <alignment vertical="center"/>
    </xf>
    <xf numFmtId="0" fontId="2" fillId="0" borderId="11" xfId="0" applyFont="1" applyBorder="1" applyAlignment="1">
      <alignment vertical="center"/>
    </xf>
    <xf numFmtId="9" fontId="21" fillId="0" borderId="0" xfId="2" applyFont="1" applyAlignment="1">
      <alignment horizontal="center" vertical="center"/>
    </xf>
    <xf numFmtId="0" fontId="21" fillId="0" borderId="0" xfId="0" applyFont="1" applyAlignment="1">
      <alignment horizontal="center" vertical="center"/>
    </xf>
    <xf numFmtId="0" fontId="2" fillId="0" borderId="0" xfId="0" quotePrefix="1" applyFont="1" applyAlignment="1">
      <alignment horizontal="center" vertical="center"/>
    </xf>
    <xf numFmtId="0" fontId="2" fillId="0" borderId="0" xfId="0" applyFont="1"/>
    <xf numFmtId="9" fontId="21" fillId="0" borderId="5" xfId="2" applyFont="1" applyBorder="1" applyAlignment="1">
      <alignment horizontal="center" vertical="center"/>
    </xf>
    <xf numFmtId="0" fontId="2" fillId="0" borderId="5" xfId="0" applyFont="1" applyBorder="1" applyAlignment="1">
      <alignment horizontal="center" vertical="center"/>
    </xf>
    <xf numFmtId="0" fontId="21" fillId="0" borderId="5" xfId="0" applyFont="1" applyBorder="1" applyAlignment="1">
      <alignment horizontal="center" vertical="center"/>
    </xf>
    <xf numFmtId="0" fontId="2" fillId="0" borderId="5" xfId="0" quotePrefix="1" applyFont="1" applyBorder="1" applyAlignment="1">
      <alignment horizontal="center"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5" xfId="0" applyFont="1" applyBorder="1"/>
    <xf numFmtId="0" fontId="2" fillId="0" borderId="4" xfId="0" applyFont="1" applyBorder="1" applyAlignment="1">
      <alignment horizontal="right" vertical="center"/>
    </xf>
    <xf numFmtId="0" fontId="2" fillId="0" borderId="5" xfId="0" applyFont="1" applyBorder="1" applyAlignment="1">
      <alignment horizontal="right"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0" xfId="0" applyFont="1" applyBorder="1" applyAlignment="1">
      <alignment horizontal="center" vertical="center"/>
    </xf>
    <xf numFmtId="0" fontId="25" fillId="3" borderId="7" xfId="0" applyFont="1" applyFill="1" applyBorder="1" applyAlignment="1">
      <alignment horizontal="center" vertical="center"/>
    </xf>
    <xf numFmtId="0" fontId="25" fillId="3" borderId="8" xfId="0" applyFont="1" applyFill="1" applyBorder="1" applyAlignment="1">
      <alignment horizontal="center" vertical="center"/>
    </xf>
    <xf numFmtId="0" fontId="25" fillId="3" borderId="9" xfId="0" applyFont="1" applyFill="1" applyBorder="1" applyAlignment="1">
      <alignment horizontal="center"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right" vertical="center"/>
    </xf>
    <xf numFmtId="0" fontId="2" fillId="0" borderId="2" xfId="0" applyFont="1" applyBorder="1" applyAlignment="1">
      <alignment horizontal="right" vertical="center"/>
    </xf>
    <xf numFmtId="0" fontId="2" fillId="0" borderId="3" xfId="0" applyFont="1" applyBorder="1" applyAlignment="1">
      <alignment horizontal="center" vertical="center"/>
    </xf>
    <xf numFmtId="0" fontId="2" fillId="0" borderId="4" xfId="0" applyFont="1" applyBorder="1" applyAlignment="1">
      <alignment vertical="center"/>
    </xf>
    <xf numFmtId="0" fontId="23" fillId="0" borderId="5" xfId="0" applyFont="1" applyBorder="1" applyAlignment="1">
      <alignment horizontal="center" vertical="center"/>
    </xf>
    <xf numFmtId="0" fontId="3" fillId="0" borderId="5" xfId="0" applyFont="1" applyBorder="1" applyAlignment="1">
      <alignment horizontal="center" vertical="center"/>
    </xf>
    <xf numFmtId="0" fontId="18" fillId="0" borderId="5" xfId="0" applyFont="1" applyBorder="1" applyAlignment="1">
      <alignment horizontal="center" vertical="center"/>
    </xf>
    <xf numFmtId="0" fontId="2" fillId="22" borderId="10" xfId="0" applyFont="1" applyFill="1" applyBorder="1" applyAlignment="1">
      <alignment horizontal="right" vertical="center"/>
    </xf>
    <xf numFmtId="0" fontId="2" fillId="22" borderId="0" xfId="0" applyFont="1" applyFill="1" applyAlignment="1">
      <alignment horizontal="right" vertical="center"/>
    </xf>
    <xf numFmtId="0" fontId="2" fillId="2" borderId="10" xfId="0" applyFont="1" applyFill="1" applyBorder="1" applyAlignment="1">
      <alignment horizontal="right" vertical="center"/>
    </xf>
    <xf numFmtId="0" fontId="2" fillId="2" borderId="0" xfId="0" applyFont="1" applyFill="1" applyAlignment="1">
      <alignment horizontal="right" vertical="center"/>
    </xf>
    <xf numFmtId="9" fontId="21" fillId="22" borderId="0" xfId="2" applyFont="1" applyFill="1" applyAlignment="1">
      <alignment horizontal="center" vertical="center"/>
    </xf>
    <xf numFmtId="9" fontId="21" fillId="2" borderId="0" xfId="2" applyFont="1" applyFill="1" applyAlignment="1">
      <alignment horizontal="center" vertical="center"/>
    </xf>
    <xf numFmtId="0" fontId="21" fillId="2" borderId="0" xfId="0" applyFont="1" applyFill="1" applyAlignment="1">
      <alignment horizontal="center" vertical="center"/>
    </xf>
    <xf numFmtId="0" fontId="21" fillId="22" borderId="0" xfId="0" applyFont="1" applyFill="1" applyAlignment="1">
      <alignment horizontal="center" vertical="center"/>
    </xf>
    <xf numFmtId="0" fontId="2" fillId="22" borderId="90" xfId="0" applyFont="1" applyFill="1" applyBorder="1" applyAlignment="1">
      <alignment horizontal="center" vertical="center"/>
    </xf>
    <xf numFmtId="0" fontId="2" fillId="22" borderId="83" xfId="0" applyFont="1" applyFill="1" applyBorder="1" applyAlignment="1">
      <alignment horizontal="center" vertical="center"/>
    </xf>
    <xf numFmtId="0" fontId="2" fillId="22" borderId="0" xfId="0" quotePrefix="1" applyFont="1" applyFill="1" applyAlignment="1">
      <alignment horizontal="center" vertical="center"/>
    </xf>
    <xf numFmtId="0" fontId="2" fillId="2" borderId="0" xfId="0" quotePrefix="1" applyFont="1" applyFill="1" applyAlignment="1">
      <alignment horizontal="center" vertical="center"/>
    </xf>
    <xf numFmtId="0" fontId="2" fillId="2" borderId="90" xfId="0" applyFont="1" applyFill="1" applyBorder="1" applyAlignment="1">
      <alignment horizontal="center" vertical="center"/>
    </xf>
    <xf numFmtId="0" fontId="2" fillId="2" borderId="83" xfId="0" applyFont="1" applyFill="1" applyBorder="1" applyAlignment="1">
      <alignment horizontal="center" vertical="center"/>
    </xf>
    <xf numFmtId="0" fontId="2" fillId="22" borderId="91" xfId="0" applyFont="1" applyFill="1" applyBorder="1" applyAlignment="1">
      <alignment horizontal="center" vertical="center"/>
    </xf>
    <xf numFmtId="0" fontId="2" fillId="22" borderId="2" xfId="0" applyFont="1" applyFill="1" applyBorder="1" applyAlignment="1">
      <alignment horizontal="center" vertical="center"/>
    </xf>
    <xf numFmtId="0" fontId="2" fillId="22" borderId="82" xfId="0" applyFont="1" applyFill="1" applyBorder="1" applyAlignment="1">
      <alignment horizontal="center" vertical="center"/>
    </xf>
    <xf numFmtId="0" fontId="19" fillId="22" borderId="2" xfId="0" quotePrefix="1" applyFont="1" applyFill="1" applyBorder="1" applyAlignment="1">
      <alignment horizontal="center" vertical="center"/>
    </xf>
    <xf numFmtId="0" fontId="19" fillId="22" borderId="2" xfId="0" applyFont="1" applyFill="1" applyBorder="1" applyAlignment="1">
      <alignment horizontal="center" vertical="center"/>
    </xf>
    <xf numFmtId="0" fontId="2" fillId="22" borderId="5" xfId="0" applyFont="1" applyFill="1" applyBorder="1" applyAlignment="1">
      <alignment horizontal="right"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19" fillId="22" borderId="0" xfId="0" applyFont="1" applyFill="1" applyAlignment="1">
      <alignment horizontal="center" vertical="center"/>
    </xf>
    <xf numFmtId="0" fontId="19" fillId="22" borderId="11" xfId="0" applyFont="1" applyFill="1" applyBorder="1" applyAlignment="1">
      <alignment horizontal="center" vertical="center"/>
    </xf>
    <xf numFmtId="0" fontId="2" fillId="22" borderId="84" xfId="0" applyFont="1" applyFill="1" applyBorder="1" applyAlignment="1">
      <alignment horizontal="right" vertical="center"/>
    </xf>
    <xf numFmtId="0" fontId="2" fillId="22" borderId="85" xfId="0" applyFont="1" applyFill="1" applyBorder="1" applyAlignment="1">
      <alignment horizontal="right" vertical="center"/>
    </xf>
    <xf numFmtId="0" fontId="2" fillId="2" borderId="90" xfId="0" applyFont="1" applyFill="1" applyBorder="1" applyAlignment="1">
      <alignment horizontal="right" vertical="center"/>
    </xf>
    <xf numFmtId="0" fontId="4" fillId="22" borderId="10" xfId="0" quotePrefix="1" applyFont="1" applyFill="1" applyBorder="1" applyAlignment="1">
      <alignment horizontal="center" vertical="center"/>
    </xf>
    <xf numFmtId="0" fontId="4" fillId="22" borderId="0" xfId="0" quotePrefix="1" applyFont="1" applyFill="1" applyAlignment="1">
      <alignment horizontal="center" vertical="center"/>
    </xf>
    <xf numFmtId="0" fontId="4" fillId="22" borderId="11" xfId="0" quotePrefix="1" applyFont="1" applyFill="1" applyBorder="1" applyAlignment="1">
      <alignment horizontal="center" vertical="center"/>
    </xf>
    <xf numFmtId="0" fontId="4" fillId="22" borderId="4" xfId="0" quotePrefix="1" applyFont="1" applyFill="1" applyBorder="1" applyAlignment="1">
      <alignment horizontal="center" vertical="center"/>
    </xf>
    <xf numFmtId="0" fontId="4" fillId="22" borderId="5" xfId="0" quotePrefix="1" applyFont="1" applyFill="1" applyBorder="1" applyAlignment="1">
      <alignment horizontal="center" vertical="center"/>
    </xf>
    <xf numFmtId="0" fontId="4" fillId="22" borderId="6" xfId="0" quotePrefix="1" applyFont="1" applyFill="1" applyBorder="1" applyAlignment="1">
      <alignment horizontal="center" vertical="center"/>
    </xf>
    <xf numFmtId="1" fontId="2" fillId="22" borderId="0" xfId="0" applyNumberFormat="1" applyFont="1" applyFill="1" applyAlignment="1">
      <alignment horizontal="left" vertical="center"/>
    </xf>
    <xf numFmtId="0" fontId="2" fillId="22" borderId="0" xfId="0" applyFont="1" applyFill="1" applyAlignment="1">
      <alignment horizontal="left" vertical="center"/>
    </xf>
    <xf numFmtId="0" fontId="2" fillId="22" borderId="11" xfId="0" applyFont="1" applyFill="1" applyBorder="1" applyAlignment="1">
      <alignment horizontal="left" vertical="center"/>
    </xf>
    <xf numFmtId="0" fontId="2" fillId="2" borderId="87" xfId="0" applyFont="1" applyFill="1" applyBorder="1" applyAlignment="1">
      <alignment horizontal="center" vertical="center"/>
    </xf>
    <xf numFmtId="0" fontId="2" fillId="2" borderId="88" xfId="0" applyFont="1" applyFill="1" applyBorder="1" applyAlignment="1">
      <alignment horizontal="center" vertical="center"/>
    </xf>
    <xf numFmtId="0" fontId="19" fillId="2" borderId="0" xfId="0" applyFont="1" applyFill="1" applyAlignment="1">
      <alignment horizontal="center" vertical="center"/>
    </xf>
    <xf numFmtId="0" fontId="19" fillId="2" borderId="11" xfId="0" applyFont="1" applyFill="1" applyBorder="1" applyAlignment="1">
      <alignment horizontal="center" vertical="center"/>
    </xf>
    <xf numFmtId="0" fontId="2" fillId="2" borderId="1" xfId="0" applyFont="1" applyFill="1" applyBorder="1" applyAlignment="1">
      <alignment horizontal="right" vertical="center"/>
    </xf>
    <xf numFmtId="0" fontId="2" fillId="2" borderId="2" xfId="0" applyFont="1" applyFill="1" applyBorder="1" applyAlignment="1">
      <alignment horizontal="right" vertical="center"/>
    </xf>
    <xf numFmtId="0" fontId="2" fillId="22" borderId="4" xfId="0" applyFont="1" applyFill="1" applyBorder="1" applyAlignment="1">
      <alignment horizontal="right" vertical="center"/>
    </xf>
    <xf numFmtId="0" fontId="2" fillId="22" borderId="90" xfId="0" applyFont="1" applyFill="1" applyBorder="1" applyAlignment="1">
      <alignment horizontal="right" vertical="center"/>
    </xf>
    <xf numFmtId="0" fontId="2" fillId="22" borderId="1" xfId="0" applyFont="1" applyFill="1" applyBorder="1" applyAlignment="1">
      <alignment horizontal="right" vertical="center"/>
    </xf>
    <xf numFmtId="0" fontId="2" fillId="22" borderId="2" xfId="0" applyFont="1" applyFill="1" applyBorder="1" applyAlignment="1">
      <alignment horizontal="right" vertical="center"/>
    </xf>
    <xf numFmtId="0" fontId="19" fillId="2" borderId="5" xfId="0" applyFont="1" applyFill="1" applyBorder="1" applyAlignment="1">
      <alignment horizontal="center" vertical="center"/>
    </xf>
    <xf numFmtId="0" fontId="19" fillId="2" borderId="6" xfId="0" applyFont="1" applyFill="1" applyBorder="1" applyAlignment="1">
      <alignment horizontal="center" vertical="center"/>
    </xf>
    <xf numFmtId="0" fontId="2" fillId="22" borderId="2" xfId="0" applyFont="1" applyFill="1" applyBorder="1" applyAlignment="1">
      <alignment vertical="center"/>
    </xf>
    <xf numFmtId="0" fontId="19" fillId="22" borderId="3" xfId="0" applyFont="1" applyFill="1" applyBorder="1" applyAlignment="1">
      <alignment horizontal="center" vertical="center"/>
    </xf>
    <xf numFmtId="0" fontId="2" fillId="22" borderId="11" xfId="0" applyFont="1" applyFill="1" applyBorder="1" applyAlignment="1">
      <alignment horizontal="center" vertical="center"/>
    </xf>
    <xf numFmtId="0" fontId="2" fillId="2" borderId="11"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2" fillId="22" borderId="1" xfId="0" applyFont="1" applyFill="1" applyBorder="1" applyAlignment="1">
      <alignment horizontal="center" vertical="center"/>
    </xf>
    <xf numFmtId="1" fontId="2" fillId="22" borderId="5" xfId="0" applyNumberFormat="1" applyFont="1" applyFill="1" applyBorder="1" applyAlignment="1">
      <alignment horizontal="center" vertical="center"/>
    </xf>
    <xf numFmtId="0" fontId="2" fillId="22" borderId="5" xfId="0" applyFont="1" applyFill="1" applyBorder="1" applyAlignment="1">
      <alignment horizontal="center" vertical="center"/>
    </xf>
    <xf numFmtId="0" fontId="19" fillId="2" borderId="1" xfId="0" applyFont="1" applyFill="1" applyBorder="1" applyAlignment="1">
      <alignment vertical="center"/>
    </xf>
    <xf numFmtId="0" fontId="19" fillId="2" borderId="2" xfId="0" applyFont="1" applyFill="1" applyBorder="1" applyAlignment="1">
      <alignment vertical="center"/>
    </xf>
    <xf numFmtId="9" fontId="21" fillId="22" borderId="5" xfId="2" applyFont="1" applyFill="1" applyBorder="1" applyAlignment="1">
      <alignment horizontal="center" vertical="center"/>
    </xf>
    <xf numFmtId="0" fontId="21" fillId="22" borderId="5" xfId="0" applyFont="1" applyFill="1" applyBorder="1" applyAlignment="1">
      <alignment horizontal="center" vertical="center"/>
    </xf>
    <xf numFmtId="0" fontId="2" fillId="22" borderId="6" xfId="0" applyFont="1" applyFill="1" applyBorder="1" applyAlignment="1">
      <alignment horizontal="center" vertical="center"/>
    </xf>
    <xf numFmtId="0" fontId="2" fillId="2" borderId="0" xfId="0" quotePrefix="1" applyFont="1" applyFill="1" applyAlignment="1">
      <alignment horizontal="right" vertical="center"/>
    </xf>
    <xf numFmtId="0" fontId="2" fillId="22" borderId="0" xfId="0" quotePrefix="1" applyFont="1" applyFill="1" applyAlignment="1">
      <alignment horizontal="right" vertical="center"/>
    </xf>
    <xf numFmtId="0" fontId="2" fillId="22" borderId="5" xfId="0" quotePrefix="1" applyFont="1" applyFill="1" applyBorder="1" applyAlignment="1">
      <alignment horizontal="right" vertical="center"/>
    </xf>
    <xf numFmtId="1" fontId="2" fillId="2" borderId="0" xfId="0" applyNumberFormat="1" applyFont="1" applyFill="1" applyAlignment="1">
      <alignment horizontal="center" vertical="center"/>
    </xf>
    <xf numFmtId="1" fontId="2" fillId="22" borderId="0" xfId="0" applyNumberFormat="1" applyFont="1" applyFill="1" applyAlignment="1">
      <alignment horizontal="center" vertical="center"/>
    </xf>
    <xf numFmtId="1" fontId="22" fillId="22" borderId="0" xfId="0" applyNumberFormat="1" applyFont="1" applyFill="1" applyAlignment="1">
      <alignment horizontal="center" vertical="center"/>
    </xf>
    <xf numFmtId="0" fontId="22" fillId="22" borderId="0" xfId="0" applyFont="1" applyFill="1" applyAlignment="1">
      <alignment horizontal="center" vertical="center"/>
    </xf>
    <xf numFmtId="1" fontId="21" fillId="2" borderId="0" xfId="0" applyNumberFormat="1" applyFont="1" applyFill="1" applyAlignment="1">
      <alignment horizontal="center" vertical="center"/>
    </xf>
    <xf numFmtId="0" fontId="19" fillId="2" borderId="2" xfId="0" applyFont="1" applyFill="1" applyBorder="1" applyAlignment="1">
      <alignment horizontal="center" vertical="center"/>
    </xf>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6" xfId="0" applyFont="1" applyFill="1" applyBorder="1" applyAlignment="1">
      <alignment horizontal="center" vertical="center"/>
    </xf>
    <xf numFmtId="0" fontId="6" fillId="22" borderId="1" xfId="0" applyFont="1" applyFill="1" applyBorder="1" applyAlignment="1">
      <alignment horizontal="center" vertical="top"/>
    </xf>
    <xf numFmtId="0" fontId="6" fillId="22" borderId="2" xfId="0" applyFont="1" applyFill="1" applyBorder="1" applyAlignment="1">
      <alignment horizontal="center" vertical="top"/>
    </xf>
    <xf numFmtId="0" fontId="6" fillId="22" borderId="3" xfId="0" applyFont="1" applyFill="1" applyBorder="1" applyAlignment="1">
      <alignment horizontal="center" vertical="top"/>
    </xf>
    <xf numFmtId="0" fontId="6" fillId="22" borderId="10" xfId="0" applyFont="1" applyFill="1" applyBorder="1" applyAlignment="1">
      <alignment horizontal="center" vertical="top"/>
    </xf>
    <xf numFmtId="0" fontId="6" fillId="22" borderId="0" xfId="0" applyFont="1" applyFill="1" applyAlignment="1">
      <alignment horizontal="center" vertical="top"/>
    </xf>
    <xf numFmtId="0" fontId="6" fillId="22" borderId="11" xfId="0" applyFont="1" applyFill="1" applyBorder="1" applyAlignment="1">
      <alignment horizontal="center" vertical="top"/>
    </xf>
    <xf numFmtId="0" fontId="2" fillId="2" borderId="4" xfId="0" applyFont="1" applyFill="1" applyBorder="1" applyAlignment="1">
      <alignment horizontal="right" vertical="center"/>
    </xf>
    <xf numFmtId="0" fontId="2" fillId="2" borderId="5" xfId="0" applyFont="1" applyFill="1" applyBorder="1" applyAlignment="1">
      <alignment horizontal="right" vertical="center"/>
    </xf>
    <xf numFmtId="0" fontId="21" fillId="22" borderId="11" xfId="0" applyFont="1" applyFill="1" applyBorder="1" applyAlignment="1">
      <alignment horizontal="center" vertical="center"/>
    </xf>
    <xf numFmtId="0" fontId="21" fillId="2" borderId="5" xfId="0" applyFont="1" applyFill="1" applyBorder="1" applyAlignment="1">
      <alignment horizontal="center" vertical="center"/>
    </xf>
    <xf numFmtId="0" fontId="21" fillId="2" borderId="6" xfId="0" applyFont="1" applyFill="1" applyBorder="1" applyAlignment="1">
      <alignment horizontal="center" vertical="center"/>
    </xf>
    <xf numFmtId="0" fontId="21" fillId="2" borderId="11" xfId="0" applyFont="1" applyFill="1" applyBorder="1" applyAlignment="1">
      <alignment horizontal="center" vertical="center"/>
    </xf>
    <xf numFmtId="0" fontId="20" fillId="2" borderId="5" xfId="0" applyFont="1" applyFill="1" applyBorder="1" applyAlignment="1">
      <alignment horizontal="right" vertical="center"/>
    </xf>
    <xf numFmtId="0" fontId="20" fillId="2" borderId="5" xfId="0" applyFont="1" applyFill="1" applyBorder="1" applyAlignment="1">
      <alignment horizontal="left" vertical="center"/>
    </xf>
    <xf numFmtId="0" fontId="20" fillId="2" borderId="6" xfId="0" applyFont="1" applyFill="1" applyBorder="1" applyAlignment="1">
      <alignment horizontal="left" vertical="center"/>
    </xf>
    <xf numFmtId="2" fontId="3" fillId="2" borderId="0" xfId="0" applyNumberFormat="1" applyFont="1" applyFill="1" applyAlignment="1">
      <alignment horizontal="center" vertical="center"/>
    </xf>
    <xf numFmtId="2" fontId="3" fillId="2" borderId="11" xfId="0" applyNumberFormat="1" applyFont="1" applyFill="1" applyBorder="1" applyAlignment="1">
      <alignment horizontal="center" vertical="center"/>
    </xf>
    <xf numFmtId="0" fontId="20" fillId="2" borderId="0" xfId="0" applyFont="1" applyFill="1" applyAlignment="1">
      <alignment horizontal="center" vertical="center"/>
    </xf>
    <xf numFmtId="0" fontId="20" fillId="2" borderId="11" xfId="0" applyFont="1" applyFill="1" applyBorder="1" applyAlignment="1">
      <alignment horizontal="center" vertical="center"/>
    </xf>
    <xf numFmtId="2" fontId="3" fillId="2" borderId="0" xfId="0" applyNumberFormat="1" applyFont="1" applyFill="1" applyAlignment="1">
      <alignment vertical="center"/>
    </xf>
    <xf numFmtId="0" fontId="3" fillId="2" borderId="0" xfId="0" applyFont="1" applyFill="1" applyAlignment="1">
      <alignment vertical="center"/>
    </xf>
    <xf numFmtId="2" fontId="3" fillId="2" borderId="0" xfId="0" applyNumberFormat="1" applyFont="1" applyFill="1" applyAlignment="1">
      <alignment horizontal="left" vertical="center"/>
    </xf>
    <xf numFmtId="0" fontId="3" fillId="2" borderId="0" xfId="0" applyFont="1" applyFill="1" applyAlignment="1">
      <alignment horizontal="left" vertical="center"/>
    </xf>
    <xf numFmtId="0" fontId="3" fillId="2" borderId="11" xfId="0" applyFont="1" applyFill="1" applyBorder="1" applyAlignment="1">
      <alignment horizontal="left" vertical="center"/>
    </xf>
    <xf numFmtId="0" fontId="20" fillId="22" borderId="0" xfId="0" applyFont="1" applyFill="1" applyAlignment="1">
      <alignment vertical="center"/>
    </xf>
    <xf numFmtId="0" fontId="20" fillId="22" borderId="0" xfId="0" applyFont="1" applyFill="1" applyAlignment="1">
      <alignment horizontal="left" vertical="center"/>
    </xf>
    <xf numFmtId="0" fontId="20" fillId="22" borderId="11" xfId="0" applyFont="1" applyFill="1" applyBorder="1" applyAlignment="1">
      <alignment horizontal="left" vertical="center"/>
    </xf>
    <xf numFmtId="2" fontId="3" fillId="22" borderId="0" xfId="0" applyNumberFormat="1" applyFont="1" applyFill="1" applyAlignment="1">
      <alignment horizontal="right" vertical="center"/>
    </xf>
    <xf numFmtId="2" fontId="3" fillId="22" borderId="0" xfId="0" applyNumberFormat="1" applyFont="1" applyFill="1" applyAlignment="1">
      <alignment horizontal="left" vertical="center"/>
    </xf>
    <xf numFmtId="2" fontId="3" fillId="22" borderId="11" xfId="0" applyNumberFormat="1" applyFont="1" applyFill="1" applyBorder="1" applyAlignment="1">
      <alignment horizontal="left" vertical="center"/>
    </xf>
    <xf numFmtId="1" fontId="3" fillId="22" borderId="0" xfId="0" applyNumberFormat="1" applyFont="1" applyFill="1" applyAlignment="1">
      <alignment vertical="center"/>
    </xf>
    <xf numFmtId="0" fontId="3" fillId="22" borderId="0" xfId="0" applyFont="1" applyFill="1" applyAlignment="1">
      <alignment vertical="center"/>
    </xf>
    <xf numFmtId="0" fontId="3" fillId="22" borderId="0" xfId="0" applyFont="1" applyFill="1" applyAlignment="1">
      <alignment horizontal="left" vertical="center"/>
    </xf>
    <xf numFmtId="0" fontId="3" fillId="22" borderId="11" xfId="0" applyFont="1" applyFill="1" applyBorder="1" applyAlignment="1">
      <alignment horizontal="left" vertical="center"/>
    </xf>
    <xf numFmtId="0" fontId="2" fillId="22" borderId="1" xfId="0" applyFont="1" applyFill="1" applyBorder="1" applyAlignment="1">
      <alignment vertical="center"/>
    </xf>
    <xf numFmtId="0" fontId="3" fillId="2" borderId="8" xfId="0" applyFont="1" applyFill="1" applyBorder="1" applyAlignment="1">
      <alignment horizontal="left" vertical="center"/>
    </xf>
    <xf numFmtId="0" fontId="3" fillId="2" borderId="9" xfId="0" applyFont="1" applyFill="1" applyBorder="1" applyAlignment="1">
      <alignment horizontal="left" vertical="center"/>
    </xf>
    <xf numFmtId="0" fontId="3" fillId="2" borderId="8" xfId="0" applyFont="1" applyFill="1" applyBorder="1" applyAlignment="1">
      <alignment horizontal="center" vertical="center"/>
    </xf>
    <xf numFmtId="0" fontId="3" fillId="2" borderId="7" xfId="0" applyFont="1" applyFill="1" applyBorder="1" applyAlignment="1">
      <alignment vertical="center"/>
    </xf>
    <xf numFmtId="0" fontId="3" fillId="2" borderId="8" xfId="0" applyFont="1" applyFill="1" applyBorder="1" applyAlignment="1">
      <alignment vertical="center"/>
    </xf>
    <xf numFmtId="0" fontId="2" fillId="0" borderId="4" xfId="0" applyFont="1" applyBorder="1" applyAlignment="1">
      <alignment horizontal="left" vertical="center"/>
    </xf>
    <xf numFmtId="0" fontId="2" fillId="0" borderId="10" xfId="0" applyFont="1" applyBorder="1" applyAlignment="1">
      <alignment horizontal="left" vertical="center"/>
    </xf>
    <xf numFmtId="0" fontId="5" fillId="0" borderId="0" xfId="0" applyFont="1" applyAlignment="1">
      <alignment horizontal="center" vertical="center"/>
    </xf>
    <xf numFmtId="0" fontId="2" fillId="22" borderId="0" xfId="2" applyNumberFormat="1" applyFont="1" applyFill="1" applyAlignment="1">
      <alignment vertical="center"/>
    </xf>
    <xf numFmtId="0" fontId="2" fillId="22" borderId="11" xfId="2" applyNumberFormat="1" applyFont="1" applyFill="1" applyBorder="1" applyAlignment="1">
      <alignment vertical="center"/>
    </xf>
    <xf numFmtId="0" fontId="19" fillId="2" borderId="3" xfId="0" applyFont="1" applyFill="1" applyBorder="1" applyAlignment="1">
      <alignment horizontal="center" vertical="center"/>
    </xf>
    <xf numFmtId="0" fontId="18" fillId="0" borderId="1" xfId="0" applyFont="1" applyBorder="1" applyAlignment="1">
      <alignment vertical="center"/>
    </xf>
    <xf numFmtId="0" fontId="18" fillId="0" borderId="2" xfId="0" applyFont="1" applyBorder="1" applyAlignment="1">
      <alignment vertical="center"/>
    </xf>
    <xf numFmtId="0" fontId="18" fillId="22" borderId="0" xfId="0" applyFont="1" applyFill="1" applyAlignment="1">
      <alignment vertical="center"/>
    </xf>
    <xf numFmtId="0" fontId="18" fillId="2" borderId="0" xfId="0" applyFont="1" applyFill="1" applyAlignment="1">
      <alignment vertical="center"/>
    </xf>
    <xf numFmtId="0" fontId="2" fillId="2" borderId="11" xfId="0" applyFont="1" applyFill="1" applyBorder="1" applyAlignment="1">
      <alignment vertical="center"/>
    </xf>
    <xf numFmtId="0" fontId="2" fillId="2" borderId="10" xfId="0" applyFont="1" applyFill="1" applyBorder="1" applyAlignment="1">
      <alignment horizontal="center" vertical="center"/>
    </xf>
    <xf numFmtId="0" fontId="18" fillId="22" borderId="5" xfId="0" applyFont="1" applyFill="1" applyBorder="1" applyAlignment="1">
      <alignment horizontal="left" vertical="center"/>
    </xf>
    <xf numFmtId="0" fontId="2" fillId="22" borderId="5" xfId="0" applyFont="1" applyFill="1" applyBorder="1" applyAlignment="1">
      <alignment vertical="center"/>
    </xf>
    <xf numFmtId="0" fontId="2" fillId="22" borderId="6" xfId="0" applyFont="1" applyFill="1" applyBorder="1" applyAlignment="1">
      <alignment vertical="center"/>
    </xf>
    <xf numFmtId="0" fontId="2" fillId="2" borderId="1" xfId="0" applyFont="1" applyFill="1" applyBorder="1" applyAlignment="1">
      <alignment horizontal="center" vertical="center"/>
    </xf>
    <xf numFmtId="0" fontId="2" fillId="2" borderId="3" xfId="0" applyFont="1" applyFill="1" applyBorder="1" applyAlignment="1">
      <alignment vertical="center"/>
    </xf>
    <xf numFmtId="0" fontId="2" fillId="22" borderId="11" xfId="0" applyFont="1" applyFill="1" applyBorder="1" applyAlignment="1">
      <alignment vertical="center"/>
    </xf>
    <xf numFmtId="0" fontId="3" fillId="2" borderId="5" xfId="0" applyFont="1" applyFill="1" applyBorder="1" applyAlignment="1">
      <alignment horizontal="center" vertical="center"/>
    </xf>
    <xf numFmtId="0" fontId="2" fillId="22" borderId="4" xfId="0" applyFont="1" applyFill="1" applyBorder="1" applyAlignment="1">
      <alignment vertical="center"/>
    </xf>
    <xf numFmtId="0" fontId="2" fillId="22" borderId="92" xfId="0" applyFont="1" applyFill="1" applyBorder="1" applyAlignment="1">
      <alignment horizontal="center" vertical="center"/>
    </xf>
    <xf numFmtId="0" fontId="2" fillId="22" borderId="89" xfId="0" applyFont="1" applyFill="1" applyBorder="1" applyAlignment="1">
      <alignment horizontal="center" vertical="center"/>
    </xf>
    <xf numFmtId="0" fontId="19" fillId="22" borderId="5" xfId="0" applyFont="1" applyFill="1" applyBorder="1" applyAlignment="1">
      <alignment horizontal="center" vertical="center"/>
    </xf>
    <xf numFmtId="0" fontId="2" fillId="22" borderId="5" xfId="0" quotePrefix="1" applyFont="1" applyFill="1" applyBorder="1" applyAlignment="1">
      <alignment horizontal="center" vertical="center"/>
    </xf>
    <xf numFmtId="0" fontId="5" fillId="3" borderId="1"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2" fillId="22" borderId="82" xfId="0" applyFont="1" applyFill="1" applyBorder="1" applyAlignment="1">
      <alignment vertical="center"/>
    </xf>
    <xf numFmtId="0" fontId="2" fillId="2" borderId="83" xfId="0" applyFont="1" applyFill="1" applyBorder="1" applyAlignment="1">
      <alignment vertical="center"/>
    </xf>
    <xf numFmtId="0" fontId="2" fillId="22" borderId="85" xfId="0" applyFont="1" applyFill="1" applyBorder="1" applyAlignment="1">
      <alignment vertical="center"/>
    </xf>
    <xf numFmtId="0" fontId="2" fillId="22" borderId="86" xfId="0" applyFont="1" applyFill="1" applyBorder="1" applyAlignment="1">
      <alignment vertical="center"/>
    </xf>
    <xf numFmtId="0" fontId="21" fillId="22" borderId="2" xfId="0" applyFont="1" applyFill="1" applyBorder="1" applyAlignment="1">
      <alignment horizontal="center" vertical="center"/>
    </xf>
    <xf numFmtId="0" fontId="21" fillId="22" borderId="82" xfId="0" applyFont="1" applyFill="1" applyBorder="1" applyAlignment="1">
      <alignment horizontal="center" vertical="center"/>
    </xf>
    <xf numFmtId="0" fontId="21" fillId="2" borderId="83" xfId="0" applyFont="1" applyFill="1" applyBorder="1" applyAlignment="1">
      <alignment horizontal="center" vertical="center"/>
    </xf>
    <xf numFmtId="0" fontId="21" fillId="22" borderId="83" xfId="0" applyFont="1" applyFill="1" applyBorder="1" applyAlignment="1">
      <alignment horizontal="center" vertical="center"/>
    </xf>
    <xf numFmtId="0" fontId="21" fillId="22" borderId="89" xfId="0" applyFont="1" applyFill="1" applyBorder="1" applyAlignment="1">
      <alignment horizontal="center" vertical="center"/>
    </xf>
    <xf numFmtId="0" fontId="2" fillId="22" borderId="3" xfId="0" applyFont="1" applyFill="1" applyBorder="1" applyAlignment="1">
      <alignment vertical="center"/>
    </xf>
    <xf numFmtId="0" fontId="24" fillId="2" borderId="0" xfId="0" applyFont="1" applyFill="1" applyAlignment="1">
      <alignment horizontal="left" vertical="center"/>
    </xf>
    <xf numFmtId="0" fontId="24" fillId="2" borderId="11" xfId="0" applyFont="1" applyFill="1" applyBorder="1" applyAlignment="1">
      <alignment horizontal="left" vertical="center"/>
    </xf>
    <xf numFmtId="0" fontId="2" fillId="2" borderId="0" xfId="0" applyFont="1" applyFill="1" applyAlignment="1">
      <alignment horizontal="left" vertical="center"/>
    </xf>
    <xf numFmtId="0" fontId="2" fillId="2" borderId="11" xfId="0" applyFont="1" applyFill="1" applyBorder="1" applyAlignment="1">
      <alignment horizontal="left" vertical="center"/>
    </xf>
    <xf numFmtId="0" fontId="19" fillId="22" borderId="6" xfId="0" applyFont="1" applyFill="1" applyBorder="1" applyAlignment="1">
      <alignment horizontal="center" vertical="center"/>
    </xf>
    <xf numFmtId="0" fontId="19" fillId="2" borderId="5" xfId="0" applyFont="1" applyFill="1" applyBorder="1" applyAlignment="1">
      <alignment vertical="center"/>
    </xf>
    <xf numFmtId="0" fontId="21" fillId="2" borderId="0" xfId="0" applyFont="1" applyFill="1" applyAlignment="1">
      <alignment horizontal="left" vertical="center"/>
    </xf>
    <xf numFmtId="0" fontId="21" fillId="2" borderId="11" xfId="0" applyFont="1" applyFill="1" applyBorder="1" applyAlignment="1">
      <alignment horizontal="left" vertical="center"/>
    </xf>
    <xf numFmtId="0" fontId="19" fillId="2" borderId="5" xfId="0" applyFont="1" applyFill="1" applyBorder="1" applyAlignment="1">
      <alignment horizontal="left" vertical="center"/>
    </xf>
    <xf numFmtId="0" fontId="19" fillId="2" borderId="6" xfId="0" applyFont="1" applyFill="1" applyBorder="1" applyAlignment="1">
      <alignment horizontal="left" vertical="center"/>
    </xf>
    <xf numFmtId="0" fontId="21" fillId="22" borderId="6" xfId="0" applyFont="1" applyFill="1" applyBorder="1" applyAlignment="1">
      <alignment horizontal="center" vertical="center"/>
    </xf>
    <xf numFmtId="0" fontId="1" fillId="0" borderId="0" xfId="0" applyFont="1" applyAlignment="1">
      <alignment horizontal="center"/>
    </xf>
    <xf numFmtId="0" fontId="0" fillId="0" borderId="0" xfId="0" applyAlignment="1">
      <alignment horizontal="center"/>
    </xf>
    <xf numFmtId="0" fontId="7" fillId="4" borderId="12" xfId="0" applyFont="1" applyFill="1" applyBorder="1" applyAlignment="1">
      <alignment horizontal="right" vertical="center"/>
    </xf>
    <xf numFmtId="0" fontId="7" fillId="4" borderId="13" xfId="0" applyFont="1" applyFill="1" applyBorder="1" applyAlignment="1">
      <alignment horizontal="left" vertical="center"/>
    </xf>
    <xf numFmtId="0" fontId="0" fillId="6" borderId="15" xfId="0" applyFill="1" applyBorder="1"/>
    <xf numFmtId="0" fontId="0" fillId="6" borderId="20" xfId="0" applyFill="1" applyBorder="1" applyAlignment="1">
      <alignment horizontal="right" vertical="center"/>
    </xf>
    <xf numFmtId="0" fontId="0" fillId="6" borderId="21" xfId="0" applyFill="1" applyBorder="1"/>
    <xf numFmtId="0" fontId="8" fillId="5" borderId="14" xfId="0" applyFont="1" applyFill="1" applyBorder="1" applyAlignment="1">
      <alignment horizontal="left" vertical="top" wrapText="1"/>
    </xf>
    <xf numFmtId="0" fontId="0" fillId="6" borderId="18" xfId="0" applyFill="1" applyBorder="1"/>
    <xf numFmtId="0" fontId="0" fillId="6" borderId="19" xfId="0" applyFill="1" applyBorder="1" applyAlignment="1">
      <alignment horizontal="right" vertical="center"/>
    </xf>
    <xf numFmtId="0" fontId="0" fillId="7" borderId="16" xfId="0" applyFill="1" applyBorder="1"/>
    <xf numFmtId="0" fontId="0" fillId="11" borderId="10" xfId="0" applyFill="1" applyBorder="1" applyAlignment="1">
      <alignment horizontal="right"/>
    </xf>
    <xf numFmtId="0" fontId="0" fillId="11" borderId="0" xfId="0" applyFill="1" applyAlignment="1">
      <alignment horizontal="right"/>
    </xf>
    <xf numFmtId="0" fontId="0" fillId="5" borderId="22" xfId="0" applyFill="1" applyBorder="1"/>
    <xf numFmtId="0" fontId="0" fillId="5" borderId="24" xfId="0" applyFill="1" applyBorder="1" applyAlignment="1">
      <alignment horizontal="right" vertical="center"/>
    </xf>
    <xf numFmtId="0" fontId="0" fillId="8" borderId="16" xfId="0" applyFill="1" applyBorder="1"/>
    <xf numFmtId="0" fontId="0" fillId="6" borderId="22" xfId="0" applyFill="1" applyBorder="1"/>
    <xf numFmtId="0" fontId="0" fillId="6" borderId="24" xfId="0" applyFill="1" applyBorder="1" applyAlignment="1">
      <alignment horizontal="right" vertical="center"/>
    </xf>
    <xf numFmtId="0" fontId="0" fillId="5" borderId="0" xfId="0" applyFill="1" applyAlignment="1">
      <alignment horizontal="right" vertical="center"/>
    </xf>
    <xf numFmtId="0" fontId="0" fillId="5" borderId="23" xfId="0" applyFill="1" applyBorder="1"/>
    <xf numFmtId="0" fontId="0" fillId="5" borderId="26" xfId="0" applyFill="1" applyBorder="1"/>
    <xf numFmtId="0" fontId="0" fillId="6" borderId="17" xfId="0" applyFill="1" applyBorder="1"/>
    <xf numFmtId="0" fontId="0" fillId="6" borderId="27" xfId="0" applyFill="1" applyBorder="1" applyAlignment="1">
      <alignment horizontal="right" vertical="center"/>
    </xf>
    <xf numFmtId="0" fontId="0" fillId="6" borderId="28" xfId="0" applyFill="1" applyBorder="1" applyAlignment="1">
      <alignment horizontal="left"/>
    </xf>
    <xf numFmtId="0" fontId="0" fillId="5" borderId="0" xfId="0" applyFill="1" applyAlignment="1">
      <alignment horizontal="left"/>
    </xf>
    <xf numFmtId="0" fontId="0" fillId="5" borderId="26" xfId="0" applyFill="1" applyBorder="1" applyAlignment="1">
      <alignment horizontal="left" vertical="center"/>
    </xf>
    <xf numFmtId="0" fontId="0" fillId="6" borderId="0" xfId="0" applyFill="1" applyAlignment="1">
      <alignment horizontal="right" vertical="center"/>
    </xf>
    <xf numFmtId="0" fontId="0" fillId="6" borderId="26" xfId="0" applyFill="1" applyBorder="1" applyAlignment="1">
      <alignment horizontal="left"/>
    </xf>
    <xf numFmtId="0" fontId="0" fillId="5" borderId="25" xfId="0" applyFill="1" applyBorder="1" applyAlignment="1">
      <alignment horizontal="left"/>
    </xf>
    <xf numFmtId="0" fontId="0" fillId="6" borderId="0" xfId="0" applyFill="1" applyAlignment="1">
      <alignment horizontal="left"/>
    </xf>
    <xf numFmtId="0" fontId="0" fillId="6" borderId="26" xfId="0" applyFill="1" applyBorder="1" applyAlignment="1">
      <alignment horizontal="left" vertical="center"/>
    </xf>
    <xf numFmtId="0" fontId="0" fillId="5" borderId="22" xfId="0" applyFill="1" applyBorder="1" applyAlignment="1">
      <alignment horizontal="right"/>
    </xf>
    <xf numFmtId="0" fontId="0" fillId="5" borderId="31" xfId="0" applyFill="1" applyBorder="1" applyAlignment="1">
      <alignment horizontal="center"/>
    </xf>
    <xf numFmtId="0" fontId="0" fillId="8" borderId="30" xfId="0" applyFill="1" applyBorder="1"/>
    <xf numFmtId="0" fontId="0" fillId="6" borderId="17" xfId="0" applyFill="1" applyBorder="1" applyAlignment="1">
      <alignment horizontal="right"/>
    </xf>
    <xf numFmtId="0" fontId="0" fillId="6" borderId="32" xfId="0" applyFill="1" applyBorder="1" applyAlignment="1">
      <alignment horizontal="center"/>
    </xf>
    <xf numFmtId="0" fontId="0" fillId="7" borderId="30" xfId="0" applyFill="1" applyBorder="1"/>
    <xf numFmtId="0" fontId="0" fillId="6" borderId="22" xfId="0" applyFill="1" applyBorder="1" applyAlignment="1">
      <alignment horizontal="right"/>
    </xf>
    <xf numFmtId="0" fontId="0" fillId="6" borderId="31" xfId="0" applyFill="1" applyBorder="1" applyAlignment="1">
      <alignment horizontal="center"/>
    </xf>
    <xf numFmtId="0" fontId="0" fillId="6" borderId="15" xfId="0" applyFill="1" applyBorder="1" applyAlignment="1">
      <alignment horizontal="right"/>
    </xf>
    <xf numFmtId="0" fontId="0" fillId="6" borderId="29" xfId="0" applyFill="1" applyBorder="1" applyAlignment="1">
      <alignment horizontal="center"/>
    </xf>
    <xf numFmtId="0" fontId="0" fillId="6" borderId="10" xfId="0" applyFill="1" applyBorder="1" applyAlignment="1">
      <alignment horizontal="right"/>
    </xf>
    <xf numFmtId="0" fontId="0" fillId="6" borderId="0" xfId="0" applyFill="1" applyAlignment="1">
      <alignment horizontal="right"/>
    </xf>
    <xf numFmtId="0" fontId="9" fillId="6" borderId="0" xfId="0" applyFont="1" applyFill="1" applyAlignment="1">
      <alignment horizontal="center"/>
    </xf>
    <xf numFmtId="0" fontId="0" fillId="5" borderId="10" xfId="0" applyFill="1" applyBorder="1" applyAlignment="1">
      <alignment horizontal="right"/>
    </xf>
    <xf numFmtId="0" fontId="0" fillId="5" borderId="0" xfId="0" applyFill="1" applyAlignment="1">
      <alignment horizontal="right"/>
    </xf>
    <xf numFmtId="0" fontId="9" fillId="10" borderId="0" xfId="0" applyFont="1" applyFill="1" applyAlignment="1">
      <alignment horizontal="center"/>
    </xf>
    <xf numFmtId="0" fontId="7" fillId="4" borderId="75" xfId="0" applyFont="1" applyFill="1" applyBorder="1" applyAlignment="1">
      <alignment horizontal="right" vertical="center"/>
    </xf>
    <xf numFmtId="0" fontId="7" fillId="4" borderId="76" xfId="0" applyFont="1" applyFill="1" applyBorder="1" applyAlignment="1">
      <alignment horizontal="right" vertical="center"/>
    </xf>
    <xf numFmtId="0" fontId="7" fillId="4" borderId="77" xfId="0" applyFont="1" applyFill="1" applyBorder="1" applyAlignment="1">
      <alignment horizontal="left" vertical="center"/>
    </xf>
    <xf numFmtId="0" fontId="7" fillId="4" borderId="78" xfId="0" applyFont="1" applyFill="1" applyBorder="1" applyAlignment="1">
      <alignment horizontal="left" vertical="center"/>
    </xf>
    <xf numFmtId="0" fontId="8" fillId="6" borderId="45" xfId="0" applyFont="1" applyFill="1" applyBorder="1" applyAlignment="1">
      <alignment horizontal="left" vertical="top" wrapText="1"/>
    </xf>
    <xf numFmtId="0" fontId="8" fillId="6" borderId="33" xfId="0" applyFont="1" applyFill="1" applyBorder="1" applyAlignment="1">
      <alignment horizontal="left" vertical="top" wrapText="1"/>
    </xf>
    <xf numFmtId="0" fontId="8" fillId="6" borderId="46" xfId="0" applyFont="1" applyFill="1" applyBorder="1" applyAlignment="1">
      <alignment horizontal="left" vertical="top" wrapText="1"/>
    </xf>
    <xf numFmtId="0" fontId="8" fillId="6" borderId="79" xfId="0" applyFont="1" applyFill="1" applyBorder="1" applyAlignment="1">
      <alignment horizontal="left" vertical="top" wrapText="1"/>
    </xf>
    <xf numFmtId="0" fontId="8" fillId="6" borderId="14" xfId="0" applyFont="1" applyFill="1" applyBorder="1" applyAlignment="1">
      <alignment horizontal="left" vertical="top" wrapText="1"/>
    </xf>
    <xf numFmtId="0" fontId="8" fillId="6" borderId="80" xfId="0" applyFont="1" applyFill="1" applyBorder="1" applyAlignment="1">
      <alignment horizontal="left" vertical="top" wrapText="1"/>
    </xf>
    <xf numFmtId="0" fontId="0" fillId="9" borderId="1" xfId="0" applyFill="1" applyBorder="1"/>
    <xf numFmtId="0" fontId="0" fillId="9" borderId="2" xfId="0" applyFill="1" applyBorder="1"/>
    <xf numFmtId="0" fontId="0" fillId="9" borderId="2" xfId="0" applyFill="1" applyBorder="1" applyAlignment="1">
      <alignment horizontal="center"/>
    </xf>
    <xf numFmtId="0" fontId="0" fillId="9" borderId="3" xfId="0" applyFill="1" applyBorder="1" applyAlignment="1">
      <alignment horizontal="center"/>
    </xf>
    <xf numFmtId="0" fontId="0" fillId="6" borderId="0" xfId="0" applyFill="1" applyAlignment="1">
      <alignment horizontal="center"/>
    </xf>
    <xf numFmtId="0" fontId="0" fillId="6" borderId="11" xfId="0" applyFill="1" applyBorder="1" applyAlignment="1">
      <alignment horizontal="center"/>
    </xf>
    <xf numFmtId="0" fontId="0" fillId="10" borderId="0" xfId="0" applyFill="1" applyAlignment="1">
      <alignment horizontal="center"/>
    </xf>
    <xf numFmtId="0" fontId="0" fillId="10" borderId="11" xfId="0" applyFill="1" applyBorder="1" applyAlignment="1">
      <alignment horizontal="center"/>
    </xf>
    <xf numFmtId="0" fontId="13" fillId="6" borderId="0" xfId="0" applyFont="1" applyFill="1" applyAlignment="1">
      <alignment horizontal="center"/>
    </xf>
    <xf numFmtId="0" fontId="13" fillId="10" borderId="0" xfId="0" applyFont="1" applyFill="1" applyAlignment="1">
      <alignment horizontal="center"/>
    </xf>
    <xf numFmtId="0" fontId="8" fillId="10" borderId="7" xfId="0" applyFont="1" applyFill="1" applyBorder="1" applyAlignment="1">
      <alignment horizontal="left" vertical="top" wrapText="1"/>
    </xf>
    <xf numFmtId="0" fontId="8" fillId="10" borderId="8" xfId="0" applyFont="1" applyFill="1" applyBorder="1" applyAlignment="1">
      <alignment horizontal="left" vertical="top" wrapText="1"/>
    </xf>
    <xf numFmtId="0" fontId="8" fillId="10" borderId="9" xfId="0" applyFont="1" applyFill="1" applyBorder="1" applyAlignment="1">
      <alignment horizontal="left" vertical="top" wrapText="1"/>
    </xf>
    <xf numFmtId="0" fontId="0" fillId="5" borderId="4" xfId="0" applyFill="1" applyBorder="1" applyAlignment="1">
      <alignment horizontal="right"/>
    </xf>
    <xf numFmtId="0" fontId="0" fillId="5" borderId="5" xfId="0" applyFill="1" applyBorder="1" applyAlignment="1">
      <alignment horizontal="right"/>
    </xf>
    <xf numFmtId="0" fontId="9" fillId="10" borderId="5" xfId="0" applyFont="1" applyFill="1" applyBorder="1" applyAlignment="1">
      <alignment horizontal="center"/>
    </xf>
    <xf numFmtId="0" fontId="0" fillId="10" borderId="5" xfId="0" applyFill="1" applyBorder="1" applyAlignment="1">
      <alignment horizontal="center"/>
    </xf>
    <xf numFmtId="0" fontId="0" fillId="10" borderId="6" xfId="0" applyFill="1" applyBorder="1" applyAlignment="1">
      <alignment horizontal="center"/>
    </xf>
    <xf numFmtId="0" fontId="13" fillId="10" borderId="5" xfId="0" applyFont="1" applyFill="1" applyBorder="1" applyAlignment="1">
      <alignment horizontal="center"/>
    </xf>
    <xf numFmtId="0" fontId="0" fillId="5" borderId="36" xfId="0" applyFill="1" applyBorder="1" applyAlignment="1">
      <alignment horizontal="right"/>
    </xf>
    <xf numFmtId="0" fontId="0" fillId="8" borderId="35" xfId="0" applyFill="1" applyBorder="1"/>
    <xf numFmtId="0" fontId="0" fillId="6" borderId="36" xfId="0" applyFill="1" applyBorder="1" applyAlignment="1">
      <alignment horizontal="right"/>
    </xf>
    <xf numFmtId="0" fontId="0" fillId="7" borderId="35" xfId="0" applyFill="1" applyBorder="1"/>
    <xf numFmtId="0" fontId="0" fillId="6" borderId="34" xfId="0" applyFill="1" applyBorder="1" applyAlignment="1">
      <alignment horizontal="right"/>
    </xf>
    <xf numFmtId="0" fontId="0" fillId="5" borderId="40" xfId="0" applyFill="1" applyBorder="1" applyAlignment="1">
      <alignment horizontal="right"/>
    </xf>
    <xf numFmtId="0" fontId="0" fillId="8" borderId="35" xfId="0" applyFill="1" applyBorder="1" applyAlignment="1">
      <alignment horizontal="center"/>
    </xf>
    <xf numFmtId="0" fontId="0" fillId="6" borderId="40" xfId="0" applyFill="1" applyBorder="1" applyAlignment="1">
      <alignment horizontal="right"/>
    </xf>
    <xf numFmtId="0" fontId="0" fillId="7" borderId="35" xfId="0" applyFill="1" applyBorder="1" applyAlignment="1">
      <alignment horizontal="center"/>
    </xf>
    <xf numFmtId="0" fontId="8" fillId="5" borderId="33" xfId="0" applyFont="1" applyFill="1" applyBorder="1" applyAlignment="1">
      <alignment horizontal="left" vertical="top" wrapText="1"/>
    </xf>
    <xf numFmtId="0" fontId="8" fillId="5" borderId="38" xfId="0" applyFont="1" applyFill="1" applyBorder="1" applyAlignment="1">
      <alignment horizontal="left" vertical="top" wrapText="1"/>
    </xf>
    <xf numFmtId="0" fontId="8" fillId="6" borderId="38" xfId="0" applyFont="1" applyFill="1" applyBorder="1" applyAlignment="1">
      <alignment horizontal="left" vertical="top" wrapText="1"/>
    </xf>
    <xf numFmtId="0" fontId="0" fillId="6" borderId="39" xfId="0" applyFill="1" applyBorder="1" applyAlignment="1">
      <alignment horizontal="right"/>
    </xf>
    <xf numFmtId="0" fontId="0" fillId="5" borderId="37" xfId="0" applyFill="1" applyBorder="1" applyAlignment="1">
      <alignment horizontal="right"/>
    </xf>
    <xf numFmtId="0" fontId="0" fillId="5" borderId="41" xfId="0" applyFill="1" applyBorder="1" applyAlignment="1">
      <alignment horizontal="right"/>
    </xf>
    <xf numFmtId="0" fontId="0" fillId="12" borderId="0" xfId="0" applyFill="1" applyAlignment="1">
      <alignment horizontal="center"/>
    </xf>
    <xf numFmtId="0" fontId="0" fillId="12" borderId="0" xfId="0" applyFill="1"/>
    <xf numFmtId="0" fontId="0" fillId="12" borderId="51" xfId="0" applyFill="1" applyBorder="1"/>
    <xf numFmtId="0" fontId="0" fillId="6" borderId="0" xfId="0" applyFill="1"/>
    <xf numFmtId="0" fontId="0" fillId="6" borderId="11" xfId="0" applyFill="1" applyBorder="1"/>
    <xf numFmtId="0" fontId="0" fillId="13" borderId="10" xfId="0" applyFill="1" applyBorder="1" applyAlignment="1">
      <alignment horizontal="right"/>
    </xf>
    <xf numFmtId="0" fontId="0" fillId="13" borderId="0" xfId="0" applyFill="1" applyAlignment="1">
      <alignment horizontal="right"/>
    </xf>
    <xf numFmtId="0" fontId="0" fillId="13" borderId="0" xfId="0" applyFill="1"/>
    <xf numFmtId="0" fontId="0" fillId="13" borderId="51" xfId="0" applyFill="1" applyBorder="1"/>
    <xf numFmtId="0" fontId="0" fillId="5" borderId="0" xfId="0" applyFill="1"/>
    <xf numFmtId="0" fontId="0" fillId="5" borderId="11" xfId="0" applyFill="1" applyBorder="1"/>
    <xf numFmtId="0" fontId="7" fillId="4" borderId="15" xfId="0" applyFont="1" applyFill="1" applyBorder="1" applyAlignment="1">
      <alignment horizontal="right" vertical="center"/>
    </xf>
    <xf numFmtId="0" fontId="7" fillId="4" borderId="21" xfId="0" applyFont="1" applyFill="1" applyBorder="1" applyAlignment="1">
      <alignment horizontal="left" vertical="center"/>
    </xf>
    <xf numFmtId="0" fontId="8" fillId="6" borderId="42" xfId="0" applyFont="1" applyFill="1" applyBorder="1" applyAlignment="1">
      <alignment horizontal="left" vertical="top" wrapText="1"/>
    </xf>
    <xf numFmtId="0" fontId="8" fillId="6" borderId="43" xfId="0" applyFont="1" applyFill="1" applyBorder="1" applyAlignment="1">
      <alignment horizontal="left" vertical="top" wrapText="1"/>
    </xf>
    <xf numFmtId="0" fontId="8" fillId="6" borderId="44" xfId="0" applyFont="1" applyFill="1" applyBorder="1" applyAlignment="1">
      <alignment horizontal="left" vertical="top" wrapText="1"/>
    </xf>
    <xf numFmtId="0" fontId="8" fillId="6" borderId="47" xfId="0" applyFont="1" applyFill="1" applyBorder="1" applyAlignment="1">
      <alignment horizontal="left" vertical="top" wrapText="1"/>
    </xf>
    <xf numFmtId="0" fontId="8" fillId="6" borderId="48" xfId="0" applyFont="1" applyFill="1" applyBorder="1" applyAlignment="1">
      <alignment horizontal="left" vertical="top" wrapText="1"/>
    </xf>
    <xf numFmtId="0" fontId="8" fillId="6" borderId="49" xfId="0" applyFont="1" applyFill="1" applyBorder="1" applyAlignment="1">
      <alignment horizontal="left" vertical="top" wrapText="1"/>
    </xf>
    <xf numFmtId="0" fontId="0" fillId="5" borderId="1" xfId="0" applyFill="1" applyBorder="1" applyAlignment="1">
      <alignment horizontal="right"/>
    </xf>
    <xf numFmtId="0" fontId="0" fillId="5" borderId="2" xfId="0" applyFill="1" applyBorder="1" applyAlignment="1">
      <alignment horizontal="right"/>
    </xf>
    <xf numFmtId="0" fontId="0" fillId="5" borderId="2" xfId="0" applyFill="1" applyBorder="1" applyAlignment="1">
      <alignment horizontal="center"/>
    </xf>
    <xf numFmtId="0" fontId="0" fillId="5" borderId="2" xfId="0" applyFill="1" applyBorder="1"/>
    <xf numFmtId="0" fontId="0" fillId="5" borderId="50" xfId="0" applyFill="1" applyBorder="1"/>
    <xf numFmtId="0" fontId="0" fillId="5" borderId="3" xfId="0" applyFill="1" applyBorder="1"/>
    <xf numFmtId="0" fontId="0" fillId="13" borderId="4" xfId="0" applyFill="1" applyBorder="1" applyAlignment="1">
      <alignment horizontal="right"/>
    </xf>
    <xf numFmtId="0" fontId="0" fillId="13" borderId="5" xfId="0" applyFill="1" applyBorder="1" applyAlignment="1">
      <alignment horizontal="right"/>
    </xf>
    <xf numFmtId="0" fontId="0" fillId="13" borderId="5" xfId="0" applyFill="1" applyBorder="1"/>
    <xf numFmtId="0" fontId="0" fillId="13" borderId="52" xfId="0" applyFill="1" applyBorder="1"/>
    <xf numFmtId="0" fontId="0" fillId="5" borderId="5" xfId="0" applyFill="1" applyBorder="1"/>
    <xf numFmtId="0" fontId="0" fillId="5" borderId="6" xfId="0" applyFill="1" applyBorder="1"/>
    <xf numFmtId="0" fontId="0" fillId="10" borderId="22" xfId="0" applyFill="1" applyBorder="1"/>
    <xf numFmtId="0" fontId="0" fillId="10" borderId="26" xfId="0" applyFill="1" applyBorder="1" applyAlignment="1">
      <alignment horizontal="left"/>
    </xf>
    <xf numFmtId="0" fontId="10" fillId="9" borderId="22" xfId="0" applyFont="1" applyFill="1" applyBorder="1"/>
    <xf numFmtId="0" fontId="10" fillId="9" borderId="26" xfId="0" applyFont="1" applyFill="1" applyBorder="1"/>
    <xf numFmtId="0" fontId="10" fillId="9" borderId="15" xfId="0" applyFont="1" applyFill="1" applyBorder="1"/>
    <xf numFmtId="0" fontId="10" fillId="9" borderId="21" xfId="0" applyFont="1" applyFill="1" applyBorder="1"/>
    <xf numFmtId="0" fontId="8" fillId="5" borderId="1" xfId="0" applyFont="1" applyFill="1" applyBorder="1" applyAlignment="1">
      <alignment horizontal="left" vertical="top" wrapText="1"/>
    </xf>
    <xf numFmtId="0" fontId="8" fillId="5" borderId="2" xfId="0" applyFont="1" applyFill="1" applyBorder="1" applyAlignment="1">
      <alignment horizontal="left" vertical="top" wrapText="1"/>
    </xf>
    <xf numFmtId="0" fontId="8" fillId="5" borderId="3" xfId="0" applyFont="1" applyFill="1" applyBorder="1" applyAlignment="1">
      <alignment horizontal="left" vertical="top" wrapText="1"/>
    </xf>
    <xf numFmtId="0" fontId="8" fillId="6" borderId="10" xfId="0" applyFont="1" applyFill="1" applyBorder="1" applyAlignment="1">
      <alignment horizontal="left" vertical="top" wrapText="1"/>
    </xf>
    <xf numFmtId="0" fontId="8" fillId="6" borderId="0" xfId="0" applyFont="1" applyFill="1" applyAlignment="1">
      <alignment horizontal="left" vertical="top" wrapText="1"/>
    </xf>
    <xf numFmtId="0" fontId="8" fillId="6" borderId="11" xfId="0" applyFont="1" applyFill="1" applyBorder="1" applyAlignment="1">
      <alignment horizontal="left" vertical="top" wrapText="1"/>
    </xf>
    <xf numFmtId="0" fontId="10" fillId="9" borderId="81" xfId="0" applyFont="1" applyFill="1" applyBorder="1"/>
    <xf numFmtId="0" fontId="10" fillId="9" borderId="0" xfId="0" applyFont="1" applyFill="1"/>
    <xf numFmtId="0" fontId="10" fillId="9" borderId="26" xfId="0" applyFont="1" applyFill="1" applyBorder="1" applyAlignment="1">
      <alignment horizontal="center"/>
    </xf>
    <xf numFmtId="0" fontId="0" fillId="5" borderId="61" xfId="0" applyFill="1" applyBorder="1" applyAlignment="1">
      <alignment horizontal="left"/>
    </xf>
    <xf numFmtId="0" fontId="0" fillId="5" borderId="26" xfId="0" applyFill="1" applyBorder="1" applyAlignment="1">
      <alignment horizontal="center"/>
    </xf>
    <xf numFmtId="0" fontId="0" fillId="6" borderId="61" xfId="0" applyFill="1" applyBorder="1" applyAlignment="1">
      <alignment horizontal="left"/>
    </xf>
    <xf numFmtId="0" fontId="0" fillId="6" borderId="26" xfId="0" applyFill="1" applyBorder="1" applyAlignment="1">
      <alignment horizontal="center"/>
    </xf>
    <xf numFmtId="0" fontId="0" fillId="6" borderId="93" xfId="0" applyFill="1" applyBorder="1" applyAlignment="1">
      <alignment horizontal="left"/>
    </xf>
    <xf numFmtId="0" fontId="0" fillId="6" borderId="6" xfId="0" applyFill="1" applyBorder="1" applyAlignment="1">
      <alignment horizontal="left"/>
    </xf>
    <xf numFmtId="0" fontId="8" fillId="5" borderId="4" xfId="0" applyFont="1" applyFill="1" applyBorder="1" applyAlignment="1">
      <alignment horizontal="left" vertical="top" wrapText="1"/>
    </xf>
    <xf numFmtId="0" fontId="8" fillId="5" borderId="5" xfId="0" applyFont="1" applyFill="1" applyBorder="1" applyAlignment="1">
      <alignment horizontal="left" vertical="top" wrapText="1"/>
    </xf>
    <xf numFmtId="0" fontId="8" fillId="5" borderId="6" xfId="0" applyFont="1" applyFill="1" applyBorder="1" applyAlignment="1">
      <alignment horizontal="left" vertical="top" wrapText="1"/>
    </xf>
    <xf numFmtId="0" fontId="0" fillId="5" borderId="94" xfId="0" applyFill="1" applyBorder="1" applyAlignment="1">
      <alignment horizontal="left"/>
    </xf>
    <xf numFmtId="0" fontId="0" fillId="5" borderId="93" xfId="0" applyFill="1" applyBorder="1" applyAlignment="1">
      <alignment horizontal="center"/>
    </xf>
    <xf numFmtId="0" fontId="0" fillId="0" borderId="0" xfId="0" applyAlignment="1">
      <alignment horizontal="left"/>
    </xf>
    <xf numFmtId="0" fontId="10" fillId="9" borderId="62" xfId="0" applyFont="1" applyFill="1" applyBorder="1"/>
    <xf numFmtId="0" fontId="10" fillId="9" borderId="20" xfId="0" applyFont="1" applyFill="1" applyBorder="1" applyAlignment="1">
      <alignment horizontal="left"/>
    </xf>
    <xf numFmtId="0" fontId="10" fillId="9" borderId="21" xfId="0" applyFont="1" applyFill="1" applyBorder="1" applyAlignment="1">
      <alignment horizontal="center"/>
    </xf>
    <xf numFmtId="0" fontId="11" fillId="0" borderId="0" xfId="0" applyFont="1" applyAlignment="1">
      <alignment horizontal="center"/>
    </xf>
    <xf numFmtId="0" fontId="0" fillId="0" borderId="0" xfId="0" applyAlignment="1">
      <alignment horizontal="center" textRotation="90"/>
    </xf>
    <xf numFmtId="0" fontId="0" fillId="17" borderId="10" xfId="0" applyFill="1" applyBorder="1" applyAlignment="1">
      <alignment horizontal="right" vertical="center"/>
    </xf>
    <xf numFmtId="0" fontId="0" fillId="17" borderId="0" xfId="0" applyFill="1" applyAlignment="1">
      <alignment horizontal="right" vertical="center"/>
    </xf>
    <xf numFmtId="0" fontId="0" fillId="14" borderId="56" xfId="0" applyFill="1" applyBorder="1" applyAlignment="1">
      <alignment horizontal="right"/>
    </xf>
    <xf numFmtId="0" fontId="0" fillId="14" borderId="57" xfId="0" applyFill="1" applyBorder="1" applyAlignment="1">
      <alignment horizontal="right"/>
    </xf>
    <xf numFmtId="0" fontId="0" fillId="18" borderId="10" xfId="0" applyFill="1" applyBorder="1" applyAlignment="1">
      <alignment horizontal="right" vertical="center"/>
    </xf>
    <xf numFmtId="0" fontId="0" fillId="18" borderId="0" xfId="0" applyFill="1" applyAlignment="1">
      <alignment horizontal="right" vertical="center"/>
    </xf>
    <xf numFmtId="0" fontId="0" fillId="15" borderId="65" xfId="0" applyFill="1" applyBorder="1" applyAlignment="1">
      <alignment horizontal="right"/>
    </xf>
    <xf numFmtId="0" fontId="0" fillId="15" borderId="66" xfId="0" applyFill="1" applyBorder="1" applyAlignment="1">
      <alignment horizontal="right"/>
    </xf>
    <xf numFmtId="0" fontId="0" fillId="16" borderId="69" xfId="0" applyFill="1" applyBorder="1" applyAlignment="1">
      <alignment horizontal="right"/>
    </xf>
    <xf numFmtId="0" fontId="0" fillId="16" borderId="54" xfId="0" applyFill="1" applyBorder="1" applyAlignment="1">
      <alignment horizontal="right"/>
    </xf>
    <xf numFmtId="0" fontId="0" fillId="15" borderId="69" xfId="0" applyFill="1" applyBorder="1" applyAlignment="1">
      <alignment horizontal="right"/>
    </xf>
    <xf numFmtId="0" fontId="0" fillId="15" borderId="54" xfId="0" applyFill="1" applyBorder="1" applyAlignment="1">
      <alignment horizontal="right"/>
    </xf>
    <xf numFmtId="0" fontId="0" fillId="18" borderId="4" xfId="0" applyFill="1" applyBorder="1" applyAlignment="1">
      <alignment horizontal="right" vertical="center"/>
    </xf>
    <xf numFmtId="0" fontId="0" fillId="18" borderId="5" xfId="0" applyFill="1" applyBorder="1" applyAlignment="1">
      <alignment horizontal="right" vertical="center"/>
    </xf>
    <xf numFmtId="0" fontId="0" fillId="14" borderId="65" xfId="0" applyFill="1" applyBorder="1" applyAlignment="1">
      <alignment horizontal="right"/>
    </xf>
    <xf numFmtId="0" fontId="0" fillId="14" borderId="66" xfId="0" applyFill="1" applyBorder="1" applyAlignment="1">
      <alignment horizontal="right"/>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0" fillId="0" borderId="2" xfId="0" applyBorder="1" applyAlignment="1">
      <alignment horizontal="center"/>
    </xf>
  </cellXfs>
  <cellStyles count="5">
    <cellStyle name="Check Cell 2" xfId="3" xr:uid="{592C0957-D06F-4315-ACFD-23880C80C8C5}"/>
    <cellStyle name="Normal" xfId="0" builtinId="0"/>
    <cellStyle name="Normal 2" xfId="1" xr:uid="{8AA13D2E-B431-4E37-B8A0-F7B861FE4137}"/>
    <cellStyle name="Normal 3" xfId="4" xr:uid="{9670185C-C62A-44D7-905B-6499AEEF4F30}"/>
    <cellStyle name="Percent" xfId="2" builtinId="5"/>
  </cellStyles>
  <dxfs count="51">
    <dxf>
      <font>
        <b/>
        <i val="0"/>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s>
  <tableStyles count="0" defaultTableStyle="TableStyleMedium2" defaultPivotStyle="PivotStyleLight16"/>
  <colors>
    <mruColors>
      <color rgb="FFFFFA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sse/Desktop/Hades/RMU%20Spacemaster/Characters/B147-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aster%20Tabl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esse/Desktop/Kulthea/Characters/Character%20AutoSheet.od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acter_Sheet"/>
      <sheetName val="Spell_List"/>
      <sheetName val="Gear_and_Equipment"/>
      <sheetName val="Introduction"/>
      <sheetName val="Profession"/>
      <sheetName val="Level_Up"/>
      <sheetName val="Skills"/>
      <sheetName val="Character_Creation"/>
      <sheetName val="Races"/>
      <sheetName val="Oth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ces"/>
      <sheetName val="Skill Statistics"/>
      <sheetName val="Professions"/>
      <sheetName val="Professional Skills"/>
      <sheetName val="Cultures"/>
      <sheetName val="Talents &amp; Flaws"/>
      <sheetName val="Weapons &amp; Equipment"/>
      <sheetName val="Charts"/>
    </sheetNames>
    <sheetDataSet>
      <sheetData sheetId="0">
        <row r="2">
          <cell r="A2" t="str">
            <v>African</v>
          </cell>
          <cell r="B2">
            <v>36</v>
          </cell>
          <cell r="C2">
            <v>0</v>
          </cell>
          <cell r="D2">
            <v>0</v>
          </cell>
          <cell r="E2">
            <v>3</v>
          </cell>
          <cell r="F2">
            <v>2</v>
          </cell>
          <cell r="G2">
            <v>0</v>
          </cell>
          <cell r="H2">
            <v>0</v>
          </cell>
          <cell r="I2">
            <v>0</v>
          </cell>
          <cell r="J2">
            <v>0</v>
          </cell>
          <cell r="K2">
            <v>0</v>
          </cell>
          <cell r="L2">
            <v>0</v>
          </cell>
          <cell r="M2">
            <v>25</v>
          </cell>
          <cell r="N2">
            <v>0</v>
          </cell>
          <cell r="O2">
            <v>0</v>
          </cell>
          <cell r="P2">
            <v>0</v>
          </cell>
          <cell r="Q2">
            <v>0</v>
          </cell>
          <cell r="R2">
            <v>0</v>
          </cell>
          <cell r="S2">
            <v>0</v>
          </cell>
          <cell r="T2">
            <v>1</v>
          </cell>
          <cell r="U2" t="str">
            <v>M (5)</v>
          </cell>
          <cell r="V2">
            <v>159</v>
          </cell>
          <cell r="X2">
            <v>140</v>
          </cell>
          <cell r="Y2">
            <v>5</v>
          </cell>
          <cell r="AA2">
            <v>0</v>
          </cell>
          <cell r="BE2" t="str">
            <v>Resistance to Elements (heat) I</v>
          </cell>
        </row>
        <row r="3">
          <cell r="A3" t="str">
            <v>African-American</v>
          </cell>
          <cell r="B3">
            <v>44</v>
          </cell>
          <cell r="C3">
            <v>0</v>
          </cell>
          <cell r="D3">
            <v>0</v>
          </cell>
          <cell r="E3">
            <v>1</v>
          </cell>
          <cell r="F3">
            <v>1</v>
          </cell>
          <cell r="G3">
            <v>0</v>
          </cell>
          <cell r="H3">
            <v>0</v>
          </cell>
          <cell r="I3">
            <v>0</v>
          </cell>
          <cell r="J3">
            <v>1</v>
          </cell>
          <cell r="K3">
            <v>0</v>
          </cell>
          <cell r="L3">
            <v>0</v>
          </cell>
          <cell r="M3">
            <v>25</v>
          </cell>
          <cell r="N3">
            <v>0</v>
          </cell>
          <cell r="O3">
            <v>0</v>
          </cell>
          <cell r="P3">
            <v>0</v>
          </cell>
          <cell r="Q3">
            <v>0</v>
          </cell>
          <cell r="R3">
            <v>0</v>
          </cell>
          <cell r="S3">
            <v>0</v>
          </cell>
          <cell r="T3">
            <v>1</v>
          </cell>
          <cell r="U3" t="str">
            <v>M (5)</v>
          </cell>
          <cell r="V3">
            <v>177</v>
          </cell>
          <cell r="X3">
            <v>174</v>
          </cell>
          <cell r="Y3">
            <v>5</v>
          </cell>
          <cell r="AA3">
            <v>0</v>
          </cell>
          <cell r="BE3" t="str">
            <v>Resistance to Elements (heat) I</v>
          </cell>
        </row>
        <row r="4">
          <cell r="A4" t="str">
            <v>American</v>
          </cell>
          <cell r="B4">
            <v>38</v>
          </cell>
          <cell r="C4">
            <v>0</v>
          </cell>
          <cell r="D4">
            <v>0</v>
          </cell>
          <cell r="E4">
            <v>0</v>
          </cell>
          <cell r="F4">
            <v>0</v>
          </cell>
          <cell r="G4">
            <v>0</v>
          </cell>
          <cell r="H4">
            <v>0</v>
          </cell>
          <cell r="I4">
            <v>0</v>
          </cell>
          <cell r="J4">
            <v>4</v>
          </cell>
          <cell r="K4">
            <v>0</v>
          </cell>
          <cell r="L4">
            <v>0</v>
          </cell>
          <cell r="M4">
            <v>25</v>
          </cell>
          <cell r="N4">
            <v>0</v>
          </cell>
          <cell r="O4">
            <v>0</v>
          </cell>
          <cell r="P4">
            <v>0</v>
          </cell>
          <cell r="Q4">
            <v>0</v>
          </cell>
          <cell r="R4">
            <v>0</v>
          </cell>
          <cell r="S4">
            <v>0</v>
          </cell>
          <cell r="T4">
            <v>1</v>
          </cell>
          <cell r="U4" t="str">
            <v>M (5)</v>
          </cell>
          <cell r="V4">
            <v>176</v>
          </cell>
          <cell r="X4">
            <v>172</v>
          </cell>
          <cell r="Y4">
            <v>5</v>
          </cell>
          <cell r="AA4">
            <v>0</v>
          </cell>
          <cell r="BE4" t="str">
            <v>Prodigy (Animal Handling) I</v>
          </cell>
        </row>
        <row r="5">
          <cell r="A5" t="str">
            <v>Canadian</v>
          </cell>
          <cell r="B5">
            <v>56</v>
          </cell>
          <cell r="C5">
            <v>0</v>
          </cell>
          <cell r="D5">
            <v>0</v>
          </cell>
          <cell r="E5">
            <v>0</v>
          </cell>
          <cell r="F5">
            <v>0</v>
          </cell>
          <cell r="G5">
            <v>0</v>
          </cell>
          <cell r="H5">
            <v>0</v>
          </cell>
          <cell r="I5">
            <v>0</v>
          </cell>
          <cell r="J5">
            <v>0</v>
          </cell>
          <cell r="K5">
            <v>0</v>
          </cell>
          <cell r="L5">
            <v>0</v>
          </cell>
          <cell r="M5">
            <v>25</v>
          </cell>
          <cell r="N5">
            <v>0</v>
          </cell>
          <cell r="O5">
            <v>0</v>
          </cell>
          <cell r="P5">
            <v>0</v>
          </cell>
          <cell r="Q5">
            <v>0</v>
          </cell>
          <cell r="R5">
            <v>0</v>
          </cell>
          <cell r="S5">
            <v>0</v>
          </cell>
          <cell r="T5">
            <v>1</v>
          </cell>
          <cell r="U5" t="str">
            <v>M (5)</v>
          </cell>
          <cell r="V5">
            <v>178</v>
          </cell>
          <cell r="X5">
            <v>176</v>
          </cell>
          <cell r="Y5">
            <v>5</v>
          </cell>
          <cell r="AA5">
            <v>0</v>
          </cell>
          <cell r="BE5" t="str">
            <v>Resistance to Elements (cold) I</v>
          </cell>
        </row>
        <row r="6">
          <cell r="A6" t="str">
            <v>Chinese</v>
          </cell>
          <cell r="B6">
            <v>44</v>
          </cell>
          <cell r="C6">
            <v>0</v>
          </cell>
          <cell r="D6">
            <v>0</v>
          </cell>
          <cell r="E6">
            <v>0</v>
          </cell>
          <cell r="F6">
            <v>0</v>
          </cell>
          <cell r="G6">
            <v>0</v>
          </cell>
          <cell r="H6">
            <v>0</v>
          </cell>
          <cell r="I6">
            <v>0</v>
          </cell>
          <cell r="J6">
            <v>0</v>
          </cell>
          <cell r="K6">
            <v>4</v>
          </cell>
          <cell r="L6">
            <v>0</v>
          </cell>
          <cell r="M6">
            <v>25</v>
          </cell>
          <cell r="N6">
            <v>0</v>
          </cell>
          <cell r="O6">
            <v>0</v>
          </cell>
          <cell r="P6">
            <v>0</v>
          </cell>
          <cell r="Q6">
            <v>0</v>
          </cell>
          <cell r="R6">
            <v>0</v>
          </cell>
          <cell r="S6">
            <v>0</v>
          </cell>
          <cell r="T6">
            <v>1</v>
          </cell>
          <cell r="U6" t="str">
            <v>M (5)</v>
          </cell>
          <cell r="V6">
            <v>173</v>
          </cell>
          <cell r="X6">
            <v>166</v>
          </cell>
          <cell r="Y6">
            <v>5</v>
          </cell>
          <cell r="AA6">
            <v>0</v>
          </cell>
        </row>
        <row r="7">
          <cell r="A7" t="str">
            <v>English</v>
          </cell>
          <cell r="B7">
            <v>48</v>
          </cell>
          <cell r="C7">
            <v>0</v>
          </cell>
          <cell r="D7">
            <v>0</v>
          </cell>
          <cell r="E7">
            <v>0</v>
          </cell>
          <cell r="F7">
            <v>0</v>
          </cell>
          <cell r="G7">
            <v>0</v>
          </cell>
          <cell r="H7">
            <v>0</v>
          </cell>
          <cell r="I7">
            <v>0</v>
          </cell>
          <cell r="J7">
            <v>3</v>
          </cell>
          <cell r="K7">
            <v>0</v>
          </cell>
          <cell r="L7">
            <v>0</v>
          </cell>
          <cell r="M7">
            <v>25</v>
          </cell>
          <cell r="N7">
            <v>0</v>
          </cell>
          <cell r="O7">
            <v>0</v>
          </cell>
          <cell r="P7">
            <v>0</v>
          </cell>
          <cell r="Q7">
            <v>0</v>
          </cell>
          <cell r="R7">
            <v>0</v>
          </cell>
          <cell r="S7">
            <v>0</v>
          </cell>
          <cell r="T7">
            <v>1</v>
          </cell>
          <cell r="U7" t="str">
            <v>M (5)</v>
          </cell>
          <cell r="V7">
            <v>177</v>
          </cell>
          <cell r="X7">
            <v>174</v>
          </cell>
          <cell r="Y7">
            <v>5</v>
          </cell>
          <cell r="AA7">
            <v>0</v>
          </cell>
        </row>
        <row r="8">
          <cell r="A8" t="str">
            <v>European</v>
          </cell>
          <cell r="B8">
            <v>56</v>
          </cell>
          <cell r="C8">
            <v>0</v>
          </cell>
          <cell r="D8">
            <v>0</v>
          </cell>
          <cell r="E8">
            <v>0</v>
          </cell>
          <cell r="F8">
            <v>0</v>
          </cell>
          <cell r="G8">
            <v>0</v>
          </cell>
          <cell r="H8">
            <v>0</v>
          </cell>
          <cell r="I8">
            <v>0</v>
          </cell>
          <cell r="J8">
            <v>1</v>
          </cell>
          <cell r="K8">
            <v>0</v>
          </cell>
          <cell r="L8">
            <v>0</v>
          </cell>
          <cell r="M8">
            <v>25</v>
          </cell>
          <cell r="N8">
            <v>0</v>
          </cell>
          <cell r="O8">
            <v>0</v>
          </cell>
          <cell r="P8">
            <v>0</v>
          </cell>
          <cell r="Q8">
            <v>0</v>
          </cell>
          <cell r="R8">
            <v>0</v>
          </cell>
          <cell r="S8">
            <v>0</v>
          </cell>
          <cell r="T8">
            <v>1</v>
          </cell>
          <cell r="U8" t="str">
            <v>M (5)</v>
          </cell>
          <cell r="V8">
            <v>178</v>
          </cell>
          <cell r="X8">
            <v>176</v>
          </cell>
          <cell r="Y8">
            <v>5</v>
          </cell>
          <cell r="AA8">
            <v>0</v>
          </cell>
        </row>
        <row r="9">
          <cell r="A9" t="str">
            <v>French</v>
          </cell>
          <cell r="B9">
            <v>52</v>
          </cell>
          <cell r="C9">
            <v>0</v>
          </cell>
          <cell r="D9">
            <v>0</v>
          </cell>
          <cell r="E9">
            <v>0</v>
          </cell>
          <cell r="F9">
            <v>0</v>
          </cell>
          <cell r="G9">
            <v>0</v>
          </cell>
          <cell r="H9">
            <v>0</v>
          </cell>
          <cell r="I9">
            <v>0</v>
          </cell>
          <cell r="J9">
            <v>2</v>
          </cell>
          <cell r="K9">
            <v>0</v>
          </cell>
          <cell r="L9">
            <v>0</v>
          </cell>
          <cell r="M9">
            <v>25</v>
          </cell>
          <cell r="N9">
            <v>0</v>
          </cell>
          <cell r="O9">
            <v>0</v>
          </cell>
          <cell r="P9">
            <v>0</v>
          </cell>
          <cell r="Q9">
            <v>0</v>
          </cell>
          <cell r="R9">
            <v>0</v>
          </cell>
          <cell r="S9">
            <v>0</v>
          </cell>
          <cell r="T9">
            <v>1</v>
          </cell>
          <cell r="U9" t="str">
            <v>M (5)</v>
          </cell>
          <cell r="V9">
            <v>176</v>
          </cell>
          <cell r="X9">
            <v>172</v>
          </cell>
          <cell r="Y9">
            <v>5</v>
          </cell>
          <cell r="AA9">
            <v>0</v>
          </cell>
        </row>
        <row r="10">
          <cell r="A10" t="str">
            <v>Hispanic</v>
          </cell>
          <cell r="B10">
            <v>48</v>
          </cell>
          <cell r="C10">
            <v>0</v>
          </cell>
          <cell r="D10">
            <v>0</v>
          </cell>
          <cell r="E10">
            <v>0</v>
          </cell>
          <cell r="F10">
            <v>0</v>
          </cell>
          <cell r="G10">
            <v>0</v>
          </cell>
          <cell r="H10">
            <v>0</v>
          </cell>
          <cell r="I10">
            <v>0</v>
          </cell>
          <cell r="J10">
            <v>0</v>
          </cell>
          <cell r="K10">
            <v>0</v>
          </cell>
          <cell r="L10">
            <v>0</v>
          </cell>
          <cell r="M10">
            <v>25</v>
          </cell>
          <cell r="N10">
            <v>0</v>
          </cell>
          <cell r="O10">
            <v>0</v>
          </cell>
          <cell r="P10">
            <v>0</v>
          </cell>
          <cell r="Q10">
            <v>0</v>
          </cell>
          <cell r="R10">
            <v>0</v>
          </cell>
          <cell r="S10">
            <v>0</v>
          </cell>
          <cell r="T10">
            <v>1</v>
          </cell>
          <cell r="U10" t="str">
            <v>M (5)</v>
          </cell>
          <cell r="V10">
            <v>172</v>
          </cell>
          <cell r="X10">
            <v>164</v>
          </cell>
          <cell r="Y10">
            <v>5</v>
          </cell>
          <cell r="AA10">
            <v>0</v>
          </cell>
          <cell r="BE10" t="str">
            <v>Prodigy (Navigation: Marine) I</v>
          </cell>
          <cell r="BF10" t="str">
            <v>Prodigy (Swimming) I</v>
          </cell>
        </row>
        <row r="11">
          <cell r="A11" t="str">
            <v>Irish</v>
          </cell>
          <cell r="B11">
            <v>48</v>
          </cell>
          <cell r="C11">
            <v>0</v>
          </cell>
          <cell r="D11">
            <v>0</v>
          </cell>
          <cell r="E11">
            <v>0</v>
          </cell>
          <cell r="F11">
            <v>0</v>
          </cell>
          <cell r="G11">
            <v>0</v>
          </cell>
          <cell r="H11">
            <v>2</v>
          </cell>
          <cell r="I11">
            <v>0</v>
          </cell>
          <cell r="J11">
            <v>1</v>
          </cell>
          <cell r="K11">
            <v>0</v>
          </cell>
          <cell r="L11">
            <v>0</v>
          </cell>
          <cell r="M11">
            <v>25</v>
          </cell>
          <cell r="N11">
            <v>0</v>
          </cell>
          <cell r="O11">
            <v>0</v>
          </cell>
          <cell r="P11">
            <v>0</v>
          </cell>
          <cell r="Q11">
            <v>0</v>
          </cell>
          <cell r="R11">
            <v>0</v>
          </cell>
          <cell r="S11">
            <v>0</v>
          </cell>
          <cell r="T11">
            <v>1</v>
          </cell>
          <cell r="U11" t="str">
            <v>M (5)</v>
          </cell>
          <cell r="V11">
            <v>178</v>
          </cell>
          <cell r="X11">
            <v>176</v>
          </cell>
          <cell r="Y11">
            <v>5</v>
          </cell>
          <cell r="AA11">
            <v>0</v>
          </cell>
        </row>
        <row r="12">
          <cell r="A12" t="str">
            <v>Japanese</v>
          </cell>
          <cell r="B12">
            <v>40</v>
          </cell>
          <cell r="C12">
            <v>0</v>
          </cell>
          <cell r="D12">
            <v>0</v>
          </cell>
          <cell r="E12">
            <v>0</v>
          </cell>
          <cell r="F12">
            <v>0</v>
          </cell>
          <cell r="G12">
            <v>0</v>
          </cell>
          <cell r="H12">
            <v>0</v>
          </cell>
          <cell r="I12">
            <v>0</v>
          </cell>
          <cell r="J12">
            <v>0</v>
          </cell>
          <cell r="K12">
            <v>5</v>
          </cell>
          <cell r="L12">
            <v>0</v>
          </cell>
          <cell r="M12">
            <v>25</v>
          </cell>
          <cell r="N12">
            <v>0</v>
          </cell>
          <cell r="O12">
            <v>0</v>
          </cell>
          <cell r="P12">
            <v>0</v>
          </cell>
          <cell r="Q12">
            <v>0</v>
          </cell>
          <cell r="R12">
            <v>0</v>
          </cell>
          <cell r="S12">
            <v>0</v>
          </cell>
          <cell r="T12">
            <v>1</v>
          </cell>
          <cell r="U12" t="str">
            <v>M (5)</v>
          </cell>
          <cell r="V12">
            <v>172</v>
          </cell>
          <cell r="X12">
            <v>164</v>
          </cell>
          <cell r="Y12">
            <v>5</v>
          </cell>
          <cell r="AA12">
            <v>0</v>
          </cell>
        </row>
        <row r="13">
          <cell r="A13" t="str">
            <v>Latino</v>
          </cell>
          <cell r="B13">
            <v>60</v>
          </cell>
          <cell r="C13">
            <v>0</v>
          </cell>
          <cell r="D13">
            <v>0</v>
          </cell>
          <cell r="E13">
            <v>0</v>
          </cell>
          <cell r="F13">
            <v>0</v>
          </cell>
          <cell r="G13">
            <v>0</v>
          </cell>
          <cell r="H13">
            <v>0</v>
          </cell>
          <cell r="I13">
            <v>0</v>
          </cell>
          <cell r="J13">
            <v>0</v>
          </cell>
          <cell r="K13">
            <v>0</v>
          </cell>
          <cell r="L13">
            <v>0</v>
          </cell>
          <cell r="M13">
            <v>25</v>
          </cell>
          <cell r="N13">
            <v>0</v>
          </cell>
          <cell r="O13">
            <v>0</v>
          </cell>
          <cell r="P13">
            <v>0</v>
          </cell>
          <cell r="Q13">
            <v>0</v>
          </cell>
          <cell r="R13">
            <v>0</v>
          </cell>
          <cell r="S13">
            <v>0</v>
          </cell>
          <cell r="T13">
            <v>1</v>
          </cell>
          <cell r="U13" t="str">
            <v>M (5)</v>
          </cell>
          <cell r="V13">
            <v>172</v>
          </cell>
          <cell r="X13">
            <v>164</v>
          </cell>
          <cell r="Y13">
            <v>5</v>
          </cell>
          <cell r="AA13">
            <v>0</v>
          </cell>
        </row>
        <row r="14">
          <cell r="A14" t="str">
            <v>Native American</v>
          </cell>
          <cell r="B14">
            <v>32</v>
          </cell>
          <cell r="C14">
            <v>0</v>
          </cell>
          <cell r="D14">
            <v>0</v>
          </cell>
          <cell r="E14">
            <v>0</v>
          </cell>
          <cell r="F14">
            <v>4</v>
          </cell>
          <cell r="G14">
            <v>0</v>
          </cell>
          <cell r="H14">
            <v>0</v>
          </cell>
          <cell r="I14">
            <v>0</v>
          </cell>
          <cell r="J14">
            <v>0</v>
          </cell>
          <cell r="K14">
            <v>0</v>
          </cell>
          <cell r="L14">
            <v>0</v>
          </cell>
          <cell r="M14">
            <v>25</v>
          </cell>
          <cell r="N14">
            <v>0</v>
          </cell>
          <cell r="O14">
            <v>5</v>
          </cell>
          <cell r="P14">
            <v>0</v>
          </cell>
          <cell r="Q14">
            <v>0</v>
          </cell>
          <cell r="R14">
            <v>5</v>
          </cell>
          <cell r="S14">
            <v>0</v>
          </cell>
          <cell r="T14">
            <v>1</v>
          </cell>
          <cell r="U14" t="str">
            <v>M (5)</v>
          </cell>
          <cell r="V14">
            <v>170</v>
          </cell>
          <cell r="X14">
            <v>161</v>
          </cell>
          <cell r="Y14">
            <v>5</v>
          </cell>
          <cell r="AA14">
            <v>0</v>
          </cell>
          <cell r="BE14" t="str">
            <v>Prodigy (Stalking) I</v>
          </cell>
        </row>
        <row r="15">
          <cell r="A15" t="str">
            <v>Russian</v>
          </cell>
          <cell r="B15">
            <v>38</v>
          </cell>
          <cell r="C15">
            <v>0</v>
          </cell>
          <cell r="D15">
            <v>0</v>
          </cell>
          <cell r="E15">
            <v>0</v>
          </cell>
          <cell r="F15">
            <v>0</v>
          </cell>
          <cell r="G15">
            <v>0</v>
          </cell>
          <cell r="H15">
            <v>0</v>
          </cell>
          <cell r="I15">
            <v>0</v>
          </cell>
          <cell r="J15">
            <v>2</v>
          </cell>
          <cell r="K15">
            <v>1</v>
          </cell>
          <cell r="L15">
            <v>0</v>
          </cell>
          <cell r="M15">
            <v>25</v>
          </cell>
          <cell r="N15">
            <v>5</v>
          </cell>
          <cell r="O15">
            <v>0</v>
          </cell>
          <cell r="P15">
            <v>0</v>
          </cell>
          <cell r="Q15">
            <v>0</v>
          </cell>
          <cell r="R15">
            <v>0</v>
          </cell>
          <cell r="S15">
            <v>0</v>
          </cell>
          <cell r="T15">
            <v>1</v>
          </cell>
          <cell r="U15" t="str">
            <v>M (5)</v>
          </cell>
          <cell r="V15">
            <v>177</v>
          </cell>
          <cell r="X15">
            <v>174</v>
          </cell>
          <cell r="Y15">
            <v>5</v>
          </cell>
          <cell r="AA15">
            <v>0</v>
          </cell>
          <cell r="BE15" t="str">
            <v>Resistance to Elements (cold) II</v>
          </cell>
        </row>
      </sheetData>
      <sheetData sheetId="1"/>
      <sheetData sheetId="2">
        <row r="1">
          <cell r="C1" t="str">
            <v>Cowboy</v>
          </cell>
          <cell r="D1" t="str">
            <v>Gambler</v>
          </cell>
          <cell r="E1" t="str">
            <v>Gunslinger</v>
          </cell>
          <cell r="F1" t="str">
            <v>Lawman</v>
          </cell>
          <cell r="G1" t="str">
            <v>Private Detective</v>
          </cell>
          <cell r="H1" t="str">
            <v>Soldier</v>
          </cell>
          <cell r="I1" t="str">
            <v>Merchant</v>
          </cell>
          <cell r="J1" t="str">
            <v>Coachman</v>
          </cell>
          <cell r="K1" t="str">
            <v>Doctor</v>
          </cell>
          <cell r="L1" t="str">
            <v>Stableman</v>
          </cell>
          <cell r="M1" t="str">
            <v>Citizen</v>
          </cell>
          <cell r="N1" t="str">
            <v>Fighter</v>
          </cell>
          <cell r="O1" t="str">
            <v>Warrior Monk</v>
          </cell>
          <cell r="P1" t="str">
            <v>Theif</v>
          </cell>
          <cell r="Q1" t="str">
            <v>Rogue</v>
          </cell>
          <cell r="R1" t="str">
            <v>Labourer</v>
          </cell>
          <cell r="S1" t="str">
            <v>Scholar</v>
          </cell>
          <cell r="T1" t="str">
            <v>Cleric</v>
          </cell>
          <cell r="U1" t="str">
            <v>Druid</v>
          </cell>
          <cell r="V1" t="str">
            <v>Paladin</v>
          </cell>
          <cell r="W1" t="str">
            <v>Ranger</v>
          </cell>
          <cell r="X1" t="str">
            <v>Magician</v>
          </cell>
          <cell r="Y1" t="str">
            <v>Illusionist</v>
          </cell>
          <cell r="Z1" t="str">
            <v>Bard</v>
          </cell>
          <cell r="AA1" t="str">
            <v>Dabbler</v>
          </cell>
          <cell r="AB1" t="str">
            <v>Mentalist</v>
          </cell>
          <cell r="AC1" t="str">
            <v>Lay Healer</v>
          </cell>
          <cell r="AD1" t="str">
            <v>Monk</v>
          </cell>
          <cell r="AE1" t="str">
            <v>Magent</v>
          </cell>
          <cell r="AF1" t="str">
            <v>Healer</v>
          </cell>
          <cell r="AG1" t="str">
            <v>Mystic</v>
          </cell>
          <cell r="AH1" t="str">
            <v>Sorcerer</v>
          </cell>
          <cell r="AI1" t="str">
            <v>Fatale</v>
          </cell>
          <cell r="AJ1" t="str">
            <v>Alchemist, Sanctifier</v>
          </cell>
          <cell r="AK1" t="str">
            <v>Alchemist, Adept</v>
          </cell>
          <cell r="AL1" t="str">
            <v>Alchemist, Psychographer</v>
          </cell>
        </row>
      </sheetData>
      <sheetData sheetId="3"/>
      <sheetData sheetId="4">
        <row r="3">
          <cell r="C3" t="str">
            <v>Cost</v>
          </cell>
          <cell r="D3" t="str">
            <v>Cosmopolitan</v>
          </cell>
          <cell r="E3" t="str">
            <v>Harsh</v>
          </cell>
          <cell r="F3" t="str">
            <v>Highland</v>
          </cell>
          <cell r="G3" t="str">
            <v>Mariner</v>
          </cell>
          <cell r="H3" t="str">
            <v>Nomad</v>
          </cell>
          <cell r="I3" t="str">
            <v>Reaver</v>
          </cell>
          <cell r="J3" t="str">
            <v>Rural</v>
          </cell>
          <cell r="K3" t="str">
            <v>Sylvan</v>
          </cell>
          <cell r="L3" t="str">
            <v>Underground</v>
          </cell>
          <cell r="M3" t="str">
            <v>Urban</v>
          </cell>
        </row>
        <row r="4">
          <cell r="B4" t="str">
            <v>Animal</v>
          </cell>
          <cell r="C4" t="str">
            <v>2</v>
          </cell>
        </row>
        <row r="5">
          <cell r="B5" t="str">
            <v>Animal Handling</v>
          </cell>
          <cell r="C5" t="str">
            <v>2</v>
          </cell>
          <cell r="F5">
            <v>1</v>
          </cell>
          <cell r="H5">
            <v>3</v>
          </cell>
          <cell r="I5">
            <v>1</v>
          </cell>
          <cell r="J5">
            <v>3</v>
          </cell>
          <cell r="K5">
            <v>2</v>
          </cell>
          <cell r="M5">
            <v>1</v>
          </cell>
        </row>
        <row r="6">
          <cell r="B6" t="str">
            <v>Animal Riding</v>
          </cell>
          <cell r="C6" t="str">
            <v>2</v>
          </cell>
          <cell r="H6">
            <v>3</v>
          </cell>
          <cell r="I6">
            <v>1</v>
          </cell>
          <cell r="J6">
            <v>2</v>
          </cell>
        </row>
        <row r="7">
          <cell r="B7" t="str">
            <v>Animal Training</v>
          </cell>
          <cell r="C7" t="str">
            <v>2</v>
          </cell>
        </row>
        <row r="8">
          <cell r="B8" t="str">
            <v>Animal Healing</v>
          </cell>
          <cell r="C8" t="str">
            <v>2</v>
          </cell>
        </row>
        <row r="9">
          <cell r="B9" t="str">
            <v>Awareness</v>
          </cell>
          <cell r="C9" t="str">
            <v>2</v>
          </cell>
        </row>
        <row r="10">
          <cell r="B10" t="str">
            <v>Perception</v>
          </cell>
          <cell r="C10" t="str">
            <v>2</v>
          </cell>
          <cell r="D10">
            <v>2</v>
          </cell>
          <cell r="E10">
            <v>2</v>
          </cell>
          <cell r="F10">
            <v>1</v>
          </cell>
          <cell r="G10">
            <v>2</v>
          </cell>
          <cell r="H10">
            <v>1</v>
          </cell>
          <cell r="I10">
            <v>1</v>
          </cell>
          <cell r="J10">
            <v>1</v>
          </cell>
          <cell r="K10">
            <v>1</v>
          </cell>
          <cell r="L10">
            <v>2</v>
          </cell>
          <cell r="M10">
            <v>2</v>
          </cell>
        </row>
        <row r="11">
          <cell r="B11" t="str">
            <v>Tracking</v>
          </cell>
          <cell r="C11" t="str">
            <v>2</v>
          </cell>
          <cell r="E11">
            <v>1</v>
          </cell>
          <cell r="F11">
            <v>1</v>
          </cell>
          <cell r="H11">
            <v>1</v>
          </cell>
          <cell r="I11">
            <v>2</v>
          </cell>
          <cell r="K11">
            <v>1</v>
          </cell>
        </row>
        <row r="12">
          <cell r="B12" t="str">
            <v>Battle Expertise</v>
          </cell>
          <cell r="C12" t="str">
            <v>3</v>
          </cell>
        </row>
        <row r="13">
          <cell r="B13" t="str">
            <v>Maneuvering in Armour</v>
          </cell>
          <cell r="C13" t="str">
            <v>3</v>
          </cell>
          <cell r="I13">
            <v>1</v>
          </cell>
        </row>
        <row r="14">
          <cell r="B14" t="str">
            <v>Mounted Combat</v>
          </cell>
          <cell r="C14" t="str">
            <v>3</v>
          </cell>
        </row>
        <row r="15">
          <cell r="B15" t="str">
            <v>Protect</v>
          </cell>
          <cell r="C15" t="str">
            <v>3</v>
          </cell>
        </row>
        <row r="16">
          <cell r="B16" t="str">
            <v>Restricted Quarters</v>
          </cell>
          <cell r="C16" t="str">
            <v>3</v>
          </cell>
        </row>
        <row r="17">
          <cell r="B17" t="str">
            <v>Subduing</v>
          </cell>
          <cell r="C17" t="str">
            <v>3</v>
          </cell>
        </row>
        <row r="18">
          <cell r="B18" t="str">
            <v>Body Discipline</v>
          </cell>
          <cell r="C18" t="str">
            <v>4</v>
          </cell>
        </row>
        <row r="19">
          <cell r="B19" t="str">
            <v>Adrenal Defense</v>
          </cell>
          <cell r="C19" t="str">
            <v>4</v>
          </cell>
        </row>
        <row r="20">
          <cell r="B20" t="str">
            <v>Adrenal Focus</v>
          </cell>
          <cell r="C20" t="str">
            <v>4</v>
          </cell>
        </row>
        <row r="21">
          <cell r="B21" t="str">
            <v>Adrenal Speed</v>
          </cell>
          <cell r="C21" t="str">
            <v>4</v>
          </cell>
        </row>
        <row r="22">
          <cell r="B22" t="str">
            <v>Adrenal Strength</v>
          </cell>
          <cell r="C22" t="str">
            <v>4</v>
          </cell>
        </row>
        <row r="23">
          <cell r="B23" t="str">
            <v>Quick-Draw</v>
          </cell>
          <cell r="C23" t="str">
            <v>4</v>
          </cell>
        </row>
        <row r="24">
          <cell r="B24" t="str">
            <v>Brawn</v>
          </cell>
          <cell r="C24" t="str">
            <v>3</v>
          </cell>
        </row>
        <row r="25">
          <cell r="B25" t="str">
            <v>Body Development</v>
          </cell>
          <cell r="C25" t="str">
            <v>3</v>
          </cell>
          <cell r="D25">
            <v>1</v>
          </cell>
          <cell r="E25">
            <v>3</v>
          </cell>
          <cell r="F25">
            <v>2</v>
          </cell>
          <cell r="G25">
            <v>1</v>
          </cell>
          <cell r="H25">
            <v>1</v>
          </cell>
          <cell r="I25">
            <v>2</v>
          </cell>
          <cell r="J25">
            <v>1</v>
          </cell>
          <cell r="K25">
            <v>1</v>
          </cell>
          <cell r="L25">
            <v>2</v>
          </cell>
          <cell r="M25">
            <v>1</v>
          </cell>
        </row>
        <row r="26">
          <cell r="B26" t="str">
            <v>Fortitude</v>
          </cell>
          <cell r="C26" t="str">
            <v>3</v>
          </cell>
        </row>
        <row r="27">
          <cell r="B27" t="str">
            <v>Weight-training</v>
          </cell>
          <cell r="C27" t="str">
            <v>3</v>
          </cell>
          <cell r="G27">
            <v>1</v>
          </cell>
          <cell r="J27">
            <v>1</v>
          </cell>
          <cell r="L27">
            <v>1</v>
          </cell>
        </row>
        <row r="28">
          <cell r="B28" t="str">
            <v>Substance Tolerance</v>
          </cell>
          <cell r="C28" t="str">
            <v>3</v>
          </cell>
        </row>
        <row r="29">
          <cell r="B29" t="str">
            <v>Combat Expertise</v>
          </cell>
          <cell r="C29" t="str">
            <v>3</v>
          </cell>
        </row>
        <row r="30">
          <cell r="B30" t="str">
            <v>Blind Fighting</v>
          </cell>
          <cell r="C30" t="str">
            <v>3</v>
          </cell>
        </row>
        <row r="31">
          <cell r="B31" t="str">
            <v>Disarm</v>
          </cell>
          <cell r="C31" t="str">
            <v>3</v>
          </cell>
        </row>
        <row r="32">
          <cell r="B32" t="str">
            <v>Footwork</v>
          </cell>
          <cell r="C32" t="str">
            <v>3</v>
          </cell>
        </row>
        <row r="33">
          <cell r="B33" t="str">
            <v>Multiple Attacks</v>
          </cell>
          <cell r="C33" t="str">
            <v>3</v>
          </cell>
        </row>
        <row r="34">
          <cell r="B34" t="str">
            <v>Reverse Strike</v>
          </cell>
          <cell r="C34" t="str">
            <v>3</v>
          </cell>
        </row>
        <row r="35">
          <cell r="B35" t="str">
            <v>Combat Training</v>
          </cell>
          <cell r="C35">
            <v>4</v>
          </cell>
        </row>
        <row r="36">
          <cell r="B36" t="str">
            <v>Melee Weapons Skills</v>
          </cell>
          <cell r="C36">
            <v>4</v>
          </cell>
          <cell r="E36">
            <v>1</v>
          </cell>
          <cell r="I36">
            <v>1</v>
          </cell>
          <cell r="L36">
            <v>1</v>
          </cell>
        </row>
        <row r="37">
          <cell r="B37" t="str">
            <v>Ranged Weapons Skills</v>
          </cell>
          <cell r="C37">
            <v>4</v>
          </cell>
          <cell r="D37">
            <v>1</v>
          </cell>
          <cell r="E37">
            <v>1</v>
          </cell>
          <cell r="F37">
            <v>1</v>
          </cell>
          <cell r="H37">
            <v>1</v>
          </cell>
          <cell r="I37">
            <v>1</v>
          </cell>
          <cell r="J37">
            <v>1</v>
          </cell>
          <cell r="K37">
            <v>1</v>
          </cell>
          <cell r="M37">
            <v>1</v>
          </cell>
        </row>
        <row r="38">
          <cell r="B38" t="str">
            <v>Unarmed Skills</v>
          </cell>
          <cell r="C38">
            <v>4</v>
          </cell>
          <cell r="D38">
            <v>1</v>
          </cell>
          <cell r="E38">
            <v>1</v>
          </cell>
          <cell r="F38">
            <v>1</v>
          </cell>
          <cell r="G38">
            <v>1</v>
          </cell>
          <cell r="H38">
            <v>1</v>
          </cell>
          <cell r="I38">
            <v>2</v>
          </cell>
          <cell r="J38">
            <v>1</v>
          </cell>
          <cell r="K38">
            <v>1</v>
          </cell>
          <cell r="L38">
            <v>1</v>
          </cell>
          <cell r="M38">
            <v>1</v>
          </cell>
        </row>
        <row r="39">
          <cell r="B39" t="str">
            <v>Composition &amp; Performance Art Skills</v>
          </cell>
          <cell r="C39" t="str">
            <v>2</v>
          </cell>
          <cell r="D39">
            <v>4</v>
          </cell>
          <cell r="F39">
            <v>1</v>
          </cell>
          <cell r="G39">
            <v>1</v>
          </cell>
          <cell r="H39">
            <v>1</v>
          </cell>
          <cell r="J39">
            <v>1</v>
          </cell>
          <cell r="M39">
            <v>3</v>
          </cell>
        </row>
        <row r="40">
          <cell r="B40" t="str">
            <v>Composition</v>
          </cell>
          <cell r="C40" t="str">
            <v>2</v>
          </cell>
        </row>
        <row r="41">
          <cell r="B41" t="str">
            <v>Illusion Crafting</v>
          </cell>
          <cell r="C41" t="str">
            <v>2</v>
          </cell>
        </row>
        <row r="42">
          <cell r="B42" t="str">
            <v>Journalism</v>
          </cell>
          <cell r="C42" t="str">
            <v>2</v>
          </cell>
        </row>
        <row r="43">
          <cell r="B43" t="str">
            <v>Musical Composition</v>
          </cell>
          <cell r="C43" t="str">
            <v>2</v>
          </cell>
        </row>
        <row r="44">
          <cell r="B44" t="str">
            <v>Playright</v>
          </cell>
          <cell r="C44" t="str">
            <v>2</v>
          </cell>
        </row>
        <row r="45">
          <cell r="B45" t="str">
            <v>Poetic Improvisation</v>
          </cell>
          <cell r="C45" t="str">
            <v>2</v>
          </cell>
        </row>
        <row r="46">
          <cell r="B46" t="str">
            <v>Reporting</v>
          </cell>
          <cell r="C46" t="str">
            <v>2</v>
          </cell>
        </row>
        <row r="47">
          <cell r="B47" t="str">
            <v>Writing</v>
          </cell>
          <cell r="C47" t="str">
            <v>2</v>
          </cell>
        </row>
        <row r="48">
          <cell r="B48" t="str">
            <v>Crafting &amp; Vocation Skills</v>
          </cell>
          <cell r="C48" t="str">
            <v>2</v>
          </cell>
          <cell r="D48">
            <v>5</v>
          </cell>
          <cell r="E48">
            <v>4</v>
          </cell>
          <cell r="F48">
            <v>4</v>
          </cell>
          <cell r="G48">
            <v>4</v>
          </cell>
          <cell r="H48">
            <v>4</v>
          </cell>
          <cell r="I48">
            <v>3</v>
          </cell>
          <cell r="J48">
            <v>4</v>
          </cell>
          <cell r="K48">
            <v>4</v>
          </cell>
          <cell r="L48">
            <v>5</v>
          </cell>
          <cell r="M48">
            <v>6</v>
          </cell>
        </row>
        <row r="49">
          <cell r="B49" t="str">
            <v>Crafting</v>
          </cell>
          <cell r="C49" t="str">
            <v>2</v>
          </cell>
        </row>
        <row r="50">
          <cell r="B50" t="str">
            <v>Barbering</v>
          </cell>
          <cell r="C50" t="str">
            <v>2</v>
          </cell>
        </row>
        <row r="51">
          <cell r="B51" t="str">
            <v>Building Wright</v>
          </cell>
          <cell r="C51" t="str">
            <v>2</v>
          </cell>
        </row>
        <row r="52">
          <cell r="B52" t="str">
            <v>Candle Maker</v>
          </cell>
          <cell r="C52" t="str">
            <v>2</v>
          </cell>
        </row>
        <row r="53">
          <cell r="B53" t="str">
            <v>Carpentry</v>
          </cell>
          <cell r="C53" t="str">
            <v>2</v>
          </cell>
        </row>
        <row r="54">
          <cell r="B54" t="str">
            <v>Cart Wright</v>
          </cell>
          <cell r="C54" t="str">
            <v>2</v>
          </cell>
        </row>
        <row r="55">
          <cell r="B55" t="str">
            <v>Ceramics</v>
          </cell>
          <cell r="C55" t="str">
            <v>2</v>
          </cell>
        </row>
        <row r="56">
          <cell r="B56" t="str">
            <v>Cobbler</v>
          </cell>
          <cell r="C56" t="str">
            <v>2</v>
          </cell>
        </row>
        <row r="57">
          <cell r="B57" t="str">
            <v>Cooper</v>
          </cell>
          <cell r="C57" t="str">
            <v>2</v>
          </cell>
        </row>
        <row r="58">
          <cell r="B58" t="str">
            <v>Culinary</v>
          </cell>
          <cell r="C58" t="str">
            <v>2</v>
          </cell>
        </row>
        <row r="59">
          <cell r="B59" t="str">
            <v>Drafting</v>
          </cell>
          <cell r="C59" t="str">
            <v>2</v>
          </cell>
        </row>
        <row r="60">
          <cell r="B60" t="str">
            <v>Drawing/Painting</v>
          </cell>
          <cell r="C60" t="str">
            <v>2</v>
          </cell>
        </row>
        <row r="61">
          <cell r="B61" t="str">
            <v>Embroidery</v>
          </cell>
          <cell r="C61" t="str">
            <v>2</v>
          </cell>
        </row>
        <row r="62">
          <cell r="B62" t="str">
            <v>Etcher</v>
          </cell>
          <cell r="C62" t="str">
            <v>2</v>
          </cell>
        </row>
        <row r="63">
          <cell r="B63" t="str">
            <v>Fabric Craft</v>
          </cell>
          <cell r="C63" t="str">
            <v>2</v>
          </cell>
        </row>
        <row r="64">
          <cell r="B64" t="str">
            <v>Falsification</v>
          </cell>
          <cell r="C64" t="str">
            <v>2</v>
          </cell>
        </row>
        <row r="65">
          <cell r="B65" t="str">
            <v>Farrier</v>
          </cell>
          <cell r="C65" t="str">
            <v>2</v>
          </cell>
        </row>
        <row r="66">
          <cell r="B66" t="str">
            <v>Fletching</v>
          </cell>
          <cell r="C66" t="str">
            <v>2</v>
          </cell>
        </row>
        <row r="67">
          <cell r="B67" t="str">
            <v>Forgery</v>
          </cell>
          <cell r="C67" t="str">
            <v>2</v>
          </cell>
        </row>
        <row r="68">
          <cell r="B68" t="str">
            <v>Foundry</v>
          </cell>
          <cell r="C68" t="str">
            <v>2</v>
          </cell>
        </row>
        <row r="69">
          <cell r="B69" t="str">
            <v>Furrier</v>
          </cell>
          <cell r="C69" t="str">
            <v>2</v>
          </cell>
        </row>
        <row r="70">
          <cell r="B70" t="str">
            <v>Glass-working</v>
          </cell>
          <cell r="C70" t="str">
            <v>2</v>
          </cell>
        </row>
        <row r="71">
          <cell r="B71" t="str">
            <v>Gold Smith</v>
          </cell>
          <cell r="C71" t="str">
            <v>2</v>
          </cell>
        </row>
        <row r="72">
          <cell r="B72" t="str">
            <v>Leather Craft</v>
          </cell>
          <cell r="C72" t="str">
            <v>2</v>
          </cell>
        </row>
        <row r="73">
          <cell r="B73" t="str">
            <v>Metal Craft</v>
          </cell>
          <cell r="C73" t="str">
            <v>2</v>
          </cell>
        </row>
        <row r="74">
          <cell r="B74" t="str">
            <v>Miller</v>
          </cell>
          <cell r="C74" t="str">
            <v>2</v>
          </cell>
        </row>
        <row r="75">
          <cell r="B75" t="str">
            <v>Net Making</v>
          </cell>
          <cell r="C75" t="str">
            <v>2</v>
          </cell>
        </row>
        <row r="76">
          <cell r="B76" t="str">
            <v>Paper Making</v>
          </cell>
          <cell r="C76" t="str">
            <v>2</v>
          </cell>
        </row>
        <row r="77">
          <cell r="B77" t="str">
            <v>Potter</v>
          </cell>
          <cell r="C77" t="str">
            <v>2</v>
          </cell>
        </row>
        <row r="78">
          <cell r="B78" t="str">
            <v>Quilting</v>
          </cell>
          <cell r="C78" t="str">
            <v>2</v>
          </cell>
        </row>
        <row r="79">
          <cell r="B79" t="str">
            <v>Roofer</v>
          </cell>
          <cell r="C79" t="str">
            <v>2</v>
          </cell>
        </row>
        <row r="80">
          <cell r="B80" t="str">
            <v>Saddler</v>
          </cell>
          <cell r="C80" t="str">
            <v>2</v>
          </cell>
        </row>
        <row r="81">
          <cell r="B81" t="str">
            <v>Sail Making</v>
          </cell>
          <cell r="C81" t="str">
            <v>2</v>
          </cell>
        </row>
        <row r="82">
          <cell r="B82" t="str">
            <v>Ship Wright</v>
          </cell>
          <cell r="C82" t="str">
            <v>2</v>
          </cell>
        </row>
        <row r="83">
          <cell r="B83" t="str">
            <v>Silver Smith</v>
          </cell>
          <cell r="C83" t="str">
            <v>2</v>
          </cell>
        </row>
        <row r="84">
          <cell r="B84" t="str">
            <v>Spinner</v>
          </cell>
          <cell r="C84" t="str">
            <v>2</v>
          </cell>
        </row>
        <row r="85">
          <cell r="B85" t="str">
            <v>Stone Craft</v>
          </cell>
          <cell r="C85" t="str">
            <v>2</v>
          </cell>
        </row>
        <row r="86">
          <cell r="B86" t="str">
            <v>Tanner</v>
          </cell>
          <cell r="C86" t="str">
            <v>2</v>
          </cell>
        </row>
        <row r="87">
          <cell r="B87" t="str">
            <v>Taxidermist</v>
          </cell>
          <cell r="C87" t="str">
            <v>2</v>
          </cell>
        </row>
        <row r="88">
          <cell r="B88" t="str">
            <v>Tin Smith</v>
          </cell>
          <cell r="C88" t="str">
            <v>2</v>
          </cell>
        </row>
        <row r="89">
          <cell r="B89" t="str">
            <v>Tooler</v>
          </cell>
          <cell r="C89" t="str">
            <v>2</v>
          </cell>
        </row>
        <row r="90">
          <cell r="B90" t="str">
            <v>Upholstery</v>
          </cell>
          <cell r="C90" t="str">
            <v>2</v>
          </cell>
        </row>
        <row r="91">
          <cell r="B91" t="str">
            <v>Wainwright</v>
          </cell>
          <cell r="C91" t="str">
            <v>2</v>
          </cell>
        </row>
        <row r="92">
          <cell r="B92" t="str">
            <v>Weapon Smith</v>
          </cell>
          <cell r="C92" t="str">
            <v>2</v>
          </cell>
        </row>
        <row r="93">
          <cell r="B93" t="str">
            <v>Wheel Wright</v>
          </cell>
          <cell r="C93" t="str">
            <v>2</v>
          </cell>
        </row>
        <row r="94">
          <cell r="B94" t="str">
            <v>Wicker Work</v>
          </cell>
          <cell r="C94" t="str">
            <v>2</v>
          </cell>
        </row>
        <row r="95">
          <cell r="B95" t="str">
            <v>Wood Craft</v>
          </cell>
          <cell r="C95" t="str">
            <v>2</v>
          </cell>
        </row>
        <row r="96">
          <cell r="B96" t="str">
            <v>Delving</v>
          </cell>
          <cell r="C96" t="str">
            <v>4</v>
          </cell>
        </row>
        <row r="97">
          <cell r="B97" t="str">
            <v>Attunement</v>
          </cell>
          <cell r="C97" t="str">
            <v>4</v>
          </cell>
        </row>
        <row r="98">
          <cell r="B98" t="str">
            <v>Runes</v>
          </cell>
          <cell r="C98" t="str">
            <v>4</v>
          </cell>
        </row>
        <row r="99">
          <cell r="B99" t="str">
            <v>Engineering</v>
          </cell>
          <cell r="C99" t="str">
            <v>5</v>
          </cell>
        </row>
        <row r="100">
          <cell r="B100" t="str">
            <v>Basic Engineering</v>
          </cell>
          <cell r="C100" t="str">
            <v>5</v>
          </cell>
        </row>
        <row r="101">
          <cell r="B101" t="str">
            <v>Civil Engineering</v>
          </cell>
          <cell r="C101" t="str">
            <v>5</v>
          </cell>
        </row>
        <row r="102">
          <cell r="B102" t="str">
            <v>Crude Weapons Design</v>
          </cell>
          <cell r="C102" t="str">
            <v>5</v>
          </cell>
        </row>
        <row r="103">
          <cell r="B103" t="str">
            <v>Gimmickry</v>
          </cell>
          <cell r="C103" t="str">
            <v>5</v>
          </cell>
        </row>
        <row r="104">
          <cell r="B104" t="str">
            <v>Industrial Chemical Engineering</v>
          </cell>
          <cell r="C104" t="str">
            <v>5</v>
          </cell>
        </row>
        <row r="105">
          <cell r="B105" t="str">
            <v>Medical Chemical Engineering</v>
          </cell>
          <cell r="C105" t="str">
            <v>5</v>
          </cell>
        </row>
        <row r="106">
          <cell r="B106" t="str">
            <v>Sanitation Engineering</v>
          </cell>
          <cell r="C106" t="str">
            <v>5</v>
          </cell>
        </row>
        <row r="107">
          <cell r="B107" t="str">
            <v>Siege Engineering</v>
          </cell>
          <cell r="C107" t="str">
            <v>5</v>
          </cell>
        </row>
        <row r="108">
          <cell r="B108" t="str">
            <v>Mechanical Engineering</v>
          </cell>
          <cell r="C108" t="str">
            <v>5</v>
          </cell>
        </row>
        <row r="109">
          <cell r="B109" t="str">
            <v>Criminal Engineering</v>
          </cell>
          <cell r="C109" t="str">
            <v>5</v>
          </cell>
        </row>
        <row r="110">
          <cell r="B110" t="str">
            <v>Medical Engineering</v>
          </cell>
          <cell r="C110" t="str">
            <v>5</v>
          </cell>
        </row>
        <row r="111">
          <cell r="B111" t="str">
            <v>Weapon Design</v>
          </cell>
          <cell r="C111" t="str">
            <v>5</v>
          </cell>
        </row>
        <row r="112">
          <cell r="B112" t="str">
            <v>Environmental</v>
          </cell>
          <cell r="C112" t="str">
            <v>3</v>
          </cell>
        </row>
        <row r="113">
          <cell r="B113" t="str">
            <v>Navigation</v>
          </cell>
          <cell r="C113" t="str">
            <v>3</v>
          </cell>
          <cell r="E113">
            <v>1</v>
          </cell>
          <cell r="G113">
            <v>1</v>
          </cell>
          <cell r="H113">
            <v>1</v>
          </cell>
        </row>
        <row r="114">
          <cell r="B114" t="str">
            <v>Marine Piloting</v>
          </cell>
          <cell r="C114" t="str">
            <v>3</v>
          </cell>
        </row>
        <row r="115">
          <cell r="B115" t="str">
            <v>Driving</v>
          </cell>
          <cell r="C115" t="str">
            <v>3</v>
          </cell>
          <cell r="J115">
            <v>1</v>
          </cell>
        </row>
        <row r="116">
          <cell r="B116" t="str">
            <v>Survival</v>
          </cell>
          <cell r="C116" t="str">
            <v>3</v>
          </cell>
          <cell r="E116">
            <v>3</v>
          </cell>
          <cell r="F116">
            <v>2</v>
          </cell>
          <cell r="G116">
            <v>1</v>
          </cell>
          <cell r="H116">
            <v>1</v>
          </cell>
          <cell r="I116">
            <v>1</v>
          </cell>
          <cell r="K116">
            <v>2</v>
          </cell>
          <cell r="L116">
            <v>2</v>
          </cell>
        </row>
        <row r="117">
          <cell r="B117" t="str">
            <v>Gunnery Expertise</v>
          </cell>
          <cell r="C117" t="str">
            <v>7</v>
          </cell>
        </row>
        <row r="118">
          <cell r="B118" t="str">
            <v>Gunslinging</v>
          </cell>
          <cell r="C118" t="str">
            <v>7</v>
          </cell>
        </row>
        <row r="119">
          <cell r="B119" t="str">
            <v>Moving Target</v>
          </cell>
          <cell r="C119" t="str">
            <v>7</v>
          </cell>
        </row>
        <row r="120">
          <cell r="B120" t="str">
            <v>Sniping</v>
          </cell>
          <cell r="C120" t="str">
            <v>7</v>
          </cell>
        </row>
        <row r="121">
          <cell r="B121" t="str">
            <v>Targeting</v>
          </cell>
          <cell r="C121" t="str">
            <v>7</v>
          </cell>
        </row>
        <row r="122">
          <cell r="B122" t="str">
            <v>Gymnastic</v>
          </cell>
          <cell r="C122" t="str">
            <v>3</v>
          </cell>
        </row>
        <row r="123">
          <cell r="B123" t="str">
            <v>Acrobatics</v>
          </cell>
          <cell r="C123" t="str">
            <v>3</v>
          </cell>
          <cell r="G123">
            <v>1</v>
          </cell>
        </row>
        <row r="124">
          <cell r="B124" t="str">
            <v>Contortions</v>
          </cell>
          <cell r="C124" t="str">
            <v>3</v>
          </cell>
          <cell r="F124">
            <v>1</v>
          </cell>
          <cell r="G124">
            <v>1</v>
          </cell>
          <cell r="I124">
            <v>1</v>
          </cell>
        </row>
        <row r="125">
          <cell r="B125" t="str">
            <v>Jumping</v>
          </cell>
          <cell r="C125" t="str">
            <v>3</v>
          </cell>
        </row>
        <row r="126">
          <cell r="B126" t="str">
            <v>Lore</v>
          </cell>
          <cell r="C126" t="str">
            <v>1</v>
          </cell>
          <cell r="D126">
            <v>6</v>
          </cell>
          <cell r="E126">
            <v>2</v>
          </cell>
          <cell r="F126">
            <v>4</v>
          </cell>
          <cell r="G126">
            <v>5</v>
          </cell>
          <cell r="H126">
            <v>4</v>
          </cell>
          <cell r="I126">
            <v>3</v>
          </cell>
          <cell r="J126">
            <v>5</v>
          </cell>
          <cell r="K126">
            <v>4</v>
          </cell>
          <cell r="L126">
            <v>4</v>
          </cell>
          <cell r="M126">
            <v>6</v>
          </cell>
        </row>
        <row r="127">
          <cell r="B127" t="str">
            <v>Art History</v>
          </cell>
          <cell r="C127" t="str">
            <v>1</v>
          </cell>
        </row>
        <row r="128">
          <cell r="B128" t="str">
            <v>Circle Lore</v>
          </cell>
          <cell r="C128" t="str">
            <v>1</v>
          </cell>
        </row>
        <row r="129">
          <cell r="B129" t="str">
            <v>Creature Lore</v>
          </cell>
          <cell r="C129" t="str">
            <v>1</v>
          </cell>
        </row>
        <row r="130">
          <cell r="B130" t="str">
            <v>Flora Lore</v>
          </cell>
          <cell r="C130" t="str">
            <v>1</v>
          </cell>
        </row>
        <row r="131">
          <cell r="B131" t="str">
            <v>Heraldry Lore</v>
          </cell>
          <cell r="C131" t="str">
            <v>1</v>
          </cell>
        </row>
        <row r="132">
          <cell r="B132" t="str">
            <v>Historic Lore</v>
          </cell>
          <cell r="C132" t="str">
            <v>1</v>
          </cell>
        </row>
        <row r="133">
          <cell r="B133" t="str">
            <v>Lock Lore</v>
          </cell>
          <cell r="C133" t="str">
            <v>1</v>
          </cell>
        </row>
        <row r="134">
          <cell r="B134" t="str">
            <v>Philosophy Lore</v>
          </cell>
          <cell r="C134" t="str">
            <v>1</v>
          </cell>
        </row>
        <row r="135">
          <cell r="B135" t="str">
            <v>Poisons Lore</v>
          </cell>
          <cell r="C135" t="str">
            <v>1</v>
          </cell>
        </row>
        <row r="136">
          <cell r="B136" t="str">
            <v>Magic Lore</v>
          </cell>
          <cell r="C136" t="str">
            <v>1</v>
          </cell>
        </row>
        <row r="137">
          <cell r="B137" t="str">
            <v>Religion Lore</v>
          </cell>
          <cell r="C137" t="str">
            <v>1</v>
          </cell>
          <cell r="D137">
            <v>1</v>
          </cell>
          <cell r="M137">
            <v>1</v>
          </cell>
        </row>
        <row r="138">
          <cell r="B138" t="str">
            <v>Religious History</v>
          </cell>
          <cell r="C138" t="str">
            <v>1</v>
          </cell>
        </row>
        <row r="139">
          <cell r="B139" t="str">
            <v>Trading Lore</v>
          </cell>
          <cell r="C139" t="str">
            <v>1</v>
          </cell>
        </row>
        <row r="140">
          <cell r="B140" t="str">
            <v>Vehicles Lore</v>
          </cell>
          <cell r="C140" t="str">
            <v>1</v>
          </cell>
        </row>
        <row r="141">
          <cell r="B141" t="str">
            <v>Visual Arts</v>
          </cell>
          <cell r="C141" t="str">
            <v>1</v>
          </cell>
        </row>
        <row r="142">
          <cell r="B142" t="str">
            <v>Other Lore</v>
          </cell>
          <cell r="C142" t="str">
            <v>1</v>
          </cell>
        </row>
        <row r="143">
          <cell r="B143" t="str">
            <v>Appraisal</v>
          </cell>
          <cell r="C143" t="str">
            <v>1</v>
          </cell>
        </row>
        <row r="144">
          <cell r="B144" t="str">
            <v>Language</v>
          </cell>
          <cell r="C144" t="str">
            <v>1</v>
          </cell>
          <cell r="D144">
            <v>18</v>
          </cell>
          <cell r="E144">
            <v>7</v>
          </cell>
          <cell r="F144">
            <v>13</v>
          </cell>
          <cell r="G144">
            <v>15</v>
          </cell>
          <cell r="H144">
            <v>12</v>
          </cell>
          <cell r="I144">
            <v>11</v>
          </cell>
          <cell r="J144">
            <v>13</v>
          </cell>
          <cell r="K144">
            <v>13</v>
          </cell>
          <cell r="L144">
            <v>13</v>
          </cell>
          <cell r="M144">
            <v>16</v>
          </cell>
        </row>
        <row r="145">
          <cell r="B145" t="str">
            <v>Law</v>
          </cell>
          <cell r="C145" t="str">
            <v>1</v>
          </cell>
          <cell r="D145">
            <v>1</v>
          </cell>
        </row>
        <row r="146">
          <cell r="B146" t="str">
            <v>Materials</v>
          </cell>
          <cell r="C146" t="str">
            <v>1</v>
          </cell>
        </row>
        <row r="147">
          <cell r="B147" t="str">
            <v>Racial</v>
          </cell>
          <cell r="C147" t="str">
            <v>1</v>
          </cell>
        </row>
        <row r="148">
          <cell r="B148" t="str">
            <v>Region (1)</v>
          </cell>
          <cell r="C148" t="str">
            <v>1</v>
          </cell>
          <cell r="D148">
            <v>5</v>
          </cell>
          <cell r="E148">
            <v>5</v>
          </cell>
          <cell r="F148">
            <v>5</v>
          </cell>
          <cell r="G148">
            <v>5</v>
          </cell>
          <cell r="H148">
            <v>5</v>
          </cell>
          <cell r="I148">
            <v>5</v>
          </cell>
          <cell r="J148">
            <v>5</v>
          </cell>
          <cell r="K148">
            <v>5</v>
          </cell>
          <cell r="L148">
            <v>5</v>
          </cell>
          <cell r="M148">
            <v>5</v>
          </cell>
        </row>
        <row r="149">
          <cell r="B149" t="str">
            <v>Region (2)</v>
          </cell>
          <cell r="C149" t="str">
            <v>1</v>
          </cell>
          <cell r="D149">
            <v>2</v>
          </cell>
          <cell r="G149">
            <v>2</v>
          </cell>
          <cell r="H149">
            <v>2</v>
          </cell>
          <cell r="I149">
            <v>2</v>
          </cell>
          <cell r="M149">
            <v>3</v>
          </cell>
        </row>
        <row r="150">
          <cell r="B150" t="str">
            <v>Tactics</v>
          </cell>
          <cell r="C150" t="str">
            <v>1</v>
          </cell>
        </row>
        <row r="151">
          <cell r="B151" t="str">
            <v>Medical</v>
          </cell>
          <cell r="C151" t="str">
            <v>3</v>
          </cell>
        </row>
        <row r="152">
          <cell r="B152" t="str">
            <v>Herbalism</v>
          </cell>
          <cell r="C152" t="str">
            <v>3</v>
          </cell>
          <cell r="F152">
            <v>1</v>
          </cell>
          <cell r="H152">
            <v>1</v>
          </cell>
          <cell r="J152">
            <v>1</v>
          </cell>
          <cell r="K152">
            <v>1</v>
          </cell>
        </row>
        <row r="153">
          <cell r="B153" t="str">
            <v>First Aid</v>
          </cell>
          <cell r="C153" t="str">
            <v>3</v>
          </cell>
          <cell r="E153">
            <v>2</v>
          </cell>
          <cell r="F153">
            <v>1</v>
          </cell>
          <cell r="G153">
            <v>1</v>
          </cell>
          <cell r="H153">
            <v>1</v>
          </cell>
          <cell r="I153">
            <v>1</v>
          </cell>
          <cell r="J153">
            <v>1</v>
          </cell>
          <cell r="K153">
            <v>1</v>
          </cell>
          <cell r="L153">
            <v>2</v>
          </cell>
        </row>
        <row r="154">
          <cell r="B154" t="str">
            <v>Second Aid</v>
          </cell>
          <cell r="C154" t="str">
            <v>3</v>
          </cell>
        </row>
        <row r="155">
          <cell r="B155" t="str">
            <v>Medical Practice</v>
          </cell>
          <cell r="C155" t="str">
            <v>3</v>
          </cell>
        </row>
        <row r="156">
          <cell r="B156" t="str">
            <v>Poison Mastery</v>
          </cell>
          <cell r="C156" t="str">
            <v>3</v>
          </cell>
        </row>
        <row r="157">
          <cell r="B157" t="str">
            <v>Medical Science</v>
          </cell>
          <cell r="C157" t="str">
            <v>5</v>
          </cell>
        </row>
        <row r="158">
          <cell r="B158" t="str">
            <v>Medical Science</v>
          </cell>
          <cell r="C158" t="str">
            <v>5</v>
          </cell>
        </row>
        <row r="159">
          <cell r="B159" t="str">
            <v>Mental Discipline</v>
          </cell>
          <cell r="C159" t="str">
            <v>3</v>
          </cell>
        </row>
        <row r="160">
          <cell r="B160" t="str">
            <v>Control Lycanthropy</v>
          </cell>
          <cell r="C160" t="str">
            <v>3</v>
          </cell>
        </row>
        <row r="161">
          <cell r="B161" t="str">
            <v>Meditation</v>
          </cell>
          <cell r="C161" t="str">
            <v>3</v>
          </cell>
        </row>
        <row r="162">
          <cell r="B162" t="str">
            <v>Mental Focus</v>
          </cell>
          <cell r="C162" t="str">
            <v>3</v>
          </cell>
        </row>
        <row r="163">
          <cell r="B163" t="str">
            <v>Mnemonics</v>
          </cell>
          <cell r="C163" t="str">
            <v>3</v>
          </cell>
        </row>
        <row r="164">
          <cell r="B164" t="str">
            <v>Movement</v>
          </cell>
          <cell r="C164" t="str">
            <v>2</v>
          </cell>
        </row>
        <row r="165">
          <cell r="B165" t="str">
            <v>Climbing</v>
          </cell>
          <cell r="C165" t="str">
            <v>2</v>
          </cell>
          <cell r="F165">
            <v>1</v>
          </cell>
          <cell r="G165">
            <v>1</v>
          </cell>
          <cell r="I165">
            <v>1</v>
          </cell>
          <cell r="J165">
            <v>1</v>
          </cell>
          <cell r="K165">
            <v>2</v>
          </cell>
          <cell r="L165">
            <v>1</v>
          </cell>
        </row>
        <row r="166">
          <cell r="B166" t="str">
            <v>Flying</v>
          </cell>
          <cell r="C166" t="str">
            <v>2</v>
          </cell>
        </row>
        <row r="167">
          <cell r="B167" t="str">
            <v>Running</v>
          </cell>
          <cell r="C167" t="str">
            <v>2</v>
          </cell>
          <cell r="D167">
            <v>1</v>
          </cell>
          <cell r="E167">
            <v>2</v>
          </cell>
          <cell r="F167">
            <v>2</v>
          </cell>
          <cell r="G167">
            <v>1</v>
          </cell>
          <cell r="H167">
            <v>2</v>
          </cell>
          <cell r="I167">
            <v>2</v>
          </cell>
          <cell r="J167">
            <v>1</v>
          </cell>
          <cell r="K167">
            <v>2</v>
          </cell>
          <cell r="L167">
            <v>1</v>
          </cell>
          <cell r="M167">
            <v>1</v>
          </cell>
        </row>
        <row r="168">
          <cell r="B168" t="str">
            <v>Swimming</v>
          </cell>
          <cell r="C168" t="str">
            <v>2</v>
          </cell>
          <cell r="F168">
            <v>1</v>
          </cell>
          <cell r="G168">
            <v>2</v>
          </cell>
          <cell r="J168">
            <v>1</v>
          </cell>
        </row>
        <row r="169">
          <cell r="B169" t="str">
            <v>Performance Art</v>
          </cell>
          <cell r="C169" t="str">
            <v>2</v>
          </cell>
        </row>
        <row r="170">
          <cell r="B170" t="str">
            <v>Acting</v>
          </cell>
          <cell r="C170" t="str">
            <v>2</v>
          </cell>
        </row>
        <row r="171">
          <cell r="B171" t="str">
            <v>Public Speaking</v>
          </cell>
          <cell r="C171" t="str">
            <v>2</v>
          </cell>
        </row>
        <row r="172">
          <cell r="B172" t="str">
            <v>Ventriloquism</v>
          </cell>
          <cell r="C172" t="str">
            <v>2</v>
          </cell>
        </row>
        <row r="173">
          <cell r="B173" t="str">
            <v>Singing</v>
          </cell>
          <cell r="C173" t="str">
            <v>2</v>
          </cell>
        </row>
        <row r="174">
          <cell r="B174" t="str">
            <v>Canon</v>
          </cell>
          <cell r="C174" t="str">
            <v>2</v>
          </cell>
        </row>
        <row r="175">
          <cell r="B175" t="str">
            <v>Mimickry</v>
          </cell>
          <cell r="C175" t="str">
            <v>2</v>
          </cell>
        </row>
        <row r="176">
          <cell r="B176" t="str">
            <v>Mimery</v>
          </cell>
          <cell r="C176" t="str">
            <v>2</v>
          </cell>
        </row>
        <row r="177">
          <cell r="B177" t="str">
            <v>Tale Telling</v>
          </cell>
          <cell r="C177" t="str">
            <v>2</v>
          </cell>
        </row>
        <row r="178">
          <cell r="B178" t="str">
            <v>Dancing</v>
          </cell>
          <cell r="C178" t="str">
            <v>2</v>
          </cell>
        </row>
        <row r="179">
          <cell r="B179" t="str">
            <v>Stage Magic</v>
          </cell>
          <cell r="C179" t="str">
            <v>2</v>
          </cell>
        </row>
        <row r="180">
          <cell r="B180" t="str">
            <v>Play Instrument</v>
          </cell>
          <cell r="C180" t="str">
            <v>2</v>
          </cell>
        </row>
        <row r="181">
          <cell r="B181" t="str">
            <v>Magical Expertise</v>
          </cell>
          <cell r="C181" t="str">
            <v>4</v>
          </cell>
        </row>
        <row r="182">
          <cell r="B182" t="str">
            <v>Transcendence</v>
          </cell>
          <cell r="C182" t="str">
            <v>4</v>
          </cell>
        </row>
        <row r="183">
          <cell r="B183" t="str">
            <v>Grace</v>
          </cell>
          <cell r="C183" t="str">
            <v>4</v>
          </cell>
        </row>
        <row r="184">
          <cell r="B184" t="str">
            <v>Spell Trickery</v>
          </cell>
          <cell r="C184" t="str">
            <v>4</v>
          </cell>
        </row>
        <row r="185">
          <cell r="B185" t="str">
            <v>Power Manipulation</v>
          </cell>
          <cell r="C185" t="str">
            <v>4</v>
          </cell>
        </row>
        <row r="186">
          <cell r="B186" t="str">
            <v>Channeling</v>
          </cell>
          <cell r="C186" t="str">
            <v>4</v>
          </cell>
        </row>
        <row r="187">
          <cell r="B187" t="str">
            <v>Psion Development</v>
          </cell>
          <cell r="C187" t="str">
            <v>4</v>
          </cell>
        </row>
        <row r="188">
          <cell r="B188" t="str">
            <v>Power Projection</v>
          </cell>
          <cell r="C188" t="str">
            <v>4</v>
          </cell>
        </row>
        <row r="189">
          <cell r="B189" t="str">
            <v>Directed Spell</v>
          </cell>
          <cell r="C189" t="str">
            <v>4</v>
          </cell>
        </row>
        <row r="190">
          <cell r="B190" t="str">
            <v>Science</v>
          </cell>
          <cell r="C190" t="str">
            <v>4</v>
          </cell>
        </row>
        <row r="191">
          <cell r="B191" t="str">
            <v>Aerodynamics</v>
          </cell>
          <cell r="C191" t="str">
            <v>4</v>
          </cell>
        </row>
        <row r="192">
          <cell r="B192" t="str">
            <v>Agriculture</v>
          </cell>
          <cell r="C192" t="str">
            <v>4</v>
          </cell>
        </row>
        <row r="193">
          <cell r="B193" t="str">
            <v>Anthropology</v>
          </cell>
          <cell r="C193" t="str">
            <v>4</v>
          </cell>
        </row>
        <row r="194">
          <cell r="B194" t="str">
            <v>Archaeology</v>
          </cell>
          <cell r="C194" t="str">
            <v>4</v>
          </cell>
        </row>
        <row r="195">
          <cell r="B195" t="str">
            <v>Architecture</v>
          </cell>
          <cell r="C195" t="str">
            <v>4</v>
          </cell>
        </row>
        <row r="196">
          <cell r="B196" t="str">
            <v>Astronomy</v>
          </cell>
          <cell r="C196" t="str">
            <v>4</v>
          </cell>
        </row>
        <row r="197">
          <cell r="B197" t="str">
            <v>Atmospherics</v>
          </cell>
          <cell r="C197" t="str">
            <v>4</v>
          </cell>
        </row>
        <row r="198">
          <cell r="B198" t="str">
            <v>Audiovisuals</v>
          </cell>
          <cell r="C198" t="str">
            <v>4</v>
          </cell>
        </row>
        <row r="199">
          <cell r="B199" t="str">
            <v>Biochemistry</v>
          </cell>
          <cell r="C199" t="str">
            <v>4</v>
          </cell>
        </row>
        <row r="200">
          <cell r="B200" t="str">
            <v>Biology</v>
          </cell>
          <cell r="C200" t="str">
            <v>4</v>
          </cell>
        </row>
        <row r="201">
          <cell r="B201" t="str">
            <v>Botany</v>
          </cell>
          <cell r="C201" t="str">
            <v>4</v>
          </cell>
        </row>
        <row r="202">
          <cell r="B202" t="str">
            <v>Caving</v>
          </cell>
          <cell r="C202" t="str">
            <v>4</v>
          </cell>
        </row>
        <row r="203">
          <cell r="B203" t="str">
            <v>Chemistry</v>
          </cell>
          <cell r="C203" t="str">
            <v>4</v>
          </cell>
        </row>
        <row r="204">
          <cell r="B204" t="str">
            <v>Cosmetology</v>
          </cell>
          <cell r="C204" t="str">
            <v>4</v>
          </cell>
        </row>
        <row r="205">
          <cell r="B205" t="str">
            <v>Criminal Investigation</v>
          </cell>
          <cell r="C205" t="str">
            <v>4</v>
          </cell>
        </row>
        <row r="206">
          <cell r="B206" t="str">
            <v>Criminal Psychology</v>
          </cell>
          <cell r="C206" t="str">
            <v>4</v>
          </cell>
        </row>
        <row r="207">
          <cell r="B207" t="str">
            <v>Cryptology</v>
          </cell>
          <cell r="C207" t="str">
            <v>4</v>
          </cell>
        </row>
        <row r="208">
          <cell r="B208" t="str">
            <v>Dowsing</v>
          </cell>
          <cell r="C208" t="str">
            <v>4</v>
          </cell>
        </row>
        <row r="209">
          <cell r="B209" t="str">
            <v>Drug Trafficking</v>
          </cell>
          <cell r="C209" t="str">
            <v>4</v>
          </cell>
        </row>
        <row r="210">
          <cell r="B210" t="str">
            <v>Ecology</v>
          </cell>
          <cell r="C210" t="str">
            <v>4</v>
          </cell>
        </row>
        <row r="211">
          <cell r="B211" t="str">
            <v>Evolution Theory</v>
          </cell>
          <cell r="C211" t="str">
            <v>4</v>
          </cell>
        </row>
        <row r="212">
          <cell r="B212" t="str">
            <v>Fashion</v>
          </cell>
          <cell r="C212" t="str">
            <v>4</v>
          </cell>
        </row>
        <row r="213">
          <cell r="B213" t="str">
            <v>Finance</v>
          </cell>
          <cell r="C213" t="str">
            <v>4</v>
          </cell>
        </row>
        <row r="214">
          <cell r="B214" t="str">
            <v>Gambling</v>
          </cell>
          <cell r="C214" t="str">
            <v>4</v>
          </cell>
        </row>
        <row r="215">
          <cell r="B215" t="str">
            <v>Genetics</v>
          </cell>
          <cell r="C215" t="str">
            <v>4</v>
          </cell>
        </row>
        <row r="216">
          <cell r="B216" t="str">
            <v>Horticulture</v>
          </cell>
          <cell r="C216" t="str">
            <v>4</v>
          </cell>
        </row>
        <row r="217">
          <cell r="B217" t="str">
            <v>Interior Design</v>
          </cell>
          <cell r="C217" t="str">
            <v>4</v>
          </cell>
        </row>
        <row r="218">
          <cell r="B218" t="str">
            <v>Law Enforcement</v>
          </cell>
          <cell r="C218" t="str">
            <v>4</v>
          </cell>
        </row>
        <row r="219">
          <cell r="B219" t="str">
            <v>Mapping</v>
          </cell>
          <cell r="C219" t="str">
            <v>4</v>
          </cell>
        </row>
        <row r="220">
          <cell r="B220" t="str">
            <v>Metallurgy</v>
          </cell>
          <cell r="C220" t="str">
            <v>4</v>
          </cell>
        </row>
        <row r="221">
          <cell r="B221" t="str">
            <v>Mining</v>
          </cell>
          <cell r="C221" t="str">
            <v>4</v>
          </cell>
        </row>
        <row r="222">
          <cell r="B222" t="str">
            <v>Oceanography</v>
          </cell>
          <cell r="C222" t="str">
            <v>4</v>
          </cell>
        </row>
        <row r="223">
          <cell r="B223" t="str">
            <v>Organised Crime</v>
          </cell>
          <cell r="C223" t="str">
            <v>4</v>
          </cell>
        </row>
        <row r="224">
          <cell r="B224" t="str">
            <v>Photography</v>
          </cell>
          <cell r="C224" t="str">
            <v>4</v>
          </cell>
        </row>
        <row r="225">
          <cell r="B225" t="str">
            <v>Physics</v>
          </cell>
          <cell r="C225" t="str">
            <v>4</v>
          </cell>
        </row>
        <row r="226">
          <cell r="B226" t="str">
            <v>Planetology</v>
          </cell>
          <cell r="C226" t="str">
            <v>4</v>
          </cell>
        </row>
        <row r="227">
          <cell r="B227" t="str">
            <v>Politcal Science</v>
          </cell>
          <cell r="C227" t="str">
            <v>4</v>
          </cell>
        </row>
        <row r="228">
          <cell r="B228" t="str">
            <v>Propaganda</v>
          </cell>
          <cell r="C228" t="str">
            <v>4</v>
          </cell>
        </row>
        <row r="229">
          <cell r="B229" t="str">
            <v>Research</v>
          </cell>
          <cell r="C229" t="str">
            <v>4</v>
          </cell>
        </row>
        <row r="230">
          <cell r="B230" t="str">
            <v>Rope Mastery</v>
          </cell>
          <cell r="C230" t="str">
            <v>4</v>
          </cell>
        </row>
        <row r="231">
          <cell r="B231" t="str">
            <v>Sociology</v>
          </cell>
          <cell r="C231" t="str">
            <v>4</v>
          </cell>
        </row>
        <row r="232">
          <cell r="B232" t="str">
            <v>Star Gazing</v>
          </cell>
          <cell r="C232" t="str">
            <v>4</v>
          </cell>
        </row>
        <row r="233">
          <cell r="B233" t="str">
            <v>Tax Evasion</v>
          </cell>
          <cell r="C233" t="str">
            <v>4</v>
          </cell>
        </row>
        <row r="234">
          <cell r="B234" t="str">
            <v>Urban Design</v>
          </cell>
          <cell r="C234" t="str">
            <v>4</v>
          </cell>
        </row>
        <row r="235">
          <cell r="B235" t="str">
            <v>Weather Watching</v>
          </cell>
          <cell r="C235" t="str">
            <v>4</v>
          </cell>
        </row>
        <row r="236">
          <cell r="B236" t="str">
            <v>Zoology</v>
          </cell>
          <cell r="C236" t="str">
            <v>4</v>
          </cell>
        </row>
        <row r="237">
          <cell r="B237" t="str">
            <v>Mathematics</v>
          </cell>
          <cell r="C237" t="str">
            <v>4</v>
          </cell>
        </row>
        <row r="238">
          <cell r="B238" t="str">
            <v>Military Organization</v>
          </cell>
          <cell r="C238" t="str">
            <v>4</v>
          </cell>
        </row>
        <row r="239">
          <cell r="B239" t="str">
            <v>Social</v>
          </cell>
          <cell r="C239" t="str">
            <v>2</v>
          </cell>
        </row>
        <row r="240">
          <cell r="B240" t="str">
            <v>Begging</v>
          </cell>
          <cell r="C240" t="str">
            <v>2</v>
          </cell>
        </row>
        <row r="241">
          <cell r="B241" t="str">
            <v>Diplomacy</v>
          </cell>
          <cell r="C241" t="str">
            <v>2</v>
          </cell>
        </row>
        <row r="242">
          <cell r="B242" t="str">
            <v>Education</v>
          </cell>
          <cell r="C242" t="str">
            <v>2</v>
          </cell>
        </row>
        <row r="243">
          <cell r="B243" t="str">
            <v>Hypnosis</v>
          </cell>
          <cell r="C243" t="str">
            <v>2</v>
          </cell>
        </row>
        <row r="244">
          <cell r="B244" t="str">
            <v>Interrogation</v>
          </cell>
          <cell r="C244" t="str">
            <v>2</v>
          </cell>
        </row>
        <row r="245">
          <cell r="B245" t="str">
            <v>Labour Relations</v>
          </cell>
          <cell r="C245" t="str">
            <v>2</v>
          </cell>
        </row>
        <row r="246">
          <cell r="B246" t="str">
            <v>Leadership</v>
          </cell>
          <cell r="C246" t="str">
            <v>2</v>
          </cell>
        </row>
        <row r="247">
          <cell r="B247" t="str">
            <v>Proselytism</v>
          </cell>
          <cell r="C247" t="str">
            <v>2</v>
          </cell>
        </row>
        <row r="248">
          <cell r="B248" t="str">
            <v>Social Awareness</v>
          </cell>
          <cell r="C248" t="str">
            <v>2</v>
          </cell>
          <cell r="D248">
            <v>3</v>
          </cell>
          <cell r="F248">
            <v>1</v>
          </cell>
          <cell r="G248">
            <v>1</v>
          </cell>
          <cell r="H248">
            <v>1</v>
          </cell>
          <cell r="J248">
            <v>1</v>
          </cell>
          <cell r="K248">
            <v>1</v>
          </cell>
          <cell r="L248">
            <v>1</v>
          </cell>
          <cell r="M248">
            <v>2</v>
          </cell>
        </row>
        <row r="249">
          <cell r="B249" t="str">
            <v>Trading</v>
          </cell>
          <cell r="C249" t="str">
            <v>2</v>
          </cell>
          <cell r="D249">
            <v>1</v>
          </cell>
          <cell r="G249">
            <v>1</v>
          </cell>
          <cell r="H249">
            <v>1</v>
          </cell>
          <cell r="J249">
            <v>1</v>
          </cell>
          <cell r="M249">
            <v>2</v>
          </cell>
        </row>
        <row r="250">
          <cell r="B250" t="str">
            <v>Influence</v>
          </cell>
          <cell r="C250" t="str">
            <v>2</v>
          </cell>
          <cell r="D250">
            <v>2</v>
          </cell>
          <cell r="G250">
            <v>1</v>
          </cell>
          <cell r="J250">
            <v>1</v>
          </cell>
          <cell r="M250">
            <v>2</v>
          </cell>
        </row>
        <row r="251">
          <cell r="B251" t="str">
            <v>Subterfuge</v>
          </cell>
          <cell r="C251" t="str">
            <v>3</v>
          </cell>
        </row>
        <row r="252">
          <cell r="B252" t="str">
            <v>Concealment</v>
          </cell>
          <cell r="C252" t="str">
            <v>3</v>
          </cell>
          <cell r="E252">
            <v>1</v>
          </cell>
          <cell r="K252">
            <v>1</v>
          </cell>
          <cell r="L252">
            <v>1</v>
          </cell>
        </row>
        <row r="253">
          <cell r="B253" t="str">
            <v>Evidence Dispersal</v>
          </cell>
          <cell r="C253" t="str">
            <v>3</v>
          </cell>
        </row>
        <row r="254">
          <cell r="B254" t="str">
            <v>Picking Pockets</v>
          </cell>
          <cell r="C254" t="str">
            <v>3</v>
          </cell>
        </row>
        <row r="255">
          <cell r="B255" t="str">
            <v>Stalking</v>
          </cell>
          <cell r="C255" t="str">
            <v>3</v>
          </cell>
          <cell r="E255">
            <v>2</v>
          </cell>
          <cell r="F255">
            <v>1</v>
          </cell>
          <cell r="I255">
            <v>1</v>
          </cell>
          <cell r="K255">
            <v>2</v>
          </cell>
          <cell r="L255">
            <v>2</v>
          </cell>
        </row>
        <row r="256">
          <cell r="B256" t="str">
            <v>Trickery</v>
          </cell>
          <cell r="C256" t="str">
            <v>3</v>
          </cell>
        </row>
        <row r="257">
          <cell r="B257" t="str">
            <v>Ambush</v>
          </cell>
          <cell r="C257" t="str">
            <v>3</v>
          </cell>
        </row>
        <row r="258">
          <cell r="B258" t="str">
            <v>Technology</v>
          </cell>
          <cell r="C258" t="str">
            <v>3</v>
          </cell>
        </row>
        <row r="259">
          <cell r="B259" t="str">
            <v>Aquatics Technics</v>
          </cell>
          <cell r="C259" t="str">
            <v>3</v>
          </cell>
        </row>
        <row r="260">
          <cell r="B260" t="str">
            <v>Audiophile Technics</v>
          </cell>
          <cell r="C260" t="str">
            <v>3</v>
          </cell>
        </row>
        <row r="261">
          <cell r="B261" t="str">
            <v>Communications</v>
          </cell>
          <cell r="C261" t="str">
            <v>3</v>
          </cell>
        </row>
        <row r="262">
          <cell r="B262" t="str">
            <v>Demolitions</v>
          </cell>
          <cell r="C262" t="str">
            <v>3</v>
          </cell>
        </row>
        <row r="263">
          <cell r="B263" t="str">
            <v>Electronic Technics</v>
          </cell>
          <cell r="C263" t="str">
            <v>3</v>
          </cell>
        </row>
        <row r="264">
          <cell r="B264" t="str">
            <v>Fabrication</v>
          </cell>
          <cell r="C264" t="str">
            <v>3</v>
          </cell>
        </row>
        <row r="265">
          <cell r="B265" t="str">
            <v>Genetic Technics</v>
          </cell>
          <cell r="C265" t="str">
            <v>3</v>
          </cell>
        </row>
        <row r="266">
          <cell r="B266" t="str">
            <v>Heavy Machine Operation</v>
          </cell>
          <cell r="C266" t="str">
            <v>3</v>
          </cell>
        </row>
        <row r="267">
          <cell r="B267" t="str">
            <v>Industrial Ceramics</v>
          </cell>
          <cell r="C267" t="str">
            <v>3</v>
          </cell>
        </row>
        <row r="268">
          <cell r="B268" t="str">
            <v>Locks</v>
          </cell>
          <cell r="C268" t="str">
            <v>3</v>
          </cell>
        </row>
        <row r="269">
          <cell r="B269" t="str">
            <v>Medical Technics</v>
          </cell>
          <cell r="C269" t="str">
            <v>3</v>
          </cell>
        </row>
        <row r="270">
          <cell r="B270" t="str">
            <v>Musical Technics</v>
          </cell>
          <cell r="C270" t="str">
            <v>3</v>
          </cell>
        </row>
        <row r="271">
          <cell r="B271" t="str">
            <v>Optical Technics</v>
          </cell>
          <cell r="C271" t="str">
            <v>3</v>
          </cell>
        </row>
        <row r="272">
          <cell r="B272" t="str">
            <v>Safe Cracking</v>
          </cell>
          <cell r="C272" t="str">
            <v>3</v>
          </cell>
        </row>
        <row r="273">
          <cell r="B273" t="str">
            <v>Security Operations</v>
          </cell>
          <cell r="C273" t="str">
            <v>3</v>
          </cell>
        </row>
        <row r="274">
          <cell r="B274" t="str">
            <v>Traps</v>
          </cell>
          <cell r="C274" t="str">
            <v>3</v>
          </cell>
        </row>
        <row r="275">
          <cell r="B275" t="str">
            <v>Vehicle Body Repair</v>
          </cell>
          <cell r="C275" t="str">
            <v>3</v>
          </cell>
        </row>
        <row r="276">
          <cell r="B276" t="str">
            <v>Armour Repair</v>
          </cell>
          <cell r="C276" t="str">
            <v>3</v>
          </cell>
        </row>
        <row r="277">
          <cell r="B277" t="str">
            <v>Criminal Technics</v>
          </cell>
          <cell r="C277" t="str">
            <v>3</v>
          </cell>
        </row>
        <row r="278">
          <cell r="B278" t="str">
            <v>Mechanical Technics</v>
          </cell>
          <cell r="C278" t="str">
            <v>3</v>
          </cell>
        </row>
        <row r="279">
          <cell r="B279" t="str">
            <v>Weapon Technics</v>
          </cell>
          <cell r="C279" t="str">
            <v>3</v>
          </cell>
        </row>
        <row r="280">
          <cell r="B280" t="str">
            <v>Vocation</v>
          </cell>
          <cell r="C280" t="str">
            <v>3</v>
          </cell>
        </row>
        <row r="281">
          <cell r="B281" t="str">
            <v>Administration</v>
          </cell>
          <cell r="C281" t="str">
            <v>3</v>
          </cell>
        </row>
        <row r="282">
          <cell r="B282" t="str">
            <v>Service</v>
          </cell>
          <cell r="C282" t="str">
            <v>3</v>
          </cell>
        </row>
        <row r="283">
          <cell r="B283" t="str">
            <v>Trade</v>
          </cell>
          <cell r="C283" t="str">
            <v>3</v>
          </cell>
        </row>
      </sheetData>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acter_Sheet"/>
      <sheetName val="Spell_List"/>
      <sheetName val="Gear_and_Equipment"/>
      <sheetName val="Introduction"/>
      <sheetName val="Profession"/>
      <sheetName val="Level_Up"/>
      <sheetName val="Character_Creation"/>
      <sheetName val="Races"/>
      <sheetName val="Other"/>
      <sheetName val="Skills"/>
    </sheetNames>
    <sheetDataSet>
      <sheetData sheetId="0">
        <row r="6">
          <cell r="BF6" t="str">
            <v>Channeling</v>
          </cell>
        </row>
      </sheetData>
      <sheetData sheetId="1" refreshError="1"/>
      <sheetData sheetId="2" refreshError="1"/>
      <sheetData sheetId="3" refreshError="1"/>
      <sheetData sheetId="4" refreshError="1"/>
      <sheetData sheetId="5" refreshError="1"/>
      <sheetData sheetId="6" refreshError="1"/>
      <sheetData sheetId="7" refreshError="1"/>
      <sheetData sheetId="8">
        <row r="2">
          <cell r="AU2" t="str">
            <v>Channeling</v>
          </cell>
          <cell r="AV2">
            <v>7</v>
          </cell>
          <cell r="AW2" t="str">
            <v>Chan.</v>
          </cell>
        </row>
        <row r="3">
          <cell r="AU3" t="str">
            <v>Essence</v>
          </cell>
          <cell r="AV3">
            <v>3</v>
          </cell>
          <cell r="AW3" t="str">
            <v>Ess.</v>
          </cell>
        </row>
        <row r="4">
          <cell r="AU4" t="str">
            <v>Mentalism</v>
          </cell>
          <cell r="AV4">
            <v>3</v>
          </cell>
          <cell r="AW4" t="str">
            <v>Ment.</v>
          </cell>
        </row>
        <row r="5">
          <cell r="AU5" t="str">
            <v>Channeling &amp; Essence</v>
          </cell>
          <cell r="AV5">
            <v>3</v>
          </cell>
          <cell r="AW5" t="str">
            <v>Ess.</v>
          </cell>
        </row>
        <row r="6">
          <cell r="AU6" t="str">
            <v>Channeling &amp; Mentalism</v>
          </cell>
          <cell r="AV6">
            <v>3</v>
          </cell>
          <cell r="AW6" t="str">
            <v>Ment.</v>
          </cell>
        </row>
        <row r="7">
          <cell r="AU7" t="str">
            <v>Essence &amp; Mentalism</v>
          </cell>
          <cell r="AV7">
            <v>3</v>
          </cell>
          <cell r="AW7" t="str">
            <v>Ment.</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F161"/>
  <sheetViews>
    <sheetView zoomScaleNormal="100" workbookViewId="0">
      <selection activeCell="A29" sqref="A29"/>
    </sheetView>
  </sheetViews>
  <sheetFormatPr defaultColWidth="0.85546875" defaultRowHeight="15" customHeight="1" x14ac:dyDescent="0.25"/>
  <cols>
    <col min="1" max="2" width="0.85546875" style="2" customWidth="1"/>
    <col min="3" max="29" width="0.85546875" style="2"/>
    <col min="30" max="31" width="0.85546875" style="2" customWidth="1"/>
    <col min="32" max="1869" width="0.85546875" style="2"/>
    <col min="1963" max="16384" width="0.85546875" style="2"/>
  </cols>
  <sheetData>
    <row r="1" spans="2:2996" ht="5.0999999999999996" customHeight="1" x14ac:dyDescent="0.25">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row>
    <row r="2" spans="2:2996" ht="15" customHeight="1" x14ac:dyDescent="0.25">
      <c r="B2" s="330" t="s">
        <v>0</v>
      </c>
      <c r="C2" s="331"/>
      <c r="D2" s="331"/>
      <c r="E2" s="331"/>
      <c r="F2" s="331"/>
      <c r="G2" s="331"/>
      <c r="H2" s="331"/>
      <c r="I2" s="331"/>
      <c r="J2" s="331"/>
      <c r="K2" s="331"/>
      <c r="L2" s="331"/>
      <c r="M2" s="331"/>
      <c r="N2" s="331"/>
      <c r="O2" s="331"/>
      <c r="P2" s="331"/>
      <c r="Q2" s="331"/>
      <c r="R2" s="331"/>
      <c r="S2" s="331"/>
      <c r="T2" s="331"/>
      <c r="U2" s="331"/>
      <c r="V2" s="331"/>
      <c r="W2" s="331"/>
      <c r="X2" s="331"/>
      <c r="Y2" s="331"/>
      <c r="Z2" s="331"/>
      <c r="AA2" s="331"/>
      <c r="AB2" s="331"/>
      <c r="AC2" s="331"/>
      <c r="AD2" s="331"/>
      <c r="AE2" s="331"/>
      <c r="AF2" s="331"/>
      <c r="AG2" s="331"/>
      <c r="AH2" s="331"/>
      <c r="AI2" s="331"/>
      <c r="AJ2" s="331"/>
      <c r="AK2" s="331"/>
      <c r="AL2" s="331"/>
      <c r="AM2" s="331"/>
      <c r="AN2" s="331"/>
      <c r="AO2" s="331"/>
      <c r="AP2" s="331"/>
      <c r="AQ2" s="331"/>
      <c r="AR2" s="331"/>
      <c r="AS2" s="331"/>
      <c r="AT2" s="331"/>
      <c r="AU2" s="331"/>
      <c r="AV2" s="331"/>
      <c r="AW2" s="331"/>
      <c r="AX2" s="331"/>
      <c r="AY2" s="331"/>
      <c r="AZ2" s="331"/>
      <c r="BA2" s="331"/>
      <c r="BB2" s="331"/>
      <c r="BC2" s="331"/>
      <c r="BD2" s="331"/>
      <c r="BE2" s="331"/>
      <c r="BF2" s="331"/>
      <c r="BG2" s="331"/>
      <c r="BH2" s="331"/>
      <c r="BI2" s="331"/>
      <c r="BJ2" s="331"/>
      <c r="BK2" s="331"/>
      <c r="BL2" s="331"/>
      <c r="BM2" s="331"/>
      <c r="BN2" s="331"/>
      <c r="BO2" s="331"/>
      <c r="BP2" s="331"/>
      <c r="BQ2" s="331"/>
      <c r="BR2" s="331"/>
      <c r="BS2" s="331"/>
      <c r="BT2" s="331"/>
      <c r="BU2" s="331"/>
      <c r="BV2" s="331"/>
      <c r="BW2" s="331"/>
      <c r="BX2" s="332"/>
      <c r="BY2"/>
      <c r="BZ2" s="240" t="s">
        <v>127</v>
      </c>
      <c r="CA2" s="241"/>
      <c r="CB2" s="241"/>
      <c r="CC2" s="241"/>
      <c r="CD2" s="241"/>
      <c r="CE2" s="241"/>
      <c r="CF2" s="241"/>
      <c r="CG2" s="241"/>
      <c r="CH2" s="241"/>
      <c r="CI2" s="241"/>
      <c r="CJ2" s="241"/>
      <c r="CK2" s="241"/>
      <c r="CL2" s="241"/>
      <c r="CM2" s="241"/>
      <c r="CN2" s="241"/>
      <c r="CO2" s="241"/>
      <c r="CP2" s="241"/>
      <c r="CQ2" s="241"/>
      <c r="CR2" s="241"/>
      <c r="CS2" s="241"/>
      <c r="CT2" s="241"/>
      <c r="CU2" s="241"/>
      <c r="CV2" s="241"/>
      <c r="CW2" s="241"/>
      <c r="CX2" s="241"/>
      <c r="CY2" s="241"/>
      <c r="CZ2" s="241"/>
      <c r="DA2" s="241"/>
      <c r="DB2" s="242"/>
      <c r="DD2" s="240" t="s">
        <v>128</v>
      </c>
      <c r="DE2" s="241"/>
      <c r="DF2" s="241"/>
      <c r="DG2" s="241"/>
      <c r="DH2" s="241"/>
      <c r="DI2" s="241"/>
      <c r="DJ2" s="241"/>
      <c r="DK2" s="241"/>
      <c r="DL2" s="241"/>
      <c r="DM2" s="241"/>
      <c r="DN2" s="241"/>
      <c r="DO2" s="241"/>
      <c r="DP2" s="241"/>
      <c r="DQ2" s="241"/>
      <c r="DR2" s="241"/>
      <c r="DS2" s="241"/>
      <c r="DT2" s="242"/>
      <c r="DV2" s="240" t="s">
        <v>131</v>
      </c>
      <c r="DW2" s="241"/>
      <c r="DX2" s="241"/>
      <c r="DY2" s="241"/>
      <c r="DZ2" s="241"/>
      <c r="EA2" s="241"/>
      <c r="EB2" s="241"/>
      <c r="EC2" s="241"/>
      <c r="ED2" s="241"/>
      <c r="EE2" s="241"/>
      <c r="EF2" s="241"/>
      <c r="EG2" s="241"/>
      <c r="EH2" s="241"/>
      <c r="EI2" s="241"/>
      <c r="EJ2" s="241"/>
      <c r="EK2" s="241"/>
      <c r="EL2" s="241"/>
      <c r="EM2" s="241"/>
      <c r="EN2" s="241"/>
      <c r="EO2" s="241"/>
      <c r="EP2" s="241"/>
      <c r="EQ2" s="241"/>
      <c r="ER2" s="241"/>
      <c r="ES2" s="241"/>
      <c r="ET2" s="241"/>
      <c r="EU2" s="241"/>
      <c r="EV2" s="241"/>
      <c r="EW2" s="241"/>
      <c r="EX2" s="241"/>
      <c r="EY2" s="241"/>
      <c r="EZ2" s="242"/>
      <c r="FB2" s="240" t="s">
        <v>132</v>
      </c>
      <c r="FC2" s="241"/>
      <c r="FD2" s="241"/>
      <c r="FE2" s="241"/>
      <c r="FF2" s="241"/>
      <c r="FG2" s="241"/>
      <c r="FH2" s="241"/>
      <c r="FI2" s="241"/>
      <c r="FJ2" s="241"/>
      <c r="FK2" s="241"/>
      <c r="FL2" s="241"/>
      <c r="FM2" s="241"/>
      <c r="FN2" s="241"/>
      <c r="FO2" s="241"/>
      <c r="FP2" s="241"/>
      <c r="FQ2" s="241"/>
      <c r="FR2" s="241"/>
      <c r="FS2" s="241"/>
      <c r="FT2" s="241"/>
      <c r="FU2" s="241"/>
      <c r="FV2" s="241"/>
      <c r="FW2" s="241"/>
      <c r="FX2" s="241"/>
      <c r="FY2" s="241"/>
      <c r="FZ2" s="241"/>
      <c r="GA2" s="241"/>
      <c r="GB2" s="241"/>
      <c r="GC2" s="241"/>
      <c r="GD2" s="241"/>
      <c r="GE2" s="241"/>
      <c r="GF2" s="241"/>
      <c r="GG2" s="241"/>
      <c r="GH2" s="241"/>
      <c r="GI2" s="241"/>
      <c r="GJ2" s="241"/>
      <c r="GK2" s="241"/>
      <c r="GL2" s="241"/>
      <c r="GM2" s="241"/>
      <c r="GN2" s="241"/>
      <c r="GO2" s="241"/>
      <c r="GP2" s="241"/>
      <c r="GQ2" s="241"/>
      <c r="GR2" s="241"/>
      <c r="GS2" s="241"/>
      <c r="GT2" s="241"/>
      <c r="GU2" s="241"/>
      <c r="GV2" s="241"/>
      <c r="GW2" s="241"/>
      <c r="GX2" s="241"/>
      <c r="GY2" s="241"/>
      <c r="GZ2" s="241"/>
      <c r="HA2" s="241"/>
      <c r="HB2" s="241"/>
      <c r="HC2" s="241"/>
      <c r="HD2" s="241"/>
      <c r="HE2" s="241"/>
      <c r="HF2" s="241"/>
      <c r="HG2" s="241"/>
      <c r="HH2" s="241"/>
      <c r="HI2" s="241"/>
      <c r="HJ2" s="241"/>
      <c r="HK2" s="241"/>
      <c r="HL2" s="241"/>
      <c r="HM2" s="241"/>
      <c r="HN2" s="241"/>
      <c r="HO2" s="241"/>
      <c r="HP2" s="241"/>
      <c r="HQ2" s="241"/>
      <c r="HR2" s="241"/>
      <c r="HS2" s="241"/>
      <c r="HT2" s="241"/>
      <c r="HU2" s="241"/>
      <c r="HV2" s="241"/>
      <c r="HW2" s="241"/>
      <c r="HX2" s="241"/>
      <c r="HY2" s="241"/>
      <c r="HZ2" s="241"/>
      <c r="IA2" s="241"/>
      <c r="IB2" s="241"/>
      <c r="IC2" s="241"/>
      <c r="ID2" s="241"/>
      <c r="IE2" s="241"/>
      <c r="IF2" s="241"/>
      <c r="IG2" s="241"/>
      <c r="IH2" s="241"/>
      <c r="II2" s="241"/>
      <c r="IJ2" s="241"/>
      <c r="IK2" s="241"/>
      <c r="IL2" s="241"/>
      <c r="IM2" s="241"/>
      <c r="IN2" s="241"/>
      <c r="IO2" s="241"/>
      <c r="IP2" s="241"/>
      <c r="IQ2" s="241"/>
      <c r="IR2" s="241"/>
      <c r="IS2" s="241"/>
      <c r="IT2" s="241"/>
      <c r="IU2" s="241"/>
      <c r="IV2" s="241"/>
      <c r="IW2" s="241"/>
      <c r="IX2" s="241"/>
      <c r="IY2" s="241"/>
      <c r="IZ2" s="241"/>
      <c r="JA2" s="241"/>
      <c r="JB2" s="241"/>
      <c r="JC2" s="241"/>
      <c r="JD2" s="241"/>
      <c r="JE2" s="241"/>
      <c r="JF2" s="241"/>
      <c r="JG2" s="241"/>
      <c r="JH2" s="241"/>
      <c r="JI2" s="241"/>
      <c r="JJ2" s="241"/>
      <c r="JK2" s="241"/>
      <c r="JL2" s="241"/>
      <c r="JM2" s="241"/>
      <c r="JN2" s="241"/>
      <c r="JO2" s="241"/>
      <c r="JP2" s="241"/>
      <c r="JQ2" s="241"/>
      <c r="JR2" s="241"/>
      <c r="JS2" s="241"/>
      <c r="JT2" s="241"/>
      <c r="JU2" s="241"/>
      <c r="JV2" s="241"/>
      <c r="JW2" s="241"/>
      <c r="JX2" s="241"/>
      <c r="JY2" s="241"/>
      <c r="JZ2" s="241"/>
      <c r="KA2" s="241"/>
      <c r="KB2" s="241"/>
      <c r="KC2" s="241"/>
      <c r="KD2" s="241"/>
      <c r="KE2" s="241"/>
      <c r="KF2" s="241"/>
      <c r="KG2" s="241"/>
      <c r="KH2" s="241"/>
      <c r="KI2" s="241"/>
      <c r="KJ2" s="241"/>
      <c r="KK2" s="241"/>
      <c r="KL2" s="241"/>
      <c r="KM2" s="241"/>
      <c r="KN2" s="241"/>
      <c r="KO2" s="241"/>
      <c r="KP2" s="241"/>
      <c r="KQ2" s="241"/>
      <c r="KR2" s="241"/>
      <c r="KS2" s="241"/>
      <c r="KT2" s="241"/>
      <c r="KU2" s="241"/>
      <c r="KV2" s="241"/>
      <c r="KW2" s="241"/>
      <c r="KX2" s="241"/>
      <c r="KY2" s="241"/>
      <c r="KZ2" s="241"/>
      <c r="LA2" s="241"/>
      <c r="LB2" s="241"/>
      <c r="LC2" s="241"/>
      <c r="LD2" s="241"/>
      <c r="LE2" s="241"/>
      <c r="LF2" s="241"/>
      <c r="LG2" s="241"/>
      <c r="LH2" s="241"/>
      <c r="LI2" s="241"/>
      <c r="LJ2" s="241"/>
      <c r="LK2" s="241"/>
      <c r="LL2" s="241"/>
      <c r="LM2" s="241"/>
      <c r="LN2" s="241"/>
      <c r="LO2" s="241"/>
      <c r="LP2" s="241"/>
      <c r="LQ2" s="241"/>
      <c r="LR2" s="241"/>
      <c r="LS2" s="241"/>
      <c r="LT2" s="241"/>
      <c r="LU2" s="241"/>
      <c r="LV2" s="241"/>
      <c r="LW2" s="241"/>
      <c r="LX2" s="241"/>
      <c r="LY2" s="241"/>
      <c r="LZ2" s="241"/>
      <c r="MA2" s="241"/>
      <c r="MB2" s="241"/>
      <c r="MC2" s="241"/>
      <c r="MD2" s="241"/>
      <c r="ME2" s="241"/>
      <c r="MF2" s="241"/>
      <c r="MG2" s="241"/>
      <c r="MH2" s="241"/>
      <c r="MI2" s="241"/>
      <c r="MJ2" s="241"/>
      <c r="MK2" s="241"/>
      <c r="ML2" s="241"/>
      <c r="MM2" s="241"/>
      <c r="MN2" s="241"/>
      <c r="MO2" s="241"/>
      <c r="MP2" s="241"/>
      <c r="MQ2" s="241"/>
      <c r="MR2" s="241"/>
      <c r="MS2" s="241"/>
      <c r="MT2" s="241"/>
      <c r="MU2" s="241"/>
      <c r="MV2" s="241"/>
      <c r="MW2" s="241"/>
      <c r="MX2" s="241"/>
      <c r="MY2" s="241"/>
      <c r="MZ2" s="242"/>
      <c r="NB2" s="305" t="s">
        <v>145</v>
      </c>
      <c r="NC2" s="305"/>
      <c r="ND2" s="305"/>
      <c r="NE2" s="305"/>
      <c r="NF2" s="305"/>
      <c r="NG2" s="305"/>
      <c r="NH2" s="305"/>
      <c r="NI2" s="305"/>
      <c r="NJ2" s="305"/>
      <c r="NK2" s="305"/>
      <c r="NL2" s="305"/>
      <c r="NM2" s="305"/>
      <c r="NN2" s="305"/>
      <c r="NO2" s="305"/>
      <c r="NP2" s="305"/>
      <c r="NQ2" s="305"/>
      <c r="NR2" s="305"/>
      <c r="NS2" s="305"/>
      <c r="NT2" s="305"/>
      <c r="NU2" s="305"/>
      <c r="NV2" s="305"/>
      <c r="NW2" s="305"/>
      <c r="NX2" s="305"/>
      <c r="NY2" s="305"/>
      <c r="NZ2" s="305"/>
      <c r="OA2" s="305"/>
      <c r="OB2" s="305"/>
      <c r="OC2" s="305"/>
      <c r="OD2" s="305"/>
      <c r="OE2" s="305"/>
      <c r="OF2" s="305"/>
      <c r="OG2" s="305"/>
      <c r="OH2" s="305"/>
      <c r="OI2" s="305"/>
      <c r="OJ2" s="305"/>
      <c r="OK2" s="305"/>
      <c r="OL2" s="305"/>
      <c r="OM2" s="305"/>
      <c r="ON2" s="305"/>
      <c r="OO2" s="305"/>
      <c r="OP2" s="305"/>
      <c r="OQ2" s="305"/>
      <c r="OR2" s="305"/>
      <c r="OS2" s="305"/>
      <c r="OT2" s="305"/>
      <c r="OU2" s="305"/>
      <c r="OV2" s="305"/>
      <c r="OW2" s="305"/>
      <c r="OX2" s="305"/>
      <c r="OY2" s="305"/>
      <c r="OZ2" s="305"/>
      <c r="PA2" s="305"/>
      <c r="PB2" s="305"/>
      <c r="PC2" s="305"/>
      <c r="PD2" s="305"/>
      <c r="PE2" s="305"/>
      <c r="PF2" s="305"/>
      <c r="PG2" s="305"/>
      <c r="PH2" s="305"/>
      <c r="PI2" s="305"/>
      <c r="PJ2" s="305"/>
      <c r="PK2" s="305"/>
      <c r="PL2" s="305"/>
      <c r="PM2" s="305"/>
      <c r="PN2" s="305"/>
      <c r="PO2" s="305"/>
      <c r="PP2" s="305"/>
      <c r="PQ2" s="305"/>
      <c r="PR2" s="305"/>
      <c r="PS2" s="305"/>
      <c r="PT2" s="305"/>
      <c r="PU2" s="305"/>
      <c r="PV2" s="305"/>
      <c r="PW2" s="305"/>
      <c r="PX2" s="305"/>
      <c r="PY2" s="305"/>
      <c r="PZ2" s="305"/>
      <c r="QA2" s="305"/>
      <c r="QB2" s="305"/>
      <c r="QC2" s="305"/>
      <c r="QD2" s="305"/>
      <c r="QE2" s="305"/>
      <c r="QF2" s="305"/>
      <c r="QG2" s="305"/>
      <c r="QH2" s="305"/>
      <c r="QI2" s="305"/>
      <c r="QJ2" s="305"/>
      <c r="QK2" s="305"/>
      <c r="QL2" s="305"/>
      <c r="QM2" s="305"/>
      <c r="QN2" s="305"/>
      <c r="QO2" s="305"/>
      <c r="QP2" s="305"/>
      <c r="QR2" s="305" t="s">
        <v>155</v>
      </c>
      <c r="QS2" s="305"/>
      <c r="QT2" s="305"/>
      <c r="QU2" s="305"/>
      <c r="QV2" s="305"/>
      <c r="QW2" s="305"/>
      <c r="QX2" s="305"/>
      <c r="QY2" s="305"/>
      <c r="QZ2" s="305"/>
      <c r="RA2" s="305"/>
      <c r="RB2" s="305"/>
      <c r="RC2" s="305"/>
      <c r="RD2" s="305"/>
      <c r="RE2" s="305"/>
      <c r="RF2" s="305"/>
      <c r="RG2" s="305"/>
      <c r="RH2" s="305"/>
      <c r="RI2" s="305"/>
      <c r="RJ2" s="305"/>
      <c r="RK2" s="305"/>
      <c r="RL2" s="305"/>
      <c r="RM2" s="305"/>
      <c r="RN2" s="305"/>
      <c r="RO2" s="305"/>
      <c r="RP2" s="305"/>
      <c r="RQ2" s="305"/>
      <c r="RR2" s="305"/>
      <c r="RS2" s="305"/>
      <c r="RT2" s="305"/>
      <c r="RU2" s="305"/>
      <c r="RV2" s="305"/>
      <c r="RW2" s="305"/>
      <c r="RX2" s="305"/>
      <c r="RY2" s="305"/>
      <c r="RZ2" s="305"/>
      <c r="SA2" s="305"/>
      <c r="SB2" s="305"/>
      <c r="SC2" s="305"/>
      <c r="SD2" s="305"/>
      <c r="SE2" s="305"/>
      <c r="SF2" s="305"/>
      <c r="SG2" s="305"/>
      <c r="SH2" s="305"/>
      <c r="SI2" s="305"/>
      <c r="SJ2" s="305"/>
      <c r="SK2" s="305"/>
      <c r="SL2" s="305"/>
      <c r="SM2" s="305"/>
      <c r="SN2" s="305"/>
      <c r="SO2" s="305"/>
      <c r="SP2" s="305"/>
      <c r="SQ2" s="305"/>
      <c r="SR2" s="305"/>
      <c r="SS2" s="305"/>
      <c r="ST2" s="305"/>
      <c r="SU2" s="305"/>
      <c r="SV2" s="305"/>
      <c r="SW2" s="305"/>
      <c r="SX2" s="305"/>
      <c r="SY2" s="305"/>
      <c r="SZ2" s="305"/>
      <c r="TA2" s="305"/>
      <c r="TB2" s="305"/>
      <c r="TC2" s="305"/>
      <c r="TD2" s="305"/>
      <c r="TE2" s="305"/>
      <c r="TF2" s="305"/>
      <c r="TG2" s="305"/>
      <c r="TH2" s="305"/>
      <c r="TI2" s="305"/>
      <c r="TJ2" s="305"/>
      <c r="TK2" s="305"/>
      <c r="TL2" s="305"/>
      <c r="TM2" s="305"/>
      <c r="TN2" s="305"/>
      <c r="TO2" s="305"/>
      <c r="TP2" s="305"/>
      <c r="TQ2" s="305"/>
      <c r="TR2" s="305"/>
      <c r="TS2" s="305"/>
      <c r="TT2" s="305"/>
      <c r="TU2" s="305"/>
      <c r="TV2" s="305"/>
      <c r="TW2" s="305"/>
      <c r="TX2" s="305"/>
      <c r="TY2" s="305"/>
      <c r="TZ2" s="305"/>
      <c r="UA2" s="305"/>
      <c r="UB2" s="305"/>
      <c r="UC2" s="305"/>
      <c r="UD2" s="305"/>
      <c r="UE2" s="305"/>
      <c r="UF2" s="305"/>
      <c r="UH2" s="305" t="s">
        <v>158</v>
      </c>
      <c r="UI2" s="305"/>
      <c r="UJ2" s="305"/>
      <c r="UK2" s="305"/>
      <c r="UL2" s="305"/>
      <c r="UM2" s="305"/>
      <c r="UN2" s="305"/>
      <c r="UO2" s="305"/>
      <c r="UP2" s="305"/>
      <c r="UQ2" s="305"/>
      <c r="UR2" s="305"/>
      <c r="US2" s="305"/>
      <c r="UT2" s="305"/>
      <c r="UU2" s="305"/>
      <c r="UV2" s="305"/>
      <c r="UW2" s="305"/>
      <c r="UX2" s="305"/>
      <c r="UY2" s="305"/>
      <c r="UZ2" s="305"/>
      <c r="VA2" s="305"/>
      <c r="VB2" s="305"/>
      <c r="VC2" s="305"/>
      <c r="VD2" s="305"/>
      <c r="VE2" s="305"/>
      <c r="VF2" s="305"/>
      <c r="VG2" s="305"/>
      <c r="VH2" s="305"/>
      <c r="VI2" s="305"/>
      <c r="VJ2" s="305"/>
      <c r="VK2" s="305"/>
      <c r="VL2" s="305"/>
      <c r="VM2" s="305"/>
      <c r="VN2" s="305"/>
      <c r="VO2" s="305"/>
      <c r="VP2" s="305"/>
      <c r="VQ2" s="305"/>
      <c r="VR2" s="305"/>
      <c r="VS2" s="305"/>
      <c r="VT2" s="305"/>
      <c r="VU2" s="305"/>
      <c r="VV2" s="305"/>
      <c r="VW2" s="305"/>
      <c r="VX2" s="305"/>
      <c r="VY2" s="305"/>
      <c r="VZ2" s="305"/>
      <c r="WA2" s="305"/>
      <c r="WB2" s="305"/>
      <c r="WC2" s="305"/>
      <c r="WD2" s="305"/>
      <c r="WE2" s="305"/>
      <c r="WF2" s="305"/>
      <c r="WG2" s="305"/>
      <c r="WH2" s="305"/>
      <c r="WI2" s="305"/>
      <c r="WJ2" s="305"/>
      <c r="WK2" s="305"/>
      <c r="WL2" s="305"/>
      <c r="WM2" s="305"/>
      <c r="WN2" s="305"/>
      <c r="WO2" s="305"/>
      <c r="WP2" s="305"/>
      <c r="WQ2" s="305"/>
      <c r="WR2" s="305"/>
      <c r="WS2" s="305"/>
      <c r="WT2" s="305"/>
      <c r="WU2" s="305"/>
      <c r="WV2" s="305"/>
      <c r="WW2" s="305"/>
      <c r="WX2" s="305"/>
      <c r="WY2" s="305"/>
      <c r="WZ2" s="305"/>
      <c r="XA2" s="305"/>
      <c r="XB2" s="305"/>
      <c r="XC2" s="305"/>
      <c r="XD2" s="305"/>
      <c r="XE2" s="305"/>
      <c r="XF2" s="305"/>
      <c r="XG2" s="305"/>
      <c r="XH2" s="305"/>
      <c r="XI2" s="305"/>
      <c r="XJ2" s="305"/>
      <c r="XK2" s="305"/>
      <c r="XL2" s="305"/>
      <c r="XM2" s="305"/>
      <c r="XN2" s="305"/>
      <c r="XO2" s="305"/>
      <c r="XP2" s="305"/>
      <c r="XQ2" s="305"/>
      <c r="XR2" s="305"/>
      <c r="XS2" s="305"/>
      <c r="XT2" s="305"/>
      <c r="XU2" s="305"/>
      <c r="XV2" s="305"/>
      <c r="XX2" s="305" t="s">
        <v>165</v>
      </c>
      <c r="XY2" s="305"/>
      <c r="XZ2" s="305"/>
      <c r="YA2" s="305"/>
      <c r="YB2" s="305"/>
      <c r="YC2" s="305"/>
      <c r="YD2" s="305"/>
      <c r="YE2" s="305"/>
      <c r="YF2" s="305"/>
      <c r="YG2" s="305"/>
      <c r="YH2" s="305"/>
      <c r="YI2" s="305"/>
      <c r="YJ2" s="305"/>
      <c r="YK2" s="305"/>
      <c r="YL2" s="305"/>
      <c r="YM2" s="305"/>
      <c r="YN2" s="305"/>
      <c r="YO2" s="305"/>
      <c r="YP2" s="305"/>
      <c r="YQ2" s="305"/>
      <c r="YR2" s="305"/>
      <c r="YS2" s="305"/>
      <c r="YT2" s="305"/>
      <c r="YU2" s="305"/>
      <c r="YV2" s="305"/>
      <c r="YW2" s="305"/>
      <c r="YX2" s="305"/>
      <c r="YY2" s="305"/>
      <c r="YZ2" s="305"/>
      <c r="ZA2" s="305"/>
      <c r="ZB2" s="305"/>
      <c r="ZC2" s="305"/>
      <c r="ZD2" s="305"/>
      <c r="ZE2" s="305"/>
      <c r="ZF2" s="305"/>
      <c r="ZG2" s="305"/>
      <c r="ZH2" s="305"/>
      <c r="ZI2" s="305"/>
      <c r="ZJ2" s="305"/>
      <c r="ZK2" s="305"/>
      <c r="ZL2" s="305"/>
      <c r="ZM2" s="305"/>
      <c r="ZN2" s="305"/>
      <c r="ZO2" s="305"/>
      <c r="ZP2" s="305"/>
      <c r="ZQ2" s="305"/>
      <c r="ZR2" s="305"/>
      <c r="ZS2" s="305"/>
      <c r="ZT2" s="305"/>
      <c r="ZU2" s="305"/>
      <c r="ZV2" s="305"/>
      <c r="ZW2" s="305"/>
      <c r="ZX2" s="305"/>
      <c r="ZY2" s="305"/>
      <c r="ZZ2" s="305"/>
      <c r="AAA2" s="305"/>
      <c r="AAB2" s="305"/>
      <c r="AAC2" s="305"/>
      <c r="AAD2" s="305"/>
      <c r="AAE2" s="305"/>
      <c r="AAF2" s="305"/>
      <c r="AAG2" s="305"/>
      <c r="AAH2" s="305"/>
      <c r="AAI2" s="305"/>
      <c r="AAJ2" s="305"/>
      <c r="AAK2" s="305"/>
      <c r="AAL2" s="305"/>
      <c r="AAM2" s="305"/>
      <c r="AAN2" s="305"/>
      <c r="AAO2" s="305"/>
      <c r="AAP2" s="305"/>
      <c r="AAQ2" s="305"/>
      <c r="AAR2" s="305"/>
      <c r="AAS2" s="305"/>
      <c r="AAT2" s="305"/>
      <c r="AAU2" s="305"/>
      <c r="AAV2" s="305"/>
      <c r="AAW2" s="305"/>
      <c r="AAX2" s="305"/>
      <c r="AAY2" s="305"/>
      <c r="AAZ2" s="305"/>
      <c r="ABA2" s="305"/>
      <c r="ABB2" s="305"/>
      <c r="ABC2" s="305"/>
      <c r="ABD2" s="305"/>
      <c r="ABE2" s="305"/>
      <c r="ABF2" s="305"/>
      <c r="ABG2" s="305"/>
      <c r="ABH2" s="305"/>
      <c r="ABI2" s="305"/>
      <c r="ABJ2" s="305"/>
      <c r="ABK2" s="305"/>
      <c r="ABL2" s="305"/>
      <c r="ABN2" s="305" t="s">
        <v>172</v>
      </c>
      <c r="ABO2" s="305"/>
      <c r="ABP2" s="305"/>
      <c r="ABQ2" s="305"/>
      <c r="ABR2" s="305"/>
      <c r="ABS2" s="305"/>
      <c r="ABT2" s="305"/>
      <c r="ABU2" s="305"/>
      <c r="ABV2" s="305"/>
      <c r="ABW2" s="305"/>
      <c r="ABX2" s="305"/>
      <c r="ABY2" s="305"/>
      <c r="ABZ2" s="305"/>
      <c r="ACA2" s="305"/>
      <c r="ACB2" s="305"/>
      <c r="ACC2" s="305"/>
      <c r="ACD2" s="305"/>
      <c r="ACE2" s="305"/>
      <c r="ACF2" s="305"/>
      <c r="ACG2" s="305"/>
      <c r="ACH2" s="305"/>
      <c r="ACI2" s="305"/>
      <c r="ACJ2" s="305"/>
      <c r="ACK2" s="305"/>
      <c r="ACL2" s="305"/>
      <c r="ACM2" s="305"/>
      <c r="ACN2" s="305"/>
      <c r="ACO2" s="305"/>
      <c r="ACP2" s="305"/>
      <c r="ACQ2" s="305"/>
      <c r="ACR2" s="305"/>
      <c r="ACS2" s="305"/>
      <c r="ACT2" s="305"/>
      <c r="ACU2" s="305"/>
      <c r="ACV2" s="305"/>
      <c r="ACW2" s="305"/>
      <c r="ACX2" s="305"/>
      <c r="ACY2" s="305"/>
      <c r="ACZ2" s="305"/>
      <c r="ADA2" s="305"/>
      <c r="ADB2" s="305"/>
      <c r="ADC2" s="305"/>
      <c r="ADD2" s="305"/>
      <c r="ADE2" s="305"/>
      <c r="ADF2" s="305"/>
      <c r="ADG2" s="305"/>
      <c r="ADH2" s="305"/>
      <c r="ADI2" s="305"/>
      <c r="ADJ2" s="305"/>
      <c r="ADK2" s="305"/>
      <c r="ADL2" s="305"/>
      <c r="ADM2" s="305"/>
      <c r="ADN2" s="305"/>
      <c r="ADO2" s="305"/>
      <c r="ADP2" s="305"/>
      <c r="ADQ2" s="305"/>
      <c r="ADR2" s="305"/>
      <c r="ADS2" s="305"/>
      <c r="ADT2" s="305"/>
      <c r="ADU2" s="305"/>
      <c r="ADV2" s="305"/>
      <c r="ADW2" s="305"/>
      <c r="ADX2" s="305"/>
      <c r="ADY2" s="305"/>
      <c r="ADZ2" s="305"/>
      <c r="AEA2" s="305"/>
      <c r="AEB2" s="305"/>
      <c r="AEC2" s="305"/>
      <c r="AED2" s="305"/>
      <c r="AEE2" s="305"/>
      <c r="AEF2" s="305"/>
      <c r="AEG2" s="305"/>
      <c r="AEH2" s="305"/>
      <c r="AEI2" s="305"/>
      <c r="AEJ2" s="305"/>
      <c r="AEK2" s="305"/>
      <c r="AEL2" s="305"/>
      <c r="AEM2" s="305"/>
      <c r="AEN2" s="305"/>
      <c r="AEO2" s="305"/>
      <c r="AEP2" s="305"/>
      <c r="AEQ2" s="305"/>
      <c r="AER2" s="305"/>
      <c r="AES2" s="305"/>
      <c r="AET2" s="305"/>
      <c r="AEU2" s="305"/>
      <c r="AEV2" s="305"/>
      <c r="AEW2" s="305"/>
      <c r="AEX2" s="305"/>
      <c r="AEY2" s="305"/>
      <c r="AEZ2" s="305"/>
      <c r="AFA2" s="305"/>
      <c r="AFB2" s="305"/>
      <c r="AFD2" s="305" t="s">
        <v>181</v>
      </c>
      <c r="AFE2" s="305"/>
      <c r="AFF2" s="305"/>
      <c r="AFG2" s="305"/>
      <c r="AFH2" s="305"/>
      <c r="AFI2" s="305"/>
      <c r="AFJ2" s="305"/>
      <c r="AFK2" s="305"/>
      <c r="AFL2" s="305"/>
      <c r="AFM2" s="305"/>
      <c r="AFN2" s="305"/>
      <c r="AFO2" s="305"/>
      <c r="AFP2" s="305"/>
      <c r="AFQ2" s="305"/>
      <c r="AFR2" s="305"/>
      <c r="AFS2" s="305"/>
      <c r="AFT2" s="305"/>
      <c r="AFU2" s="305"/>
      <c r="AFV2" s="305"/>
      <c r="AFW2" s="305"/>
      <c r="AFX2" s="305"/>
      <c r="AFY2" s="305"/>
      <c r="AFZ2" s="305"/>
      <c r="AGA2" s="305"/>
      <c r="AGB2" s="305"/>
      <c r="AGC2" s="305"/>
      <c r="AGD2" s="305"/>
      <c r="AGE2" s="305"/>
      <c r="AGF2" s="305"/>
      <c r="AGG2" s="305"/>
      <c r="AGH2" s="305"/>
      <c r="AGI2" s="305"/>
      <c r="AGJ2" s="305"/>
      <c r="AGK2" s="305"/>
      <c r="AGL2" s="305"/>
      <c r="AGM2" s="305"/>
      <c r="AGN2" s="305"/>
      <c r="AGO2" s="305"/>
      <c r="AGP2" s="305"/>
      <c r="AGQ2" s="305"/>
      <c r="AGR2" s="305"/>
      <c r="AGS2" s="305"/>
      <c r="AGT2" s="305"/>
      <c r="AGU2" s="305"/>
      <c r="AGV2" s="305"/>
      <c r="AGW2" s="305"/>
      <c r="AGX2" s="305"/>
      <c r="AGY2" s="305"/>
      <c r="AGZ2" s="305"/>
      <c r="AHA2" s="305"/>
      <c r="AHB2" s="305"/>
      <c r="AHC2" s="305"/>
      <c r="AHD2" s="305"/>
      <c r="AHE2" s="305"/>
      <c r="AHF2" s="305"/>
      <c r="AHG2" s="305"/>
      <c r="AHH2" s="305"/>
      <c r="AHI2" s="305"/>
      <c r="AHJ2" s="305"/>
      <c r="AHK2" s="305"/>
      <c r="AHL2" s="305"/>
      <c r="AHM2" s="305"/>
      <c r="AHN2" s="305"/>
      <c r="AHO2" s="305"/>
      <c r="AHP2" s="305"/>
      <c r="AHQ2" s="305"/>
      <c r="AHR2" s="305"/>
      <c r="AHS2" s="305"/>
      <c r="AHT2" s="305"/>
      <c r="AHU2" s="305"/>
      <c r="AHV2" s="305"/>
      <c r="AHW2" s="305"/>
      <c r="AHX2" s="305"/>
      <c r="AHY2" s="305"/>
      <c r="AHZ2" s="305"/>
      <c r="AIA2" s="305"/>
      <c r="AIB2" s="305"/>
      <c r="AIC2" s="305"/>
      <c r="AID2" s="305"/>
      <c r="AIE2" s="305"/>
      <c r="AIF2" s="305"/>
      <c r="AIG2" s="305"/>
      <c r="AIH2" s="305"/>
      <c r="AII2" s="305"/>
      <c r="AIJ2" s="305"/>
      <c r="AIK2" s="305"/>
      <c r="AIL2" s="305"/>
      <c r="AIM2" s="305"/>
      <c r="AIN2" s="305"/>
      <c r="AIO2" s="305"/>
      <c r="AIP2" s="305"/>
      <c r="AIQ2" s="305"/>
      <c r="AIR2" s="305"/>
      <c r="AIT2" s="305" t="s">
        <v>188</v>
      </c>
      <c r="AIU2" s="305"/>
      <c r="AIV2" s="305"/>
      <c r="AIW2" s="305"/>
      <c r="AIX2" s="305"/>
      <c r="AIY2" s="305"/>
      <c r="AIZ2" s="305"/>
      <c r="AJA2" s="305"/>
      <c r="AJB2" s="305"/>
      <c r="AJC2" s="305"/>
      <c r="AJD2" s="305"/>
      <c r="AJE2" s="305"/>
      <c r="AJF2" s="305"/>
      <c r="AJG2" s="305"/>
      <c r="AJH2" s="305"/>
      <c r="AJI2" s="305"/>
      <c r="AJJ2" s="305"/>
      <c r="AJK2" s="305"/>
      <c r="AJL2" s="305"/>
      <c r="AJM2" s="305"/>
      <c r="AJN2" s="305"/>
      <c r="AJO2" s="305"/>
      <c r="AJP2" s="305"/>
      <c r="AJQ2" s="305"/>
      <c r="AJR2" s="305"/>
      <c r="AJS2" s="305"/>
      <c r="AJT2" s="305"/>
      <c r="AJU2" s="305"/>
      <c r="AJV2" s="305"/>
      <c r="AJW2" s="305"/>
      <c r="AJX2" s="305"/>
      <c r="AJY2" s="305"/>
      <c r="AJZ2" s="305"/>
      <c r="AKA2" s="305"/>
      <c r="AKB2" s="305"/>
      <c r="AKC2" s="305"/>
      <c r="AKD2" s="305"/>
      <c r="AKE2" s="305"/>
      <c r="AKF2" s="305"/>
      <c r="AKG2" s="305"/>
      <c r="AKH2" s="305"/>
      <c r="AKI2" s="305"/>
      <c r="AKJ2" s="305"/>
      <c r="AKK2" s="305"/>
      <c r="AKL2" s="305"/>
      <c r="AKM2" s="305"/>
      <c r="AKN2" s="305"/>
      <c r="AKO2" s="305"/>
      <c r="AKP2" s="305"/>
      <c r="AKQ2" s="305"/>
      <c r="AKR2" s="305"/>
      <c r="AKS2" s="305"/>
      <c r="AKT2" s="305"/>
      <c r="AKU2" s="305"/>
      <c r="AKV2" s="305"/>
      <c r="AKW2" s="305"/>
      <c r="AKX2" s="305"/>
      <c r="AKY2" s="305"/>
      <c r="AKZ2" s="305"/>
      <c r="ALA2" s="305"/>
      <c r="ALB2" s="305"/>
      <c r="ALC2" s="305"/>
      <c r="ALD2" s="305"/>
      <c r="ALE2" s="305"/>
      <c r="ALF2" s="305"/>
      <c r="ALG2" s="305"/>
      <c r="ALH2" s="305"/>
      <c r="ALI2" s="305"/>
      <c r="ALJ2" s="305"/>
      <c r="ALK2" s="305"/>
      <c r="ALL2" s="305"/>
      <c r="ALM2" s="305"/>
      <c r="ALN2" s="305"/>
      <c r="ALO2" s="305"/>
      <c r="ALP2" s="305"/>
      <c r="ALQ2" s="305"/>
      <c r="ALR2" s="305"/>
      <c r="ALS2" s="305"/>
      <c r="ALT2" s="305"/>
      <c r="ALU2" s="305"/>
      <c r="ALV2" s="305"/>
      <c r="ALW2" s="305"/>
      <c r="ALX2" s="305"/>
      <c r="ALY2" s="305"/>
      <c r="ALZ2" s="305"/>
      <c r="AMA2" s="305"/>
      <c r="AMB2" s="305"/>
      <c r="AMC2" s="305"/>
      <c r="AMD2" s="305"/>
      <c r="AME2" s="305"/>
      <c r="AMF2" s="305"/>
      <c r="AMG2" s="305"/>
      <c r="AMH2" s="305"/>
      <c r="AMJ2" s="305" t="s">
        <v>217</v>
      </c>
      <c r="AMK2" s="305"/>
      <c r="AML2" s="305"/>
      <c r="AMM2" s="305"/>
      <c r="AMN2" s="305"/>
      <c r="AMO2" s="305"/>
      <c r="AMP2" s="305"/>
      <c r="AMQ2" s="305"/>
      <c r="AMR2" s="305"/>
      <c r="AMS2" s="305"/>
      <c r="AMT2" s="305"/>
      <c r="AMU2" s="305"/>
      <c r="AMV2" s="305"/>
      <c r="AMW2" s="305"/>
      <c r="AMX2" s="305"/>
      <c r="AMY2" s="305"/>
      <c r="AMZ2" s="305"/>
      <c r="ANA2" s="305"/>
      <c r="ANB2" s="305"/>
      <c r="ANC2" s="305"/>
      <c r="AND2" s="305"/>
      <c r="ANE2" s="305"/>
      <c r="ANF2" s="305"/>
      <c r="ANG2" s="305"/>
      <c r="ANH2" s="305"/>
      <c r="ANI2" s="305"/>
      <c r="ANJ2" s="305"/>
      <c r="ANK2" s="305"/>
      <c r="ANL2" s="305"/>
      <c r="ANM2" s="305"/>
      <c r="ANN2" s="305"/>
      <c r="ANO2" s="305"/>
      <c r="ANP2" s="305"/>
      <c r="ANQ2" s="305"/>
      <c r="ANR2" s="305"/>
      <c r="ANS2" s="305"/>
      <c r="ANT2" s="305"/>
      <c r="ANU2" s="305"/>
      <c r="ANV2" s="305"/>
      <c r="ANW2" s="305"/>
      <c r="ANX2" s="305"/>
      <c r="ANY2" s="305"/>
      <c r="ANZ2" s="305"/>
      <c r="AOA2" s="305"/>
      <c r="AOB2" s="305"/>
      <c r="AOC2" s="305"/>
      <c r="AOD2" s="305"/>
      <c r="AOE2" s="305"/>
      <c r="AOF2" s="305"/>
      <c r="AOG2" s="305"/>
      <c r="AOH2" s="305"/>
      <c r="AOI2" s="305"/>
      <c r="AOJ2" s="305"/>
      <c r="AOK2" s="305"/>
      <c r="AOL2" s="305"/>
      <c r="AOM2" s="305"/>
      <c r="AON2" s="305"/>
      <c r="AOO2" s="305"/>
      <c r="AOP2" s="305"/>
      <c r="AOQ2" s="305"/>
      <c r="AOR2" s="305"/>
      <c r="AOS2" s="305"/>
      <c r="AOT2" s="305"/>
      <c r="AOU2" s="305"/>
      <c r="AOV2" s="305"/>
      <c r="AOW2" s="305"/>
      <c r="AOX2" s="305"/>
      <c r="AOY2" s="305"/>
      <c r="AOZ2" s="305"/>
      <c r="APA2" s="305"/>
      <c r="APB2" s="305"/>
      <c r="APC2" s="305"/>
      <c r="APD2" s="305"/>
      <c r="APE2" s="305"/>
      <c r="APF2" s="305"/>
      <c r="APG2" s="305"/>
      <c r="APH2" s="305"/>
      <c r="API2" s="305"/>
      <c r="APJ2" s="305"/>
      <c r="APK2" s="305"/>
      <c r="APL2" s="305"/>
      <c r="APM2" s="305"/>
      <c r="APN2" s="305"/>
      <c r="APO2" s="305"/>
      <c r="APP2" s="305"/>
      <c r="APQ2" s="305"/>
      <c r="APR2" s="305"/>
      <c r="APS2" s="305"/>
      <c r="APT2" s="305"/>
      <c r="APU2" s="305"/>
      <c r="APV2" s="305"/>
      <c r="APW2" s="305"/>
      <c r="APX2" s="305"/>
      <c r="APZ2" s="305" t="s">
        <v>226</v>
      </c>
      <c r="AQA2" s="305"/>
      <c r="AQB2" s="305"/>
      <c r="AQC2" s="305"/>
      <c r="AQD2" s="305"/>
      <c r="AQE2" s="305"/>
      <c r="AQF2" s="305"/>
      <c r="AQG2" s="305"/>
      <c r="AQH2" s="305"/>
      <c r="AQI2" s="305"/>
      <c r="AQJ2" s="305"/>
      <c r="AQK2" s="305"/>
      <c r="AQL2" s="305"/>
      <c r="AQM2" s="305"/>
      <c r="AQN2" s="305"/>
      <c r="AQO2" s="305"/>
      <c r="AQP2" s="305"/>
      <c r="AQQ2" s="305"/>
      <c r="AQR2" s="305"/>
      <c r="AQS2" s="305"/>
      <c r="AQT2" s="305"/>
      <c r="AQU2" s="305"/>
      <c r="AQV2" s="305"/>
      <c r="AQW2" s="305"/>
      <c r="AQX2" s="305"/>
      <c r="AQY2" s="305"/>
      <c r="AQZ2" s="305"/>
      <c r="ARA2" s="305"/>
      <c r="ARB2" s="305"/>
      <c r="ARC2" s="305"/>
      <c r="ARD2" s="305"/>
      <c r="ARE2" s="305"/>
      <c r="ARF2" s="305"/>
      <c r="ARG2" s="305"/>
      <c r="ARH2" s="305"/>
      <c r="ARI2" s="305"/>
      <c r="ARJ2" s="305"/>
      <c r="ARK2" s="305"/>
      <c r="ARL2" s="305"/>
      <c r="ARM2" s="305"/>
      <c r="ARN2" s="305"/>
      <c r="ARO2" s="305"/>
      <c r="ARP2" s="305"/>
      <c r="ARQ2" s="305"/>
      <c r="ARR2" s="305"/>
      <c r="ARS2" s="305"/>
      <c r="ART2" s="305"/>
      <c r="ARU2" s="305"/>
      <c r="ARV2" s="305"/>
      <c r="ARW2" s="305"/>
      <c r="ARX2" s="305"/>
      <c r="ARY2" s="305"/>
      <c r="ARZ2" s="305"/>
      <c r="ASA2" s="305"/>
      <c r="ASB2" s="305"/>
      <c r="ASC2" s="305"/>
      <c r="ASD2" s="305"/>
      <c r="ASE2" s="305"/>
      <c r="ASF2" s="305"/>
      <c r="ASG2" s="305"/>
      <c r="ASH2" s="305"/>
      <c r="ASI2" s="305"/>
      <c r="ASJ2" s="305"/>
      <c r="ASK2" s="305"/>
      <c r="ASL2" s="305"/>
      <c r="ASM2" s="305"/>
      <c r="ASN2" s="305"/>
      <c r="ASO2" s="305"/>
      <c r="ASP2" s="305"/>
      <c r="ASQ2" s="305"/>
      <c r="ASR2" s="305"/>
      <c r="ASS2" s="305"/>
      <c r="AST2" s="305"/>
      <c r="ASU2" s="305"/>
      <c r="ASV2" s="305"/>
      <c r="ASW2" s="305"/>
      <c r="ASX2" s="305"/>
      <c r="ASY2" s="305"/>
      <c r="ASZ2" s="305"/>
      <c r="ATA2" s="305"/>
      <c r="ATB2" s="305"/>
      <c r="ATC2" s="305"/>
      <c r="ATD2" s="305"/>
      <c r="ATE2" s="305"/>
      <c r="ATF2" s="305"/>
      <c r="ATG2" s="305"/>
      <c r="ATH2" s="305"/>
      <c r="ATI2" s="305"/>
      <c r="ATJ2" s="305"/>
      <c r="ATK2" s="305"/>
      <c r="ATL2" s="305"/>
      <c r="ATM2" s="305"/>
      <c r="ATN2" s="305"/>
      <c r="ATP2" s="305" t="s">
        <v>258</v>
      </c>
      <c r="ATQ2" s="305"/>
      <c r="ATR2" s="305"/>
      <c r="ATS2" s="305"/>
      <c r="ATT2" s="305"/>
      <c r="ATU2" s="305"/>
      <c r="ATV2" s="305"/>
      <c r="ATW2" s="305"/>
      <c r="ATX2" s="305"/>
      <c r="ATY2" s="305"/>
      <c r="ATZ2" s="305"/>
      <c r="AUA2" s="305"/>
      <c r="AUB2" s="305"/>
      <c r="AUC2" s="305"/>
      <c r="AUD2" s="305"/>
      <c r="AUE2" s="305"/>
      <c r="AUF2" s="305"/>
      <c r="AUG2" s="305"/>
      <c r="AUH2" s="305"/>
      <c r="AUI2" s="305"/>
      <c r="AUJ2" s="305"/>
      <c r="AUK2" s="305"/>
      <c r="AUL2" s="305"/>
      <c r="AUM2" s="305"/>
      <c r="AUN2" s="305"/>
      <c r="AUO2" s="305"/>
      <c r="AUP2" s="305"/>
      <c r="AUQ2" s="305"/>
      <c r="AUR2" s="305"/>
      <c r="AUS2" s="305"/>
      <c r="AUT2" s="305"/>
      <c r="AUU2" s="305"/>
      <c r="AUV2" s="305"/>
      <c r="AUW2" s="305"/>
      <c r="AUX2" s="305"/>
      <c r="AUY2" s="305"/>
      <c r="AUZ2" s="305"/>
      <c r="AVA2" s="305"/>
      <c r="AVB2" s="305"/>
      <c r="AVC2" s="305"/>
      <c r="AVD2" s="305"/>
      <c r="AVE2" s="305"/>
      <c r="AVF2" s="305"/>
      <c r="AVG2" s="305"/>
      <c r="AVH2" s="305"/>
      <c r="AVI2" s="305"/>
      <c r="AVJ2" s="305"/>
      <c r="AVK2" s="305"/>
      <c r="AVL2" s="305"/>
      <c r="AVM2" s="305"/>
      <c r="AVN2" s="305"/>
      <c r="AVO2" s="305"/>
      <c r="AVP2" s="305"/>
      <c r="AVQ2" s="305"/>
      <c r="AVR2" s="305"/>
      <c r="AVS2" s="305"/>
      <c r="AVT2" s="305"/>
      <c r="AVU2" s="305"/>
      <c r="AVV2" s="305"/>
      <c r="AVW2" s="305"/>
      <c r="AVX2" s="305"/>
      <c r="AVY2" s="305"/>
      <c r="AVZ2" s="305"/>
      <c r="AWA2" s="305"/>
      <c r="AWB2" s="305"/>
      <c r="AWC2" s="305"/>
      <c r="AWD2" s="305"/>
      <c r="AWE2" s="305"/>
      <c r="AWF2" s="305"/>
      <c r="AWG2" s="305"/>
      <c r="AWH2" s="305"/>
      <c r="AWI2" s="305"/>
      <c r="AWJ2" s="305"/>
      <c r="AWK2" s="305"/>
      <c r="AWL2" s="305"/>
      <c r="AWM2" s="305"/>
      <c r="AWN2" s="305"/>
      <c r="AWO2" s="305"/>
      <c r="AWP2" s="305"/>
      <c r="AWQ2" s="305"/>
      <c r="AWR2" s="305"/>
      <c r="AWS2" s="305"/>
      <c r="AWT2" s="305"/>
      <c r="AWU2" s="305"/>
      <c r="AWV2" s="305"/>
      <c r="AWW2" s="305"/>
      <c r="AWX2" s="305"/>
      <c r="AWY2" s="305"/>
      <c r="AWZ2" s="305"/>
      <c r="AXA2" s="305"/>
      <c r="AXB2" s="305"/>
      <c r="AXC2" s="305"/>
      <c r="AXD2" s="305"/>
      <c r="AXF2" s="305" t="s">
        <v>260</v>
      </c>
      <c r="AXG2" s="305"/>
      <c r="AXH2" s="305"/>
      <c r="AXI2" s="305"/>
      <c r="AXJ2" s="305"/>
      <c r="AXK2" s="305"/>
      <c r="AXL2" s="305"/>
      <c r="AXM2" s="305"/>
      <c r="AXN2" s="305"/>
      <c r="AXO2" s="305"/>
      <c r="AXP2" s="305"/>
      <c r="AXQ2" s="305"/>
      <c r="AXR2" s="305"/>
      <c r="AXS2" s="305"/>
      <c r="AXT2" s="305"/>
      <c r="AXU2" s="305"/>
      <c r="AXV2" s="305"/>
      <c r="AXW2" s="305"/>
      <c r="AXX2" s="305"/>
      <c r="AXY2" s="305"/>
      <c r="AXZ2" s="305"/>
      <c r="AYA2" s="305"/>
      <c r="AYB2" s="305"/>
      <c r="AYC2" s="305"/>
      <c r="AYD2" s="305"/>
      <c r="AYE2" s="305"/>
      <c r="AYF2" s="305"/>
      <c r="AYG2" s="305"/>
      <c r="AYH2" s="305"/>
      <c r="AYI2" s="305"/>
      <c r="AYJ2" s="305"/>
      <c r="AYK2" s="305"/>
      <c r="AYL2" s="305"/>
      <c r="AYM2" s="305"/>
      <c r="AYN2" s="305"/>
      <c r="AYO2" s="305"/>
      <c r="AYP2" s="305"/>
      <c r="AYQ2" s="305"/>
      <c r="AYR2" s="305"/>
      <c r="AYS2" s="305"/>
      <c r="AYT2" s="305"/>
      <c r="AYU2" s="305"/>
      <c r="AYV2" s="305"/>
      <c r="AYW2" s="305"/>
      <c r="AYX2" s="305"/>
      <c r="AYY2" s="305"/>
      <c r="AYZ2" s="305"/>
      <c r="AZA2" s="305"/>
      <c r="AZB2" s="305"/>
      <c r="AZC2" s="305"/>
      <c r="AZD2" s="305"/>
      <c r="AZE2" s="305"/>
      <c r="AZF2" s="305"/>
      <c r="AZG2" s="305"/>
      <c r="AZH2" s="305"/>
      <c r="AZI2" s="305"/>
      <c r="AZJ2" s="305"/>
      <c r="AZK2" s="305"/>
      <c r="AZL2" s="305"/>
      <c r="AZM2" s="305"/>
      <c r="AZN2" s="305"/>
      <c r="AZO2" s="305"/>
      <c r="AZP2" s="305"/>
      <c r="AZQ2" s="305"/>
      <c r="AZR2" s="305"/>
      <c r="AZS2" s="305"/>
      <c r="AZT2" s="305"/>
      <c r="AZU2" s="305"/>
      <c r="AZV2" s="305"/>
      <c r="AZW2" s="305"/>
      <c r="AZX2" s="305"/>
      <c r="AZY2" s="305"/>
      <c r="AZZ2" s="305"/>
      <c r="BAA2" s="305"/>
      <c r="BAB2" s="305"/>
      <c r="BAC2" s="305"/>
      <c r="BAD2" s="305"/>
      <c r="BAE2" s="305"/>
      <c r="BAF2" s="305"/>
      <c r="BAG2" s="305"/>
      <c r="BAH2" s="305"/>
      <c r="BAI2" s="305"/>
      <c r="BAJ2" s="305"/>
      <c r="BAK2" s="305"/>
      <c r="BAL2" s="305"/>
      <c r="BAM2" s="305"/>
      <c r="BAN2" s="305"/>
      <c r="BAO2" s="305"/>
      <c r="BAP2" s="305"/>
      <c r="BAQ2" s="305"/>
      <c r="BAR2" s="305"/>
      <c r="BAS2" s="305"/>
      <c r="BAT2" s="305"/>
      <c r="BAV2" s="305" t="s">
        <v>284</v>
      </c>
      <c r="BAW2" s="305"/>
      <c r="BAX2" s="305"/>
      <c r="BAY2" s="305"/>
      <c r="BAZ2" s="305"/>
      <c r="BBA2" s="305"/>
      <c r="BBB2" s="305"/>
      <c r="BBC2" s="305"/>
      <c r="BBD2" s="305"/>
      <c r="BBE2" s="305"/>
      <c r="BBF2" s="305"/>
      <c r="BBG2" s="305"/>
      <c r="BBH2" s="305"/>
      <c r="BBI2" s="305"/>
      <c r="BBJ2" s="305"/>
      <c r="BBK2" s="305"/>
      <c r="BBL2" s="305"/>
      <c r="BBM2" s="305"/>
      <c r="BBN2" s="305"/>
      <c r="BBO2" s="305"/>
      <c r="BBP2" s="305"/>
      <c r="BBQ2" s="305"/>
      <c r="BBR2" s="305"/>
      <c r="BBS2" s="305"/>
      <c r="BBT2" s="305"/>
      <c r="BBU2" s="305"/>
      <c r="BBV2" s="305"/>
      <c r="BBW2" s="305"/>
      <c r="BBX2" s="305"/>
      <c r="BBY2" s="305"/>
      <c r="BBZ2" s="305"/>
      <c r="BCA2" s="305"/>
      <c r="BCB2" s="305"/>
      <c r="BCC2" s="305"/>
      <c r="BCD2" s="305"/>
      <c r="BCE2" s="305"/>
      <c r="BCF2" s="305"/>
      <c r="BCG2" s="305"/>
      <c r="BCH2" s="305"/>
      <c r="BCI2" s="305"/>
      <c r="BCJ2" s="305"/>
      <c r="BCK2" s="305"/>
      <c r="BCL2" s="305"/>
      <c r="BCM2" s="305"/>
      <c r="BCN2" s="305"/>
      <c r="BCO2" s="305"/>
      <c r="BCP2" s="305"/>
      <c r="BCQ2" s="305"/>
      <c r="BCR2" s="305"/>
      <c r="BCS2" s="305"/>
      <c r="BCT2" s="305"/>
      <c r="BCU2" s="305"/>
      <c r="BCV2" s="305"/>
      <c r="BCW2" s="305"/>
      <c r="BCX2" s="305"/>
      <c r="BCY2" s="305"/>
      <c r="BCZ2" s="305"/>
      <c r="BDA2" s="305"/>
      <c r="BDB2" s="305"/>
      <c r="BDC2" s="305"/>
      <c r="BDD2" s="305"/>
      <c r="BDE2" s="305"/>
      <c r="BDF2" s="305"/>
      <c r="BDG2" s="305"/>
      <c r="BDH2" s="305"/>
      <c r="BDI2" s="305"/>
      <c r="BDJ2" s="305"/>
      <c r="BDK2" s="305"/>
      <c r="BDL2" s="305"/>
      <c r="BDM2" s="305"/>
      <c r="BDN2" s="305"/>
      <c r="BDO2" s="305"/>
      <c r="BDP2" s="305"/>
      <c r="BDQ2" s="305"/>
      <c r="BDR2" s="305"/>
      <c r="BDS2" s="305"/>
      <c r="BDT2" s="305"/>
      <c r="BDU2" s="305"/>
      <c r="BDV2" s="305"/>
      <c r="BDW2" s="305"/>
      <c r="BDX2" s="305"/>
      <c r="BDY2" s="305"/>
      <c r="BDZ2" s="305"/>
      <c r="BEA2" s="305"/>
      <c r="BEB2" s="305"/>
      <c r="BEC2" s="305"/>
      <c r="BED2" s="305"/>
      <c r="BEE2" s="305"/>
      <c r="BEF2" s="305"/>
      <c r="BEG2" s="305"/>
      <c r="BEH2" s="305"/>
      <c r="BEI2" s="305"/>
      <c r="BEJ2" s="305"/>
      <c r="BEL2" s="305" t="s">
        <v>305</v>
      </c>
      <c r="BEM2" s="305"/>
      <c r="BEN2" s="305"/>
      <c r="BEO2" s="305"/>
      <c r="BEP2" s="305"/>
      <c r="BEQ2" s="305"/>
      <c r="BER2" s="305"/>
      <c r="BES2" s="305"/>
      <c r="BET2" s="305"/>
      <c r="BEU2" s="305"/>
      <c r="BEV2" s="305"/>
      <c r="BEW2" s="305"/>
      <c r="BEX2" s="305"/>
      <c r="BEY2" s="305"/>
      <c r="BEZ2" s="305"/>
      <c r="BFA2" s="305"/>
      <c r="BFB2" s="305"/>
      <c r="BFC2" s="305"/>
      <c r="BFD2" s="305"/>
      <c r="BFE2" s="305"/>
      <c r="BFF2" s="305"/>
      <c r="BFG2" s="305"/>
      <c r="BFH2" s="305"/>
      <c r="BFI2" s="305"/>
      <c r="BFJ2" s="305"/>
      <c r="BFK2" s="305"/>
      <c r="BFL2" s="305"/>
      <c r="BFM2" s="305"/>
      <c r="BFN2" s="305"/>
      <c r="BFO2" s="305"/>
      <c r="BFP2" s="305"/>
      <c r="BFQ2" s="305"/>
      <c r="BFR2" s="305"/>
      <c r="BFS2" s="305"/>
      <c r="BFT2" s="305"/>
      <c r="BFU2" s="305"/>
      <c r="BFV2" s="305"/>
      <c r="BFW2" s="305"/>
      <c r="BFX2" s="305"/>
      <c r="BFY2" s="305"/>
      <c r="BFZ2" s="305"/>
      <c r="BGA2" s="305"/>
      <c r="BGB2" s="305"/>
      <c r="BGC2" s="305"/>
      <c r="BGD2" s="305"/>
      <c r="BGE2" s="305"/>
      <c r="BGF2" s="305"/>
      <c r="BGG2" s="305"/>
      <c r="BGH2" s="305"/>
      <c r="BGI2" s="305"/>
      <c r="BGJ2" s="305"/>
      <c r="BGK2" s="305"/>
      <c r="BGL2" s="305"/>
      <c r="BGM2" s="305"/>
      <c r="BGN2" s="305"/>
      <c r="BGO2" s="305"/>
      <c r="BGP2" s="305"/>
      <c r="BGQ2" s="305"/>
      <c r="BGR2" s="305"/>
      <c r="BGS2" s="305"/>
      <c r="BGT2" s="305"/>
      <c r="BGU2" s="305"/>
      <c r="BGV2" s="305"/>
      <c r="BGW2" s="305"/>
      <c r="BGX2" s="305"/>
      <c r="BGY2" s="305"/>
      <c r="BGZ2" s="305"/>
      <c r="BHA2" s="305"/>
      <c r="BHB2" s="305"/>
      <c r="BHC2" s="305"/>
      <c r="BHD2" s="305"/>
      <c r="BHE2" s="305"/>
      <c r="BHF2" s="305"/>
      <c r="BHG2" s="305"/>
      <c r="BHH2" s="305"/>
      <c r="BHI2" s="305"/>
      <c r="BHJ2" s="305"/>
      <c r="BHK2" s="305"/>
      <c r="BHL2" s="305"/>
      <c r="BHM2" s="305"/>
      <c r="BHN2" s="305"/>
      <c r="BHO2" s="305"/>
      <c r="BHP2" s="305"/>
      <c r="BHQ2" s="305"/>
      <c r="BHR2" s="305"/>
      <c r="BHS2" s="305"/>
      <c r="BHT2" s="305"/>
      <c r="BHU2" s="305"/>
      <c r="BHV2" s="305"/>
      <c r="BHW2" s="305"/>
      <c r="BHX2" s="305"/>
      <c r="BHY2" s="305"/>
      <c r="BHZ2" s="305"/>
      <c r="BIB2" s="305" t="s">
        <v>311</v>
      </c>
      <c r="BIC2" s="305"/>
      <c r="BID2" s="305"/>
      <c r="BIE2" s="305"/>
      <c r="BIF2" s="305"/>
      <c r="BIG2" s="305"/>
      <c r="BIH2" s="305"/>
      <c r="BII2" s="305"/>
      <c r="BIJ2" s="305"/>
      <c r="BIK2" s="305"/>
      <c r="BIL2" s="305"/>
      <c r="BIM2" s="305"/>
      <c r="BIN2" s="305"/>
      <c r="BIO2" s="305"/>
      <c r="BIP2" s="305"/>
      <c r="BIQ2" s="305"/>
      <c r="BIR2" s="305"/>
      <c r="BIS2" s="305"/>
      <c r="BIT2" s="305"/>
      <c r="BIU2" s="305"/>
      <c r="BIV2" s="305"/>
      <c r="BIW2" s="305"/>
      <c r="BIX2" s="305"/>
      <c r="BIY2" s="305"/>
      <c r="BIZ2" s="305"/>
      <c r="BJA2" s="305"/>
      <c r="BJB2" s="305"/>
      <c r="BJC2" s="305"/>
      <c r="BJD2" s="305"/>
      <c r="BJE2" s="305"/>
      <c r="BJF2" s="305"/>
      <c r="BJG2" s="305"/>
      <c r="BJH2" s="305"/>
      <c r="BJI2" s="305"/>
      <c r="BJJ2" s="305"/>
      <c r="BJK2" s="305"/>
      <c r="BJL2" s="305"/>
      <c r="BJM2" s="305"/>
      <c r="BJN2" s="305"/>
      <c r="BJO2" s="305"/>
      <c r="BJP2" s="305"/>
      <c r="BJQ2" s="305"/>
      <c r="BJR2" s="305"/>
      <c r="BJS2" s="305"/>
      <c r="BJT2" s="305"/>
      <c r="BJU2" s="305"/>
      <c r="BJV2" s="305"/>
      <c r="BJW2" s="305"/>
      <c r="BJX2" s="305"/>
      <c r="BJY2" s="305"/>
      <c r="BJZ2" s="305"/>
      <c r="BKA2" s="305"/>
      <c r="BKB2" s="305"/>
      <c r="BKC2" s="305"/>
      <c r="BKD2" s="305"/>
      <c r="BKE2" s="305"/>
      <c r="BKF2" s="305"/>
      <c r="BKG2" s="305"/>
      <c r="BKH2" s="305"/>
      <c r="BKI2" s="305"/>
      <c r="BKJ2" s="305"/>
      <c r="BKK2" s="305"/>
      <c r="BKL2" s="305"/>
      <c r="BKM2" s="305"/>
      <c r="BKN2" s="305"/>
      <c r="BKO2" s="305"/>
      <c r="BKP2" s="305"/>
      <c r="BKQ2" s="305"/>
      <c r="BKR2" s="305"/>
      <c r="BKS2" s="305"/>
      <c r="BKT2" s="305"/>
      <c r="BKU2" s="305"/>
      <c r="BKV2" s="305"/>
      <c r="BKW2" s="305"/>
      <c r="BKX2" s="305"/>
      <c r="BKY2" s="305"/>
      <c r="BKZ2" s="305"/>
      <c r="BLA2" s="305"/>
      <c r="BLB2" s="305"/>
      <c r="BLC2" s="305"/>
      <c r="BLD2" s="305"/>
      <c r="BLE2" s="305"/>
      <c r="BLF2" s="305"/>
      <c r="BLG2" s="305"/>
      <c r="BLH2" s="305"/>
      <c r="BLI2" s="305"/>
      <c r="BLJ2" s="305"/>
      <c r="BLK2" s="305"/>
      <c r="BLL2" s="305"/>
      <c r="BLM2" s="305"/>
      <c r="BLN2" s="305"/>
      <c r="BLO2" s="305"/>
      <c r="BLP2" s="305"/>
      <c r="BLR2" s="305" t="s">
        <v>316</v>
      </c>
      <c r="BLS2" s="305"/>
      <c r="BLT2" s="305"/>
      <c r="BLU2" s="305"/>
      <c r="BLV2" s="305"/>
      <c r="BLW2" s="305"/>
      <c r="BLX2" s="305"/>
      <c r="BLY2" s="305"/>
      <c r="BLZ2" s="305"/>
      <c r="BMA2" s="305"/>
      <c r="BMB2" s="305"/>
      <c r="BMC2" s="305"/>
      <c r="BMD2" s="305"/>
      <c r="BME2" s="305"/>
      <c r="BMF2" s="305"/>
      <c r="BMG2" s="305"/>
      <c r="BMH2" s="305"/>
      <c r="BMI2" s="305"/>
      <c r="BMJ2" s="305"/>
      <c r="BMK2" s="305"/>
      <c r="BML2" s="305"/>
      <c r="BMM2" s="305"/>
      <c r="BMN2" s="305"/>
      <c r="BMO2" s="305"/>
      <c r="BMP2" s="305"/>
      <c r="BMQ2" s="305"/>
      <c r="BMR2" s="305"/>
      <c r="BMS2" s="305"/>
      <c r="BMT2" s="305"/>
      <c r="BMU2" s="305"/>
      <c r="BMV2" s="305"/>
      <c r="BMW2" s="305"/>
      <c r="BMX2" s="305"/>
      <c r="BMY2" s="305"/>
      <c r="BMZ2" s="305"/>
      <c r="BNA2" s="305"/>
      <c r="BNB2" s="305"/>
      <c r="BNC2" s="305"/>
      <c r="BND2" s="305"/>
      <c r="BNE2" s="305"/>
      <c r="BNF2" s="305"/>
      <c r="BNG2" s="305"/>
      <c r="BNH2" s="305"/>
      <c r="BNI2" s="305"/>
      <c r="BNJ2" s="305"/>
      <c r="BNK2" s="305"/>
      <c r="BNL2" s="305"/>
      <c r="BNM2" s="305"/>
      <c r="BNN2" s="305"/>
      <c r="BNO2" s="305"/>
      <c r="BNP2" s="305"/>
      <c r="BNQ2" s="305"/>
      <c r="BNR2" s="305"/>
      <c r="BNS2" s="305"/>
      <c r="BNT2" s="305"/>
      <c r="BNU2" s="305"/>
      <c r="BNV2" s="305"/>
      <c r="BNW2" s="305"/>
      <c r="BNX2" s="305"/>
      <c r="BNY2" s="305"/>
      <c r="BNZ2" s="305"/>
      <c r="BOA2" s="305"/>
      <c r="BOB2" s="305"/>
      <c r="BOC2" s="305"/>
      <c r="BOD2" s="305"/>
      <c r="BOE2" s="305"/>
      <c r="BOF2" s="305"/>
      <c r="BOG2" s="305"/>
      <c r="BOH2" s="305"/>
      <c r="BOI2" s="305"/>
      <c r="BOJ2" s="305"/>
      <c r="BOK2" s="305"/>
      <c r="BOL2" s="305"/>
      <c r="BOM2" s="305"/>
      <c r="BON2" s="305"/>
      <c r="BOO2" s="305"/>
      <c r="BOP2" s="305"/>
      <c r="BOQ2" s="305"/>
      <c r="BOR2" s="305"/>
      <c r="BOS2" s="305"/>
      <c r="BOT2" s="305"/>
      <c r="BOU2" s="305"/>
      <c r="BOV2" s="305"/>
      <c r="BOW2" s="305"/>
      <c r="BOX2" s="305"/>
      <c r="BOY2" s="305"/>
      <c r="BOZ2" s="305"/>
      <c r="BPA2" s="305"/>
      <c r="BPB2" s="305"/>
      <c r="BPC2" s="305"/>
      <c r="BPD2" s="305"/>
      <c r="BPE2" s="305"/>
      <c r="BPF2" s="305"/>
      <c r="BPH2" s="305" t="s">
        <v>366</v>
      </c>
      <c r="BPI2" s="305"/>
      <c r="BPJ2" s="305"/>
      <c r="BPK2" s="305"/>
      <c r="BPL2" s="305"/>
      <c r="BPM2" s="305"/>
      <c r="BPN2" s="305"/>
      <c r="BPO2" s="305"/>
      <c r="BPP2" s="305"/>
      <c r="BPQ2" s="305"/>
      <c r="BPR2" s="305"/>
      <c r="BPS2" s="305"/>
      <c r="BPT2" s="305"/>
      <c r="BPU2" s="305"/>
      <c r="BPV2" s="305"/>
      <c r="BPW2" s="305"/>
      <c r="BPX2" s="305"/>
      <c r="BPY2" s="305"/>
      <c r="BPZ2" s="305"/>
      <c r="BQA2" s="305"/>
      <c r="BQB2" s="305"/>
      <c r="BQC2" s="305"/>
      <c r="BQD2" s="305"/>
      <c r="BQE2" s="305"/>
      <c r="BQF2" s="305"/>
      <c r="BQG2" s="305"/>
      <c r="BQH2" s="305"/>
      <c r="BQI2" s="305"/>
      <c r="BQJ2" s="305"/>
      <c r="BQK2" s="305"/>
      <c r="BQL2" s="305"/>
      <c r="BQM2" s="305"/>
      <c r="BQN2" s="305"/>
      <c r="BQO2" s="305"/>
      <c r="BQP2" s="305"/>
      <c r="BQQ2" s="305"/>
      <c r="BQR2" s="305"/>
      <c r="BQS2" s="305"/>
      <c r="BQT2" s="305"/>
      <c r="BQU2" s="305"/>
      <c r="BQV2" s="305"/>
      <c r="BQW2" s="305"/>
      <c r="BQX2" s="305"/>
      <c r="BQY2" s="305"/>
      <c r="BQZ2" s="305"/>
      <c r="BRA2" s="305"/>
      <c r="BRB2" s="305"/>
      <c r="BRC2" s="305"/>
      <c r="BRD2" s="305"/>
      <c r="BRE2" s="305"/>
      <c r="BRF2" s="305"/>
      <c r="BRG2" s="305"/>
      <c r="BRH2" s="305"/>
      <c r="BRI2" s="305"/>
      <c r="BRJ2" s="305"/>
      <c r="BRK2" s="305"/>
      <c r="BRL2" s="305"/>
      <c r="BRM2" s="305"/>
      <c r="BRN2" s="305"/>
      <c r="BRO2" s="305"/>
      <c r="BRP2" s="305"/>
      <c r="BRQ2" s="305"/>
      <c r="BRR2" s="305"/>
      <c r="BRS2" s="305"/>
      <c r="BRT2" s="305"/>
      <c r="BRU2" s="305"/>
      <c r="BRV2" s="305"/>
      <c r="BRW2" s="305"/>
      <c r="BRX2" s="305"/>
      <c r="BRY2" s="305"/>
      <c r="BRZ2" s="305"/>
      <c r="BSA2" s="305"/>
      <c r="BSB2" s="305"/>
      <c r="BSC2" s="305"/>
      <c r="BSD2" s="305"/>
      <c r="BSE2" s="305"/>
      <c r="BSF2" s="305"/>
      <c r="BSG2" s="305"/>
      <c r="BSH2" s="305"/>
      <c r="BSI2" s="305"/>
      <c r="BSJ2" s="305"/>
      <c r="BSK2" s="305"/>
      <c r="BSL2" s="305"/>
      <c r="BSM2" s="305"/>
      <c r="BSN2" s="305"/>
      <c r="BSO2" s="305"/>
      <c r="BSP2" s="305"/>
      <c r="BSQ2" s="305"/>
      <c r="BSR2" s="305"/>
      <c r="BSS2" s="305"/>
      <c r="BST2" s="305"/>
      <c r="BSU2" s="305"/>
      <c r="BSV2" s="305"/>
      <c r="BSX2" s="305" t="s">
        <v>373</v>
      </c>
      <c r="BSY2" s="305"/>
      <c r="BSZ2" s="305"/>
      <c r="BTA2" s="305"/>
      <c r="BTB2" s="305"/>
      <c r="BTC2" s="305"/>
      <c r="BTD2" s="305"/>
      <c r="BTE2" s="305"/>
      <c r="BTF2" s="305"/>
      <c r="BTG2" s="305"/>
      <c r="BTH2" s="305"/>
      <c r="BTI2" s="305"/>
      <c r="BTJ2" s="305"/>
      <c r="BTK2" s="305"/>
      <c r="BTL2" s="305"/>
      <c r="BTM2" s="305"/>
      <c r="BTN2" s="305"/>
      <c r="BTO2" s="305"/>
      <c r="BTP2" s="305"/>
      <c r="BTQ2" s="305"/>
      <c r="BTR2" s="305"/>
      <c r="BTS2" s="305"/>
      <c r="BTT2" s="305"/>
      <c r="BTU2" s="305"/>
      <c r="BTV2" s="305"/>
      <c r="BTW2" s="305"/>
      <c r="BTX2" s="305"/>
      <c r="BTY2" s="305"/>
      <c r="BTZ2" s="305"/>
      <c r="BUA2" s="305"/>
      <c r="BUB2" s="305"/>
      <c r="BUC2" s="305"/>
      <c r="BUD2" s="305"/>
      <c r="BUE2" s="305"/>
      <c r="BUF2" s="305"/>
      <c r="BUG2" s="305"/>
      <c r="BUH2" s="305"/>
      <c r="BUI2" s="305"/>
      <c r="BUJ2" s="305"/>
      <c r="BUK2" s="305"/>
      <c r="BUL2" s="305"/>
      <c r="BUM2" s="305"/>
      <c r="BUN2" s="305"/>
      <c r="BUO2" s="305"/>
      <c r="BUP2" s="305"/>
      <c r="BUQ2" s="305"/>
      <c r="BUR2" s="305"/>
      <c r="BUS2" s="305"/>
      <c r="BUT2" s="305"/>
      <c r="BUU2" s="305"/>
      <c r="BUV2" s="305"/>
      <c r="BUW2" s="305"/>
      <c r="BUX2" s="305"/>
      <c r="BUY2" s="305"/>
      <c r="BUZ2" s="305"/>
      <c r="BVA2" s="305"/>
      <c r="BVB2" s="305"/>
      <c r="BVC2" s="305"/>
      <c r="BVD2" s="305"/>
      <c r="BVE2" s="305"/>
      <c r="BVF2" s="305"/>
      <c r="BVG2" s="305"/>
      <c r="BVH2" s="305"/>
      <c r="BVI2" s="305"/>
      <c r="BVJ2" s="305"/>
      <c r="BVK2" s="305"/>
      <c r="BVL2" s="305"/>
      <c r="BVM2" s="305"/>
      <c r="BVN2" s="305"/>
      <c r="BVO2" s="305"/>
      <c r="BVP2" s="305"/>
      <c r="BVQ2" s="305"/>
      <c r="BVR2" s="305"/>
      <c r="BVS2" s="305"/>
      <c r="BVT2" s="305"/>
      <c r="BVU2" s="305"/>
      <c r="BVV2" s="305"/>
      <c r="BVW2" s="305"/>
      <c r="BVX2" s="305"/>
      <c r="BVY2" s="305"/>
      <c r="BVZ2" s="305"/>
      <c r="BWA2" s="305"/>
      <c r="BWB2" s="305"/>
      <c r="BWC2" s="305"/>
      <c r="BWD2" s="305"/>
      <c r="BWE2" s="305"/>
      <c r="BWF2" s="305"/>
      <c r="BWG2" s="305"/>
      <c r="BWH2" s="305"/>
      <c r="BWI2" s="305"/>
      <c r="BWJ2" s="305"/>
      <c r="BWK2" s="305"/>
      <c r="BWL2" s="305"/>
      <c r="BWN2" s="305" t="s">
        <v>374</v>
      </c>
      <c r="BWO2" s="305"/>
      <c r="BWP2" s="305"/>
      <c r="BWQ2" s="305"/>
      <c r="BWR2" s="305"/>
      <c r="BWS2" s="305"/>
      <c r="BWT2" s="305"/>
      <c r="BWU2" s="305"/>
      <c r="BWV2" s="305"/>
      <c r="BWW2" s="305"/>
      <c r="BWX2" s="305"/>
      <c r="BWY2" s="305"/>
      <c r="BWZ2" s="305"/>
      <c r="BXA2" s="305"/>
      <c r="BXB2" s="305"/>
      <c r="BXC2" s="305"/>
      <c r="BXD2" s="305"/>
      <c r="BXE2" s="305"/>
      <c r="BXF2" s="305"/>
      <c r="BXG2" s="305"/>
      <c r="BXH2" s="305"/>
      <c r="BXI2" s="305"/>
      <c r="BXJ2" s="305"/>
      <c r="BXK2" s="305"/>
      <c r="BXL2" s="305"/>
      <c r="BXM2" s="305"/>
      <c r="BXN2" s="305"/>
      <c r="BXO2" s="305"/>
      <c r="BXP2" s="305"/>
      <c r="BXQ2" s="305"/>
      <c r="BXR2" s="305"/>
      <c r="BXS2" s="305"/>
      <c r="BXT2" s="305"/>
      <c r="BXU2" s="305"/>
      <c r="BXV2" s="305"/>
      <c r="BXW2" s="305"/>
      <c r="BXX2" s="305"/>
      <c r="BXY2" s="305"/>
      <c r="BXZ2" s="305"/>
      <c r="BYA2" s="305"/>
      <c r="BYB2" s="305"/>
      <c r="BYC2" s="305"/>
      <c r="BYD2" s="305"/>
      <c r="BYE2" s="305"/>
      <c r="BYF2" s="305"/>
      <c r="BYG2" s="305"/>
      <c r="BYH2" s="305"/>
      <c r="BYI2" s="305"/>
      <c r="BYJ2" s="305"/>
      <c r="BYK2" s="305"/>
      <c r="BYL2" s="305"/>
      <c r="BYM2" s="305"/>
      <c r="BYN2" s="305"/>
      <c r="BYO2" s="305"/>
      <c r="BYP2" s="305"/>
      <c r="BYQ2" s="305"/>
      <c r="BYR2" s="305"/>
      <c r="BYS2" s="305"/>
      <c r="BYT2" s="305"/>
      <c r="BYU2" s="305"/>
      <c r="BYV2" s="305"/>
      <c r="BYW2" s="305"/>
      <c r="BYX2" s="305"/>
      <c r="BYY2" s="305"/>
      <c r="BYZ2" s="305"/>
      <c r="BZA2" s="305"/>
      <c r="BZB2" s="305"/>
      <c r="BZC2" s="305"/>
      <c r="BZD2" s="305"/>
      <c r="BZE2" s="305"/>
      <c r="BZF2" s="305"/>
      <c r="BZG2" s="305"/>
      <c r="BZH2" s="305"/>
      <c r="BZI2" s="305"/>
      <c r="BZJ2" s="305"/>
      <c r="BZK2" s="305"/>
      <c r="BZL2" s="305"/>
      <c r="BZM2" s="305"/>
      <c r="BZN2" s="305"/>
      <c r="BZO2" s="305"/>
      <c r="BZP2" s="305"/>
      <c r="BZQ2" s="305"/>
      <c r="BZR2" s="305"/>
      <c r="BZS2" s="305"/>
      <c r="BZT2" s="305"/>
      <c r="BZU2" s="305"/>
      <c r="BZV2" s="305"/>
      <c r="BZW2" s="305"/>
      <c r="BZX2" s="305"/>
      <c r="BZY2" s="305"/>
      <c r="BZZ2" s="305"/>
      <c r="CAA2" s="305"/>
      <c r="CAB2" s="305"/>
      <c r="CAD2" s="305" t="s">
        <v>380</v>
      </c>
      <c r="CAE2" s="305"/>
      <c r="CAF2" s="305"/>
      <c r="CAG2" s="305"/>
      <c r="CAH2" s="305"/>
      <c r="CAI2" s="305"/>
      <c r="CAJ2" s="305"/>
      <c r="CAK2" s="305"/>
      <c r="CAL2" s="305"/>
      <c r="CAM2" s="305"/>
      <c r="CAN2" s="305"/>
      <c r="CAO2" s="305"/>
      <c r="CAP2" s="305"/>
      <c r="CAQ2" s="305"/>
      <c r="CAR2" s="305"/>
      <c r="CAS2" s="305"/>
      <c r="CAT2" s="305"/>
      <c r="CAU2" s="305"/>
      <c r="CAV2" s="305"/>
      <c r="CAW2" s="305"/>
      <c r="CAX2" s="305"/>
      <c r="CAY2" s="305"/>
      <c r="CAZ2" s="305"/>
      <c r="CBA2" s="305"/>
      <c r="CBB2" s="305"/>
      <c r="CBC2" s="305"/>
      <c r="CBD2" s="305"/>
      <c r="CBE2" s="305"/>
      <c r="CBF2" s="305"/>
      <c r="CBG2" s="305"/>
      <c r="CBH2" s="305"/>
      <c r="CBI2" s="305"/>
      <c r="CBJ2" s="305"/>
      <c r="CBK2" s="305"/>
      <c r="CBL2" s="305"/>
      <c r="CBM2" s="305"/>
      <c r="CBN2" s="305"/>
      <c r="CBO2" s="305"/>
      <c r="CBP2" s="305"/>
      <c r="CBQ2" s="305"/>
      <c r="CBR2" s="305"/>
      <c r="CBS2" s="305"/>
      <c r="CBT2" s="305"/>
      <c r="CBU2" s="305"/>
      <c r="CBV2" s="305"/>
      <c r="CBW2" s="305"/>
      <c r="CBX2" s="305"/>
      <c r="CBY2" s="305"/>
      <c r="CBZ2" s="305"/>
      <c r="CCA2" s="305"/>
      <c r="CCB2" s="305"/>
      <c r="CCC2" s="305"/>
      <c r="CCD2" s="305"/>
      <c r="CCE2" s="305"/>
      <c r="CCF2" s="305"/>
      <c r="CCG2" s="305"/>
      <c r="CCH2" s="305"/>
      <c r="CCI2" s="305"/>
      <c r="CCJ2" s="305"/>
      <c r="CCK2" s="305"/>
      <c r="CCL2" s="305"/>
      <c r="CCM2" s="305"/>
      <c r="CCN2" s="305"/>
      <c r="CCO2" s="305"/>
      <c r="CCP2" s="305"/>
      <c r="CCQ2" s="305"/>
      <c r="CCR2" s="305"/>
      <c r="CCS2" s="305"/>
      <c r="CCT2" s="305"/>
      <c r="CCU2" s="305"/>
      <c r="CCV2" s="305"/>
      <c r="CCW2" s="305"/>
      <c r="CCX2" s="305"/>
      <c r="CCY2" s="305"/>
      <c r="CCZ2" s="305"/>
      <c r="CDA2" s="305"/>
      <c r="CDB2" s="305"/>
      <c r="CDC2" s="305"/>
      <c r="CDD2" s="305"/>
      <c r="CDE2" s="305"/>
      <c r="CDF2" s="305"/>
      <c r="CDG2" s="305"/>
      <c r="CDH2" s="305"/>
      <c r="CDI2" s="305"/>
      <c r="CDJ2" s="305"/>
      <c r="CDK2" s="305"/>
      <c r="CDL2" s="305"/>
      <c r="CDM2" s="305"/>
      <c r="CDN2" s="305"/>
      <c r="CDO2" s="305"/>
      <c r="CDP2" s="305"/>
      <c r="CDQ2" s="305"/>
      <c r="CDR2" s="305"/>
      <c r="CDT2" s="305" t="s">
        <v>386</v>
      </c>
      <c r="CDU2" s="305"/>
      <c r="CDV2" s="305"/>
      <c r="CDW2" s="305"/>
      <c r="CDX2" s="305"/>
      <c r="CDY2" s="305"/>
      <c r="CDZ2" s="305"/>
      <c r="CEA2" s="305"/>
      <c r="CEB2" s="305"/>
      <c r="CEC2" s="305"/>
      <c r="CED2" s="305"/>
      <c r="CEE2" s="305"/>
      <c r="CEF2" s="305"/>
      <c r="CEG2" s="305"/>
      <c r="CEH2" s="305"/>
      <c r="CEI2" s="305"/>
      <c r="CEJ2" s="305"/>
      <c r="CEK2" s="305"/>
      <c r="CEL2" s="305"/>
      <c r="CEM2" s="305"/>
      <c r="CEN2" s="305"/>
      <c r="CEO2" s="305"/>
      <c r="CEP2" s="305"/>
      <c r="CEQ2" s="305"/>
      <c r="CER2" s="305"/>
      <c r="CES2" s="305"/>
      <c r="CET2" s="305"/>
      <c r="CEU2" s="305"/>
      <c r="CEV2" s="305"/>
      <c r="CEW2" s="305"/>
      <c r="CEX2" s="305"/>
      <c r="CEY2" s="305"/>
      <c r="CEZ2" s="305"/>
      <c r="CFA2" s="305"/>
      <c r="CFB2" s="305"/>
      <c r="CFC2" s="305"/>
      <c r="CFD2" s="305"/>
      <c r="CFE2" s="305"/>
      <c r="CFF2" s="305"/>
      <c r="CFG2" s="305"/>
      <c r="CFH2" s="305"/>
      <c r="CFI2" s="305"/>
      <c r="CFJ2" s="305"/>
      <c r="CFK2" s="305"/>
      <c r="CFL2" s="305"/>
      <c r="CFM2" s="305"/>
      <c r="CFN2" s="305"/>
      <c r="CFO2" s="305"/>
      <c r="CFP2" s="305"/>
      <c r="CFQ2" s="305"/>
      <c r="CFR2" s="305"/>
      <c r="CFS2" s="305"/>
      <c r="CFT2" s="305"/>
      <c r="CFU2" s="305"/>
      <c r="CFV2" s="305"/>
      <c r="CFW2" s="305"/>
      <c r="CFX2" s="305"/>
      <c r="CFY2" s="305"/>
      <c r="CFZ2" s="305"/>
      <c r="CGA2" s="305"/>
      <c r="CGB2" s="305"/>
      <c r="CGC2" s="305"/>
      <c r="CGD2" s="305"/>
      <c r="CGE2" s="305"/>
      <c r="CGF2" s="305"/>
      <c r="CGG2" s="305"/>
      <c r="CGH2" s="305"/>
      <c r="CGI2" s="305"/>
      <c r="CGJ2" s="305"/>
      <c r="CGK2" s="305"/>
      <c r="CGL2" s="305"/>
      <c r="CGM2" s="305"/>
      <c r="CGN2" s="305"/>
      <c r="CGO2" s="305"/>
      <c r="CGP2" s="305"/>
      <c r="CGQ2" s="305"/>
      <c r="CGR2" s="305"/>
      <c r="CGS2" s="305"/>
      <c r="CGT2" s="305"/>
      <c r="CGU2" s="305"/>
      <c r="CGV2" s="305"/>
      <c r="CGW2" s="305"/>
      <c r="CGX2" s="305"/>
      <c r="CGY2" s="305"/>
      <c r="CGZ2" s="305"/>
      <c r="CHA2" s="305"/>
      <c r="CHB2" s="305"/>
      <c r="CHC2" s="305"/>
      <c r="CHD2" s="305"/>
      <c r="CHE2" s="305"/>
      <c r="CHF2" s="305"/>
      <c r="CHG2" s="305"/>
      <c r="CHH2" s="305"/>
      <c r="CHJ2" s="305" t="s">
        <v>402</v>
      </c>
      <c r="CHK2" s="305"/>
      <c r="CHL2" s="305"/>
      <c r="CHM2" s="305"/>
      <c r="CHN2" s="305"/>
      <c r="CHO2" s="305"/>
      <c r="CHP2" s="305"/>
      <c r="CHQ2" s="305"/>
      <c r="CHR2" s="305"/>
      <c r="CHS2" s="305"/>
      <c r="CHT2" s="305"/>
      <c r="CHU2" s="305"/>
      <c r="CHV2" s="305"/>
      <c r="CHW2" s="305"/>
      <c r="CHX2" s="305"/>
      <c r="CHY2" s="305"/>
      <c r="CHZ2" s="305"/>
      <c r="CIA2" s="305"/>
      <c r="CIB2" s="305"/>
      <c r="CIC2" s="305"/>
      <c r="CID2" s="305"/>
      <c r="CIE2" s="305"/>
      <c r="CIF2" s="305"/>
      <c r="CIG2" s="305"/>
      <c r="CIH2" s="305"/>
      <c r="CII2" s="305"/>
      <c r="CIJ2" s="305"/>
      <c r="CIK2" s="305"/>
      <c r="CIL2" s="305"/>
      <c r="CIM2" s="305"/>
      <c r="CIN2" s="305"/>
      <c r="CIO2" s="305"/>
      <c r="CIP2" s="305"/>
      <c r="CIQ2" s="305"/>
      <c r="CIR2" s="305"/>
      <c r="CIS2" s="305"/>
      <c r="CIT2" s="305"/>
      <c r="CIU2" s="305"/>
      <c r="CIV2" s="305"/>
      <c r="CIW2" s="305"/>
      <c r="CIX2" s="305"/>
      <c r="CIY2" s="305"/>
      <c r="CIZ2" s="305"/>
      <c r="CJA2" s="305"/>
      <c r="CJB2" s="305"/>
      <c r="CJC2" s="305"/>
      <c r="CJD2" s="305"/>
      <c r="CJE2" s="305"/>
      <c r="CJF2" s="305"/>
      <c r="CJG2" s="305"/>
      <c r="CJH2" s="305"/>
      <c r="CJI2" s="305"/>
      <c r="CJJ2" s="305"/>
      <c r="CJK2" s="305"/>
      <c r="CJL2" s="305"/>
      <c r="CJM2" s="305"/>
      <c r="CJN2" s="305"/>
      <c r="CJO2" s="305"/>
      <c r="CJP2" s="305"/>
      <c r="CJQ2" s="305"/>
      <c r="CJR2" s="305"/>
      <c r="CJS2" s="305"/>
      <c r="CJT2" s="305"/>
      <c r="CJU2" s="305"/>
      <c r="CJV2" s="305"/>
      <c r="CJW2" s="305"/>
      <c r="CJX2" s="305"/>
      <c r="CJY2" s="305"/>
      <c r="CJZ2" s="305"/>
      <c r="CKA2" s="305"/>
      <c r="CKB2" s="305"/>
      <c r="CKC2" s="305"/>
      <c r="CKD2" s="305"/>
      <c r="CKE2" s="305"/>
      <c r="CKF2" s="305"/>
      <c r="CKG2" s="305"/>
      <c r="CKH2" s="305"/>
      <c r="CKI2" s="305"/>
      <c r="CKJ2" s="305"/>
      <c r="CKK2" s="305"/>
      <c r="CKL2" s="305"/>
      <c r="CKM2" s="305"/>
      <c r="CKN2" s="305"/>
      <c r="CKO2" s="305"/>
      <c r="CKP2" s="305"/>
      <c r="CKQ2" s="305"/>
      <c r="CKR2" s="305"/>
      <c r="CKS2" s="305"/>
      <c r="CKT2" s="305"/>
      <c r="CKU2" s="305"/>
      <c r="CKV2" s="305"/>
      <c r="CKW2" s="305"/>
      <c r="CKX2" s="305"/>
      <c r="CKZ2" s="305" t="s">
        <v>405</v>
      </c>
      <c r="CLA2" s="305"/>
      <c r="CLB2" s="305"/>
      <c r="CLC2" s="305"/>
      <c r="CLD2" s="305"/>
      <c r="CLE2" s="305"/>
      <c r="CLF2" s="305"/>
      <c r="CLG2" s="305"/>
      <c r="CLH2" s="305"/>
      <c r="CLI2" s="305"/>
      <c r="CLJ2" s="305"/>
      <c r="CLK2" s="305"/>
      <c r="CLL2" s="305"/>
      <c r="CLM2" s="305"/>
      <c r="CLN2" s="305"/>
      <c r="CLO2" s="305"/>
      <c r="CLP2" s="305"/>
      <c r="CLQ2" s="305"/>
      <c r="CLR2" s="305"/>
      <c r="CLS2" s="305"/>
      <c r="CLT2" s="305"/>
      <c r="CLU2" s="305"/>
      <c r="CLV2" s="305"/>
      <c r="CLW2" s="305"/>
      <c r="CLX2" s="305"/>
      <c r="CLY2" s="305"/>
      <c r="CLZ2" s="305"/>
      <c r="CMA2" s="305"/>
      <c r="CMB2" s="305"/>
      <c r="CMC2" s="305"/>
      <c r="CMD2" s="305"/>
      <c r="CME2" s="305"/>
      <c r="CMF2" s="305"/>
      <c r="CMG2" s="305"/>
      <c r="CMH2" s="305"/>
      <c r="CMI2" s="305"/>
      <c r="CMJ2" s="305"/>
      <c r="CMK2" s="305"/>
      <c r="CML2" s="305"/>
      <c r="CMM2" s="305"/>
      <c r="CMN2" s="305"/>
      <c r="CMO2" s="305"/>
      <c r="CMP2" s="305"/>
      <c r="CMQ2" s="305"/>
      <c r="CMR2" s="305"/>
      <c r="CMS2" s="305"/>
      <c r="CMT2" s="305"/>
      <c r="CMU2" s="305"/>
      <c r="CMV2" s="305"/>
      <c r="CMW2" s="305"/>
      <c r="CMX2" s="305"/>
      <c r="CMY2" s="305"/>
      <c r="CMZ2" s="305"/>
      <c r="CNA2" s="305"/>
      <c r="CNB2" s="305"/>
      <c r="CNC2" s="305"/>
      <c r="CND2" s="305"/>
      <c r="CNE2" s="305"/>
      <c r="CNF2" s="305"/>
      <c r="CNG2" s="305"/>
      <c r="CNH2" s="305"/>
      <c r="CNI2" s="305"/>
      <c r="CNJ2" s="305"/>
      <c r="CNK2" s="305"/>
      <c r="CNL2" s="305"/>
      <c r="CNM2" s="305"/>
      <c r="CNN2" s="305"/>
      <c r="CNO2" s="305"/>
      <c r="CNP2" s="305"/>
      <c r="CNQ2" s="305"/>
      <c r="CNR2" s="305"/>
      <c r="CNS2" s="305"/>
      <c r="CNT2" s="305"/>
      <c r="CNU2" s="305"/>
      <c r="CNV2" s="305"/>
      <c r="CNW2" s="305"/>
      <c r="CNX2" s="305"/>
      <c r="CNY2" s="305"/>
      <c r="CNZ2" s="305"/>
      <c r="COA2" s="305"/>
      <c r="COB2" s="305"/>
      <c r="COC2" s="305"/>
      <c r="COD2" s="305"/>
      <c r="COE2" s="305"/>
      <c r="COF2" s="305"/>
      <c r="COG2" s="305"/>
      <c r="COH2" s="305"/>
      <c r="COI2" s="305"/>
      <c r="COJ2" s="305"/>
      <c r="COK2" s="305"/>
      <c r="COL2" s="305"/>
      <c r="COM2" s="305"/>
      <c r="CON2" s="305"/>
      <c r="COP2" s="305" t="s">
        <v>414</v>
      </c>
      <c r="COQ2" s="305"/>
      <c r="COR2" s="305"/>
      <c r="COS2" s="305"/>
      <c r="COT2" s="305"/>
      <c r="COU2" s="305"/>
      <c r="COV2" s="305"/>
      <c r="COW2" s="305"/>
      <c r="COX2" s="305"/>
      <c r="COY2" s="305"/>
      <c r="COZ2" s="305"/>
      <c r="CPA2" s="305"/>
      <c r="CPB2" s="305"/>
      <c r="CPC2" s="305"/>
      <c r="CPD2" s="305"/>
      <c r="CPE2" s="305"/>
      <c r="CPF2" s="305"/>
      <c r="CPG2" s="305"/>
      <c r="CPH2" s="305"/>
      <c r="CPI2" s="305"/>
      <c r="CPJ2" s="305"/>
      <c r="CPK2" s="305"/>
      <c r="CPL2" s="305"/>
      <c r="CPM2" s="305"/>
      <c r="CPN2" s="305"/>
      <c r="CPO2" s="305"/>
      <c r="CPP2" s="305"/>
      <c r="CPQ2" s="305"/>
      <c r="CPR2" s="305"/>
      <c r="CPS2" s="305"/>
      <c r="CPT2" s="305"/>
      <c r="CPU2" s="305"/>
      <c r="CPV2" s="305"/>
      <c r="CPW2" s="305"/>
      <c r="CPX2" s="305"/>
      <c r="CPY2" s="305"/>
      <c r="CPZ2" s="305"/>
      <c r="CQA2" s="305"/>
      <c r="CQB2" s="305"/>
      <c r="CQC2" s="305"/>
      <c r="CQD2" s="305"/>
      <c r="CQE2" s="305"/>
      <c r="CQF2" s="305"/>
      <c r="CQG2" s="305"/>
      <c r="CQH2" s="305"/>
      <c r="CQI2" s="305"/>
      <c r="CQJ2" s="305"/>
      <c r="CQK2" s="305"/>
      <c r="CQL2" s="305"/>
      <c r="CQM2" s="305"/>
      <c r="CQN2" s="305"/>
      <c r="CQO2" s="305"/>
      <c r="CQP2" s="305"/>
      <c r="CQQ2" s="305"/>
      <c r="CQR2" s="305"/>
      <c r="CQS2" s="305"/>
      <c r="CQT2" s="305"/>
      <c r="CQU2" s="305"/>
      <c r="CQV2" s="305"/>
      <c r="CQW2" s="305"/>
      <c r="CQX2" s="305"/>
      <c r="CQY2" s="305"/>
      <c r="CQZ2" s="305"/>
      <c r="CRA2" s="305"/>
      <c r="CRB2" s="305"/>
      <c r="CRC2" s="305"/>
      <c r="CRD2" s="305"/>
      <c r="CRE2" s="305"/>
      <c r="CRF2" s="305"/>
      <c r="CRG2" s="305"/>
      <c r="CRH2" s="305"/>
      <c r="CRI2" s="305"/>
      <c r="CRJ2" s="305"/>
      <c r="CRK2" s="305"/>
      <c r="CRL2" s="305"/>
      <c r="CRM2" s="305"/>
      <c r="CRN2" s="305"/>
      <c r="CRO2" s="305"/>
      <c r="CRP2" s="305"/>
      <c r="CRQ2" s="305"/>
      <c r="CRR2" s="305"/>
      <c r="CRS2" s="305"/>
      <c r="CRT2" s="305"/>
      <c r="CRU2" s="305"/>
      <c r="CRV2" s="305"/>
      <c r="CRW2" s="305"/>
      <c r="CRX2" s="305"/>
      <c r="CRY2" s="305"/>
      <c r="CRZ2" s="305"/>
      <c r="CSA2" s="305"/>
      <c r="CSB2" s="305"/>
      <c r="CSC2" s="305"/>
      <c r="CSD2" s="305"/>
      <c r="CSF2" s="305" t="s">
        <v>428</v>
      </c>
      <c r="CSG2" s="305"/>
      <c r="CSH2" s="305"/>
      <c r="CSI2" s="305"/>
      <c r="CSJ2" s="305"/>
      <c r="CSK2" s="305"/>
      <c r="CSL2" s="305"/>
      <c r="CSM2" s="305"/>
      <c r="CSN2" s="305"/>
      <c r="CSO2" s="305"/>
      <c r="CSP2" s="305"/>
      <c r="CSQ2" s="305"/>
      <c r="CSR2" s="305"/>
      <c r="CSS2" s="305"/>
      <c r="CST2" s="305"/>
      <c r="CSU2" s="305"/>
      <c r="CSV2" s="305"/>
      <c r="CSW2" s="305"/>
      <c r="CSX2" s="305"/>
      <c r="CSY2" s="305"/>
      <c r="CSZ2" s="305"/>
      <c r="CTA2" s="305"/>
      <c r="CTB2" s="305"/>
      <c r="CTC2" s="305"/>
      <c r="CTD2" s="305"/>
      <c r="CTE2" s="305"/>
      <c r="CTF2" s="305"/>
      <c r="CTG2" s="305"/>
      <c r="CTH2" s="305"/>
      <c r="CTI2" s="305"/>
      <c r="CTJ2" s="305"/>
      <c r="CTK2" s="305"/>
      <c r="CTL2" s="305"/>
      <c r="CTM2" s="305"/>
      <c r="CTN2" s="305"/>
      <c r="CTO2" s="305"/>
      <c r="CTP2" s="305"/>
      <c r="CTQ2" s="305"/>
      <c r="CTR2" s="305"/>
      <c r="CTS2" s="305"/>
      <c r="CTT2" s="305"/>
      <c r="CTU2" s="305"/>
      <c r="CTV2" s="305"/>
      <c r="CTW2" s="305"/>
      <c r="CTX2" s="305"/>
      <c r="CTY2" s="305"/>
      <c r="CTZ2" s="305"/>
      <c r="CUA2" s="305"/>
      <c r="CUB2" s="305"/>
      <c r="CUC2" s="305"/>
      <c r="CUD2" s="305"/>
      <c r="CUE2" s="305"/>
      <c r="CUF2" s="305"/>
      <c r="CUG2" s="305"/>
      <c r="CUH2" s="305"/>
      <c r="CUI2" s="305"/>
      <c r="CUJ2" s="305"/>
      <c r="CUK2" s="305"/>
      <c r="CUL2" s="305"/>
      <c r="CUM2" s="305"/>
      <c r="CUN2" s="305"/>
      <c r="CUO2" s="305"/>
      <c r="CUP2" s="305"/>
      <c r="CUQ2" s="305"/>
      <c r="CUR2" s="305"/>
      <c r="CUS2" s="305"/>
      <c r="CUT2" s="305"/>
      <c r="CUU2" s="305"/>
      <c r="CUV2" s="305"/>
      <c r="CUW2" s="305"/>
      <c r="CUX2" s="305"/>
      <c r="CUY2" s="305"/>
      <c r="CUZ2" s="305"/>
      <c r="CVA2" s="305"/>
      <c r="CVB2" s="305"/>
      <c r="CVC2" s="305"/>
      <c r="CVD2" s="305"/>
      <c r="CVE2" s="305"/>
      <c r="CVF2" s="305"/>
      <c r="CVG2" s="305"/>
      <c r="CVH2" s="305"/>
      <c r="CVI2" s="305"/>
      <c r="CVJ2" s="305"/>
      <c r="CVK2" s="305"/>
      <c r="CVL2" s="305"/>
      <c r="CVM2" s="305"/>
      <c r="CVN2" s="305"/>
      <c r="CVO2" s="305"/>
      <c r="CVP2" s="305"/>
      <c r="CVQ2" s="305"/>
      <c r="CVR2" s="305"/>
      <c r="CVS2" s="305"/>
      <c r="CVT2" s="305"/>
      <c r="CVV2" s="305" t="s">
        <v>482</v>
      </c>
      <c r="CVW2" s="305"/>
      <c r="CVX2" s="305"/>
      <c r="CVY2" s="305"/>
      <c r="CVZ2" s="305"/>
      <c r="CWA2" s="305"/>
      <c r="CWB2" s="305"/>
      <c r="CWC2" s="305"/>
      <c r="CWD2" s="305"/>
      <c r="CWE2" s="305"/>
      <c r="CWF2" s="305"/>
      <c r="CWG2" s="305"/>
      <c r="CWH2" s="305"/>
      <c r="CWI2" s="305"/>
      <c r="CWJ2" s="305"/>
      <c r="CWK2" s="305"/>
      <c r="CWL2" s="305"/>
      <c r="CWM2" s="305"/>
      <c r="CWN2" s="305"/>
      <c r="CWO2" s="305"/>
      <c r="CWP2" s="305"/>
      <c r="CWQ2" s="305"/>
      <c r="CWR2" s="305"/>
      <c r="CWS2" s="305"/>
      <c r="CWT2" s="305"/>
      <c r="CWU2" s="305"/>
      <c r="CWV2" s="305"/>
      <c r="CWW2" s="305"/>
      <c r="CWX2" s="305"/>
      <c r="CWY2" s="305"/>
      <c r="CWZ2" s="305"/>
      <c r="CXA2" s="305"/>
      <c r="CXB2" s="305"/>
      <c r="CXC2" s="305"/>
      <c r="CXD2" s="305"/>
      <c r="CXE2" s="305"/>
      <c r="CXF2" s="305"/>
      <c r="CXG2" s="305"/>
      <c r="CXH2" s="305"/>
      <c r="CXI2" s="305"/>
      <c r="CXJ2" s="305"/>
      <c r="CXK2" s="305"/>
      <c r="CXL2" s="305"/>
      <c r="CXM2" s="305"/>
      <c r="CXN2" s="305"/>
      <c r="CXO2" s="305"/>
      <c r="CXP2" s="305"/>
      <c r="CXQ2" s="305"/>
      <c r="CXR2" s="305"/>
      <c r="CXS2" s="305"/>
      <c r="CXT2" s="305"/>
      <c r="CXU2" s="305"/>
      <c r="CXV2" s="305"/>
      <c r="CXW2" s="305"/>
      <c r="CXX2" s="305"/>
      <c r="CXY2" s="305"/>
      <c r="CXZ2" s="305"/>
      <c r="CYA2" s="305"/>
      <c r="CYB2" s="305"/>
      <c r="CYC2" s="305"/>
      <c r="CYD2" s="305"/>
      <c r="CYE2" s="305"/>
      <c r="CYF2" s="305"/>
      <c r="CYG2" s="305"/>
      <c r="CYH2" s="305"/>
      <c r="CYI2" s="305"/>
      <c r="CYJ2" s="305"/>
      <c r="CYK2" s="305"/>
      <c r="CYL2" s="305"/>
      <c r="CYM2" s="305"/>
      <c r="CYN2" s="305"/>
      <c r="CYO2" s="305"/>
      <c r="CYP2" s="305"/>
      <c r="CYQ2" s="305"/>
      <c r="CYR2" s="305"/>
      <c r="CYS2" s="305"/>
      <c r="CYT2" s="305"/>
      <c r="CYU2" s="305"/>
      <c r="CYV2" s="305"/>
      <c r="CYW2" s="305"/>
      <c r="CYX2" s="305"/>
      <c r="CYY2" s="305"/>
      <c r="CYZ2" s="305"/>
      <c r="CZA2" s="305"/>
      <c r="CZB2" s="305"/>
      <c r="CZC2" s="305"/>
      <c r="CZD2" s="305"/>
      <c r="CZE2" s="305"/>
      <c r="CZF2" s="305"/>
      <c r="CZG2" s="305"/>
      <c r="CZH2" s="305"/>
      <c r="CZI2" s="305"/>
      <c r="CZJ2" s="305"/>
      <c r="CZL2" s="305" t="s">
        <v>501</v>
      </c>
      <c r="CZM2" s="305"/>
      <c r="CZN2" s="305"/>
      <c r="CZO2" s="305"/>
      <c r="CZP2" s="305"/>
      <c r="CZQ2" s="305"/>
      <c r="CZR2" s="305"/>
      <c r="CZS2" s="305"/>
      <c r="CZT2" s="305"/>
      <c r="CZU2" s="305"/>
      <c r="CZV2" s="305"/>
      <c r="CZW2" s="305"/>
      <c r="CZX2" s="305"/>
      <c r="CZY2" s="305"/>
      <c r="CZZ2" s="305"/>
      <c r="DAA2" s="305"/>
      <c r="DAB2" s="305"/>
      <c r="DAC2" s="305"/>
      <c r="DAD2" s="305"/>
      <c r="DAE2" s="305"/>
      <c r="DAF2" s="305"/>
      <c r="DAG2" s="305"/>
      <c r="DAH2" s="305"/>
      <c r="DAI2" s="305"/>
      <c r="DAJ2" s="305"/>
      <c r="DAK2" s="305"/>
      <c r="DAL2" s="305"/>
      <c r="DAM2" s="305"/>
      <c r="DAN2" s="305"/>
      <c r="DAO2" s="305"/>
      <c r="DAP2" s="305"/>
      <c r="DAQ2" s="305"/>
      <c r="DAR2" s="305"/>
      <c r="DAS2" s="305"/>
      <c r="DAT2" s="305"/>
      <c r="DAU2" s="305"/>
      <c r="DAV2" s="305"/>
      <c r="DAW2" s="305"/>
      <c r="DAX2" s="305"/>
      <c r="DAY2" s="305"/>
      <c r="DAZ2" s="305"/>
      <c r="DBA2" s="305"/>
      <c r="DBB2" s="305"/>
      <c r="DBC2" s="305"/>
      <c r="DBD2" s="305"/>
      <c r="DBE2" s="305"/>
      <c r="DBF2" s="305"/>
      <c r="DBG2" s="305"/>
      <c r="DBH2" s="305"/>
      <c r="DBI2" s="305"/>
      <c r="DBJ2" s="305"/>
      <c r="DBK2" s="305"/>
      <c r="DBL2" s="305"/>
      <c r="DBM2" s="305"/>
      <c r="DBN2" s="305"/>
      <c r="DBO2" s="305"/>
      <c r="DBP2" s="305"/>
      <c r="DBQ2" s="305"/>
      <c r="DBR2" s="305"/>
      <c r="DBS2" s="305"/>
      <c r="DBT2" s="305"/>
      <c r="DBU2" s="305"/>
      <c r="DBV2" s="305"/>
      <c r="DBW2" s="305"/>
      <c r="DBX2" s="305"/>
      <c r="DBY2" s="305"/>
      <c r="DBZ2" s="305"/>
      <c r="DCA2" s="305"/>
      <c r="DCB2" s="305"/>
      <c r="DCC2" s="305"/>
      <c r="DCD2" s="305"/>
      <c r="DCE2" s="305"/>
      <c r="DCF2" s="305"/>
      <c r="DCG2" s="305"/>
      <c r="DCH2" s="305"/>
      <c r="DCI2" s="305"/>
      <c r="DCJ2" s="305"/>
      <c r="DCK2" s="305"/>
      <c r="DCL2" s="305"/>
      <c r="DCM2" s="305"/>
      <c r="DCN2" s="305"/>
      <c r="DCO2" s="305"/>
      <c r="DCP2" s="305"/>
      <c r="DCQ2" s="305"/>
      <c r="DCR2" s="305"/>
      <c r="DCS2" s="305"/>
      <c r="DCT2" s="305"/>
      <c r="DCU2" s="305"/>
      <c r="DCV2" s="305"/>
      <c r="DCW2" s="305"/>
      <c r="DCX2" s="305"/>
      <c r="DCY2" s="305"/>
      <c r="DCZ2" s="305"/>
      <c r="DDB2" s="305" t="s">
        <v>513</v>
      </c>
      <c r="DDC2" s="305"/>
      <c r="DDD2" s="305"/>
      <c r="DDE2" s="305"/>
      <c r="DDF2" s="305"/>
      <c r="DDG2" s="305"/>
      <c r="DDH2" s="305"/>
      <c r="DDI2" s="305"/>
      <c r="DDJ2" s="305"/>
      <c r="DDK2" s="305"/>
      <c r="DDL2" s="305"/>
      <c r="DDM2" s="305"/>
      <c r="DDN2" s="305"/>
      <c r="DDO2" s="305"/>
      <c r="DDP2" s="305"/>
      <c r="DDQ2" s="305"/>
      <c r="DDR2" s="305"/>
      <c r="DDS2" s="305"/>
      <c r="DDT2" s="305"/>
      <c r="DDU2" s="305"/>
      <c r="DDV2" s="305"/>
      <c r="DDW2" s="305"/>
      <c r="DDX2" s="305"/>
      <c r="DDY2" s="305"/>
      <c r="DDZ2" s="305"/>
      <c r="DEA2" s="305"/>
      <c r="DEB2" s="305"/>
      <c r="DEC2" s="305"/>
      <c r="DED2" s="305"/>
      <c r="DEE2" s="305"/>
      <c r="DEF2" s="305"/>
      <c r="DEG2" s="305"/>
      <c r="DEH2" s="305"/>
      <c r="DEI2" s="305"/>
      <c r="DEJ2" s="305"/>
      <c r="DEK2" s="305"/>
      <c r="DEL2" s="305"/>
      <c r="DEM2" s="305"/>
      <c r="DEN2" s="305"/>
      <c r="DEO2" s="305"/>
      <c r="DEP2" s="305"/>
      <c r="DEQ2" s="305"/>
      <c r="DER2" s="305"/>
      <c r="DES2" s="305"/>
      <c r="DET2" s="305"/>
      <c r="DEU2" s="305"/>
      <c r="DEV2" s="305"/>
      <c r="DEW2" s="305"/>
      <c r="DEX2" s="305"/>
      <c r="DEY2" s="305"/>
      <c r="DEZ2" s="305"/>
      <c r="DFA2" s="305"/>
      <c r="DFB2" s="305"/>
      <c r="DFC2" s="305"/>
      <c r="DFD2" s="305"/>
      <c r="DFE2" s="305"/>
      <c r="DFF2" s="305"/>
      <c r="DFG2" s="305"/>
      <c r="DFH2" s="305"/>
      <c r="DFI2" s="305"/>
      <c r="DFJ2" s="305"/>
      <c r="DFK2" s="305"/>
      <c r="DFL2" s="305"/>
      <c r="DFM2" s="305"/>
      <c r="DFN2" s="305"/>
      <c r="DFO2" s="305"/>
      <c r="DFP2" s="305"/>
      <c r="DFQ2" s="305"/>
      <c r="DFR2" s="305"/>
      <c r="DFS2" s="305"/>
      <c r="DFT2" s="305"/>
      <c r="DFU2" s="305"/>
      <c r="DFV2" s="305"/>
      <c r="DFW2" s="305"/>
      <c r="DFX2" s="305"/>
      <c r="DFY2" s="305"/>
      <c r="DFZ2" s="305"/>
      <c r="DGA2" s="305"/>
      <c r="DGB2" s="305"/>
      <c r="DGC2" s="305"/>
      <c r="DGD2" s="305"/>
      <c r="DGE2" s="305"/>
      <c r="DGF2" s="305"/>
      <c r="DGG2" s="305"/>
      <c r="DGH2" s="305"/>
      <c r="DGI2" s="305"/>
      <c r="DGJ2" s="305"/>
      <c r="DGK2" s="305"/>
      <c r="DGL2" s="305"/>
      <c r="DGM2" s="305"/>
      <c r="DGN2" s="305"/>
      <c r="DGO2" s="305"/>
      <c r="DGP2" s="305"/>
      <c r="DGR2" s="305" t="s">
        <v>554</v>
      </c>
      <c r="DGS2" s="305"/>
      <c r="DGT2" s="305"/>
      <c r="DGU2" s="305"/>
      <c r="DGV2" s="305"/>
      <c r="DGW2" s="305"/>
      <c r="DGX2" s="305"/>
      <c r="DGY2" s="305"/>
      <c r="DGZ2" s="305"/>
      <c r="DHA2" s="305"/>
      <c r="DHB2" s="305"/>
      <c r="DHC2" s="305"/>
      <c r="DHD2" s="305"/>
      <c r="DHE2" s="305"/>
      <c r="DHF2" s="305"/>
      <c r="DHG2" s="305"/>
      <c r="DHH2" s="305"/>
      <c r="DHI2" s="305"/>
      <c r="DHJ2" s="305"/>
      <c r="DHK2" s="305"/>
      <c r="DHL2" s="305"/>
      <c r="DHM2" s="305"/>
      <c r="DHN2" s="305"/>
      <c r="DHO2" s="305"/>
      <c r="DHP2" s="305"/>
      <c r="DHQ2" s="305"/>
      <c r="DHR2" s="305"/>
      <c r="DHS2" s="305"/>
      <c r="DHT2" s="305"/>
      <c r="DHU2" s="305"/>
      <c r="DHV2" s="305"/>
      <c r="DHW2" s="305"/>
      <c r="DHX2" s="305"/>
      <c r="DHY2" s="305"/>
      <c r="DHZ2" s="305"/>
      <c r="DIA2" s="305"/>
      <c r="DIB2" s="305"/>
      <c r="DIC2" s="305"/>
      <c r="DID2" s="305"/>
      <c r="DIE2" s="305"/>
      <c r="DIF2" s="305"/>
      <c r="DIG2" s="305"/>
      <c r="DIH2" s="305"/>
      <c r="DII2" s="305"/>
      <c r="DIJ2" s="305"/>
      <c r="DIK2" s="305"/>
      <c r="DIL2" s="305"/>
      <c r="DIM2" s="305"/>
      <c r="DIN2" s="305"/>
      <c r="DIO2" s="305"/>
      <c r="DIP2" s="305"/>
      <c r="DIQ2" s="305"/>
      <c r="DIR2" s="305"/>
      <c r="DIS2" s="305"/>
      <c r="DIT2" s="305"/>
      <c r="DIU2" s="305"/>
      <c r="DIV2" s="305"/>
      <c r="DIW2" s="305"/>
      <c r="DIX2" s="305"/>
      <c r="DIY2" s="305"/>
      <c r="DIZ2" s="305"/>
      <c r="DJA2" s="305"/>
      <c r="DJB2" s="305"/>
      <c r="DJC2" s="305"/>
      <c r="DJD2" s="305"/>
      <c r="DJE2" s="305"/>
      <c r="DJF2" s="305"/>
      <c r="DJG2" s="305"/>
      <c r="DJH2" s="305"/>
      <c r="DJI2" s="305"/>
      <c r="DJJ2" s="305"/>
      <c r="DJK2" s="305"/>
      <c r="DJL2" s="305"/>
      <c r="DJM2" s="305"/>
      <c r="DJN2" s="305"/>
      <c r="DJO2" s="305"/>
      <c r="DJP2" s="305"/>
      <c r="DJQ2" s="305"/>
      <c r="DJR2" s="305"/>
      <c r="DJS2" s="305"/>
      <c r="DJT2" s="305"/>
      <c r="DJU2" s="305"/>
      <c r="DJV2" s="305"/>
      <c r="DJW2" s="305"/>
      <c r="DJX2" s="305"/>
      <c r="DJY2" s="305"/>
      <c r="DJZ2" s="305"/>
      <c r="DKA2" s="305"/>
      <c r="DKB2" s="305"/>
      <c r="DKC2" s="305"/>
      <c r="DKD2" s="305"/>
      <c r="DKE2" s="305"/>
      <c r="DKF2" s="305"/>
    </row>
    <row r="3" spans="2:2996" ht="15" customHeight="1" x14ac:dyDescent="0.25">
      <c r="B3" s="232" t="s">
        <v>1</v>
      </c>
      <c r="C3" s="233"/>
      <c r="D3" s="233"/>
      <c r="E3" s="233"/>
      <c r="F3" s="233"/>
      <c r="G3" s="233"/>
      <c r="H3" s="233"/>
      <c r="I3" s="233"/>
      <c r="J3" s="233"/>
      <c r="K3" s="233"/>
      <c r="L3" s="233"/>
      <c r="M3" s="233"/>
      <c r="N3" s="233"/>
      <c r="O3" s="233"/>
      <c r="P3" s="233"/>
      <c r="Q3" s="236" t="str">
        <f>'Character Creation'!Z10</f>
        <v>Nicholas</v>
      </c>
      <c r="R3" s="236"/>
      <c r="S3" s="236"/>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333"/>
      <c r="AZ3" s="189" t="s">
        <v>8</v>
      </c>
      <c r="BA3" s="189"/>
      <c r="BB3" s="189"/>
      <c r="BC3" s="189"/>
      <c r="BD3" s="189"/>
      <c r="BE3" s="189"/>
      <c r="BF3" s="189"/>
      <c r="BG3" s="189"/>
      <c r="BH3" s="189"/>
      <c r="BI3" s="189"/>
      <c r="BJ3" s="236" t="str">
        <f>'Character Creation'!Z13</f>
        <v>Fatale</v>
      </c>
      <c r="BK3" s="236"/>
      <c r="BL3" s="236"/>
      <c r="BM3" s="236"/>
      <c r="BN3" s="236"/>
      <c r="BO3" s="236"/>
      <c r="BP3" s="236"/>
      <c r="BQ3" s="236"/>
      <c r="BR3" s="236"/>
      <c r="BS3" s="236"/>
      <c r="BT3" s="236"/>
      <c r="BU3" s="236"/>
      <c r="BV3" s="236"/>
      <c r="BW3" s="236"/>
      <c r="BX3" s="342"/>
      <c r="BZ3" s="188" t="s">
        <v>3227</v>
      </c>
      <c r="CA3" s="189"/>
      <c r="CB3" s="189"/>
      <c r="CC3" s="189"/>
      <c r="CD3" s="189"/>
      <c r="CE3" s="189"/>
      <c r="CF3" s="189"/>
      <c r="CG3" s="189"/>
      <c r="CH3" s="189"/>
      <c r="CI3" s="189"/>
      <c r="CJ3" s="189"/>
      <c r="CK3" s="337">
        <v>0</v>
      </c>
      <c r="CL3" s="337"/>
      <c r="CM3" s="337"/>
      <c r="CN3" s="338"/>
      <c r="CO3" s="189" t="s">
        <v>3231</v>
      </c>
      <c r="CP3" s="189"/>
      <c r="CQ3" s="189"/>
      <c r="CR3" s="189"/>
      <c r="CS3" s="189"/>
      <c r="CT3" s="189"/>
      <c r="CU3" s="189"/>
      <c r="CV3" s="189"/>
      <c r="CW3" s="189"/>
      <c r="CX3" s="189"/>
      <c r="CY3" s="195">
        <v>2</v>
      </c>
      <c r="CZ3" s="195"/>
      <c r="DA3" s="195"/>
      <c r="DB3" s="271"/>
      <c r="DD3" s="188" t="s">
        <v>3222</v>
      </c>
      <c r="DE3" s="189"/>
      <c r="DF3" s="189"/>
      <c r="DG3" s="189"/>
      <c r="DH3" s="189"/>
      <c r="DI3" s="189"/>
      <c r="DJ3" s="189"/>
      <c r="DK3" s="189"/>
      <c r="DL3" s="189"/>
      <c r="DM3" s="195">
        <v>0</v>
      </c>
      <c r="DN3" s="195"/>
      <c r="DO3" s="195"/>
      <c r="DP3" s="195"/>
      <c r="DQ3" s="195"/>
      <c r="DR3" s="195"/>
      <c r="DS3" s="195"/>
      <c r="DT3" s="271"/>
      <c r="DV3" s="263" t="s">
        <v>352</v>
      </c>
      <c r="DW3" s="264"/>
      <c r="DX3" s="264"/>
      <c r="DY3" s="264"/>
      <c r="DZ3" s="264"/>
      <c r="EA3" s="264"/>
      <c r="EB3" s="264"/>
      <c r="EC3" s="264"/>
      <c r="ED3" s="264"/>
      <c r="EE3" s="264"/>
      <c r="EF3" s="264"/>
      <c r="EG3" s="264"/>
      <c r="EH3" s="264"/>
      <c r="EI3" s="264"/>
      <c r="EJ3" s="264"/>
      <c r="EK3" s="264"/>
      <c r="EL3" s="264"/>
      <c r="EM3" s="264"/>
      <c r="EN3" s="264"/>
      <c r="EO3" s="264"/>
      <c r="EP3" s="264"/>
      <c r="EQ3" s="264"/>
      <c r="ER3" s="264"/>
      <c r="ES3" s="264"/>
      <c r="ET3" s="264"/>
      <c r="EU3" s="264"/>
      <c r="EV3" s="264"/>
      <c r="EW3" s="264"/>
      <c r="EX3" s="264"/>
      <c r="EY3" s="264"/>
      <c r="EZ3" s="265"/>
      <c r="FB3" s="301" t="s">
        <v>3742</v>
      </c>
      <c r="FC3" s="302"/>
      <c r="FD3" s="302"/>
      <c r="FE3" s="302"/>
      <c r="FF3" s="302"/>
      <c r="FG3" s="302"/>
      <c r="FH3" s="302"/>
      <c r="FI3" s="302"/>
      <c r="FJ3" s="302"/>
      <c r="FK3" s="302"/>
      <c r="FL3" s="302"/>
      <c r="FM3" s="302"/>
      <c r="FN3" s="302"/>
      <c r="FO3" s="302"/>
      <c r="FP3" s="302"/>
      <c r="FQ3" s="302"/>
      <c r="FR3" s="302"/>
      <c r="FS3" s="302"/>
      <c r="FT3" s="302"/>
      <c r="FU3" s="302"/>
      <c r="FV3" s="302"/>
      <c r="FW3" s="302"/>
      <c r="FX3" s="302"/>
      <c r="FY3" s="302"/>
      <c r="FZ3" s="302"/>
      <c r="GA3" s="302"/>
      <c r="GB3" s="302"/>
      <c r="GC3" s="302"/>
      <c r="GD3" s="302"/>
      <c r="GE3" s="302"/>
      <c r="GF3" s="302"/>
      <c r="GG3" s="302"/>
      <c r="GH3" s="302"/>
      <c r="GI3" s="302"/>
      <c r="GJ3" s="302"/>
      <c r="GK3" s="302"/>
      <c r="GL3" s="302"/>
      <c r="GM3" s="302"/>
      <c r="GN3" s="302"/>
      <c r="GO3" s="302"/>
      <c r="GP3" s="302"/>
      <c r="GQ3" s="302"/>
      <c r="GR3" s="302"/>
      <c r="GS3" s="302"/>
      <c r="GT3" s="300" t="s">
        <v>136</v>
      </c>
      <c r="GU3" s="300"/>
      <c r="GV3" s="300"/>
      <c r="GW3" s="300"/>
      <c r="GX3" s="300"/>
      <c r="GY3" s="300"/>
      <c r="GZ3" s="300"/>
      <c r="HA3" s="300"/>
      <c r="HB3" s="300" t="s">
        <v>72</v>
      </c>
      <c r="HC3" s="300"/>
      <c r="HD3" s="300"/>
      <c r="HE3" s="300"/>
      <c r="HF3" s="300"/>
      <c r="HG3" s="300"/>
      <c r="HH3" s="300"/>
      <c r="HI3" s="300"/>
      <c r="HJ3" s="300" t="s">
        <v>61</v>
      </c>
      <c r="HK3" s="300"/>
      <c r="HL3" s="300"/>
      <c r="HM3" s="300"/>
      <c r="HN3" s="300"/>
      <c r="HO3" s="300"/>
      <c r="HP3" s="300"/>
      <c r="HQ3" s="300"/>
      <c r="HR3" s="300" t="s">
        <v>134</v>
      </c>
      <c r="HS3" s="300"/>
      <c r="HT3" s="300"/>
      <c r="HU3" s="300"/>
      <c r="HV3" s="300"/>
      <c r="HW3" s="300"/>
      <c r="HX3" s="300"/>
      <c r="HY3" s="300"/>
      <c r="HZ3" s="300" t="s">
        <v>135</v>
      </c>
      <c r="IA3" s="300"/>
      <c r="IB3" s="300"/>
      <c r="IC3" s="300"/>
      <c r="ID3" s="300"/>
      <c r="IE3" s="300"/>
      <c r="IF3" s="300"/>
      <c r="IG3" s="300"/>
      <c r="IH3" s="300"/>
      <c r="II3" s="300"/>
      <c r="IJ3" s="300" t="s">
        <v>37</v>
      </c>
      <c r="IK3" s="300"/>
      <c r="IL3" s="300"/>
      <c r="IM3" s="300"/>
      <c r="IN3" s="300"/>
      <c r="IO3" s="300"/>
      <c r="IP3" s="300"/>
      <c r="IQ3" s="300" t="s">
        <v>55</v>
      </c>
      <c r="IR3" s="300"/>
      <c r="IS3" s="300"/>
      <c r="IT3" s="300"/>
      <c r="IU3" s="300"/>
      <c r="IV3" s="300"/>
      <c r="IW3" s="300"/>
      <c r="IX3" s="300" t="s">
        <v>60</v>
      </c>
      <c r="IY3" s="300"/>
      <c r="IZ3" s="300"/>
      <c r="JA3" s="300"/>
      <c r="JB3" s="300"/>
      <c r="JC3" s="300"/>
      <c r="JD3" s="300"/>
      <c r="JE3" s="300"/>
      <c r="JF3" s="300" t="s">
        <v>133</v>
      </c>
      <c r="JG3" s="300"/>
      <c r="JH3" s="300"/>
      <c r="JI3" s="300"/>
      <c r="JJ3" s="300"/>
      <c r="JK3" s="300" t="s">
        <v>137</v>
      </c>
      <c r="JL3" s="300"/>
      <c r="JM3" s="300"/>
      <c r="JN3" s="300"/>
      <c r="JO3" s="300"/>
      <c r="JP3" s="300"/>
      <c r="JQ3" s="300"/>
      <c r="JR3" s="300"/>
      <c r="JS3" s="300"/>
      <c r="JT3" s="300"/>
      <c r="JU3" s="300"/>
      <c r="JV3" s="300"/>
      <c r="JW3" s="300"/>
      <c r="JX3" s="300"/>
      <c r="JY3" s="300"/>
      <c r="JZ3" s="300"/>
      <c r="KA3" s="300"/>
      <c r="KB3" s="300"/>
      <c r="KC3" s="300" t="s">
        <v>138</v>
      </c>
      <c r="KD3" s="300"/>
      <c r="KE3" s="300"/>
      <c r="KF3" s="300"/>
      <c r="KG3" s="300"/>
      <c r="KH3" s="300"/>
      <c r="KI3" s="300"/>
      <c r="KJ3" s="300"/>
      <c r="KK3" s="300"/>
      <c r="KL3" s="300"/>
      <c r="KM3" s="300"/>
      <c r="KN3" s="300"/>
      <c r="KO3" s="300"/>
      <c r="KP3" s="300"/>
      <c r="KQ3" s="300"/>
      <c r="KR3" s="300"/>
      <c r="KS3" s="300"/>
      <c r="KT3" s="300"/>
      <c r="KU3" s="298" t="s">
        <v>128</v>
      </c>
      <c r="KV3" s="298"/>
      <c r="KW3" s="298"/>
      <c r="KX3" s="298"/>
      <c r="KY3" s="298"/>
      <c r="KZ3" s="298"/>
      <c r="LA3" s="298"/>
      <c r="LB3" s="298"/>
      <c r="LC3" s="298"/>
      <c r="LD3" s="298"/>
      <c r="LE3" s="298"/>
      <c r="LF3" s="298"/>
      <c r="LG3" s="298"/>
      <c r="LH3" s="298"/>
      <c r="LI3" s="298"/>
      <c r="LJ3" s="298"/>
      <c r="LK3" s="298"/>
      <c r="LL3" s="298"/>
      <c r="LM3" s="298"/>
      <c r="LN3" s="298"/>
      <c r="LO3" s="298"/>
      <c r="LP3" s="298"/>
      <c r="LQ3" s="298"/>
      <c r="LR3" s="298"/>
      <c r="LS3" s="298"/>
      <c r="LT3" s="298"/>
      <c r="LU3" s="298"/>
      <c r="LV3" s="298"/>
      <c r="LW3" s="298"/>
      <c r="LX3" s="298"/>
      <c r="LY3" s="298"/>
      <c r="LZ3" s="298"/>
      <c r="MA3" s="298"/>
      <c r="MB3" s="298"/>
      <c r="MC3" s="298"/>
      <c r="MD3" s="298"/>
      <c r="ME3" s="298"/>
      <c r="MF3" s="298"/>
      <c r="MG3" s="298"/>
      <c r="MH3" s="298"/>
      <c r="MI3" s="298"/>
      <c r="MJ3" s="298"/>
      <c r="MK3" s="298"/>
      <c r="ML3" s="298"/>
      <c r="MM3" s="298"/>
      <c r="MN3" s="298"/>
      <c r="MO3" s="298"/>
      <c r="MP3" s="298"/>
      <c r="MQ3" s="298"/>
      <c r="MR3" s="298"/>
      <c r="MS3" s="298"/>
      <c r="MT3" s="298"/>
      <c r="MU3" s="298"/>
      <c r="MV3" s="298"/>
      <c r="MW3" s="298"/>
      <c r="MX3" s="298"/>
      <c r="MY3" s="298"/>
      <c r="MZ3" s="299"/>
      <c r="NB3" s="144" t="s">
        <v>146</v>
      </c>
      <c r="NC3" s="144"/>
      <c r="ND3" s="144"/>
      <c r="NE3" s="144"/>
      <c r="NF3" s="144"/>
      <c r="NG3" s="144"/>
      <c r="NH3" s="144"/>
      <c r="NI3" s="144"/>
      <c r="NJ3" s="144"/>
      <c r="NK3" s="144"/>
      <c r="NL3" s="144"/>
      <c r="NM3" s="144"/>
      <c r="NN3" s="144"/>
      <c r="NO3" s="144"/>
      <c r="NP3" s="144"/>
      <c r="NQ3" s="144"/>
      <c r="NR3" s="144"/>
      <c r="NS3" s="144"/>
      <c r="NT3" s="144"/>
      <c r="NU3" s="144"/>
      <c r="NV3" s="144"/>
      <c r="NW3" s="144"/>
      <c r="NX3" s="144"/>
      <c r="NY3" s="144"/>
      <c r="NZ3" s="144"/>
      <c r="OA3" s="144"/>
      <c r="OB3" s="144"/>
      <c r="OC3" s="144"/>
      <c r="OD3" s="144"/>
      <c r="OE3" s="144"/>
      <c r="OF3" s="144"/>
      <c r="OG3" s="144"/>
      <c r="OH3" s="144"/>
      <c r="OI3" s="144"/>
      <c r="OJ3" s="144"/>
      <c r="OK3" s="144"/>
      <c r="OL3" s="144"/>
      <c r="OM3" s="144"/>
      <c r="ON3" s="144"/>
      <c r="OO3" s="144"/>
      <c r="OP3" s="144"/>
      <c r="OQ3" s="144"/>
      <c r="OR3" s="144"/>
      <c r="OS3" s="144"/>
      <c r="OT3" s="144"/>
      <c r="OU3" s="144"/>
      <c r="OV3" s="144"/>
      <c r="OW3" s="144"/>
      <c r="OX3" s="144"/>
      <c r="OY3" s="144"/>
      <c r="OZ3" s="144"/>
      <c r="PA3" s="144"/>
      <c r="PB3" s="144"/>
      <c r="PC3" s="144"/>
      <c r="PD3" s="144"/>
      <c r="PE3" s="144"/>
      <c r="PF3" s="144"/>
      <c r="PG3" s="144"/>
      <c r="PH3" s="144"/>
      <c r="PI3" s="144"/>
      <c r="PJ3" s="144"/>
      <c r="PK3" s="144"/>
      <c r="PL3" s="144"/>
      <c r="PM3" s="144"/>
      <c r="PN3" s="144"/>
      <c r="PO3" s="144"/>
      <c r="PP3" s="144"/>
      <c r="PQ3" s="144"/>
      <c r="PR3" s="144"/>
      <c r="PS3" s="144"/>
      <c r="PT3" s="144"/>
      <c r="PU3" s="144"/>
      <c r="PV3" s="144"/>
      <c r="PW3" s="144"/>
      <c r="PX3" s="144"/>
      <c r="PY3" s="144"/>
      <c r="PZ3" s="144"/>
      <c r="QA3" s="144"/>
      <c r="QB3" s="144"/>
      <c r="QC3" s="144"/>
      <c r="QD3" s="144"/>
      <c r="QE3" s="144"/>
      <c r="QF3" s="144"/>
      <c r="QG3" s="144"/>
      <c r="QH3" s="144"/>
      <c r="QI3" s="144"/>
      <c r="QJ3" s="144"/>
      <c r="QK3" s="144"/>
      <c r="QL3" s="144"/>
      <c r="QM3" s="144"/>
      <c r="QN3" s="144"/>
      <c r="QO3" s="144"/>
      <c r="QP3" s="144"/>
      <c r="QR3" s="144" t="s">
        <v>156</v>
      </c>
      <c r="QS3" s="144"/>
      <c r="QT3" s="144"/>
      <c r="QU3" s="144"/>
      <c r="QV3" s="144"/>
      <c r="QW3" s="144"/>
      <c r="QX3" s="144"/>
      <c r="QY3" s="144"/>
      <c r="QZ3" s="144"/>
      <c r="RA3" s="144"/>
      <c r="RB3" s="144"/>
      <c r="RC3" s="144"/>
      <c r="RD3" s="144"/>
      <c r="RE3" s="144"/>
      <c r="RF3" s="144"/>
      <c r="RG3" s="144"/>
      <c r="RH3" s="144"/>
      <c r="RI3" s="144"/>
      <c r="RJ3" s="144"/>
      <c r="RK3" s="144"/>
      <c r="RL3" s="144"/>
      <c r="RM3" s="144"/>
      <c r="RN3" s="144"/>
      <c r="RO3" s="144"/>
      <c r="RP3" s="144"/>
      <c r="RQ3" s="144"/>
      <c r="RR3" s="144"/>
      <c r="RS3" s="144"/>
      <c r="RT3" s="144"/>
      <c r="RU3" s="144"/>
      <c r="RV3" s="144"/>
      <c r="RW3" s="144"/>
      <c r="RX3" s="144"/>
      <c r="RY3" s="144"/>
      <c r="RZ3" s="144"/>
      <c r="SA3" s="144"/>
      <c r="SB3" s="144"/>
      <c r="SC3" s="144"/>
      <c r="SD3" s="144"/>
      <c r="SE3" s="144"/>
      <c r="SF3" s="144"/>
      <c r="SG3" s="144"/>
      <c r="SH3" s="144"/>
      <c r="SI3" s="144"/>
      <c r="SJ3" s="144"/>
      <c r="SK3" s="144"/>
      <c r="SL3" s="144"/>
      <c r="SM3" s="144"/>
      <c r="SN3" s="144"/>
      <c r="SO3" s="144"/>
      <c r="SP3" s="144"/>
      <c r="SQ3" s="144"/>
      <c r="SR3" s="144"/>
      <c r="SS3" s="144"/>
      <c r="ST3" s="144"/>
      <c r="SU3" s="144"/>
      <c r="SV3" s="144"/>
      <c r="SW3" s="144"/>
      <c r="SX3" s="144"/>
      <c r="SY3" s="144"/>
      <c r="SZ3" s="144"/>
      <c r="TA3" s="144"/>
      <c r="TB3" s="144"/>
      <c r="TC3" s="144"/>
      <c r="TD3" s="144"/>
      <c r="TE3" s="144"/>
      <c r="TF3" s="144"/>
      <c r="TG3" s="144"/>
      <c r="TH3" s="144"/>
      <c r="TI3" s="144"/>
      <c r="TJ3" s="144"/>
      <c r="TK3" s="144"/>
      <c r="TL3" s="144"/>
      <c r="TM3" s="144"/>
      <c r="TN3" s="144"/>
      <c r="TO3" s="144"/>
      <c r="TP3" s="144"/>
      <c r="TQ3" s="144"/>
      <c r="TR3" s="144"/>
      <c r="TS3" s="144"/>
      <c r="TT3" s="144"/>
      <c r="TU3" s="144"/>
      <c r="TV3" s="144"/>
      <c r="TW3" s="144"/>
      <c r="TX3" s="144"/>
      <c r="TY3" s="144"/>
      <c r="TZ3" s="144"/>
      <c r="UA3" s="144"/>
      <c r="UB3" s="144"/>
      <c r="UC3" s="144"/>
      <c r="UD3" s="144"/>
      <c r="UE3" s="144"/>
      <c r="UF3" s="144"/>
      <c r="UH3" s="144" t="s">
        <v>159</v>
      </c>
      <c r="UI3" s="144"/>
      <c r="UJ3" s="144"/>
      <c r="UK3" s="144"/>
      <c r="UL3" s="144"/>
      <c r="UM3" s="144"/>
      <c r="UN3" s="144"/>
      <c r="UO3" s="144"/>
      <c r="UP3" s="144"/>
      <c r="UQ3" s="144"/>
      <c r="UR3" s="144"/>
      <c r="US3" s="144"/>
      <c r="UT3" s="144"/>
      <c r="UU3" s="144"/>
      <c r="UV3" s="144"/>
      <c r="UW3" s="144"/>
      <c r="UX3" s="144"/>
      <c r="UY3" s="144"/>
      <c r="UZ3" s="144"/>
      <c r="VA3" s="144"/>
      <c r="VB3" s="144"/>
      <c r="VC3" s="144"/>
      <c r="VD3" s="144"/>
      <c r="VE3" s="144"/>
      <c r="VF3" s="144"/>
      <c r="VG3" s="144"/>
      <c r="VH3" s="144"/>
      <c r="VI3" s="144"/>
      <c r="VJ3" s="144"/>
      <c r="VK3" s="144"/>
      <c r="VL3" s="144"/>
      <c r="VM3" s="144"/>
      <c r="VN3" s="144"/>
      <c r="VO3" s="144"/>
      <c r="VP3" s="144"/>
      <c r="VQ3" s="144"/>
      <c r="VR3" s="144"/>
      <c r="VS3" s="144"/>
      <c r="VT3" s="144"/>
      <c r="VU3" s="144"/>
      <c r="VV3" s="144"/>
      <c r="VW3" s="144"/>
      <c r="VX3" s="144"/>
      <c r="VY3" s="144"/>
      <c r="VZ3" s="144"/>
      <c r="WA3" s="144"/>
      <c r="WB3" s="144"/>
      <c r="WC3" s="144"/>
      <c r="WD3" s="144"/>
      <c r="WE3" s="144"/>
      <c r="WF3" s="144"/>
      <c r="WG3" s="144"/>
      <c r="WH3" s="144"/>
      <c r="WI3" s="144"/>
      <c r="WJ3" s="144"/>
      <c r="WK3" s="144"/>
      <c r="WL3" s="144"/>
      <c r="WM3" s="144"/>
      <c r="WN3" s="144"/>
      <c r="WO3" s="144"/>
      <c r="WP3" s="144"/>
      <c r="WQ3" s="144"/>
      <c r="WR3" s="144"/>
      <c r="WS3" s="144"/>
      <c r="WT3" s="144"/>
      <c r="WU3" s="144"/>
      <c r="WV3" s="144"/>
      <c r="WW3" s="144"/>
      <c r="WX3" s="144"/>
      <c r="WY3" s="144"/>
      <c r="WZ3" s="144"/>
      <c r="XA3" s="144"/>
      <c r="XB3" s="144"/>
      <c r="XC3" s="144"/>
      <c r="XD3" s="144"/>
      <c r="XE3" s="144"/>
      <c r="XF3" s="144"/>
      <c r="XG3" s="144"/>
      <c r="XH3" s="144"/>
      <c r="XI3" s="144"/>
      <c r="XJ3" s="144"/>
      <c r="XK3" s="144"/>
      <c r="XL3" s="144"/>
      <c r="XM3" s="144"/>
      <c r="XN3" s="144"/>
      <c r="XO3" s="144"/>
      <c r="XP3" s="144"/>
      <c r="XQ3" s="144"/>
      <c r="XR3" s="144"/>
      <c r="XS3" s="144"/>
      <c r="XT3" s="144"/>
      <c r="XU3" s="144"/>
      <c r="XV3" s="144"/>
      <c r="XX3" s="144" t="s">
        <v>171</v>
      </c>
      <c r="XY3" s="144"/>
      <c r="XZ3" s="144"/>
      <c r="YA3" s="144"/>
      <c r="YB3" s="144"/>
      <c r="YC3" s="144"/>
      <c r="YD3" s="144"/>
      <c r="YE3" s="144"/>
      <c r="YF3" s="144"/>
      <c r="YG3" s="144"/>
      <c r="YH3" s="144"/>
      <c r="YI3" s="144"/>
      <c r="YJ3" s="144"/>
      <c r="YK3" s="144"/>
      <c r="YL3" s="144"/>
      <c r="YM3" s="144"/>
      <c r="YN3" s="144"/>
      <c r="YO3" s="144"/>
      <c r="YP3" s="144"/>
      <c r="YQ3" s="144"/>
      <c r="YR3" s="144"/>
      <c r="YS3" s="144"/>
      <c r="YT3" s="144"/>
      <c r="YU3" s="144"/>
      <c r="YV3" s="144"/>
      <c r="YW3" s="144"/>
      <c r="YX3" s="144"/>
      <c r="YY3" s="144"/>
      <c r="YZ3" s="144"/>
      <c r="ZA3" s="144"/>
      <c r="ZB3" s="144"/>
      <c r="ZC3" s="144"/>
      <c r="ZD3" s="144"/>
      <c r="ZE3" s="144"/>
      <c r="ZF3" s="144"/>
      <c r="ZG3" s="144"/>
      <c r="ZH3" s="144"/>
      <c r="ZI3" s="144"/>
      <c r="ZJ3" s="144"/>
      <c r="ZK3" s="144"/>
      <c r="ZL3" s="144"/>
      <c r="ZM3" s="144"/>
      <c r="ZN3" s="144"/>
      <c r="ZO3" s="144"/>
      <c r="ZP3" s="144"/>
      <c r="ZQ3" s="144"/>
      <c r="ZR3" s="144"/>
      <c r="ZS3" s="144"/>
      <c r="ZT3" s="144"/>
      <c r="ZU3" s="144"/>
      <c r="ZV3" s="144"/>
      <c r="ZW3" s="144"/>
      <c r="ZX3" s="144"/>
      <c r="ZY3" s="144"/>
      <c r="ZZ3" s="144"/>
      <c r="AAA3" s="144"/>
      <c r="AAB3" s="144"/>
      <c r="AAC3" s="144"/>
      <c r="AAD3" s="144"/>
      <c r="AAE3" s="144"/>
      <c r="AAF3" s="144"/>
      <c r="AAG3" s="144"/>
      <c r="AAH3" s="144"/>
      <c r="AAI3" s="144"/>
      <c r="AAJ3" s="144"/>
      <c r="AAK3" s="144"/>
      <c r="AAL3" s="144"/>
      <c r="AAM3" s="144"/>
      <c r="AAN3" s="144"/>
      <c r="AAO3" s="144"/>
      <c r="AAP3" s="144"/>
      <c r="AAQ3" s="144"/>
      <c r="AAR3" s="144"/>
      <c r="AAS3" s="144"/>
      <c r="AAT3" s="144"/>
      <c r="AAU3" s="144"/>
      <c r="AAV3" s="144"/>
      <c r="AAW3" s="144"/>
      <c r="AAX3" s="144"/>
      <c r="AAY3" s="144"/>
      <c r="AAZ3" s="144"/>
      <c r="ABA3" s="144"/>
      <c r="ABB3" s="144"/>
      <c r="ABC3" s="144"/>
      <c r="ABD3" s="144"/>
      <c r="ABE3" s="144"/>
      <c r="ABF3" s="144"/>
      <c r="ABG3" s="144"/>
      <c r="ABH3" s="144"/>
      <c r="ABI3" s="144"/>
      <c r="ABJ3" s="144"/>
      <c r="ABK3" s="144"/>
      <c r="ABL3" s="144"/>
      <c r="ABN3" s="144" t="s">
        <v>173</v>
      </c>
      <c r="ABO3" s="144"/>
      <c r="ABP3" s="144"/>
      <c r="ABQ3" s="144"/>
      <c r="ABR3" s="144"/>
      <c r="ABS3" s="144"/>
      <c r="ABT3" s="144"/>
      <c r="ABU3" s="144"/>
      <c r="ABV3" s="144"/>
      <c r="ABW3" s="144"/>
      <c r="ABX3" s="144"/>
      <c r="ABY3" s="144"/>
      <c r="ABZ3" s="144"/>
      <c r="ACA3" s="144"/>
      <c r="ACB3" s="144"/>
      <c r="ACC3" s="144"/>
      <c r="ACD3" s="144"/>
      <c r="ACE3" s="144"/>
      <c r="ACF3" s="144"/>
      <c r="ACG3" s="144"/>
      <c r="ACH3" s="144"/>
      <c r="ACI3" s="144"/>
      <c r="ACJ3" s="144"/>
      <c r="ACK3" s="144"/>
      <c r="ACL3" s="144"/>
      <c r="ACM3" s="144"/>
      <c r="ACN3" s="144"/>
      <c r="ACO3" s="144"/>
      <c r="ACP3" s="144"/>
      <c r="ACQ3" s="144"/>
      <c r="ACR3" s="144"/>
      <c r="ACS3" s="144"/>
      <c r="ACT3" s="144"/>
      <c r="ACU3" s="144"/>
      <c r="ACV3" s="144"/>
      <c r="ACW3" s="144"/>
      <c r="ACX3" s="144"/>
      <c r="ACY3" s="144"/>
      <c r="ACZ3" s="144"/>
      <c r="ADA3" s="144"/>
      <c r="ADB3" s="144"/>
      <c r="ADC3" s="144"/>
      <c r="ADD3" s="144"/>
      <c r="ADE3" s="144"/>
      <c r="ADF3" s="144"/>
      <c r="ADG3" s="144"/>
      <c r="ADH3" s="144"/>
      <c r="ADI3" s="144"/>
      <c r="ADJ3" s="144"/>
      <c r="ADK3" s="144"/>
      <c r="ADL3" s="144"/>
      <c r="ADM3" s="144"/>
      <c r="ADN3" s="144"/>
      <c r="ADO3" s="144"/>
      <c r="ADP3" s="144"/>
      <c r="ADQ3" s="144"/>
      <c r="ADR3" s="144"/>
      <c r="ADS3" s="144"/>
      <c r="ADT3" s="144"/>
      <c r="ADU3" s="144"/>
      <c r="ADV3" s="144"/>
      <c r="ADW3" s="144"/>
      <c r="ADX3" s="144"/>
      <c r="ADY3" s="144"/>
      <c r="ADZ3" s="144"/>
      <c r="AEA3" s="144"/>
      <c r="AEB3" s="144"/>
      <c r="AEC3" s="144"/>
      <c r="AED3" s="144"/>
      <c r="AEE3" s="144"/>
      <c r="AEF3" s="144"/>
      <c r="AEG3" s="144"/>
      <c r="AEH3" s="144"/>
      <c r="AEI3" s="144"/>
      <c r="AEJ3" s="144"/>
      <c r="AEK3" s="144"/>
      <c r="AEL3" s="144"/>
      <c r="AEM3" s="144"/>
      <c r="AEN3" s="144"/>
      <c r="AEO3" s="144"/>
      <c r="AEP3" s="144"/>
      <c r="AEQ3" s="144"/>
      <c r="AER3" s="144"/>
      <c r="AES3" s="144"/>
      <c r="AET3" s="144"/>
      <c r="AEU3" s="144"/>
      <c r="AEV3" s="144"/>
      <c r="AEW3" s="144"/>
      <c r="AEX3" s="144"/>
      <c r="AEY3" s="144"/>
      <c r="AEZ3" s="144"/>
      <c r="AFA3" s="144"/>
      <c r="AFB3" s="144"/>
      <c r="AFD3" s="144" t="s">
        <v>182</v>
      </c>
      <c r="AFE3" s="144"/>
      <c r="AFF3" s="144"/>
      <c r="AFG3" s="144"/>
      <c r="AFH3" s="144"/>
      <c r="AFI3" s="144"/>
      <c r="AFJ3" s="144"/>
      <c r="AFK3" s="144"/>
      <c r="AFL3" s="144"/>
      <c r="AFM3" s="144"/>
      <c r="AFN3" s="144"/>
      <c r="AFO3" s="144"/>
      <c r="AFP3" s="144"/>
      <c r="AFQ3" s="144"/>
      <c r="AFR3" s="144"/>
      <c r="AFS3" s="144"/>
      <c r="AFT3" s="144"/>
      <c r="AFU3" s="144"/>
      <c r="AFV3" s="144"/>
      <c r="AFW3" s="144"/>
      <c r="AFX3" s="144"/>
      <c r="AFY3" s="144"/>
      <c r="AFZ3" s="144"/>
      <c r="AGA3" s="144"/>
      <c r="AGB3" s="144"/>
      <c r="AGC3" s="144"/>
      <c r="AGD3" s="144"/>
      <c r="AGE3" s="144"/>
      <c r="AGF3" s="144"/>
      <c r="AGG3" s="144"/>
      <c r="AGH3" s="144"/>
      <c r="AGI3" s="144"/>
      <c r="AGJ3" s="144"/>
      <c r="AGK3" s="144"/>
      <c r="AGL3" s="144"/>
      <c r="AGM3" s="144"/>
      <c r="AGN3" s="144"/>
      <c r="AGO3" s="144"/>
      <c r="AGP3" s="144"/>
      <c r="AGQ3" s="144"/>
      <c r="AGR3" s="144"/>
      <c r="AGS3" s="144"/>
      <c r="AGT3" s="144"/>
      <c r="AGU3" s="144"/>
      <c r="AGV3" s="144"/>
      <c r="AGW3" s="144"/>
      <c r="AGX3" s="144"/>
      <c r="AGY3" s="144"/>
      <c r="AGZ3" s="144"/>
      <c r="AHA3" s="144"/>
      <c r="AHB3" s="144"/>
      <c r="AHC3" s="144"/>
      <c r="AHD3" s="144"/>
      <c r="AHE3" s="144"/>
      <c r="AHF3" s="144"/>
      <c r="AHG3" s="144"/>
      <c r="AHH3" s="144"/>
      <c r="AHI3" s="144"/>
      <c r="AHJ3" s="144"/>
      <c r="AHK3" s="144"/>
      <c r="AHL3" s="144"/>
      <c r="AHM3" s="144"/>
      <c r="AHN3" s="144"/>
      <c r="AHO3" s="144"/>
      <c r="AHP3" s="144"/>
      <c r="AHQ3" s="144"/>
      <c r="AHR3" s="144"/>
      <c r="AHS3" s="144"/>
      <c r="AHT3" s="144"/>
      <c r="AHU3" s="144"/>
      <c r="AHV3" s="144"/>
      <c r="AHW3" s="144"/>
      <c r="AHX3" s="144"/>
      <c r="AHY3" s="144"/>
      <c r="AHZ3" s="144"/>
      <c r="AIA3" s="144"/>
      <c r="AIB3" s="144"/>
      <c r="AIC3" s="144"/>
      <c r="AID3" s="144"/>
      <c r="AIE3" s="144"/>
      <c r="AIF3" s="144"/>
      <c r="AIG3" s="144"/>
      <c r="AIH3" s="144"/>
      <c r="AII3" s="144"/>
      <c r="AIJ3" s="144"/>
      <c r="AIK3" s="144"/>
      <c r="AIL3" s="144"/>
      <c r="AIM3" s="144"/>
      <c r="AIN3" s="144"/>
      <c r="AIO3" s="144"/>
      <c r="AIP3" s="144"/>
      <c r="AIQ3" s="144"/>
      <c r="AIR3" s="144"/>
      <c r="AIT3" s="144" t="s">
        <v>189</v>
      </c>
      <c r="AIU3" s="144"/>
      <c r="AIV3" s="144"/>
      <c r="AIW3" s="144"/>
      <c r="AIX3" s="144"/>
      <c r="AIY3" s="144"/>
      <c r="AIZ3" s="144"/>
      <c r="AJA3" s="144"/>
      <c r="AJB3" s="144"/>
      <c r="AJC3" s="144"/>
      <c r="AJD3" s="144"/>
      <c r="AJE3" s="144"/>
      <c r="AJF3" s="144"/>
      <c r="AJG3" s="144"/>
      <c r="AJH3" s="144"/>
      <c r="AJI3" s="144"/>
      <c r="AJJ3" s="144"/>
      <c r="AJK3" s="144"/>
      <c r="AJL3" s="144"/>
      <c r="AJM3" s="144"/>
      <c r="AJN3" s="144"/>
      <c r="AJO3" s="144"/>
      <c r="AJP3" s="144"/>
      <c r="AJQ3" s="144"/>
      <c r="AJR3" s="144"/>
      <c r="AJS3" s="144"/>
      <c r="AJT3" s="144"/>
      <c r="AJU3" s="144"/>
      <c r="AJV3" s="144"/>
      <c r="AJW3" s="144"/>
      <c r="AJX3" s="144"/>
      <c r="AJY3" s="144"/>
      <c r="AJZ3" s="144"/>
      <c r="AKA3" s="144"/>
      <c r="AKB3" s="144"/>
      <c r="AKC3" s="144"/>
      <c r="AKD3" s="144"/>
      <c r="AKE3" s="144"/>
      <c r="AKF3" s="144"/>
      <c r="AKG3" s="144"/>
      <c r="AKH3" s="144"/>
      <c r="AKI3" s="144"/>
      <c r="AKJ3" s="144"/>
      <c r="AKK3" s="144"/>
      <c r="AKL3" s="144"/>
      <c r="AKM3" s="144"/>
      <c r="AKN3" s="144"/>
      <c r="AKO3" s="144"/>
      <c r="AKP3" s="144"/>
      <c r="AKQ3" s="144"/>
      <c r="AKR3" s="144"/>
      <c r="AKS3" s="144"/>
      <c r="AKT3" s="144"/>
      <c r="AKU3" s="144"/>
      <c r="AKV3" s="144"/>
      <c r="AKW3" s="144"/>
      <c r="AKX3" s="144"/>
      <c r="AKY3" s="144"/>
      <c r="AKZ3" s="144"/>
      <c r="ALA3" s="144"/>
      <c r="ALB3" s="144"/>
      <c r="ALC3" s="144"/>
      <c r="ALD3" s="144"/>
      <c r="ALE3" s="144"/>
      <c r="ALF3" s="144"/>
      <c r="ALG3" s="144"/>
      <c r="ALH3" s="144"/>
      <c r="ALI3" s="144"/>
      <c r="ALJ3" s="144"/>
      <c r="ALK3" s="144"/>
      <c r="ALL3" s="144"/>
      <c r="ALM3" s="144"/>
      <c r="ALN3" s="144"/>
      <c r="ALO3" s="144"/>
      <c r="ALP3" s="144"/>
      <c r="ALQ3" s="144"/>
      <c r="ALR3" s="144"/>
      <c r="ALS3" s="144"/>
      <c r="ALT3" s="144"/>
      <c r="ALU3" s="144"/>
      <c r="ALV3" s="144"/>
      <c r="ALW3" s="144"/>
      <c r="ALX3" s="144"/>
      <c r="ALY3" s="144"/>
      <c r="ALZ3" s="144"/>
      <c r="AMA3" s="144"/>
      <c r="AMB3" s="144"/>
      <c r="AMC3" s="144"/>
      <c r="AMD3" s="144"/>
      <c r="AME3" s="144"/>
      <c r="AMF3" s="144"/>
      <c r="AMG3" s="144"/>
      <c r="AMH3" s="144"/>
      <c r="AMJ3" s="144" t="s">
        <v>218</v>
      </c>
      <c r="AMK3" s="144"/>
      <c r="AML3" s="144"/>
      <c r="AMM3" s="144"/>
      <c r="AMN3" s="144"/>
      <c r="AMO3" s="144"/>
      <c r="AMP3" s="144"/>
      <c r="AMQ3" s="144"/>
      <c r="AMR3" s="144"/>
      <c r="AMS3" s="144"/>
      <c r="AMT3" s="144"/>
      <c r="AMU3" s="144"/>
      <c r="AMV3" s="144"/>
      <c r="AMW3" s="144"/>
      <c r="AMX3" s="144"/>
      <c r="AMY3" s="144"/>
      <c r="AMZ3" s="144"/>
      <c r="ANA3" s="144"/>
      <c r="ANB3" s="144"/>
      <c r="ANC3" s="144"/>
      <c r="AND3" s="144"/>
      <c r="ANE3" s="144"/>
      <c r="ANF3" s="144"/>
      <c r="ANG3" s="144"/>
      <c r="ANH3" s="144"/>
      <c r="ANI3" s="144"/>
      <c r="ANJ3" s="144"/>
      <c r="ANK3" s="144"/>
      <c r="ANL3" s="144"/>
      <c r="ANM3" s="144"/>
      <c r="ANN3" s="144"/>
      <c r="ANO3" s="144"/>
      <c r="ANP3" s="144"/>
      <c r="ANQ3" s="144"/>
      <c r="ANR3" s="144"/>
      <c r="ANS3" s="144"/>
      <c r="ANT3" s="144"/>
      <c r="ANU3" s="144"/>
      <c r="ANV3" s="144"/>
      <c r="ANW3" s="144"/>
      <c r="ANX3" s="144"/>
      <c r="ANY3" s="144"/>
      <c r="ANZ3" s="144"/>
      <c r="AOA3" s="144"/>
      <c r="AOB3" s="144"/>
      <c r="AOC3" s="144"/>
      <c r="AOD3" s="144"/>
      <c r="AOE3" s="144"/>
      <c r="AOF3" s="144"/>
      <c r="AOG3" s="144"/>
      <c r="AOH3" s="144"/>
      <c r="AOI3" s="144"/>
      <c r="AOJ3" s="144"/>
      <c r="AOK3" s="144"/>
      <c r="AOL3" s="144"/>
      <c r="AOM3" s="144"/>
      <c r="AON3" s="144"/>
      <c r="AOO3" s="144"/>
      <c r="AOP3" s="144"/>
      <c r="AOQ3" s="144"/>
      <c r="AOR3" s="144"/>
      <c r="AOS3" s="144"/>
      <c r="AOT3" s="144"/>
      <c r="AOU3" s="144"/>
      <c r="AOV3" s="144"/>
      <c r="AOW3" s="144"/>
      <c r="AOX3" s="144"/>
      <c r="AOY3" s="144"/>
      <c r="AOZ3" s="144"/>
      <c r="APA3" s="144"/>
      <c r="APB3" s="144"/>
      <c r="APC3" s="144"/>
      <c r="APD3" s="144"/>
      <c r="APE3" s="144"/>
      <c r="APF3" s="144"/>
      <c r="APG3" s="144"/>
      <c r="APH3" s="144"/>
      <c r="API3" s="144"/>
      <c r="APJ3" s="144"/>
      <c r="APK3" s="144"/>
      <c r="APL3" s="144"/>
      <c r="APM3" s="144"/>
      <c r="APN3" s="144"/>
      <c r="APO3" s="144"/>
      <c r="APP3" s="144"/>
      <c r="APQ3" s="144"/>
      <c r="APR3" s="144"/>
      <c r="APS3" s="144"/>
      <c r="APT3" s="144"/>
      <c r="APU3" s="144"/>
      <c r="APV3" s="144"/>
      <c r="APW3" s="144"/>
      <c r="APX3" s="144"/>
      <c r="APZ3" s="144" t="s">
        <v>227</v>
      </c>
      <c r="AQA3" s="144"/>
      <c r="AQB3" s="144"/>
      <c r="AQC3" s="144"/>
      <c r="AQD3" s="144"/>
      <c r="AQE3" s="144"/>
      <c r="AQF3" s="144"/>
      <c r="AQG3" s="144"/>
      <c r="AQH3" s="144"/>
      <c r="AQI3" s="144"/>
      <c r="AQJ3" s="144"/>
      <c r="AQK3" s="144"/>
      <c r="AQL3" s="144"/>
      <c r="AQM3" s="144"/>
      <c r="AQN3" s="144"/>
      <c r="AQO3" s="144"/>
      <c r="AQP3" s="144"/>
      <c r="AQQ3" s="144"/>
      <c r="AQR3" s="144"/>
      <c r="AQS3" s="144"/>
      <c r="AQT3" s="144"/>
      <c r="AQU3" s="144"/>
      <c r="AQV3" s="144"/>
      <c r="AQW3" s="144"/>
      <c r="AQX3" s="144"/>
      <c r="AQY3" s="144"/>
      <c r="AQZ3" s="144"/>
      <c r="ARA3" s="144"/>
      <c r="ARB3" s="144"/>
      <c r="ARC3" s="144"/>
      <c r="ARD3" s="144"/>
      <c r="ARE3" s="144"/>
      <c r="ARF3" s="144"/>
      <c r="ARG3" s="144"/>
      <c r="ARH3" s="144"/>
      <c r="ARI3" s="144"/>
      <c r="ARJ3" s="144"/>
      <c r="ARK3" s="144"/>
      <c r="ARL3" s="144"/>
      <c r="ARM3" s="144"/>
      <c r="ARN3" s="144"/>
      <c r="ARO3" s="144"/>
      <c r="ARP3" s="144"/>
      <c r="ARQ3" s="144"/>
      <c r="ARR3" s="144"/>
      <c r="ARS3" s="144"/>
      <c r="ART3" s="144"/>
      <c r="ARU3" s="144"/>
      <c r="ARV3" s="144"/>
      <c r="ARW3" s="144"/>
      <c r="ARX3" s="144"/>
      <c r="ARY3" s="144"/>
      <c r="ARZ3" s="144"/>
      <c r="ASA3" s="144"/>
      <c r="ASB3" s="144"/>
      <c r="ASC3" s="144"/>
      <c r="ASD3" s="144"/>
      <c r="ASE3" s="144"/>
      <c r="ASF3" s="144"/>
      <c r="ASG3" s="144"/>
      <c r="ASH3" s="144"/>
      <c r="ASI3" s="144"/>
      <c r="ASJ3" s="144"/>
      <c r="ASK3" s="144"/>
      <c r="ASL3" s="144"/>
      <c r="ASM3" s="144"/>
      <c r="ASN3" s="144"/>
      <c r="ASO3" s="144"/>
      <c r="ASP3" s="144"/>
      <c r="ASQ3" s="144"/>
      <c r="ASR3" s="144"/>
      <c r="ASS3" s="144"/>
      <c r="AST3" s="144"/>
      <c r="ASU3" s="144"/>
      <c r="ASV3" s="144"/>
      <c r="ASW3" s="144"/>
      <c r="ASX3" s="144"/>
      <c r="ASY3" s="144"/>
      <c r="ASZ3" s="144"/>
      <c r="ATA3" s="144"/>
      <c r="ATB3" s="144"/>
      <c r="ATC3" s="144"/>
      <c r="ATD3" s="144"/>
      <c r="ATE3" s="144"/>
      <c r="ATF3" s="144"/>
      <c r="ATG3" s="144"/>
      <c r="ATH3" s="144"/>
      <c r="ATI3" s="144"/>
      <c r="ATJ3" s="144"/>
      <c r="ATK3" s="144"/>
      <c r="ATL3" s="144"/>
      <c r="ATM3" s="144"/>
      <c r="ATN3" s="144"/>
      <c r="ATP3" s="144" t="s">
        <v>760</v>
      </c>
      <c r="ATQ3" s="144"/>
      <c r="ATR3" s="144"/>
      <c r="ATS3" s="144"/>
      <c r="ATT3" s="144"/>
      <c r="ATU3" s="144"/>
      <c r="ATV3" s="144"/>
      <c r="ATW3" s="144"/>
      <c r="ATX3" s="144"/>
      <c r="ATY3" s="144"/>
      <c r="ATZ3" s="144"/>
      <c r="AUA3" s="144"/>
      <c r="AUB3" s="144"/>
      <c r="AUC3" s="144"/>
      <c r="AUD3" s="144"/>
      <c r="AUE3" s="144"/>
      <c r="AUF3" s="144"/>
      <c r="AUG3" s="144"/>
      <c r="AUH3" s="144"/>
      <c r="AUI3" s="144"/>
      <c r="AUJ3" s="144"/>
      <c r="AUK3" s="144"/>
      <c r="AUL3" s="144"/>
      <c r="AUM3" s="144"/>
      <c r="AUN3" s="144"/>
      <c r="AUO3" s="144"/>
      <c r="AUP3" s="144"/>
      <c r="AUQ3" s="144"/>
      <c r="AUR3" s="144"/>
      <c r="AUS3" s="144"/>
      <c r="AUT3" s="144"/>
      <c r="AUU3" s="144"/>
      <c r="AUV3" s="144"/>
      <c r="AUW3" s="144"/>
      <c r="AUX3" s="144"/>
      <c r="AUY3" s="144"/>
      <c r="AUZ3" s="144"/>
      <c r="AVA3" s="144"/>
      <c r="AVB3" s="144"/>
      <c r="AVC3" s="144"/>
      <c r="AVD3" s="144"/>
      <c r="AVE3" s="144"/>
      <c r="AVF3" s="144"/>
      <c r="AVG3" s="144"/>
      <c r="AVH3" s="144"/>
      <c r="AVI3" s="144"/>
      <c r="AVJ3" s="144"/>
      <c r="AVK3" s="144"/>
      <c r="AVL3" s="144"/>
      <c r="AVM3" s="144"/>
      <c r="AVN3" s="144"/>
      <c r="AVO3" s="144"/>
      <c r="AVP3" s="144"/>
      <c r="AVQ3" s="144"/>
      <c r="AVR3" s="144"/>
      <c r="AVS3" s="144"/>
      <c r="AVT3" s="144"/>
      <c r="AVU3" s="144"/>
      <c r="AVV3" s="144"/>
      <c r="AVW3" s="144"/>
      <c r="AVX3" s="144"/>
      <c r="AVY3" s="144"/>
      <c r="AVZ3" s="144"/>
      <c r="AWA3" s="144"/>
      <c r="AWB3" s="144"/>
      <c r="AWC3" s="144"/>
      <c r="AWD3" s="144"/>
      <c r="AWE3" s="144"/>
      <c r="AWF3" s="144"/>
      <c r="AWG3" s="144"/>
      <c r="AWH3" s="144"/>
      <c r="AWI3" s="144"/>
      <c r="AWJ3" s="144"/>
      <c r="AWK3" s="144"/>
      <c r="AWL3" s="144"/>
      <c r="AWM3" s="144"/>
      <c r="AWN3" s="144"/>
      <c r="AWO3" s="144"/>
      <c r="AWP3" s="144"/>
      <c r="AWQ3" s="144"/>
      <c r="AWR3" s="144"/>
      <c r="AWS3" s="144"/>
      <c r="AWT3" s="144"/>
      <c r="AWU3" s="144"/>
      <c r="AWV3" s="144"/>
      <c r="AWW3" s="144"/>
      <c r="AWX3" s="144"/>
      <c r="AWY3" s="144"/>
      <c r="AWZ3" s="144"/>
      <c r="AXA3" s="144"/>
      <c r="AXB3" s="144"/>
      <c r="AXC3" s="144"/>
      <c r="AXD3" s="144"/>
      <c r="AXF3" s="144" t="s">
        <v>261</v>
      </c>
      <c r="AXG3" s="144"/>
      <c r="AXH3" s="144"/>
      <c r="AXI3" s="144"/>
      <c r="AXJ3" s="144"/>
      <c r="AXK3" s="144"/>
      <c r="AXL3" s="144"/>
      <c r="AXM3" s="144"/>
      <c r="AXN3" s="144"/>
      <c r="AXO3" s="144"/>
      <c r="AXP3" s="144"/>
      <c r="AXQ3" s="144"/>
      <c r="AXR3" s="144"/>
      <c r="AXS3" s="144"/>
      <c r="AXT3" s="144"/>
      <c r="AXU3" s="144"/>
      <c r="AXV3" s="144"/>
      <c r="AXW3" s="144"/>
      <c r="AXX3" s="144"/>
      <c r="AXY3" s="144"/>
      <c r="AXZ3" s="144"/>
      <c r="AYA3" s="144"/>
      <c r="AYB3" s="144"/>
      <c r="AYC3" s="144"/>
      <c r="AYD3" s="144"/>
      <c r="AYE3" s="144"/>
      <c r="AYF3" s="144"/>
      <c r="AYG3" s="144"/>
      <c r="AYH3" s="144"/>
      <c r="AYI3" s="144"/>
      <c r="AYJ3" s="144"/>
      <c r="AYK3" s="144"/>
      <c r="AYL3" s="144"/>
      <c r="AYM3" s="144"/>
      <c r="AYN3" s="144"/>
      <c r="AYO3" s="144"/>
      <c r="AYP3" s="144"/>
      <c r="AYQ3" s="144"/>
      <c r="AYR3" s="144"/>
      <c r="AYS3" s="144"/>
      <c r="AYT3" s="144"/>
      <c r="AYU3" s="144"/>
      <c r="AYV3" s="144"/>
      <c r="AYW3" s="144"/>
      <c r="AYX3" s="144"/>
      <c r="AYY3" s="144"/>
      <c r="AYZ3" s="144"/>
      <c r="AZA3" s="144"/>
      <c r="AZB3" s="144"/>
      <c r="AZC3" s="144"/>
      <c r="AZD3" s="144"/>
      <c r="AZE3" s="144"/>
      <c r="AZF3" s="144"/>
      <c r="AZG3" s="144"/>
      <c r="AZH3" s="144"/>
      <c r="AZI3" s="144"/>
      <c r="AZJ3" s="144"/>
      <c r="AZK3" s="144"/>
      <c r="AZL3" s="144"/>
      <c r="AZM3" s="144"/>
      <c r="AZN3" s="144"/>
      <c r="AZO3" s="144"/>
      <c r="AZP3" s="144"/>
      <c r="AZQ3" s="144"/>
      <c r="AZR3" s="144"/>
      <c r="AZS3" s="144"/>
      <c r="AZT3" s="144"/>
      <c r="AZU3" s="144"/>
      <c r="AZV3" s="144"/>
      <c r="AZW3" s="144"/>
      <c r="AZX3" s="144"/>
      <c r="AZY3" s="144"/>
      <c r="AZZ3" s="144"/>
      <c r="BAA3" s="144"/>
      <c r="BAB3" s="144"/>
      <c r="BAC3" s="144"/>
      <c r="BAD3" s="144"/>
      <c r="BAE3" s="144"/>
      <c r="BAF3" s="144"/>
      <c r="BAG3" s="144"/>
      <c r="BAH3" s="144"/>
      <c r="BAI3" s="144"/>
      <c r="BAJ3" s="144"/>
      <c r="BAK3" s="144"/>
      <c r="BAL3" s="144"/>
      <c r="BAM3" s="144"/>
      <c r="BAN3" s="144"/>
      <c r="BAO3" s="144"/>
      <c r="BAP3" s="144"/>
      <c r="BAQ3" s="144"/>
      <c r="BAR3" s="144"/>
      <c r="BAS3" s="144"/>
      <c r="BAT3" s="144"/>
      <c r="BAV3" s="144" t="s">
        <v>285</v>
      </c>
      <c r="BAW3" s="144"/>
      <c r="BAX3" s="144"/>
      <c r="BAY3" s="144"/>
      <c r="BAZ3" s="144"/>
      <c r="BBA3" s="144"/>
      <c r="BBB3" s="144"/>
      <c r="BBC3" s="144"/>
      <c r="BBD3" s="144"/>
      <c r="BBE3" s="144"/>
      <c r="BBF3" s="144"/>
      <c r="BBG3" s="144"/>
      <c r="BBH3" s="144"/>
      <c r="BBI3" s="144"/>
      <c r="BBJ3" s="144"/>
      <c r="BBK3" s="144"/>
      <c r="BBL3" s="144"/>
      <c r="BBM3" s="144"/>
      <c r="BBN3" s="144"/>
      <c r="BBO3" s="144"/>
      <c r="BBP3" s="144"/>
      <c r="BBQ3" s="144"/>
      <c r="BBR3" s="144"/>
      <c r="BBS3" s="144"/>
      <c r="BBT3" s="144"/>
      <c r="BBU3" s="144"/>
      <c r="BBV3" s="144"/>
      <c r="BBW3" s="144"/>
      <c r="BBX3" s="144"/>
      <c r="BBY3" s="144"/>
      <c r="BBZ3" s="144"/>
      <c r="BCA3" s="144"/>
      <c r="BCB3" s="144"/>
      <c r="BCC3" s="144"/>
      <c r="BCD3" s="144"/>
      <c r="BCE3" s="144"/>
      <c r="BCF3" s="144"/>
      <c r="BCG3" s="144"/>
      <c r="BCH3" s="144"/>
      <c r="BCI3" s="144"/>
      <c r="BCJ3" s="144"/>
      <c r="BCK3" s="144"/>
      <c r="BCL3" s="144"/>
      <c r="BCM3" s="144"/>
      <c r="BCN3" s="144"/>
      <c r="BCO3" s="144"/>
      <c r="BCP3" s="144"/>
      <c r="BCQ3" s="144"/>
      <c r="BCR3" s="144"/>
      <c r="BCS3" s="144"/>
      <c r="BCT3" s="144"/>
      <c r="BCU3" s="144"/>
      <c r="BCV3" s="144"/>
      <c r="BCW3" s="144"/>
      <c r="BCX3" s="144"/>
      <c r="BCY3" s="144"/>
      <c r="BCZ3" s="144"/>
      <c r="BDA3" s="144"/>
      <c r="BDB3" s="144"/>
      <c r="BDC3" s="144"/>
      <c r="BDD3" s="144"/>
      <c r="BDE3" s="144"/>
      <c r="BDF3" s="144"/>
      <c r="BDG3" s="144"/>
      <c r="BDH3" s="144"/>
      <c r="BDI3" s="144"/>
      <c r="BDJ3" s="144"/>
      <c r="BDK3" s="144"/>
      <c r="BDL3" s="144"/>
      <c r="BDM3" s="144"/>
      <c r="BDN3" s="144"/>
      <c r="BDO3" s="144"/>
      <c r="BDP3" s="144"/>
      <c r="BDQ3" s="144"/>
      <c r="BDR3" s="144"/>
      <c r="BDS3" s="144"/>
      <c r="BDT3" s="144"/>
      <c r="BDU3" s="144"/>
      <c r="BDV3" s="144"/>
      <c r="BDW3" s="144"/>
      <c r="BDX3" s="144"/>
      <c r="BDY3" s="144"/>
      <c r="BDZ3" s="144"/>
      <c r="BEA3" s="144"/>
      <c r="BEB3" s="144"/>
      <c r="BEC3" s="144"/>
      <c r="BED3" s="144"/>
      <c r="BEE3" s="144"/>
      <c r="BEF3" s="144"/>
      <c r="BEG3" s="144"/>
      <c r="BEH3" s="144"/>
      <c r="BEI3" s="144"/>
      <c r="BEJ3" s="144"/>
      <c r="BEL3" s="144" t="s">
        <v>306</v>
      </c>
      <c r="BEM3" s="144"/>
      <c r="BEN3" s="144"/>
      <c r="BEO3" s="144"/>
      <c r="BEP3" s="144"/>
      <c r="BEQ3" s="144"/>
      <c r="BER3" s="144"/>
      <c r="BES3" s="144"/>
      <c r="BET3" s="144"/>
      <c r="BEU3" s="144"/>
      <c r="BEV3" s="144"/>
      <c r="BEW3" s="144"/>
      <c r="BEX3" s="144"/>
      <c r="BEY3" s="144"/>
      <c r="BEZ3" s="144"/>
      <c r="BFA3" s="144"/>
      <c r="BFB3" s="144"/>
      <c r="BFC3" s="144"/>
      <c r="BFD3" s="144"/>
      <c r="BFE3" s="144"/>
      <c r="BFF3" s="144"/>
      <c r="BFG3" s="144"/>
      <c r="BFH3" s="144"/>
      <c r="BFI3" s="144"/>
      <c r="BFJ3" s="144"/>
      <c r="BFK3" s="144"/>
      <c r="BFL3" s="144"/>
      <c r="BFM3" s="144"/>
      <c r="BFN3" s="144"/>
      <c r="BFO3" s="144"/>
      <c r="BFP3" s="144"/>
      <c r="BFQ3" s="144"/>
      <c r="BFR3" s="144"/>
      <c r="BFS3" s="144"/>
      <c r="BFT3" s="144"/>
      <c r="BFU3" s="144"/>
      <c r="BFV3" s="144"/>
      <c r="BFW3" s="144"/>
      <c r="BFX3" s="144"/>
      <c r="BFY3" s="144"/>
      <c r="BFZ3" s="144"/>
      <c r="BGA3" s="144"/>
      <c r="BGB3" s="144"/>
      <c r="BGC3" s="144"/>
      <c r="BGD3" s="144"/>
      <c r="BGE3" s="144"/>
      <c r="BGF3" s="144"/>
      <c r="BGG3" s="144"/>
      <c r="BGH3" s="144"/>
      <c r="BGI3" s="144"/>
      <c r="BGJ3" s="144"/>
      <c r="BGK3" s="144"/>
      <c r="BGL3" s="144"/>
      <c r="BGM3" s="144"/>
      <c r="BGN3" s="144"/>
      <c r="BGO3" s="144"/>
      <c r="BGP3" s="144"/>
      <c r="BGQ3" s="144"/>
      <c r="BGR3" s="144"/>
      <c r="BGS3" s="144"/>
      <c r="BGT3" s="144"/>
      <c r="BGU3" s="144"/>
      <c r="BGV3" s="144"/>
      <c r="BGW3" s="144"/>
      <c r="BGX3" s="144"/>
      <c r="BGY3" s="144"/>
      <c r="BGZ3" s="144"/>
      <c r="BHA3" s="144"/>
      <c r="BHB3" s="144"/>
      <c r="BHC3" s="144"/>
      <c r="BHD3" s="144"/>
      <c r="BHE3" s="144"/>
      <c r="BHF3" s="144"/>
      <c r="BHG3" s="144"/>
      <c r="BHH3" s="144"/>
      <c r="BHI3" s="144"/>
      <c r="BHJ3" s="144"/>
      <c r="BHK3" s="144"/>
      <c r="BHL3" s="144"/>
      <c r="BHM3" s="144"/>
      <c r="BHN3" s="144"/>
      <c r="BHO3" s="144"/>
      <c r="BHP3" s="144"/>
      <c r="BHQ3" s="144"/>
      <c r="BHR3" s="144"/>
      <c r="BHS3" s="144"/>
      <c r="BHT3" s="144"/>
      <c r="BHU3" s="144"/>
      <c r="BHV3" s="144"/>
      <c r="BHW3" s="144"/>
      <c r="BHX3" s="144"/>
      <c r="BHY3" s="144"/>
      <c r="BHZ3" s="144"/>
      <c r="BIB3" s="144" t="s">
        <v>312</v>
      </c>
      <c r="BIC3" s="144"/>
      <c r="BID3" s="144"/>
      <c r="BIE3" s="144"/>
      <c r="BIF3" s="144"/>
      <c r="BIG3" s="144"/>
      <c r="BIH3" s="144"/>
      <c r="BII3" s="144"/>
      <c r="BIJ3" s="144"/>
      <c r="BIK3" s="144"/>
      <c r="BIL3" s="144"/>
      <c r="BIM3" s="144"/>
      <c r="BIN3" s="144"/>
      <c r="BIO3" s="144"/>
      <c r="BIP3" s="144"/>
      <c r="BIQ3" s="144"/>
      <c r="BIR3" s="144"/>
      <c r="BIS3" s="144"/>
      <c r="BIT3" s="144"/>
      <c r="BIU3" s="144"/>
      <c r="BIV3" s="144"/>
      <c r="BIW3" s="144"/>
      <c r="BIX3" s="144"/>
      <c r="BIY3" s="144"/>
      <c r="BIZ3" s="144"/>
      <c r="BJA3" s="144"/>
      <c r="BJB3" s="144"/>
      <c r="BJC3" s="144"/>
      <c r="BJD3" s="144"/>
      <c r="BJE3" s="144"/>
      <c r="BJF3" s="144"/>
      <c r="BJG3" s="144"/>
      <c r="BJH3" s="144"/>
      <c r="BJI3" s="144"/>
      <c r="BJJ3" s="144"/>
      <c r="BJK3" s="144"/>
      <c r="BJL3" s="144"/>
      <c r="BJM3" s="144"/>
      <c r="BJN3" s="144"/>
      <c r="BJO3" s="144"/>
      <c r="BJP3" s="144"/>
      <c r="BJQ3" s="144"/>
      <c r="BJR3" s="144"/>
      <c r="BJS3" s="144"/>
      <c r="BJT3" s="144"/>
      <c r="BJU3" s="144"/>
      <c r="BJV3" s="144"/>
      <c r="BJW3" s="144"/>
      <c r="BJX3" s="144"/>
      <c r="BJY3" s="144"/>
      <c r="BJZ3" s="144"/>
      <c r="BKA3" s="144"/>
      <c r="BKB3" s="144"/>
      <c r="BKC3" s="144"/>
      <c r="BKD3" s="144"/>
      <c r="BKE3" s="144"/>
      <c r="BKF3" s="144"/>
      <c r="BKG3" s="144"/>
      <c r="BKH3" s="144"/>
      <c r="BKI3" s="144"/>
      <c r="BKJ3" s="144"/>
      <c r="BKK3" s="144"/>
      <c r="BKL3" s="144"/>
      <c r="BKM3" s="144"/>
      <c r="BKN3" s="144"/>
      <c r="BKO3" s="144"/>
      <c r="BKP3" s="144"/>
      <c r="BKQ3" s="144"/>
      <c r="BKR3" s="144"/>
      <c r="BKS3" s="144"/>
      <c r="BKT3" s="144"/>
      <c r="BKU3" s="144"/>
      <c r="BKV3" s="144"/>
      <c r="BKW3" s="144"/>
      <c r="BKX3" s="144"/>
      <c r="BKY3" s="144"/>
      <c r="BKZ3" s="144"/>
      <c r="BLA3" s="144"/>
      <c r="BLB3" s="144"/>
      <c r="BLC3" s="144"/>
      <c r="BLD3" s="144"/>
      <c r="BLE3" s="144"/>
      <c r="BLF3" s="144"/>
      <c r="BLG3" s="144"/>
      <c r="BLH3" s="144"/>
      <c r="BLI3" s="144"/>
      <c r="BLJ3" s="144"/>
      <c r="BLK3" s="144"/>
      <c r="BLL3" s="144"/>
      <c r="BLM3" s="144"/>
      <c r="BLN3" s="144"/>
      <c r="BLO3" s="144"/>
      <c r="BLP3" s="144"/>
      <c r="BLR3" s="144" t="s">
        <v>324</v>
      </c>
      <c r="BLS3" s="144"/>
      <c r="BLT3" s="144"/>
      <c r="BLU3" s="144"/>
      <c r="BLV3" s="144"/>
      <c r="BLW3" s="144"/>
      <c r="BLX3" s="144"/>
      <c r="BLY3" s="144"/>
      <c r="BLZ3" s="144"/>
      <c r="BMA3" s="144"/>
      <c r="BMB3" s="144"/>
      <c r="BMC3" s="144"/>
      <c r="BMD3" s="144"/>
      <c r="BME3" s="144"/>
      <c r="BMF3" s="144"/>
      <c r="BMG3" s="144"/>
      <c r="BMH3" s="144"/>
      <c r="BMI3" s="144"/>
      <c r="BMJ3" s="144"/>
      <c r="BMK3" s="144"/>
      <c r="BML3" s="144"/>
      <c r="BMM3" s="144"/>
      <c r="BMN3" s="144"/>
      <c r="BMO3" s="144"/>
      <c r="BMP3" s="144"/>
      <c r="BMQ3" s="144"/>
      <c r="BMR3" s="144"/>
      <c r="BMS3" s="144"/>
      <c r="BMT3" s="144"/>
      <c r="BMU3" s="144"/>
      <c r="BMV3" s="144"/>
      <c r="BMW3" s="144"/>
      <c r="BMX3" s="144"/>
      <c r="BMY3" s="144"/>
      <c r="BMZ3" s="144"/>
      <c r="BNA3" s="144"/>
      <c r="BNB3" s="144"/>
      <c r="BNC3" s="144"/>
      <c r="BND3" s="144"/>
      <c r="BNE3" s="144"/>
      <c r="BNF3" s="144"/>
      <c r="BNG3" s="144"/>
      <c r="BNH3" s="144"/>
      <c r="BNI3" s="144"/>
      <c r="BNJ3" s="144"/>
      <c r="BNK3" s="144"/>
      <c r="BNL3" s="144"/>
      <c r="BNM3" s="144"/>
      <c r="BNN3" s="144"/>
      <c r="BNO3" s="144"/>
      <c r="BNP3" s="144"/>
      <c r="BNQ3" s="144"/>
      <c r="BNR3" s="144"/>
      <c r="BNS3" s="144"/>
      <c r="BNT3" s="144"/>
      <c r="BNU3" s="144"/>
      <c r="BNV3" s="144"/>
      <c r="BNW3" s="144"/>
      <c r="BNX3" s="144"/>
      <c r="BNY3" s="144"/>
      <c r="BNZ3" s="144"/>
      <c r="BOA3" s="144"/>
      <c r="BOB3" s="144"/>
      <c r="BOC3" s="144"/>
      <c r="BOD3" s="144"/>
      <c r="BOE3" s="144"/>
      <c r="BOF3" s="144"/>
      <c r="BOG3" s="144"/>
      <c r="BOH3" s="144"/>
      <c r="BOI3" s="144"/>
      <c r="BOJ3" s="144"/>
      <c r="BOK3" s="144"/>
      <c r="BOL3" s="144"/>
      <c r="BOM3" s="144"/>
      <c r="BON3" s="144"/>
      <c r="BOO3" s="144"/>
      <c r="BOP3" s="144"/>
      <c r="BOQ3" s="144"/>
      <c r="BOR3" s="144"/>
      <c r="BOS3" s="144"/>
      <c r="BOT3" s="144"/>
      <c r="BOU3" s="144"/>
      <c r="BOV3" s="144"/>
      <c r="BOW3" s="144"/>
      <c r="BOX3" s="144"/>
      <c r="BOY3" s="144"/>
      <c r="BOZ3" s="144"/>
      <c r="BPA3" s="144"/>
      <c r="BPB3" s="144"/>
      <c r="BPC3" s="144"/>
      <c r="BPD3" s="144"/>
      <c r="BPE3" s="144"/>
      <c r="BPF3" s="144"/>
      <c r="BPH3" s="144" t="s">
        <v>367</v>
      </c>
      <c r="BPI3" s="144"/>
      <c r="BPJ3" s="144"/>
      <c r="BPK3" s="144"/>
      <c r="BPL3" s="144"/>
      <c r="BPM3" s="144"/>
      <c r="BPN3" s="144"/>
      <c r="BPO3" s="144"/>
      <c r="BPP3" s="144"/>
      <c r="BPQ3" s="144"/>
      <c r="BPR3" s="144"/>
      <c r="BPS3" s="144"/>
      <c r="BPT3" s="144"/>
      <c r="BPU3" s="144"/>
      <c r="BPV3" s="144"/>
      <c r="BPW3" s="144"/>
      <c r="BPX3" s="144"/>
      <c r="BPY3" s="144"/>
      <c r="BPZ3" s="144"/>
      <c r="BQA3" s="144"/>
      <c r="BQB3" s="144"/>
      <c r="BQC3" s="144"/>
      <c r="BQD3" s="144"/>
      <c r="BQE3" s="144"/>
      <c r="BQF3" s="144"/>
      <c r="BQG3" s="144"/>
      <c r="BQH3" s="144"/>
      <c r="BQI3" s="144"/>
      <c r="BQJ3" s="144"/>
      <c r="BQK3" s="144"/>
      <c r="BQL3" s="144"/>
      <c r="BQM3" s="144"/>
      <c r="BQN3" s="144"/>
      <c r="BQO3" s="144"/>
      <c r="BQP3" s="144"/>
      <c r="BQQ3" s="144"/>
      <c r="BQR3" s="144"/>
      <c r="BQS3" s="144"/>
      <c r="BQT3" s="144"/>
      <c r="BQU3" s="144"/>
      <c r="BQV3" s="144"/>
      <c r="BQW3" s="144"/>
      <c r="BQX3" s="144"/>
      <c r="BQY3" s="144"/>
      <c r="BQZ3" s="144"/>
      <c r="BRA3" s="144"/>
      <c r="BRB3" s="144"/>
      <c r="BRC3" s="144"/>
      <c r="BRD3" s="144"/>
      <c r="BRE3" s="144"/>
      <c r="BRF3" s="144"/>
      <c r="BRG3" s="144"/>
      <c r="BRH3" s="144"/>
      <c r="BRI3" s="144"/>
      <c r="BRJ3" s="144"/>
      <c r="BRK3" s="144"/>
      <c r="BRL3" s="144"/>
      <c r="BRM3" s="144"/>
      <c r="BRN3" s="144"/>
      <c r="BRO3" s="144"/>
      <c r="BRP3" s="144"/>
      <c r="BRQ3" s="144"/>
      <c r="BRR3" s="144"/>
      <c r="BRS3" s="144"/>
      <c r="BRT3" s="144"/>
      <c r="BRU3" s="144"/>
      <c r="BRV3" s="144"/>
      <c r="BRW3" s="144"/>
      <c r="BRX3" s="144"/>
      <c r="BRY3" s="144"/>
      <c r="BRZ3" s="144"/>
      <c r="BSA3" s="144"/>
      <c r="BSB3" s="144"/>
      <c r="BSC3" s="144"/>
      <c r="BSD3" s="144"/>
      <c r="BSE3" s="144"/>
      <c r="BSF3" s="144"/>
      <c r="BSG3" s="144"/>
      <c r="BSH3" s="144"/>
      <c r="BSI3" s="144"/>
      <c r="BSJ3" s="144"/>
      <c r="BSK3" s="144"/>
      <c r="BSL3" s="144"/>
      <c r="BSM3" s="144"/>
      <c r="BSN3" s="144"/>
      <c r="BSO3" s="144"/>
      <c r="BSP3" s="144"/>
      <c r="BSQ3" s="144"/>
      <c r="BSR3" s="144"/>
      <c r="BSS3" s="144"/>
      <c r="BST3" s="144"/>
      <c r="BSU3" s="144"/>
      <c r="BSV3" s="144"/>
      <c r="BSX3" s="144" t="s">
        <v>367</v>
      </c>
      <c r="BSY3" s="144"/>
      <c r="BSZ3" s="144"/>
      <c r="BTA3" s="144"/>
      <c r="BTB3" s="144"/>
      <c r="BTC3" s="144"/>
      <c r="BTD3" s="144"/>
      <c r="BTE3" s="144"/>
      <c r="BTF3" s="144"/>
      <c r="BTG3" s="144"/>
      <c r="BTH3" s="144"/>
      <c r="BTI3" s="144"/>
      <c r="BTJ3" s="144"/>
      <c r="BTK3" s="144"/>
      <c r="BTL3" s="144"/>
      <c r="BTM3" s="144"/>
      <c r="BTN3" s="144"/>
      <c r="BTO3" s="144"/>
      <c r="BTP3" s="144"/>
      <c r="BTQ3" s="144"/>
      <c r="BTR3" s="144"/>
      <c r="BTS3" s="144"/>
      <c r="BTT3" s="144"/>
      <c r="BTU3" s="144"/>
      <c r="BTV3" s="144"/>
      <c r="BTW3" s="144"/>
      <c r="BTX3" s="144"/>
      <c r="BTY3" s="144"/>
      <c r="BTZ3" s="144"/>
      <c r="BUA3" s="144"/>
      <c r="BUB3" s="144"/>
      <c r="BUC3" s="144"/>
      <c r="BUD3" s="144"/>
      <c r="BUE3" s="144"/>
      <c r="BUF3" s="144"/>
      <c r="BUG3" s="144"/>
      <c r="BUH3" s="144"/>
      <c r="BUI3" s="144"/>
      <c r="BUJ3" s="144"/>
      <c r="BUK3" s="144"/>
      <c r="BUL3" s="144"/>
      <c r="BUM3" s="144"/>
      <c r="BUN3" s="144"/>
      <c r="BUO3" s="144"/>
      <c r="BUP3" s="144"/>
      <c r="BUQ3" s="144"/>
      <c r="BUR3" s="144"/>
      <c r="BUS3" s="144"/>
      <c r="BUT3" s="144"/>
      <c r="BUU3" s="144"/>
      <c r="BUV3" s="144"/>
      <c r="BUW3" s="144"/>
      <c r="BUX3" s="144"/>
      <c r="BUY3" s="144"/>
      <c r="BUZ3" s="144"/>
      <c r="BVA3" s="144"/>
      <c r="BVB3" s="144"/>
      <c r="BVC3" s="144"/>
      <c r="BVD3" s="144"/>
      <c r="BVE3" s="144"/>
      <c r="BVF3" s="144"/>
      <c r="BVG3" s="144"/>
      <c r="BVH3" s="144"/>
      <c r="BVI3" s="144"/>
      <c r="BVJ3" s="144"/>
      <c r="BVK3" s="144"/>
      <c r="BVL3" s="144"/>
      <c r="BVM3" s="144"/>
      <c r="BVN3" s="144"/>
      <c r="BVO3" s="144"/>
      <c r="BVP3" s="144"/>
      <c r="BVQ3" s="144"/>
      <c r="BVR3" s="144"/>
      <c r="BVS3" s="144"/>
      <c r="BVT3" s="144"/>
      <c r="BVU3" s="144"/>
      <c r="BVV3" s="144"/>
      <c r="BVW3" s="144"/>
      <c r="BVX3" s="144"/>
      <c r="BVY3" s="144"/>
      <c r="BVZ3" s="144"/>
      <c r="BWA3" s="144"/>
      <c r="BWB3" s="144"/>
      <c r="BWC3" s="144"/>
      <c r="BWD3" s="144"/>
      <c r="BWE3" s="144"/>
      <c r="BWF3" s="144"/>
      <c r="BWG3" s="144"/>
      <c r="BWH3" s="144"/>
      <c r="BWI3" s="144"/>
      <c r="BWJ3" s="144"/>
      <c r="BWK3" s="144"/>
      <c r="BWL3" s="144"/>
      <c r="BWN3" s="144" t="s">
        <v>375</v>
      </c>
      <c r="BWO3" s="144"/>
      <c r="BWP3" s="144"/>
      <c r="BWQ3" s="144"/>
      <c r="BWR3" s="144"/>
      <c r="BWS3" s="144"/>
      <c r="BWT3" s="144"/>
      <c r="BWU3" s="144"/>
      <c r="BWV3" s="144"/>
      <c r="BWW3" s="144"/>
      <c r="BWX3" s="144"/>
      <c r="BWY3" s="144"/>
      <c r="BWZ3" s="144"/>
      <c r="BXA3" s="144"/>
      <c r="BXB3" s="144"/>
      <c r="BXC3" s="144"/>
      <c r="BXD3" s="144"/>
      <c r="BXE3" s="144"/>
      <c r="BXF3" s="144"/>
      <c r="BXG3" s="144"/>
      <c r="BXH3" s="144"/>
      <c r="BXI3" s="144"/>
      <c r="BXJ3" s="144"/>
      <c r="BXK3" s="144"/>
      <c r="BXL3" s="144"/>
      <c r="BXM3" s="144"/>
      <c r="BXN3" s="144"/>
      <c r="BXO3" s="144"/>
      <c r="BXP3" s="144"/>
      <c r="BXQ3" s="144"/>
      <c r="BXR3" s="144"/>
      <c r="BXS3" s="144"/>
      <c r="BXT3" s="144"/>
      <c r="BXU3" s="144"/>
      <c r="BXV3" s="144"/>
      <c r="BXW3" s="144"/>
      <c r="BXX3" s="144"/>
      <c r="BXY3" s="144"/>
      <c r="BXZ3" s="144"/>
      <c r="BYA3" s="144"/>
      <c r="BYB3" s="144"/>
      <c r="BYC3" s="144"/>
      <c r="BYD3" s="144"/>
      <c r="BYE3" s="144"/>
      <c r="BYF3" s="144"/>
      <c r="BYG3" s="144"/>
      <c r="BYH3" s="144"/>
      <c r="BYI3" s="144"/>
      <c r="BYJ3" s="144"/>
      <c r="BYK3" s="144"/>
      <c r="BYL3" s="144"/>
      <c r="BYM3" s="144"/>
      <c r="BYN3" s="144"/>
      <c r="BYO3" s="144"/>
      <c r="BYP3" s="144"/>
      <c r="BYQ3" s="144"/>
      <c r="BYR3" s="144"/>
      <c r="BYS3" s="144"/>
      <c r="BYT3" s="144"/>
      <c r="BYU3" s="144"/>
      <c r="BYV3" s="144"/>
      <c r="BYW3" s="144"/>
      <c r="BYX3" s="144"/>
      <c r="BYY3" s="144"/>
      <c r="BYZ3" s="144"/>
      <c r="BZA3" s="144"/>
      <c r="BZB3" s="144"/>
      <c r="BZC3" s="144"/>
      <c r="BZD3" s="144"/>
      <c r="BZE3" s="144"/>
      <c r="BZF3" s="144"/>
      <c r="BZG3" s="144"/>
      <c r="BZH3" s="144"/>
      <c r="BZI3" s="144"/>
      <c r="BZJ3" s="144"/>
      <c r="BZK3" s="144"/>
      <c r="BZL3" s="144"/>
      <c r="BZM3" s="144"/>
      <c r="BZN3" s="144"/>
      <c r="BZO3" s="144"/>
      <c r="BZP3" s="144"/>
      <c r="BZQ3" s="144"/>
      <c r="BZR3" s="144"/>
      <c r="BZS3" s="144"/>
      <c r="BZT3" s="144"/>
      <c r="BZU3" s="144"/>
      <c r="BZV3" s="144"/>
      <c r="BZW3" s="144"/>
      <c r="BZX3" s="144"/>
      <c r="BZY3" s="144"/>
      <c r="BZZ3" s="144"/>
      <c r="CAA3" s="144"/>
      <c r="CAB3" s="144"/>
      <c r="CAD3" s="144" t="s">
        <v>381</v>
      </c>
      <c r="CAE3" s="144"/>
      <c r="CAF3" s="144"/>
      <c r="CAG3" s="144"/>
      <c r="CAH3" s="144"/>
      <c r="CAI3" s="144"/>
      <c r="CAJ3" s="144"/>
      <c r="CAK3" s="144"/>
      <c r="CAL3" s="144"/>
      <c r="CAM3" s="144"/>
      <c r="CAN3" s="144"/>
      <c r="CAO3" s="144"/>
      <c r="CAP3" s="144"/>
      <c r="CAQ3" s="144"/>
      <c r="CAR3" s="144"/>
      <c r="CAS3" s="144"/>
      <c r="CAT3" s="144"/>
      <c r="CAU3" s="144"/>
      <c r="CAV3" s="144"/>
      <c r="CAW3" s="144"/>
      <c r="CAX3" s="144"/>
      <c r="CAY3" s="144"/>
      <c r="CAZ3" s="144"/>
      <c r="CBA3" s="144"/>
      <c r="CBB3" s="144"/>
      <c r="CBC3" s="144"/>
      <c r="CBD3" s="144"/>
      <c r="CBE3" s="144"/>
      <c r="CBF3" s="144"/>
      <c r="CBG3" s="144"/>
      <c r="CBH3" s="144"/>
      <c r="CBI3" s="144"/>
      <c r="CBJ3" s="144"/>
      <c r="CBK3" s="144"/>
      <c r="CBL3" s="144"/>
      <c r="CBM3" s="144"/>
      <c r="CBN3" s="144"/>
      <c r="CBO3" s="144"/>
      <c r="CBP3" s="144"/>
      <c r="CBQ3" s="144"/>
      <c r="CBR3" s="144"/>
      <c r="CBS3" s="144"/>
      <c r="CBT3" s="144"/>
      <c r="CBU3" s="144"/>
      <c r="CBV3" s="144"/>
      <c r="CBW3" s="144"/>
      <c r="CBX3" s="144"/>
      <c r="CBY3" s="144"/>
      <c r="CBZ3" s="144"/>
      <c r="CCA3" s="144"/>
      <c r="CCB3" s="144"/>
      <c r="CCC3" s="144"/>
      <c r="CCD3" s="144"/>
      <c r="CCE3" s="144"/>
      <c r="CCF3" s="144"/>
      <c r="CCG3" s="144"/>
      <c r="CCH3" s="144"/>
      <c r="CCI3" s="144"/>
      <c r="CCJ3" s="144"/>
      <c r="CCK3" s="144"/>
      <c r="CCL3" s="144"/>
      <c r="CCM3" s="144"/>
      <c r="CCN3" s="144"/>
      <c r="CCO3" s="144"/>
      <c r="CCP3" s="144"/>
      <c r="CCQ3" s="144"/>
      <c r="CCR3" s="144"/>
      <c r="CCS3" s="144"/>
      <c r="CCT3" s="144"/>
      <c r="CCU3" s="144"/>
      <c r="CCV3" s="144"/>
      <c r="CCW3" s="144"/>
      <c r="CCX3" s="144"/>
      <c r="CCY3" s="144"/>
      <c r="CCZ3" s="144"/>
      <c r="CDA3" s="144"/>
      <c r="CDB3" s="144"/>
      <c r="CDC3" s="144"/>
      <c r="CDD3" s="144"/>
      <c r="CDE3" s="144"/>
      <c r="CDF3" s="144"/>
      <c r="CDG3" s="144"/>
      <c r="CDH3" s="144"/>
      <c r="CDI3" s="144"/>
      <c r="CDJ3" s="144"/>
      <c r="CDK3" s="144"/>
      <c r="CDL3" s="144"/>
      <c r="CDM3" s="144"/>
      <c r="CDN3" s="144"/>
      <c r="CDO3" s="144"/>
      <c r="CDP3" s="144"/>
      <c r="CDQ3" s="144"/>
      <c r="CDR3" s="144"/>
      <c r="CDT3" s="144" t="s">
        <v>387</v>
      </c>
      <c r="CDU3" s="144"/>
      <c r="CDV3" s="144"/>
      <c r="CDW3" s="144"/>
      <c r="CDX3" s="144"/>
      <c r="CDY3" s="144"/>
      <c r="CDZ3" s="144"/>
      <c r="CEA3" s="144"/>
      <c r="CEB3" s="144"/>
      <c r="CEC3" s="144"/>
      <c r="CED3" s="144"/>
      <c r="CEE3" s="144"/>
      <c r="CEF3" s="144"/>
      <c r="CEG3" s="144"/>
      <c r="CEH3" s="144"/>
      <c r="CEI3" s="144"/>
      <c r="CEJ3" s="144"/>
      <c r="CEK3" s="144"/>
      <c r="CEL3" s="144"/>
      <c r="CEM3" s="144"/>
      <c r="CEN3" s="144"/>
      <c r="CEO3" s="144"/>
      <c r="CEP3" s="144"/>
      <c r="CEQ3" s="144"/>
      <c r="CER3" s="144"/>
      <c r="CES3" s="144"/>
      <c r="CET3" s="144"/>
      <c r="CEU3" s="144"/>
      <c r="CEV3" s="144"/>
      <c r="CEW3" s="144"/>
      <c r="CEX3" s="144"/>
      <c r="CEY3" s="144"/>
      <c r="CEZ3" s="144"/>
      <c r="CFA3" s="144"/>
      <c r="CFB3" s="144"/>
      <c r="CFC3" s="144"/>
      <c r="CFD3" s="144"/>
      <c r="CFE3" s="144"/>
      <c r="CFF3" s="144"/>
      <c r="CFG3" s="144"/>
      <c r="CFH3" s="144"/>
      <c r="CFI3" s="144"/>
      <c r="CFJ3" s="144"/>
      <c r="CFK3" s="144"/>
      <c r="CFL3" s="144"/>
      <c r="CFM3" s="144"/>
      <c r="CFN3" s="144"/>
      <c r="CFO3" s="144"/>
      <c r="CFP3" s="144"/>
      <c r="CFQ3" s="144"/>
      <c r="CFR3" s="144"/>
      <c r="CFS3" s="144"/>
      <c r="CFT3" s="144"/>
      <c r="CFU3" s="144"/>
      <c r="CFV3" s="144"/>
      <c r="CFW3" s="144"/>
      <c r="CFX3" s="144"/>
      <c r="CFY3" s="144"/>
      <c r="CFZ3" s="144"/>
      <c r="CGA3" s="144"/>
      <c r="CGB3" s="144"/>
      <c r="CGC3" s="144"/>
      <c r="CGD3" s="144"/>
      <c r="CGE3" s="144"/>
      <c r="CGF3" s="144"/>
      <c r="CGG3" s="144"/>
      <c r="CGH3" s="144"/>
      <c r="CGI3" s="144"/>
      <c r="CGJ3" s="144"/>
      <c r="CGK3" s="144"/>
      <c r="CGL3" s="144"/>
      <c r="CGM3" s="144"/>
      <c r="CGN3" s="144"/>
      <c r="CGO3" s="144"/>
      <c r="CGP3" s="144"/>
      <c r="CGQ3" s="144"/>
      <c r="CGR3" s="144"/>
      <c r="CGS3" s="144"/>
      <c r="CGT3" s="144"/>
      <c r="CGU3" s="144"/>
      <c r="CGV3" s="144"/>
      <c r="CGW3" s="144"/>
      <c r="CGX3" s="144"/>
      <c r="CGY3" s="144"/>
      <c r="CGZ3" s="144"/>
      <c r="CHA3" s="144"/>
      <c r="CHB3" s="144"/>
      <c r="CHC3" s="144"/>
      <c r="CHD3" s="144"/>
      <c r="CHE3" s="144"/>
      <c r="CHF3" s="144"/>
      <c r="CHG3" s="144"/>
      <c r="CHH3" s="144"/>
      <c r="CHJ3" s="144" t="s">
        <v>2035</v>
      </c>
      <c r="CHK3" s="144"/>
      <c r="CHL3" s="144"/>
      <c r="CHM3" s="144"/>
      <c r="CHN3" s="144"/>
      <c r="CHO3" s="144"/>
      <c r="CHP3" s="144"/>
      <c r="CHQ3" s="144"/>
      <c r="CHR3" s="144"/>
      <c r="CHS3" s="144"/>
      <c r="CHT3" s="144"/>
      <c r="CHU3" s="144"/>
      <c r="CHV3" s="144"/>
      <c r="CHW3" s="144"/>
      <c r="CHX3" s="144"/>
      <c r="CHY3" s="144"/>
      <c r="CHZ3" s="144"/>
      <c r="CIA3" s="144"/>
      <c r="CIB3" s="144"/>
      <c r="CIC3" s="144"/>
      <c r="CID3" s="144"/>
      <c r="CIE3" s="144"/>
      <c r="CIF3" s="144"/>
      <c r="CIG3" s="144"/>
      <c r="CIH3" s="144"/>
      <c r="CII3" s="144"/>
      <c r="CIJ3" s="144"/>
      <c r="CIK3" s="144"/>
      <c r="CIL3" s="144"/>
      <c r="CIM3" s="144"/>
      <c r="CIN3" s="144"/>
      <c r="CIO3" s="144"/>
      <c r="CIP3" s="144"/>
      <c r="CIQ3" s="144"/>
      <c r="CIR3" s="144"/>
      <c r="CIS3" s="144"/>
      <c r="CIT3" s="144"/>
      <c r="CIU3" s="144"/>
      <c r="CIV3" s="144"/>
      <c r="CIW3" s="144"/>
      <c r="CIX3" s="144"/>
      <c r="CIY3" s="144"/>
      <c r="CIZ3" s="144"/>
      <c r="CJA3" s="144"/>
      <c r="CJB3" s="144"/>
      <c r="CJC3" s="144"/>
      <c r="CJD3" s="144"/>
      <c r="CJE3" s="144"/>
      <c r="CJF3" s="144"/>
      <c r="CJG3" s="144"/>
      <c r="CJH3" s="144"/>
      <c r="CJI3" s="144"/>
      <c r="CJJ3" s="144"/>
      <c r="CJK3" s="144"/>
      <c r="CJL3" s="144"/>
      <c r="CJM3" s="144"/>
      <c r="CJN3" s="144"/>
      <c r="CJO3" s="144"/>
      <c r="CJP3" s="144"/>
      <c r="CJQ3" s="144"/>
      <c r="CJR3" s="144"/>
      <c r="CJS3" s="144"/>
      <c r="CJT3" s="144"/>
      <c r="CJU3" s="144"/>
      <c r="CJV3" s="144"/>
      <c r="CJW3" s="144"/>
      <c r="CJX3" s="144"/>
      <c r="CJY3" s="144"/>
      <c r="CJZ3" s="144"/>
      <c r="CKA3" s="144"/>
      <c r="CKB3" s="144"/>
      <c r="CKC3" s="144"/>
      <c r="CKD3" s="144"/>
      <c r="CKE3" s="144"/>
      <c r="CKF3" s="144"/>
      <c r="CKG3" s="144"/>
      <c r="CKH3" s="144"/>
      <c r="CKI3" s="144"/>
      <c r="CKJ3" s="144"/>
      <c r="CKK3" s="144"/>
      <c r="CKL3" s="144"/>
      <c r="CKM3" s="144"/>
      <c r="CKN3" s="144"/>
      <c r="CKO3" s="144"/>
      <c r="CKP3" s="144"/>
      <c r="CKQ3" s="144"/>
      <c r="CKR3" s="144"/>
      <c r="CKS3" s="144"/>
      <c r="CKT3" s="144"/>
      <c r="CKU3" s="144"/>
      <c r="CKV3" s="144"/>
      <c r="CKW3" s="144"/>
      <c r="CKX3" s="144"/>
      <c r="CKZ3" s="144" t="s">
        <v>406</v>
      </c>
      <c r="CLA3" s="144"/>
      <c r="CLB3" s="144"/>
      <c r="CLC3" s="144"/>
      <c r="CLD3" s="144"/>
      <c r="CLE3" s="144"/>
      <c r="CLF3" s="144"/>
      <c r="CLG3" s="144"/>
      <c r="CLH3" s="144"/>
      <c r="CLI3" s="144"/>
      <c r="CLJ3" s="144"/>
      <c r="CLK3" s="144"/>
      <c r="CLL3" s="144"/>
      <c r="CLM3" s="144"/>
      <c r="CLN3" s="144"/>
      <c r="CLO3" s="144"/>
      <c r="CLP3" s="144"/>
      <c r="CLQ3" s="144"/>
      <c r="CLR3" s="144"/>
      <c r="CLS3" s="144"/>
      <c r="CLT3" s="144"/>
      <c r="CLU3" s="144"/>
      <c r="CLV3" s="144"/>
      <c r="CLW3" s="144"/>
      <c r="CLX3" s="144"/>
      <c r="CLY3" s="144"/>
      <c r="CLZ3" s="144"/>
      <c r="CMA3" s="144"/>
      <c r="CMB3" s="144"/>
      <c r="CMC3" s="144"/>
      <c r="CMD3" s="144"/>
      <c r="CME3" s="144"/>
      <c r="CMF3" s="144"/>
      <c r="CMG3" s="144"/>
      <c r="CMH3" s="144"/>
      <c r="CMI3" s="144"/>
      <c r="CMJ3" s="144"/>
      <c r="CMK3" s="144"/>
      <c r="CML3" s="144"/>
      <c r="CMM3" s="144"/>
      <c r="CMN3" s="144"/>
      <c r="CMO3" s="144"/>
      <c r="CMP3" s="144"/>
      <c r="CMQ3" s="144"/>
      <c r="CMR3" s="144"/>
      <c r="CMS3" s="144"/>
      <c r="CMT3" s="144"/>
      <c r="CMU3" s="144"/>
      <c r="CMV3" s="144"/>
      <c r="CMW3" s="144"/>
      <c r="CMX3" s="144"/>
      <c r="CMY3" s="144"/>
      <c r="CMZ3" s="144"/>
      <c r="CNA3" s="144"/>
      <c r="CNB3" s="144"/>
      <c r="CNC3" s="144"/>
      <c r="CND3" s="144"/>
      <c r="CNE3" s="144"/>
      <c r="CNF3" s="144"/>
      <c r="CNG3" s="144"/>
      <c r="CNH3" s="144"/>
      <c r="CNI3" s="144"/>
      <c r="CNJ3" s="144"/>
      <c r="CNK3" s="144"/>
      <c r="CNL3" s="144"/>
      <c r="CNM3" s="144"/>
      <c r="CNN3" s="144"/>
      <c r="CNO3" s="144"/>
      <c r="CNP3" s="144"/>
      <c r="CNQ3" s="144"/>
      <c r="CNR3" s="144"/>
      <c r="CNS3" s="144"/>
      <c r="CNT3" s="144"/>
      <c r="CNU3" s="144"/>
      <c r="CNV3" s="144"/>
      <c r="CNW3" s="144"/>
      <c r="CNX3" s="144"/>
      <c r="CNY3" s="144"/>
      <c r="CNZ3" s="144"/>
      <c r="COA3" s="144"/>
      <c r="COB3" s="144"/>
      <c r="COC3" s="144"/>
      <c r="COD3" s="144"/>
      <c r="COE3" s="144"/>
      <c r="COF3" s="144"/>
      <c r="COG3" s="144"/>
      <c r="COH3" s="144"/>
      <c r="COI3" s="144"/>
      <c r="COJ3" s="144"/>
      <c r="COK3" s="144"/>
      <c r="COL3" s="144"/>
      <c r="COM3" s="144"/>
      <c r="CON3" s="144"/>
      <c r="COP3" s="144" t="s">
        <v>415</v>
      </c>
      <c r="COQ3" s="144"/>
      <c r="COR3" s="144"/>
      <c r="COS3" s="144"/>
      <c r="COT3" s="144"/>
      <c r="COU3" s="144"/>
      <c r="COV3" s="144"/>
      <c r="COW3" s="144"/>
      <c r="COX3" s="144"/>
      <c r="COY3" s="144"/>
      <c r="COZ3" s="144"/>
      <c r="CPA3" s="144"/>
      <c r="CPB3" s="144"/>
      <c r="CPC3" s="144"/>
      <c r="CPD3" s="144"/>
      <c r="CPE3" s="144"/>
      <c r="CPF3" s="144"/>
      <c r="CPG3" s="144"/>
      <c r="CPH3" s="144"/>
      <c r="CPI3" s="144"/>
      <c r="CPJ3" s="144"/>
      <c r="CPK3" s="144"/>
      <c r="CPL3" s="144"/>
      <c r="CPM3" s="144"/>
      <c r="CPN3" s="144"/>
      <c r="CPO3" s="144"/>
      <c r="CPP3" s="144"/>
      <c r="CPQ3" s="144"/>
      <c r="CPR3" s="144"/>
      <c r="CPS3" s="144"/>
      <c r="CPT3" s="144"/>
      <c r="CPU3" s="144"/>
      <c r="CPV3" s="144"/>
      <c r="CPW3" s="144"/>
      <c r="CPX3" s="144"/>
      <c r="CPY3" s="144"/>
      <c r="CPZ3" s="144"/>
      <c r="CQA3" s="144"/>
      <c r="CQB3" s="144"/>
      <c r="CQC3" s="144"/>
      <c r="CQD3" s="144"/>
      <c r="CQE3" s="144"/>
      <c r="CQF3" s="144"/>
      <c r="CQG3" s="144"/>
      <c r="CQH3" s="144"/>
      <c r="CQI3" s="144"/>
      <c r="CQJ3" s="144"/>
      <c r="CQK3" s="144"/>
      <c r="CQL3" s="144"/>
      <c r="CQM3" s="144"/>
      <c r="CQN3" s="144"/>
      <c r="CQO3" s="144"/>
      <c r="CQP3" s="144"/>
      <c r="CQQ3" s="144"/>
      <c r="CQR3" s="144"/>
      <c r="CQS3" s="144"/>
      <c r="CQT3" s="144"/>
      <c r="CQU3" s="144"/>
      <c r="CQV3" s="144"/>
      <c r="CQW3" s="144"/>
      <c r="CQX3" s="144"/>
      <c r="CQY3" s="144"/>
      <c r="CQZ3" s="144"/>
      <c r="CRA3" s="144"/>
      <c r="CRB3" s="144"/>
      <c r="CRC3" s="144"/>
      <c r="CRD3" s="144"/>
      <c r="CRE3" s="144"/>
      <c r="CRF3" s="144"/>
      <c r="CRG3" s="144"/>
      <c r="CRH3" s="144"/>
      <c r="CRI3" s="144"/>
      <c r="CRJ3" s="144"/>
      <c r="CRK3" s="144"/>
      <c r="CRL3" s="144"/>
      <c r="CRM3" s="144"/>
      <c r="CRN3" s="144"/>
      <c r="CRO3" s="144"/>
      <c r="CRP3" s="144"/>
      <c r="CRQ3" s="144"/>
      <c r="CRR3" s="144"/>
      <c r="CRS3" s="144"/>
      <c r="CRT3" s="144"/>
      <c r="CRU3" s="144"/>
      <c r="CRV3" s="144"/>
      <c r="CRW3" s="144"/>
      <c r="CRX3" s="144"/>
      <c r="CRY3" s="144"/>
      <c r="CRZ3" s="144"/>
      <c r="CSA3" s="144"/>
      <c r="CSB3" s="144"/>
      <c r="CSC3" s="144"/>
      <c r="CSD3" s="144"/>
      <c r="CSF3" s="144" t="s">
        <v>429</v>
      </c>
      <c r="CSG3" s="144"/>
      <c r="CSH3" s="144"/>
      <c r="CSI3" s="144"/>
      <c r="CSJ3" s="144"/>
      <c r="CSK3" s="144"/>
      <c r="CSL3" s="144"/>
      <c r="CSM3" s="144"/>
      <c r="CSN3" s="144"/>
      <c r="CSO3" s="144"/>
      <c r="CSP3" s="144"/>
      <c r="CSQ3" s="144"/>
      <c r="CSR3" s="144"/>
      <c r="CSS3" s="144"/>
      <c r="CST3" s="144"/>
      <c r="CSU3" s="144"/>
      <c r="CSV3" s="144"/>
      <c r="CSW3" s="144"/>
      <c r="CSX3" s="144"/>
      <c r="CSY3" s="144"/>
      <c r="CSZ3" s="144"/>
      <c r="CTA3" s="144"/>
      <c r="CTB3" s="144"/>
      <c r="CTC3" s="144"/>
      <c r="CTD3" s="144"/>
      <c r="CTE3" s="144"/>
      <c r="CTF3" s="144"/>
      <c r="CTG3" s="144"/>
      <c r="CTH3" s="144"/>
      <c r="CTI3" s="144"/>
      <c r="CTJ3" s="144"/>
      <c r="CTK3" s="144"/>
      <c r="CTL3" s="144"/>
      <c r="CTM3" s="144"/>
      <c r="CTN3" s="144"/>
      <c r="CTO3" s="144"/>
      <c r="CTP3" s="144"/>
      <c r="CTQ3" s="144"/>
      <c r="CTR3" s="144"/>
      <c r="CTS3" s="144"/>
      <c r="CTT3" s="144"/>
      <c r="CTU3" s="144"/>
      <c r="CTV3" s="144"/>
      <c r="CTW3" s="144"/>
      <c r="CTX3" s="144"/>
      <c r="CTY3" s="144"/>
      <c r="CTZ3" s="144"/>
      <c r="CUA3" s="144"/>
      <c r="CUB3" s="144"/>
      <c r="CUC3" s="144"/>
      <c r="CUD3" s="144"/>
      <c r="CUE3" s="144"/>
      <c r="CUF3" s="144"/>
      <c r="CUG3" s="144"/>
      <c r="CUH3" s="144"/>
      <c r="CUI3" s="144"/>
      <c r="CUJ3" s="144"/>
      <c r="CUK3" s="144"/>
      <c r="CUL3" s="144"/>
      <c r="CUM3" s="144"/>
      <c r="CUN3" s="144"/>
      <c r="CUO3" s="144"/>
      <c r="CUP3" s="144"/>
      <c r="CUQ3" s="144"/>
      <c r="CUR3" s="144"/>
      <c r="CUS3" s="144"/>
      <c r="CUT3" s="144"/>
      <c r="CUU3" s="144"/>
      <c r="CUV3" s="144"/>
      <c r="CUW3" s="144"/>
      <c r="CUX3" s="144"/>
      <c r="CUY3" s="144"/>
      <c r="CUZ3" s="144"/>
      <c r="CVA3" s="144"/>
      <c r="CVB3" s="144"/>
      <c r="CVC3" s="144"/>
      <c r="CVD3" s="144"/>
      <c r="CVE3" s="144"/>
      <c r="CVF3" s="144"/>
      <c r="CVG3" s="144"/>
      <c r="CVH3" s="144"/>
      <c r="CVI3" s="144"/>
      <c r="CVJ3" s="144"/>
      <c r="CVK3" s="144"/>
      <c r="CVL3" s="144"/>
      <c r="CVM3" s="144"/>
      <c r="CVN3" s="144"/>
      <c r="CVO3" s="144"/>
      <c r="CVP3" s="144"/>
      <c r="CVQ3" s="144"/>
      <c r="CVR3" s="144"/>
      <c r="CVS3" s="144"/>
      <c r="CVT3" s="144"/>
      <c r="CVV3" s="144" t="s">
        <v>494</v>
      </c>
      <c r="CVW3" s="144"/>
      <c r="CVX3" s="144"/>
      <c r="CVY3" s="144"/>
      <c r="CVZ3" s="144"/>
      <c r="CWA3" s="144"/>
      <c r="CWB3" s="144"/>
      <c r="CWC3" s="144"/>
      <c r="CWD3" s="144"/>
      <c r="CWE3" s="144"/>
      <c r="CWF3" s="144"/>
      <c r="CWG3" s="144"/>
      <c r="CWH3" s="144"/>
      <c r="CWI3" s="144"/>
      <c r="CWJ3" s="144"/>
      <c r="CWK3" s="144"/>
      <c r="CWL3" s="144"/>
      <c r="CWM3" s="144"/>
      <c r="CWN3" s="144"/>
      <c r="CWO3" s="144"/>
      <c r="CWP3" s="144"/>
      <c r="CWQ3" s="144"/>
      <c r="CWR3" s="144"/>
      <c r="CWS3" s="144"/>
      <c r="CWT3" s="144"/>
      <c r="CWU3" s="144"/>
      <c r="CWV3" s="144"/>
      <c r="CWW3" s="144"/>
      <c r="CWX3" s="144"/>
      <c r="CWY3" s="144"/>
      <c r="CWZ3" s="144"/>
      <c r="CXA3" s="144"/>
      <c r="CXB3" s="144"/>
      <c r="CXC3" s="144"/>
      <c r="CXD3" s="144"/>
      <c r="CXE3" s="144"/>
      <c r="CXF3" s="144"/>
      <c r="CXG3" s="144"/>
      <c r="CXH3" s="144"/>
      <c r="CXI3" s="144"/>
      <c r="CXJ3" s="144"/>
      <c r="CXK3" s="144"/>
      <c r="CXL3" s="144"/>
      <c r="CXM3" s="144"/>
      <c r="CXN3" s="144"/>
      <c r="CXO3" s="144"/>
      <c r="CXP3" s="144"/>
      <c r="CXQ3" s="144"/>
      <c r="CXR3" s="144"/>
      <c r="CXS3" s="144"/>
      <c r="CXT3" s="144"/>
      <c r="CXU3" s="144"/>
      <c r="CXV3" s="144"/>
      <c r="CXW3" s="144"/>
      <c r="CXX3" s="144"/>
      <c r="CXY3" s="144"/>
      <c r="CXZ3" s="144"/>
      <c r="CYA3" s="144"/>
      <c r="CYB3" s="144"/>
      <c r="CYC3" s="144"/>
      <c r="CYD3" s="144"/>
      <c r="CYE3" s="144"/>
      <c r="CYF3" s="144"/>
      <c r="CYG3" s="144"/>
      <c r="CYH3" s="144"/>
      <c r="CYI3" s="144"/>
      <c r="CYJ3" s="144"/>
      <c r="CYK3" s="144"/>
      <c r="CYL3" s="144"/>
      <c r="CYM3" s="144"/>
      <c r="CYN3" s="144"/>
      <c r="CYO3" s="144"/>
      <c r="CYP3" s="144"/>
      <c r="CYQ3" s="144"/>
      <c r="CYR3" s="144"/>
      <c r="CYS3" s="144"/>
      <c r="CYT3" s="144"/>
      <c r="CYU3" s="144"/>
      <c r="CYV3" s="144"/>
      <c r="CYW3" s="144"/>
      <c r="CYX3" s="144"/>
      <c r="CYY3" s="144"/>
      <c r="CYZ3" s="144"/>
      <c r="CZA3" s="144"/>
      <c r="CZB3" s="144"/>
      <c r="CZC3" s="144"/>
      <c r="CZD3" s="144"/>
      <c r="CZE3" s="144"/>
      <c r="CZF3" s="144"/>
      <c r="CZG3" s="144"/>
      <c r="CZH3" s="144"/>
      <c r="CZI3" s="144"/>
      <c r="CZJ3" s="144"/>
      <c r="CZL3" s="144" t="s">
        <v>506</v>
      </c>
      <c r="CZM3" s="144"/>
      <c r="CZN3" s="144"/>
      <c r="CZO3" s="144"/>
      <c r="CZP3" s="144"/>
      <c r="CZQ3" s="144"/>
      <c r="CZR3" s="144"/>
      <c r="CZS3" s="144"/>
      <c r="CZT3" s="144"/>
      <c r="CZU3" s="144"/>
      <c r="CZV3" s="144"/>
      <c r="CZW3" s="144"/>
      <c r="CZX3" s="144"/>
      <c r="CZY3" s="144"/>
      <c r="CZZ3" s="144"/>
      <c r="DAA3" s="144"/>
      <c r="DAB3" s="144"/>
      <c r="DAC3" s="144"/>
      <c r="DAD3" s="144"/>
      <c r="DAE3" s="144"/>
      <c r="DAF3" s="144"/>
      <c r="DAG3" s="144"/>
      <c r="DAH3" s="144"/>
      <c r="DAI3" s="144"/>
      <c r="DAJ3" s="144"/>
      <c r="DAK3" s="144"/>
      <c r="DAL3" s="144"/>
      <c r="DAM3" s="144"/>
      <c r="DAN3" s="144"/>
      <c r="DAO3" s="144"/>
      <c r="DAP3" s="144"/>
      <c r="DAQ3" s="144"/>
      <c r="DAR3" s="144"/>
      <c r="DAS3" s="144"/>
      <c r="DAT3" s="144"/>
      <c r="DAU3" s="144"/>
      <c r="DAV3" s="144"/>
      <c r="DAW3" s="144"/>
      <c r="DAX3" s="144"/>
      <c r="DAY3" s="144"/>
      <c r="DAZ3" s="144"/>
      <c r="DBA3" s="144"/>
      <c r="DBB3" s="144"/>
      <c r="DBC3" s="144"/>
      <c r="DBD3" s="144"/>
      <c r="DBE3" s="144"/>
      <c r="DBF3" s="144"/>
      <c r="DBG3" s="144"/>
      <c r="DBH3" s="144"/>
      <c r="DBI3" s="144"/>
      <c r="DBJ3" s="144"/>
      <c r="DBK3" s="144"/>
      <c r="DBL3" s="144"/>
      <c r="DBM3" s="144"/>
      <c r="DBN3" s="144"/>
      <c r="DBO3" s="144"/>
      <c r="DBP3" s="144"/>
      <c r="DBQ3" s="144"/>
      <c r="DBR3" s="144"/>
      <c r="DBS3" s="144"/>
      <c r="DBT3" s="144"/>
      <c r="DBU3" s="144"/>
      <c r="DBV3" s="144"/>
      <c r="DBW3" s="144"/>
      <c r="DBX3" s="144"/>
      <c r="DBY3" s="144"/>
      <c r="DBZ3" s="144"/>
      <c r="DCA3" s="144"/>
      <c r="DCB3" s="144"/>
      <c r="DCC3" s="144"/>
      <c r="DCD3" s="144"/>
      <c r="DCE3" s="144"/>
      <c r="DCF3" s="144"/>
      <c r="DCG3" s="144"/>
      <c r="DCH3" s="144"/>
      <c r="DCI3" s="144"/>
      <c r="DCJ3" s="144"/>
      <c r="DCK3" s="144"/>
      <c r="DCL3" s="144"/>
      <c r="DCM3" s="144"/>
      <c r="DCN3" s="144"/>
      <c r="DCO3" s="144"/>
      <c r="DCP3" s="144"/>
      <c r="DCQ3" s="144"/>
      <c r="DCR3" s="144"/>
      <c r="DCS3" s="144"/>
      <c r="DCT3" s="144"/>
      <c r="DCU3" s="144"/>
      <c r="DCV3" s="144"/>
      <c r="DCW3" s="144"/>
      <c r="DCX3" s="144"/>
      <c r="DCY3" s="144"/>
      <c r="DCZ3" s="144"/>
      <c r="DDB3" s="144" t="s">
        <v>514</v>
      </c>
      <c r="DDC3" s="144"/>
      <c r="DDD3" s="144"/>
      <c r="DDE3" s="144"/>
      <c r="DDF3" s="144"/>
      <c r="DDG3" s="144"/>
      <c r="DDH3" s="144"/>
      <c r="DDI3" s="144"/>
      <c r="DDJ3" s="144"/>
      <c r="DDK3" s="144"/>
      <c r="DDL3" s="144"/>
      <c r="DDM3" s="144"/>
      <c r="DDN3" s="144"/>
      <c r="DDO3" s="144"/>
      <c r="DDP3" s="144"/>
      <c r="DDQ3" s="144"/>
      <c r="DDR3" s="144"/>
      <c r="DDS3" s="144"/>
      <c r="DDT3" s="144"/>
      <c r="DDU3" s="144"/>
      <c r="DDV3" s="144"/>
      <c r="DDW3" s="144"/>
      <c r="DDX3" s="144"/>
      <c r="DDY3" s="144"/>
      <c r="DDZ3" s="144"/>
      <c r="DEA3" s="144"/>
      <c r="DEB3" s="144"/>
      <c r="DEC3" s="144"/>
      <c r="DED3" s="144"/>
      <c r="DEE3" s="144"/>
      <c r="DEF3" s="144"/>
      <c r="DEG3" s="144"/>
      <c r="DEH3" s="144"/>
      <c r="DEI3" s="144"/>
      <c r="DEJ3" s="144"/>
      <c r="DEK3" s="144"/>
      <c r="DEL3" s="144"/>
      <c r="DEM3" s="144"/>
      <c r="DEN3" s="144"/>
      <c r="DEO3" s="144"/>
      <c r="DEP3" s="144"/>
      <c r="DEQ3" s="144"/>
      <c r="DER3" s="144"/>
      <c r="DES3" s="144"/>
      <c r="DET3" s="144"/>
      <c r="DEU3" s="144"/>
      <c r="DEV3" s="144"/>
      <c r="DEW3" s="144"/>
      <c r="DEX3" s="144"/>
      <c r="DEY3" s="144"/>
      <c r="DEZ3" s="144"/>
      <c r="DFA3" s="144"/>
      <c r="DFB3" s="144"/>
      <c r="DFC3" s="144"/>
      <c r="DFD3" s="144"/>
      <c r="DFE3" s="144"/>
      <c r="DFF3" s="144"/>
      <c r="DFG3" s="144"/>
      <c r="DFH3" s="144"/>
      <c r="DFI3" s="144"/>
      <c r="DFJ3" s="144"/>
      <c r="DFK3" s="144"/>
      <c r="DFL3" s="144"/>
      <c r="DFM3" s="144"/>
      <c r="DFN3" s="144"/>
      <c r="DFO3" s="144"/>
      <c r="DFP3" s="144"/>
      <c r="DFQ3" s="144"/>
      <c r="DFR3" s="144"/>
      <c r="DFS3" s="144"/>
      <c r="DFT3" s="144"/>
      <c r="DFU3" s="144"/>
      <c r="DFV3" s="144"/>
      <c r="DFW3" s="144"/>
      <c r="DFX3" s="144"/>
      <c r="DFY3" s="144"/>
      <c r="DFZ3" s="144"/>
      <c r="DGA3" s="144"/>
      <c r="DGB3" s="144"/>
      <c r="DGC3" s="144"/>
      <c r="DGD3" s="144"/>
      <c r="DGE3" s="144"/>
      <c r="DGF3" s="144"/>
      <c r="DGG3" s="144"/>
      <c r="DGH3" s="144"/>
      <c r="DGI3" s="144"/>
      <c r="DGJ3" s="144"/>
      <c r="DGK3" s="144"/>
      <c r="DGL3" s="144"/>
      <c r="DGM3" s="144"/>
      <c r="DGN3" s="144"/>
      <c r="DGO3" s="144"/>
      <c r="DGP3" s="144"/>
      <c r="DGR3" s="144" t="s">
        <v>555</v>
      </c>
      <c r="DGS3" s="144"/>
      <c r="DGT3" s="144"/>
      <c r="DGU3" s="144"/>
      <c r="DGV3" s="144"/>
      <c r="DGW3" s="144"/>
      <c r="DGX3" s="144"/>
      <c r="DGY3" s="144"/>
      <c r="DGZ3" s="144"/>
      <c r="DHA3" s="144"/>
      <c r="DHB3" s="144"/>
      <c r="DHC3" s="144"/>
      <c r="DHD3" s="144"/>
      <c r="DHE3" s="144"/>
      <c r="DHF3" s="144"/>
      <c r="DHG3" s="144"/>
      <c r="DHH3" s="144"/>
      <c r="DHI3" s="144"/>
      <c r="DHJ3" s="144"/>
      <c r="DHK3" s="144"/>
      <c r="DHL3" s="144"/>
      <c r="DHM3" s="144"/>
      <c r="DHN3" s="144"/>
      <c r="DHO3" s="144"/>
      <c r="DHP3" s="144"/>
      <c r="DHQ3" s="144"/>
      <c r="DHR3" s="144"/>
      <c r="DHS3" s="144"/>
      <c r="DHT3" s="144"/>
      <c r="DHU3" s="144"/>
      <c r="DHV3" s="144"/>
      <c r="DHW3" s="144"/>
      <c r="DHX3" s="144"/>
      <c r="DHY3" s="144"/>
      <c r="DHZ3" s="144"/>
      <c r="DIA3" s="144"/>
      <c r="DIB3" s="144"/>
      <c r="DIC3" s="144"/>
      <c r="DID3" s="144"/>
      <c r="DIE3" s="144"/>
      <c r="DIF3" s="144"/>
      <c r="DIG3" s="144"/>
      <c r="DIH3" s="144"/>
      <c r="DII3" s="144"/>
      <c r="DIJ3" s="144"/>
      <c r="DIK3" s="144"/>
      <c r="DIL3" s="144"/>
      <c r="DIM3" s="144"/>
      <c r="DIN3" s="144"/>
      <c r="DIO3" s="144"/>
      <c r="DIP3" s="144"/>
      <c r="DIQ3" s="144"/>
      <c r="DIR3" s="144"/>
      <c r="DIS3" s="144"/>
      <c r="DIT3" s="144"/>
      <c r="DIU3" s="144"/>
      <c r="DIV3" s="144"/>
      <c r="DIW3" s="144"/>
      <c r="DIX3" s="144"/>
      <c r="DIY3" s="144"/>
      <c r="DIZ3" s="144"/>
      <c r="DJA3" s="144"/>
      <c r="DJB3" s="144"/>
      <c r="DJC3" s="144"/>
      <c r="DJD3" s="144"/>
      <c r="DJE3" s="144"/>
      <c r="DJF3" s="144"/>
      <c r="DJG3" s="144"/>
      <c r="DJH3" s="144"/>
      <c r="DJI3" s="144"/>
      <c r="DJJ3" s="144"/>
      <c r="DJK3" s="144"/>
      <c r="DJL3" s="144"/>
      <c r="DJM3" s="144"/>
      <c r="DJN3" s="144"/>
      <c r="DJO3" s="144"/>
      <c r="DJP3" s="144"/>
      <c r="DJQ3" s="144"/>
      <c r="DJR3" s="144"/>
      <c r="DJS3" s="144"/>
      <c r="DJT3" s="144"/>
      <c r="DJU3" s="144"/>
      <c r="DJV3" s="144"/>
      <c r="DJW3" s="144"/>
      <c r="DJX3" s="144"/>
      <c r="DJY3" s="144"/>
      <c r="DJZ3" s="144"/>
      <c r="DKA3" s="144"/>
      <c r="DKB3" s="144"/>
      <c r="DKC3" s="144"/>
      <c r="DKD3" s="144"/>
      <c r="DKE3" s="144"/>
      <c r="DKF3" s="144"/>
    </row>
    <row r="4" spans="2:2996" ht="15" customHeight="1" x14ac:dyDescent="0.25">
      <c r="B4" s="190" t="s">
        <v>2</v>
      </c>
      <c r="C4" s="191"/>
      <c r="D4" s="191"/>
      <c r="E4" s="191"/>
      <c r="F4" s="191"/>
      <c r="G4" s="191"/>
      <c r="H4" s="191"/>
      <c r="I4" s="191"/>
      <c r="J4" s="191"/>
      <c r="K4" s="191"/>
      <c r="L4" s="191"/>
      <c r="M4" s="191"/>
      <c r="N4" s="191"/>
      <c r="O4" s="191"/>
      <c r="P4" s="191"/>
      <c r="Q4" s="136" t="str">
        <f>'Character Creation'!Z9</f>
        <v>Jessica Louise Ewers</v>
      </c>
      <c r="R4" s="136"/>
      <c r="S4" s="136"/>
      <c r="T4" s="136"/>
      <c r="U4" s="136"/>
      <c r="V4" s="136"/>
      <c r="W4" s="136"/>
      <c r="X4" s="136"/>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334"/>
      <c r="AZ4" s="191" t="s">
        <v>9</v>
      </c>
      <c r="BA4" s="191"/>
      <c r="BB4" s="191"/>
      <c r="BC4" s="191"/>
      <c r="BD4" s="191"/>
      <c r="BE4" s="191"/>
      <c r="BF4" s="191"/>
      <c r="BG4" s="191"/>
      <c r="BH4" s="191"/>
      <c r="BI4" s="191"/>
      <c r="BJ4" s="343">
        <v>0</v>
      </c>
      <c r="BK4" s="343"/>
      <c r="BL4" s="343"/>
      <c r="BM4" s="343"/>
      <c r="BN4" s="343"/>
      <c r="BO4" s="343"/>
      <c r="BP4" s="343"/>
      <c r="BQ4" s="343"/>
      <c r="BR4" s="343"/>
      <c r="BS4" s="343"/>
      <c r="BT4" s="343"/>
      <c r="BU4" s="343"/>
      <c r="BV4" s="343"/>
      <c r="BW4" s="343"/>
      <c r="BX4" s="344"/>
      <c r="BY4" s="106"/>
      <c r="BZ4" s="190" t="s">
        <v>3225</v>
      </c>
      <c r="CA4" s="191"/>
      <c r="CB4" s="191"/>
      <c r="CC4" s="191"/>
      <c r="CD4" s="191"/>
      <c r="CE4" s="191"/>
      <c r="CF4" s="191"/>
      <c r="CG4" s="191"/>
      <c r="CH4" s="191"/>
      <c r="CI4" s="191"/>
      <c r="CJ4" s="191"/>
      <c r="CK4" s="194">
        <v>0</v>
      </c>
      <c r="CL4" s="194"/>
      <c r="CM4" s="194"/>
      <c r="CN4" s="339"/>
      <c r="CO4" s="191" t="s">
        <v>3224</v>
      </c>
      <c r="CP4" s="191"/>
      <c r="CQ4" s="191"/>
      <c r="CR4" s="191"/>
      <c r="CS4" s="191"/>
      <c r="CT4" s="191"/>
      <c r="CU4" s="191"/>
      <c r="CV4" s="191"/>
      <c r="CW4" s="191"/>
      <c r="CX4" s="191"/>
      <c r="CY4" s="194">
        <v>5</v>
      </c>
      <c r="CZ4" s="194"/>
      <c r="DA4" s="194"/>
      <c r="DB4" s="274"/>
      <c r="DD4" s="190" t="s">
        <v>3220</v>
      </c>
      <c r="DE4" s="191"/>
      <c r="DF4" s="191"/>
      <c r="DG4" s="191"/>
      <c r="DH4" s="191"/>
      <c r="DI4" s="191"/>
      <c r="DJ4" s="191"/>
      <c r="DK4" s="191"/>
      <c r="DL4" s="191"/>
      <c r="DM4" s="194">
        <v>0</v>
      </c>
      <c r="DN4" s="194"/>
      <c r="DO4" s="194"/>
      <c r="DP4" s="194"/>
      <c r="DQ4" s="194"/>
      <c r="DR4" s="194"/>
      <c r="DS4" s="194"/>
      <c r="DT4" s="274"/>
      <c r="DV4" s="266"/>
      <c r="DW4" s="267"/>
      <c r="DX4" s="267"/>
      <c r="DY4" s="267"/>
      <c r="DZ4" s="267"/>
      <c r="EA4" s="267"/>
      <c r="EB4" s="267"/>
      <c r="EC4" s="267"/>
      <c r="ED4" s="267"/>
      <c r="EE4" s="267"/>
      <c r="EF4" s="267"/>
      <c r="EG4" s="267"/>
      <c r="EH4" s="267"/>
      <c r="EI4" s="267"/>
      <c r="EJ4" s="267"/>
      <c r="EK4" s="267"/>
      <c r="EL4" s="267"/>
      <c r="EM4" s="267"/>
      <c r="EN4" s="267"/>
      <c r="EO4" s="267"/>
      <c r="EP4" s="267"/>
      <c r="EQ4" s="267"/>
      <c r="ER4" s="267"/>
      <c r="ES4" s="267"/>
      <c r="ET4" s="267"/>
      <c r="EU4" s="267"/>
      <c r="EV4" s="267"/>
      <c r="EW4" s="267"/>
      <c r="EX4" s="267"/>
      <c r="EY4" s="267"/>
      <c r="EZ4" s="268"/>
      <c r="FB4" s="139" t="s">
        <v>2703</v>
      </c>
      <c r="FC4" s="140"/>
      <c r="FD4" s="140"/>
      <c r="FE4" s="140"/>
      <c r="FF4" s="140"/>
      <c r="FG4" s="140"/>
      <c r="FH4" s="140"/>
      <c r="FI4" s="140"/>
      <c r="FJ4" s="140"/>
      <c r="FK4" s="140"/>
      <c r="FL4" s="140"/>
      <c r="FM4" s="140"/>
      <c r="FN4" s="140"/>
      <c r="FO4" s="140"/>
      <c r="FP4" s="140"/>
      <c r="FQ4" s="140"/>
      <c r="FR4" s="140"/>
      <c r="FS4" s="140"/>
      <c r="FT4" s="140"/>
      <c r="FU4" s="140"/>
      <c r="FV4" s="140"/>
      <c r="FW4" s="140"/>
      <c r="FX4" s="140"/>
      <c r="FY4" s="140"/>
      <c r="FZ4" s="140"/>
      <c r="GA4" s="140"/>
      <c r="GB4" s="140"/>
      <c r="GC4" s="140"/>
      <c r="GD4" s="140"/>
      <c r="GE4" s="140"/>
      <c r="GF4" s="140"/>
      <c r="GG4" s="140"/>
      <c r="GH4" s="140"/>
      <c r="GI4" s="140"/>
      <c r="GJ4" s="140"/>
      <c r="GK4" s="140"/>
      <c r="GL4" s="140"/>
      <c r="GM4" s="140"/>
      <c r="GN4" s="140"/>
      <c r="GO4" s="140"/>
      <c r="GP4" s="140"/>
      <c r="GQ4" s="140"/>
      <c r="GR4" s="140"/>
      <c r="GS4" s="140"/>
      <c r="GT4" s="141">
        <v>1</v>
      </c>
      <c r="GU4" s="141"/>
      <c r="GV4" s="141"/>
      <c r="GW4" s="141"/>
      <c r="GX4" s="141"/>
      <c r="GY4" s="141"/>
      <c r="GZ4" s="141"/>
      <c r="HA4" s="141"/>
      <c r="HB4" s="142">
        <f>IFERROR(ROUND(((Calculations!BV4/185)*'Character Creation'!$Z$18)*GT4,2),"")</f>
        <v>0.42</v>
      </c>
      <c r="HC4" s="142"/>
      <c r="HD4" s="142"/>
      <c r="HE4" s="142"/>
      <c r="HF4" s="142"/>
      <c r="HG4" s="142"/>
      <c r="HH4" s="142"/>
      <c r="HI4" s="142"/>
      <c r="HJ4" s="142">
        <f>IFERROR(Calculations!BS4+IQ4+IX4,"")</f>
        <v>30</v>
      </c>
      <c r="HK4" s="142"/>
      <c r="HL4" s="142"/>
      <c r="HM4" s="142"/>
      <c r="HN4" s="142"/>
      <c r="HO4" s="142"/>
      <c r="HP4" s="142"/>
      <c r="HQ4" s="142"/>
      <c r="HR4" s="142">
        <f t="shared" ref="HR4:HR19" si="0">IFERROR(VLOOKUP(FB4,ItemChart,4,FALSE),"")</f>
        <v>0</v>
      </c>
      <c r="HS4" s="142"/>
      <c r="HT4" s="142"/>
      <c r="HU4" s="142"/>
      <c r="HV4" s="142"/>
      <c r="HW4" s="142"/>
      <c r="HX4" s="142"/>
      <c r="HY4" s="142"/>
      <c r="HZ4" s="142" t="str">
        <f>IFERROR(Calculations!BX4,"")</f>
        <v>$0.45</v>
      </c>
      <c r="IA4" s="142"/>
      <c r="IB4" s="142"/>
      <c r="IC4" s="142"/>
      <c r="ID4" s="142"/>
      <c r="IE4" s="142"/>
      <c r="IF4" s="142"/>
      <c r="IG4" s="142"/>
      <c r="IH4" s="142"/>
      <c r="II4" s="142"/>
      <c r="IJ4" s="142">
        <f>IFERROR(Calculations!BR4+IX4,"")</f>
        <v>0</v>
      </c>
      <c r="IK4" s="142"/>
      <c r="IL4" s="142"/>
      <c r="IM4" s="142"/>
      <c r="IN4" s="142"/>
      <c r="IO4" s="142"/>
      <c r="IP4" s="142"/>
      <c r="IQ4" s="141">
        <v>0</v>
      </c>
      <c r="IR4" s="141"/>
      <c r="IS4" s="141"/>
      <c r="IT4" s="141"/>
      <c r="IU4" s="141"/>
      <c r="IV4" s="141"/>
      <c r="IW4" s="141"/>
      <c r="IX4" s="141">
        <v>0</v>
      </c>
      <c r="IY4" s="141"/>
      <c r="IZ4" s="141"/>
      <c r="JA4" s="141"/>
      <c r="JB4" s="141"/>
      <c r="JC4" s="141"/>
      <c r="JD4" s="141"/>
      <c r="JE4" s="141"/>
      <c r="JF4" s="142"/>
      <c r="JG4" s="142"/>
      <c r="JH4" s="142"/>
      <c r="JI4" s="142"/>
      <c r="JJ4" s="142"/>
      <c r="JK4" s="143" t="str">
        <f>Calculations!AS4</f>
        <v>Soft Leather</v>
      </c>
      <c r="JL4" s="143"/>
      <c r="JM4" s="143"/>
      <c r="JN4" s="143"/>
      <c r="JO4" s="143"/>
      <c r="JP4" s="143"/>
      <c r="JQ4" s="143"/>
      <c r="JR4" s="143"/>
      <c r="JS4" s="143"/>
      <c r="JT4" s="143"/>
      <c r="JU4" s="143"/>
      <c r="JV4" s="143"/>
      <c r="JW4" s="143"/>
      <c r="JX4" s="143"/>
      <c r="JY4" s="143"/>
      <c r="JZ4" s="143"/>
      <c r="KA4" s="143"/>
      <c r="KB4" s="143"/>
      <c r="KC4" s="143" t="str">
        <f>Calculations!AW4</f>
        <v>Soft Leather</v>
      </c>
      <c r="KD4" s="143"/>
      <c r="KE4" s="143"/>
      <c r="KF4" s="143"/>
      <c r="KG4" s="143"/>
      <c r="KH4" s="143"/>
      <c r="KI4" s="143"/>
      <c r="KJ4" s="143"/>
      <c r="KK4" s="143"/>
      <c r="KL4" s="143"/>
      <c r="KM4" s="143"/>
      <c r="KN4" s="143"/>
      <c r="KO4" s="143"/>
      <c r="KP4" s="143"/>
      <c r="KQ4" s="143"/>
      <c r="KR4" s="143"/>
      <c r="KS4" s="143"/>
      <c r="KT4" s="143"/>
      <c r="KU4" s="144"/>
      <c r="KV4" s="144"/>
      <c r="KW4" s="144"/>
      <c r="KX4" s="144"/>
      <c r="KY4" s="144"/>
      <c r="KZ4" s="144"/>
      <c r="LA4" s="144"/>
      <c r="LB4" s="144"/>
      <c r="LC4" s="144"/>
      <c r="LD4" s="144"/>
      <c r="LE4" s="144"/>
      <c r="LF4" s="144"/>
      <c r="LG4" s="144"/>
      <c r="LH4" s="144"/>
      <c r="LI4" s="144"/>
      <c r="LJ4" s="144"/>
      <c r="LK4" s="144"/>
      <c r="LL4" s="144"/>
      <c r="LM4" s="144"/>
      <c r="LN4" s="144"/>
      <c r="LO4" s="144"/>
      <c r="LP4" s="144"/>
      <c r="LQ4" s="144"/>
      <c r="LR4" s="144"/>
      <c r="LS4" s="144"/>
      <c r="LT4" s="144"/>
      <c r="LU4" s="144"/>
      <c r="LV4" s="144"/>
      <c r="LW4" s="144"/>
      <c r="LX4" s="144"/>
      <c r="LY4" s="144"/>
      <c r="LZ4" s="144"/>
      <c r="MA4" s="144"/>
      <c r="MB4" s="144"/>
      <c r="MC4" s="144"/>
      <c r="MD4" s="144"/>
      <c r="ME4" s="144"/>
      <c r="MF4" s="144"/>
      <c r="MG4" s="144"/>
      <c r="MH4" s="144"/>
      <c r="MI4" s="144"/>
      <c r="MJ4" s="144"/>
      <c r="MK4" s="144"/>
      <c r="ML4" s="144"/>
      <c r="MM4" s="144"/>
      <c r="MN4" s="144"/>
      <c r="MO4" s="144"/>
      <c r="MP4" s="144"/>
      <c r="MQ4" s="144"/>
      <c r="MR4" s="144"/>
      <c r="MS4" s="144"/>
      <c r="MT4" s="144"/>
      <c r="MU4" s="144"/>
      <c r="MV4" s="144"/>
      <c r="MW4" s="144"/>
      <c r="MX4" s="144"/>
      <c r="MY4" s="144"/>
      <c r="MZ4" s="145"/>
      <c r="NB4" s="144" t="s">
        <v>147</v>
      </c>
      <c r="NC4" s="144"/>
      <c r="ND4" s="144"/>
      <c r="NE4" s="144"/>
      <c r="NF4" s="144"/>
      <c r="NG4" s="144"/>
      <c r="NH4" s="144"/>
      <c r="NI4" s="144"/>
      <c r="NJ4" s="144"/>
      <c r="NK4" s="144"/>
      <c r="NL4" s="144"/>
      <c r="NM4" s="144"/>
      <c r="NN4" s="144"/>
      <c r="NO4" s="144"/>
      <c r="NP4" s="144"/>
      <c r="NQ4" s="144"/>
      <c r="NR4" s="144"/>
      <c r="NS4" s="144"/>
      <c r="NT4" s="144"/>
      <c r="NU4" s="144"/>
      <c r="NV4" s="144"/>
      <c r="NW4" s="144"/>
      <c r="NX4" s="144"/>
      <c r="NY4" s="144"/>
      <c r="NZ4" s="144"/>
      <c r="OA4" s="144"/>
      <c r="OB4" s="144"/>
      <c r="OC4" s="144"/>
      <c r="OD4" s="144"/>
      <c r="OE4" s="144"/>
      <c r="OF4" s="144"/>
      <c r="OG4" s="129" t="s">
        <v>133</v>
      </c>
      <c r="OH4" s="129"/>
      <c r="OI4" s="129"/>
      <c r="OJ4" s="129"/>
      <c r="OK4" s="129" t="s">
        <v>148</v>
      </c>
      <c r="OL4" s="129"/>
      <c r="OM4" s="129"/>
      <c r="ON4" s="129"/>
      <c r="OO4" s="129"/>
      <c r="OP4" s="129" t="s">
        <v>83</v>
      </c>
      <c r="OQ4" s="129"/>
      <c r="OR4" s="129"/>
      <c r="OS4" s="129"/>
      <c r="OT4" s="129"/>
      <c r="OU4" s="129"/>
      <c r="OV4" s="129" t="s">
        <v>37</v>
      </c>
      <c r="OW4" s="129"/>
      <c r="OX4" s="129"/>
      <c r="OY4" s="129"/>
      <c r="OZ4" s="129"/>
      <c r="PA4" s="129"/>
      <c r="PB4" s="129" t="s">
        <v>49</v>
      </c>
      <c r="PC4" s="129"/>
      <c r="PD4" s="129"/>
      <c r="PE4" s="129"/>
      <c r="PF4" s="129"/>
      <c r="PG4" s="129"/>
      <c r="PH4" s="129" t="s">
        <v>149</v>
      </c>
      <c r="PI4" s="129"/>
      <c r="PJ4" s="129"/>
      <c r="PK4" s="129"/>
      <c r="PL4" s="129"/>
      <c r="PM4" s="129"/>
      <c r="PN4" s="129"/>
      <c r="PO4" s="129" t="s">
        <v>150</v>
      </c>
      <c r="PP4" s="129"/>
      <c r="PQ4" s="129"/>
      <c r="PR4" s="129"/>
      <c r="PS4" s="129"/>
      <c r="PT4" s="129"/>
      <c r="PU4" s="129"/>
      <c r="PV4" s="129" t="s">
        <v>151</v>
      </c>
      <c r="PW4" s="129"/>
      <c r="PX4" s="129"/>
      <c r="PY4" s="129"/>
      <c r="PZ4" s="129"/>
      <c r="QA4" s="129"/>
      <c r="QB4" s="129"/>
      <c r="QC4" s="129" t="s">
        <v>37</v>
      </c>
      <c r="QD4" s="129"/>
      <c r="QE4" s="129"/>
      <c r="QF4" s="129"/>
      <c r="QG4" s="129"/>
      <c r="QH4" s="129"/>
      <c r="QI4" s="129"/>
      <c r="QJ4" s="129" t="s">
        <v>40</v>
      </c>
      <c r="QK4" s="129"/>
      <c r="QL4" s="129"/>
      <c r="QM4" s="129"/>
      <c r="QN4" s="129"/>
      <c r="QO4" s="129"/>
      <c r="QP4" s="129"/>
      <c r="QR4" s="144" t="s">
        <v>147</v>
      </c>
      <c r="QS4" s="144"/>
      <c r="QT4" s="144"/>
      <c r="QU4" s="144"/>
      <c r="QV4" s="144"/>
      <c r="QW4" s="144"/>
      <c r="QX4" s="144"/>
      <c r="QY4" s="144"/>
      <c r="QZ4" s="144"/>
      <c r="RA4" s="144"/>
      <c r="RB4" s="144"/>
      <c r="RC4" s="144"/>
      <c r="RD4" s="144"/>
      <c r="RE4" s="144"/>
      <c r="RF4" s="144"/>
      <c r="RG4" s="144"/>
      <c r="RH4" s="144"/>
      <c r="RI4" s="144"/>
      <c r="RJ4" s="144"/>
      <c r="RK4" s="144"/>
      <c r="RL4" s="144"/>
      <c r="RM4" s="144"/>
      <c r="RN4" s="144"/>
      <c r="RO4" s="144"/>
      <c r="RP4" s="144"/>
      <c r="RQ4" s="144"/>
      <c r="RR4" s="144"/>
      <c r="RS4" s="144"/>
      <c r="RT4" s="144"/>
      <c r="RU4" s="144"/>
      <c r="RV4" s="144"/>
      <c r="RW4" s="129" t="s">
        <v>133</v>
      </c>
      <c r="RX4" s="129"/>
      <c r="RY4" s="129"/>
      <c r="RZ4" s="129"/>
      <c r="SA4" s="129" t="s">
        <v>148</v>
      </c>
      <c r="SB4" s="129"/>
      <c r="SC4" s="129"/>
      <c r="SD4" s="129"/>
      <c r="SE4" s="129"/>
      <c r="SF4" s="129" t="s">
        <v>83</v>
      </c>
      <c r="SG4" s="129"/>
      <c r="SH4" s="129"/>
      <c r="SI4" s="129"/>
      <c r="SJ4" s="129"/>
      <c r="SK4" s="129"/>
      <c r="SL4" s="129" t="s">
        <v>37</v>
      </c>
      <c r="SM4" s="129"/>
      <c r="SN4" s="129"/>
      <c r="SO4" s="129"/>
      <c r="SP4" s="129"/>
      <c r="SQ4" s="129"/>
      <c r="SR4" s="129" t="s">
        <v>49</v>
      </c>
      <c r="SS4" s="129"/>
      <c r="ST4" s="129"/>
      <c r="SU4" s="129"/>
      <c r="SV4" s="129"/>
      <c r="SW4" s="129"/>
      <c r="SX4" s="129" t="s">
        <v>149</v>
      </c>
      <c r="SY4" s="129"/>
      <c r="SZ4" s="129"/>
      <c r="TA4" s="129"/>
      <c r="TB4" s="129"/>
      <c r="TC4" s="129"/>
      <c r="TD4" s="129"/>
      <c r="TE4" s="129" t="s">
        <v>150</v>
      </c>
      <c r="TF4" s="129"/>
      <c r="TG4" s="129"/>
      <c r="TH4" s="129"/>
      <c r="TI4" s="129"/>
      <c r="TJ4" s="129"/>
      <c r="TK4" s="129"/>
      <c r="TL4" s="129" t="s">
        <v>151</v>
      </c>
      <c r="TM4" s="129"/>
      <c r="TN4" s="129"/>
      <c r="TO4" s="129"/>
      <c r="TP4" s="129"/>
      <c r="TQ4" s="129"/>
      <c r="TR4" s="129"/>
      <c r="TS4" s="129" t="s">
        <v>37</v>
      </c>
      <c r="TT4" s="129"/>
      <c r="TU4" s="129"/>
      <c r="TV4" s="129"/>
      <c r="TW4" s="129"/>
      <c r="TX4" s="129"/>
      <c r="TY4" s="129"/>
      <c r="TZ4" s="129" t="s">
        <v>40</v>
      </c>
      <c r="UA4" s="129"/>
      <c r="UB4" s="129"/>
      <c r="UC4" s="129"/>
      <c r="UD4" s="129"/>
      <c r="UE4" s="129"/>
      <c r="UF4" s="129"/>
      <c r="UH4" s="144" t="s">
        <v>147</v>
      </c>
      <c r="UI4" s="144"/>
      <c r="UJ4" s="144"/>
      <c r="UK4" s="144"/>
      <c r="UL4" s="144"/>
      <c r="UM4" s="144"/>
      <c r="UN4" s="144"/>
      <c r="UO4" s="144"/>
      <c r="UP4" s="144"/>
      <c r="UQ4" s="144"/>
      <c r="UR4" s="144"/>
      <c r="US4" s="144"/>
      <c r="UT4" s="144"/>
      <c r="UU4" s="144"/>
      <c r="UV4" s="144"/>
      <c r="UW4" s="144"/>
      <c r="UX4" s="144"/>
      <c r="UY4" s="144"/>
      <c r="UZ4" s="144"/>
      <c r="VA4" s="144"/>
      <c r="VB4" s="144"/>
      <c r="VC4" s="144"/>
      <c r="VD4" s="144"/>
      <c r="VE4" s="144"/>
      <c r="VF4" s="144"/>
      <c r="VG4" s="144"/>
      <c r="VH4" s="144"/>
      <c r="VI4" s="144"/>
      <c r="VJ4" s="144"/>
      <c r="VK4" s="144"/>
      <c r="VL4" s="144"/>
      <c r="VM4" s="129" t="s">
        <v>133</v>
      </c>
      <c r="VN4" s="129"/>
      <c r="VO4" s="129"/>
      <c r="VP4" s="129"/>
      <c r="VQ4" s="129" t="s">
        <v>148</v>
      </c>
      <c r="VR4" s="129"/>
      <c r="VS4" s="129"/>
      <c r="VT4" s="129"/>
      <c r="VU4" s="129"/>
      <c r="VV4" s="129" t="s">
        <v>83</v>
      </c>
      <c r="VW4" s="129"/>
      <c r="VX4" s="129"/>
      <c r="VY4" s="129"/>
      <c r="VZ4" s="129"/>
      <c r="WA4" s="129"/>
      <c r="WB4" s="129" t="s">
        <v>37</v>
      </c>
      <c r="WC4" s="129"/>
      <c r="WD4" s="129"/>
      <c r="WE4" s="129"/>
      <c r="WF4" s="129"/>
      <c r="WG4" s="129"/>
      <c r="WH4" s="129" t="s">
        <v>49</v>
      </c>
      <c r="WI4" s="129"/>
      <c r="WJ4" s="129"/>
      <c r="WK4" s="129"/>
      <c r="WL4" s="129"/>
      <c r="WM4" s="129"/>
      <c r="WN4" s="129" t="s">
        <v>149</v>
      </c>
      <c r="WO4" s="129"/>
      <c r="WP4" s="129"/>
      <c r="WQ4" s="129"/>
      <c r="WR4" s="129"/>
      <c r="WS4" s="129"/>
      <c r="WT4" s="129"/>
      <c r="WU4" s="129" t="s">
        <v>150</v>
      </c>
      <c r="WV4" s="129"/>
      <c r="WW4" s="129"/>
      <c r="WX4" s="129"/>
      <c r="WY4" s="129"/>
      <c r="WZ4" s="129"/>
      <c r="XA4" s="129"/>
      <c r="XB4" s="129" t="s">
        <v>151</v>
      </c>
      <c r="XC4" s="129"/>
      <c r="XD4" s="129"/>
      <c r="XE4" s="129"/>
      <c r="XF4" s="129"/>
      <c r="XG4" s="129"/>
      <c r="XH4" s="129"/>
      <c r="XI4" s="129" t="s">
        <v>37</v>
      </c>
      <c r="XJ4" s="129"/>
      <c r="XK4" s="129"/>
      <c r="XL4" s="129"/>
      <c r="XM4" s="129"/>
      <c r="XN4" s="129"/>
      <c r="XO4" s="129"/>
      <c r="XP4" s="129" t="s">
        <v>40</v>
      </c>
      <c r="XQ4" s="129"/>
      <c r="XR4" s="129"/>
      <c r="XS4" s="129"/>
      <c r="XT4" s="129"/>
      <c r="XU4" s="129"/>
      <c r="XV4" s="129"/>
      <c r="XX4" s="144" t="s">
        <v>147</v>
      </c>
      <c r="XY4" s="144"/>
      <c r="XZ4" s="144"/>
      <c r="YA4" s="144"/>
      <c r="YB4" s="144"/>
      <c r="YC4" s="144"/>
      <c r="YD4" s="144"/>
      <c r="YE4" s="144"/>
      <c r="YF4" s="144"/>
      <c r="YG4" s="144"/>
      <c r="YH4" s="144"/>
      <c r="YI4" s="144"/>
      <c r="YJ4" s="144"/>
      <c r="YK4" s="144"/>
      <c r="YL4" s="144"/>
      <c r="YM4" s="144"/>
      <c r="YN4" s="144"/>
      <c r="YO4" s="144"/>
      <c r="YP4" s="144"/>
      <c r="YQ4" s="144"/>
      <c r="YR4" s="144"/>
      <c r="YS4" s="144"/>
      <c r="YT4" s="144"/>
      <c r="YU4" s="144"/>
      <c r="YV4" s="144"/>
      <c r="YW4" s="144"/>
      <c r="YX4" s="144"/>
      <c r="YY4" s="144"/>
      <c r="YZ4" s="144"/>
      <c r="ZA4" s="144"/>
      <c r="ZB4" s="144"/>
      <c r="ZC4" s="129" t="s">
        <v>133</v>
      </c>
      <c r="ZD4" s="129"/>
      <c r="ZE4" s="129"/>
      <c r="ZF4" s="129"/>
      <c r="ZG4" s="129" t="s">
        <v>148</v>
      </c>
      <c r="ZH4" s="129"/>
      <c r="ZI4" s="129"/>
      <c r="ZJ4" s="129"/>
      <c r="ZK4" s="129"/>
      <c r="ZL4" s="129" t="s">
        <v>83</v>
      </c>
      <c r="ZM4" s="129"/>
      <c r="ZN4" s="129"/>
      <c r="ZO4" s="129"/>
      <c r="ZP4" s="129"/>
      <c r="ZQ4" s="129"/>
      <c r="ZR4" s="129" t="s">
        <v>37</v>
      </c>
      <c r="ZS4" s="129"/>
      <c r="ZT4" s="129"/>
      <c r="ZU4" s="129"/>
      <c r="ZV4" s="129"/>
      <c r="ZW4" s="129"/>
      <c r="ZX4" s="129" t="s">
        <v>49</v>
      </c>
      <c r="ZY4" s="129"/>
      <c r="ZZ4" s="129"/>
      <c r="AAA4" s="129"/>
      <c r="AAB4" s="129"/>
      <c r="AAC4" s="129"/>
      <c r="AAD4" s="129" t="s">
        <v>149</v>
      </c>
      <c r="AAE4" s="129"/>
      <c r="AAF4" s="129"/>
      <c r="AAG4" s="129"/>
      <c r="AAH4" s="129"/>
      <c r="AAI4" s="129"/>
      <c r="AAJ4" s="129"/>
      <c r="AAK4" s="129" t="s">
        <v>150</v>
      </c>
      <c r="AAL4" s="129"/>
      <c r="AAM4" s="129"/>
      <c r="AAN4" s="129"/>
      <c r="AAO4" s="129"/>
      <c r="AAP4" s="129"/>
      <c r="AAQ4" s="129"/>
      <c r="AAR4" s="129" t="s">
        <v>151</v>
      </c>
      <c r="AAS4" s="129"/>
      <c r="AAT4" s="129"/>
      <c r="AAU4" s="129"/>
      <c r="AAV4" s="129"/>
      <c r="AAW4" s="129"/>
      <c r="AAX4" s="129"/>
      <c r="AAY4" s="129" t="s">
        <v>37</v>
      </c>
      <c r="AAZ4" s="129"/>
      <c r="ABA4" s="129"/>
      <c r="ABB4" s="129"/>
      <c r="ABC4" s="129"/>
      <c r="ABD4" s="129"/>
      <c r="ABE4" s="129"/>
      <c r="ABF4" s="129" t="s">
        <v>40</v>
      </c>
      <c r="ABG4" s="129"/>
      <c r="ABH4" s="129"/>
      <c r="ABI4" s="129"/>
      <c r="ABJ4" s="129"/>
      <c r="ABK4" s="129"/>
      <c r="ABL4" s="129"/>
      <c r="ABN4" s="144" t="s">
        <v>147</v>
      </c>
      <c r="ABO4" s="144"/>
      <c r="ABP4" s="144"/>
      <c r="ABQ4" s="144"/>
      <c r="ABR4" s="144"/>
      <c r="ABS4" s="144"/>
      <c r="ABT4" s="144"/>
      <c r="ABU4" s="144"/>
      <c r="ABV4" s="144"/>
      <c r="ABW4" s="144"/>
      <c r="ABX4" s="144"/>
      <c r="ABY4" s="144"/>
      <c r="ABZ4" s="144"/>
      <c r="ACA4" s="144"/>
      <c r="ACB4" s="144"/>
      <c r="ACC4" s="144"/>
      <c r="ACD4" s="144"/>
      <c r="ACE4" s="144"/>
      <c r="ACF4" s="144"/>
      <c r="ACG4" s="144"/>
      <c r="ACH4" s="144"/>
      <c r="ACI4" s="144"/>
      <c r="ACJ4" s="144"/>
      <c r="ACK4" s="144"/>
      <c r="ACL4" s="144"/>
      <c r="ACM4" s="144"/>
      <c r="ACN4" s="144"/>
      <c r="ACO4" s="144"/>
      <c r="ACP4" s="144"/>
      <c r="ACQ4" s="144"/>
      <c r="ACR4" s="144"/>
      <c r="ACS4" s="129" t="s">
        <v>133</v>
      </c>
      <c r="ACT4" s="129"/>
      <c r="ACU4" s="129"/>
      <c r="ACV4" s="129"/>
      <c r="ACW4" s="129" t="s">
        <v>148</v>
      </c>
      <c r="ACX4" s="129"/>
      <c r="ACY4" s="129"/>
      <c r="ACZ4" s="129"/>
      <c r="ADA4" s="129"/>
      <c r="ADB4" s="129" t="s">
        <v>83</v>
      </c>
      <c r="ADC4" s="129"/>
      <c r="ADD4" s="129"/>
      <c r="ADE4" s="129"/>
      <c r="ADF4" s="129"/>
      <c r="ADG4" s="129"/>
      <c r="ADH4" s="129" t="s">
        <v>37</v>
      </c>
      <c r="ADI4" s="129"/>
      <c r="ADJ4" s="129"/>
      <c r="ADK4" s="129"/>
      <c r="ADL4" s="129"/>
      <c r="ADM4" s="129"/>
      <c r="ADN4" s="129" t="s">
        <v>49</v>
      </c>
      <c r="ADO4" s="129"/>
      <c r="ADP4" s="129"/>
      <c r="ADQ4" s="129"/>
      <c r="ADR4" s="129"/>
      <c r="ADS4" s="129"/>
      <c r="ADT4" s="129" t="s">
        <v>149</v>
      </c>
      <c r="ADU4" s="129"/>
      <c r="ADV4" s="129"/>
      <c r="ADW4" s="129"/>
      <c r="ADX4" s="129"/>
      <c r="ADY4" s="129"/>
      <c r="ADZ4" s="129"/>
      <c r="AEA4" s="129" t="s">
        <v>150</v>
      </c>
      <c r="AEB4" s="129"/>
      <c r="AEC4" s="129"/>
      <c r="AED4" s="129"/>
      <c r="AEE4" s="129"/>
      <c r="AEF4" s="129"/>
      <c r="AEG4" s="129"/>
      <c r="AEH4" s="129" t="s">
        <v>151</v>
      </c>
      <c r="AEI4" s="129"/>
      <c r="AEJ4" s="129"/>
      <c r="AEK4" s="129"/>
      <c r="AEL4" s="129"/>
      <c r="AEM4" s="129"/>
      <c r="AEN4" s="129"/>
      <c r="AEO4" s="129" t="s">
        <v>37</v>
      </c>
      <c r="AEP4" s="129"/>
      <c r="AEQ4" s="129"/>
      <c r="AER4" s="129"/>
      <c r="AES4" s="129"/>
      <c r="AET4" s="129"/>
      <c r="AEU4" s="129"/>
      <c r="AEV4" s="129" t="s">
        <v>40</v>
      </c>
      <c r="AEW4" s="129"/>
      <c r="AEX4" s="129"/>
      <c r="AEY4" s="129"/>
      <c r="AEZ4" s="129"/>
      <c r="AFA4" s="129"/>
      <c r="AFB4" s="129"/>
      <c r="AFD4" s="144" t="s">
        <v>147</v>
      </c>
      <c r="AFE4" s="144"/>
      <c r="AFF4" s="144"/>
      <c r="AFG4" s="144"/>
      <c r="AFH4" s="144"/>
      <c r="AFI4" s="144"/>
      <c r="AFJ4" s="144"/>
      <c r="AFK4" s="144"/>
      <c r="AFL4" s="144"/>
      <c r="AFM4" s="144"/>
      <c r="AFN4" s="144"/>
      <c r="AFO4" s="144"/>
      <c r="AFP4" s="144"/>
      <c r="AFQ4" s="144"/>
      <c r="AFR4" s="144"/>
      <c r="AFS4" s="144"/>
      <c r="AFT4" s="144"/>
      <c r="AFU4" s="144"/>
      <c r="AFV4" s="144"/>
      <c r="AFW4" s="144"/>
      <c r="AFX4" s="144"/>
      <c r="AFY4" s="144"/>
      <c r="AFZ4" s="144"/>
      <c r="AGA4" s="144"/>
      <c r="AGB4" s="144"/>
      <c r="AGC4" s="144"/>
      <c r="AGD4" s="144"/>
      <c r="AGE4" s="144"/>
      <c r="AGF4" s="144"/>
      <c r="AGG4" s="144"/>
      <c r="AGH4" s="144"/>
      <c r="AGI4" s="129" t="s">
        <v>133</v>
      </c>
      <c r="AGJ4" s="129"/>
      <c r="AGK4" s="129"/>
      <c r="AGL4" s="129"/>
      <c r="AGM4" s="129" t="s">
        <v>148</v>
      </c>
      <c r="AGN4" s="129"/>
      <c r="AGO4" s="129"/>
      <c r="AGP4" s="129"/>
      <c r="AGQ4" s="129"/>
      <c r="AGR4" s="129" t="s">
        <v>83</v>
      </c>
      <c r="AGS4" s="129"/>
      <c r="AGT4" s="129"/>
      <c r="AGU4" s="129"/>
      <c r="AGV4" s="129"/>
      <c r="AGW4" s="129"/>
      <c r="AGX4" s="129" t="s">
        <v>37</v>
      </c>
      <c r="AGY4" s="129"/>
      <c r="AGZ4" s="129"/>
      <c r="AHA4" s="129"/>
      <c r="AHB4" s="129"/>
      <c r="AHC4" s="129"/>
      <c r="AHD4" s="129" t="s">
        <v>49</v>
      </c>
      <c r="AHE4" s="129"/>
      <c r="AHF4" s="129"/>
      <c r="AHG4" s="129"/>
      <c r="AHH4" s="129"/>
      <c r="AHI4" s="129"/>
      <c r="AHJ4" s="129" t="s">
        <v>149</v>
      </c>
      <c r="AHK4" s="129"/>
      <c r="AHL4" s="129"/>
      <c r="AHM4" s="129"/>
      <c r="AHN4" s="129"/>
      <c r="AHO4" s="129"/>
      <c r="AHP4" s="129"/>
      <c r="AHQ4" s="129" t="s">
        <v>150</v>
      </c>
      <c r="AHR4" s="129"/>
      <c r="AHS4" s="129"/>
      <c r="AHT4" s="129"/>
      <c r="AHU4" s="129"/>
      <c r="AHV4" s="129"/>
      <c r="AHW4" s="129"/>
      <c r="AHX4" s="129" t="s">
        <v>151</v>
      </c>
      <c r="AHY4" s="129"/>
      <c r="AHZ4" s="129"/>
      <c r="AIA4" s="129"/>
      <c r="AIB4" s="129"/>
      <c r="AIC4" s="129"/>
      <c r="AID4" s="129"/>
      <c r="AIE4" s="129" t="s">
        <v>37</v>
      </c>
      <c r="AIF4" s="129"/>
      <c r="AIG4" s="129"/>
      <c r="AIH4" s="129"/>
      <c r="AII4" s="129"/>
      <c r="AIJ4" s="129"/>
      <c r="AIK4" s="129"/>
      <c r="AIL4" s="129" t="s">
        <v>40</v>
      </c>
      <c r="AIM4" s="129"/>
      <c r="AIN4" s="129"/>
      <c r="AIO4" s="129"/>
      <c r="AIP4" s="129"/>
      <c r="AIQ4" s="129"/>
      <c r="AIR4" s="129"/>
      <c r="AIT4" s="144" t="s">
        <v>147</v>
      </c>
      <c r="AIU4" s="144"/>
      <c r="AIV4" s="144"/>
      <c r="AIW4" s="144"/>
      <c r="AIX4" s="144"/>
      <c r="AIY4" s="144"/>
      <c r="AIZ4" s="144"/>
      <c r="AJA4" s="144"/>
      <c r="AJB4" s="144"/>
      <c r="AJC4" s="144"/>
      <c r="AJD4" s="144"/>
      <c r="AJE4" s="144"/>
      <c r="AJF4" s="144"/>
      <c r="AJG4" s="144"/>
      <c r="AJH4" s="144"/>
      <c r="AJI4" s="144"/>
      <c r="AJJ4" s="144"/>
      <c r="AJK4" s="144"/>
      <c r="AJL4" s="144"/>
      <c r="AJM4" s="144"/>
      <c r="AJN4" s="144"/>
      <c r="AJO4" s="144"/>
      <c r="AJP4" s="144"/>
      <c r="AJQ4" s="144"/>
      <c r="AJR4" s="144"/>
      <c r="AJS4" s="144"/>
      <c r="AJT4" s="144"/>
      <c r="AJU4" s="144"/>
      <c r="AJV4" s="144"/>
      <c r="AJW4" s="144"/>
      <c r="AJX4" s="144"/>
      <c r="AJY4" s="129" t="s">
        <v>133</v>
      </c>
      <c r="AJZ4" s="129"/>
      <c r="AKA4" s="129"/>
      <c r="AKB4" s="129"/>
      <c r="AKC4" s="129" t="s">
        <v>148</v>
      </c>
      <c r="AKD4" s="129"/>
      <c r="AKE4" s="129"/>
      <c r="AKF4" s="129"/>
      <c r="AKG4" s="129"/>
      <c r="AKH4" s="129" t="s">
        <v>83</v>
      </c>
      <c r="AKI4" s="129"/>
      <c r="AKJ4" s="129"/>
      <c r="AKK4" s="129"/>
      <c r="AKL4" s="129"/>
      <c r="AKM4" s="129"/>
      <c r="AKN4" s="129" t="s">
        <v>37</v>
      </c>
      <c r="AKO4" s="129"/>
      <c r="AKP4" s="129"/>
      <c r="AKQ4" s="129"/>
      <c r="AKR4" s="129"/>
      <c r="AKS4" s="129"/>
      <c r="AKT4" s="129" t="s">
        <v>49</v>
      </c>
      <c r="AKU4" s="129"/>
      <c r="AKV4" s="129"/>
      <c r="AKW4" s="129"/>
      <c r="AKX4" s="129"/>
      <c r="AKY4" s="129"/>
      <c r="AKZ4" s="129" t="s">
        <v>149</v>
      </c>
      <c r="ALA4" s="129"/>
      <c r="ALB4" s="129"/>
      <c r="ALC4" s="129"/>
      <c r="ALD4" s="129"/>
      <c r="ALE4" s="129"/>
      <c r="ALF4" s="129"/>
      <c r="ALG4" s="129" t="s">
        <v>150</v>
      </c>
      <c r="ALH4" s="129"/>
      <c r="ALI4" s="129"/>
      <c r="ALJ4" s="129"/>
      <c r="ALK4" s="129"/>
      <c r="ALL4" s="129"/>
      <c r="ALM4" s="129"/>
      <c r="ALN4" s="129" t="s">
        <v>151</v>
      </c>
      <c r="ALO4" s="129"/>
      <c r="ALP4" s="129"/>
      <c r="ALQ4" s="129"/>
      <c r="ALR4" s="129"/>
      <c r="ALS4" s="129"/>
      <c r="ALT4" s="129"/>
      <c r="ALU4" s="129" t="s">
        <v>37</v>
      </c>
      <c r="ALV4" s="129"/>
      <c r="ALW4" s="129"/>
      <c r="ALX4" s="129"/>
      <c r="ALY4" s="129"/>
      <c r="ALZ4" s="129"/>
      <c r="AMA4" s="129"/>
      <c r="AMB4" s="129" t="s">
        <v>40</v>
      </c>
      <c r="AMC4" s="129"/>
      <c r="AMD4" s="129"/>
      <c r="AME4" s="129"/>
      <c r="AMF4" s="129"/>
      <c r="AMG4" s="129"/>
      <c r="AMH4" s="129"/>
      <c r="AMJ4" s="144" t="s">
        <v>147</v>
      </c>
      <c r="AMK4" s="144"/>
      <c r="AML4" s="144"/>
      <c r="AMM4" s="144"/>
      <c r="AMN4" s="144"/>
      <c r="AMO4" s="144"/>
      <c r="AMP4" s="144"/>
      <c r="AMQ4" s="144"/>
      <c r="AMR4" s="144"/>
      <c r="AMS4" s="144"/>
      <c r="AMT4" s="144"/>
      <c r="AMU4" s="144"/>
      <c r="AMV4" s="144"/>
      <c r="AMW4" s="144"/>
      <c r="AMX4" s="144"/>
      <c r="AMY4" s="144"/>
      <c r="AMZ4" s="144"/>
      <c r="ANA4" s="144"/>
      <c r="ANB4" s="144"/>
      <c r="ANC4" s="144"/>
      <c r="AND4" s="144"/>
      <c r="ANE4" s="144"/>
      <c r="ANF4" s="144"/>
      <c r="ANG4" s="144"/>
      <c r="ANH4" s="144"/>
      <c r="ANI4" s="144"/>
      <c r="ANJ4" s="144"/>
      <c r="ANK4" s="144"/>
      <c r="ANL4" s="144"/>
      <c r="ANM4" s="144"/>
      <c r="ANN4" s="144"/>
      <c r="ANO4" s="129" t="s">
        <v>133</v>
      </c>
      <c r="ANP4" s="129"/>
      <c r="ANQ4" s="129"/>
      <c r="ANR4" s="129"/>
      <c r="ANS4" s="129" t="s">
        <v>148</v>
      </c>
      <c r="ANT4" s="129"/>
      <c r="ANU4" s="129"/>
      <c r="ANV4" s="129"/>
      <c r="ANW4" s="129"/>
      <c r="ANX4" s="129" t="s">
        <v>83</v>
      </c>
      <c r="ANY4" s="129"/>
      <c r="ANZ4" s="129"/>
      <c r="AOA4" s="129"/>
      <c r="AOB4" s="129"/>
      <c r="AOC4" s="129"/>
      <c r="AOD4" s="129" t="s">
        <v>37</v>
      </c>
      <c r="AOE4" s="129"/>
      <c r="AOF4" s="129"/>
      <c r="AOG4" s="129"/>
      <c r="AOH4" s="129"/>
      <c r="AOI4" s="129"/>
      <c r="AOJ4" s="129" t="s">
        <v>49</v>
      </c>
      <c r="AOK4" s="129"/>
      <c r="AOL4" s="129"/>
      <c r="AOM4" s="129"/>
      <c r="AON4" s="129"/>
      <c r="AOO4" s="129"/>
      <c r="AOP4" s="129" t="s">
        <v>149</v>
      </c>
      <c r="AOQ4" s="129"/>
      <c r="AOR4" s="129"/>
      <c r="AOS4" s="129"/>
      <c r="AOT4" s="129"/>
      <c r="AOU4" s="129"/>
      <c r="AOV4" s="129"/>
      <c r="AOW4" s="129" t="s">
        <v>150</v>
      </c>
      <c r="AOX4" s="129"/>
      <c r="AOY4" s="129"/>
      <c r="AOZ4" s="129"/>
      <c r="APA4" s="129"/>
      <c r="APB4" s="129"/>
      <c r="APC4" s="129"/>
      <c r="APD4" s="129" t="s">
        <v>151</v>
      </c>
      <c r="APE4" s="129"/>
      <c r="APF4" s="129"/>
      <c r="APG4" s="129"/>
      <c r="APH4" s="129"/>
      <c r="API4" s="129"/>
      <c r="APJ4" s="129"/>
      <c r="APK4" s="129" t="s">
        <v>37</v>
      </c>
      <c r="APL4" s="129"/>
      <c r="APM4" s="129"/>
      <c r="APN4" s="129"/>
      <c r="APO4" s="129"/>
      <c r="APP4" s="129"/>
      <c r="APQ4" s="129"/>
      <c r="APR4" s="129" t="s">
        <v>40</v>
      </c>
      <c r="APS4" s="129"/>
      <c r="APT4" s="129"/>
      <c r="APU4" s="129"/>
      <c r="APV4" s="129"/>
      <c r="APW4" s="129"/>
      <c r="APX4" s="129"/>
      <c r="APZ4" s="144" t="s">
        <v>147</v>
      </c>
      <c r="AQA4" s="144"/>
      <c r="AQB4" s="144"/>
      <c r="AQC4" s="144"/>
      <c r="AQD4" s="144"/>
      <c r="AQE4" s="144"/>
      <c r="AQF4" s="144"/>
      <c r="AQG4" s="144"/>
      <c r="AQH4" s="144"/>
      <c r="AQI4" s="144"/>
      <c r="AQJ4" s="144"/>
      <c r="AQK4" s="144"/>
      <c r="AQL4" s="144"/>
      <c r="AQM4" s="144"/>
      <c r="AQN4" s="144"/>
      <c r="AQO4" s="144"/>
      <c r="AQP4" s="144"/>
      <c r="AQQ4" s="144"/>
      <c r="AQR4" s="144"/>
      <c r="AQS4" s="144"/>
      <c r="AQT4" s="144"/>
      <c r="AQU4" s="144"/>
      <c r="AQV4" s="144"/>
      <c r="AQW4" s="144"/>
      <c r="AQX4" s="144"/>
      <c r="AQY4" s="144"/>
      <c r="AQZ4" s="144"/>
      <c r="ARA4" s="144"/>
      <c r="ARB4" s="144"/>
      <c r="ARC4" s="144"/>
      <c r="ARD4" s="144"/>
      <c r="ARE4" s="129" t="s">
        <v>133</v>
      </c>
      <c r="ARF4" s="129"/>
      <c r="ARG4" s="129"/>
      <c r="ARH4" s="129"/>
      <c r="ARI4" s="129" t="s">
        <v>148</v>
      </c>
      <c r="ARJ4" s="129"/>
      <c r="ARK4" s="129"/>
      <c r="ARL4" s="129"/>
      <c r="ARM4" s="129"/>
      <c r="ARN4" s="129" t="s">
        <v>83</v>
      </c>
      <c r="ARO4" s="129"/>
      <c r="ARP4" s="129"/>
      <c r="ARQ4" s="129"/>
      <c r="ARR4" s="129"/>
      <c r="ARS4" s="129"/>
      <c r="ART4" s="129" t="s">
        <v>37</v>
      </c>
      <c r="ARU4" s="129"/>
      <c r="ARV4" s="129"/>
      <c r="ARW4" s="129"/>
      <c r="ARX4" s="129"/>
      <c r="ARY4" s="129"/>
      <c r="ARZ4" s="129" t="s">
        <v>49</v>
      </c>
      <c r="ASA4" s="129"/>
      <c r="ASB4" s="129"/>
      <c r="ASC4" s="129"/>
      <c r="ASD4" s="129"/>
      <c r="ASE4" s="129"/>
      <c r="ASF4" s="129" t="s">
        <v>149</v>
      </c>
      <c r="ASG4" s="129"/>
      <c r="ASH4" s="129"/>
      <c r="ASI4" s="129"/>
      <c r="ASJ4" s="129"/>
      <c r="ASK4" s="129"/>
      <c r="ASL4" s="129"/>
      <c r="ASM4" s="129" t="s">
        <v>150</v>
      </c>
      <c r="ASN4" s="129"/>
      <c r="ASO4" s="129"/>
      <c r="ASP4" s="129"/>
      <c r="ASQ4" s="129"/>
      <c r="ASR4" s="129"/>
      <c r="ASS4" s="129"/>
      <c r="AST4" s="129" t="s">
        <v>151</v>
      </c>
      <c r="ASU4" s="129"/>
      <c r="ASV4" s="129"/>
      <c r="ASW4" s="129"/>
      <c r="ASX4" s="129"/>
      <c r="ASY4" s="129"/>
      <c r="ASZ4" s="129"/>
      <c r="ATA4" s="129" t="s">
        <v>37</v>
      </c>
      <c r="ATB4" s="129"/>
      <c r="ATC4" s="129"/>
      <c r="ATD4" s="129"/>
      <c r="ATE4" s="129"/>
      <c r="ATF4" s="129"/>
      <c r="ATG4" s="129"/>
      <c r="ATH4" s="129" t="s">
        <v>40</v>
      </c>
      <c r="ATI4" s="129"/>
      <c r="ATJ4" s="129"/>
      <c r="ATK4" s="129"/>
      <c r="ATL4" s="129"/>
      <c r="ATM4" s="129"/>
      <c r="ATN4" s="129"/>
      <c r="ATP4" s="144" t="s">
        <v>147</v>
      </c>
      <c r="ATQ4" s="144"/>
      <c r="ATR4" s="144"/>
      <c r="ATS4" s="144"/>
      <c r="ATT4" s="144"/>
      <c r="ATU4" s="144"/>
      <c r="ATV4" s="144"/>
      <c r="ATW4" s="144"/>
      <c r="ATX4" s="144"/>
      <c r="ATY4" s="144"/>
      <c r="ATZ4" s="144"/>
      <c r="AUA4" s="144"/>
      <c r="AUB4" s="144"/>
      <c r="AUC4" s="144"/>
      <c r="AUD4" s="144"/>
      <c r="AUE4" s="144"/>
      <c r="AUF4" s="144"/>
      <c r="AUG4" s="144"/>
      <c r="AUH4" s="144"/>
      <c r="AUI4" s="144"/>
      <c r="AUJ4" s="144"/>
      <c r="AUK4" s="144"/>
      <c r="AUL4" s="144"/>
      <c r="AUM4" s="144"/>
      <c r="AUN4" s="144"/>
      <c r="AUO4" s="144"/>
      <c r="AUP4" s="144"/>
      <c r="AUQ4" s="144"/>
      <c r="AUR4" s="144"/>
      <c r="AUS4" s="144"/>
      <c r="AUT4" s="144"/>
      <c r="AUU4" s="129" t="s">
        <v>133</v>
      </c>
      <c r="AUV4" s="129"/>
      <c r="AUW4" s="129"/>
      <c r="AUX4" s="129"/>
      <c r="AUY4" s="129" t="s">
        <v>148</v>
      </c>
      <c r="AUZ4" s="129"/>
      <c r="AVA4" s="129"/>
      <c r="AVB4" s="129"/>
      <c r="AVC4" s="129"/>
      <c r="AVD4" s="129" t="s">
        <v>83</v>
      </c>
      <c r="AVE4" s="129"/>
      <c r="AVF4" s="129"/>
      <c r="AVG4" s="129"/>
      <c r="AVH4" s="129"/>
      <c r="AVI4" s="129"/>
      <c r="AVJ4" s="129" t="s">
        <v>37</v>
      </c>
      <c r="AVK4" s="129"/>
      <c r="AVL4" s="129"/>
      <c r="AVM4" s="129"/>
      <c r="AVN4" s="129"/>
      <c r="AVO4" s="129"/>
      <c r="AVP4" s="129" t="s">
        <v>49</v>
      </c>
      <c r="AVQ4" s="129"/>
      <c r="AVR4" s="129"/>
      <c r="AVS4" s="129"/>
      <c r="AVT4" s="129"/>
      <c r="AVU4" s="129"/>
      <c r="AVV4" s="129" t="s">
        <v>149</v>
      </c>
      <c r="AVW4" s="129"/>
      <c r="AVX4" s="129"/>
      <c r="AVY4" s="129"/>
      <c r="AVZ4" s="129"/>
      <c r="AWA4" s="129"/>
      <c r="AWB4" s="129"/>
      <c r="AWC4" s="129" t="s">
        <v>150</v>
      </c>
      <c r="AWD4" s="129"/>
      <c r="AWE4" s="129"/>
      <c r="AWF4" s="129"/>
      <c r="AWG4" s="129"/>
      <c r="AWH4" s="129"/>
      <c r="AWI4" s="129"/>
      <c r="AWJ4" s="129" t="s">
        <v>151</v>
      </c>
      <c r="AWK4" s="129"/>
      <c r="AWL4" s="129"/>
      <c r="AWM4" s="129"/>
      <c r="AWN4" s="129"/>
      <c r="AWO4" s="129"/>
      <c r="AWP4" s="129"/>
      <c r="AWQ4" s="129" t="s">
        <v>37</v>
      </c>
      <c r="AWR4" s="129"/>
      <c r="AWS4" s="129"/>
      <c r="AWT4" s="129"/>
      <c r="AWU4" s="129"/>
      <c r="AWV4" s="129"/>
      <c r="AWW4" s="129"/>
      <c r="AWX4" s="129" t="s">
        <v>40</v>
      </c>
      <c r="AWY4" s="129"/>
      <c r="AWZ4" s="129"/>
      <c r="AXA4" s="129"/>
      <c r="AXB4" s="129"/>
      <c r="AXC4" s="129"/>
      <c r="AXD4" s="129"/>
      <c r="AXF4" s="144" t="s">
        <v>147</v>
      </c>
      <c r="AXG4" s="144"/>
      <c r="AXH4" s="144"/>
      <c r="AXI4" s="144"/>
      <c r="AXJ4" s="144"/>
      <c r="AXK4" s="144"/>
      <c r="AXL4" s="144"/>
      <c r="AXM4" s="144"/>
      <c r="AXN4" s="144"/>
      <c r="AXO4" s="144"/>
      <c r="AXP4" s="144"/>
      <c r="AXQ4" s="144"/>
      <c r="AXR4" s="144"/>
      <c r="AXS4" s="144"/>
      <c r="AXT4" s="144"/>
      <c r="AXU4" s="144"/>
      <c r="AXV4" s="144"/>
      <c r="AXW4" s="144"/>
      <c r="AXX4" s="144"/>
      <c r="AXY4" s="144"/>
      <c r="AXZ4" s="144"/>
      <c r="AYA4" s="144"/>
      <c r="AYB4" s="144"/>
      <c r="AYC4" s="144"/>
      <c r="AYD4" s="144"/>
      <c r="AYE4" s="144"/>
      <c r="AYF4" s="144"/>
      <c r="AYG4" s="144"/>
      <c r="AYH4" s="144"/>
      <c r="AYI4" s="144"/>
      <c r="AYJ4" s="144"/>
      <c r="AYK4" s="129" t="s">
        <v>133</v>
      </c>
      <c r="AYL4" s="129"/>
      <c r="AYM4" s="129"/>
      <c r="AYN4" s="129"/>
      <c r="AYO4" s="129" t="s">
        <v>148</v>
      </c>
      <c r="AYP4" s="129"/>
      <c r="AYQ4" s="129"/>
      <c r="AYR4" s="129"/>
      <c r="AYS4" s="129"/>
      <c r="AYT4" s="129" t="s">
        <v>83</v>
      </c>
      <c r="AYU4" s="129"/>
      <c r="AYV4" s="129"/>
      <c r="AYW4" s="129"/>
      <c r="AYX4" s="129"/>
      <c r="AYY4" s="129"/>
      <c r="AYZ4" s="129" t="s">
        <v>37</v>
      </c>
      <c r="AZA4" s="129"/>
      <c r="AZB4" s="129"/>
      <c r="AZC4" s="129"/>
      <c r="AZD4" s="129"/>
      <c r="AZE4" s="129"/>
      <c r="AZF4" s="129" t="s">
        <v>49</v>
      </c>
      <c r="AZG4" s="129"/>
      <c r="AZH4" s="129"/>
      <c r="AZI4" s="129"/>
      <c r="AZJ4" s="129"/>
      <c r="AZK4" s="129"/>
      <c r="AZL4" s="129" t="s">
        <v>149</v>
      </c>
      <c r="AZM4" s="129"/>
      <c r="AZN4" s="129"/>
      <c r="AZO4" s="129"/>
      <c r="AZP4" s="129"/>
      <c r="AZQ4" s="129"/>
      <c r="AZR4" s="129"/>
      <c r="AZS4" s="129" t="s">
        <v>150</v>
      </c>
      <c r="AZT4" s="129"/>
      <c r="AZU4" s="129"/>
      <c r="AZV4" s="129"/>
      <c r="AZW4" s="129"/>
      <c r="AZX4" s="129"/>
      <c r="AZY4" s="129"/>
      <c r="AZZ4" s="129" t="s">
        <v>151</v>
      </c>
      <c r="BAA4" s="129"/>
      <c r="BAB4" s="129"/>
      <c r="BAC4" s="129"/>
      <c r="BAD4" s="129"/>
      <c r="BAE4" s="129"/>
      <c r="BAF4" s="129"/>
      <c r="BAG4" s="129" t="s">
        <v>37</v>
      </c>
      <c r="BAH4" s="129"/>
      <c r="BAI4" s="129"/>
      <c r="BAJ4" s="129"/>
      <c r="BAK4" s="129"/>
      <c r="BAL4" s="129"/>
      <c r="BAM4" s="129"/>
      <c r="BAN4" s="129" t="s">
        <v>40</v>
      </c>
      <c r="BAO4" s="129"/>
      <c r="BAP4" s="129"/>
      <c r="BAQ4" s="129"/>
      <c r="BAR4" s="129"/>
      <c r="BAS4" s="129"/>
      <c r="BAT4" s="129"/>
      <c r="BAV4" s="144" t="s">
        <v>147</v>
      </c>
      <c r="BAW4" s="144"/>
      <c r="BAX4" s="144"/>
      <c r="BAY4" s="144"/>
      <c r="BAZ4" s="144"/>
      <c r="BBA4" s="144"/>
      <c r="BBB4" s="144"/>
      <c r="BBC4" s="144"/>
      <c r="BBD4" s="144"/>
      <c r="BBE4" s="144"/>
      <c r="BBF4" s="144"/>
      <c r="BBG4" s="144"/>
      <c r="BBH4" s="144"/>
      <c r="BBI4" s="144"/>
      <c r="BBJ4" s="144"/>
      <c r="BBK4" s="144"/>
      <c r="BBL4" s="144"/>
      <c r="BBM4" s="144"/>
      <c r="BBN4" s="144"/>
      <c r="BBO4" s="144"/>
      <c r="BBP4" s="144"/>
      <c r="BBQ4" s="144"/>
      <c r="BBR4" s="144"/>
      <c r="BBS4" s="144"/>
      <c r="BBT4" s="144"/>
      <c r="BBU4" s="144"/>
      <c r="BBV4" s="144"/>
      <c r="BBW4" s="144"/>
      <c r="BBX4" s="144"/>
      <c r="BBY4" s="144"/>
      <c r="BBZ4" s="144"/>
      <c r="BCA4" s="129" t="s">
        <v>133</v>
      </c>
      <c r="BCB4" s="129"/>
      <c r="BCC4" s="129"/>
      <c r="BCD4" s="129"/>
      <c r="BCE4" s="129" t="s">
        <v>148</v>
      </c>
      <c r="BCF4" s="129"/>
      <c r="BCG4" s="129"/>
      <c r="BCH4" s="129"/>
      <c r="BCI4" s="129"/>
      <c r="BCJ4" s="129" t="s">
        <v>83</v>
      </c>
      <c r="BCK4" s="129"/>
      <c r="BCL4" s="129"/>
      <c r="BCM4" s="129"/>
      <c r="BCN4" s="129"/>
      <c r="BCO4" s="129"/>
      <c r="BCP4" s="129" t="s">
        <v>37</v>
      </c>
      <c r="BCQ4" s="129"/>
      <c r="BCR4" s="129"/>
      <c r="BCS4" s="129"/>
      <c r="BCT4" s="129"/>
      <c r="BCU4" s="129"/>
      <c r="BCV4" s="129" t="s">
        <v>49</v>
      </c>
      <c r="BCW4" s="129"/>
      <c r="BCX4" s="129"/>
      <c r="BCY4" s="129"/>
      <c r="BCZ4" s="129"/>
      <c r="BDA4" s="129"/>
      <c r="BDB4" s="129" t="s">
        <v>149</v>
      </c>
      <c r="BDC4" s="129"/>
      <c r="BDD4" s="129"/>
      <c r="BDE4" s="129"/>
      <c r="BDF4" s="129"/>
      <c r="BDG4" s="129"/>
      <c r="BDH4" s="129"/>
      <c r="BDI4" s="129" t="s">
        <v>150</v>
      </c>
      <c r="BDJ4" s="129"/>
      <c r="BDK4" s="129"/>
      <c r="BDL4" s="129"/>
      <c r="BDM4" s="129"/>
      <c r="BDN4" s="129"/>
      <c r="BDO4" s="129"/>
      <c r="BDP4" s="129" t="s">
        <v>151</v>
      </c>
      <c r="BDQ4" s="129"/>
      <c r="BDR4" s="129"/>
      <c r="BDS4" s="129"/>
      <c r="BDT4" s="129"/>
      <c r="BDU4" s="129"/>
      <c r="BDV4" s="129"/>
      <c r="BDW4" s="129" t="s">
        <v>37</v>
      </c>
      <c r="BDX4" s="129"/>
      <c r="BDY4" s="129"/>
      <c r="BDZ4" s="129"/>
      <c r="BEA4" s="129"/>
      <c r="BEB4" s="129"/>
      <c r="BEC4" s="129"/>
      <c r="BED4" s="129" t="s">
        <v>40</v>
      </c>
      <c r="BEE4" s="129"/>
      <c r="BEF4" s="129"/>
      <c r="BEG4" s="129"/>
      <c r="BEH4" s="129"/>
      <c r="BEI4" s="129"/>
      <c r="BEJ4" s="129"/>
      <c r="BEL4" s="144" t="s">
        <v>147</v>
      </c>
      <c r="BEM4" s="144"/>
      <c r="BEN4" s="144"/>
      <c r="BEO4" s="144"/>
      <c r="BEP4" s="144"/>
      <c r="BEQ4" s="144"/>
      <c r="BER4" s="144"/>
      <c r="BES4" s="144"/>
      <c r="BET4" s="144"/>
      <c r="BEU4" s="144"/>
      <c r="BEV4" s="144"/>
      <c r="BEW4" s="144"/>
      <c r="BEX4" s="144"/>
      <c r="BEY4" s="144"/>
      <c r="BEZ4" s="144"/>
      <c r="BFA4" s="144"/>
      <c r="BFB4" s="144"/>
      <c r="BFC4" s="144"/>
      <c r="BFD4" s="144"/>
      <c r="BFE4" s="144"/>
      <c r="BFF4" s="144"/>
      <c r="BFG4" s="144"/>
      <c r="BFH4" s="144"/>
      <c r="BFI4" s="144"/>
      <c r="BFJ4" s="144"/>
      <c r="BFK4" s="144"/>
      <c r="BFL4" s="144"/>
      <c r="BFM4" s="144"/>
      <c r="BFN4" s="144"/>
      <c r="BFO4" s="144"/>
      <c r="BFP4" s="144"/>
      <c r="BFQ4" s="129" t="s">
        <v>133</v>
      </c>
      <c r="BFR4" s="129"/>
      <c r="BFS4" s="129"/>
      <c r="BFT4" s="129"/>
      <c r="BFU4" s="129" t="s">
        <v>148</v>
      </c>
      <c r="BFV4" s="129"/>
      <c r="BFW4" s="129"/>
      <c r="BFX4" s="129"/>
      <c r="BFY4" s="129"/>
      <c r="BFZ4" s="129" t="s">
        <v>83</v>
      </c>
      <c r="BGA4" s="129"/>
      <c r="BGB4" s="129"/>
      <c r="BGC4" s="129"/>
      <c r="BGD4" s="129"/>
      <c r="BGE4" s="129"/>
      <c r="BGF4" s="129" t="s">
        <v>37</v>
      </c>
      <c r="BGG4" s="129"/>
      <c r="BGH4" s="129"/>
      <c r="BGI4" s="129"/>
      <c r="BGJ4" s="129"/>
      <c r="BGK4" s="129"/>
      <c r="BGL4" s="129" t="s">
        <v>49</v>
      </c>
      <c r="BGM4" s="129"/>
      <c r="BGN4" s="129"/>
      <c r="BGO4" s="129"/>
      <c r="BGP4" s="129"/>
      <c r="BGQ4" s="129"/>
      <c r="BGR4" s="129" t="s">
        <v>149</v>
      </c>
      <c r="BGS4" s="129"/>
      <c r="BGT4" s="129"/>
      <c r="BGU4" s="129"/>
      <c r="BGV4" s="129"/>
      <c r="BGW4" s="129"/>
      <c r="BGX4" s="129"/>
      <c r="BGY4" s="129" t="s">
        <v>150</v>
      </c>
      <c r="BGZ4" s="129"/>
      <c r="BHA4" s="129"/>
      <c r="BHB4" s="129"/>
      <c r="BHC4" s="129"/>
      <c r="BHD4" s="129"/>
      <c r="BHE4" s="129"/>
      <c r="BHF4" s="129" t="s">
        <v>151</v>
      </c>
      <c r="BHG4" s="129"/>
      <c r="BHH4" s="129"/>
      <c r="BHI4" s="129"/>
      <c r="BHJ4" s="129"/>
      <c r="BHK4" s="129"/>
      <c r="BHL4" s="129"/>
      <c r="BHM4" s="129" t="s">
        <v>37</v>
      </c>
      <c r="BHN4" s="129"/>
      <c r="BHO4" s="129"/>
      <c r="BHP4" s="129"/>
      <c r="BHQ4" s="129"/>
      <c r="BHR4" s="129"/>
      <c r="BHS4" s="129"/>
      <c r="BHT4" s="129" t="s">
        <v>40</v>
      </c>
      <c r="BHU4" s="129"/>
      <c r="BHV4" s="129"/>
      <c r="BHW4" s="129"/>
      <c r="BHX4" s="129"/>
      <c r="BHY4" s="129"/>
      <c r="BHZ4" s="129"/>
      <c r="BIB4" s="144" t="s">
        <v>147</v>
      </c>
      <c r="BIC4" s="144"/>
      <c r="BID4" s="144"/>
      <c r="BIE4" s="144"/>
      <c r="BIF4" s="144"/>
      <c r="BIG4" s="144"/>
      <c r="BIH4" s="144"/>
      <c r="BII4" s="144"/>
      <c r="BIJ4" s="144"/>
      <c r="BIK4" s="144"/>
      <c r="BIL4" s="144"/>
      <c r="BIM4" s="144"/>
      <c r="BIN4" s="144"/>
      <c r="BIO4" s="144"/>
      <c r="BIP4" s="144"/>
      <c r="BIQ4" s="144"/>
      <c r="BIR4" s="144"/>
      <c r="BIS4" s="144"/>
      <c r="BIT4" s="144"/>
      <c r="BIU4" s="144"/>
      <c r="BIV4" s="144"/>
      <c r="BIW4" s="144"/>
      <c r="BIX4" s="144"/>
      <c r="BIY4" s="144"/>
      <c r="BIZ4" s="144"/>
      <c r="BJA4" s="144"/>
      <c r="BJB4" s="144"/>
      <c r="BJC4" s="144"/>
      <c r="BJD4" s="144"/>
      <c r="BJE4" s="144"/>
      <c r="BJF4" s="144"/>
      <c r="BJG4" s="129" t="s">
        <v>133</v>
      </c>
      <c r="BJH4" s="129"/>
      <c r="BJI4" s="129"/>
      <c r="BJJ4" s="129"/>
      <c r="BJK4" s="129" t="s">
        <v>148</v>
      </c>
      <c r="BJL4" s="129"/>
      <c r="BJM4" s="129"/>
      <c r="BJN4" s="129"/>
      <c r="BJO4" s="129"/>
      <c r="BJP4" s="129" t="s">
        <v>83</v>
      </c>
      <c r="BJQ4" s="129"/>
      <c r="BJR4" s="129"/>
      <c r="BJS4" s="129"/>
      <c r="BJT4" s="129"/>
      <c r="BJU4" s="129"/>
      <c r="BJV4" s="129" t="s">
        <v>37</v>
      </c>
      <c r="BJW4" s="129"/>
      <c r="BJX4" s="129"/>
      <c r="BJY4" s="129"/>
      <c r="BJZ4" s="129"/>
      <c r="BKA4" s="129"/>
      <c r="BKB4" s="129" t="s">
        <v>49</v>
      </c>
      <c r="BKC4" s="129"/>
      <c r="BKD4" s="129"/>
      <c r="BKE4" s="129"/>
      <c r="BKF4" s="129"/>
      <c r="BKG4" s="129"/>
      <c r="BKH4" s="129" t="s">
        <v>149</v>
      </c>
      <c r="BKI4" s="129"/>
      <c r="BKJ4" s="129"/>
      <c r="BKK4" s="129"/>
      <c r="BKL4" s="129"/>
      <c r="BKM4" s="129"/>
      <c r="BKN4" s="129"/>
      <c r="BKO4" s="129" t="s">
        <v>150</v>
      </c>
      <c r="BKP4" s="129"/>
      <c r="BKQ4" s="129"/>
      <c r="BKR4" s="129"/>
      <c r="BKS4" s="129"/>
      <c r="BKT4" s="129"/>
      <c r="BKU4" s="129"/>
      <c r="BKV4" s="129" t="s">
        <v>151</v>
      </c>
      <c r="BKW4" s="129"/>
      <c r="BKX4" s="129"/>
      <c r="BKY4" s="129"/>
      <c r="BKZ4" s="129"/>
      <c r="BLA4" s="129"/>
      <c r="BLB4" s="129"/>
      <c r="BLC4" s="129" t="s">
        <v>37</v>
      </c>
      <c r="BLD4" s="129"/>
      <c r="BLE4" s="129"/>
      <c r="BLF4" s="129"/>
      <c r="BLG4" s="129"/>
      <c r="BLH4" s="129"/>
      <c r="BLI4" s="129"/>
      <c r="BLJ4" s="129" t="s">
        <v>40</v>
      </c>
      <c r="BLK4" s="129"/>
      <c r="BLL4" s="129"/>
      <c r="BLM4" s="129"/>
      <c r="BLN4" s="129"/>
      <c r="BLO4" s="129"/>
      <c r="BLP4" s="129"/>
      <c r="BLR4" s="144" t="s">
        <v>147</v>
      </c>
      <c r="BLS4" s="144"/>
      <c r="BLT4" s="144"/>
      <c r="BLU4" s="144"/>
      <c r="BLV4" s="144"/>
      <c r="BLW4" s="144"/>
      <c r="BLX4" s="144"/>
      <c r="BLY4" s="144"/>
      <c r="BLZ4" s="144"/>
      <c r="BMA4" s="144"/>
      <c r="BMB4" s="144"/>
      <c r="BMC4" s="144"/>
      <c r="BMD4" s="144"/>
      <c r="BME4" s="144"/>
      <c r="BMF4" s="144"/>
      <c r="BMG4" s="144"/>
      <c r="BMH4" s="144"/>
      <c r="BMI4" s="144"/>
      <c r="BMJ4" s="144"/>
      <c r="BMK4" s="144"/>
      <c r="BML4" s="144"/>
      <c r="BMM4" s="144"/>
      <c r="BMN4" s="144"/>
      <c r="BMO4" s="144"/>
      <c r="BMP4" s="144"/>
      <c r="BMQ4" s="144"/>
      <c r="BMR4" s="144"/>
      <c r="BMS4" s="144"/>
      <c r="BMT4" s="144"/>
      <c r="BMU4" s="144"/>
      <c r="BMV4" s="144"/>
      <c r="BMW4" s="129" t="s">
        <v>133</v>
      </c>
      <c r="BMX4" s="129"/>
      <c r="BMY4" s="129"/>
      <c r="BMZ4" s="129"/>
      <c r="BNA4" s="129" t="s">
        <v>148</v>
      </c>
      <c r="BNB4" s="129"/>
      <c r="BNC4" s="129"/>
      <c r="BND4" s="129"/>
      <c r="BNE4" s="129"/>
      <c r="BNF4" s="129" t="s">
        <v>83</v>
      </c>
      <c r="BNG4" s="129"/>
      <c r="BNH4" s="129"/>
      <c r="BNI4" s="129"/>
      <c r="BNJ4" s="129"/>
      <c r="BNK4" s="129"/>
      <c r="BNL4" s="129" t="s">
        <v>37</v>
      </c>
      <c r="BNM4" s="129"/>
      <c r="BNN4" s="129"/>
      <c r="BNO4" s="129"/>
      <c r="BNP4" s="129"/>
      <c r="BNQ4" s="129"/>
      <c r="BNR4" s="129" t="s">
        <v>49</v>
      </c>
      <c r="BNS4" s="129"/>
      <c r="BNT4" s="129"/>
      <c r="BNU4" s="129"/>
      <c r="BNV4" s="129"/>
      <c r="BNW4" s="129"/>
      <c r="BNX4" s="129" t="s">
        <v>149</v>
      </c>
      <c r="BNY4" s="129"/>
      <c r="BNZ4" s="129"/>
      <c r="BOA4" s="129"/>
      <c r="BOB4" s="129"/>
      <c r="BOC4" s="129"/>
      <c r="BOD4" s="129"/>
      <c r="BOE4" s="129" t="s">
        <v>150</v>
      </c>
      <c r="BOF4" s="129"/>
      <c r="BOG4" s="129"/>
      <c r="BOH4" s="129"/>
      <c r="BOI4" s="129"/>
      <c r="BOJ4" s="129"/>
      <c r="BOK4" s="129"/>
      <c r="BOL4" s="129" t="s">
        <v>151</v>
      </c>
      <c r="BOM4" s="129"/>
      <c r="BON4" s="129"/>
      <c r="BOO4" s="129"/>
      <c r="BOP4" s="129"/>
      <c r="BOQ4" s="129"/>
      <c r="BOR4" s="129"/>
      <c r="BOS4" s="129" t="s">
        <v>37</v>
      </c>
      <c r="BOT4" s="129"/>
      <c r="BOU4" s="129"/>
      <c r="BOV4" s="129"/>
      <c r="BOW4" s="129"/>
      <c r="BOX4" s="129"/>
      <c r="BOY4" s="129"/>
      <c r="BOZ4" s="129" t="s">
        <v>40</v>
      </c>
      <c r="BPA4" s="129"/>
      <c r="BPB4" s="129"/>
      <c r="BPC4" s="129"/>
      <c r="BPD4" s="129"/>
      <c r="BPE4" s="129"/>
      <c r="BPF4" s="129"/>
      <c r="BPH4" s="144" t="s">
        <v>147</v>
      </c>
      <c r="BPI4" s="144"/>
      <c r="BPJ4" s="144"/>
      <c r="BPK4" s="144"/>
      <c r="BPL4" s="144"/>
      <c r="BPM4" s="144"/>
      <c r="BPN4" s="144"/>
      <c r="BPO4" s="144"/>
      <c r="BPP4" s="144"/>
      <c r="BPQ4" s="144"/>
      <c r="BPR4" s="144"/>
      <c r="BPS4" s="144"/>
      <c r="BPT4" s="144"/>
      <c r="BPU4" s="144"/>
      <c r="BPV4" s="144"/>
      <c r="BPW4" s="144"/>
      <c r="BPX4" s="144"/>
      <c r="BPY4" s="144"/>
      <c r="BPZ4" s="144"/>
      <c r="BQA4" s="144"/>
      <c r="BQB4" s="144"/>
      <c r="BQC4" s="144"/>
      <c r="BQD4" s="144"/>
      <c r="BQE4" s="144"/>
      <c r="BQF4" s="144"/>
      <c r="BQG4" s="144"/>
      <c r="BQH4" s="144"/>
      <c r="BQI4" s="144"/>
      <c r="BQJ4" s="144"/>
      <c r="BQK4" s="144"/>
      <c r="BQL4" s="144"/>
      <c r="BQM4" s="129" t="s">
        <v>133</v>
      </c>
      <c r="BQN4" s="129"/>
      <c r="BQO4" s="129"/>
      <c r="BQP4" s="129"/>
      <c r="BQQ4" s="129" t="s">
        <v>148</v>
      </c>
      <c r="BQR4" s="129"/>
      <c r="BQS4" s="129"/>
      <c r="BQT4" s="129"/>
      <c r="BQU4" s="129"/>
      <c r="BQV4" s="129" t="s">
        <v>83</v>
      </c>
      <c r="BQW4" s="129"/>
      <c r="BQX4" s="129"/>
      <c r="BQY4" s="129"/>
      <c r="BQZ4" s="129"/>
      <c r="BRA4" s="129"/>
      <c r="BRB4" s="129" t="s">
        <v>37</v>
      </c>
      <c r="BRC4" s="129"/>
      <c r="BRD4" s="129"/>
      <c r="BRE4" s="129"/>
      <c r="BRF4" s="129"/>
      <c r="BRG4" s="129"/>
      <c r="BRH4" s="129" t="s">
        <v>49</v>
      </c>
      <c r="BRI4" s="129"/>
      <c r="BRJ4" s="129"/>
      <c r="BRK4" s="129"/>
      <c r="BRL4" s="129"/>
      <c r="BRM4" s="129"/>
      <c r="BRN4" s="129" t="s">
        <v>149</v>
      </c>
      <c r="BRO4" s="129"/>
      <c r="BRP4" s="129"/>
      <c r="BRQ4" s="129"/>
      <c r="BRR4" s="129"/>
      <c r="BRS4" s="129"/>
      <c r="BRT4" s="129"/>
      <c r="BRU4" s="129" t="s">
        <v>150</v>
      </c>
      <c r="BRV4" s="129"/>
      <c r="BRW4" s="129"/>
      <c r="BRX4" s="129"/>
      <c r="BRY4" s="129"/>
      <c r="BRZ4" s="129"/>
      <c r="BSA4" s="129"/>
      <c r="BSB4" s="129" t="s">
        <v>151</v>
      </c>
      <c r="BSC4" s="129"/>
      <c r="BSD4" s="129"/>
      <c r="BSE4" s="129"/>
      <c r="BSF4" s="129"/>
      <c r="BSG4" s="129"/>
      <c r="BSH4" s="129"/>
      <c r="BSI4" s="129" t="s">
        <v>37</v>
      </c>
      <c r="BSJ4" s="129"/>
      <c r="BSK4" s="129"/>
      <c r="BSL4" s="129"/>
      <c r="BSM4" s="129"/>
      <c r="BSN4" s="129"/>
      <c r="BSO4" s="129"/>
      <c r="BSP4" s="129" t="s">
        <v>40</v>
      </c>
      <c r="BSQ4" s="129"/>
      <c r="BSR4" s="129"/>
      <c r="BSS4" s="129"/>
      <c r="BST4" s="129"/>
      <c r="BSU4" s="129"/>
      <c r="BSV4" s="129"/>
      <c r="BSX4" s="144" t="s">
        <v>147</v>
      </c>
      <c r="BSY4" s="144"/>
      <c r="BSZ4" s="144"/>
      <c r="BTA4" s="144"/>
      <c r="BTB4" s="144"/>
      <c r="BTC4" s="144"/>
      <c r="BTD4" s="144"/>
      <c r="BTE4" s="144"/>
      <c r="BTF4" s="144"/>
      <c r="BTG4" s="144"/>
      <c r="BTH4" s="144"/>
      <c r="BTI4" s="144"/>
      <c r="BTJ4" s="144"/>
      <c r="BTK4" s="144"/>
      <c r="BTL4" s="144"/>
      <c r="BTM4" s="144"/>
      <c r="BTN4" s="144"/>
      <c r="BTO4" s="144"/>
      <c r="BTP4" s="144"/>
      <c r="BTQ4" s="144"/>
      <c r="BTR4" s="144"/>
      <c r="BTS4" s="144"/>
      <c r="BTT4" s="144"/>
      <c r="BTU4" s="144"/>
      <c r="BTV4" s="144"/>
      <c r="BTW4" s="144"/>
      <c r="BTX4" s="144"/>
      <c r="BTY4" s="144"/>
      <c r="BTZ4" s="144"/>
      <c r="BUA4" s="144"/>
      <c r="BUB4" s="144"/>
      <c r="BUC4" s="129" t="s">
        <v>133</v>
      </c>
      <c r="BUD4" s="129"/>
      <c r="BUE4" s="129"/>
      <c r="BUF4" s="129"/>
      <c r="BUG4" s="129" t="s">
        <v>148</v>
      </c>
      <c r="BUH4" s="129"/>
      <c r="BUI4" s="129"/>
      <c r="BUJ4" s="129"/>
      <c r="BUK4" s="129"/>
      <c r="BUL4" s="129" t="s">
        <v>83</v>
      </c>
      <c r="BUM4" s="129"/>
      <c r="BUN4" s="129"/>
      <c r="BUO4" s="129"/>
      <c r="BUP4" s="129"/>
      <c r="BUQ4" s="129"/>
      <c r="BUR4" s="129" t="s">
        <v>37</v>
      </c>
      <c r="BUS4" s="129"/>
      <c r="BUT4" s="129"/>
      <c r="BUU4" s="129"/>
      <c r="BUV4" s="129"/>
      <c r="BUW4" s="129"/>
      <c r="BUX4" s="129" t="s">
        <v>49</v>
      </c>
      <c r="BUY4" s="129"/>
      <c r="BUZ4" s="129"/>
      <c r="BVA4" s="129"/>
      <c r="BVB4" s="129"/>
      <c r="BVC4" s="129"/>
      <c r="BVD4" s="129" t="s">
        <v>149</v>
      </c>
      <c r="BVE4" s="129"/>
      <c r="BVF4" s="129"/>
      <c r="BVG4" s="129"/>
      <c r="BVH4" s="129"/>
      <c r="BVI4" s="129"/>
      <c r="BVJ4" s="129"/>
      <c r="BVK4" s="129" t="s">
        <v>150</v>
      </c>
      <c r="BVL4" s="129"/>
      <c r="BVM4" s="129"/>
      <c r="BVN4" s="129"/>
      <c r="BVO4" s="129"/>
      <c r="BVP4" s="129"/>
      <c r="BVQ4" s="129"/>
      <c r="BVR4" s="129" t="s">
        <v>151</v>
      </c>
      <c r="BVS4" s="129"/>
      <c r="BVT4" s="129"/>
      <c r="BVU4" s="129"/>
      <c r="BVV4" s="129"/>
      <c r="BVW4" s="129"/>
      <c r="BVX4" s="129"/>
      <c r="BVY4" s="129" t="s">
        <v>37</v>
      </c>
      <c r="BVZ4" s="129"/>
      <c r="BWA4" s="129"/>
      <c r="BWB4" s="129"/>
      <c r="BWC4" s="129"/>
      <c r="BWD4" s="129"/>
      <c r="BWE4" s="129"/>
      <c r="BWF4" s="129" t="s">
        <v>40</v>
      </c>
      <c r="BWG4" s="129"/>
      <c r="BWH4" s="129"/>
      <c r="BWI4" s="129"/>
      <c r="BWJ4" s="129"/>
      <c r="BWK4" s="129"/>
      <c r="BWL4" s="129"/>
      <c r="BWN4" s="144" t="s">
        <v>147</v>
      </c>
      <c r="BWO4" s="144"/>
      <c r="BWP4" s="144"/>
      <c r="BWQ4" s="144"/>
      <c r="BWR4" s="144"/>
      <c r="BWS4" s="144"/>
      <c r="BWT4" s="144"/>
      <c r="BWU4" s="144"/>
      <c r="BWV4" s="144"/>
      <c r="BWW4" s="144"/>
      <c r="BWX4" s="144"/>
      <c r="BWY4" s="144"/>
      <c r="BWZ4" s="144"/>
      <c r="BXA4" s="144"/>
      <c r="BXB4" s="144"/>
      <c r="BXC4" s="144"/>
      <c r="BXD4" s="144"/>
      <c r="BXE4" s="144"/>
      <c r="BXF4" s="144"/>
      <c r="BXG4" s="144"/>
      <c r="BXH4" s="144"/>
      <c r="BXI4" s="144"/>
      <c r="BXJ4" s="144"/>
      <c r="BXK4" s="144"/>
      <c r="BXL4" s="144"/>
      <c r="BXM4" s="144"/>
      <c r="BXN4" s="144"/>
      <c r="BXO4" s="144"/>
      <c r="BXP4" s="144"/>
      <c r="BXQ4" s="144"/>
      <c r="BXR4" s="144"/>
      <c r="BXS4" s="129" t="s">
        <v>133</v>
      </c>
      <c r="BXT4" s="129"/>
      <c r="BXU4" s="129"/>
      <c r="BXV4" s="129"/>
      <c r="BXW4" s="129" t="s">
        <v>148</v>
      </c>
      <c r="BXX4" s="129"/>
      <c r="BXY4" s="129"/>
      <c r="BXZ4" s="129"/>
      <c r="BYA4" s="129"/>
      <c r="BYB4" s="129" t="s">
        <v>83</v>
      </c>
      <c r="BYC4" s="129"/>
      <c r="BYD4" s="129"/>
      <c r="BYE4" s="129"/>
      <c r="BYF4" s="129"/>
      <c r="BYG4" s="129"/>
      <c r="BYH4" s="129" t="s">
        <v>37</v>
      </c>
      <c r="BYI4" s="129"/>
      <c r="BYJ4" s="129"/>
      <c r="BYK4" s="129"/>
      <c r="BYL4" s="129"/>
      <c r="BYM4" s="129"/>
      <c r="BYN4" s="129" t="s">
        <v>49</v>
      </c>
      <c r="BYO4" s="129"/>
      <c r="BYP4" s="129"/>
      <c r="BYQ4" s="129"/>
      <c r="BYR4" s="129"/>
      <c r="BYS4" s="129"/>
      <c r="BYT4" s="129" t="s">
        <v>149</v>
      </c>
      <c r="BYU4" s="129"/>
      <c r="BYV4" s="129"/>
      <c r="BYW4" s="129"/>
      <c r="BYX4" s="129"/>
      <c r="BYY4" s="129"/>
      <c r="BYZ4" s="129"/>
      <c r="BZA4" s="129" t="s">
        <v>150</v>
      </c>
      <c r="BZB4" s="129"/>
      <c r="BZC4" s="129"/>
      <c r="BZD4" s="129"/>
      <c r="BZE4" s="129"/>
      <c r="BZF4" s="129"/>
      <c r="BZG4" s="129"/>
      <c r="BZH4" s="129" t="s">
        <v>151</v>
      </c>
      <c r="BZI4" s="129"/>
      <c r="BZJ4" s="129"/>
      <c r="BZK4" s="129"/>
      <c r="BZL4" s="129"/>
      <c r="BZM4" s="129"/>
      <c r="BZN4" s="129"/>
      <c r="BZO4" s="129" t="s">
        <v>37</v>
      </c>
      <c r="BZP4" s="129"/>
      <c r="BZQ4" s="129"/>
      <c r="BZR4" s="129"/>
      <c r="BZS4" s="129"/>
      <c r="BZT4" s="129"/>
      <c r="BZU4" s="129"/>
      <c r="BZV4" s="129" t="s">
        <v>40</v>
      </c>
      <c r="BZW4" s="129"/>
      <c r="BZX4" s="129"/>
      <c r="BZY4" s="129"/>
      <c r="BZZ4" s="129"/>
      <c r="CAA4" s="129"/>
      <c r="CAB4" s="129"/>
      <c r="CAD4" s="144" t="s">
        <v>147</v>
      </c>
      <c r="CAE4" s="144"/>
      <c r="CAF4" s="144"/>
      <c r="CAG4" s="144"/>
      <c r="CAH4" s="144"/>
      <c r="CAI4" s="144"/>
      <c r="CAJ4" s="144"/>
      <c r="CAK4" s="144"/>
      <c r="CAL4" s="144"/>
      <c r="CAM4" s="144"/>
      <c r="CAN4" s="144"/>
      <c r="CAO4" s="144"/>
      <c r="CAP4" s="144"/>
      <c r="CAQ4" s="144"/>
      <c r="CAR4" s="144"/>
      <c r="CAS4" s="144"/>
      <c r="CAT4" s="144"/>
      <c r="CAU4" s="144"/>
      <c r="CAV4" s="144"/>
      <c r="CAW4" s="144"/>
      <c r="CAX4" s="144"/>
      <c r="CAY4" s="144"/>
      <c r="CAZ4" s="144"/>
      <c r="CBA4" s="144"/>
      <c r="CBB4" s="144"/>
      <c r="CBC4" s="144"/>
      <c r="CBD4" s="144"/>
      <c r="CBE4" s="144"/>
      <c r="CBF4" s="144"/>
      <c r="CBG4" s="144"/>
      <c r="CBH4" s="144"/>
      <c r="CBI4" s="129" t="s">
        <v>133</v>
      </c>
      <c r="CBJ4" s="129"/>
      <c r="CBK4" s="129"/>
      <c r="CBL4" s="129"/>
      <c r="CBM4" s="129" t="s">
        <v>148</v>
      </c>
      <c r="CBN4" s="129"/>
      <c r="CBO4" s="129"/>
      <c r="CBP4" s="129"/>
      <c r="CBQ4" s="129"/>
      <c r="CBR4" s="129" t="s">
        <v>83</v>
      </c>
      <c r="CBS4" s="129"/>
      <c r="CBT4" s="129"/>
      <c r="CBU4" s="129"/>
      <c r="CBV4" s="129"/>
      <c r="CBW4" s="129"/>
      <c r="CBX4" s="129" t="s">
        <v>37</v>
      </c>
      <c r="CBY4" s="129"/>
      <c r="CBZ4" s="129"/>
      <c r="CCA4" s="129"/>
      <c r="CCB4" s="129"/>
      <c r="CCC4" s="129"/>
      <c r="CCD4" s="129" t="s">
        <v>49</v>
      </c>
      <c r="CCE4" s="129"/>
      <c r="CCF4" s="129"/>
      <c r="CCG4" s="129"/>
      <c r="CCH4" s="129"/>
      <c r="CCI4" s="129"/>
      <c r="CCJ4" s="129" t="s">
        <v>149</v>
      </c>
      <c r="CCK4" s="129"/>
      <c r="CCL4" s="129"/>
      <c r="CCM4" s="129"/>
      <c r="CCN4" s="129"/>
      <c r="CCO4" s="129"/>
      <c r="CCP4" s="129"/>
      <c r="CCQ4" s="129" t="s">
        <v>150</v>
      </c>
      <c r="CCR4" s="129"/>
      <c r="CCS4" s="129"/>
      <c r="CCT4" s="129"/>
      <c r="CCU4" s="129"/>
      <c r="CCV4" s="129"/>
      <c r="CCW4" s="129"/>
      <c r="CCX4" s="129" t="s">
        <v>151</v>
      </c>
      <c r="CCY4" s="129"/>
      <c r="CCZ4" s="129"/>
      <c r="CDA4" s="129"/>
      <c r="CDB4" s="129"/>
      <c r="CDC4" s="129"/>
      <c r="CDD4" s="129"/>
      <c r="CDE4" s="129" t="s">
        <v>37</v>
      </c>
      <c r="CDF4" s="129"/>
      <c r="CDG4" s="129"/>
      <c r="CDH4" s="129"/>
      <c r="CDI4" s="129"/>
      <c r="CDJ4" s="129"/>
      <c r="CDK4" s="129"/>
      <c r="CDL4" s="129" t="s">
        <v>40</v>
      </c>
      <c r="CDM4" s="129"/>
      <c r="CDN4" s="129"/>
      <c r="CDO4" s="129"/>
      <c r="CDP4" s="129"/>
      <c r="CDQ4" s="129"/>
      <c r="CDR4" s="129"/>
      <c r="CDT4" s="144" t="s">
        <v>147</v>
      </c>
      <c r="CDU4" s="144"/>
      <c r="CDV4" s="144"/>
      <c r="CDW4" s="144"/>
      <c r="CDX4" s="144"/>
      <c r="CDY4" s="144"/>
      <c r="CDZ4" s="144"/>
      <c r="CEA4" s="144"/>
      <c r="CEB4" s="144"/>
      <c r="CEC4" s="144"/>
      <c r="CED4" s="144"/>
      <c r="CEE4" s="144"/>
      <c r="CEF4" s="144"/>
      <c r="CEG4" s="144"/>
      <c r="CEH4" s="144"/>
      <c r="CEI4" s="144"/>
      <c r="CEJ4" s="144"/>
      <c r="CEK4" s="144"/>
      <c r="CEL4" s="144"/>
      <c r="CEM4" s="144"/>
      <c r="CEN4" s="144"/>
      <c r="CEO4" s="144"/>
      <c r="CEP4" s="144"/>
      <c r="CEQ4" s="144"/>
      <c r="CER4" s="144"/>
      <c r="CES4" s="144"/>
      <c r="CET4" s="144"/>
      <c r="CEU4" s="144"/>
      <c r="CEV4" s="144"/>
      <c r="CEW4" s="144"/>
      <c r="CEX4" s="144"/>
      <c r="CEY4" s="129" t="s">
        <v>133</v>
      </c>
      <c r="CEZ4" s="129"/>
      <c r="CFA4" s="129"/>
      <c r="CFB4" s="129"/>
      <c r="CFC4" s="129" t="s">
        <v>148</v>
      </c>
      <c r="CFD4" s="129"/>
      <c r="CFE4" s="129"/>
      <c r="CFF4" s="129"/>
      <c r="CFG4" s="129"/>
      <c r="CFH4" s="129" t="s">
        <v>83</v>
      </c>
      <c r="CFI4" s="129"/>
      <c r="CFJ4" s="129"/>
      <c r="CFK4" s="129"/>
      <c r="CFL4" s="129"/>
      <c r="CFM4" s="129"/>
      <c r="CFN4" s="129" t="s">
        <v>37</v>
      </c>
      <c r="CFO4" s="129"/>
      <c r="CFP4" s="129"/>
      <c r="CFQ4" s="129"/>
      <c r="CFR4" s="129"/>
      <c r="CFS4" s="129"/>
      <c r="CFT4" s="129" t="s">
        <v>49</v>
      </c>
      <c r="CFU4" s="129"/>
      <c r="CFV4" s="129"/>
      <c r="CFW4" s="129"/>
      <c r="CFX4" s="129"/>
      <c r="CFY4" s="129"/>
      <c r="CFZ4" s="129" t="s">
        <v>149</v>
      </c>
      <c r="CGA4" s="129"/>
      <c r="CGB4" s="129"/>
      <c r="CGC4" s="129"/>
      <c r="CGD4" s="129"/>
      <c r="CGE4" s="129"/>
      <c r="CGF4" s="129"/>
      <c r="CGG4" s="129" t="s">
        <v>150</v>
      </c>
      <c r="CGH4" s="129"/>
      <c r="CGI4" s="129"/>
      <c r="CGJ4" s="129"/>
      <c r="CGK4" s="129"/>
      <c r="CGL4" s="129"/>
      <c r="CGM4" s="129"/>
      <c r="CGN4" s="129" t="s">
        <v>151</v>
      </c>
      <c r="CGO4" s="129"/>
      <c r="CGP4" s="129"/>
      <c r="CGQ4" s="129"/>
      <c r="CGR4" s="129"/>
      <c r="CGS4" s="129"/>
      <c r="CGT4" s="129"/>
      <c r="CGU4" s="129" t="s">
        <v>37</v>
      </c>
      <c r="CGV4" s="129"/>
      <c r="CGW4" s="129"/>
      <c r="CGX4" s="129"/>
      <c r="CGY4" s="129"/>
      <c r="CGZ4" s="129"/>
      <c r="CHA4" s="129"/>
      <c r="CHB4" s="129" t="s">
        <v>40</v>
      </c>
      <c r="CHC4" s="129"/>
      <c r="CHD4" s="129"/>
      <c r="CHE4" s="129"/>
      <c r="CHF4" s="129"/>
      <c r="CHG4" s="129"/>
      <c r="CHH4" s="129"/>
      <c r="CHJ4" s="144" t="s">
        <v>147</v>
      </c>
      <c r="CHK4" s="144"/>
      <c r="CHL4" s="144"/>
      <c r="CHM4" s="144"/>
      <c r="CHN4" s="144"/>
      <c r="CHO4" s="144"/>
      <c r="CHP4" s="144"/>
      <c r="CHQ4" s="144"/>
      <c r="CHR4" s="144"/>
      <c r="CHS4" s="144"/>
      <c r="CHT4" s="144"/>
      <c r="CHU4" s="144"/>
      <c r="CHV4" s="144"/>
      <c r="CHW4" s="144"/>
      <c r="CHX4" s="144"/>
      <c r="CHY4" s="144"/>
      <c r="CHZ4" s="144"/>
      <c r="CIA4" s="144"/>
      <c r="CIB4" s="144"/>
      <c r="CIC4" s="144"/>
      <c r="CID4" s="144"/>
      <c r="CIE4" s="144"/>
      <c r="CIF4" s="144"/>
      <c r="CIG4" s="144"/>
      <c r="CIH4" s="144"/>
      <c r="CII4" s="144"/>
      <c r="CIJ4" s="144"/>
      <c r="CIK4" s="144"/>
      <c r="CIL4" s="144"/>
      <c r="CIM4" s="144"/>
      <c r="CIN4" s="144"/>
      <c r="CIO4" s="129" t="s">
        <v>133</v>
      </c>
      <c r="CIP4" s="129"/>
      <c r="CIQ4" s="129"/>
      <c r="CIR4" s="129"/>
      <c r="CIS4" s="129" t="s">
        <v>148</v>
      </c>
      <c r="CIT4" s="129"/>
      <c r="CIU4" s="129"/>
      <c r="CIV4" s="129"/>
      <c r="CIW4" s="129"/>
      <c r="CIX4" s="129" t="s">
        <v>83</v>
      </c>
      <c r="CIY4" s="129"/>
      <c r="CIZ4" s="129"/>
      <c r="CJA4" s="129"/>
      <c r="CJB4" s="129"/>
      <c r="CJC4" s="129"/>
      <c r="CJD4" s="129" t="s">
        <v>37</v>
      </c>
      <c r="CJE4" s="129"/>
      <c r="CJF4" s="129"/>
      <c r="CJG4" s="129"/>
      <c r="CJH4" s="129"/>
      <c r="CJI4" s="129"/>
      <c r="CJJ4" s="129" t="s">
        <v>49</v>
      </c>
      <c r="CJK4" s="129"/>
      <c r="CJL4" s="129"/>
      <c r="CJM4" s="129"/>
      <c r="CJN4" s="129"/>
      <c r="CJO4" s="129"/>
      <c r="CJP4" s="129" t="s">
        <v>149</v>
      </c>
      <c r="CJQ4" s="129"/>
      <c r="CJR4" s="129"/>
      <c r="CJS4" s="129"/>
      <c r="CJT4" s="129"/>
      <c r="CJU4" s="129"/>
      <c r="CJV4" s="129"/>
      <c r="CJW4" s="129" t="s">
        <v>150</v>
      </c>
      <c r="CJX4" s="129"/>
      <c r="CJY4" s="129"/>
      <c r="CJZ4" s="129"/>
      <c r="CKA4" s="129"/>
      <c r="CKB4" s="129"/>
      <c r="CKC4" s="129"/>
      <c r="CKD4" s="129" t="s">
        <v>151</v>
      </c>
      <c r="CKE4" s="129"/>
      <c r="CKF4" s="129"/>
      <c r="CKG4" s="129"/>
      <c r="CKH4" s="129"/>
      <c r="CKI4" s="129"/>
      <c r="CKJ4" s="129"/>
      <c r="CKK4" s="129" t="s">
        <v>37</v>
      </c>
      <c r="CKL4" s="129"/>
      <c r="CKM4" s="129"/>
      <c r="CKN4" s="129"/>
      <c r="CKO4" s="129"/>
      <c r="CKP4" s="129"/>
      <c r="CKQ4" s="129"/>
      <c r="CKR4" s="129" t="s">
        <v>40</v>
      </c>
      <c r="CKS4" s="129"/>
      <c r="CKT4" s="129"/>
      <c r="CKU4" s="129"/>
      <c r="CKV4" s="129"/>
      <c r="CKW4" s="129"/>
      <c r="CKX4" s="129"/>
      <c r="CKZ4" s="144" t="s">
        <v>147</v>
      </c>
      <c r="CLA4" s="144"/>
      <c r="CLB4" s="144"/>
      <c r="CLC4" s="144"/>
      <c r="CLD4" s="144"/>
      <c r="CLE4" s="144"/>
      <c r="CLF4" s="144"/>
      <c r="CLG4" s="144"/>
      <c r="CLH4" s="144"/>
      <c r="CLI4" s="144"/>
      <c r="CLJ4" s="144"/>
      <c r="CLK4" s="144"/>
      <c r="CLL4" s="144"/>
      <c r="CLM4" s="144"/>
      <c r="CLN4" s="144"/>
      <c r="CLO4" s="144"/>
      <c r="CLP4" s="144"/>
      <c r="CLQ4" s="144"/>
      <c r="CLR4" s="144"/>
      <c r="CLS4" s="144"/>
      <c r="CLT4" s="144"/>
      <c r="CLU4" s="144"/>
      <c r="CLV4" s="144"/>
      <c r="CLW4" s="144"/>
      <c r="CLX4" s="144"/>
      <c r="CLY4" s="144"/>
      <c r="CLZ4" s="144"/>
      <c r="CMA4" s="144"/>
      <c r="CMB4" s="144"/>
      <c r="CMC4" s="144"/>
      <c r="CMD4" s="144"/>
      <c r="CME4" s="129" t="s">
        <v>133</v>
      </c>
      <c r="CMF4" s="129"/>
      <c r="CMG4" s="129"/>
      <c r="CMH4" s="129"/>
      <c r="CMI4" s="129" t="s">
        <v>148</v>
      </c>
      <c r="CMJ4" s="129"/>
      <c r="CMK4" s="129"/>
      <c r="CML4" s="129"/>
      <c r="CMM4" s="129"/>
      <c r="CMN4" s="129" t="s">
        <v>83</v>
      </c>
      <c r="CMO4" s="129"/>
      <c r="CMP4" s="129"/>
      <c r="CMQ4" s="129"/>
      <c r="CMR4" s="129"/>
      <c r="CMS4" s="129"/>
      <c r="CMT4" s="129" t="s">
        <v>37</v>
      </c>
      <c r="CMU4" s="129"/>
      <c r="CMV4" s="129"/>
      <c r="CMW4" s="129"/>
      <c r="CMX4" s="129"/>
      <c r="CMY4" s="129"/>
      <c r="CMZ4" s="129" t="s">
        <v>49</v>
      </c>
      <c r="CNA4" s="129"/>
      <c r="CNB4" s="129"/>
      <c r="CNC4" s="129"/>
      <c r="CND4" s="129"/>
      <c r="CNE4" s="129"/>
      <c r="CNF4" s="129" t="s">
        <v>149</v>
      </c>
      <c r="CNG4" s="129"/>
      <c r="CNH4" s="129"/>
      <c r="CNI4" s="129"/>
      <c r="CNJ4" s="129"/>
      <c r="CNK4" s="129"/>
      <c r="CNL4" s="129"/>
      <c r="CNM4" s="129" t="s">
        <v>150</v>
      </c>
      <c r="CNN4" s="129"/>
      <c r="CNO4" s="129"/>
      <c r="CNP4" s="129"/>
      <c r="CNQ4" s="129"/>
      <c r="CNR4" s="129"/>
      <c r="CNS4" s="129"/>
      <c r="CNT4" s="129" t="s">
        <v>151</v>
      </c>
      <c r="CNU4" s="129"/>
      <c r="CNV4" s="129"/>
      <c r="CNW4" s="129"/>
      <c r="CNX4" s="129"/>
      <c r="CNY4" s="129"/>
      <c r="CNZ4" s="129"/>
      <c r="COA4" s="129" t="s">
        <v>37</v>
      </c>
      <c r="COB4" s="129"/>
      <c r="COC4" s="129"/>
      <c r="COD4" s="129"/>
      <c r="COE4" s="129"/>
      <c r="COF4" s="129"/>
      <c r="COG4" s="129"/>
      <c r="COH4" s="129" t="s">
        <v>40</v>
      </c>
      <c r="COI4" s="129"/>
      <c r="COJ4" s="129"/>
      <c r="COK4" s="129"/>
      <c r="COL4" s="129"/>
      <c r="COM4" s="129"/>
      <c r="CON4" s="129"/>
      <c r="COP4" s="144" t="s">
        <v>147</v>
      </c>
      <c r="COQ4" s="144"/>
      <c r="COR4" s="144"/>
      <c r="COS4" s="144"/>
      <c r="COT4" s="144"/>
      <c r="COU4" s="144"/>
      <c r="COV4" s="144"/>
      <c r="COW4" s="144"/>
      <c r="COX4" s="144"/>
      <c r="COY4" s="144"/>
      <c r="COZ4" s="144"/>
      <c r="CPA4" s="144"/>
      <c r="CPB4" s="144"/>
      <c r="CPC4" s="144"/>
      <c r="CPD4" s="144"/>
      <c r="CPE4" s="144"/>
      <c r="CPF4" s="144"/>
      <c r="CPG4" s="144"/>
      <c r="CPH4" s="144"/>
      <c r="CPI4" s="144"/>
      <c r="CPJ4" s="144"/>
      <c r="CPK4" s="144"/>
      <c r="CPL4" s="144"/>
      <c r="CPM4" s="144"/>
      <c r="CPN4" s="144"/>
      <c r="CPO4" s="144"/>
      <c r="CPP4" s="144"/>
      <c r="CPQ4" s="144"/>
      <c r="CPR4" s="144"/>
      <c r="CPS4" s="144"/>
      <c r="CPT4" s="144"/>
      <c r="CPU4" s="129" t="s">
        <v>133</v>
      </c>
      <c r="CPV4" s="129"/>
      <c r="CPW4" s="129"/>
      <c r="CPX4" s="129"/>
      <c r="CPY4" s="129" t="s">
        <v>148</v>
      </c>
      <c r="CPZ4" s="129"/>
      <c r="CQA4" s="129"/>
      <c r="CQB4" s="129"/>
      <c r="CQC4" s="129"/>
      <c r="CQD4" s="129" t="s">
        <v>83</v>
      </c>
      <c r="CQE4" s="129"/>
      <c r="CQF4" s="129"/>
      <c r="CQG4" s="129"/>
      <c r="CQH4" s="129"/>
      <c r="CQI4" s="129"/>
      <c r="CQJ4" s="129" t="s">
        <v>37</v>
      </c>
      <c r="CQK4" s="129"/>
      <c r="CQL4" s="129"/>
      <c r="CQM4" s="129"/>
      <c r="CQN4" s="129"/>
      <c r="CQO4" s="129"/>
      <c r="CQP4" s="129" t="s">
        <v>49</v>
      </c>
      <c r="CQQ4" s="129"/>
      <c r="CQR4" s="129"/>
      <c r="CQS4" s="129"/>
      <c r="CQT4" s="129"/>
      <c r="CQU4" s="129"/>
      <c r="CQV4" s="129" t="s">
        <v>149</v>
      </c>
      <c r="CQW4" s="129"/>
      <c r="CQX4" s="129"/>
      <c r="CQY4" s="129"/>
      <c r="CQZ4" s="129"/>
      <c r="CRA4" s="129"/>
      <c r="CRB4" s="129"/>
      <c r="CRC4" s="129" t="s">
        <v>150</v>
      </c>
      <c r="CRD4" s="129"/>
      <c r="CRE4" s="129"/>
      <c r="CRF4" s="129"/>
      <c r="CRG4" s="129"/>
      <c r="CRH4" s="129"/>
      <c r="CRI4" s="129"/>
      <c r="CRJ4" s="129" t="s">
        <v>151</v>
      </c>
      <c r="CRK4" s="129"/>
      <c r="CRL4" s="129"/>
      <c r="CRM4" s="129"/>
      <c r="CRN4" s="129"/>
      <c r="CRO4" s="129"/>
      <c r="CRP4" s="129"/>
      <c r="CRQ4" s="129" t="s">
        <v>37</v>
      </c>
      <c r="CRR4" s="129"/>
      <c r="CRS4" s="129"/>
      <c r="CRT4" s="129"/>
      <c r="CRU4" s="129"/>
      <c r="CRV4" s="129"/>
      <c r="CRW4" s="129"/>
      <c r="CRX4" s="129" t="s">
        <v>40</v>
      </c>
      <c r="CRY4" s="129"/>
      <c r="CRZ4" s="129"/>
      <c r="CSA4" s="129"/>
      <c r="CSB4" s="129"/>
      <c r="CSC4" s="129"/>
      <c r="CSD4" s="129"/>
      <c r="CSF4" s="144" t="s">
        <v>147</v>
      </c>
      <c r="CSG4" s="144"/>
      <c r="CSH4" s="144"/>
      <c r="CSI4" s="144"/>
      <c r="CSJ4" s="144"/>
      <c r="CSK4" s="144"/>
      <c r="CSL4" s="144"/>
      <c r="CSM4" s="144"/>
      <c r="CSN4" s="144"/>
      <c r="CSO4" s="144"/>
      <c r="CSP4" s="144"/>
      <c r="CSQ4" s="144"/>
      <c r="CSR4" s="144"/>
      <c r="CSS4" s="144"/>
      <c r="CST4" s="144"/>
      <c r="CSU4" s="144"/>
      <c r="CSV4" s="144"/>
      <c r="CSW4" s="144"/>
      <c r="CSX4" s="144"/>
      <c r="CSY4" s="144"/>
      <c r="CSZ4" s="144"/>
      <c r="CTA4" s="144"/>
      <c r="CTB4" s="144"/>
      <c r="CTC4" s="144"/>
      <c r="CTD4" s="144"/>
      <c r="CTE4" s="144"/>
      <c r="CTF4" s="144"/>
      <c r="CTG4" s="144"/>
      <c r="CTH4" s="144"/>
      <c r="CTI4" s="144"/>
      <c r="CTJ4" s="144"/>
      <c r="CTK4" s="129" t="s">
        <v>133</v>
      </c>
      <c r="CTL4" s="129"/>
      <c r="CTM4" s="129"/>
      <c r="CTN4" s="129"/>
      <c r="CTO4" s="129" t="s">
        <v>148</v>
      </c>
      <c r="CTP4" s="129"/>
      <c r="CTQ4" s="129"/>
      <c r="CTR4" s="129"/>
      <c r="CTS4" s="129"/>
      <c r="CTT4" s="129" t="s">
        <v>83</v>
      </c>
      <c r="CTU4" s="129"/>
      <c r="CTV4" s="129"/>
      <c r="CTW4" s="129"/>
      <c r="CTX4" s="129"/>
      <c r="CTY4" s="129"/>
      <c r="CTZ4" s="129" t="s">
        <v>37</v>
      </c>
      <c r="CUA4" s="129"/>
      <c r="CUB4" s="129"/>
      <c r="CUC4" s="129"/>
      <c r="CUD4" s="129"/>
      <c r="CUE4" s="129"/>
      <c r="CUF4" s="129" t="s">
        <v>49</v>
      </c>
      <c r="CUG4" s="129"/>
      <c r="CUH4" s="129"/>
      <c r="CUI4" s="129"/>
      <c r="CUJ4" s="129"/>
      <c r="CUK4" s="129"/>
      <c r="CUL4" s="129" t="s">
        <v>149</v>
      </c>
      <c r="CUM4" s="129"/>
      <c r="CUN4" s="129"/>
      <c r="CUO4" s="129"/>
      <c r="CUP4" s="129"/>
      <c r="CUQ4" s="129"/>
      <c r="CUR4" s="129"/>
      <c r="CUS4" s="129" t="s">
        <v>150</v>
      </c>
      <c r="CUT4" s="129"/>
      <c r="CUU4" s="129"/>
      <c r="CUV4" s="129"/>
      <c r="CUW4" s="129"/>
      <c r="CUX4" s="129"/>
      <c r="CUY4" s="129"/>
      <c r="CUZ4" s="129" t="s">
        <v>151</v>
      </c>
      <c r="CVA4" s="129"/>
      <c r="CVB4" s="129"/>
      <c r="CVC4" s="129"/>
      <c r="CVD4" s="129"/>
      <c r="CVE4" s="129"/>
      <c r="CVF4" s="129"/>
      <c r="CVG4" s="129" t="s">
        <v>37</v>
      </c>
      <c r="CVH4" s="129"/>
      <c r="CVI4" s="129"/>
      <c r="CVJ4" s="129"/>
      <c r="CVK4" s="129"/>
      <c r="CVL4" s="129"/>
      <c r="CVM4" s="129"/>
      <c r="CVN4" s="129" t="s">
        <v>40</v>
      </c>
      <c r="CVO4" s="129"/>
      <c r="CVP4" s="129"/>
      <c r="CVQ4" s="129"/>
      <c r="CVR4" s="129"/>
      <c r="CVS4" s="129"/>
      <c r="CVT4" s="129"/>
      <c r="CVV4" s="144" t="s">
        <v>147</v>
      </c>
      <c r="CVW4" s="144"/>
      <c r="CVX4" s="144"/>
      <c r="CVY4" s="144"/>
      <c r="CVZ4" s="144"/>
      <c r="CWA4" s="144"/>
      <c r="CWB4" s="144"/>
      <c r="CWC4" s="144"/>
      <c r="CWD4" s="144"/>
      <c r="CWE4" s="144"/>
      <c r="CWF4" s="144"/>
      <c r="CWG4" s="144"/>
      <c r="CWH4" s="144"/>
      <c r="CWI4" s="144"/>
      <c r="CWJ4" s="144"/>
      <c r="CWK4" s="144"/>
      <c r="CWL4" s="144"/>
      <c r="CWM4" s="144"/>
      <c r="CWN4" s="144"/>
      <c r="CWO4" s="144"/>
      <c r="CWP4" s="144"/>
      <c r="CWQ4" s="144"/>
      <c r="CWR4" s="144"/>
      <c r="CWS4" s="144"/>
      <c r="CWT4" s="144"/>
      <c r="CWU4" s="144"/>
      <c r="CWV4" s="144"/>
      <c r="CWW4" s="144"/>
      <c r="CWX4" s="144"/>
      <c r="CWY4" s="144"/>
      <c r="CWZ4" s="144"/>
      <c r="CXA4" s="129" t="s">
        <v>133</v>
      </c>
      <c r="CXB4" s="129"/>
      <c r="CXC4" s="129"/>
      <c r="CXD4" s="129"/>
      <c r="CXE4" s="129" t="s">
        <v>148</v>
      </c>
      <c r="CXF4" s="129"/>
      <c r="CXG4" s="129"/>
      <c r="CXH4" s="129"/>
      <c r="CXI4" s="129"/>
      <c r="CXJ4" s="129" t="s">
        <v>83</v>
      </c>
      <c r="CXK4" s="129"/>
      <c r="CXL4" s="129"/>
      <c r="CXM4" s="129"/>
      <c r="CXN4" s="129"/>
      <c r="CXO4" s="129"/>
      <c r="CXP4" s="129" t="s">
        <v>37</v>
      </c>
      <c r="CXQ4" s="129"/>
      <c r="CXR4" s="129"/>
      <c r="CXS4" s="129"/>
      <c r="CXT4" s="129"/>
      <c r="CXU4" s="129"/>
      <c r="CXV4" s="129" t="s">
        <v>49</v>
      </c>
      <c r="CXW4" s="129"/>
      <c r="CXX4" s="129"/>
      <c r="CXY4" s="129"/>
      <c r="CXZ4" s="129"/>
      <c r="CYA4" s="129"/>
      <c r="CYB4" s="129" t="s">
        <v>149</v>
      </c>
      <c r="CYC4" s="129"/>
      <c r="CYD4" s="129"/>
      <c r="CYE4" s="129"/>
      <c r="CYF4" s="129"/>
      <c r="CYG4" s="129"/>
      <c r="CYH4" s="129"/>
      <c r="CYI4" s="129" t="s">
        <v>150</v>
      </c>
      <c r="CYJ4" s="129"/>
      <c r="CYK4" s="129"/>
      <c r="CYL4" s="129"/>
      <c r="CYM4" s="129"/>
      <c r="CYN4" s="129"/>
      <c r="CYO4" s="129"/>
      <c r="CYP4" s="129" t="s">
        <v>151</v>
      </c>
      <c r="CYQ4" s="129"/>
      <c r="CYR4" s="129"/>
      <c r="CYS4" s="129"/>
      <c r="CYT4" s="129"/>
      <c r="CYU4" s="129"/>
      <c r="CYV4" s="129"/>
      <c r="CYW4" s="129" t="s">
        <v>37</v>
      </c>
      <c r="CYX4" s="129"/>
      <c r="CYY4" s="129"/>
      <c r="CYZ4" s="129"/>
      <c r="CZA4" s="129"/>
      <c r="CZB4" s="129"/>
      <c r="CZC4" s="129"/>
      <c r="CZD4" s="129" t="s">
        <v>40</v>
      </c>
      <c r="CZE4" s="129"/>
      <c r="CZF4" s="129"/>
      <c r="CZG4" s="129"/>
      <c r="CZH4" s="129"/>
      <c r="CZI4" s="129"/>
      <c r="CZJ4" s="129"/>
      <c r="CZL4" s="144" t="s">
        <v>147</v>
      </c>
      <c r="CZM4" s="144"/>
      <c r="CZN4" s="144"/>
      <c r="CZO4" s="144"/>
      <c r="CZP4" s="144"/>
      <c r="CZQ4" s="144"/>
      <c r="CZR4" s="144"/>
      <c r="CZS4" s="144"/>
      <c r="CZT4" s="144"/>
      <c r="CZU4" s="144"/>
      <c r="CZV4" s="144"/>
      <c r="CZW4" s="144"/>
      <c r="CZX4" s="144"/>
      <c r="CZY4" s="144"/>
      <c r="CZZ4" s="144"/>
      <c r="DAA4" s="144"/>
      <c r="DAB4" s="144"/>
      <c r="DAC4" s="144"/>
      <c r="DAD4" s="144"/>
      <c r="DAE4" s="144"/>
      <c r="DAF4" s="144"/>
      <c r="DAG4" s="144"/>
      <c r="DAH4" s="144"/>
      <c r="DAI4" s="144"/>
      <c r="DAJ4" s="144"/>
      <c r="DAK4" s="144"/>
      <c r="DAL4" s="144"/>
      <c r="DAM4" s="144"/>
      <c r="DAN4" s="144"/>
      <c r="DAO4" s="144"/>
      <c r="DAP4" s="144"/>
      <c r="DAQ4" s="129" t="s">
        <v>133</v>
      </c>
      <c r="DAR4" s="129"/>
      <c r="DAS4" s="129"/>
      <c r="DAT4" s="129"/>
      <c r="DAU4" s="129" t="s">
        <v>148</v>
      </c>
      <c r="DAV4" s="129"/>
      <c r="DAW4" s="129"/>
      <c r="DAX4" s="129"/>
      <c r="DAY4" s="129"/>
      <c r="DAZ4" s="129" t="s">
        <v>83</v>
      </c>
      <c r="DBA4" s="129"/>
      <c r="DBB4" s="129"/>
      <c r="DBC4" s="129"/>
      <c r="DBD4" s="129"/>
      <c r="DBE4" s="129"/>
      <c r="DBF4" s="129" t="s">
        <v>37</v>
      </c>
      <c r="DBG4" s="129"/>
      <c r="DBH4" s="129"/>
      <c r="DBI4" s="129"/>
      <c r="DBJ4" s="129"/>
      <c r="DBK4" s="129"/>
      <c r="DBL4" s="129" t="s">
        <v>49</v>
      </c>
      <c r="DBM4" s="129"/>
      <c r="DBN4" s="129"/>
      <c r="DBO4" s="129"/>
      <c r="DBP4" s="129"/>
      <c r="DBQ4" s="129"/>
      <c r="DBR4" s="129" t="s">
        <v>149</v>
      </c>
      <c r="DBS4" s="129"/>
      <c r="DBT4" s="129"/>
      <c r="DBU4" s="129"/>
      <c r="DBV4" s="129"/>
      <c r="DBW4" s="129"/>
      <c r="DBX4" s="129"/>
      <c r="DBY4" s="129" t="s">
        <v>150</v>
      </c>
      <c r="DBZ4" s="129"/>
      <c r="DCA4" s="129"/>
      <c r="DCB4" s="129"/>
      <c r="DCC4" s="129"/>
      <c r="DCD4" s="129"/>
      <c r="DCE4" s="129"/>
      <c r="DCF4" s="129" t="s">
        <v>151</v>
      </c>
      <c r="DCG4" s="129"/>
      <c r="DCH4" s="129"/>
      <c r="DCI4" s="129"/>
      <c r="DCJ4" s="129"/>
      <c r="DCK4" s="129"/>
      <c r="DCL4" s="129"/>
      <c r="DCM4" s="129" t="s">
        <v>37</v>
      </c>
      <c r="DCN4" s="129"/>
      <c r="DCO4" s="129"/>
      <c r="DCP4" s="129"/>
      <c r="DCQ4" s="129"/>
      <c r="DCR4" s="129"/>
      <c r="DCS4" s="129"/>
      <c r="DCT4" s="129" t="s">
        <v>40</v>
      </c>
      <c r="DCU4" s="129"/>
      <c r="DCV4" s="129"/>
      <c r="DCW4" s="129"/>
      <c r="DCX4" s="129"/>
      <c r="DCY4" s="129"/>
      <c r="DCZ4" s="129"/>
      <c r="DDB4" s="144" t="s">
        <v>147</v>
      </c>
      <c r="DDC4" s="144"/>
      <c r="DDD4" s="144"/>
      <c r="DDE4" s="144"/>
      <c r="DDF4" s="144"/>
      <c r="DDG4" s="144"/>
      <c r="DDH4" s="144"/>
      <c r="DDI4" s="144"/>
      <c r="DDJ4" s="144"/>
      <c r="DDK4" s="144"/>
      <c r="DDL4" s="144"/>
      <c r="DDM4" s="144"/>
      <c r="DDN4" s="144"/>
      <c r="DDO4" s="144"/>
      <c r="DDP4" s="144"/>
      <c r="DDQ4" s="144"/>
      <c r="DDR4" s="144"/>
      <c r="DDS4" s="144"/>
      <c r="DDT4" s="144"/>
      <c r="DDU4" s="144"/>
      <c r="DDV4" s="144"/>
      <c r="DDW4" s="144"/>
      <c r="DDX4" s="144"/>
      <c r="DDY4" s="144"/>
      <c r="DDZ4" s="144"/>
      <c r="DEA4" s="144"/>
      <c r="DEB4" s="144"/>
      <c r="DEC4" s="144"/>
      <c r="DED4" s="144"/>
      <c r="DEE4" s="144"/>
      <c r="DEF4" s="144"/>
      <c r="DEG4" s="129" t="s">
        <v>133</v>
      </c>
      <c r="DEH4" s="129"/>
      <c r="DEI4" s="129"/>
      <c r="DEJ4" s="129"/>
      <c r="DEK4" s="129" t="s">
        <v>148</v>
      </c>
      <c r="DEL4" s="129"/>
      <c r="DEM4" s="129"/>
      <c r="DEN4" s="129"/>
      <c r="DEO4" s="129"/>
      <c r="DEP4" s="129" t="s">
        <v>83</v>
      </c>
      <c r="DEQ4" s="129"/>
      <c r="DER4" s="129"/>
      <c r="DES4" s="129"/>
      <c r="DET4" s="129"/>
      <c r="DEU4" s="129"/>
      <c r="DEV4" s="129" t="s">
        <v>37</v>
      </c>
      <c r="DEW4" s="129"/>
      <c r="DEX4" s="129"/>
      <c r="DEY4" s="129"/>
      <c r="DEZ4" s="129"/>
      <c r="DFA4" s="129"/>
      <c r="DFB4" s="129" t="s">
        <v>49</v>
      </c>
      <c r="DFC4" s="129"/>
      <c r="DFD4" s="129"/>
      <c r="DFE4" s="129"/>
      <c r="DFF4" s="129"/>
      <c r="DFG4" s="129"/>
      <c r="DFH4" s="129" t="s">
        <v>149</v>
      </c>
      <c r="DFI4" s="129"/>
      <c r="DFJ4" s="129"/>
      <c r="DFK4" s="129"/>
      <c r="DFL4" s="129"/>
      <c r="DFM4" s="129"/>
      <c r="DFN4" s="129"/>
      <c r="DFO4" s="129" t="s">
        <v>150</v>
      </c>
      <c r="DFP4" s="129"/>
      <c r="DFQ4" s="129"/>
      <c r="DFR4" s="129"/>
      <c r="DFS4" s="129"/>
      <c r="DFT4" s="129"/>
      <c r="DFU4" s="129"/>
      <c r="DFV4" s="129" t="s">
        <v>151</v>
      </c>
      <c r="DFW4" s="129"/>
      <c r="DFX4" s="129"/>
      <c r="DFY4" s="129"/>
      <c r="DFZ4" s="129"/>
      <c r="DGA4" s="129"/>
      <c r="DGB4" s="129"/>
      <c r="DGC4" s="129" t="s">
        <v>37</v>
      </c>
      <c r="DGD4" s="129"/>
      <c r="DGE4" s="129"/>
      <c r="DGF4" s="129"/>
      <c r="DGG4" s="129"/>
      <c r="DGH4" s="129"/>
      <c r="DGI4" s="129"/>
      <c r="DGJ4" s="129" t="s">
        <v>40</v>
      </c>
      <c r="DGK4" s="129"/>
      <c r="DGL4" s="129"/>
      <c r="DGM4" s="129"/>
      <c r="DGN4" s="129"/>
      <c r="DGO4" s="129"/>
      <c r="DGP4" s="129"/>
      <c r="DGR4" s="144" t="s">
        <v>147</v>
      </c>
      <c r="DGS4" s="144"/>
      <c r="DGT4" s="144"/>
      <c r="DGU4" s="144"/>
      <c r="DGV4" s="144"/>
      <c r="DGW4" s="144"/>
      <c r="DGX4" s="144"/>
      <c r="DGY4" s="144"/>
      <c r="DGZ4" s="144"/>
      <c r="DHA4" s="144"/>
      <c r="DHB4" s="144"/>
      <c r="DHC4" s="144"/>
      <c r="DHD4" s="144"/>
      <c r="DHE4" s="144"/>
      <c r="DHF4" s="144"/>
      <c r="DHG4" s="144"/>
      <c r="DHH4" s="144"/>
      <c r="DHI4" s="144"/>
      <c r="DHJ4" s="144"/>
      <c r="DHK4" s="144"/>
      <c r="DHL4" s="144"/>
      <c r="DHM4" s="144"/>
      <c r="DHN4" s="144"/>
      <c r="DHO4" s="144"/>
      <c r="DHP4" s="144"/>
      <c r="DHQ4" s="144"/>
      <c r="DHR4" s="144"/>
      <c r="DHS4" s="144"/>
      <c r="DHT4" s="144"/>
      <c r="DHU4" s="144"/>
      <c r="DHV4" s="144"/>
      <c r="DHW4" s="129" t="s">
        <v>133</v>
      </c>
      <c r="DHX4" s="129"/>
      <c r="DHY4" s="129"/>
      <c r="DHZ4" s="129"/>
      <c r="DIA4" s="129" t="s">
        <v>148</v>
      </c>
      <c r="DIB4" s="129"/>
      <c r="DIC4" s="129"/>
      <c r="DID4" s="129"/>
      <c r="DIE4" s="129"/>
      <c r="DIF4" s="129" t="s">
        <v>83</v>
      </c>
      <c r="DIG4" s="129"/>
      <c r="DIH4" s="129"/>
      <c r="DII4" s="129"/>
      <c r="DIJ4" s="129"/>
      <c r="DIK4" s="129"/>
      <c r="DIL4" s="129" t="s">
        <v>37</v>
      </c>
      <c r="DIM4" s="129"/>
      <c r="DIN4" s="129"/>
      <c r="DIO4" s="129"/>
      <c r="DIP4" s="129"/>
      <c r="DIQ4" s="129"/>
      <c r="DIR4" s="129" t="s">
        <v>49</v>
      </c>
      <c r="DIS4" s="129"/>
      <c r="DIT4" s="129"/>
      <c r="DIU4" s="129"/>
      <c r="DIV4" s="129"/>
      <c r="DIW4" s="129"/>
      <c r="DIX4" s="129" t="s">
        <v>149</v>
      </c>
      <c r="DIY4" s="129"/>
      <c r="DIZ4" s="129"/>
      <c r="DJA4" s="129"/>
      <c r="DJB4" s="129"/>
      <c r="DJC4" s="129"/>
      <c r="DJD4" s="129"/>
      <c r="DJE4" s="129" t="s">
        <v>150</v>
      </c>
      <c r="DJF4" s="129"/>
      <c r="DJG4" s="129"/>
      <c r="DJH4" s="129"/>
      <c r="DJI4" s="129"/>
      <c r="DJJ4" s="129"/>
      <c r="DJK4" s="129"/>
      <c r="DJL4" s="129" t="s">
        <v>151</v>
      </c>
      <c r="DJM4" s="129"/>
      <c r="DJN4" s="129"/>
      <c r="DJO4" s="129"/>
      <c r="DJP4" s="129"/>
      <c r="DJQ4" s="129"/>
      <c r="DJR4" s="129"/>
      <c r="DJS4" s="129" t="s">
        <v>37</v>
      </c>
      <c r="DJT4" s="129"/>
      <c r="DJU4" s="129"/>
      <c r="DJV4" s="129"/>
      <c r="DJW4" s="129"/>
      <c r="DJX4" s="129"/>
      <c r="DJY4" s="129"/>
      <c r="DJZ4" s="129" t="s">
        <v>40</v>
      </c>
      <c r="DKA4" s="129"/>
      <c r="DKB4" s="129"/>
      <c r="DKC4" s="129"/>
      <c r="DKD4" s="129"/>
      <c r="DKE4" s="129"/>
      <c r="DKF4" s="129"/>
    </row>
    <row r="5" spans="2:2996" ht="15" customHeight="1" x14ac:dyDescent="0.25">
      <c r="B5" s="212" t="s">
        <v>3</v>
      </c>
      <c r="C5" s="213"/>
      <c r="D5" s="213"/>
      <c r="E5" s="213"/>
      <c r="F5" s="213"/>
      <c r="G5" s="213"/>
      <c r="H5" s="213"/>
      <c r="I5" s="213"/>
      <c r="J5" s="213"/>
      <c r="K5" s="213"/>
      <c r="L5" s="213"/>
      <c r="M5" s="213"/>
      <c r="N5" s="213"/>
      <c r="O5" s="213"/>
      <c r="P5" s="213"/>
      <c r="Q5" s="335" t="str">
        <f>'Character Creation'!Z11</f>
        <v>Russian</v>
      </c>
      <c r="R5" s="335"/>
      <c r="S5" s="335"/>
      <c r="T5" s="335"/>
      <c r="U5" s="335"/>
      <c r="V5" s="335"/>
      <c r="W5" s="335"/>
      <c r="X5" s="335"/>
      <c r="Y5" s="335"/>
      <c r="Z5" s="335"/>
      <c r="AA5" s="335"/>
      <c r="AB5" s="335"/>
      <c r="AC5" s="335"/>
      <c r="AD5" s="335"/>
      <c r="AE5" s="335"/>
      <c r="AF5" s="335"/>
      <c r="AG5" s="335"/>
      <c r="AH5" s="335"/>
      <c r="AI5" s="335"/>
      <c r="AJ5" s="335"/>
      <c r="AK5" s="335"/>
      <c r="AL5" s="335"/>
      <c r="AM5" s="335"/>
      <c r="AN5" s="335"/>
      <c r="AO5" s="335"/>
      <c r="AP5" s="335"/>
      <c r="AQ5" s="335"/>
      <c r="AR5" s="335"/>
      <c r="AS5" s="335"/>
      <c r="AT5" s="335"/>
      <c r="AU5" s="335"/>
      <c r="AV5" s="335"/>
      <c r="AW5" s="335"/>
      <c r="AX5" s="335"/>
      <c r="AY5" s="336"/>
      <c r="AZ5" s="231" t="s">
        <v>10</v>
      </c>
      <c r="BA5" s="189"/>
      <c r="BB5" s="189"/>
      <c r="BC5" s="189"/>
      <c r="BD5" s="189"/>
      <c r="BE5" s="189"/>
      <c r="BF5" s="189"/>
      <c r="BG5" s="189"/>
      <c r="BH5" s="189"/>
      <c r="BI5" s="189"/>
      <c r="BJ5" s="222">
        <f>VLOOKUP(BJ4,Charts!$AL$2:$AM$52,2,TRUE)</f>
        <v>0</v>
      </c>
      <c r="BK5" s="222"/>
      <c r="BL5" s="222"/>
      <c r="BM5" s="222"/>
      <c r="BN5" s="222"/>
      <c r="BO5" s="189" t="s">
        <v>23</v>
      </c>
      <c r="BP5" s="189"/>
      <c r="BQ5" s="189"/>
      <c r="BR5" s="189"/>
      <c r="BS5" s="189"/>
      <c r="BT5" s="221">
        <f>Calculations!N9</f>
        <v>0</v>
      </c>
      <c r="BU5" s="222"/>
      <c r="BV5" s="222"/>
      <c r="BW5" s="222"/>
      <c r="BX5" s="223"/>
      <c r="BY5" s="90"/>
      <c r="BZ5" s="188" t="s">
        <v>3236</v>
      </c>
      <c r="CA5" s="189"/>
      <c r="CB5" s="189"/>
      <c r="CC5" s="189"/>
      <c r="CD5" s="189"/>
      <c r="CE5" s="189"/>
      <c r="CF5" s="189"/>
      <c r="CG5" s="189"/>
      <c r="CH5" s="189"/>
      <c r="CI5" s="189"/>
      <c r="CJ5" s="189"/>
      <c r="CK5" s="195">
        <v>0</v>
      </c>
      <c r="CL5" s="195"/>
      <c r="CM5" s="195"/>
      <c r="CN5" s="340"/>
      <c r="CO5" s="189" t="s">
        <v>3232</v>
      </c>
      <c r="CP5" s="189"/>
      <c r="CQ5" s="189"/>
      <c r="CR5" s="189"/>
      <c r="CS5" s="189"/>
      <c r="CT5" s="189"/>
      <c r="CU5" s="189"/>
      <c r="CV5" s="189"/>
      <c r="CW5" s="189"/>
      <c r="CX5" s="189"/>
      <c r="CY5" s="195">
        <v>1</v>
      </c>
      <c r="CZ5" s="195"/>
      <c r="DA5" s="195"/>
      <c r="DB5" s="271"/>
      <c r="DD5" s="188" t="s">
        <v>3221</v>
      </c>
      <c r="DE5" s="189"/>
      <c r="DF5" s="189"/>
      <c r="DG5" s="189"/>
      <c r="DH5" s="189"/>
      <c r="DI5" s="189"/>
      <c r="DJ5" s="189"/>
      <c r="DK5" s="189"/>
      <c r="DL5" s="189"/>
      <c r="DM5" s="195">
        <v>0</v>
      </c>
      <c r="DN5" s="195"/>
      <c r="DO5" s="195"/>
      <c r="DP5" s="195"/>
      <c r="DQ5" s="195"/>
      <c r="DR5" s="195"/>
      <c r="DS5" s="195"/>
      <c r="DT5" s="271"/>
      <c r="DV5" s="215" t="s">
        <v>130</v>
      </c>
      <c r="DW5" s="216"/>
      <c r="DX5" s="216"/>
      <c r="DY5" s="216"/>
      <c r="DZ5" s="216"/>
      <c r="EA5" s="216"/>
      <c r="EB5" s="216"/>
      <c r="EC5" s="216"/>
      <c r="ED5" s="216"/>
      <c r="EE5" s="216"/>
      <c r="EF5" s="216"/>
      <c r="EG5" s="216"/>
      <c r="EH5" s="216"/>
      <c r="EI5" s="216"/>
      <c r="EJ5" s="216"/>
      <c r="EK5" s="216"/>
      <c r="EL5" s="216"/>
      <c r="EM5" s="216"/>
      <c r="EN5" s="216"/>
      <c r="EO5" s="216"/>
      <c r="EP5" s="216"/>
      <c r="EQ5" s="216"/>
      <c r="ER5" s="216"/>
      <c r="ES5" s="216"/>
      <c r="ET5" s="216"/>
      <c r="EU5" s="216"/>
      <c r="EV5" s="216"/>
      <c r="EW5" s="216"/>
      <c r="EX5" s="216"/>
      <c r="EY5" s="216"/>
      <c r="EZ5" s="217"/>
      <c r="FB5" s="139" t="s">
        <v>3744</v>
      </c>
      <c r="FC5" s="140"/>
      <c r="FD5" s="140"/>
      <c r="FE5" s="140"/>
      <c r="FF5" s="140"/>
      <c r="FG5" s="140"/>
      <c r="FH5" s="140"/>
      <c r="FI5" s="140"/>
      <c r="FJ5" s="140"/>
      <c r="FK5" s="140"/>
      <c r="FL5" s="140"/>
      <c r="FM5" s="140"/>
      <c r="FN5" s="140"/>
      <c r="FO5" s="140"/>
      <c r="FP5" s="140"/>
      <c r="FQ5" s="140"/>
      <c r="FR5" s="140"/>
      <c r="FS5" s="140"/>
      <c r="FT5" s="140"/>
      <c r="FU5" s="140"/>
      <c r="FV5" s="140"/>
      <c r="FW5" s="140"/>
      <c r="FX5" s="140"/>
      <c r="FY5" s="140"/>
      <c r="FZ5" s="140"/>
      <c r="GA5" s="140"/>
      <c r="GB5" s="140"/>
      <c r="GC5" s="140"/>
      <c r="GD5" s="140"/>
      <c r="GE5" s="140"/>
      <c r="GF5" s="140"/>
      <c r="GG5" s="140"/>
      <c r="GH5" s="140"/>
      <c r="GI5" s="140"/>
      <c r="GJ5" s="140"/>
      <c r="GK5" s="140"/>
      <c r="GL5" s="140"/>
      <c r="GM5" s="140"/>
      <c r="GN5" s="140"/>
      <c r="GO5" s="140"/>
      <c r="GP5" s="140"/>
      <c r="GQ5" s="140"/>
      <c r="GR5" s="140"/>
      <c r="GS5" s="140"/>
      <c r="GT5" s="141">
        <v>1</v>
      </c>
      <c r="GU5" s="141"/>
      <c r="GV5" s="141"/>
      <c r="GW5" s="141"/>
      <c r="GX5" s="141"/>
      <c r="GY5" s="141"/>
      <c r="GZ5" s="141"/>
      <c r="HA5" s="141"/>
      <c r="HB5" s="142">
        <f>IFERROR(ROUND(((Calculations!BV5/185)*'Character Creation'!$Z$18)*GT5,2),"")</f>
        <v>2.87</v>
      </c>
      <c r="HC5" s="142"/>
      <c r="HD5" s="142"/>
      <c r="HE5" s="142"/>
      <c r="HF5" s="142"/>
      <c r="HG5" s="142"/>
      <c r="HH5" s="142"/>
      <c r="HI5" s="142"/>
      <c r="HJ5" s="142">
        <f>IFERROR(Calculations!BS5+IQ5+IX5,"")</f>
        <v>30</v>
      </c>
      <c r="HK5" s="142"/>
      <c r="HL5" s="142"/>
      <c r="HM5" s="142"/>
      <c r="HN5" s="142"/>
      <c r="HO5" s="142"/>
      <c r="HP5" s="142"/>
      <c r="HQ5" s="142"/>
      <c r="HR5" s="142">
        <f t="shared" si="0"/>
        <v>0</v>
      </c>
      <c r="HS5" s="142"/>
      <c r="HT5" s="142"/>
      <c r="HU5" s="142"/>
      <c r="HV5" s="142"/>
      <c r="HW5" s="142"/>
      <c r="HX5" s="142"/>
      <c r="HY5" s="142"/>
      <c r="HZ5" s="142" t="str">
        <f>IFERROR(Calculations!BX5,"")</f>
        <v>$6.5</v>
      </c>
      <c r="IA5" s="142"/>
      <c r="IB5" s="142"/>
      <c r="IC5" s="142"/>
      <c r="ID5" s="142"/>
      <c r="IE5" s="142"/>
      <c r="IF5" s="142"/>
      <c r="IG5" s="142"/>
      <c r="IH5" s="142"/>
      <c r="II5" s="142"/>
      <c r="IJ5" s="142">
        <f>IFERROR(Calculations!BR5+IX5,"")</f>
        <v>0</v>
      </c>
      <c r="IK5" s="142"/>
      <c r="IL5" s="142"/>
      <c r="IM5" s="142"/>
      <c r="IN5" s="142"/>
      <c r="IO5" s="142"/>
      <c r="IP5" s="142"/>
      <c r="IQ5" s="141">
        <v>0</v>
      </c>
      <c r="IR5" s="141"/>
      <c r="IS5" s="141"/>
      <c r="IT5" s="141"/>
      <c r="IU5" s="141"/>
      <c r="IV5" s="141"/>
      <c r="IW5" s="141"/>
      <c r="IX5" s="141">
        <v>0</v>
      </c>
      <c r="IY5" s="141"/>
      <c r="IZ5" s="141"/>
      <c r="JA5" s="141"/>
      <c r="JB5" s="141"/>
      <c r="JC5" s="141"/>
      <c r="JD5" s="141"/>
      <c r="JE5" s="141"/>
      <c r="JF5" s="142"/>
      <c r="JG5" s="142"/>
      <c r="JH5" s="142"/>
      <c r="JI5" s="142"/>
      <c r="JJ5" s="142"/>
      <c r="JK5" s="143" t="str">
        <f>Calculations!AS5</f>
        <v>Heavy Cloth</v>
      </c>
      <c r="JL5" s="143"/>
      <c r="JM5" s="143"/>
      <c r="JN5" s="143"/>
      <c r="JO5" s="143"/>
      <c r="JP5" s="143"/>
      <c r="JQ5" s="143"/>
      <c r="JR5" s="143"/>
      <c r="JS5" s="143"/>
      <c r="JT5" s="143"/>
      <c r="JU5" s="143"/>
      <c r="JV5" s="143"/>
      <c r="JW5" s="143"/>
      <c r="JX5" s="143"/>
      <c r="JY5" s="143"/>
      <c r="JZ5" s="143"/>
      <c r="KA5" s="143"/>
      <c r="KB5" s="143"/>
      <c r="KC5" s="143" t="str">
        <f>Calculations!AW5</f>
        <v>Light Cloth</v>
      </c>
      <c r="KD5" s="143"/>
      <c r="KE5" s="143"/>
      <c r="KF5" s="143"/>
      <c r="KG5" s="143"/>
      <c r="KH5" s="143"/>
      <c r="KI5" s="143"/>
      <c r="KJ5" s="143"/>
      <c r="KK5" s="143"/>
      <c r="KL5" s="143"/>
      <c r="KM5" s="143"/>
      <c r="KN5" s="143"/>
      <c r="KO5" s="143"/>
      <c r="KP5" s="143"/>
      <c r="KQ5" s="143"/>
      <c r="KR5" s="143"/>
      <c r="KS5" s="143"/>
      <c r="KT5" s="143"/>
      <c r="KU5" s="144"/>
      <c r="KV5" s="144"/>
      <c r="KW5" s="144"/>
      <c r="KX5" s="144"/>
      <c r="KY5" s="144"/>
      <c r="KZ5" s="144"/>
      <c r="LA5" s="144"/>
      <c r="LB5" s="144"/>
      <c r="LC5" s="144"/>
      <c r="LD5" s="144"/>
      <c r="LE5" s="144"/>
      <c r="LF5" s="144"/>
      <c r="LG5" s="144"/>
      <c r="LH5" s="144"/>
      <c r="LI5" s="144"/>
      <c r="LJ5" s="144"/>
      <c r="LK5" s="144"/>
      <c r="LL5" s="144"/>
      <c r="LM5" s="144"/>
      <c r="LN5" s="144"/>
      <c r="LO5" s="144"/>
      <c r="LP5" s="144"/>
      <c r="LQ5" s="144"/>
      <c r="LR5" s="144"/>
      <c r="LS5" s="144"/>
      <c r="LT5" s="144"/>
      <c r="LU5" s="144"/>
      <c r="LV5" s="144"/>
      <c r="LW5" s="144"/>
      <c r="LX5" s="144"/>
      <c r="LY5" s="144"/>
      <c r="LZ5" s="144"/>
      <c r="MA5" s="144"/>
      <c r="MB5" s="144"/>
      <c r="MC5" s="144"/>
      <c r="MD5" s="144"/>
      <c r="ME5" s="144"/>
      <c r="MF5" s="144"/>
      <c r="MG5" s="144"/>
      <c r="MH5" s="144"/>
      <c r="MI5" s="144"/>
      <c r="MJ5" s="144"/>
      <c r="MK5" s="144"/>
      <c r="ML5" s="144"/>
      <c r="MM5" s="144"/>
      <c r="MN5" s="144"/>
      <c r="MO5" s="144"/>
      <c r="MP5" s="144"/>
      <c r="MQ5" s="144"/>
      <c r="MR5" s="144"/>
      <c r="MS5" s="144"/>
      <c r="MT5" s="144"/>
      <c r="MU5" s="144"/>
      <c r="MV5" s="144"/>
      <c r="MW5" s="144"/>
      <c r="MX5" s="144"/>
      <c r="MY5" s="144"/>
      <c r="MZ5" s="145"/>
      <c r="NB5" s="128" t="s">
        <v>3483</v>
      </c>
      <c r="NC5" s="128"/>
      <c r="ND5" s="128"/>
      <c r="NE5" s="128"/>
      <c r="NF5" s="128"/>
      <c r="NG5" s="128"/>
      <c r="NH5" s="128"/>
      <c r="NI5" s="128"/>
      <c r="NJ5" s="128"/>
      <c r="NK5" s="128"/>
      <c r="NL5" s="128"/>
      <c r="NM5" s="128"/>
      <c r="NN5" s="128"/>
      <c r="NO5" s="128"/>
      <c r="NP5" s="128"/>
      <c r="NQ5" s="128"/>
      <c r="NR5" s="128"/>
      <c r="NS5" s="128"/>
      <c r="NT5" s="128"/>
      <c r="NU5" s="128"/>
      <c r="NV5" s="128"/>
      <c r="NW5" s="128"/>
      <c r="NX5" s="128"/>
      <c r="NY5" s="128"/>
      <c r="NZ5" s="128"/>
      <c r="OA5" s="128"/>
      <c r="OB5" s="128"/>
      <c r="OC5" s="128"/>
      <c r="OD5" s="128"/>
      <c r="OE5" s="128"/>
      <c r="OF5" s="128"/>
      <c r="OG5" s="129"/>
      <c r="OH5" s="129"/>
      <c r="OI5" s="129"/>
      <c r="OJ5" s="129"/>
      <c r="OK5" s="129"/>
      <c r="OL5" s="129"/>
      <c r="OM5" s="129"/>
      <c r="ON5" s="129"/>
      <c r="OO5" s="129"/>
      <c r="OP5" s="129"/>
      <c r="OQ5" s="129"/>
      <c r="OR5" s="129"/>
      <c r="OS5" s="129"/>
      <c r="OT5" s="129"/>
      <c r="OU5" s="129"/>
      <c r="OV5" s="129"/>
      <c r="OW5" s="129"/>
      <c r="OX5" s="129"/>
      <c r="OY5" s="129"/>
      <c r="OZ5" s="129"/>
      <c r="PA5" s="129"/>
      <c r="PB5" s="128"/>
      <c r="PC5" s="128"/>
      <c r="PD5" s="128"/>
      <c r="PE5" s="128"/>
      <c r="PF5" s="128"/>
      <c r="PG5" s="128"/>
      <c r="PH5" s="129"/>
      <c r="PI5" s="129"/>
      <c r="PJ5" s="129"/>
      <c r="PK5" s="129"/>
      <c r="PL5" s="129"/>
      <c r="PM5" s="129"/>
      <c r="PN5" s="129"/>
      <c r="PO5" s="129"/>
      <c r="PP5" s="129"/>
      <c r="PQ5" s="129"/>
      <c r="PR5" s="129"/>
      <c r="PS5" s="129"/>
      <c r="PT5" s="129"/>
      <c r="PU5" s="129"/>
      <c r="PV5" s="129"/>
      <c r="PW5" s="129"/>
      <c r="PX5" s="129"/>
      <c r="PY5" s="129"/>
      <c r="PZ5" s="129"/>
      <c r="QA5" s="129"/>
      <c r="QB5" s="129"/>
      <c r="QC5" s="129"/>
      <c r="QD5" s="129"/>
      <c r="QE5" s="129"/>
      <c r="QF5" s="129"/>
      <c r="QG5" s="129"/>
      <c r="QH5" s="129"/>
      <c r="QI5" s="129"/>
      <c r="QJ5" s="128"/>
      <c r="QK5" s="128"/>
      <c r="QL5" s="128"/>
      <c r="QM5" s="128"/>
      <c r="QN5" s="128"/>
      <c r="QO5" s="128"/>
      <c r="QP5" s="128"/>
      <c r="QR5" s="128" t="s">
        <v>77</v>
      </c>
      <c r="QS5" s="128"/>
      <c r="QT5" s="128"/>
      <c r="QU5" s="128"/>
      <c r="QV5" s="128"/>
      <c r="QW5" s="128"/>
      <c r="QX5" s="128"/>
      <c r="QY5" s="128"/>
      <c r="QZ5" s="128"/>
      <c r="RA5" s="128"/>
      <c r="RB5" s="128"/>
      <c r="RC5" s="128"/>
      <c r="RD5" s="128"/>
      <c r="RE5" s="128"/>
      <c r="RF5" s="128"/>
      <c r="RG5" s="128"/>
      <c r="RH5" s="128"/>
      <c r="RI5" s="128"/>
      <c r="RJ5" s="128"/>
      <c r="RK5" s="128"/>
      <c r="RL5" s="128"/>
      <c r="RM5" s="128"/>
      <c r="RN5" s="128"/>
      <c r="RO5" s="128"/>
      <c r="RP5" s="128"/>
      <c r="RQ5" s="128"/>
      <c r="RR5" s="128"/>
      <c r="RS5" s="128"/>
      <c r="RT5" s="128"/>
      <c r="RU5" s="128"/>
      <c r="RV5" s="128"/>
      <c r="RW5" s="129"/>
      <c r="RX5" s="129"/>
      <c r="RY5" s="129"/>
      <c r="RZ5" s="129"/>
      <c r="SA5" s="129"/>
      <c r="SB5" s="129"/>
      <c r="SC5" s="129"/>
      <c r="SD5" s="129"/>
      <c r="SE5" s="129"/>
      <c r="SF5" s="129"/>
      <c r="SG5" s="129"/>
      <c r="SH5" s="129"/>
      <c r="SI5" s="129"/>
      <c r="SJ5" s="129"/>
      <c r="SK5" s="129"/>
      <c r="SL5" s="129"/>
      <c r="SM5" s="129"/>
      <c r="SN5" s="129"/>
      <c r="SO5" s="129"/>
      <c r="SP5" s="129"/>
      <c r="SQ5" s="129"/>
      <c r="SR5" s="128"/>
      <c r="SS5" s="128"/>
      <c r="ST5" s="128"/>
      <c r="SU5" s="128"/>
      <c r="SV5" s="128"/>
      <c r="SW5" s="128"/>
      <c r="SX5" s="129"/>
      <c r="SY5" s="129"/>
      <c r="SZ5" s="129"/>
      <c r="TA5" s="129"/>
      <c r="TB5" s="129"/>
      <c r="TC5" s="129"/>
      <c r="TD5" s="129"/>
      <c r="TE5" s="129"/>
      <c r="TF5" s="129"/>
      <c r="TG5" s="129"/>
      <c r="TH5" s="129"/>
      <c r="TI5" s="129"/>
      <c r="TJ5" s="129"/>
      <c r="TK5" s="129"/>
      <c r="TL5" s="129"/>
      <c r="TM5" s="129"/>
      <c r="TN5" s="129"/>
      <c r="TO5" s="129"/>
      <c r="TP5" s="129"/>
      <c r="TQ5" s="129"/>
      <c r="TR5" s="129"/>
      <c r="TS5" s="129"/>
      <c r="TT5" s="129"/>
      <c r="TU5" s="129"/>
      <c r="TV5" s="129"/>
      <c r="TW5" s="129"/>
      <c r="TX5" s="129"/>
      <c r="TY5" s="129"/>
      <c r="TZ5" s="128"/>
      <c r="UA5" s="128"/>
      <c r="UB5" s="128"/>
      <c r="UC5" s="128"/>
      <c r="UD5" s="128"/>
      <c r="UE5" s="128"/>
      <c r="UF5" s="128"/>
      <c r="UH5" s="128" t="s">
        <v>160</v>
      </c>
      <c r="UI5" s="128"/>
      <c r="UJ5" s="128"/>
      <c r="UK5" s="128"/>
      <c r="UL5" s="128"/>
      <c r="UM5" s="128"/>
      <c r="UN5" s="128"/>
      <c r="UO5" s="128"/>
      <c r="UP5" s="128"/>
      <c r="UQ5" s="128"/>
      <c r="UR5" s="128"/>
      <c r="US5" s="128"/>
      <c r="UT5" s="128"/>
      <c r="UU5" s="128"/>
      <c r="UV5" s="128"/>
      <c r="UW5" s="128"/>
      <c r="UX5" s="128"/>
      <c r="UY5" s="128"/>
      <c r="UZ5" s="128"/>
      <c r="VA5" s="128"/>
      <c r="VB5" s="128"/>
      <c r="VC5" s="128"/>
      <c r="VD5" s="128"/>
      <c r="VE5" s="128"/>
      <c r="VF5" s="128"/>
      <c r="VG5" s="128"/>
      <c r="VH5" s="128"/>
      <c r="VI5" s="128"/>
      <c r="VJ5" s="128"/>
      <c r="VK5" s="128"/>
      <c r="VL5" s="128"/>
      <c r="VM5" s="129"/>
      <c r="VN5" s="129"/>
      <c r="VO5" s="129"/>
      <c r="VP5" s="129"/>
      <c r="VQ5" s="129"/>
      <c r="VR5" s="129"/>
      <c r="VS5" s="129"/>
      <c r="VT5" s="129"/>
      <c r="VU5" s="129"/>
      <c r="VV5" s="129"/>
      <c r="VW5" s="129"/>
      <c r="VX5" s="129"/>
      <c r="VY5" s="129"/>
      <c r="VZ5" s="129"/>
      <c r="WA5" s="129"/>
      <c r="WB5" s="129"/>
      <c r="WC5" s="129"/>
      <c r="WD5" s="129"/>
      <c r="WE5" s="129"/>
      <c r="WF5" s="129"/>
      <c r="WG5" s="129"/>
      <c r="WH5" s="128"/>
      <c r="WI5" s="128"/>
      <c r="WJ5" s="128"/>
      <c r="WK5" s="128"/>
      <c r="WL5" s="128"/>
      <c r="WM5" s="128"/>
      <c r="WN5" s="129"/>
      <c r="WO5" s="129"/>
      <c r="WP5" s="129"/>
      <c r="WQ5" s="129"/>
      <c r="WR5" s="129"/>
      <c r="WS5" s="129"/>
      <c r="WT5" s="129"/>
      <c r="WU5" s="129"/>
      <c r="WV5" s="129"/>
      <c r="WW5" s="129"/>
      <c r="WX5" s="129"/>
      <c r="WY5" s="129"/>
      <c r="WZ5" s="129"/>
      <c r="XA5" s="129"/>
      <c r="XB5" s="129"/>
      <c r="XC5" s="129"/>
      <c r="XD5" s="129"/>
      <c r="XE5" s="129"/>
      <c r="XF5" s="129"/>
      <c r="XG5" s="129"/>
      <c r="XH5" s="129"/>
      <c r="XI5" s="129"/>
      <c r="XJ5" s="129"/>
      <c r="XK5" s="129"/>
      <c r="XL5" s="129"/>
      <c r="XM5" s="129"/>
      <c r="XN5" s="129"/>
      <c r="XO5" s="129"/>
      <c r="XP5" s="128"/>
      <c r="XQ5" s="128"/>
      <c r="XR5" s="128"/>
      <c r="XS5" s="128"/>
      <c r="XT5" s="128"/>
      <c r="XU5" s="128"/>
      <c r="XV5" s="128"/>
      <c r="XX5" s="128" t="s">
        <v>166</v>
      </c>
      <c r="XY5" s="128"/>
      <c r="XZ5" s="128"/>
      <c r="YA5" s="128"/>
      <c r="YB5" s="128"/>
      <c r="YC5" s="128"/>
      <c r="YD5" s="128"/>
      <c r="YE5" s="128"/>
      <c r="YF5" s="128"/>
      <c r="YG5" s="128"/>
      <c r="YH5" s="128"/>
      <c r="YI5" s="128"/>
      <c r="YJ5" s="128"/>
      <c r="YK5" s="128"/>
      <c r="YL5" s="128"/>
      <c r="YM5" s="128"/>
      <c r="YN5" s="128"/>
      <c r="YO5" s="128"/>
      <c r="YP5" s="128"/>
      <c r="YQ5" s="128"/>
      <c r="YR5" s="128"/>
      <c r="YS5" s="128"/>
      <c r="YT5" s="128"/>
      <c r="YU5" s="128"/>
      <c r="YV5" s="128"/>
      <c r="YW5" s="128"/>
      <c r="YX5" s="128"/>
      <c r="YY5" s="128"/>
      <c r="YZ5" s="128"/>
      <c r="ZA5" s="128"/>
      <c r="ZB5" s="128"/>
      <c r="ZC5" s="129"/>
      <c r="ZD5" s="129"/>
      <c r="ZE5" s="129"/>
      <c r="ZF5" s="129"/>
      <c r="ZG5" s="129"/>
      <c r="ZH5" s="129"/>
      <c r="ZI5" s="129"/>
      <c r="ZJ5" s="129"/>
      <c r="ZK5" s="129"/>
      <c r="ZL5" s="129"/>
      <c r="ZM5" s="129"/>
      <c r="ZN5" s="129"/>
      <c r="ZO5" s="129"/>
      <c r="ZP5" s="129"/>
      <c r="ZQ5" s="129"/>
      <c r="ZR5" s="129"/>
      <c r="ZS5" s="129"/>
      <c r="ZT5" s="129"/>
      <c r="ZU5" s="129"/>
      <c r="ZV5" s="129"/>
      <c r="ZW5" s="129"/>
      <c r="ZX5" s="128"/>
      <c r="ZY5" s="128"/>
      <c r="ZZ5" s="128"/>
      <c r="AAA5" s="128"/>
      <c r="AAB5" s="128"/>
      <c r="AAC5" s="128"/>
      <c r="AAD5" s="129"/>
      <c r="AAE5" s="129"/>
      <c r="AAF5" s="129"/>
      <c r="AAG5" s="129"/>
      <c r="AAH5" s="129"/>
      <c r="AAI5" s="129"/>
      <c r="AAJ5" s="129"/>
      <c r="AAK5" s="129"/>
      <c r="AAL5" s="129"/>
      <c r="AAM5" s="129"/>
      <c r="AAN5" s="129"/>
      <c r="AAO5" s="129"/>
      <c r="AAP5" s="129"/>
      <c r="AAQ5" s="129"/>
      <c r="AAR5" s="129"/>
      <c r="AAS5" s="129"/>
      <c r="AAT5" s="129"/>
      <c r="AAU5" s="129"/>
      <c r="AAV5" s="129"/>
      <c r="AAW5" s="129"/>
      <c r="AAX5" s="129"/>
      <c r="AAY5" s="129"/>
      <c r="AAZ5" s="129"/>
      <c r="ABA5" s="129"/>
      <c r="ABB5" s="129"/>
      <c r="ABC5" s="129"/>
      <c r="ABD5" s="129"/>
      <c r="ABE5" s="129"/>
      <c r="ABF5" s="128"/>
      <c r="ABG5" s="128"/>
      <c r="ABH5" s="128"/>
      <c r="ABI5" s="128"/>
      <c r="ABJ5" s="128"/>
      <c r="ABK5" s="128"/>
      <c r="ABL5" s="128"/>
      <c r="ABN5" s="128" t="s">
        <v>174</v>
      </c>
      <c r="ABO5" s="128"/>
      <c r="ABP5" s="128"/>
      <c r="ABQ5" s="128"/>
      <c r="ABR5" s="128"/>
      <c r="ABS5" s="128"/>
      <c r="ABT5" s="128"/>
      <c r="ABU5" s="128"/>
      <c r="ABV5" s="128"/>
      <c r="ABW5" s="128"/>
      <c r="ABX5" s="128"/>
      <c r="ABY5" s="128"/>
      <c r="ABZ5" s="128"/>
      <c r="ACA5" s="128"/>
      <c r="ACB5" s="128"/>
      <c r="ACC5" s="128"/>
      <c r="ACD5" s="128"/>
      <c r="ACE5" s="128"/>
      <c r="ACF5" s="128"/>
      <c r="ACG5" s="128"/>
      <c r="ACH5" s="128"/>
      <c r="ACI5" s="128"/>
      <c r="ACJ5" s="128"/>
      <c r="ACK5" s="128"/>
      <c r="ACL5" s="128"/>
      <c r="ACM5" s="128"/>
      <c r="ACN5" s="128"/>
      <c r="ACO5" s="128"/>
      <c r="ACP5" s="128"/>
      <c r="ACQ5" s="128"/>
      <c r="ACR5" s="128"/>
      <c r="ACS5" s="129"/>
      <c r="ACT5" s="129"/>
      <c r="ACU5" s="129"/>
      <c r="ACV5" s="129"/>
      <c r="ACW5" s="129"/>
      <c r="ACX5" s="129"/>
      <c r="ACY5" s="129"/>
      <c r="ACZ5" s="129"/>
      <c r="ADA5" s="129"/>
      <c r="ADB5" s="129"/>
      <c r="ADC5" s="129"/>
      <c r="ADD5" s="129"/>
      <c r="ADE5" s="129"/>
      <c r="ADF5" s="129"/>
      <c r="ADG5" s="129"/>
      <c r="ADH5" s="129"/>
      <c r="ADI5" s="129"/>
      <c r="ADJ5" s="129"/>
      <c r="ADK5" s="129"/>
      <c r="ADL5" s="129"/>
      <c r="ADM5" s="129"/>
      <c r="ADN5" s="128"/>
      <c r="ADO5" s="128"/>
      <c r="ADP5" s="128"/>
      <c r="ADQ5" s="128"/>
      <c r="ADR5" s="128"/>
      <c r="ADS5" s="128"/>
      <c r="ADT5" s="129"/>
      <c r="ADU5" s="129"/>
      <c r="ADV5" s="129"/>
      <c r="ADW5" s="129"/>
      <c r="ADX5" s="129"/>
      <c r="ADY5" s="129"/>
      <c r="ADZ5" s="129"/>
      <c r="AEA5" s="129"/>
      <c r="AEB5" s="129"/>
      <c r="AEC5" s="129"/>
      <c r="AED5" s="129"/>
      <c r="AEE5" s="129"/>
      <c r="AEF5" s="129"/>
      <c r="AEG5" s="129"/>
      <c r="AEH5" s="129"/>
      <c r="AEI5" s="129"/>
      <c r="AEJ5" s="129"/>
      <c r="AEK5" s="129"/>
      <c r="AEL5" s="129"/>
      <c r="AEM5" s="129"/>
      <c r="AEN5" s="129"/>
      <c r="AEO5" s="129"/>
      <c r="AEP5" s="129"/>
      <c r="AEQ5" s="129"/>
      <c r="AER5" s="129"/>
      <c r="AES5" s="129"/>
      <c r="AET5" s="129"/>
      <c r="AEU5" s="129"/>
      <c r="AEV5" s="128"/>
      <c r="AEW5" s="128"/>
      <c r="AEX5" s="128"/>
      <c r="AEY5" s="128"/>
      <c r="AEZ5" s="128"/>
      <c r="AFA5" s="128"/>
      <c r="AFB5" s="128"/>
      <c r="AFD5" s="128" t="s">
        <v>183</v>
      </c>
      <c r="AFE5" s="128"/>
      <c r="AFF5" s="128"/>
      <c r="AFG5" s="128"/>
      <c r="AFH5" s="128"/>
      <c r="AFI5" s="128"/>
      <c r="AFJ5" s="128"/>
      <c r="AFK5" s="128"/>
      <c r="AFL5" s="128"/>
      <c r="AFM5" s="128"/>
      <c r="AFN5" s="128"/>
      <c r="AFO5" s="128"/>
      <c r="AFP5" s="128"/>
      <c r="AFQ5" s="128"/>
      <c r="AFR5" s="128"/>
      <c r="AFS5" s="128"/>
      <c r="AFT5" s="128"/>
      <c r="AFU5" s="128"/>
      <c r="AFV5" s="128"/>
      <c r="AFW5" s="128"/>
      <c r="AFX5" s="128"/>
      <c r="AFY5" s="128"/>
      <c r="AFZ5" s="128"/>
      <c r="AGA5" s="128"/>
      <c r="AGB5" s="128"/>
      <c r="AGC5" s="128"/>
      <c r="AGD5" s="128"/>
      <c r="AGE5" s="128"/>
      <c r="AGF5" s="128"/>
      <c r="AGG5" s="128"/>
      <c r="AGH5" s="128"/>
      <c r="AGI5" s="129"/>
      <c r="AGJ5" s="129"/>
      <c r="AGK5" s="129"/>
      <c r="AGL5" s="129"/>
      <c r="AGM5" s="129"/>
      <c r="AGN5" s="129"/>
      <c r="AGO5" s="129"/>
      <c r="AGP5" s="129"/>
      <c r="AGQ5" s="129"/>
      <c r="AGR5" s="129"/>
      <c r="AGS5" s="129"/>
      <c r="AGT5" s="129"/>
      <c r="AGU5" s="129"/>
      <c r="AGV5" s="129"/>
      <c r="AGW5" s="129"/>
      <c r="AGX5" s="129"/>
      <c r="AGY5" s="129"/>
      <c r="AGZ5" s="129"/>
      <c r="AHA5" s="129"/>
      <c r="AHB5" s="129"/>
      <c r="AHC5" s="129"/>
      <c r="AHD5" s="128"/>
      <c r="AHE5" s="128"/>
      <c r="AHF5" s="128"/>
      <c r="AHG5" s="128"/>
      <c r="AHH5" s="128"/>
      <c r="AHI5" s="128"/>
      <c r="AHJ5" s="129"/>
      <c r="AHK5" s="129"/>
      <c r="AHL5" s="129"/>
      <c r="AHM5" s="129"/>
      <c r="AHN5" s="129"/>
      <c r="AHO5" s="129"/>
      <c r="AHP5" s="129"/>
      <c r="AHQ5" s="129"/>
      <c r="AHR5" s="129"/>
      <c r="AHS5" s="129"/>
      <c r="AHT5" s="129"/>
      <c r="AHU5" s="129"/>
      <c r="AHV5" s="129"/>
      <c r="AHW5" s="129"/>
      <c r="AHX5" s="129"/>
      <c r="AHY5" s="129"/>
      <c r="AHZ5" s="129"/>
      <c r="AIA5" s="129"/>
      <c r="AIB5" s="129"/>
      <c r="AIC5" s="129"/>
      <c r="AID5" s="129"/>
      <c r="AIE5" s="129"/>
      <c r="AIF5" s="129"/>
      <c r="AIG5" s="129"/>
      <c r="AIH5" s="129"/>
      <c r="AII5" s="129"/>
      <c r="AIJ5" s="129"/>
      <c r="AIK5" s="129"/>
      <c r="AIL5" s="128"/>
      <c r="AIM5" s="128"/>
      <c r="AIN5" s="128"/>
      <c r="AIO5" s="128"/>
      <c r="AIP5" s="128"/>
      <c r="AIQ5" s="128"/>
      <c r="AIR5" s="128"/>
      <c r="AIT5" s="128" t="s">
        <v>190</v>
      </c>
      <c r="AIU5" s="128"/>
      <c r="AIV5" s="128"/>
      <c r="AIW5" s="128"/>
      <c r="AIX5" s="128"/>
      <c r="AIY5" s="128"/>
      <c r="AIZ5" s="128"/>
      <c r="AJA5" s="128"/>
      <c r="AJB5" s="128"/>
      <c r="AJC5" s="128"/>
      <c r="AJD5" s="128"/>
      <c r="AJE5" s="128"/>
      <c r="AJF5" s="128"/>
      <c r="AJG5" s="128"/>
      <c r="AJH5" s="128"/>
      <c r="AJI5" s="128"/>
      <c r="AJJ5" s="128"/>
      <c r="AJK5" s="128"/>
      <c r="AJL5" s="128"/>
      <c r="AJM5" s="128"/>
      <c r="AJN5" s="128"/>
      <c r="AJO5" s="128"/>
      <c r="AJP5" s="128"/>
      <c r="AJQ5" s="128"/>
      <c r="AJR5" s="128"/>
      <c r="AJS5" s="128"/>
      <c r="AJT5" s="128"/>
      <c r="AJU5" s="128"/>
      <c r="AJV5" s="128"/>
      <c r="AJW5" s="128"/>
      <c r="AJX5" s="128"/>
      <c r="AJY5" s="129"/>
      <c r="AJZ5" s="129"/>
      <c r="AKA5" s="129"/>
      <c r="AKB5" s="129"/>
      <c r="AKC5" s="129"/>
      <c r="AKD5" s="129"/>
      <c r="AKE5" s="129"/>
      <c r="AKF5" s="129"/>
      <c r="AKG5" s="129"/>
      <c r="AKH5" s="129"/>
      <c r="AKI5" s="129"/>
      <c r="AKJ5" s="129"/>
      <c r="AKK5" s="129"/>
      <c r="AKL5" s="129"/>
      <c r="AKM5" s="129"/>
      <c r="AKN5" s="129"/>
      <c r="AKO5" s="129"/>
      <c r="AKP5" s="129"/>
      <c r="AKQ5" s="129"/>
      <c r="AKR5" s="129"/>
      <c r="AKS5" s="129"/>
      <c r="AKT5" s="128"/>
      <c r="AKU5" s="128"/>
      <c r="AKV5" s="128"/>
      <c r="AKW5" s="128"/>
      <c r="AKX5" s="128"/>
      <c r="AKY5" s="128"/>
      <c r="AKZ5" s="129"/>
      <c r="ALA5" s="129"/>
      <c r="ALB5" s="129"/>
      <c r="ALC5" s="129"/>
      <c r="ALD5" s="129"/>
      <c r="ALE5" s="129"/>
      <c r="ALF5" s="129"/>
      <c r="ALG5" s="129"/>
      <c r="ALH5" s="129"/>
      <c r="ALI5" s="129"/>
      <c r="ALJ5" s="129"/>
      <c r="ALK5" s="129"/>
      <c r="ALL5" s="129"/>
      <c r="ALM5" s="129"/>
      <c r="ALN5" s="129"/>
      <c r="ALO5" s="129"/>
      <c r="ALP5" s="129"/>
      <c r="ALQ5" s="129"/>
      <c r="ALR5" s="129"/>
      <c r="ALS5" s="129"/>
      <c r="ALT5" s="129"/>
      <c r="ALU5" s="129"/>
      <c r="ALV5" s="129"/>
      <c r="ALW5" s="129"/>
      <c r="ALX5" s="129"/>
      <c r="ALY5" s="129"/>
      <c r="ALZ5" s="129"/>
      <c r="AMA5" s="129"/>
      <c r="AMB5" s="128"/>
      <c r="AMC5" s="128"/>
      <c r="AMD5" s="128"/>
      <c r="AME5" s="128"/>
      <c r="AMF5" s="128"/>
      <c r="AMG5" s="128"/>
      <c r="AMH5" s="128"/>
      <c r="AMJ5" s="128" t="s">
        <v>219</v>
      </c>
      <c r="AMK5" s="128"/>
      <c r="AML5" s="128"/>
      <c r="AMM5" s="128"/>
      <c r="AMN5" s="128"/>
      <c r="AMO5" s="128"/>
      <c r="AMP5" s="128"/>
      <c r="AMQ5" s="128"/>
      <c r="AMR5" s="128"/>
      <c r="AMS5" s="128"/>
      <c r="AMT5" s="128"/>
      <c r="AMU5" s="128"/>
      <c r="AMV5" s="128"/>
      <c r="AMW5" s="128"/>
      <c r="AMX5" s="128"/>
      <c r="AMY5" s="128"/>
      <c r="AMZ5" s="128"/>
      <c r="ANA5" s="128"/>
      <c r="ANB5" s="128"/>
      <c r="ANC5" s="128"/>
      <c r="AND5" s="128"/>
      <c r="ANE5" s="128"/>
      <c r="ANF5" s="128"/>
      <c r="ANG5" s="128"/>
      <c r="ANH5" s="128"/>
      <c r="ANI5" s="128"/>
      <c r="ANJ5" s="128"/>
      <c r="ANK5" s="128"/>
      <c r="ANL5" s="128"/>
      <c r="ANM5" s="128"/>
      <c r="ANN5" s="128"/>
      <c r="ANO5" s="129"/>
      <c r="ANP5" s="129"/>
      <c r="ANQ5" s="129"/>
      <c r="ANR5" s="129"/>
      <c r="ANS5" s="129"/>
      <c r="ANT5" s="129"/>
      <c r="ANU5" s="129"/>
      <c r="ANV5" s="129"/>
      <c r="ANW5" s="129"/>
      <c r="ANX5" s="129"/>
      <c r="ANY5" s="129"/>
      <c r="ANZ5" s="129"/>
      <c r="AOA5" s="129"/>
      <c r="AOB5" s="129"/>
      <c r="AOC5" s="129"/>
      <c r="AOD5" s="129"/>
      <c r="AOE5" s="129"/>
      <c r="AOF5" s="129"/>
      <c r="AOG5" s="129"/>
      <c r="AOH5" s="129"/>
      <c r="AOI5" s="129"/>
      <c r="AOJ5" s="128"/>
      <c r="AOK5" s="128"/>
      <c r="AOL5" s="128"/>
      <c r="AOM5" s="128"/>
      <c r="AON5" s="128"/>
      <c r="AOO5" s="128"/>
      <c r="AOP5" s="129"/>
      <c r="AOQ5" s="129"/>
      <c r="AOR5" s="129"/>
      <c r="AOS5" s="129"/>
      <c r="AOT5" s="129"/>
      <c r="AOU5" s="129"/>
      <c r="AOV5" s="129"/>
      <c r="AOW5" s="129"/>
      <c r="AOX5" s="129"/>
      <c r="AOY5" s="129"/>
      <c r="AOZ5" s="129"/>
      <c r="APA5" s="129"/>
      <c r="APB5" s="129"/>
      <c r="APC5" s="129"/>
      <c r="APD5" s="129"/>
      <c r="APE5" s="129"/>
      <c r="APF5" s="129"/>
      <c r="APG5" s="129"/>
      <c r="APH5" s="129"/>
      <c r="API5" s="129"/>
      <c r="APJ5" s="129"/>
      <c r="APK5" s="129"/>
      <c r="APL5" s="129"/>
      <c r="APM5" s="129"/>
      <c r="APN5" s="129"/>
      <c r="APO5" s="129"/>
      <c r="APP5" s="129"/>
      <c r="APQ5" s="129"/>
      <c r="APR5" s="128"/>
      <c r="APS5" s="128"/>
      <c r="APT5" s="128"/>
      <c r="APU5" s="128"/>
      <c r="APV5" s="128"/>
      <c r="APW5" s="128"/>
      <c r="APX5" s="128"/>
      <c r="APZ5" s="128" t="s">
        <v>242</v>
      </c>
      <c r="AQA5" s="128"/>
      <c r="AQB5" s="128"/>
      <c r="AQC5" s="128"/>
      <c r="AQD5" s="128"/>
      <c r="AQE5" s="128"/>
      <c r="AQF5" s="128"/>
      <c r="AQG5" s="128"/>
      <c r="AQH5" s="128"/>
      <c r="AQI5" s="128"/>
      <c r="AQJ5" s="128"/>
      <c r="AQK5" s="128"/>
      <c r="AQL5" s="128"/>
      <c r="AQM5" s="128"/>
      <c r="AQN5" s="128"/>
      <c r="AQO5" s="128"/>
      <c r="AQP5" s="128"/>
      <c r="AQQ5" s="128"/>
      <c r="AQR5" s="128"/>
      <c r="AQS5" s="128"/>
      <c r="AQT5" s="128"/>
      <c r="AQU5" s="128"/>
      <c r="AQV5" s="128"/>
      <c r="AQW5" s="128"/>
      <c r="AQX5" s="128"/>
      <c r="AQY5" s="128"/>
      <c r="AQZ5" s="128"/>
      <c r="ARA5" s="128"/>
      <c r="ARB5" s="128"/>
      <c r="ARC5" s="128"/>
      <c r="ARD5" s="128"/>
      <c r="ARE5" s="129"/>
      <c r="ARF5" s="129"/>
      <c r="ARG5" s="129"/>
      <c r="ARH5" s="129"/>
      <c r="ARI5" s="129"/>
      <c r="ARJ5" s="129"/>
      <c r="ARK5" s="129"/>
      <c r="ARL5" s="129"/>
      <c r="ARM5" s="129"/>
      <c r="ARN5" s="129"/>
      <c r="ARO5" s="129"/>
      <c r="ARP5" s="129"/>
      <c r="ARQ5" s="129"/>
      <c r="ARR5" s="129"/>
      <c r="ARS5" s="129"/>
      <c r="ART5" s="129"/>
      <c r="ARU5" s="129"/>
      <c r="ARV5" s="129"/>
      <c r="ARW5" s="129"/>
      <c r="ARX5" s="129"/>
      <c r="ARY5" s="129"/>
      <c r="ARZ5" s="128"/>
      <c r="ASA5" s="128"/>
      <c r="ASB5" s="128"/>
      <c r="ASC5" s="128"/>
      <c r="ASD5" s="128"/>
      <c r="ASE5" s="128"/>
      <c r="ASF5" s="129"/>
      <c r="ASG5" s="129"/>
      <c r="ASH5" s="129"/>
      <c r="ASI5" s="129"/>
      <c r="ASJ5" s="129"/>
      <c r="ASK5" s="129"/>
      <c r="ASL5" s="129"/>
      <c r="ASM5" s="129"/>
      <c r="ASN5" s="129"/>
      <c r="ASO5" s="129"/>
      <c r="ASP5" s="129"/>
      <c r="ASQ5" s="129"/>
      <c r="ASR5" s="129"/>
      <c r="ASS5" s="129"/>
      <c r="AST5" s="129"/>
      <c r="ASU5" s="129"/>
      <c r="ASV5" s="129"/>
      <c r="ASW5" s="129"/>
      <c r="ASX5" s="129"/>
      <c r="ASY5" s="129"/>
      <c r="ASZ5" s="129"/>
      <c r="ATA5" s="129"/>
      <c r="ATB5" s="129"/>
      <c r="ATC5" s="129"/>
      <c r="ATD5" s="129"/>
      <c r="ATE5" s="129"/>
      <c r="ATF5" s="129"/>
      <c r="ATG5" s="129"/>
      <c r="ATH5" s="128"/>
      <c r="ATI5" s="128"/>
      <c r="ATJ5" s="128"/>
      <c r="ATK5" s="128"/>
      <c r="ATL5" s="128"/>
      <c r="ATM5" s="128"/>
      <c r="ATN5" s="128"/>
      <c r="ATP5" s="128" t="s">
        <v>259</v>
      </c>
      <c r="ATQ5" s="128"/>
      <c r="ATR5" s="128"/>
      <c r="ATS5" s="128"/>
      <c r="ATT5" s="128"/>
      <c r="ATU5" s="128"/>
      <c r="ATV5" s="128"/>
      <c r="ATW5" s="128"/>
      <c r="ATX5" s="128"/>
      <c r="ATY5" s="128"/>
      <c r="ATZ5" s="128"/>
      <c r="AUA5" s="128"/>
      <c r="AUB5" s="128"/>
      <c r="AUC5" s="128"/>
      <c r="AUD5" s="128"/>
      <c r="AUE5" s="128"/>
      <c r="AUF5" s="128"/>
      <c r="AUG5" s="128"/>
      <c r="AUH5" s="128"/>
      <c r="AUI5" s="128"/>
      <c r="AUJ5" s="128"/>
      <c r="AUK5" s="128"/>
      <c r="AUL5" s="128"/>
      <c r="AUM5" s="128"/>
      <c r="AUN5" s="128"/>
      <c r="AUO5" s="128"/>
      <c r="AUP5" s="128"/>
      <c r="AUQ5" s="128"/>
      <c r="AUR5" s="128"/>
      <c r="AUS5" s="128"/>
      <c r="AUT5" s="128"/>
      <c r="AUU5" s="129"/>
      <c r="AUV5" s="129"/>
      <c r="AUW5" s="129"/>
      <c r="AUX5" s="129"/>
      <c r="AUY5" s="129"/>
      <c r="AUZ5" s="129"/>
      <c r="AVA5" s="129"/>
      <c r="AVB5" s="129"/>
      <c r="AVC5" s="129"/>
      <c r="AVD5" s="129"/>
      <c r="AVE5" s="129"/>
      <c r="AVF5" s="129"/>
      <c r="AVG5" s="129"/>
      <c r="AVH5" s="129"/>
      <c r="AVI5" s="129"/>
      <c r="AVJ5" s="129"/>
      <c r="AVK5" s="129"/>
      <c r="AVL5" s="129"/>
      <c r="AVM5" s="129"/>
      <c r="AVN5" s="129"/>
      <c r="AVO5" s="129"/>
      <c r="AVP5" s="128"/>
      <c r="AVQ5" s="128"/>
      <c r="AVR5" s="128"/>
      <c r="AVS5" s="128"/>
      <c r="AVT5" s="128"/>
      <c r="AVU5" s="128"/>
      <c r="AVV5" s="129"/>
      <c r="AVW5" s="129"/>
      <c r="AVX5" s="129"/>
      <c r="AVY5" s="129"/>
      <c r="AVZ5" s="129"/>
      <c r="AWA5" s="129"/>
      <c r="AWB5" s="129"/>
      <c r="AWC5" s="129"/>
      <c r="AWD5" s="129"/>
      <c r="AWE5" s="129"/>
      <c r="AWF5" s="129"/>
      <c r="AWG5" s="129"/>
      <c r="AWH5" s="129"/>
      <c r="AWI5" s="129"/>
      <c r="AWJ5" s="129"/>
      <c r="AWK5" s="129"/>
      <c r="AWL5" s="129"/>
      <c r="AWM5" s="129"/>
      <c r="AWN5" s="129"/>
      <c r="AWO5" s="129"/>
      <c r="AWP5" s="129"/>
      <c r="AWQ5" s="129"/>
      <c r="AWR5" s="129"/>
      <c r="AWS5" s="129"/>
      <c r="AWT5" s="129"/>
      <c r="AWU5" s="129"/>
      <c r="AWV5" s="129"/>
      <c r="AWW5" s="129"/>
      <c r="AWX5" s="128"/>
      <c r="AWY5" s="128"/>
      <c r="AWZ5" s="128"/>
      <c r="AXA5" s="128"/>
      <c r="AXB5" s="128"/>
      <c r="AXC5" s="128"/>
      <c r="AXD5" s="128"/>
      <c r="AXF5" s="128" t="s">
        <v>262</v>
      </c>
      <c r="AXG5" s="128"/>
      <c r="AXH5" s="128"/>
      <c r="AXI5" s="128"/>
      <c r="AXJ5" s="128"/>
      <c r="AXK5" s="128"/>
      <c r="AXL5" s="128"/>
      <c r="AXM5" s="128"/>
      <c r="AXN5" s="128"/>
      <c r="AXO5" s="128"/>
      <c r="AXP5" s="128"/>
      <c r="AXQ5" s="128"/>
      <c r="AXR5" s="128"/>
      <c r="AXS5" s="128"/>
      <c r="AXT5" s="128"/>
      <c r="AXU5" s="128"/>
      <c r="AXV5" s="128"/>
      <c r="AXW5" s="128"/>
      <c r="AXX5" s="128"/>
      <c r="AXY5" s="128"/>
      <c r="AXZ5" s="128"/>
      <c r="AYA5" s="128"/>
      <c r="AYB5" s="128"/>
      <c r="AYC5" s="128"/>
      <c r="AYD5" s="128"/>
      <c r="AYE5" s="128"/>
      <c r="AYF5" s="128"/>
      <c r="AYG5" s="128"/>
      <c r="AYH5" s="128"/>
      <c r="AYI5" s="128"/>
      <c r="AYJ5" s="128"/>
      <c r="AYK5" s="129"/>
      <c r="AYL5" s="129"/>
      <c r="AYM5" s="129"/>
      <c r="AYN5" s="129"/>
      <c r="AYO5" s="129"/>
      <c r="AYP5" s="129"/>
      <c r="AYQ5" s="129"/>
      <c r="AYR5" s="129"/>
      <c r="AYS5" s="129"/>
      <c r="AYT5" s="129"/>
      <c r="AYU5" s="129"/>
      <c r="AYV5" s="129"/>
      <c r="AYW5" s="129"/>
      <c r="AYX5" s="129"/>
      <c r="AYY5" s="129"/>
      <c r="AYZ5" s="129"/>
      <c r="AZA5" s="129"/>
      <c r="AZB5" s="129"/>
      <c r="AZC5" s="129"/>
      <c r="AZD5" s="129"/>
      <c r="AZE5" s="129"/>
      <c r="AZF5" s="128"/>
      <c r="AZG5" s="128"/>
      <c r="AZH5" s="128"/>
      <c r="AZI5" s="128"/>
      <c r="AZJ5" s="128"/>
      <c r="AZK5" s="128"/>
      <c r="AZL5" s="129"/>
      <c r="AZM5" s="129"/>
      <c r="AZN5" s="129"/>
      <c r="AZO5" s="129"/>
      <c r="AZP5" s="129"/>
      <c r="AZQ5" s="129"/>
      <c r="AZR5" s="129"/>
      <c r="AZS5" s="129"/>
      <c r="AZT5" s="129"/>
      <c r="AZU5" s="129"/>
      <c r="AZV5" s="129"/>
      <c r="AZW5" s="129"/>
      <c r="AZX5" s="129"/>
      <c r="AZY5" s="129"/>
      <c r="AZZ5" s="129"/>
      <c r="BAA5" s="129"/>
      <c r="BAB5" s="129"/>
      <c r="BAC5" s="129"/>
      <c r="BAD5" s="129"/>
      <c r="BAE5" s="129"/>
      <c r="BAF5" s="129"/>
      <c r="BAG5" s="129"/>
      <c r="BAH5" s="129"/>
      <c r="BAI5" s="129"/>
      <c r="BAJ5" s="129"/>
      <c r="BAK5" s="129"/>
      <c r="BAL5" s="129"/>
      <c r="BAM5" s="129"/>
      <c r="BAN5" s="128"/>
      <c r="BAO5" s="128"/>
      <c r="BAP5" s="128"/>
      <c r="BAQ5" s="128"/>
      <c r="BAR5" s="128"/>
      <c r="BAS5" s="128"/>
      <c r="BAT5" s="128"/>
      <c r="BAV5" s="128" t="s">
        <v>286</v>
      </c>
      <c r="BAW5" s="128"/>
      <c r="BAX5" s="128"/>
      <c r="BAY5" s="128"/>
      <c r="BAZ5" s="128"/>
      <c r="BBA5" s="128"/>
      <c r="BBB5" s="128"/>
      <c r="BBC5" s="128"/>
      <c r="BBD5" s="128"/>
      <c r="BBE5" s="128"/>
      <c r="BBF5" s="128"/>
      <c r="BBG5" s="128"/>
      <c r="BBH5" s="128"/>
      <c r="BBI5" s="128"/>
      <c r="BBJ5" s="128"/>
      <c r="BBK5" s="128"/>
      <c r="BBL5" s="128"/>
      <c r="BBM5" s="128"/>
      <c r="BBN5" s="128"/>
      <c r="BBO5" s="128"/>
      <c r="BBP5" s="128"/>
      <c r="BBQ5" s="128"/>
      <c r="BBR5" s="128"/>
      <c r="BBS5" s="128"/>
      <c r="BBT5" s="128"/>
      <c r="BBU5" s="128"/>
      <c r="BBV5" s="128"/>
      <c r="BBW5" s="128"/>
      <c r="BBX5" s="128"/>
      <c r="BBY5" s="128"/>
      <c r="BBZ5" s="128"/>
      <c r="BCA5" s="129"/>
      <c r="BCB5" s="129"/>
      <c r="BCC5" s="129"/>
      <c r="BCD5" s="129"/>
      <c r="BCE5" s="129"/>
      <c r="BCF5" s="129"/>
      <c r="BCG5" s="129"/>
      <c r="BCH5" s="129"/>
      <c r="BCI5" s="129"/>
      <c r="BCJ5" s="129"/>
      <c r="BCK5" s="129"/>
      <c r="BCL5" s="129"/>
      <c r="BCM5" s="129"/>
      <c r="BCN5" s="129"/>
      <c r="BCO5" s="129"/>
      <c r="BCP5" s="129"/>
      <c r="BCQ5" s="129"/>
      <c r="BCR5" s="129"/>
      <c r="BCS5" s="129"/>
      <c r="BCT5" s="129"/>
      <c r="BCU5" s="129"/>
      <c r="BCV5" s="128"/>
      <c r="BCW5" s="128"/>
      <c r="BCX5" s="128"/>
      <c r="BCY5" s="128"/>
      <c r="BCZ5" s="128"/>
      <c r="BDA5" s="128"/>
      <c r="BDB5" s="129"/>
      <c r="BDC5" s="129"/>
      <c r="BDD5" s="129"/>
      <c r="BDE5" s="129"/>
      <c r="BDF5" s="129"/>
      <c r="BDG5" s="129"/>
      <c r="BDH5" s="129"/>
      <c r="BDI5" s="129"/>
      <c r="BDJ5" s="129"/>
      <c r="BDK5" s="129"/>
      <c r="BDL5" s="129"/>
      <c r="BDM5" s="129"/>
      <c r="BDN5" s="129"/>
      <c r="BDO5" s="129"/>
      <c r="BDP5" s="129"/>
      <c r="BDQ5" s="129"/>
      <c r="BDR5" s="129"/>
      <c r="BDS5" s="129"/>
      <c r="BDT5" s="129"/>
      <c r="BDU5" s="129"/>
      <c r="BDV5" s="129"/>
      <c r="BDW5" s="129"/>
      <c r="BDX5" s="129"/>
      <c r="BDY5" s="129"/>
      <c r="BDZ5" s="129"/>
      <c r="BEA5" s="129"/>
      <c r="BEB5" s="129"/>
      <c r="BEC5" s="129"/>
      <c r="BED5" s="128"/>
      <c r="BEE5" s="128"/>
      <c r="BEF5" s="128"/>
      <c r="BEG5" s="128"/>
      <c r="BEH5" s="128"/>
      <c r="BEI5" s="128"/>
      <c r="BEJ5" s="128"/>
      <c r="BEL5" s="128" t="s">
        <v>310</v>
      </c>
      <c r="BEM5" s="128"/>
      <c r="BEN5" s="128"/>
      <c r="BEO5" s="128"/>
      <c r="BEP5" s="128"/>
      <c r="BEQ5" s="128"/>
      <c r="BER5" s="128"/>
      <c r="BES5" s="128"/>
      <c r="BET5" s="128"/>
      <c r="BEU5" s="128"/>
      <c r="BEV5" s="128"/>
      <c r="BEW5" s="128"/>
      <c r="BEX5" s="128"/>
      <c r="BEY5" s="128"/>
      <c r="BEZ5" s="128"/>
      <c r="BFA5" s="128"/>
      <c r="BFB5" s="128"/>
      <c r="BFC5" s="128"/>
      <c r="BFD5" s="128"/>
      <c r="BFE5" s="128"/>
      <c r="BFF5" s="128"/>
      <c r="BFG5" s="128"/>
      <c r="BFH5" s="128"/>
      <c r="BFI5" s="128"/>
      <c r="BFJ5" s="128"/>
      <c r="BFK5" s="128"/>
      <c r="BFL5" s="128"/>
      <c r="BFM5" s="128"/>
      <c r="BFN5" s="128"/>
      <c r="BFO5" s="128"/>
      <c r="BFP5" s="128"/>
      <c r="BFQ5" s="129"/>
      <c r="BFR5" s="129"/>
      <c r="BFS5" s="129"/>
      <c r="BFT5" s="129"/>
      <c r="BFU5" s="129"/>
      <c r="BFV5" s="129"/>
      <c r="BFW5" s="129"/>
      <c r="BFX5" s="129"/>
      <c r="BFY5" s="129"/>
      <c r="BFZ5" s="129"/>
      <c r="BGA5" s="129"/>
      <c r="BGB5" s="129"/>
      <c r="BGC5" s="129"/>
      <c r="BGD5" s="129"/>
      <c r="BGE5" s="129"/>
      <c r="BGF5" s="129"/>
      <c r="BGG5" s="129"/>
      <c r="BGH5" s="129"/>
      <c r="BGI5" s="129"/>
      <c r="BGJ5" s="129"/>
      <c r="BGK5" s="129"/>
      <c r="BGL5" s="128"/>
      <c r="BGM5" s="128"/>
      <c r="BGN5" s="128"/>
      <c r="BGO5" s="128"/>
      <c r="BGP5" s="128"/>
      <c r="BGQ5" s="128"/>
      <c r="BGR5" s="129"/>
      <c r="BGS5" s="129"/>
      <c r="BGT5" s="129"/>
      <c r="BGU5" s="129"/>
      <c r="BGV5" s="129"/>
      <c r="BGW5" s="129"/>
      <c r="BGX5" s="129"/>
      <c r="BGY5" s="129"/>
      <c r="BGZ5" s="129"/>
      <c r="BHA5" s="129"/>
      <c r="BHB5" s="129"/>
      <c r="BHC5" s="129"/>
      <c r="BHD5" s="129"/>
      <c r="BHE5" s="129"/>
      <c r="BHF5" s="129"/>
      <c r="BHG5" s="129"/>
      <c r="BHH5" s="129"/>
      <c r="BHI5" s="129"/>
      <c r="BHJ5" s="129"/>
      <c r="BHK5" s="129"/>
      <c r="BHL5" s="129"/>
      <c r="BHM5" s="129"/>
      <c r="BHN5" s="129"/>
      <c r="BHO5" s="129"/>
      <c r="BHP5" s="129"/>
      <c r="BHQ5" s="129"/>
      <c r="BHR5" s="129"/>
      <c r="BHS5" s="129"/>
      <c r="BHT5" s="128"/>
      <c r="BHU5" s="128"/>
      <c r="BHV5" s="128"/>
      <c r="BHW5" s="128"/>
      <c r="BHX5" s="128"/>
      <c r="BHY5" s="128"/>
      <c r="BHZ5" s="128"/>
      <c r="BIB5" s="128" t="s">
        <v>313</v>
      </c>
      <c r="BIC5" s="128"/>
      <c r="BID5" s="128"/>
      <c r="BIE5" s="128"/>
      <c r="BIF5" s="128"/>
      <c r="BIG5" s="128"/>
      <c r="BIH5" s="128"/>
      <c r="BII5" s="128"/>
      <c r="BIJ5" s="128"/>
      <c r="BIK5" s="128"/>
      <c r="BIL5" s="128"/>
      <c r="BIM5" s="128"/>
      <c r="BIN5" s="128"/>
      <c r="BIO5" s="128"/>
      <c r="BIP5" s="128"/>
      <c r="BIQ5" s="128"/>
      <c r="BIR5" s="128"/>
      <c r="BIS5" s="128"/>
      <c r="BIT5" s="128"/>
      <c r="BIU5" s="128"/>
      <c r="BIV5" s="128"/>
      <c r="BIW5" s="128"/>
      <c r="BIX5" s="128"/>
      <c r="BIY5" s="128"/>
      <c r="BIZ5" s="128"/>
      <c r="BJA5" s="128"/>
      <c r="BJB5" s="128"/>
      <c r="BJC5" s="128"/>
      <c r="BJD5" s="128"/>
      <c r="BJE5" s="128"/>
      <c r="BJF5" s="128"/>
      <c r="BJG5" s="129"/>
      <c r="BJH5" s="129"/>
      <c r="BJI5" s="129"/>
      <c r="BJJ5" s="129"/>
      <c r="BJK5" s="129"/>
      <c r="BJL5" s="129"/>
      <c r="BJM5" s="129"/>
      <c r="BJN5" s="129"/>
      <c r="BJO5" s="129"/>
      <c r="BJP5" s="129"/>
      <c r="BJQ5" s="129"/>
      <c r="BJR5" s="129"/>
      <c r="BJS5" s="129"/>
      <c r="BJT5" s="129"/>
      <c r="BJU5" s="129"/>
      <c r="BJV5" s="129"/>
      <c r="BJW5" s="129"/>
      <c r="BJX5" s="129"/>
      <c r="BJY5" s="129"/>
      <c r="BJZ5" s="129"/>
      <c r="BKA5" s="129"/>
      <c r="BKB5" s="128"/>
      <c r="BKC5" s="128"/>
      <c r="BKD5" s="128"/>
      <c r="BKE5" s="128"/>
      <c r="BKF5" s="128"/>
      <c r="BKG5" s="128"/>
      <c r="BKH5" s="129"/>
      <c r="BKI5" s="129"/>
      <c r="BKJ5" s="129"/>
      <c r="BKK5" s="129"/>
      <c r="BKL5" s="129"/>
      <c r="BKM5" s="129"/>
      <c r="BKN5" s="129"/>
      <c r="BKO5" s="129"/>
      <c r="BKP5" s="129"/>
      <c r="BKQ5" s="129"/>
      <c r="BKR5" s="129"/>
      <c r="BKS5" s="129"/>
      <c r="BKT5" s="129"/>
      <c r="BKU5" s="129"/>
      <c r="BKV5" s="129"/>
      <c r="BKW5" s="129"/>
      <c r="BKX5" s="129"/>
      <c r="BKY5" s="129"/>
      <c r="BKZ5" s="129"/>
      <c r="BLA5" s="129"/>
      <c r="BLB5" s="129"/>
      <c r="BLC5" s="129"/>
      <c r="BLD5" s="129"/>
      <c r="BLE5" s="129"/>
      <c r="BLF5" s="129"/>
      <c r="BLG5" s="129"/>
      <c r="BLH5" s="129"/>
      <c r="BLI5" s="129"/>
      <c r="BLJ5" s="128"/>
      <c r="BLK5" s="128"/>
      <c r="BLL5" s="128"/>
      <c r="BLM5" s="128"/>
      <c r="BLN5" s="128"/>
      <c r="BLO5" s="128"/>
      <c r="BLP5" s="128"/>
      <c r="BLR5" s="128" t="s">
        <v>317</v>
      </c>
      <c r="BLS5" s="128"/>
      <c r="BLT5" s="128"/>
      <c r="BLU5" s="128"/>
      <c r="BLV5" s="128"/>
      <c r="BLW5" s="128"/>
      <c r="BLX5" s="128"/>
      <c r="BLY5" s="128"/>
      <c r="BLZ5" s="128"/>
      <c r="BMA5" s="128"/>
      <c r="BMB5" s="128"/>
      <c r="BMC5" s="128"/>
      <c r="BMD5" s="128"/>
      <c r="BME5" s="128"/>
      <c r="BMF5" s="128"/>
      <c r="BMG5" s="128"/>
      <c r="BMH5" s="128"/>
      <c r="BMI5" s="128"/>
      <c r="BMJ5" s="128"/>
      <c r="BMK5" s="128"/>
      <c r="BML5" s="128"/>
      <c r="BMM5" s="128"/>
      <c r="BMN5" s="128"/>
      <c r="BMO5" s="128"/>
      <c r="BMP5" s="128"/>
      <c r="BMQ5" s="128"/>
      <c r="BMR5" s="128"/>
      <c r="BMS5" s="128"/>
      <c r="BMT5" s="128"/>
      <c r="BMU5" s="128"/>
      <c r="BMV5" s="128"/>
      <c r="BMW5" s="129"/>
      <c r="BMX5" s="129"/>
      <c r="BMY5" s="129"/>
      <c r="BMZ5" s="129"/>
      <c r="BNA5" s="129"/>
      <c r="BNB5" s="129"/>
      <c r="BNC5" s="129"/>
      <c r="BND5" s="129"/>
      <c r="BNE5" s="129"/>
      <c r="BNF5" s="129"/>
      <c r="BNG5" s="129"/>
      <c r="BNH5" s="129"/>
      <c r="BNI5" s="129"/>
      <c r="BNJ5" s="129"/>
      <c r="BNK5" s="129"/>
      <c r="BNL5" s="129"/>
      <c r="BNM5" s="129"/>
      <c r="BNN5" s="129"/>
      <c r="BNO5" s="129"/>
      <c r="BNP5" s="129"/>
      <c r="BNQ5" s="129"/>
      <c r="BNR5" s="128"/>
      <c r="BNS5" s="128"/>
      <c r="BNT5" s="128"/>
      <c r="BNU5" s="128"/>
      <c r="BNV5" s="128"/>
      <c r="BNW5" s="128"/>
      <c r="BNX5" s="129"/>
      <c r="BNY5" s="129"/>
      <c r="BNZ5" s="129"/>
      <c r="BOA5" s="129"/>
      <c r="BOB5" s="129"/>
      <c r="BOC5" s="129"/>
      <c r="BOD5" s="129"/>
      <c r="BOE5" s="129"/>
      <c r="BOF5" s="129"/>
      <c r="BOG5" s="129"/>
      <c r="BOH5" s="129"/>
      <c r="BOI5" s="129"/>
      <c r="BOJ5" s="129"/>
      <c r="BOK5" s="129"/>
      <c r="BOL5" s="129"/>
      <c r="BOM5" s="129"/>
      <c r="BON5" s="129"/>
      <c r="BOO5" s="129"/>
      <c r="BOP5" s="129"/>
      <c r="BOQ5" s="129"/>
      <c r="BOR5" s="129"/>
      <c r="BOS5" s="129"/>
      <c r="BOT5" s="129"/>
      <c r="BOU5" s="129"/>
      <c r="BOV5" s="129"/>
      <c r="BOW5" s="129"/>
      <c r="BOX5" s="129"/>
      <c r="BOY5" s="129"/>
      <c r="BOZ5" s="128"/>
      <c r="BPA5" s="128"/>
      <c r="BPB5" s="128"/>
      <c r="BPC5" s="128"/>
      <c r="BPD5" s="128"/>
      <c r="BPE5" s="128"/>
      <c r="BPF5" s="128"/>
      <c r="BPH5" s="128" t="s">
        <v>368</v>
      </c>
      <c r="BPI5" s="128"/>
      <c r="BPJ5" s="128"/>
      <c r="BPK5" s="128"/>
      <c r="BPL5" s="128"/>
      <c r="BPM5" s="128"/>
      <c r="BPN5" s="128"/>
      <c r="BPO5" s="128"/>
      <c r="BPP5" s="128"/>
      <c r="BPQ5" s="128"/>
      <c r="BPR5" s="128"/>
      <c r="BPS5" s="128"/>
      <c r="BPT5" s="128"/>
      <c r="BPU5" s="128"/>
      <c r="BPV5" s="128"/>
      <c r="BPW5" s="128"/>
      <c r="BPX5" s="128"/>
      <c r="BPY5" s="128"/>
      <c r="BPZ5" s="128"/>
      <c r="BQA5" s="128"/>
      <c r="BQB5" s="128"/>
      <c r="BQC5" s="128"/>
      <c r="BQD5" s="128"/>
      <c r="BQE5" s="128"/>
      <c r="BQF5" s="128"/>
      <c r="BQG5" s="128"/>
      <c r="BQH5" s="128"/>
      <c r="BQI5" s="128"/>
      <c r="BQJ5" s="128"/>
      <c r="BQK5" s="128"/>
      <c r="BQL5" s="128"/>
      <c r="BQM5" s="129"/>
      <c r="BQN5" s="129"/>
      <c r="BQO5" s="129"/>
      <c r="BQP5" s="129"/>
      <c r="BQQ5" s="129"/>
      <c r="BQR5" s="129"/>
      <c r="BQS5" s="129"/>
      <c r="BQT5" s="129"/>
      <c r="BQU5" s="129"/>
      <c r="BQV5" s="129"/>
      <c r="BQW5" s="129"/>
      <c r="BQX5" s="129"/>
      <c r="BQY5" s="129"/>
      <c r="BQZ5" s="129"/>
      <c r="BRA5" s="129"/>
      <c r="BRB5" s="129"/>
      <c r="BRC5" s="129"/>
      <c r="BRD5" s="129"/>
      <c r="BRE5" s="129"/>
      <c r="BRF5" s="129"/>
      <c r="BRG5" s="129"/>
      <c r="BRH5" s="128"/>
      <c r="BRI5" s="128"/>
      <c r="BRJ5" s="128"/>
      <c r="BRK5" s="128"/>
      <c r="BRL5" s="128"/>
      <c r="BRM5" s="128"/>
      <c r="BRN5" s="129"/>
      <c r="BRO5" s="129"/>
      <c r="BRP5" s="129"/>
      <c r="BRQ5" s="129"/>
      <c r="BRR5" s="129"/>
      <c r="BRS5" s="129"/>
      <c r="BRT5" s="129"/>
      <c r="BRU5" s="129"/>
      <c r="BRV5" s="129"/>
      <c r="BRW5" s="129"/>
      <c r="BRX5" s="129"/>
      <c r="BRY5" s="129"/>
      <c r="BRZ5" s="129"/>
      <c r="BSA5" s="129"/>
      <c r="BSB5" s="129"/>
      <c r="BSC5" s="129"/>
      <c r="BSD5" s="129"/>
      <c r="BSE5" s="129"/>
      <c r="BSF5" s="129"/>
      <c r="BSG5" s="129"/>
      <c r="BSH5" s="129"/>
      <c r="BSI5" s="129"/>
      <c r="BSJ5" s="129"/>
      <c r="BSK5" s="129"/>
      <c r="BSL5" s="129"/>
      <c r="BSM5" s="129"/>
      <c r="BSN5" s="129"/>
      <c r="BSO5" s="129"/>
      <c r="BSP5" s="128"/>
      <c r="BSQ5" s="128"/>
      <c r="BSR5" s="128"/>
      <c r="BSS5" s="128"/>
      <c r="BST5" s="128"/>
      <c r="BSU5" s="128"/>
      <c r="BSV5" s="128"/>
      <c r="BSX5" s="128"/>
      <c r="BSY5" s="128"/>
      <c r="BSZ5" s="128"/>
      <c r="BTA5" s="128"/>
      <c r="BTB5" s="128"/>
      <c r="BTC5" s="128"/>
      <c r="BTD5" s="128"/>
      <c r="BTE5" s="128"/>
      <c r="BTF5" s="128"/>
      <c r="BTG5" s="128"/>
      <c r="BTH5" s="128"/>
      <c r="BTI5" s="128"/>
      <c r="BTJ5" s="128"/>
      <c r="BTK5" s="128"/>
      <c r="BTL5" s="128"/>
      <c r="BTM5" s="128"/>
      <c r="BTN5" s="128"/>
      <c r="BTO5" s="128"/>
      <c r="BTP5" s="128"/>
      <c r="BTQ5" s="128"/>
      <c r="BTR5" s="128"/>
      <c r="BTS5" s="128"/>
      <c r="BTT5" s="128"/>
      <c r="BTU5" s="128"/>
      <c r="BTV5" s="128"/>
      <c r="BTW5" s="128"/>
      <c r="BTX5" s="128"/>
      <c r="BTY5" s="128"/>
      <c r="BTZ5" s="128"/>
      <c r="BUA5" s="128"/>
      <c r="BUB5" s="128"/>
      <c r="BUC5" s="129"/>
      <c r="BUD5" s="129"/>
      <c r="BUE5" s="129"/>
      <c r="BUF5" s="129"/>
      <c r="BUG5" s="129"/>
      <c r="BUH5" s="129"/>
      <c r="BUI5" s="129"/>
      <c r="BUJ5" s="129"/>
      <c r="BUK5" s="129"/>
      <c r="BUL5" s="129"/>
      <c r="BUM5" s="129"/>
      <c r="BUN5" s="129"/>
      <c r="BUO5" s="129"/>
      <c r="BUP5" s="129"/>
      <c r="BUQ5" s="129"/>
      <c r="BUR5" s="129"/>
      <c r="BUS5" s="129"/>
      <c r="BUT5" s="129"/>
      <c r="BUU5" s="129"/>
      <c r="BUV5" s="129"/>
      <c r="BUW5" s="129"/>
      <c r="BUX5" s="128"/>
      <c r="BUY5" s="128"/>
      <c r="BUZ5" s="128"/>
      <c r="BVA5" s="128"/>
      <c r="BVB5" s="128"/>
      <c r="BVC5" s="128"/>
      <c r="BVD5" s="129"/>
      <c r="BVE5" s="129"/>
      <c r="BVF5" s="129"/>
      <c r="BVG5" s="129"/>
      <c r="BVH5" s="129"/>
      <c r="BVI5" s="129"/>
      <c r="BVJ5" s="129"/>
      <c r="BVK5" s="129"/>
      <c r="BVL5" s="129"/>
      <c r="BVM5" s="129"/>
      <c r="BVN5" s="129"/>
      <c r="BVO5" s="129"/>
      <c r="BVP5" s="129"/>
      <c r="BVQ5" s="129"/>
      <c r="BVR5" s="129"/>
      <c r="BVS5" s="129"/>
      <c r="BVT5" s="129"/>
      <c r="BVU5" s="129"/>
      <c r="BVV5" s="129"/>
      <c r="BVW5" s="129"/>
      <c r="BVX5" s="129"/>
      <c r="BVY5" s="129"/>
      <c r="BVZ5" s="129"/>
      <c r="BWA5" s="129"/>
      <c r="BWB5" s="129"/>
      <c r="BWC5" s="129"/>
      <c r="BWD5" s="129"/>
      <c r="BWE5" s="129"/>
      <c r="BWF5" s="128"/>
      <c r="BWG5" s="128"/>
      <c r="BWH5" s="128"/>
      <c r="BWI5" s="128"/>
      <c r="BWJ5" s="128"/>
      <c r="BWK5" s="128"/>
      <c r="BWL5" s="128"/>
      <c r="BWN5" s="128" t="s">
        <v>379</v>
      </c>
      <c r="BWO5" s="128"/>
      <c r="BWP5" s="128"/>
      <c r="BWQ5" s="128"/>
      <c r="BWR5" s="128"/>
      <c r="BWS5" s="128"/>
      <c r="BWT5" s="128"/>
      <c r="BWU5" s="128"/>
      <c r="BWV5" s="128"/>
      <c r="BWW5" s="128"/>
      <c r="BWX5" s="128"/>
      <c r="BWY5" s="128"/>
      <c r="BWZ5" s="128"/>
      <c r="BXA5" s="128"/>
      <c r="BXB5" s="128"/>
      <c r="BXC5" s="128"/>
      <c r="BXD5" s="128"/>
      <c r="BXE5" s="128"/>
      <c r="BXF5" s="128"/>
      <c r="BXG5" s="128"/>
      <c r="BXH5" s="128"/>
      <c r="BXI5" s="128"/>
      <c r="BXJ5" s="128"/>
      <c r="BXK5" s="128"/>
      <c r="BXL5" s="128"/>
      <c r="BXM5" s="128"/>
      <c r="BXN5" s="128"/>
      <c r="BXO5" s="128"/>
      <c r="BXP5" s="128"/>
      <c r="BXQ5" s="128"/>
      <c r="BXR5" s="128"/>
      <c r="BXS5" s="129"/>
      <c r="BXT5" s="129"/>
      <c r="BXU5" s="129"/>
      <c r="BXV5" s="129"/>
      <c r="BXW5" s="129"/>
      <c r="BXX5" s="129"/>
      <c r="BXY5" s="129"/>
      <c r="BXZ5" s="129"/>
      <c r="BYA5" s="129"/>
      <c r="BYB5" s="129"/>
      <c r="BYC5" s="129"/>
      <c r="BYD5" s="129"/>
      <c r="BYE5" s="129"/>
      <c r="BYF5" s="129"/>
      <c r="BYG5" s="129"/>
      <c r="BYH5" s="129"/>
      <c r="BYI5" s="129"/>
      <c r="BYJ5" s="129"/>
      <c r="BYK5" s="129"/>
      <c r="BYL5" s="129"/>
      <c r="BYM5" s="129"/>
      <c r="BYN5" s="128"/>
      <c r="BYO5" s="128"/>
      <c r="BYP5" s="128"/>
      <c r="BYQ5" s="128"/>
      <c r="BYR5" s="128"/>
      <c r="BYS5" s="128"/>
      <c r="BYT5" s="129"/>
      <c r="BYU5" s="129"/>
      <c r="BYV5" s="129"/>
      <c r="BYW5" s="129"/>
      <c r="BYX5" s="129"/>
      <c r="BYY5" s="129"/>
      <c r="BYZ5" s="129"/>
      <c r="BZA5" s="129"/>
      <c r="BZB5" s="129"/>
      <c r="BZC5" s="129"/>
      <c r="BZD5" s="129"/>
      <c r="BZE5" s="129"/>
      <c r="BZF5" s="129"/>
      <c r="BZG5" s="129"/>
      <c r="BZH5" s="129"/>
      <c r="BZI5" s="129"/>
      <c r="BZJ5" s="129"/>
      <c r="BZK5" s="129"/>
      <c r="BZL5" s="129"/>
      <c r="BZM5" s="129"/>
      <c r="BZN5" s="129"/>
      <c r="BZO5" s="129"/>
      <c r="BZP5" s="129"/>
      <c r="BZQ5" s="129"/>
      <c r="BZR5" s="129"/>
      <c r="BZS5" s="129"/>
      <c r="BZT5" s="129"/>
      <c r="BZU5" s="129"/>
      <c r="BZV5" s="128"/>
      <c r="BZW5" s="128"/>
      <c r="BZX5" s="128"/>
      <c r="BZY5" s="128"/>
      <c r="BZZ5" s="128"/>
      <c r="CAA5" s="128"/>
      <c r="CAB5" s="128"/>
      <c r="CAD5" s="128" t="s">
        <v>382</v>
      </c>
      <c r="CAE5" s="128"/>
      <c r="CAF5" s="128"/>
      <c r="CAG5" s="128"/>
      <c r="CAH5" s="128"/>
      <c r="CAI5" s="128"/>
      <c r="CAJ5" s="128"/>
      <c r="CAK5" s="128"/>
      <c r="CAL5" s="128"/>
      <c r="CAM5" s="128"/>
      <c r="CAN5" s="128"/>
      <c r="CAO5" s="128"/>
      <c r="CAP5" s="128"/>
      <c r="CAQ5" s="128"/>
      <c r="CAR5" s="128"/>
      <c r="CAS5" s="128"/>
      <c r="CAT5" s="128"/>
      <c r="CAU5" s="128"/>
      <c r="CAV5" s="128"/>
      <c r="CAW5" s="128"/>
      <c r="CAX5" s="128"/>
      <c r="CAY5" s="128"/>
      <c r="CAZ5" s="128"/>
      <c r="CBA5" s="128"/>
      <c r="CBB5" s="128"/>
      <c r="CBC5" s="128"/>
      <c r="CBD5" s="128"/>
      <c r="CBE5" s="128"/>
      <c r="CBF5" s="128"/>
      <c r="CBG5" s="128"/>
      <c r="CBH5" s="128"/>
      <c r="CBI5" s="129"/>
      <c r="CBJ5" s="129"/>
      <c r="CBK5" s="129"/>
      <c r="CBL5" s="129"/>
      <c r="CBM5" s="129"/>
      <c r="CBN5" s="129"/>
      <c r="CBO5" s="129"/>
      <c r="CBP5" s="129"/>
      <c r="CBQ5" s="129"/>
      <c r="CBR5" s="129"/>
      <c r="CBS5" s="129"/>
      <c r="CBT5" s="129"/>
      <c r="CBU5" s="129"/>
      <c r="CBV5" s="129"/>
      <c r="CBW5" s="129"/>
      <c r="CBX5" s="129"/>
      <c r="CBY5" s="129"/>
      <c r="CBZ5" s="129"/>
      <c r="CCA5" s="129"/>
      <c r="CCB5" s="129"/>
      <c r="CCC5" s="129"/>
      <c r="CCD5" s="128"/>
      <c r="CCE5" s="128"/>
      <c r="CCF5" s="128"/>
      <c r="CCG5" s="128"/>
      <c r="CCH5" s="128"/>
      <c r="CCI5" s="128"/>
      <c r="CCJ5" s="129"/>
      <c r="CCK5" s="129"/>
      <c r="CCL5" s="129"/>
      <c r="CCM5" s="129"/>
      <c r="CCN5" s="129"/>
      <c r="CCO5" s="129"/>
      <c r="CCP5" s="129"/>
      <c r="CCQ5" s="129"/>
      <c r="CCR5" s="129"/>
      <c r="CCS5" s="129"/>
      <c r="CCT5" s="129"/>
      <c r="CCU5" s="129"/>
      <c r="CCV5" s="129"/>
      <c r="CCW5" s="129"/>
      <c r="CCX5" s="129"/>
      <c r="CCY5" s="129"/>
      <c r="CCZ5" s="129"/>
      <c r="CDA5" s="129"/>
      <c r="CDB5" s="129"/>
      <c r="CDC5" s="129"/>
      <c r="CDD5" s="129"/>
      <c r="CDE5" s="129"/>
      <c r="CDF5" s="129"/>
      <c r="CDG5" s="129"/>
      <c r="CDH5" s="129"/>
      <c r="CDI5" s="129"/>
      <c r="CDJ5" s="129"/>
      <c r="CDK5" s="129"/>
      <c r="CDL5" s="128"/>
      <c r="CDM5" s="128"/>
      <c r="CDN5" s="128"/>
      <c r="CDO5" s="128"/>
      <c r="CDP5" s="128"/>
      <c r="CDQ5" s="128"/>
      <c r="CDR5" s="128"/>
      <c r="CDT5" s="128" t="s">
        <v>388</v>
      </c>
      <c r="CDU5" s="128"/>
      <c r="CDV5" s="128"/>
      <c r="CDW5" s="128"/>
      <c r="CDX5" s="128"/>
      <c r="CDY5" s="128"/>
      <c r="CDZ5" s="128"/>
      <c r="CEA5" s="128"/>
      <c r="CEB5" s="128"/>
      <c r="CEC5" s="128"/>
      <c r="CED5" s="128"/>
      <c r="CEE5" s="128"/>
      <c r="CEF5" s="128"/>
      <c r="CEG5" s="128"/>
      <c r="CEH5" s="128"/>
      <c r="CEI5" s="128"/>
      <c r="CEJ5" s="128"/>
      <c r="CEK5" s="128"/>
      <c r="CEL5" s="128"/>
      <c r="CEM5" s="128"/>
      <c r="CEN5" s="128"/>
      <c r="CEO5" s="128"/>
      <c r="CEP5" s="128"/>
      <c r="CEQ5" s="128"/>
      <c r="CER5" s="128"/>
      <c r="CES5" s="128"/>
      <c r="CET5" s="128"/>
      <c r="CEU5" s="128"/>
      <c r="CEV5" s="128"/>
      <c r="CEW5" s="128"/>
      <c r="CEX5" s="128"/>
      <c r="CEY5" s="129"/>
      <c r="CEZ5" s="129"/>
      <c r="CFA5" s="129"/>
      <c r="CFB5" s="129"/>
      <c r="CFC5" s="129"/>
      <c r="CFD5" s="129"/>
      <c r="CFE5" s="129"/>
      <c r="CFF5" s="129"/>
      <c r="CFG5" s="129"/>
      <c r="CFH5" s="129"/>
      <c r="CFI5" s="129"/>
      <c r="CFJ5" s="129"/>
      <c r="CFK5" s="129"/>
      <c r="CFL5" s="129"/>
      <c r="CFM5" s="129"/>
      <c r="CFN5" s="129"/>
      <c r="CFO5" s="129"/>
      <c r="CFP5" s="129"/>
      <c r="CFQ5" s="129"/>
      <c r="CFR5" s="129"/>
      <c r="CFS5" s="129"/>
      <c r="CFT5" s="128"/>
      <c r="CFU5" s="128"/>
      <c r="CFV5" s="128"/>
      <c r="CFW5" s="128"/>
      <c r="CFX5" s="128"/>
      <c r="CFY5" s="128"/>
      <c r="CFZ5" s="129"/>
      <c r="CGA5" s="129"/>
      <c r="CGB5" s="129"/>
      <c r="CGC5" s="129"/>
      <c r="CGD5" s="129"/>
      <c r="CGE5" s="129"/>
      <c r="CGF5" s="129"/>
      <c r="CGG5" s="129"/>
      <c r="CGH5" s="129"/>
      <c r="CGI5" s="129"/>
      <c r="CGJ5" s="129"/>
      <c r="CGK5" s="129"/>
      <c r="CGL5" s="129"/>
      <c r="CGM5" s="129"/>
      <c r="CGN5" s="129"/>
      <c r="CGO5" s="129"/>
      <c r="CGP5" s="129"/>
      <c r="CGQ5" s="129"/>
      <c r="CGR5" s="129"/>
      <c r="CGS5" s="129"/>
      <c r="CGT5" s="129"/>
      <c r="CGU5" s="129"/>
      <c r="CGV5" s="129"/>
      <c r="CGW5" s="129"/>
      <c r="CGX5" s="129"/>
      <c r="CGY5" s="129"/>
      <c r="CGZ5" s="129"/>
      <c r="CHA5" s="129"/>
      <c r="CHB5" s="128"/>
      <c r="CHC5" s="128"/>
      <c r="CHD5" s="128"/>
      <c r="CHE5" s="128"/>
      <c r="CHF5" s="128"/>
      <c r="CHG5" s="128"/>
      <c r="CHH5" s="128"/>
      <c r="CHJ5" s="128" t="s">
        <v>2034</v>
      </c>
      <c r="CHK5" s="128"/>
      <c r="CHL5" s="128"/>
      <c r="CHM5" s="128"/>
      <c r="CHN5" s="128"/>
      <c r="CHO5" s="128"/>
      <c r="CHP5" s="128"/>
      <c r="CHQ5" s="128"/>
      <c r="CHR5" s="128"/>
      <c r="CHS5" s="128"/>
      <c r="CHT5" s="128"/>
      <c r="CHU5" s="128"/>
      <c r="CHV5" s="128"/>
      <c r="CHW5" s="128"/>
      <c r="CHX5" s="128"/>
      <c r="CHY5" s="128"/>
      <c r="CHZ5" s="128"/>
      <c r="CIA5" s="128"/>
      <c r="CIB5" s="128"/>
      <c r="CIC5" s="128"/>
      <c r="CID5" s="128"/>
      <c r="CIE5" s="128"/>
      <c r="CIF5" s="128"/>
      <c r="CIG5" s="128"/>
      <c r="CIH5" s="128"/>
      <c r="CII5" s="128"/>
      <c r="CIJ5" s="128"/>
      <c r="CIK5" s="128"/>
      <c r="CIL5" s="128"/>
      <c r="CIM5" s="128"/>
      <c r="CIN5" s="128"/>
      <c r="CIO5" s="129"/>
      <c r="CIP5" s="129"/>
      <c r="CIQ5" s="129"/>
      <c r="CIR5" s="129"/>
      <c r="CIS5" s="129"/>
      <c r="CIT5" s="129"/>
      <c r="CIU5" s="129"/>
      <c r="CIV5" s="129"/>
      <c r="CIW5" s="129"/>
      <c r="CIX5" s="129"/>
      <c r="CIY5" s="129"/>
      <c r="CIZ5" s="129"/>
      <c r="CJA5" s="129"/>
      <c r="CJB5" s="129"/>
      <c r="CJC5" s="129"/>
      <c r="CJD5" s="129"/>
      <c r="CJE5" s="129"/>
      <c r="CJF5" s="129"/>
      <c r="CJG5" s="129"/>
      <c r="CJH5" s="129"/>
      <c r="CJI5" s="129"/>
      <c r="CJJ5" s="128"/>
      <c r="CJK5" s="128"/>
      <c r="CJL5" s="128"/>
      <c r="CJM5" s="128"/>
      <c r="CJN5" s="128"/>
      <c r="CJO5" s="128"/>
      <c r="CJP5" s="129"/>
      <c r="CJQ5" s="129"/>
      <c r="CJR5" s="129"/>
      <c r="CJS5" s="129"/>
      <c r="CJT5" s="129"/>
      <c r="CJU5" s="129"/>
      <c r="CJV5" s="129"/>
      <c r="CJW5" s="129"/>
      <c r="CJX5" s="129"/>
      <c r="CJY5" s="129"/>
      <c r="CJZ5" s="129"/>
      <c r="CKA5" s="129"/>
      <c r="CKB5" s="129"/>
      <c r="CKC5" s="129"/>
      <c r="CKD5" s="129"/>
      <c r="CKE5" s="129"/>
      <c r="CKF5" s="129"/>
      <c r="CKG5" s="129"/>
      <c r="CKH5" s="129"/>
      <c r="CKI5" s="129"/>
      <c r="CKJ5" s="129"/>
      <c r="CKK5" s="129"/>
      <c r="CKL5" s="129"/>
      <c r="CKM5" s="129"/>
      <c r="CKN5" s="129"/>
      <c r="CKO5" s="129"/>
      <c r="CKP5" s="129"/>
      <c r="CKQ5" s="129"/>
      <c r="CKR5" s="128"/>
      <c r="CKS5" s="128"/>
      <c r="CKT5" s="128"/>
      <c r="CKU5" s="128"/>
      <c r="CKV5" s="128"/>
      <c r="CKW5" s="128"/>
      <c r="CKX5" s="128"/>
      <c r="CKZ5" s="128" t="s">
        <v>407</v>
      </c>
      <c r="CLA5" s="128"/>
      <c r="CLB5" s="128"/>
      <c r="CLC5" s="128"/>
      <c r="CLD5" s="128"/>
      <c r="CLE5" s="128"/>
      <c r="CLF5" s="128"/>
      <c r="CLG5" s="128"/>
      <c r="CLH5" s="128"/>
      <c r="CLI5" s="128"/>
      <c r="CLJ5" s="128"/>
      <c r="CLK5" s="128"/>
      <c r="CLL5" s="128"/>
      <c r="CLM5" s="128"/>
      <c r="CLN5" s="128"/>
      <c r="CLO5" s="128"/>
      <c r="CLP5" s="128"/>
      <c r="CLQ5" s="128"/>
      <c r="CLR5" s="128"/>
      <c r="CLS5" s="128"/>
      <c r="CLT5" s="128"/>
      <c r="CLU5" s="128"/>
      <c r="CLV5" s="128"/>
      <c r="CLW5" s="128"/>
      <c r="CLX5" s="128"/>
      <c r="CLY5" s="128"/>
      <c r="CLZ5" s="128"/>
      <c r="CMA5" s="128"/>
      <c r="CMB5" s="128"/>
      <c r="CMC5" s="128"/>
      <c r="CMD5" s="128"/>
      <c r="CME5" s="129"/>
      <c r="CMF5" s="129"/>
      <c r="CMG5" s="129"/>
      <c r="CMH5" s="129"/>
      <c r="CMI5" s="129"/>
      <c r="CMJ5" s="129"/>
      <c r="CMK5" s="129"/>
      <c r="CML5" s="129"/>
      <c r="CMM5" s="129"/>
      <c r="CMN5" s="129"/>
      <c r="CMO5" s="129"/>
      <c r="CMP5" s="129"/>
      <c r="CMQ5" s="129"/>
      <c r="CMR5" s="129"/>
      <c r="CMS5" s="129"/>
      <c r="CMT5" s="129"/>
      <c r="CMU5" s="129"/>
      <c r="CMV5" s="129"/>
      <c r="CMW5" s="129"/>
      <c r="CMX5" s="129"/>
      <c r="CMY5" s="129"/>
      <c r="CMZ5" s="128"/>
      <c r="CNA5" s="128"/>
      <c r="CNB5" s="128"/>
      <c r="CNC5" s="128"/>
      <c r="CND5" s="128"/>
      <c r="CNE5" s="128"/>
      <c r="CNF5" s="129"/>
      <c r="CNG5" s="129"/>
      <c r="CNH5" s="129"/>
      <c r="CNI5" s="129"/>
      <c r="CNJ5" s="129"/>
      <c r="CNK5" s="129"/>
      <c r="CNL5" s="129"/>
      <c r="CNM5" s="129"/>
      <c r="CNN5" s="129"/>
      <c r="CNO5" s="129"/>
      <c r="CNP5" s="129"/>
      <c r="CNQ5" s="129"/>
      <c r="CNR5" s="129"/>
      <c r="CNS5" s="129"/>
      <c r="CNT5" s="129"/>
      <c r="CNU5" s="129"/>
      <c r="CNV5" s="129"/>
      <c r="CNW5" s="129"/>
      <c r="CNX5" s="129"/>
      <c r="CNY5" s="129"/>
      <c r="CNZ5" s="129"/>
      <c r="COA5" s="129"/>
      <c r="COB5" s="129"/>
      <c r="COC5" s="129"/>
      <c r="COD5" s="129"/>
      <c r="COE5" s="129"/>
      <c r="COF5" s="129"/>
      <c r="COG5" s="129"/>
      <c r="COH5" s="128"/>
      <c r="COI5" s="128"/>
      <c r="COJ5" s="128"/>
      <c r="COK5" s="128"/>
      <c r="COL5" s="128"/>
      <c r="COM5" s="128"/>
      <c r="CON5" s="128"/>
      <c r="COP5" s="128" t="str">
        <f ca="1">VLOOKUP(1,INDIRECT("Base"&amp;$BJ$3),2,FALSE)</f>
        <v>Houri's Beguilement</v>
      </c>
      <c r="COQ5" s="128"/>
      <c r="COR5" s="128"/>
      <c r="COS5" s="128"/>
      <c r="COT5" s="128"/>
      <c r="COU5" s="128"/>
      <c r="COV5" s="128"/>
      <c r="COW5" s="128"/>
      <c r="COX5" s="128"/>
      <c r="COY5" s="128"/>
      <c r="COZ5" s="128"/>
      <c r="CPA5" s="128"/>
      <c r="CPB5" s="128"/>
      <c r="CPC5" s="128"/>
      <c r="CPD5" s="128"/>
      <c r="CPE5" s="128"/>
      <c r="CPF5" s="128"/>
      <c r="CPG5" s="128"/>
      <c r="CPH5" s="128"/>
      <c r="CPI5" s="128"/>
      <c r="CPJ5" s="128"/>
      <c r="CPK5" s="128"/>
      <c r="CPL5" s="128"/>
      <c r="CPM5" s="128"/>
      <c r="CPN5" s="128"/>
      <c r="CPO5" s="128"/>
      <c r="CPP5" s="128"/>
      <c r="CPQ5" s="128"/>
      <c r="CPR5" s="128"/>
      <c r="CPS5" s="128"/>
      <c r="CPT5" s="128"/>
      <c r="CPU5" s="129"/>
      <c r="CPV5" s="129"/>
      <c r="CPW5" s="129"/>
      <c r="CPX5" s="129"/>
      <c r="CPY5" s="129"/>
      <c r="CPZ5" s="129"/>
      <c r="CQA5" s="129"/>
      <c r="CQB5" s="129"/>
      <c r="CQC5" s="129"/>
      <c r="CQD5" s="129"/>
      <c r="CQE5" s="129"/>
      <c r="CQF5" s="129"/>
      <c r="CQG5" s="129"/>
      <c r="CQH5" s="129"/>
      <c r="CQI5" s="129"/>
      <c r="CQJ5" s="129"/>
      <c r="CQK5" s="129"/>
      <c r="CQL5" s="129"/>
      <c r="CQM5" s="129"/>
      <c r="CQN5" s="129"/>
      <c r="CQO5" s="129"/>
      <c r="CQP5" s="128"/>
      <c r="CQQ5" s="128"/>
      <c r="CQR5" s="128"/>
      <c r="CQS5" s="128"/>
      <c r="CQT5" s="128"/>
      <c r="CQU5" s="128"/>
      <c r="CQV5" s="129"/>
      <c r="CQW5" s="129"/>
      <c r="CQX5" s="129"/>
      <c r="CQY5" s="129"/>
      <c r="CQZ5" s="129"/>
      <c r="CRA5" s="129"/>
      <c r="CRB5" s="129"/>
      <c r="CRC5" s="129"/>
      <c r="CRD5" s="129"/>
      <c r="CRE5" s="129"/>
      <c r="CRF5" s="129"/>
      <c r="CRG5" s="129"/>
      <c r="CRH5" s="129"/>
      <c r="CRI5" s="129"/>
      <c r="CRJ5" s="129"/>
      <c r="CRK5" s="129"/>
      <c r="CRL5" s="129"/>
      <c r="CRM5" s="129"/>
      <c r="CRN5" s="129"/>
      <c r="CRO5" s="129"/>
      <c r="CRP5" s="129"/>
      <c r="CRQ5" s="129"/>
      <c r="CRR5" s="129"/>
      <c r="CRS5" s="129"/>
      <c r="CRT5" s="129"/>
      <c r="CRU5" s="129"/>
      <c r="CRV5" s="129"/>
      <c r="CRW5" s="129"/>
      <c r="CRX5" s="128"/>
      <c r="CRY5" s="128"/>
      <c r="CRZ5" s="128"/>
      <c r="CSA5" s="128"/>
      <c r="CSB5" s="128"/>
      <c r="CSC5" s="128"/>
      <c r="CSD5" s="128"/>
      <c r="CSF5" s="128" t="s">
        <v>430</v>
      </c>
      <c r="CSG5" s="128"/>
      <c r="CSH5" s="128"/>
      <c r="CSI5" s="128"/>
      <c r="CSJ5" s="128"/>
      <c r="CSK5" s="128"/>
      <c r="CSL5" s="128"/>
      <c r="CSM5" s="128"/>
      <c r="CSN5" s="128"/>
      <c r="CSO5" s="128"/>
      <c r="CSP5" s="128"/>
      <c r="CSQ5" s="128"/>
      <c r="CSR5" s="128"/>
      <c r="CSS5" s="128"/>
      <c r="CST5" s="128"/>
      <c r="CSU5" s="128"/>
      <c r="CSV5" s="128"/>
      <c r="CSW5" s="128"/>
      <c r="CSX5" s="128"/>
      <c r="CSY5" s="128"/>
      <c r="CSZ5" s="128"/>
      <c r="CTA5" s="128"/>
      <c r="CTB5" s="128"/>
      <c r="CTC5" s="128"/>
      <c r="CTD5" s="128"/>
      <c r="CTE5" s="128"/>
      <c r="CTF5" s="128"/>
      <c r="CTG5" s="128"/>
      <c r="CTH5" s="128"/>
      <c r="CTI5" s="128"/>
      <c r="CTJ5" s="128"/>
      <c r="CTK5" s="129"/>
      <c r="CTL5" s="129"/>
      <c r="CTM5" s="129"/>
      <c r="CTN5" s="129"/>
      <c r="CTO5" s="129"/>
      <c r="CTP5" s="129"/>
      <c r="CTQ5" s="129"/>
      <c r="CTR5" s="129"/>
      <c r="CTS5" s="129"/>
      <c r="CTT5" s="129"/>
      <c r="CTU5" s="129"/>
      <c r="CTV5" s="129"/>
      <c r="CTW5" s="129"/>
      <c r="CTX5" s="129"/>
      <c r="CTY5" s="129"/>
      <c r="CTZ5" s="129"/>
      <c r="CUA5" s="129"/>
      <c r="CUB5" s="129"/>
      <c r="CUC5" s="129"/>
      <c r="CUD5" s="129"/>
      <c r="CUE5" s="129"/>
      <c r="CUF5" s="128"/>
      <c r="CUG5" s="128"/>
      <c r="CUH5" s="128"/>
      <c r="CUI5" s="128"/>
      <c r="CUJ5" s="128"/>
      <c r="CUK5" s="128"/>
      <c r="CUL5" s="129"/>
      <c r="CUM5" s="129"/>
      <c r="CUN5" s="129"/>
      <c r="CUO5" s="129"/>
      <c r="CUP5" s="129"/>
      <c r="CUQ5" s="129"/>
      <c r="CUR5" s="129"/>
      <c r="CUS5" s="129"/>
      <c r="CUT5" s="129"/>
      <c r="CUU5" s="129"/>
      <c r="CUV5" s="129"/>
      <c r="CUW5" s="129"/>
      <c r="CUX5" s="129"/>
      <c r="CUY5" s="129"/>
      <c r="CUZ5" s="129"/>
      <c r="CVA5" s="129"/>
      <c r="CVB5" s="129"/>
      <c r="CVC5" s="129"/>
      <c r="CVD5" s="129"/>
      <c r="CVE5" s="129"/>
      <c r="CVF5" s="129"/>
      <c r="CVG5" s="129"/>
      <c r="CVH5" s="129"/>
      <c r="CVI5" s="129"/>
      <c r="CVJ5" s="129"/>
      <c r="CVK5" s="129"/>
      <c r="CVL5" s="129"/>
      <c r="CVM5" s="129"/>
      <c r="CVN5" s="128"/>
      <c r="CVO5" s="128"/>
      <c r="CVP5" s="128"/>
      <c r="CVQ5" s="128"/>
      <c r="CVR5" s="128"/>
      <c r="CVS5" s="128"/>
      <c r="CVT5" s="128"/>
      <c r="CVV5" s="128" t="s">
        <v>484</v>
      </c>
      <c r="CVW5" s="128"/>
      <c r="CVX5" s="128"/>
      <c r="CVY5" s="128"/>
      <c r="CVZ5" s="128"/>
      <c r="CWA5" s="128"/>
      <c r="CWB5" s="128"/>
      <c r="CWC5" s="128"/>
      <c r="CWD5" s="128"/>
      <c r="CWE5" s="128"/>
      <c r="CWF5" s="128"/>
      <c r="CWG5" s="128"/>
      <c r="CWH5" s="128"/>
      <c r="CWI5" s="128"/>
      <c r="CWJ5" s="128"/>
      <c r="CWK5" s="128"/>
      <c r="CWL5" s="128"/>
      <c r="CWM5" s="128"/>
      <c r="CWN5" s="128"/>
      <c r="CWO5" s="128"/>
      <c r="CWP5" s="128"/>
      <c r="CWQ5" s="128"/>
      <c r="CWR5" s="128"/>
      <c r="CWS5" s="128"/>
      <c r="CWT5" s="128"/>
      <c r="CWU5" s="128"/>
      <c r="CWV5" s="128"/>
      <c r="CWW5" s="128"/>
      <c r="CWX5" s="128"/>
      <c r="CWY5" s="128"/>
      <c r="CWZ5" s="128"/>
      <c r="CXA5" s="129"/>
      <c r="CXB5" s="129"/>
      <c r="CXC5" s="129"/>
      <c r="CXD5" s="129"/>
      <c r="CXE5" s="129"/>
      <c r="CXF5" s="129"/>
      <c r="CXG5" s="129"/>
      <c r="CXH5" s="129"/>
      <c r="CXI5" s="129"/>
      <c r="CXJ5" s="129"/>
      <c r="CXK5" s="129"/>
      <c r="CXL5" s="129"/>
      <c r="CXM5" s="129"/>
      <c r="CXN5" s="129"/>
      <c r="CXO5" s="129"/>
      <c r="CXP5" s="129"/>
      <c r="CXQ5" s="129"/>
      <c r="CXR5" s="129"/>
      <c r="CXS5" s="129"/>
      <c r="CXT5" s="129"/>
      <c r="CXU5" s="129"/>
      <c r="CXV5" s="128"/>
      <c r="CXW5" s="128"/>
      <c r="CXX5" s="128"/>
      <c r="CXY5" s="128"/>
      <c r="CXZ5" s="128"/>
      <c r="CYA5" s="128"/>
      <c r="CYB5" s="129"/>
      <c r="CYC5" s="129"/>
      <c r="CYD5" s="129"/>
      <c r="CYE5" s="129"/>
      <c r="CYF5" s="129"/>
      <c r="CYG5" s="129"/>
      <c r="CYH5" s="129"/>
      <c r="CYI5" s="129"/>
      <c r="CYJ5" s="129"/>
      <c r="CYK5" s="129"/>
      <c r="CYL5" s="129"/>
      <c r="CYM5" s="129"/>
      <c r="CYN5" s="129"/>
      <c r="CYO5" s="129"/>
      <c r="CYP5" s="129"/>
      <c r="CYQ5" s="129"/>
      <c r="CYR5" s="129"/>
      <c r="CYS5" s="129"/>
      <c r="CYT5" s="129"/>
      <c r="CYU5" s="129"/>
      <c r="CYV5" s="129"/>
      <c r="CYW5" s="129"/>
      <c r="CYX5" s="129"/>
      <c r="CYY5" s="129"/>
      <c r="CYZ5" s="129"/>
      <c r="CZA5" s="129"/>
      <c r="CZB5" s="129"/>
      <c r="CZC5" s="129"/>
      <c r="CZD5" s="128"/>
      <c r="CZE5" s="128"/>
      <c r="CZF5" s="128"/>
      <c r="CZG5" s="128"/>
      <c r="CZH5" s="128"/>
      <c r="CZI5" s="128"/>
      <c r="CZJ5" s="128"/>
      <c r="CZL5" s="128" t="s">
        <v>502</v>
      </c>
      <c r="CZM5" s="128"/>
      <c r="CZN5" s="128"/>
      <c r="CZO5" s="128"/>
      <c r="CZP5" s="128"/>
      <c r="CZQ5" s="128"/>
      <c r="CZR5" s="128"/>
      <c r="CZS5" s="128"/>
      <c r="CZT5" s="128"/>
      <c r="CZU5" s="128"/>
      <c r="CZV5" s="128"/>
      <c r="CZW5" s="128"/>
      <c r="CZX5" s="128"/>
      <c r="CZY5" s="128"/>
      <c r="CZZ5" s="128"/>
      <c r="DAA5" s="128"/>
      <c r="DAB5" s="128"/>
      <c r="DAC5" s="128"/>
      <c r="DAD5" s="128"/>
      <c r="DAE5" s="128"/>
      <c r="DAF5" s="128"/>
      <c r="DAG5" s="128"/>
      <c r="DAH5" s="128"/>
      <c r="DAI5" s="128"/>
      <c r="DAJ5" s="128"/>
      <c r="DAK5" s="128"/>
      <c r="DAL5" s="128"/>
      <c r="DAM5" s="128"/>
      <c r="DAN5" s="128"/>
      <c r="DAO5" s="128"/>
      <c r="DAP5" s="128"/>
      <c r="DAQ5" s="129"/>
      <c r="DAR5" s="129"/>
      <c r="DAS5" s="129"/>
      <c r="DAT5" s="129"/>
      <c r="DAU5" s="129"/>
      <c r="DAV5" s="129"/>
      <c r="DAW5" s="129"/>
      <c r="DAX5" s="129"/>
      <c r="DAY5" s="129"/>
      <c r="DAZ5" s="129"/>
      <c r="DBA5" s="129"/>
      <c r="DBB5" s="129"/>
      <c r="DBC5" s="129"/>
      <c r="DBD5" s="129"/>
      <c r="DBE5" s="129"/>
      <c r="DBF5" s="129"/>
      <c r="DBG5" s="129"/>
      <c r="DBH5" s="129"/>
      <c r="DBI5" s="129"/>
      <c r="DBJ5" s="129"/>
      <c r="DBK5" s="129"/>
      <c r="DBL5" s="128"/>
      <c r="DBM5" s="128"/>
      <c r="DBN5" s="128"/>
      <c r="DBO5" s="128"/>
      <c r="DBP5" s="128"/>
      <c r="DBQ5" s="128"/>
      <c r="DBR5" s="129"/>
      <c r="DBS5" s="129"/>
      <c r="DBT5" s="129"/>
      <c r="DBU5" s="129"/>
      <c r="DBV5" s="129"/>
      <c r="DBW5" s="129"/>
      <c r="DBX5" s="129"/>
      <c r="DBY5" s="129"/>
      <c r="DBZ5" s="129"/>
      <c r="DCA5" s="129"/>
      <c r="DCB5" s="129"/>
      <c r="DCC5" s="129"/>
      <c r="DCD5" s="129"/>
      <c r="DCE5" s="129"/>
      <c r="DCF5" s="129"/>
      <c r="DCG5" s="129"/>
      <c r="DCH5" s="129"/>
      <c r="DCI5" s="129"/>
      <c r="DCJ5" s="129"/>
      <c r="DCK5" s="129"/>
      <c r="DCL5" s="129"/>
      <c r="DCM5" s="129"/>
      <c r="DCN5" s="129"/>
      <c r="DCO5" s="129"/>
      <c r="DCP5" s="129"/>
      <c r="DCQ5" s="129"/>
      <c r="DCR5" s="129"/>
      <c r="DCS5" s="129"/>
      <c r="DCT5" s="128"/>
      <c r="DCU5" s="128"/>
      <c r="DCV5" s="128"/>
      <c r="DCW5" s="128"/>
      <c r="DCX5" s="128"/>
      <c r="DCY5" s="128"/>
      <c r="DCZ5" s="128"/>
      <c r="DDB5" s="128" t="s">
        <v>515</v>
      </c>
      <c r="DDC5" s="128"/>
      <c r="DDD5" s="128"/>
      <c r="DDE5" s="128"/>
      <c r="DDF5" s="128"/>
      <c r="DDG5" s="128"/>
      <c r="DDH5" s="128"/>
      <c r="DDI5" s="128"/>
      <c r="DDJ5" s="128"/>
      <c r="DDK5" s="128"/>
      <c r="DDL5" s="128"/>
      <c r="DDM5" s="128"/>
      <c r="DDN5" s="128"/>
      <c r="DDO5" s="128"/>
      <c r="DDP5" s="128"/>
      <c r="DDQ5" s="128"/>
      <c r="DDR5" s="128"/>
      <c r="DDS5" s="128"/>
      <c r="DDT5" s="128"/>
      <c r="DDU5" s="128"/>
      <c r="DDV5" s="128"/>
      <c r="DDW5" s="128"/>
      <c r="DDX5" s="128"/>
      <c r="DDY5" s="128"/>
      <c r="DDZ5" s="128"/>
      <c r="DEA5" s="128"/>
      <c r="DEB5" s="128"/>
      <c r="DEC5" s="128"/>
      <c r="DED5" s="128"/>
      <c r="DEE5" s="128"/>
      <c r="DEF5" s="128"/>
      <c r="DEG5" s="129"/>
      <c r="DEH5" s="129"/>
      <c r="DEI5" s="129"/>
      <c r="DEJ5" s="129"/>
      <c r="DEK5" s="129"/>
      <c r="DEL5" s="129"/>
      <c r="DEM5" s="129"/>
      <c r="DEN5" s="129"/>
      <c r="DEO5" s="129"/>
      <c r="DEP5" s="129"/>
      <c r="DEQ5" s="129"/>
      <c r="DER5" s="129"/>
      <c r="DES5" s="129"/>
      <c r="DET5" s="129"/>
      <c r="DEU5" s="129"/>
      <c r="DEV5" s="129"/>
      <c r="DEW5" s="129"/>
      <c r="DEX5" s="129"/>
      <c r="DEY5" s="129"/>
      <c r="DEZ5" s="129"/>
      <c r="DFA5" s="129"/>
      <c r="DFB5" s="128"/>
      <c r="DFC5" s="128"/>
      <c r="DFD5" s="128"/>
      <c r="DFE5" s="128"/>
      <c r="DFF5" s="128"/>
      <c r="DFG5" s="128"/>
      <c r="DFH5" s="129"/>
      <c r="DFI5" s="129"/>
      <c r="DFJ5" s="129"/>
      <c r="DFK5" s="129"/>
      <c r="DFL5" s="129"/>
      <c r="DFM5" s="129"/>
      <c r="DFN5" s="129"/>
      <c r="DFO5" s="129"/>
      <c r="DFP5" s="129"/>
      <c r="DFQ5" s="129"/>
      <c r="DFR5" s="129"/>
      <c r="DFS5" s="129"/>
      <c r="DFT5" s="129"/>
      <c r="DFU5" s="129"/>
      <c r="DFV5" s="129"/>
      <c r="DFW5" s="129"/>
      <c r="DFX5" s="129"/>
      <c r="DFY5" s="129"/>
      <c r="DFZ5" s="129"/>
      <c r="DGA5" s="129"/>
      <c r="DGB5" s="129"/>
      <c r="DGC5" s="129"/>
      <c r="DGD5" s="129"/>
      <c r="DGE5" s="129"/>
      <c r="DGF5" s="129"/>
      <c r="DGG5" s="129"/>
      <c r="DGH5" s="129"/>
      <c r="DGI5" s="129"/>
      <c r="DGJ5" s="128"/>
      <c r="DGK5" s="128"/>
      <c r="DGL5" s="128"/>
      <c r="DGM5" s="128"/>
      <c r="DGN5" s="128"/>
      <c r="DGO5" s="128"/>
      <c r="DGP5" s="128"/>
      <c r="DGR5" s="128" t="s">
        <v>556</v>
      </c>
      <c r="DGS5" s="128"/>
      <c r="DGT5" s="128"/>
      <c r="DGU5" s="128"/>
      <c r="DGV5" s="128"/>
      <c r="DGW5" s="128"/>
      <c r="DGX5" s="128"/>
      <c r="DGY5" s="128"/>
      <c r="DGZ5" s="128"/>
      <c r="DHA5" s="128"/>
      <c r="DHB5" s="128"/>
      <c r="DHC5" s="128"/>
      <c r="DHD5" s="128"/>
      <c r="DHE5" s="128"/>
      <c r="DHF5" s="128"/>
      <c r="DHG5" s="128"/>
      <c r="DHH5" s="128"/>
      <c r="DHI5" s="128"/>
      <c r="DHJ5" s="128"/>
      <c r="DHK5" s="128"/>
      <c r="DHL5" s="128"/>
      <c r="DHM5" s="128"/>
      <c r="DHN5" s="128"/>
      <c r="DHO5" s="128"/>
      <c r="DHP5" s="128"/>
      <c r="DHQ5" s="128"/>
      <c r="DHR5" s="128"/>
      <c r="DHS5" s="128"/>
      <c r="DHT5" s="128"/>
      <c r="DHU5" s="128"/>
      <c r="DHV5" s="128"/>
      <c r="DHW5" s="129"/>
      <c r="DHX5" s="129"/>
      <c r="DHY5" s="129"/>
      <c r="DHZ5" s="129"/>
      <c r="DIA5" s="129"/>
      <c r="DIB5" s="129"/>
      <c r="DIC5" s="129"/>
      <c r="DID5" s="129"/>
      <c r="DIE5" s="129"/>
      <c r="DIF5" s="129"/>
      <c r="DIG5" s="129"/>
      <c r="DIH5" s="129"/>
      <c r="DII5" s="129"/>
      <c r="DIJ5" s="129"/>
      <c r="DIK5" s="129"/>
      <c r="DIL5" s="129"/>
      <c r="DIM5" s="129"/>
      <c r="DIN5" s="129"/>
      <c r="DIO5" s="129"/>
      <c r="DIP5" s="129"/>
      <c r="DIQ5" s="129"/>
      <c r="DIR5" s="128"/>
      <c r="DIS5" s="128"/>
      <c r="DIT5" s="128"/>
      <c r="DIU5" s="128"/>
      <c r="DIV5" s="128"/>
      <c r="DIW5" s="128"/>
      <c r="DIX5" s="129"/>
      <c r="DIY5" s="129"/>
      <c r="DIZ5" s="129"/>
      <c r="DJA5" s="129"/>
      <c r="DJB5" s="129"/>
      <c r="DJC5" s="129"/>
      <c r="DJD5" s="129"/>
      <c r="DJE5" s="129"/>
      <c r="DJF5" s="129"/>
      <c r="DJG5" s="129"/>
      <c r="DJH5" s="129"/>
      <c r="DJI5" s="129"/>
      <c r="DJJ5" s="129"/>
      <c r="DJK5" s="129"/>
      <c r="DJL5" s="129"/>
      <c r="DJM5" s="129"/>
      <c r="DJN5" s="129"/>
      <c r="DJO5" s="129"/>
      <c r="DJP5" s="129"/>
      <c r="DJQ5" s="129"/>
      <c r="DJR5" s="129"/>
      <c r="DJS5" s="129"/>
      <c r="DJT5" s="129"/>
      <c r="DJU5" s="129"/>
      <c r="DJV5" s="129"/>
      <c r="DJW5" s="129"/>
      <c r="DJX5" s="129"/>
      <c r="DJY5" s="129"/>
      <c r="DJZ5" s="128"/>
      <c r="DKA5" s="128"/>
      <c r="DKB5" s="128"/>
      <c r="DKC5" s="128"/>
      <c r="DKD5" s="128"/>
      <c r="DKE5" s="128"/>
      <c r="DKF5" s="128"/>
    </row>
    <row r="6" spans="2:2996" ht="15" customHeight="1" x14ac:dyDescent="0.25">
      <c r="B6" s="190" t="s">
        <v>4</v>
      </c>
      <c r="C6" s="191"/>
      <c r="D6" s="191"/>
      <c r="E6" s="191"/>
      <c r="F6" s="191"/>
      <c r="G6" s="191"/>
      <c r="H6" s="191"/>
      <c r="I6" s="191"/>
      <c r="J6" s="224">
        <f>'Character Creation'!Z16</f>
        <v>22</v>
      </c>
      <c r="K6" s="224"/>
      <c r="L6" s="224"/>
      <c r="M6" s="224"/>
      <c r="N6" s="224"/>
      <c r="O6" s="224"/>
      <c r="P6" s="224"/>
      <c r="Q6" s="225"/>
      <c r="R6" s="191" t="s">
        <v>11</v>
      </c>
      <c r="S6" s="191"/>
      <c r="T6" s="191"/>
      <c r="U6" s="191"/>
      <c r="V6" s="191"/>
      <c r="W6" s="191"/>
      <c r="X6" s="191"/>
      <c r="Y6" s="191"/>
      <c r="Z6" s="191"/>
      <c r="AA6" s="224" t="str">
        <f>'Character Creation'!Z15</f>
        <v>Male</v>
      </c>
      <c r="AB6" s="224"/>
      <c r="AC6" s="224"/>
      <c r="AD6" s="224"/>
      <c r="AE6" s="224"/>
      <c r="AF6" s="224"/>
      <c r="AG6" s="224"/>
      <c r="AH6" s="225"/>
      <c r="AI6" s="191" t="s">
        <v>15</v>
      </c>
      <c r="AJ6" s="191"/>
      <c r="AK6" s="191"/>
      <c r="AL6" s="191"/>
      <c r="AM6" s="191"/>
      <c r="AN6" s="191"/>
      <c r="AO6" s="191"/>
      <c r="AP6" s="191"/>
      <c r="AQ6" s="191"/>
      <c r="AR6" s="224">
        <f ca="1">ROUND((VLOOKUP(Q5,RaceChart,18,FALSE)+Skills!$AF$53)*VLOOKUP(J9,Charts!$H$2:$O$14,8,FALSE),0)</f>
        <v>34</v>
      </c>
      <c r="AS6" s="224"/>
      <c r="AT6" s="224"/>
      <c r="AU6" s="224"/>
      <c r="AV6" s="224"/>
      <c r="AW6" s="224"/>
      <c r="AX6" s="224"/>
      <c r="AY6" s="225"/>
      <c r="AZ6" s="214" t="s">
        <v>2016</v>
      </c>
      <c r="BA6" s="191"/>
      <c r="BB6" s="191"/>
      <c r="BC6" s="191"/>
      <c r="BD6" s="191"/>
      <c r="BE6" s="191"/>
      <c r="BF6" s="191"/>
      <c r="BG6" s="191"/>
      <c r="BH6" s="191"/>
      <c r="BI6" s="191"/>
      <c r="BJ6" s="345">
        <f>Calculations!N5</f>
        <v>500</v>
      </c>
      <c r="BK6" s="345"/>
      <c r="BL6" s="345"/>
      <c r="BM6" s="345"/>
      <c r="BN6" s="345"/>
      <c r="BO6" s="345"/>
      <c r="BP6" s="345"/>
      <c r="BQ6" s="345"/>
      <c r="BR6" s="345"/>
      <c r="BS6" s="345"/>
      <c r="BT6" s="345"/>
      <c r="BU6" s="345"/>
      <c r="BV6" s="345"/>
      <c r="BW6" s="345"/>
      <c r="BX6" s="346"/>
      <c r="BZ6" s="190" t="s">
        <v>3228</v>
      </c>
      <c r="CA6" s="191"/>
      <c r="CB6" s="191"/>
      <c r="CC6" s="191"/>
      <c r="CD6" s="191"/>
      <c r="CE6" s="191"/>
      <c r="CF6" s="191"/>
      <c r="CG6" s="191"/>
      <c r="CH6" s="191"/>
      <c r="CI6" s="191"/>
      <c r="CJ6" s="191"/>
      <c r="CK6" s="194">
        <v>0</v>
      </c>
      <c r="CL6" s="194"/>
      <c r="CM6" s="194"/>
      <c r="CN6" s="339"/>
      <c r="CO6" s="191" t="s">
        <v>3226</v>
      </c>
      <c r="CP6" s="191"/>
      <c r="CQ6" s="191"/>
      <c r="CR6" s="191"/>
      <c r="CS6" s="191"/>
      <c r="CT6" s="191"/>
      <c r="CU6" s="191"/>
      <c r="CV6" s="191"/>
      <c r="CW6" s="191"/>
      <c r="CX6" s="191"/>
      <c r="CY6" s="194">
        <v>4</v>
      </c>
      <c r="CZ6" s="194"/>
      <c r="DA6" s="194"/>
      <c r="DB6" s="274"/>
      <c r="DD6" s="269" t="s">
        <v>3219</v>
      </c>
      <c r="DE6" s="270"/>
      <c r="DF6" s="270"/>
      <c r="DG6" s="270"/>
      <c r="DH6" s="270"/>
      <c r="DI6" s="270"/>
      <c r="DJ6" s="270"/>
      <c r="DK6" s="270"/>
      <c r="DL6" s="270"/>
      <c r="DM6" s="272">
        <v>1</v>
      </c>
      <c r="DN6" s="272"/>
      <c r="DO6" s="272"/>
      <c r="DP6" s="272"/>
      <c r="DQ6" s="272"/>
      <c r="DR6" s="272"/>
      <c r="DS6" s="272"/>
      <c r="DT6" s="273"/>
      <c r="DV6" s="218"/>
      <c r="DW6" s="219"/>
      <c r="DX6" s="219"/>
      <c r="DY6" s="219"/>
      <c r="DZ6" s="219"/>
      <c r="EA6" s="219"/>
      <c r="EB6" s="219"/>
      <c r="EC6" s="219"/>
      <c r="ED6" s="219"/>
      <c r="EE6" s="219"/>
      <c r="EF6" s="219"/>
      <c r="EG6" s="219"/>
      <c r="EH6" s="219"/>
      <c r="EI6" s="219"/>
      <c r="EJ6" s="219"/>
      <c r="EK6" s="219"/>
      <c r="EL6" s="219"/>
      <c r="EM6" s="219"/>
      <c r="EN6" s="219"/>
      <c r="EO6" s="219"/>
      <c r="EP6" s="219"/>
      <c r="EQ6" s="219"/>
      <c r="ER6" s="219"/>
      <c r="ES6" s="219"/>
      <c r="ET6" s="219"/>
      <c r="EU6" s="219"/>
      <c r="EV6" s="219"/>
      <c r="EW6" s="219"/>
      <c r="EX6" s="219"/>
      <c r="EY6" s="219"/>
      <c r="EZ6" s="220"/>
      <c r="FB6" s="139" t="s">
        <v>3745</v>
      </c>
      <c r="FC6" s="140"/>
      <c r="FD6" s="140"/>
      <c r="FE6" s="140"/>
      <c r="FF6" s="140"/>
      <c r="FG6" s="140"/>
      <c r="FH6" s="140"/>
      <c r="FI6" s="140"/>
      <c r="FJ6" s="140"/>
      <c r="FK6" s="140"/>
      <c r="FL6" s="140"/>
      <c r="FM6" s="140"/>
      <c r="FN6" s="140"/>
      <c r="FO6" s="140"/>
      <c r="FP6" s="140"/>
      <c r="FQ6" s="140"/>
      <c r="FR6" s="140"/>
      <c r="FS6" s="140"/>
      <c r="FT6" s="140"/>
      <c r="FU6" s="140"/>
      <c r="FV6" s="140"/>
      <c r="FW6" s="140"/>
      <c r="FX6" s="140"/>
      <c r="FY6" s="140"/>
      <c r="FZ6" s="140"/>
      <c r="GA6" s="140"/>
      <c r="GB6" s="140"/>
      <c r="GC6" s="140"/>
      <c r="GD6" s="140"/>
      <c r="GE6" s="140"/>
      <c r="GF6" s="140"/>
      <c r="GG6" s="140"/>
      <c r="GH6" s="140"/>
      <c r="GI6" s="140"/>
      <c r="GJ6" s="140"/>
      <c r="GK6" s="140"/>
      <c r="GL6" s="140"/>
      <c r="GM6" s="140"/>
      <c r="GN6" s="140"/>
      <c r="GO6" s="140"/>
      <c r="GP6" s="140"/>
      <c r="GQ6" s="140"/>
      <c r="GR6" s="140"/>
      <c r="GS6" s="140"/>
      <c r="GT6" s="141">
        <v>1</v>
      </c>
      <c r="GU6" s="141"/>
      <c r="GV6" s="141"/>
      <c r="GW6" s="141"/>
      <c r="GX6" s="141"/>
      <c r="GY6" s="141"/>
      <c r="GZ6" s="141"/>
      <c r="HA6" s="141"/>
      <c r="HB6" s="142">
        <f>IFERROR(ROUND(((Calculations!BV6/185)*'Character Creation'!$Z$18)*GT6,2),"")</f>
        <v>0.42</v>
      </c>
      <c r="HC6" s="142"/>
      <c r="HD6" s="142"/>
      <c r="HE6" s="142"/>
      <c r="HF6" s="142"/>
      <c r="HG6" s="142"/>
      <c r="HH6" s="142"/>
      <c r="HI6" s="142"/>
      <c r="HJ6" s="142">
        <f>IFERROR(Calculations!BS6+IQ6+IX6,"")</f>
        <v>15</v>
      </c>
      <c r="HK6" s="142"/>
      <c r="HL6" s="142"/>
      <c r="HM6" s="142"/>
      <c r="HN6" s="142"/>
      <c r="HO6" s="142"/>
      <c r="HP6" s="142"/>
      <c r="HQ6" s="142"/>
      <c r="HR6" s="142">
        <f t="shared" si="0"/>
        <v>0</v>
      </c>
      <c r="HS6" s="142"/>
      <c r="HT6" s="142"/>
      <c r="HU6" s="142"/>
      <c r="HV6" s="142"/>
      <c r="HW6" s="142"/>
      <c r="HX6" s="142"/>
      <c r="HY6" s="142"/>
      <c r="HZ6" s="142" t="str">
        <f>IFERROR(Calculations!BX6,"")</f>
        <v>$1.24</v>
      </c>
      <c r="IA6" s="142"/>
      <c r="IB6" s="142"/>
      <c r="IC6" s="142"/>
      <c r="ID6" s="142"/>
      <c r="IE6" s="142"/>
      <c r="IF6" s="142"/>
      <c r="IG6" s="142"/>
      <c r="IH6" s="142"/>
      <c r="II6" s="142"/>
      <c r="IJ6" s="142">
        <f>IFERROR(Calculations!BR6+IX6,"")</f>
        <v>0</v>
      </c>
      <c r="IK6" s="142"/>
      <c r="IL6" s="142"/>
      <c r="IM6" s="142"/>
      <c r="IN6" s="142"/>
      <c r="IO6" s="142"/>
      <c r="IP6" s="142"/>
      <c r="IQ6" s="141">
        <v>0</v>
      </c>
      <c r="IR6" s="141"/>
      <c r="IS6" s="141"/>
      <c r="IT6" s="141"/>
      <c r="IU6" s="141"/>
      <c r="IV6" s="141"/>
      <c r="IW6" s="141"/>
      <c r="IX6" s="141">
        <v>0</v>
      </c>
      <c r="IY6" s="141"/>
      <c r="IZ6" s="141"/>
      <c r="JA6" s="141"/>
      <c r="JB6" s="141"/>
      <c r="JC6" s="141"/>
      <c r="JD6" s="141"/>
      <c r="JE6" s="141"/>
      <c r="JF6" s="142"/>
      <c r="JG6" s="142"/>
      <c r="JH6" s="142"/>
      <c r="JI6" s="142"/>
      <c r="JJ6" s="142"/>
      <c r="JK6" s="143" t="str">
        <f>Calculations!AS6</f>
        <v>Light Cloth</v>
      </c>
      <c r="JL6" s="143"/>
      <c r="JM6" s="143"/>
      <c r="JN6" s="143"/>
      <c r="JO6" s="143"/>
      <c r="JP6" s="143"/>
      <c r="JQ6" s="143"/>
      <c r="JR6" s="143"/>
      <c r="JS6" s="143"/>
      <c r="JT6" s="143"/>
      <c r="JU6" s="143"/>
      <c r="JV6" s="143"/>
      <c r="JW6" s="143"/>
      <c r="JX6" s="143"/>
      <c r="JY6" s="143"/>
      <c r="JZ6" s="143"/>
      <c r="KA6" s="143"/>
      <c r="KB6" s="143"/>
      <c r="KC6" s="143" t="str">
        <f>Calculations!AW6</f>
        <v>Light Cloth</v>
      </c>
      <c r="KD6" s="143"/>
      <c r="KE6" s="143"/>
      <c r="KF6" s="143"/>
      <c r="KG6" s="143"/>
      <c r="KH6" s="143"/>
      <c r="KI6" s="143"/>
      <c r="KJ6" s="143"/>
      <c r="KK6" s="143"/>
      <c r="KL6" s="143"/>
      <c r="KM6" s="143"/>
      <c r="KN6" s="143"/>
      <c r="KO6" s="143"/>
      <c r="KP6" s="143"/>
      <c r="KQ6" s="143"/>
      <c r="KR6" s="143"/>
      <c r="KS6" s="143"/>
      <c r="KT6" s="143"/>
      <c r="KU6" s="144"/>
      <c r="KV6" s="144"/>
      <c r="KW6" s="144"/>
      <c r="KX6" s="144"/>
      <c r="KY6" s="144"/>
      <c r="KZ6" s="144"/>
      <c r="LA6" s="144"/>
      <c r="LB6" s="144"/>
      <c r="LC6" s="144"/>
      <c r="LD6" s="144"/>
      <c r="LE6" s="144"/>
      <c r="LF6" s="144"/>
      <c r="LG6" s="144"/>
      <c r="LH6" s="144"/>
      <c r="LI6" s="144"/>
      <c r="LJ6" s="144"/>
      <c r="LK6" s="144"/>
      <c r="LL6" s="144"/>
      <c r="LM6" s="144"/>
      <c r="LN6" s="144"/>
      <c r="LO6" s="144"/>
      <c r="LP6" s="144"/>
      <c r="LQ6" s="144"/>
      <c r="LR6" s="144"/>
      <c r="LS6" s="144"/>
      <c r="LT6" s="144"/>
      <c r="LU6" s="144"/>
      <c r="LV6" s="144"/>
      <c r="LW6" s="144"/>
      <c r="LX6" s="144"/>
      <c r="LY6" s="144"/>
      <c r="LZ6" s="144"/>
      <c r="MA6" s="144"/>
      <c r="MB6" s="144"/>
      <c r="MC6" s="144"/>
      <c r="MD6" s="144"/>
      <c r="ME6" s="144"/>
      <c r="MF6" s="144"/>
      <c r="MG6" s="144"/>
      <c r="MH6" s="144"/>
      <c r="MI6" s="144"/>
      <c r="MJ6" s="144"/>
      <c r="MK6" s="144"/>
      <c r="ML6" s="144"/>
      <c r="MM6" s="144"/>
      <c r="MN6" s="144"/>
      <c r="MO6" s="144"/>
      <c r="MP6" s="144"/>
      <c r="MQ6" s="144"/>
      <c r="MR6" s="144"/>
      <c r="MS6" s="144"/>
      <c r="MT6" s="144"/>
      <c r="MU6" s="144"/>
      <c r="MV6" s="144"/>
      <c r="MW6" s="144"/>
      <c r="MX6" s="144"/>
      <c r="MY6" s="144"/>
      <c r="MZ6" s="145"/>
      <c r="NB6" s="128" t="s">
        <v>2001</v>
      </c>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9"/>
      <c r="OH6" s="129"/>
      <c r="OI6" s="129"/>
      <c r="OJ6" s="129"/>
      <c r="OK6" s="129"/>
      <c r="OL6" s="129"/>
      <c r="OM6" s="129"/>
      <c r="ON6" s="129"/>
      <c r="OO6" s="129"/>
      <c r="OP6" s="129"/>
      <c r="OQ6" s="129"/>
      <c r="OR6" s="129"/>
      <c r="OS6" s="129"/>
      <c r="OT6" s="129"/>
      <c r="OU6" s="129"/>
      <c r="OV6" s="129"/>
      <c r="OW6" s="129"/>
      <c r="OX6" s="129"/>
      <c r="OY6" s="129"/>
      <c r="OZ6" s="129"/>
      <c r="PA6" s="129"/>
      <c r="PB6" s="128"/>
      <c r="PC6" s="128"/>
      <c r="PD6" s="128"/>
      <c r="PE6" s="128"/>
      <c r="PF6" s="128"/>
      <c r="PG6" s="128"/>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8"/>
      <c r="QK6" s="128"/>
      <c r="QL6" s="128"/>
      <c r="QM6" s="128"/>
      <c r="QN6" s="128"/>
      <c r="QO6" s="128"/>
      <c r="QP6" s="128"/>
      <c r="QR6" s="128" t="s">
        <v>157</v>
      </c>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9"/>
      <c r="RX6" s="129"/>
      <c r="RY6" s="129"/>
      <c r="RZ6" s="129"/>
      <c r="SA6" s="129"/>
      <c r="SB6" s="129"/>
      <c r="SC6" s="129"/>
      <c r="SD6" s="129"/>
      <c r="SE6" s="129"/>
      <c r="SF6" s="129"/>
      <c r="SG6" s="129"/>
      <c r="SH6" s="129"/>
      <c r="SI6" s="129"/>
      <c r="SJ6" s="129"/>
      <c r="SK6" s="129"/>
      <c r="SL6" s="129"/>
      <c r="SM6" s="129"/>
      <c r="SN6" s="129"/>
      <c r="SO6" s="129"/>
      <c r="SP6" s="129"/>
      <c r="SQ6" s="129"/>
      <c r="SR6" s="128"/>
      <c r="SS6" s="128"/>
      <c r="ST6" s="128"/>
      <c r="SU6" s="128"/>
      <c r="SV6" s="128"/>
      <c r="SW6" s="128"/>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8"/>
      <c r="UA6" s="128"/>
      <c r="UB6" s="128"/>
      <c r="UC6" s="128"/>
      <c r="UD6" s="128"/>
      <c r="UE6" s="128"/>
      <c r="UF6" s="128"/>
      <c r="UH6" s="128" t="s">
        <v>161</v>
      </c>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9"/>
      <c r="VN6" s="129"/>
      <c r="VO6" s="129"/>
      <c r="VP6" s="129"/>
      <c r="VQ6" s="129"/>
      <c r="VR6" s="129"/>
      <c r="VS6" s="129"/>
      <c r="VT6" s="129"/>
      <c r="VU6" s="129"/>
      <c r="VV6" s="129"/>
      <c r="VW6" s="129"/>
      <c r="VX6" s="129"/>
      <c r="VY6" s="129"/>
      <c r="VZ6" s="129"/>
      <c r="WA6" s="129"/>
      <c r="WB6" s="129"/>
      <c r="WC6" s="129"/>
      <c r="WD6" s="129"/>
      <c r="WE6" s="129"/>
      <c r="WF6" s="129"/>
      <c r="WG6" s="129"/>
      <c r="WH6" s="128"/>
      <c r="WI6" s="128"/>
      <c r="WJ6" s="128"/>
      <c r="WK6" s="128"/>
      <c r="WL6" s="128"/>
      <c r="WM6" s="128"/>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8"/>
      <c r="XQ6" s="128"/>
      <c r="XR6" s="128"/>
      <c r="XS6" s="128"/>
      <c r="XT6" s="128"/>
      <c r="XU6" s="128"/>
      <c r="XV6" s="128"/>
      <c r="XX6" s="128" t="s">
        <v>167</v>
      </c>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9"/>
      <c r="ZD6" s="129"/>
      <c r="ZE6" s="129"/>
      <c r="ZF6" s="129"/>
      <c r="ZG6" s="129"/>
      <c r="ZH6" s="129"/>
      <c r="ZI6" s="129"/>
      <c r="ZJ6" s="129"/>
      <c r="ZK6" s="129"/>
      <c r="ZL6" s="129"/>
      <c r="ZM6" s="129"/>
      <c r="ZN6" s="129"/>
      <c r="ZO6" s="129"/>
      <c r="ZP6" s="129"/>
      <c r="ZQ6" s="129"/>
      <c r="ZR6" s="129"/>
      <c r="ZS6" s="129"/>
      <c r="ZT6" s="129"/>
      <c r="ZU6" s="129"/>
      <c r="ZV6" s="129"/>
      <c r="ZW6" s="129"/>
      <c r="ZX6" s="128"/>
      <c r="ZY6" s="128"/>
      <c r="ZZ6" s="128"/>
      <c r="AAA6" s="128"/>
      <c r="AAB6" s="128"/>
      <c r="AAC6" s="128"/>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8"/>
      <c r="ABG6" s="128"/>
      <c r="ABH6" s="128"/>
      <c r="ABI6" s="128"/>
      <c r="ABJ6" s="128"/>
      <c r="ABK6" s="128"/>
      <c r="ABL6" s="128"/>
      <c r="ABN6" s="128" t="s">
        <v>175</v>
      </c>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8"/>
      <c r="ADO6" s="128"/>
      <c r="ADP6" s="128"/>
      <c r="ADQ6" s="128"/>
      <c r="ADR6" s="128"/>
      <c r="ADS6" s="128"/>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8"/>
      <c r="AEW6" s="128"/>
      <c r="AEX6" s="128"/>
      <c r="AEY6" s="128"/>
      <c r="AEZ6" s="128"/>
      <c r="AFA6" s="128"/>
      <c r="AFB6" s="128"/>
      <c r="AFD6" s="128" t="s">
        <v>184</v>
      </c>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8"/>
      <c r="AHE6" s="128"/>
      <c r="AHF6" s="128"/>
      <c r="AHG6" s="128"/>
      <c r="AHH6" s="128"/>
      <c r="AHI6" s="128"/>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8"/>
      <c r="AIM6" s="128"/>
      <c r="AIN6" s="128"/>
      <c r="AIO6" s="128"/>
      <c r="AIP6" s="128"/>
      <c r="AIQ6" s="128"/>
      <c r="AIR6" s="128"/>
      <c r="AIT6" s="128" t="s">
        <v>191</v>
      </c>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8"/>
      <c r="AKU6" s="128"/>
      <c r="AKV6" s="128"/>
      <c r="AKW6" s="128"/>
      <c r="AKX6" s="128"/>
      <c r="AKY6" s="128"/>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c r="ALZ6" s="129"/>
      <c r="AMA6" s="129"/>
      <c r="AMB6" s="128"/>
      <c r="AMC6" s="128"/>
      <c r="AMD6" s="128"/>
      <c r="AME6" s="128"/>
      <c r="AMF6" s="128"/>
      <c r="AMG6" s="128"/>
      <c r="AMH6" s="128"/>
      <c r="AMJ6" s="128" t="s">
        <v>220</v>
      </c>
      <c r="AMK6" s="128"/>
      <c r="AML6" s="128"/>
      <c r="AMM6" s="128"/>
      <c r="AMN6" s="128"/>
      <c r="AMO6" s="128"/>
      <c r="AMP6" s="128"/>
      <c r="AMQ6" s="128"/>
      <c r="AMR6" s="128"/>
      <c r="AMS6" s="128"/>
      <c r="AMT6" s="128"/>
      <c r="AMU6" s="128"/>
      <c r="AMV6" s="128"/>
      <c r="AMW6" s="128"/>
      <c r="AMX6" s="128"/>
      <c r="AMY6" s="128"/>
      <c r="AMZ6" s="128"/>
      <c r="ANA6" s="128"/>
      <c r="ANB6" s="128"/>
      <c r="ANC6" s="128"/>
      <c r="AND6" s="128"/>
      <c r="ANE6" s="128"/>
      <c r="ANF6" s="128"/>
      <c r="ANG6" s="128"/>
      <c r="ANH6" s="128"/>
      <c r="ANI6" s="128"/>
      <c r="ANJ6" s="128"/>
      <c r="ANK6" s="128"/>
      <c r="ANL6" s="128"/>
      <c r="ANM6" s="128"/>
      <c r="ANN6" s="128"/>
      <c r="ANO6" s="129"/>
      <c r="ANP6" s="129"/>
      <c r="ANQ6" s="129"/>
      <c r="ANR6" s="129"/>
      <c r="ANS6" s="129"/>
      <c r="ANT6" s="129"/>
      <c r="ANU6" s="129"/>
      <c r="ANV6" s="129"/>
      <c r="ANW6" s="129"/>
      <c r="ANX6" s="129"/>
      <c r="ANY6" s="129"/>
      <c r="ANZ6" s="129"/>
      <c r="AOA6" s="129"/>
      <c r="AOB6" s="129"/>
      <c r="AOC6" s="129"/>
      <c r="AOD6" s="129"/>
      <c r="AOE6" s="129"/>
      <c r="AOF6" s="129"/>
      <c r="AOG6" s="129"/>
      <c r="AOH6" s="129"/>
      <c r="AOI6" s="129"/>
      <c r="AOJ6" s="128"/>
      <c r="AOK6" s="128"/>
      <c r="AOL6" s="128"/>
      <c r="AOM6" s="128"/>
      <c r="AON6" s="128"/>
      <c r="AOO6" s="128"/>
      <c r="AOP6" s="129"/>
      <c r="AOQ6" s="129"/>
      <c r="AOR6" s="129"/>
      <c r="AOS6" s="129"/>
      <c r="AOT6" s="129"/>
      <c r="AOU6" s="129"/>
      <c r="AOV6" s="129"/>
      <c r="AOW6" s="129"/>
      <c r="AOX6" s="129"/>
      <c r="AOY6" s="129"/>
      <c r="AOZ6" s="129"/>
      <c r="APA6" s="129"/>
      <c r="APB6" s="129"/>
      <c r="APC6" s="129"/>
      <c r="APD6" s="129"/>
      <c r="APE6" s="129"/>
      <c r="APF6" s="129"/>
      <c r="APG6" s="129"/>
      <c r="APH6" s="129"/>
      <c r="API6" s="129"/>
      <c r="APJ6" s="129"/>
      <c r="APK6" s="129"/>
      <c r="APL6" s="129"/>
      <c r="APM6" s="129"/>
      <c r="APN6" s="129"/>
      <c r="APO6" s="129"/>
      <c r="APP6" s="129"/>
      <c r="APQ6" s="129"/>
      <c r="APR6" s="128"/>
      <c r="APS6" s="128"/>
      <c r="APT6" s="128"/>
      <c r="APU6" s="128"/>
      <c r="APV6" s="128"/>
      <c r="APW6" s="128"/>
      <c r="APX6" s="128"/>
      <c r="APZ6" s="128" t="s">
        <v>599</v>
      </c>
      <c r="AQA6" s="128"/>
      <c r="AQB6" s="128"/>
      <c r="AQC6" s="128"/>
      <c r="AQD6" s="128"/>
      <c r="AQE6" s="128"/>
      <c r="AQF6" s="128"/>
      <c r="AQG6" s="128"/>
      <c r="AQH6" s="128"/>
      <c r="AQI6" s="128"/>
      <c r="AQJ6" s="128"/>
      <c r="AQK6" s="128"/>
      <c r="AQL6" s="128"/>
      <c r="AQM6" s="128"/>
      <c r="AQN6" s="128"/>
      <c r="AQO6" s="128"/>
      <c r="AQP6" s="128"/>
      <c r="AQQ6" s="128"/>
      <c r="AQR6" s="128"/>
      <c r="AQS6" s="128"/>
      <c r="AQT6" s="128"/>
      <c r="AQU6" s="128"/>
      <c r="AQV6" s="128"/>
      <c r="AQW6" s="128"/>
      <c r="AQX6" s="128"/>
      <c r="AQY6" s="128"/>
      <c r="AQZ6" s="128"/>
      <c r="ARA6" s="128"/>
      <c r="ARB6" s="128"/>
      <c r="ARC6" s="128"/>
      <c r="ARD6" s="128"/>
      <c r="ARE6" s="129"/>
      <c r="ARF6" s="129"/>
      <c r="ARG6" s="129"/>
      <c r="ARH6" s="129"/>
      <c r="ARI6" s="129"/>
      <c r="ARJ6" s="129"/>
      <c r="ARK6" s="129"/>
      <c r="ARL6" s="129"/>
      <c r="ARM6" s="129"/>
      <c r="ARN6" s="129"/>
      <c r="ARO6" s="129"/>
      <c r="ARP6" s="129"/>
      <c r="ARQ6" s="129"/>
      <c r="ARR6" s="129"/>
      <c r="ARS6" s="129"/>
      <c r="ART6" s="129"/>
      <c r="ARU6" s="129"/>
      <c r="ARV6" s="129"/>
      <c r="ARW6" s="129"/>
      <c r="ARX6" s="129"/>
      <c r="ARY6" s="129"/>
      <c r="ARZ6" s="128"/>
      <c r="ASA6" s="128"/>
      <c r="ASB6" s="128"/>
      <c r="ASC6" s="128"/>
      <c r="ASD6" s="128"/>
      <c r="ASE6" s="128"/>
      <c r="ASF6" s="129"/>
      <c r="ASG6" s="129"/>
      <c r="ASH6" s="129"/>
      <c r="ASI6" s="129"/>
      <c r="ASJ6" s="129"/>
      <c r="ASK6" s="129"/>
      <c r="ASL6" s="129"/>
      <c r="ASM6" s="129"/>
      <c r="ASN6" s="129"/>
      <c r="ASO6" s="129"/>
      <c r="ASP6" s="129"/>
      <c r="ASQ6" s="129"/>
      <c r="ASR6" s="129"/>
      <c r="ASS6" s="129"/>
      <c r="AST6" s="129"/>
      <c r="ASU6" s="129"/>
      <c r="ASV6" s="129"/>
      <c r="ASW6" s="129"/>
      <c r="ASX6" s="129"/>
      <c r="ASY6" s="129"/>
      <c r="ASZ6" s="129"/>
      <c r="ATA6" s="129"/>
      <c r="ATB6" s="129"/>
      <c r="ATC6" s="129"/>
      <c r="ATD6" s="129"/>
      <c r="ATE6" s="129"/>
      <c r="ATF6" s="129"/>
      <c r="ATG6" s="129"/>
      <c r="ATH6" s="128"/>
      <c r="ATI6" s="128"/>
      <c r="ATJ6" s="128"/>
      <c r="ATK6" s="128"/>
      <c r="ATL6" s="128"/>
      <c r="ATM6" s="128"/>
      <c r="ATN6" s="128"/>
      <c r="ATP6" s="128" t="s">
        <v>2036</v>
      </c>
      <c r="ATQ6" s="128"/>
      <c r="ATR6" s="128"/>
      <c r="ATS6" s="128"/>
      <c r="ATT6" s="128"/>
      <c r="ATU6" s="128"/>
      <c r="ATV6" s="128"/>
      <c r="ATW6" s="128"/>
      <c r="ATX6" s="128"/>
      <c r="ATY6" s="128"/>
      <c r="ATZ6" s="128"/>
      <c r="AUA6" s="128"/>
      <c r="AUB6" s="128"/>
      <c r="AUC6" s="128"/>
      <c r="AUD6" s="128"/>
      <c r="AUE6" s="128"/>
      <c r="AUF6" s="128"/>
      <c r="AUG6" s="128"/>
      <c r="AUH6" s="128"/>
      <c r="AUI6" s="128"/>
      <c r="AUJ6" s="128"/>
      <c r="AUK6" s="128"/>
      <c r="AUL6" s="128"/>
      <c r="AUM6" s="128"/>
      <c r="AUN6" s="128"/>
      <c r="AUO6" s="128"/>
      <c r="AUP6" s="128"/>
      <c r="AUQ6" s="128"/>
      <c r="AUR6" s="128"/>
      <c r="AUS6" s="128"/>
      <c r="AUT6" s="128"/>
      <c r="AUU6" s="129"/>
      <c r="AUV6" s="129"/>
      <c r="AUW6" s="129"/>
      <c r="AUX6" s="129"/>
      <c r="AUY6" s="129"/>
      <c r="AUZ6" s="129"/>
      <c r="AVA6" s="129"/>
      <c r="AVB6" s="129"/>
      <c r="AVC6" s="129"/>
      <c r="AVD6" s="129"/>
      <c r="AVE6" s="129"/>
      <c r="AVF6" s="129"/>
      <c r="AVG6" s="129"/>
      <c r="AVH6" s="129"/>
      <c r="AVI6" s="129"/>
      <c r="AVJ6" s="129"/>
      <c r="AVK6" s="129"/>
      <c r="AVL6" s="129"/>
      <c r="AVM6" s="129"/>
      <c r="AVN6" s="129"/>
      <c r="AVO6" s="129"/>
      <c r="AVP6" s="128"/>
      <c r="AVQ6" s="128"/>
      <c r="AVR6" s="128"/>
      <c r="AVS6" s="128"/>
      <c r="AVT6" s="128"/>
      <c r="AVU6" s="128"/>
      <c r="AVV6" s="129"/>
      <c r="AVW6" s="129"/>
      <c r="AVX6" s="129"/>
      <c r="AVY6" s="129"/>
      <c r="AVZ6" s="129"/>
      <c r="AWA6" s="129"/>
      <c r="AWB6" s="129"/>
      <c r="AWC6" s="129"/>
      <c r="AWD6" s="129"/>
      <c r="AWE6" s="129"/>
      <c r="AWF6" s="129"/>
      <c r="AWG6" s="129"/>
      <c r="AWH6" s="129"/>
      <c r="AWI6" s="129"/>
      <c r="AWJ6" s="129"/>
      <c r="AWK6" s="129"/>
      <c r="AWL6" s="129"/>
      <c r="AWM6" s="129"/>
      <c r="AWN6" s="129"/>
      <c r="AWO6" s="129"/>
      <c r="AWP6" s="129"/>
      <c r="AWQ6" s="129"/>
      <c r="AWR6" s="129"/>
      <c r="AWS6" s="129"/>
      <c r="AWT6" s="129"/>
      <c r="AWU6" s="129"/>
      <c r="AWV6" s="129"/>
      <c r="AWW6" s="129"/>
      <c r="AWX6" s="128"/>
      <c r="AWY6" s="128"/>
      <c r="AWZ6" s="128"/>
      <c r="AXA6" s="128"/>
      <c r="AXB6" s="128"/>
      <c r="AXC6" s="128"/>
      <c r="AXD6" s="128"/>
      <c r="AXF6" s="128" t="s">
        <v>263</v>
      </c>
      <c r="AXG6" s="128"/>
      <c r="AXH6" s="128"/>
      <c r="AXI6" s="128"/>
      <c r="AXJ6" s="128"/>
      <c r="AXK6" s="128"/>
      <c r="AXL6" s="128"/>
      <c r="AXM6" s="128"/>
      <c r="AXN6" s="128"/>
      <c r="AXO6" s="128"/>
      <c r="AXP6" s="128"/>
      <c r="AXQ6" s="128"/>
      <c r="AXR6" s="128"/>
      <c r="AXS6" s="128"/>
      <c r="AXT6" s="128"/>
      <c r="AXU6" s="128"/>
      <c r="AXV6" s="128"/>
      <c r="AXW6" s="128"/>
      <c r="AXX6" s="128"/>
      <c r="AXY6" s="128"/>
      <c r="AXZ6" s="128"/>
      <c r="AYA6" s="128"/>
      <c r="AYB6" s="128"/>
      <c r="AYC6" s="128"/>
      <c r="AYD6" s="128"/>
      <c r="AYE6" s="128"/>
      <c r="AYF6" s="128"/>
      <c r="AYG6" s="128"/>
      <c r="AYH6" s="128"/>
      <c r="AYI6" s="128"/>
      <c r="AYJ6" s="128"/>
      <c r="AYK6" s="129"/>
      <c r="AYL6" s="129"/>
      <c r="AYM6" s="129"/>
      <c r="AYN6" s="129"/>
      <c r="AYO6" s="129"/>
      <c r="AYP6" s="129"/>
      <c r="AYQ6" s="129"/>
      <c r="AYR6" s="129"/>
      <c r="AYS6" s="129"/>
      <c r="AYT6" s="129"/>
      <c r="AYU6" s="129"/>
      <c r="AYV6" s="129"/>
      <c r="AYW6" s="129"/>
      <c r="AYX6" s="129"/>
      <c r="AYY6" s="129"/>
      <c r="AYZ6" s="129"/>
      <c r="AZA6" s="129"/>
      <c r="AZB6" s="129"/>
      <c r="AZC6" s="129"/>
      <c r="AZD6" s="129"/>
      <c r="AZE6" s="129"/>
      <c r="AZF6" s="128"/>
      <c r="AZG6" s="128"/>
      <c r="AZH6" s="128"/>
      <c r="AZI6" s="128"/>
      <c r="AZJ6" s="128"/>
      <c r="AZK6" s="128"/>
      <c r="AZL6" s="129"/>
      <c r="AZM6" s="129"/>
      <c r="AZN6" s="129"/>
      <c r="AZO6" s="129"/>
      <c r="AZP6" s="129"/>
      <c r="AZQ6" s="129"/>
      <c r="AZR6" s="129"/>
      <c r="AZS6" s="129"/>
      <c r="AZT6" s="129"/>
      <c r="AZU6" s="129"/>
      <c r="AZV6" s="129"/>
      <c r="AZW6" s="129"/>
      <c r="AZX6" s="129"/>
      <c r="AZY6" s="129"/>
      <c r="AZZ6" s="129"/>
      <c r="BAA6" s="129"/>
      <c r="BAB6" s="129"/>
      <c r="BAC6" s="129"/>
      <c r="BAD6" s="129"/>
      <c r="BAE6" s="129"/>
      <c r="BAF6" s="129"/>
      <c r="BAG6" s="129"/>
      <c r="BAH6" s="129"/>
      <c r="BAI6" s="129"/>
      <c r="BAJ6" s="129"/>
      <c r="BAK6" s="129"/>
      <c r="BAL6" s="129"/>
      <c r="BAM6" s="129"/>
      <c r="BAN6" s="128"/>
      <c r="BAO6" s="128"/>
      <c r="BAP6" s="128"/>
      <c r="BAQ6" s="128"/>
      <c r="BAR6" s="128"/>
      <c r="BAS6" s="128"/>
      <c r="BAT6" s="128"/>
      <c r="BEL6" s="128" t="s">
        <v>307</v>
      </c>
      <c r="BEM6" s="128"/>
      <c r="BEN6" s="128"/>
      <c r="BEO6" s="128"/>
      <c r="BEP6" s="128"/>
      <c r="BEQ6" s="128"/>
      <c r="BER6" s="128"/>
      <c r="BES6" s="128"/>
      <c r="BET6" s="128"/>
      <c r="BEU6" s="128"/>
      <c r="BEV6" s="128"/>
      <c r="BEW6" s="128"/>
      <c r="BEX6" s="128"/>
      <c r="BEY6" s="128"/>
      <c r="BEZ6" s="128"/>
      <c r="BFA6" s="128"/>
      <c r="BFB6" s="128"/>
      <c r="BFC6" s="128"/>
      <c r="BFD6" s="128"/>
      <c r="BFE6" s="128"/>
      <c r="BFF6" s="128"/>
      <c r="BFG6" s="128"/>
      <c r="BFH6" s="128"/>
      <c r="BFI6" s="128"/>
      <c r="BFJ6" s="128"/>
      <c r="BFK6" s="128"/>
      <c r="BFL6" s="128"/>
      <c r="BFM6" s="128"/>
      <c r="BFN6" s="128"/>
      <c r="BFO6" s="128"/>
      <c r="BFP6" s="128"/>
      <c r="BFQ6" s="129"/>
      <c r="BFR6" s="129"/>
      <c r="BFS6" s="129"/>
      <c r="BFT6" s="129"/>
      <c r="BFU6" s="129"/>
      <c r="BFV6" s="129"/>
      <c r="BFW6" s="129"/>
      <c r="BFX6" s="129"/>
      <c r="BFY6" s="129"/>
      <c r="BFZ6" s="129"/>
      <c r="BGA6" s="129"/>
      <c r="BGB6" s="129"/>
      <c r="BGC6" s="129"/>
      <c r="BGD6" s="129"/>
      <c r="BGE6" s="129"/>
      <c r="BGF6" s="129"/>
      <c r="BGG6" s="129"/>
      <c r="BGH6" s="129"/>
      <c r="BGI6" s="129"/>
      <c r="BGJ6" s="129"/>
      <c r="BGK6" s="129"/>
      <c r="BGL6" s="128"/>
      <c r="BGM6" s="128"/>
      <c r="BGN6" s="128"/>
      <c r="BGO6" s="128"/>
      <c r="BGP6" s="128"/>
      <c r="BGQ6" s="128"/>
      <c r="BGR6" s="129"/>
      <c r="BGS6" s="129"/>
      <c r="BGT6" s="129"/>
      <c r="BGU6" s="129"/>
      <c r="BGV6" s="129"/>
      <c r="BGW6" s="129"/>
      <c r="BGX6" s="129"/>
      <c r="BGY6" s="129"/>
      <c r="BGZ6" s="129"/>
      <c r="BHA6" s="129"/>
      <c r="BHB6" s="129"/>
      <c r="BHC6" s="129"/>
      <c r="BHD6" s="129"/>
      <c r="BHE6" s="129"/>
      <c r="BHF6" s="129"/>
      <c r="BHG6" s="129"/>
      <c r="BHH6" s="129"/>
      <c r="BHI6" s="129"/>
      <c r="BHJ6" s="129"/>
      <c r="BHK6" s="129"/>
      <c r="BHL6" s="129"/>
      <c r="BHM6" s="129"/>
      <c r="BHN6" s="129"/>
      <c r="BHO6" s="129"/>
      <c r="BHP6" s="129"/>
      <c r="BHQ6" s="129"/>
      <c r="BHR6" s="129"/>
      <c r="BHS6" s="129"/>
      <c r="BHT6" s="128"/>
      <c r="BHU6" s="128"/>
      <c r="BHV6" s="128"/>
      <c r="BHW6" s="128"/>
      <c r="BHX6" s="128"/>
      <c r="BHY6" s="128"/>
      <c r="BHZ6" s="128"/>
      <c r="BIB6" s="128" t="s">
        <v>314</v>
      </c>
      <c r="BIC6" s="128"/>
      <c r="BID6" s="128"/>
      <c r="BIE6" s="128"/>
      <c r="BIF6" s="128"/>
      <c r="BIG6" s="128"/>
      <c r="BIH6" s="128"/>
      <c r="BII6" s="128"/>
      <c r="BIJ6" s="128"/>
      <c r="BIK6" s="128"/>
      <c r="BIL6" s="128"/>
      <c r="BIM6" s="128"/>
      <c r="BIN6" s="128"/>
      <c r="BIO6" s="128"/>
      <c r="BIP6" s="128"/>
      <c r="BIQ6" s="128"/>
      <c r="BIR6" s="128"/>
      <c r="BIS6" s="128"/>
      <c r="BIT6" s="128"/>
      <c r="BIU6" s="128"/>
      <c r="BIV6" s="128"/>
      <c r="BIW6" s="128"/>
      <c r="BIX6" s="128"/>
      <c r="BIY6" s="128"/>
      <c r="BIZ6" s="128"/>
      <c r="BJA6" s="128"/>
      <c r="BJB6" s="128"/>
      <c r="BJC6" s="128"/>
      <c r="BJD6" s="128"/>
      <c r="BJE6" s="128"/>
      <c r="BJF6" s="128"/>
      <c r="BJG6" s="129"/>
      <c r="BJH6" s="129"/>
      <c r="BJI6" s="129"/>
      <c r="BJJ6" s="129"/>
      <c r="BJK6" s="129"/>
      <c r="BJL6" s="129"/>
      <c r="BJM6" s="129"/>
      <c r="BJN6" s="129"/>
      <c r="BJO6" s="129"/>
      <c r="BJP6" s="129"/>
      <c r="BJQ6" s="129"/>
      <c r="BJR6" s="129"/>
      <c r="BJS6" s="129"/>
      <c r="BJT6" s="129"/>
      <c r="BJU6" s="129"/>
      <c r="BJV6" s="129"/>
      <c r="BJW6" s="129"/>
      <c r="BJX6" s="129"/>
      <c r="BJY6" s="129"/>
      <c r="BJZ6" s="129"/>
      <c r="BKA6" s="129"/>
      <c r="BKB6" s="128"/>
      <c r="BKC6" s="128"/>
      <c r="BKD6" s="128"/>
      <c r="BKE6" s="128"/>
      <c r="BKF6" s="128"/>
      <c r="BKG6" s="128"/>
      <c r="BKH6" s="129"/>
      <c r="BKI6" s="129"/>
      <c r="BKJ6" s="129"/>
      <c r="BKK6" s="129"/>
      <c r="BKL6" s="129"/>
      <c r="BKM6" s="129"/>
      <c r="BKN6" s="129"/>
      <c r="BKO6" s="129"/>
      <c r="BKP6" s="129"/>
      <c r="BKQ6" s="129"/>
      <c r="BKR6" s="129"/>
      <c r="BKS6" s="129"/>
      <c r="BKT6" s="129"/>
      <c r="BKU6" s="129"/>
      <c r="BKV6" s="129"/>
      <c r="BKW6" s="129"/>
      <c r="BKX6" s="129"/>
      <c r="BKY6" s="129"/>
      <c r="BKZ6" s="129"/>
      <c r="BLA6" s="129"/>
      <c r="BLB6" s="129"/>
      <c r="BLC6" s="129"/>
      <c r="BLD6" s="129"/>
      <c r="BLE6" s="129"/>
      <c r="BLF6" s="129"/>
      <c r="BLG6" s="129"/>
      <c r="BLH6" s="129"/>
      <c r="BLI6" s="129"/>
      <c r="BLJ6" s="128"/>
      <c r="BLK6" s="128"/>
      <c r="BLL6" s="128"/>
      <c r="BLM6" s="128"/>
      <c r="BLN6" s="128"/>
      <c r="BLO6" s="128"/>
      <c r="BLP6" s="128"/>
      <c r="BLR6" s="128" t="s">
        <v>318</v>
      </c>
      <c r="BLS6" s="128"/>
      <c r="BLT6" s="128"/>
      <c r="BLU6" s="128"/>
      <c r="BLV6" s="128"/>
      <c r="BLW6" s="128"/>
      <c r="BLX6" s="128"/>
      <c r="BLY6" s="128"/>
      <c r="BLZ6" s="128"/>
      <c r="BMA6" s="128"/>
      <c r="BMB6" s="128"/>
      <c r="BMC6" s="128"/>
      <c r="BMD6" s="128"/>
      <c r="BME6" s="128"/>
      <c r="BMF6" s="128"/>
      <c r="BMG6" s="128"/>
      <c r="BMH6" s="128"/>
      <c r="BMI6" s="128"/>
      <c r="BMJ6" s="128"/>
      <c r="BMK6" s="128"/>
      <c r="BML6" s="128"/>
      <c r="BMM6" s="128"/>
      <c r="BMN6" s="128"/>
      <c r="BMO6" s="128"/>
      <c r="BMP6" s="128"/>
      <c r="BMQ6" s="128"/>
      <c r="BMR6" s="128"/>
      <c r="BMS6" s="128"/>
      <c r="BMT6" s="128"/>
      <c r="BMU6" s="128"/>
      <c r="BMV6" s="128"/>
      <c r="BMW6" s="129"/>
      <c r="BMX6" s="129"/>
      <c r="BMY6" s="129"/>
      <c r="BMZ6" s="129"/>
      <c r="BNA6" s="129"/>
      <c r="BNB6" s="129"/>
      <c r="BNC6" s="129"/>
      <c r="BND6" s="129"/>
      <c r="BNE6" s="129"/>
      <c r="BNF6" s="129"/>
      <c r="BNG6" s="129"/>
      <c r="BNH6" s="129"/>
      <c r="BNI6" s="129"/>
      <c r="BNJ6" s="129"/>
      <c r="BNK6" s="129"/>
      <c r="BNL6" s="129"/>
      <c r="BNM6" s="129"/>
      <c r="BNN6" s="129"/>
      <c r="BNO6" s="129"/>
      <c r="BNP6" s="129"/>
      <c r="BNQ6" s="129"/>
      <c r="BNR6" s="128"/>
      <c r="BNS6" s="128"/>
      <c r="BNT6" s="128"/>
      <c r="BNU6" s="128"/>
      <c r="BNV6" s="128"/>
      <c r="BNW6" s="128"/>
      <c r="BNX6" s="129"/>
      <c r="BNY6" s="129"/>
      <c r="BNZ6" s="129"/>
      <c r="BOA6" s="129"/>
      <c r="BOB6" s="129"/>
      <c r="BOC6" s="129"/>
      <c r="BOD6" s="129"/>
      <c r="BOE6" s="129"/>
      <c r="BOF6" s="129"/>
      <c r="BOG6" s="129"/>
      <c r="BOH6" s="129"/>
      <c r="BOI6" s="129"/>
      <c r="BOJ6" s="129"/>
      <c r="BOK6" s="129"/>
      <c r="BOL6" s="129"/>
      <c r="BOM6" s="129"/>
      <c r="BON6" s="129"/>
      <c r="BOO6" s="129"/>
      <c r="BOP6" s="129"/>
      <c r="BOQ6" s="129"/>
      <c r="BOR6" s="129"/>
      <c r="BOS6" s="129"/>
      <c r="BOT6" s="129"/>
      <c r="BOU6" s="129"/>
      <c r="BOV6" s="129"/>
      <c r="BOW6" s="129"/>
      <c r="BOX6" s="129"/>
      <c r="BOY6" s="129"/>
      <c r="BOZ6" s="128"/>
      <c r="BPA6" s="128"/>
      <c r="BPB6" s="128"/>
      <c r="BPC6" s="128"/>
      <c r="BPD6" s="128"/>
      <c r="BPE6" s="128"/>
      <c r="BPF6" s="128"/>
      <c r="BPH6" s="128" t="s">
        <v>369</v>
      </c>
      <c r="BPI6" s="128"/>
      <c r="BPJ6" s="128"/>
      <c r="BPK6" s="128"/>
      <c r="BPL6" s="128"/>
      <c r="BPM6" s="128"/>
      <c r="BPN6" s="128"/>
      <c r="BPO6" s="128"/>
      <c r="BPP6" s="128"/>
      <c r="BPQ6" s="128"/>
      <c r="BPR6" s="128"/>
      <c r="BPS6" s="128"/>
      <c r="BPT6" s="128"/>
      <c r="BPU6" s="128"/>
      <c r="BPV6" s="128"/>
      <c r="BPW6" s="128"/>
      <c r="BPX6" s="128"/>
      <c r="BPY6" s="128"/>
      <c r="BPZ6" s="128"/>
      <c r="BQA6" s="128"/>
      <c r="BQB6" s="128"/>
      <c r="BQC6" s="128"/>
      <c r="BQD6" s="128"/>
      <c r="BQE6" s="128"/>
      <c r="BQF6" s="128"/>
      <c r="BQG6" s="128"/>
      <c r="BQH6" s="128"/>
      <c r="BQI6" s="128"/>
      <c r="BQJ6" s="128"/>
      <c r="BQK6" s="128"/>
      <c r="BQL6" s="128"/>
      <c r="BQM6" s="129"/>
      <c r="BQN6" s="129"/>
      <c r="BQO6" s="129"/>
      <c r="BQP6" s="129"/>
      <c r="BQQ6" s="129"/>
      <c r="BQR6" s="129"/>
      <c r="BQS6" s="129"/>
      <c r="BQT6" s="129"/>
      <c r="BQU6" s="129"/>
      <c r="BQV6" s="129"/>
      <c r="BQW6" s="129"/>
      <c r="BQX6" s="129"/>
      <c r="BQY6" s="129"/>
      <c r="BQZ6" s="129"/>
      <c r="BRA6" s="129"/>
      <c r="BRB6" s="129"/>
      <c r="BRC6" s="129"/>
      <c r="BRD6" s="129"/>
      <c r="BRE6" s="129"/>
      <c r="BRF6" s="129"/>
      <c r="BRG6" s="129"/>
      <c r="BRH6" s="128"/>
      <c r="BRI6" s="128"/>
      <c r="BRJ6" s="128"/>
      <c r="BRK6" s="128"/>
      <c r="BRL6" s="128"/>
      <c r="BRM6" s="128"/>
      <c r="BRN6" s="129"/>
      <c r="BRO6" s="129"/>
      <c r="BRP6" s="129"/>
      <c r="BRQ6" s="129"/>
      <c r="BRR6" s="129"/>
      <c r="BRS6" s="129"/>
      <c r="BRT6" s="129"/>
      <c r="BRU6" s="129"/>
      <c r="BRV6" s="129"/>
      <c r="BRW6" s="129"/>
      <c r="BRX6" s="129"/>
      <c r="BRY6" s="129"/>
      <c r="BRZ6" s="129"/>
      <c r="BSA6" s="129"/>
      <c r="BSB6" s="129"/>
      <c r="BSC6" s="129"/>
      <c r="BSD6" s="129"/>
      <c r="BSE6" s="129"/>
      <c r="BSF6" s="129"/>
      <c r="BSG6" s="129"/>
      <c r="BSH6" s="129"/>
      <c r="BSI6" s="129"/>
      <c r="BSJ6" s="129"/>
      <c r="BSK6" s="129"/>
      <c r="BSL6" s="129"/>
      <c r="BSM6" s="129"/>
      <c r="BSN6" s="129"/>
      <c r="BSO6" s="129"/>
      <c r="BSP6" s="128"/>
      <c r="BSQ6" s="128"/>
      <c r="BSR6" s="128"/>
      <c r="BSS6" s="128"/>
      <c r="BST6" s="128"/>
      <c r="BSU6" s="128"/>
      <c r="BSV6" s="128"/>
      <c r="BSX6" s="128"/>
      <c r="BSY6" s="128"/>
      <c r="BSZ6" s="128"/>
      <c r="BTA6" s="128"/>
      <c r="BTB6" s="128"/>
      <c r="BTC6" s="128"/>
      <c r="BTD6" s="128"/>
      <c r="BTE6" s="128"/>
      <c r="BTF6" s="128"/>
      <c r="BTG6" s="128"/>
      <c r="BTH6" s="128"/>
      <c r="BTI6" s="128"/>
      <c r="BTJ6" s="128"/>
      <c r="BTK6" s="128"/>
      <c r="BTL6" s="128"/>
      <c r="BTM6" s="128"/>
      <c r="BTN6" s="128"/>
      <c r="BTO6" s="128"/>
      <c r="BTP6" s="128"/>
      <c r="BTQ6" s="128"/>
      <c r="BTR6" s="128"/>
      <c r="BTS6" s="128"/>
      <c r="BTT6" s="128"/>
      <c r="BTU6" s="128"/>
      <c r="BTV6" s="128"/>
      <c r="BTW6" s="128"/>
      <c r="BTX6" s="128"/>
      <c r="BTY6" s="128"/>
      <c r="BTZ6" s="128"/>
      <c r="BUA6" s="128"/>
      <c r="BUB6" s="128"/>
      <c r="BUC6" s="129"/>
      <c r="BUD6" s="129"/>
      <c r="BUE6" s="129"/>
      <c r="BUF6" s="129"/>
      <c r="BUG6" s="129"/>
      <c r="BUH6" s="129"/>
      <c r="BUI6" s="129"/>
      <c r="BUJ6" s="129"/>
      <c r="BUK6" s="129"/>
      <c r="BUL6" s="129"/>
      <c r="BUM6" s="129"/>
      <c r="BUN6" s="129"/>
      <c r="BUO6" s="129"/>
      <c r="BUP6" s="129"/>
      <c r="BUQ6" s="129"/>
      <c r="BUR6" s="129"/>
      <c r="BUS6" s="129"/>
      <c r="BUT6" s="129"/>
      <c r="BUU6" s="129"/>
      <c r="BUV6" s="129"/>
      <c r="BUW6" s="129"/>
      <c r="BUX6" s="128"/>
      <c r="BUY6" s="128"/>
      <c r="BUZ6" s="128"/>
      <c r="BVA6" s="128"/>
      <c r="BVB6" s="128"/>
      <c r="BVC6" s="128"/>
      <c r="BVD6" s="129"/>
      <c r="BVE6" s="129"/>
      <c r="BVF6" s="129"/>
      <c r="BVG6" s="129"/>
      <c r="BVH6" s="129"/>
      <c r="BVI6" s="129"/>
      <c r="BVJ6" s="129"/>
      <c r="BVK6" s="129"/>
      <c r="BVL6" s="129"/>
      <c r="BVM6" s="129"/>
      <c r="BVN6" s="129"/>
      <c r="BVO6" s="129"/>
      <c r="BVP6" s="129"/>
      <c r="BVQ6" s="129"/>
      <c r="BVR6" s="129"/>
      <c r="BVS6" s="129"/>
      <c r="BVT6" s="129"/>
      <c r="BVU6" s="129"/>
      <c r="BVV6" s="129"/>
      <c r="BVW6" s="129"/>
      <c r="BVX6" s="129"/>
      <c r="BVY6" s="129"/>
      <c r="BVZ6" s="129"/>
      <c r="BWA6" s="129"/>
      <c r="BWB6" s="129"/>
      <c r="BWC6" s="129"/>
      <c r="BWD6" s="129"/>
      <c r="BWE6" s="129"/>
      <c r="BWF6" s="128"/>
      <c r="BWG6" s="128"/>
      <c r="BWH6" s="128"/>
      <c r="BWI6" s="128"/>
      <c r="BWJ6" s="128"/>
      <c r="BWK6" s="128"/>
      <c r="BWL6" s="128"/>
      <c r="BWN6" s="128" t="s">
        <v>376</v>
      </c>
      <c r="BWO6" s="128"/>
      <c r="BWP6" s="128"/>
      <c r="BWQ6" s="128"/>
      <c r="BWR6" s="128"/>
      <c r="BWS6" s="128"/>
      <c r="BWT6" s="128"/>
      <c r="BWU6" s="128"/>
      <c r="BWV6" s="128"/>
      <c r="BWW6" s="128"/>
      <c r="BWX6" s="128"/>
      <c r="BWY6" s="128"/>
      <c r="BWZ6" s="128"/>
      <c r="BXA6" s="128"/>
      <c r="BXB6" s="128"/>
      <c r="BXC6" s="128"/>
      <c r="BXD6" s="128"/>
      <c r="BXE6" s="128"/>
      <c r="BXF6" s="128"/>
      <c r="BXG6" s="128"/>
      <c r="BXH6" s="128"/>
      <c r="BXI6" s="128"/>
      <c r="BXJ6" s="128"/>
      <c r="BXK6" s="128"/>
      <c r="BXL6" s="128"/>
      <c r="BXM6" s="128"/>
      <c r="BXN6" s="128"/>
      <c r="BXO6" s="128"/>
      <c r="BXP6" s="128"/>
      <c r="BXQ6" s="128"/>
      <c r="BXR6" s="128"/>
      <c r="BXS6" s="129"/>
      <c r="BXT6" s="129"/>
      <c r="BXU6" s="129"/>
      <c r="BXV6" s="129"/>
      <c r="BXW6" s="129"/>
      <c r="BXX6" s="129"/>
      <c r="BXY6" s="129"/>
      <c r="BXZ6" s="129"/>
      <c r="BYA6" s="129"/>
      <c r="BYB6" s="129"/>
      <c r="BYC6" s="129"/>
      <c r="BYD6" s="129"/>
      <c r="BYE6" s="129"/>
      <c r="BYF6" s="129"/>
      <c r="BYG6" s="129"/>
      <c r="BYH6" s="129"/>
      <c r="BYI6" s="129"/>
      <c r="BYJ6" s="129"/>
      <c r="BYK6" s="129"/>
      <c r="BYL6" s="129"/>
      <c r="BYM6" s="129"/>
      <c r="BYN6" s="128"/>
      <c r="BYO6" s="128"/>
      <c r="BYP6" s="128"/>
      <c r="BYQ6" s="128"/>
      <c r="BYR6" s="128"/>
      <c r="BYS6" s="128"/>
      <c r="BYT6" s="129"/>
      <c r="BYU6" s="129"/>
      <c r="BYV6" s="129"/>
      <c r="BYW6" s="129"/>
      <c r="BYX6" s="129"/>
      <c r="BYY6" s="129"/>
      <c r="BYZ6" s="129"/>
      <c r="BZA6" s="129"/>
      <c r="BZB6" s="129"/>
      <c r="BZC6" s="129"/>
      <c r="BZD6" s="129"/>
      <c r="BZE6" s="129"/>
      <c r="BZF6" s="129"/>
      <c r="BZG6" s="129"/>
      <c r="BZH6" s="129"/>
      <c r="BZI6" s="129"/>
      <c r="BZJ6" s="129"/>
      <c r="BZK6" s="129"/>
      <c r="BZL6" s="129"/>
      <c r="BZM6" s="129"/>
      <c r="BZN6" s="129"/>
      <c r="BZO6" s="129"/>
      <c r="BZP6" s="129"/>
      <c r="BZQ6" s="129"/>
      <c r="BZR6" s="129"/>
      <c r="BZS6" s="129"/>
      <c r="BZT6" s="129"/>
      <c r="BZU6" s="129"/>
      <c r="BZV6" s="128"/>
      <c r="BZW6" s="128"/>
      <c r="BZX6" s="128"/>
      <c r="BZY6" s="128"/>
      <c r="BZZ6" s="128"/>
      <c r="CAA6" s="128"/>
      <c r="CAB6" s="128"/>
      <c r="CAD6" s="128" t="s">
        <v>383</v>
      </c>
      <c r="CAE6" s="128"/>
      <c r="CAF6" s="128"/>
      <c r="CAG6" s="128"/>
      <c r="CAH6" s="128"/>
      <c r="CAI6" s="128"/>
      <c r="CAJ6" s="128"/>
      <c r="CAK6" s="128"/>
      <c r="CAL6" s="128"/>
      <c r="CAM6" s="128"/>
      <c r="CAN6" s="128"/>
      <c r="CAO6" s="128"/>
      <c r="CAP6" s="128"/>
      <c r="CAQ6" s="128"/>
      <c r="CAR6" s="128"/>
      <c r="CAS6" s="128"/>
      <c r="CAT6" s="128"/>
      <c r="CAU6" s="128"/>
      <c r="CAV6" s="128"/>
      <c r="CAW6" s="128"/>
      <c r="CAX6" s="128"/>
      <c r="CAY6" s="128"/>
      <c r="CAZ6" s="128"/>
      <c r="CBA6" s="128"/>
      <c r="CBB6" s="128"/>
      <c r="CBC6" s="128"/>
      <c r="CBD6" s="128"/>
      <c r="CBE6" s="128"/>
      <c r="CBF6" s="128"/>
      <c r="CBG6" s="128"/>
      <c r="CBH6" s="128"/>
      <c r="CBI6" s="129"/>
      <c r="CBJ6" s="129"/>
      <c r="CBK6" s="129"/>
      <c r="CBL6" s="129"/>
      <c r="CBM6" s="129"/>
      <c r="CBN6" s="129"/>
      <c r="CBO6" s="129"/>
      <c r="CBP6" s="129"/>
      <c r="CBQ6" s="129"/>
      <c r="CBR6" s="129"/>
      <c r="CBS6" s="129"/>
      <c r="CBT6" s="129"/>
      <c r="CBU6" s="129"/>
      <c r="CBV6" s="129"/>
      <c r="CBW6" s="129"/>
      <c r="CBX6" s="129"/>
      <c r="CBY6" s="129"/>
      <c r="CBZ6" s="129"/>
      <c r="CCA6" s="129"/>
      <c r="CCB6" s="129"/>
      <c r="CCC6" s="129"/>
      <c r="CCD6" s="128"/>
      <c r="CCE6" s="128"/>
      <c r="CCF6" s="128"/>
      <c r="CCG6" s="128"/>
      <c r="CCH6" s="128"/>
      <c r="CCI6" s="128"/>
      <c r="CCJ6" s="129"/>
      <c r="CCK6" s="129"/>
      <c r="CCL6" s="129"/>
      <c r="CCM6" s="129"/>
      <c r="CCN6" s="129"/>
      <c r="CCO6" s="129"/>
      <c r="CCP6" s="129"/>
      <c r="CCQ6" s="129"/>
      <c r="CCR6" s="129"/>
      <c r="CCS6" s="129"/>
      <c r="CCT6" s="129"/>
      <c r="CCU6" s="129"/>
      <c r="CCV6" s="129"/>
      <c r="CCW6" s="129"/>
      <c r="CCX6" s="129"/>
      <c r="CCY6" s="129"/>
      <c r="CCZ6" s="129"/>
      <c r="CDA6" s="129"/>
      <c r="CDB6" s="129"/>
      <c r="CDC6" s="129"/>
      <c r="CDD6" s="129"/>
      <c r="CDE6" s="129"/>
      <c r="CDF6" s="129"/>
      <c r="CDG6" s="129"/>
      <c r="CDH6" s="129"/>
      <c r="CDI6" s="129"/>
      <c r="CDJ6" s="129"/>
      <c r="CDK6" s="129"/>
      <c r="CDL6" s="128"/>
      <c r="CDM6" s="128"/>
      <c r="CDN6" s="128"/>
      <c r="CDO6" s="128"/>
      <c r="CDP6" s="128"/>
      <c r="CDQ6" s="128"/>
      <c r="CDR6" s="128"/>
      <c r="CDT6" s="128" t="s">
        <v>389</v>
      </c>
      <c r="CDU6" s="128"/>
      <c r="CDV6" s="128"/>
      <c r="CDW6" s="128"/>
      <c r="CDX6" s="128"/>
      <c r="CDY6" s="128"/>
      <c r="CDZ6" s="128"/>
      <c r="CEA6" s="128"/>
      <c r="CEB6" s="128"/>
      <c r="CEC6" s="128"/>
      <c r="CED6" s="128"/>
      <c r="CEE6" s="128"/>
      <c r="CEF6" s="128"/>
      <c r="CEG6" s="128"/>
      <c r="CEH6" s="128"/>
      <c r="CEI6" s="128"/>
      <c r="CEJ6" s="128"/>
      <c r="CEK6" s="128"/>
      <c r="CEL6" s="128"/>
      <c r="CEM6" s="128"/>
      <c r="CEN6" s="128"/>
      <c r="CEO6" s="128"/>
      <c r="CEP6" s="128"/>
      <c r="CEQ6" s="128"/>
      <c r="CER6" s="128"/>
      <c r="CES6" s="128"/>
      <c r="CET6" s="128"/>
      <c r="CEU6" s="128"/>
      <c r="CEV6" s="128"/>
      <c r="CEW6" s="128"/>
      <c r="CEX6" s="128"/>
      <c r="CEY6" s="129"/>
      <c r="CEZ6" s="129"/>
      <c r="CFA6" s="129"/>
      <c r="CFB6" s="129"/>
      <c r="CFC6" s="129"/>
      <c r="CFD6" s="129"/>
      <c r="CFE6" s="129"/>
      <c r="CFF6" s="129"/>
      <c r="CFG6" s="129"/>
      <c r="CFH6" s="129"/>
      <c r="CFI6" s="129"/>
      <c r="CFJ6" s="129"/>
      <c r="CFK6" s="129"/>
      <c r="CFL6" s="129"/>
      <c r="CFM6" s="129"/>
      <c r="CFN6" s="129"/>
      <c r="CFO6" s="129"/>
      <c r="CFP6" s="129"/>
      <c r="CFQ6" s="129"/>
      <c r="CFR6" s="129"/>
      <c r="CFS6" s="129"/>
      <c r="CFT6" s="128"/>
      <c r="CFU6" s="128"/>
      <c r="CFV6" s="128"/>
      <c r="CFW6" s="128"/>
      <c r="CFX6" s="128"/>
      <c r="CFY6" s="128"/>
      <c r="CFZ6" s="129"/>
      <c r="CGA6" s="129"/>
      <c r="CGB6" s="129"/>
      <c r="CGC6" s="129"/>
      <c r="CGD6" s="129"/>
      <c r="CGE6" s="129"/>
      <c r="CGF6" s="129"/>
      <c r="CGG6" s="129"/>
      <c r="CGH6" s="129"/>
      <c r="CGI6" s="129"/>
      <c r="CGJ6" s="129"/>
      <c r="CGK6" s="129"/>
      <c r="CGL6" s="129"/>
      <c r="CGM6" s="129"/>
      <c r="CGN6" s="129"/>
      <c r="CGO6" s="129"/>
      <c r="CGP6" s="129"/>
      <c r="CGQ6" s="129"/>
      <c r="CGR6" s="129"/>
      <c r="CGS6" s="129"/>
      <c r="CGT6" s="129"/>
      <c r="CGU6" s="129"/>
      <c r="CGV6" s="129"/>
      <c r="CGW6" s="129"/>
      <c r="CGX6" s="129"/>
      <c r="CGY6" s="129"/>
      <c r="CGZ6" s="129"/>
      <c r="CHA6" s="129"/>
      <c r="CHB6" s="128"/>
      <c r="CHC6" s="128"/>
      <c r="CHD6" s="128"/>
      <c r="CHE6" s="128"/>
      <c r="CHF6" s="128"/>
      <c r="CHG6" s="128"/>
      <c r="CHH6" s="128"/>
      <c r="CHJ6" s="13"/>
      <c r="CHK6" s="13"/>
      <c r="CHL6" s="13"/>
      <c r="CHM6" s="13"/>
      <c r="CHN6" s="13"/>
      <c r="CHO6" s="13"/>
      <c r="CHP6" s="13"/>
      <c r="CHQ6" s="13"/>
      <c r="CHR6" s="13"/>
      <c r="CHS6" s="13"/>
      <c r="CHT6" s="13"/>
      <c r="CHU6" s="13"/>
      <c r="CHV6" s="13"/>
      <c r="CHW6" s="13"/>
      <c r="CHX6" s="13"/>
      <c r="CHY6" s="13"/>
      <c r="CHZ6" s="13"/>
      <c r="CIA6" s="13"/>
      <c r="CIB6" s="13"/>
      <c r="CIC6" s="13"/>
      <c r="CID6" s="13"/>
      <c r="CIE6" s="13"/>
      <c r="CIF6" s="13"/>
      <c r="CIG6" s="13"/>
      <c r="CIH6" s="13"/>
      <c r="CII6" s="13"/>
      <c r="CIJ6" s="13"/>
      <c r="CIK6" s="13"/>
      <c r="CIL6" s="13"/>
      <c r="CIM6" s="13"/>
      <c r="CIN6" s="13"/>
      <c r="CIO6" s="13"/>
      <c r="CIP6" s="13"/>
      <c r="CIQ6" s="13"/>
      <c r="CIR6" s="13"/>
      <c r="CIS6" s="13"/>
      <c r="CIT6" s="13"/>
      <c r="CIU6" s="13"/>
      <c r="CIV6" s="13"/>
      <c r="CIW6" s="13"/>
      <c r="CIX6" s="13"/>
      <c r="CIY6" s="13"/>
      <c r="CIZ6" s="13"/>
      <c r="CJA6" s="13"/>
      <c r="CJB6" s="13"/>
      <c r="CJC6" s="13"/>
      <c r="CJD6" s="13"/>
      <c r="CJE6" s="13"/>
      <c r="CJF6" s="13"/>
      <c r="CJG6" s="13"/>
      <c r="CJH6" s="13"/>
      <c r="CJI6" s="13"/>
      <c r="CJJ6" s="13"/>
      <c r="CJK6" s="13"/>
      <c r="CJL6" s="13"/>
      <c r="CJM6" s="13"/>
      <c r="CJN6" s="13"/>
      <c r="CJO6" s="13"/>
      <c r="CJP6" s="13"/>
      <c r="CJQ6" s="13"/>
      <c r="CJR6" s="13"/>
      <c r="CJS6" s="13"/>
      <c r="CJT6" s="13"/>
      <c r="CJU6" s="13"/>
      <c r="CJV6" s="13"/>
      <c r="CJW6" s="13"/>
      <c r="CJX6" s="13"/>
      <c r="CJY6" s="13"/>
      <c r="CJZ6" s="13"/>
      <c r="CKA6" s="13"/>
      <c r="CKB6" s="13"/>
      <c r="CKC6" s="13"/>
      <c r="CKD6" s="13"/>
      <c r="CKE6" s="13"/>
      <c r="CKF6" s="13"/>
      <c r="CKG6" s="13"/>
      <c r="CKH6" s="13"/>
      <c r="CKI6" s="13"/>
      <c r="CKJ6" s="13"/>
      <c r="CKK6" s="13"/>
      <c r="CKL6" s="13"/>
      <c r="CKM6" s="13"/>
      <c r="CKN6" s="13"/>
      <c r="CKO6" s="13"/>
      <c r="CKP6" s="13"/>
      <c r="CKQ6" s="13"/>
      <c r="CKR6" s="13"/>
      <c r="CKS6" s="13"/>
      <c r="CKT6" s="13"/>
      <c r="CKU6" s="13"/>
      <c r="CKV6" s="13"/>
      <c r="CKW6" s="13"/>
      <c r="CKX6" s="13"/>
      <c r="CKZ6" s="128" t="s">
        <v>408</v>
      </c>
      <c r="CLA6" s="128"/>
      <c r="CLB6" s="128"/>
      <c r="CLC6" s="128"/>
      <c r="CLD6" s="128"/>
      <c r="CLE6" s="128"/>
      <c r="CLF6" s="128"/>
      <c r="CLG6" s="128"/>
      <c r="CLH6" s="128"/>
      <c r="CLI6" s="128"/>
      <c r="CLJ6" s="128"/>
      <c r="CLK6" s="128"/>
      <c r="CLL6" s="128"/>
      <c r="CLM6" s="128"/>
      <c r="CLN6" s="128"/>
      <c r="CLO6" s="128"/>
      <c r="CLP6" s="128"/>
      <c r="CLQ6" s="128"/>
      <c r="CLR6" s="128"/>
      <c r="CLS6" s="128"/>
      <c r="CLT6" s="128"/>
      <c r="CLU6" s="128"/>
      <c r="CLV6" s="128"/>
      <c r="CLW6" s="128"/>
      <c r="CLX6" s="128"/>
      <c r="CLY6" s="128"/>
      <c r="CLZ6" s="128"/>
      <c r="CMA6" s="128"/>
      <c r="CMB6" s="128"/>
      <c r="CMC6" s="128"/>
      <c r="CMD6" s="128"/>
      <c r="CME6" s="129"/>
      <c r="CMF6" s="129"/>
      <c r="CMG6" s="129"/>
      <c r="CMH6" s="129"/>
      <c r="CMI6" s="129"/>
      <c r="CMJ6" s="129"/>
      <c r="CMK6" s="129"/>
      <c r="CML6" s="129"/>
      <c r="CMM6" s="129"/>
      <c r="CMN6" s="129"/>
      <c r="CMO6" s="129"/>
      <c r="CMP6" s="129"/>
      <c r="CMQ6" s="129"/>
      <c r="CMR6" s="129"/>
      <c r="CMS6" s="129"/>
      <c r="CMT6" s="129"/>
      <c r="CMU6" s="129"/>
      <c r="CMV6" s="129"/>
      <c r="CMW6" s="129"/>
      <c r="CMX6" s="129"/>
      <c r="CMY6" s="129"/>
      <c r="CMZ6" s="128"/>
      <c r="CNA6" s="128"/>
      <c r="CNB6" s="128"/>
      <c r="CNC6" s="128"/>
      <c r="CND6" s="128"/>
      <c r="CNE6" s="128"/>
      <c r="CNF6" s="129"/>
      <c r="CNG6" s="129"/>
      <c r="CNH6" s="129"/>
      <c r="CNI6" s="129"/>
      <c r="CNJ6" s="129"/>
      <c r="CNK6" s="129"/>
      <c r="CNL6" s="129"/>
      <c r="CNM6" s="129"/>
      <c r="CNN6" s="129"/>
      <c r="CNO6" s="129"/>
      <c r="CNP6" s="129"/>
      <c r="CNQ6" s="129"/>
      <c r="CNR6" s="129"/>
      <c r="CNS6" s="129"/>
      <c r="CNT6" s="129"/>
      <c r="CNU6" s="129"/>
      <c r="CNV6" s="129"/>
      <c r="CNW6" s="129"/>
      <c r="CNX6" s="129"/>
      <c r="CNY6" s="129"/>
      <c r="CNZ6" s="129"/>
      <c r="COA6" s="129"/>
      <c r="COB6" s="129"/>
      <c r="COC6" s="129"/>
      <c r="COD6" s="129"/>
      <c r="COE6" s="129"/>
      <c r="COF6" s="129"/>
      <c r="COG6" s="129"/>
      <c r="COH6" s="128"/>
      <c r="COI6" s="128"/>
      <c r="COJ6" s="128"/>
      <c r="COK6" s="128"/>
      <c r="COL6" s="128"/>
      <c r="COM6" s="128"/>
      <c r="CON6" s="128"/>
      <c r="COP6" s="128" t="str">
        <f ca="1">VLOOKUP(2,INDIRECT("Base"&amp;$BJ$3),2,FALSE)</f>
        <v>Houri's Kisses</v>
      </c>
      <c r="COQ6" s="128"/>
      <c r="COR6" s="128"/>
      <c r="COS6" s="128"/>
      <c r="COT6" s="128"/>
      <c r="COU6" s="128"/>
      <c r="COV6" s="128"/>
      <c r="COW6" s="128"/>
      <c r="COX6" s="128"/>
      <c r="COY6" s="128"/>
      <c r="COZ6" s="128"/>
      <c r="CPA6" s="128"/>
      <c r="CPB6" s="128"/>
      <c r="CPC6" s="128"/>
      <c r="CPD6" s="128"/>
      <c r="CPE6" s="128"/>
      <c r="CPF6" s="128"/>
      <c r="CPG6" s="128"/>
      <c r="CPH6" s="128"/>
      <c r="CPI6" s="128"/>
      <c r="CPJ6" s="128"/>
      <c r="CPK6" s="128"/>
      <c r="CPL6" s="128"/>
      <c r="CPM6" s="128"/>
      <c r="CPN6" s="128"/>
      <c r="CPO6" s="128"/>
      <c r="CPP6" s="128"/>
      <c r="CPQ6" s="128"/>
      <c r="CPR6" s="128"/>
      <c r="CPS6" s="128"/>
      <c r="CPT6" s="128"/>
      <c r="CPU6" s="129"/>
      <c r="CPV6" s="129"/>
      <c r="CPW6" s="129"/>
      <c r="CPX6" s="129"/>
      <c r="CPY6" s="129"/>
      <c r="CPZ6" s="129"/>
      <c r="CQA6" s="129"/>
      <c r="CQB6" s="129"/>
      <c r="CQC6" s="129"/>
      <c r="CQD6" s="129"/>
      <c r="CQE6" s="129"/>
      <c r="CQF6" s="129"/>
      <c r="CQG6" s="129"/>
      <c r="CQH6" s="129"/>
      <c r="CQI6" s="129"/>
      <c r="CQJ6" s="129"/>
      <c r="CQK6" s="129"/>
      <c r="CQL6" s="129"/>
      <c r="CQM6" s="129"/>
      <c r="CQN6" s="129"/>
      <c r="CQO6" s="129"/>
      <c r="CQP6" s="128"/>
      <c r="CQQ6" s="128"/>
      <c r="CQR6" s="128"/>
      <c r="CQS6" s="128"/>
      <c r="CQT6" s="128"/>
      <c r="CQU6" s="128"/>
      <c r="CQV6" s="129"/>
      <c r="CQW6" s="129"/>
      <c r="CQX6" s="129"/>
      <c r="CQY6" s="129"/>
      <c r="CQZ6" s="129"/>
      <c r="CRA6" s="129"/>
      <c r="CRB6" s="129"/>
      <c r="CRC6" s="129"/>
      <c r="CRD6" s="129"/>
      <c r="CRE6" s="129"/>
      <c r="CRF6" s="129"/>
      <c r="CRG6" s="129"/>
      <c r="CRH6" s="129"/>
      <c r="CRI6" s="129"/>
      <c r="CRJ6" s="129"/>
      <c r="CRK6" s="129"/>
      <c r="CRL6" s="129"/>
      <c r="CRM6" s="129"/>
      <c r="CRN6" s="129"/>
      <c r="CRO6" s="129"/>
      <c r="CRP6" s="129"/>
      <c r="CRQ6" s="129"/>
      <c r="CRR6" s="129"/>
      <c r="CRS6" s="129"/>
      <c r="CRT6" s="129"/>
      <c r="CRU6" s="129"/>
      <c r="CRV6" s="129"/>
      <c r="CRW6" s="129"/>
      <c r="CRX6" s="128"/>
      <c r="CRY6" s="128"/>
      <c r="CRZ6" s="128"/>
      <c r="CSA6" s="128"/>
      <c r="CSB6" s="128"/>
      <c r="CSC6" s="128"/>
      <c r="CSD6" s="128"/>
      <c r="CSF6" s="128" t="s">
        <v>431</v>
      </c>
      <c r="CSG6" s="128"/>
      <c r="CSH6" s="128"/>
      <c r="CSI6" s="128"/>
      <c r="CSJ6" s="128"/>
      <c r="CSK6" s="128"/>
      <c r="CSL6" s="128"/>
      <c r="CSM6" s="128"/>
      <c r="CSN6" s="128"/>
      <c r="CSO6" s="128"/>
      <c r="CSP6" s="128"/>
      <c r="CSQ6" s="128"/>
      <c r="CSR6" s="128"/>
      <c r="CSS6" s="128"/>
      <c r="CST6" s="128"/>
      <c r="CSU6" s="128"/>
      <c r="CSV6" s="128"/>
      <c r="CSW6" s="128"/>
      <c r="CSX6" s="128"/>
      <c r="CSY6" s="128"/>
      <c r="CSZ6" s="128"/>
      <c r="CTA6" s="128"/>
      <c r="CTB6" s="128"/>
      <c r="CTC6" s="128"/>
      <c r="CTD6" s="128"/>
      <c r="CTE6" s="128"/>
      <c r="CTF6" s="128"/>
      <c r="CTG6" s="128"/>
      <c r="CTH6" s="128"/>
      <c r="CTI6" s="128"/>
      <c r="CTJ6" s="128"/>
      <c r="CTK6" s="129"/>
      <c r="CTL6" s="129"/>
      <c r="CTM6" s="129"/>
      <c r="CTN6" s="129"/>
      <c r="CTO6" s="129"/>
      <c r="CTP6" s="129"/>
      <c r="CTQ6" s="129"/>
      <c r="CTR6" s="129"/>
      <c r="CTS6" s="129"/>
      <c r="CTT6" s="129"/>
      <c r="CTU6" s="129"/>
      <c r="CTV6" s="129"/>
      <c r="CTW6" s="129"/>
      <c r="CTX6" s="129"/>
      <c r="CTY6" s="129"/>
      <c r="CTZ6" s="129"/>
      <c r="CUA6" s="129"/>
      <c r="CUB6" s="129"/>
      <c r="CUC6" s="129"/>
      <c r="CUD6" s="129"/>
      <c r="CUE6" s="129"/>
      <c r="CUF6" s="128"/>
      <c r="CUG6" s="128"/>
      <c r="CUH6" s="128"/>
      <c r="CUI6" s="128"/>
      <c r="CUJ6" s="128"/>
      <c r="CUK6" s="128"/>
      <c r="CUL6" s="129"/>
      <c r="CUM6" s="129"/>
      <c r="CUN6" s="129"/>
      <c r="CUO6" s="129"/>
      <c r="CUP6" s="129"/>
      <c r="CUQ6" s="129"/>
      <c r="CUR6" s="129"/>
      <c r="CUS6" s="129"/>
      <c r="CUT6" s="129"/>
      <c r="CUU6" s="129"/>
      <c r="CUV6" s="129"/>
      <c r="CUW6" s="129"/>
      <c r="CUX6" s="129"/>
      <c r="CUY6" s="129"/>
      <c r="CUZ6" s="129"/>
      <c r="CVA6" s="129"/>
      <c r="CVB6" s="129"/>
      <c r="CVC6" s="129"/>
      <c r="CVD6" s="129"/>
      <c r="CVE6" s="129"/>
      <c r="CVF6" s="129"/>
      <c r="CVG6" s="129"/>
      <c r="CVH6" s="129"/>
      <c r="CVI6" s="129"/>
      <c r="CVJ6" s="129"/>
      <c r="CVK6" s="129"/>
      <c r="CVL6" s="129"/>
      <c r="CVM6" s="129"/>
      <c r="CVN6" s="128"/>
      <c r="CVO6" s="128"/>
      <c r="CVP6" s="128"/>
      <c r="CVQ6" s="128"/>
      <c r="CVR6" s="128"/>
      <c r="CVS6" s="128"/>
      <c r="CVT6" s="128"/>
      <c r="CVV6" s="128" t="s">
        <v>485</v>
      </c>
      <c r="CVW6" s="128"/>
      <c r="CVX6" s="128"/>
      <c r="CVY6" s="128"/>
      <c r="CVZ6" s="128"/>
      <c r="CWA6" s="128"/>
      <c r="CWB6" s="128"/>
      <c r="CWC6" s="128"/>
      <c r="CWD6" s="128"/>
      <c r="CWE6" s="128"/>
      <c r="CWF6" s="128"/>
      <c r="CWG6" s="128"/>
      <c r="CWH6" s="128"/>
      <c r="CWI6" s="128"/>
      <c r="CWJ6" s="128"/>
      <c r="CWK6" s="128"/>
      <c r="CWL6" s="128"/>
      <c r="CWM6" s="128"/>
      <c r="CWN6" s="128"/>
      <c r="CWO6" s="128"/>
      <c r="CWP6" s="128"/>
      <c r="CWQ6" s="128"/>
      <c r="CWR6" s="128"/>
      <c r="CWS6" s="128"/>
      <c r="CWT6" s="128"/>
      <c r="CWU6" s="128"/>
      <c r="CWV6" s="128"/>
      <c r="CWW6" s="128"/>
      <c r="CWX6" s="128"/>
      <c r="CWY6" s="128"/>
      <c r="CWZ6" s="128"/>
      <c r="CXA6" s="129"/>
      <c r="CXB6" s="129"/>
      <c r="CXC6" s="129"/>
      <c r="CXD6" s="129"/>
      <c r="CXE6" s="129"/>
      <c r="CXF6" s="129"/>
      <c r="CXG6" s="129"/>
      <c r="CXH6" s="129"/>
      <c r="CXI6" s="129"/>
      <c r="CXJ6" s="129"/>
      <c r="CXK6" s="129"/>
      <c r="CXL6" s="129"/>
      <c r="CXM6" s="129"/>
      <c r="CXN6" s="129"/>
      <c r="CXO6" s="129"/>
      <c r="CXP6" s="129"/>
      <c r="CXQ6" s="129"/>
      <c r="CXR6" s="129"/>
      <c r="CXS6" s="129"/>
      <c r="CXT6" s="129"/>
      <c r="CXU6" s="129"/>
      <c r="CXV6" s="128"/>
      <c r="CXW6" s="128"/>
      <c r="CXX6" s="128"/>
      <c r="CXY6" s="128"/>
      <c r="CXZ6" s="128"/>
      <c r="CYA6" s="128"/>
      <c r="CYB6" s="129"/>
      <c r="CYC6" s="129"/>
      <c r="CYD6" s="129"/>
      <c r="CYE6" s="129"/>
      <c r="CYF6" s="129"/>
      <c r="CYG6" s="129"/>
      <c r="CYH6" s="129"/>
      <c r="CYI6" s="129"/>
      <c r="CYJ6" s="129"/>
      <c r="CYK6" s="129"/>
      <c r="CYL6" s="129"/>
      <c r="CYM6" s="129"/>
      <c r="CYN6" s="129"/>
      <c r="CYO6" s="129"/>
      <c r="CYP6" s="129"/>
      <c r="CYQ6" s="129"/>
      <c r="CYR6" s="129"/>
      <c r="CYS6" s="129"/>
      <c r="CYT6" s="129"/>
      <c r="CYU6" s="129"/>
      <c r="CYV6" s="129"/>
      <c r="CYW6" s="129"/>
      <c r="CYX6" s="129"/>
      <c r="CYY6" s="129"/>
      <c r="CYZ6" s="129"/>
      <c r="CZA6" s="129"/>
      <c r="CZB6" s="129"/>
      <c r="CZC6" s="129"/>
      <c r="CZD6" s="128"/>
      <c r="CZE6" s="128"/>
      <c r="CZF6" s="128"/>
      <c r="CZG6" s="128"/>
      <c r="CZH6" s="128"/>
      <c r="CZI6" s="128"/>
      <c r="CZJ6" s="128"/>
      <c r="CZL6" s="128" t="s">
        <v>503</v>
      </c>
      <c r="CZM6" s="128"/>
      <c r="CZN6" s="128"/>
      <c r="CZO6" s="128"/>
      <c r="CZP6" s="128"/>
      <c r="CZQ6" s="128"/>
      <c r="CZR6" s="128"/>
      <c r="CZS6" s="128"/>
      <c r="CZT6" s="128"/>
      <c r="CZU6" s="128"/>
      <c r="CZV6" s="128"/>
      <c r="CZW6" s="128"/>
      <c r="CZX6" s="128"/>
      <c r="CZY6" s="128"/>
      <c r="CZZ6" s="128"/>
      <c r="DAA6" s="128"/>
      <c r="DAB6" s="128"/>
      <c r="DAC6" s="128"/>
      <c r="DAD6" s="128"/>
      <c r="DAE6" s="128"/>
      <c r="DAF6" s="128"/>
      <c r="DAG6" s="128"/>
      <c r="DAH6" s="128"/>
      <c r="DAI6" s="128"/>
      <c r="DAJ6" s="128"/>
      <c r="DAK6" s="128"/>
      <c r="DAL6" s="128"/>
      <c r="DAM6" s="128"/>
      <c r="DAN6" s="128"/>
      <c r="DAO6" s="128"/>
      <c r="DAP6" s="128"/>
      <c r="DAQ6" s="129"/>
      <c r="DAR6" s="129"/>
      <c r="DAS6" s="129"/>
      <c r="DAT6" s="129"/>
      <c r="DAU6" s="129"/>
      <c r="DAV6" s="129"/>
      <c r="DAW6" s="129"/>
      <c r="DAX6" s="129"/>
      <c r="DAY6" s="129"/>
      <c r="DAZ6" s="129"/>
      <c r="DBA6" s="129"/>
      <c r="DBB6" s="129"/>
      <c r="DBC6" s="129"/>
      <c r="DBD6" s="129"/>
      <c r="DBE6" s="129"/>
      <c r="DBF6" s="129"/>
      <c r="DBG6" s="129"/>
      <c r="DBH6" s="129"/>
      <c r="DBI6" s="129"/>
      <c r="DBJ6" s="129"/>
      <c r="DBK6" s="129"/>
      <c r="DBL6" s="128"/>
      <c r="DBM6" s="128"/>
      <c r="DBN6" s="128"/>
      <c r="DBO6" s="128"/>
      <c r="DBP6" s="128"/>
      <c r="DBQ6" s="128"/>
      <c r="DBR6" s="129"/>
      <c r="DBS6" s="129"/>
      <c r="DBT6" s="129"/>
      <c r="DBU6" s="129"/>
      <c r="DBV6" s="129"/>
      <c r="DBW6" s="129"/>
      <c r="DBX6" s="129"/>
      <c r="DBY6" s="129"/>
      <c r="DBZ6" s="129"/>
      <c r="DCA6" s="129"/>
      <c r="DCB6" s="129"/>
      <c r="DCC6" s="129"/>
      <c r="DCD6" s="129"/>
      <c r="DCE6" s="129"/>
      <c r="DCF6" s="129"/>
      <c r="DCG6" s="129"/>
      <c r="DCH6" s="129"/>
      <c r="DCI6" s="129"/>
      <c r="DCJ6" s="129"/>
      <c r="DCK6" s="129"/>
      <c r="DCL6" s="129"/>
      <c r="DCM6" s="129"/>
      <c r="DCN6" s="129"/>
      <c r="DCO6" s="129"/>
      <c r="DCP6" s="129"/>
      <c r="DCQ6" s="129"/>
      <c r="DCR6" s="129"/>
      <c r="DCS6" s="129"/>
      <c r="DCT6" s="128"/>
      <c r="DCU6" s="128"/>
      <c r="DCV6" s="128"/>
      <c r="DCW6" s="128"/>
      <c r="DCX6" s="128"/>
      <c r="DCY6" s="128"/>
      <c r="DCZ6" s="128"/>
      <c r="DDB6" s="128" t="s">
        <v>516</v>
      </c>
      <c r="DDC6" s="128"/>
      <c r="DDD6" s="128"/>
      <c r="DDE6" s="128"/>
      <c r="DDF6" s="128"/>
      <c r="DDG6" s="128"/>
      <c r="DDH6" s="128"/>
      <c r="DDI6" s="128"/>
      <c r="DDJ6" s="128"/>
      <c r="DDK6" s="128"/>
      <c r="DDL6" s="128"/>
      <c r="DDM6" s="128"/>
      <c r="DDN6" s="128"/>
      <c r="DDO6" s="128"/>
      <c r="DDP6" s="128"/>
      <c r="DDQ6" s="128"/>
      <c r="DDR6" s="128"/>
      <c r="DDS6" s="128"/>
      <c r="DDT6" s="128"/>
      <c r="DDU6" s="128"/>
      <c r="DDV6" s="128"/>
      <c r="DDW6" s="128"/>
      <c r="DDX6" s="128"/>
      <c r="DDY6" s="128"/>
      <c r="DDZ6" s="128"/>
      <c r="DEA6" s="128"/>
      <c r="DEB6" s="128"/>
      <c r="DEC6" s="128"/>
      <c r="DED6" s="128"/>
      <c r="DEE6" s="128"/>
      <c r="DEF6" s="128"/>
      <c r="DEG6" s="129"/>
      <c r="DEH6" s="129"/>
      <c r="DEI6" s="129"/>
      <c r="DEJ6" s="129"/>
      <c r="DEK6" s="129"/>
      <c r="DEL6" s="129"/>
      <c r="DEM6" s="129"/>
      <c r="DEN6" s="129"/>
      <c r="DEO6" s="129"/>
      <c r="DEP6" s="129"/>
      <c r="DEQ6" s="129"/>
      <c r="DER6" s="129"/>
      <c r="DES6" s="129"/>
      <c r="DET6" s="129"/>
      <c r="DEU6" s="129"/>
      <c r="DEV6" s="129"/>
      <c r="DEW6" s="129"/>
      <c r="DEX6" s="129"/>
      <c r="DEY6" s="129"/>
      <c r="DEZ6" s="129"/>
      <c r="DFA6" s="129"/>
      <c r="DFB6" s="128"/>
      <c r="DFC6" s="128"/>
      <c r="DFD6" s="128"/>
      <c r="DFE6" s="128"/>
      <c r="DFF6" s="128"/>
      <c r="DFG6" s="128"/>
      <c r="DFH6" s="129"/>
      <c r="DFI6" s="129"/>
      <c r="DFJ6" s="129"/>
      <c r="DFK6" s="129"/>
      <c r="DFL6" s="129"/>
      <c r="DFM6" s="129"/>
      <c r="DFN6" s="129"/>
      <c r="DFO6" s="129"/>
      <c r="DFP6" s="129"/>
      <c r="DFQ6" s="129"/>
      <c r="DFR6" s="129"/>
      <c r="DFS6" s="129"/>
      <c r="DFT6" s="129"/>
      <c r="DFU6" s="129"/>
      <c r="DFV6" s="129"/>
      <c r="DFW6" s="129"/>
      <c r="DFX6" s="129"/>
      <c r="DFY6" s="129"/>
      <c r="DFZ6" s="129"/>
      <c r="DGA6" s="129"/>
      <c r="DGB6" s="129"/>
      <c r="DGC6" s="129"/>
      <c r="DGD6" s="129"/>
      <c r="DGE6" s="129"/>
      <c r="DGF6" s="129"/>
      <c r="DGG6" s="129"/>
      <c r="DGH6" s="129"/>
      <c r="DGI6" s="129"/>
      <c r="DGJ6" s="128"/>
      <c r="DGK6" s="128"/>
      <c r="DGL6" s="128"/>
      <c r="DGM6" s="128"/>
      <c r="DGN6" s="128"/>
      <c r="DGO6" s="128"/>
      <c r="DGP6" s="128"/>
      <c r="DGR6" s="128" t="s">
        <v>557</v>
      </c>
      <c r="DGS6" s="128"/>
      <c r="DGT6" s="128"/>
      <c r="DGU6" s="128"/>
      <c r="DGV6" s="128"/>
      <c r="DGW6" s="128"/>
      <c r="DGX6" s="128"/>
      <c r="DGY6" s="128"/>
      <c r="DGZ6" s="128"/>
      <c r="DHA6" s="128"/>
      <c r="DHB6" s="128"/>
      <c r="DHC6" s="128"/>
      <c r="DHD6" s="128"/>
      <c r="DHE6" s="128"/>
      <c r="DHF6" s="128"/>
      <c r="DHG6" s="128"/>
      <c r="DHH6" s="128"/>
      <c r="DHI6" s="128"/>
      <c r="DHJ6" s="128"/>
      <c r="DHK6" s="128"/>
      <c r="DHL6" s="128"/>
      <c r="DHM6" s="128"/>
      <c r="DHN6" s="128"/>
      <c r="DHO6" s="128"/>
      <c r="DHP6" s="128"/>
      <c r="DHQ6" s="128"/>
      <c r="DHR6" s="128"/>
      <c r="DHS6" s="128"/>
      <c r="DHT6" s="128"/>
      <c r="DHU6" s="128"/>
      <c r="DHV6" s="128"/>
      <c r="DHW6" s="129"/>
      <c r="DHX6" s="129"/>
      <c r="DHY6" s="129"/>
      <c r="DHZ6" s="129"/>
      <c r="DIA6" s="129"/>
      <c r="DIB6" s="129"/>
      <c r="DIC6" s="129"/>
      <c r="DID6" s="129"/>
      <c r="DIE6" s="129"/>
      <c r="DIF6" s="129"/>
      <c r="DIG6" s="129"/>
      <c r="DIH6" s="129"/>
      <c r="DII6" s="129"/>
      <c r="DIJ6" s="129"/>
      <c r="DIK6" s="129"/>
      <c r="DIL6" s="129"/>
      <c r="DIM6" s="129"/>
      <c r="DIN6" s="129"/>
      <c r="DIO6" s="129"/>
      <c r="DIP6" s="129"/>
      <c r="DIQ6" s="129"/>
      <c r="DIR6" s="128"/>
      <c r="DIS6" s="128"/>
      <c r="DIT6" s="128"/>
      <c r="DIU6" s="128"/>
      <c r="DIV6" s="128"/>
      <c r="DIW6" s="128"/>
      <c r="DIX6" s="129"/>
      <c r="DIY6" s="129"/>
      <c r="DIZ6" s="129"/>
      <c r="DJA6" s="129"/>
      <c r="DJB6" s="129"/>
      <c r="DJC6" s="129"/>
      <c r="DJD6" s="129"/>
      <c r="DJE6" s="129"/>
      <c r="DJF6" s="129"/>
      <c r="DJG6" s="129"/>
      <c r="DJH6" s="129"/>
      <c r="DJI6" s="129"/>
      <c r="DJJ6" s="129"/>
      <c r="DJK6" s="129"/>
      <c r="DJL6" s="129"/>
      <c r="DJM6" s="129"/>
      <c r="DJN6" s="129"/>
      <c r="DJO6" s="129"/>
      <c r="DJP6" s="129"/>
      <c r="DJQ6" s="129"/>
      <c r="DJR6" s="129"/>
      <c r="DJS6" s="129"/>
      <c r="DJT6" s="129"/>
      <c r="DJU6" s="129"/>
      <c r="DJV6" s="129"/>
      <c r="DJW6" s="129"/>
      <c r="DJX6" s="129"/>
      <c r="DJY6" s="129"/>
      <c r="DJZ6" s="128"/>
      <c r="DKA6" s="128"/>
      <c r="DKB6" s="128"/>
      <c r="DKC6" s="128"/>
      <c r="DKD6" s="128"/>
      <c r="DKE6" s="128"/>
      <c r="DKF6" s="128"/>
    </row>
    <row r="7" spans="2:2996" ht="15" customHeight="1" x14ac:dyDescent="0.25">
      <c r="B7" s="188" t="s">
        <v>5</v>
      </c>
      <c r="C7" s="189"/>
      <c r="D7" s="189"/>
      <c r="E7" s="189"/>
      <c r="F7" s="189"/>
      <c r="G7" s="189"/>
      <c r="H7" s="189"/>
      <c r="I7" s="189"/>
      <c r="J7" s="130" t="str">
        <f>'Character Creation'!Z17</f>
        <v>5' 08"</v>
      </c>
      <c r="K7" s="130"/>
      <c r="L7" s="130"/>
      <c r="M7" s="130"/>
      <c r="N7" s="130"/>
      <c r="O7" s="130"/>
      <c r="P7" s="130"/>
      <c r="Q7" s="197"/>
      <c r="R7" s="189" t="s">
        <v>12</v>
      </c>
      <c r="S7" s="189"/>
      <c r="T7" s="189"/>
      <c r="U7" s="189"/>
      <c r="V7" s="189"/>
      <c r="W7" s="189"/>
      <c r="X7" s="189"/>
      <c r="Y7" s="189"/>
      <c r="Z7" s="189"/>
      <c r="AA7" s="130" t="str">
        <f>'Character Creation'!Z21</f>
        <v>60 - 80</v>
      </c>
      <c r="AB7" s="130"/>
      <c r="AC7" s="130"/>
      <c r="AD7" s="130"/>
      <c r="AE7" s="130"/>
      <c r="AF7" s="130"/>
      <c r="AG7" s="130"/>
      <c r="AH7" s="197"/>
      <c r="AI7" s="189" t="s">
        <v>16</v>
      </c>
      <c r="AJ7" s="189"/>
      <c r="AK7" s="189"/>
      <c r="AL7" s="189"/>
      <c r="AM7" s="189"/>
      <c r="AN7" s="189"/>
      <c r="AO7" s="189"/>
      <c r="AP7" s="189"/>
      <c r="AQ7" s="189"/>
      <c r="AR7" s="130">
        <f ca="1">AR6+Skills!$AF$53</f>
        <v>43</v>
      </c>
      <c r="AS7" s="130"/>
      <c r="AT7" s="130"/>
      <c r="AU7" s="130"/>
      <c r="AV7" s="130"/>
      <c r="AW7" s="130"/>
      <c r="AX7" s="130"/>
      <c r="AY7" s="197"/>
      <c r="AZ7" s="189" t="s">
        <v>19</v>
      </c>
      <c r="BA7" s="189"/>
      <c r="BB7" s="189"/>
      <c r="BC7" s="189"/>
      <c r="BD7" s="189"/>
      <c r="BE7" s="189"/>
      <c r="BF7" s="189"/>
      <c r="BG7" s="189"/>
      <c r="BH7" s="189"/>
      <c r="BI7" s="189"/>
      <c r="BJ7" s="134" t="str">
        <f>'Character Creation'!Z19</f>
        <v>Neutral</v>
      </c>
      <c r="BK7" s="134"/>
      <c r="BL7" s="134"/>
      <c r="BM7" s="134"/>
      <c r="BN7" s="134"/>
      <c r="BO7" s="134"/>
      <c r="BP7" s="134"/>
      <c r="BQ7" s="134"/>
      <c r="BR7" s="134"/>
      <c r="BS7" s="134"/>
      <c r="BT7" s="134"/>
      <c r="BU7" s="134"/>
      <c r="BV7" s="134"/>
      <c r="BW7" s="134"/>
      <c r="BX7" s="320"/>
      <c r="BZ7" s="188" t="s">
        <v>3229</v>
      </c>
      <c r="CA7" s="189"/>
      <c r="CB7" s="189"/>
      <c r="CC7" s="189"/>
      <c r="CD7" s="189"/>
      <c r="CE7" s="189"/>
      <c r="CF7" s="189"/>
      <c r="CG7" s="189"/>
      <c r="CH7" s="189"/>
      <c r="CI7" s="189"/>
      <c r="CJ7" s="189"/>
      <c r="CK7" s="195">
        <v>0</v>
      </c>
      <c r="CL7" s="195"/>
      <c r="CM7" s="195"/>
      <c r="CN7" s="340"/>
      <c r="CO7" s="189" t="s">
        <v>3233</v>
      </c>
      <c r="CP7" s="189"/>
      <c r="CQ7" s="189"/>
      <c r="CR7" s="189"/>
      <c r="CS7" s="189"/>
      <c r="CT7" s="189"/>
      <c r="CU7" s="189"/>
      <c r="CV7" s="189"/>
      <c r="CW7" s="189"/>
      <c r="CX7" s="189"/>
      <c r="CY7" s="195">
        <v>1</v>
      </c>
      <c r="CZ7" s="195"/>
      <c r="DA7" s="195"/>
      <c r="DB7" s="271"/>
      <c r="FB7" s="139" t="s">
        <v>3746</v>
      </c>
      <c r="FC7" s="140"/>
      <c r="FD7" s="140"/>
      <c r="FE7" s="140"/>
      <c r="FF7" s="140"/>
      <c r="FG7" s="140"/>
      <c r="FH7" s="140"/>
      <c r="FI7" s="140"/>
      <c r="FJ7" s="140"/>
      <c r="FK7" s="140"/>
      <c r="FL7" s="140"/>
      <c r="FM7" s="140"/>
      <c r="FN7" s="140"/>
      <c r="FO7" s="140"/>
      <c r="FP7" s="140"/>
      <c r="FQ7" s="140"/>
      <c r="FR7" s="140"/>
      <c r="FS7" s="140"/>
      <c r="FT7" s="140"/>
      <c r="FU7" s="140"/>
      <c r="FV7" s="140"/>
      <c r="FW7" s="140"/>
      <c r="FX7" s="140"/>
      <c r="FY7" s="140"/>
      <c r="FZ7" s="140"/>
      <c r="GA7" s="140"/>
      <c r="GB7" s="140"/>
      <c r="GC7" s="140"/>
      <c r="GD7" s="140"/>
      <c r="GE7" s="140"/>
      <c r="GF7" s="140"/>
      <c r="GG7" s="140"/>
      <c r="GH7" s="140"/>
      <c r="GI7" s="140"/>
      <c r="GJ7" s="140"/>
      <c r="GK7" s="140"/>
      <c r="GL7" s="140"/>
      <c r="GM7" s="140"/>
      <c r="GN7" s="140"/>
      <c r="GO7" s="140"/>
      <c r="GP7" s="140"/>
      <c r="GQ7" s="140"/>
      <c r="GR7" s="140"/>
      <c r="GS7" s="140"/>
      <c r="GT7" s="141">
        <v>2</v>
      </c>
      <c r="GU7" s="141"/>
      <c r="GV7" s="141"/>
      <c r="GW7" s="141"/>
      <c r="GX7" s="141"/>
      <c r="GY7" s="141"/>
      <c r="GZ7" s="141"/>
      <c r="HA7" s="141"/>
      <c r="HB7" s="142">
        <f>IFERROR(ROUND(((Calculations!BV7/185)*'Character Creation'!$Z$18)*GT7,2),"")</f>
        <v>0.42</v>
      </c>
      <c r="HC7" s="142"/>
      <c r="HD7" s="142"/>
      <c r="HE7" s="142"/>
      <c r="HF7" s="142"/>
      <c r="HG7" s="142"/>
      <c r="HH7" s="142"/>
      <c r="HI7" s="142"/>
      <c r="HJ7" s="142">
        <f>IFERROR(Calculations!BS7+IQ7+IX7,"")</f>
        <v>30</v>
      </c>
      <c r="HK7" s="142"/>
      <c r="HL7" s="142"/>
      <c r="HM7" s="142"/>
      <c r="HN7" s="142"/>
      <c r="HO7" s="142"/>
      <c r="HP7" s="142"/>
      <c r="HQ7" s="142"/>
      <c r="HR7" s="142">
        <f t="shared" si="0"/>
        <v>0</v>
      </c>
      <c r="HS7" s="142"/>
      <c r="HT7" s="142"/>
      <c r="HU7" s="142"/>
      <c r="HV7" s="142"/>
      <c r="HW7" s="142"/>
      <c r="HX7" s="142"/>
      <c r="HY7" s="142"/>
      <c r="HZ7" s="142" t="str">
        <f>IFERROR(Calculations!BX7,"")</f>
        <v>$0.62</v>
      </c>
      <c r="IA7" s="142"/>
      <c r="IB7" s="142"/>
      <c r="IC7" s="142"/>
      <c r="ID7" s="142"/>
      <c r="IE7" s="142"/>
      <c r="IF7" s="142"/>
      <c r="IG7" s="142"/>
      <c r="IH7" s="142"/>
      <c r="II7" s="142"/>
      <c r="IJ7" s="142">
        <f>IFERROR(Calculations!BR7+IX7,"")</f>
        <v>0</v>
      </c>
      <c r="IK7" s="142"/>
      <c r="IL7" s="142"/>
      <c r="IM7" s="142"/>
      <c r="IN7" s="142"/>
      <c r="IO7" s="142"/>
      <c r="IP7" s="142"/>
      <c r="IQ7" s="141">
        <v>0</v>
      </c>
      <c r="IR7" s="141"/>
      <c r="IS7" s="141"/>
      <c r="IT7" s="141"/>
      <c r="IU7" s="141"/>
      <c r="IV7" s="141"/>
      <c r="IW7" s="141"/>
      <c r="IX7" s="141">
        <v>0</v>
      </c>
      <c r="IY7" s="141"/>
      <c r="IZ7" s="141"/>
      <c r="JA7" s="141"/>
      <c r="JB7" s="141"/>
      <c r="JC7" s="141"/>
      <c r="JD7" s="141"/>
      <c r="JE7" s="141"/>
      <c r="JF7" s="142"/>
      <c r="JG7" s="142"/>
      <c r="JH7" s="142"/>
      <c r="JI7" s="142"/>
      <c r="JJ7" s="142"/>
      <c r="JK7" s="143" t="str">
        <f>Calculations!AS7</f>
        <v>Soft Leather</v>
      </c>
      <c r="JL7" s="143"/>
      <c r="JM7" s="143"/>
      <c r="JN7" s="143"/>
      <c r="JO7" s="143"/>
      <c r="JP7" s="143"/>
      <c r="JQ7" s="143"/>
      <c r="JR7" s="143"/>
      <c r="JS7" s="143"/>
      <c r="JT7" s="143"/>
      <c r="JU7" s="143"/>
      <c r="JV7" s="143"/>
      <c r="JW7" s="143"/>
      <c r="JX7" s="143"/>
      <c r="JY7" s="143"/>
      <c r="JZ7" s="143"/>
      <c r="KA7" s="143"/>
      <c r="KB7" s="143"/>
      <c r="KC7" s="143" t="str">
        <f>Calculations!AW7</f>
        <v>Light Cloth</v>
      </c>
      <c r="KD7" s="143"/>
      <c r="KE7" s="143"/>
      <c r="KF7" s="143"/>
      <c r="KG7" s="143"/>
      <c r="KH7" s="143"/>
      <c r="KI7" s="143"/>
      <c r="KJ7" s="143"/>
      <c r="KK7" s="143"/>
      <c r="KL7" s="143"/>
      <c r="KM7" s="143"/>
      <c r="KN7" s="143"/>
      <c r="KO7" s="143"/>
      <c r="KP7" s="143"/>
      <c r="KQ7" s="143"/>
      <c r="KR7" s="143"/>
      <c r="KS7" s="143"/>
      <c r="KT7" s="143"/>
      <c r="KU7" s="144"/>
      <c r="KV7" s="144"/>
      <c r="KW7" s="144"/>
      <c r="KX7" s="144"/>
      <c r="KY7" s="144"/>
      <c r="KZ7" s="144"/>
      <c r="LA7" s="144"/>
      <c r="LB7" s="144"/>
      <c r="LC7" s="144"/>
      <c r="LD7" s="144"/>
      <c r="LE7" s="144"/>
      <c r="LF7" s="144"/>
      <c r="LG7" s="144"/>
      <c r="LH7" s="144"/>
      <c r="LI7" s="144"/>
      <c r="LJ7" s="144"/>
      <c r="LK7" s="144"/>
      <c r="LL7" s="144"/>
      <c r="LM7" s="144"/>
      <c r="LN7" s="144"/>
      <c r="LO7" s="144"/>
      <c r="LP7" s="144"/>
      <c r="LQ7" s="144"/>
      <c r="LR7" s="144"/>
      <c r="LS7" s="144"/>
      <c r="LT7" s="144"/>
      <c r="LU7" s="144"/>
      <c r="LV7" s="144"/>
      <c r="LW7" s="144"/>
      <c r="LX7" s="144"/>
      <c r="LY7" s="144"/>
      <c r="LZ7" s="144"/>
      <c r="MA7" s="144"/>
      <c r="MB7" s="144"/>
      <c r="MC7" s="144"/>
      <c r="MD7" s="144"/>
      <c r="ME7" s="144"/>
      <c r="MF7" s="144"/>
      <c r="MG7" s="144"/>
      <c r="MH7" s="144"/>
      <c r="MI7" s="144"/>
      <c r="MJ7" s="144"/>
      <c r="MK7" s="144"/>
      <c r="ML7" s="144"/>
      <c r="MM7" s="144"/>
      <c r="MN7" s="144"/>
      <c r="MO7" s="144"/>
      <c r="MP7" s="144"/>
      <c r="MQ7" s="144"/>
      <c r="MR7" s="144"/>
      <c r="MS7" s="144"/>
      <c r="MT7" s="144"/>
      <c r="MU7" s="144"/>
      <c r="MV7" s="144"/>
      <c r="MW7" s="144"/>
      <c r="MX7" s="144"/>
      <c r="MY7" s="144"/>
      <c r="MZ7" s="145"/>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9"/>
      <c r="OH7" s="129"/>
      <c r="OI7" s="129"/>
      <c r="OJ7" s="129"/>
      <c r="OK7" s="129"/>
      <c r="OL7" s="129"/>
      <c r="OM7" s="129"/>
      <c r="ON7" s="129"/>
      <c r="OO7" s="129"/>
      <c r="OP7" s="129"/>
      <c r="OQ7" s="129"/>
      <c r="OR7" s="129"/>
      <c r="OS7" s="129"/>
      <c r="OT7" s="129"/>
      <c r="OU7" s="129"/>
      <c r="OV7" s="129"/>
      <c r="OW7" s="129"/>
      <c r="OX7" s="129"/>
      <c r="OY7" s="129"/>
      <c r="OZ7" s="129"/>
      <c r="PA7" s="129"/>
      <c r="PB7" s="128"/>
      <c r="PC7" s="128"/>
      <c r="PD7" s="128"/>
      <c r="PE7" s="128"/>
      <c r="PF7" s="128"/>
      <c r="PG7" s="128"/>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8"/>
      <c r="QK7" s="128"/>
      <c r="QL7" s="128"/>
      <c r="QM7" s="128"/>
      <c r="QN7" s="128"/>
      <c r="QO7" s="128"/>
      <c r="QP7" s="128"/>
      <c r="UH7" s="128" t="s">
        <v>162</v>
      </c>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9"/>
      <c r="VN7" s="129"/>
      <c r="VO7" s="129"/>
      <c r="VP7" s="129"/>
      <c r="VQ7" s="129"/>
      <c r="VR7" s="129"/>
      <c r="VS7" s="129"/>
      <c r="VT7" s="129"/>
      <c r="VU7" s="129"/>
      <c r="VV7" s="129"/>
      <c r="VW7" s="129"/>
      <c r="VX7" s="129"/>
      <c r="VY7" s="129"/>
      <c r="VZ7" s="129"/>
      <c r="WA7" s="129"/>
      <c r="WB7" s="129"/>
      <c r="WC7" s="129"/>
      <c r="WD7" s="129"/>
      <c r="WE7" s="129"/>
      <c r="WF7" s="129"/>
      <c r="WG7" s="129"/>
      <c r="WH7" s="128"/>
      <c r="WI7" s="128"/>
      <c r="WJ7" s="128"/>
      <c r="WK7" s="128"/>
      <c r="WL7" s="128"/>
      <c r="WM7" s="128"/>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8"/>
      <c r="XQ7" s="128"/>
      <c r="XR7" s="128"/>
      <c r="XS7" s="128"/>
      <c r="XT7" s="128"/>
      <c r="XU7" s="128"/>
      <c r="XV7" s="128"/>
      <c r="XX7" s="128" t="s">
        <v>168</v>
      </c>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9"/>
      <c r="ZD7" s="129"/>
      <c r="ZE7" s="129"/>
      <c r="ZF7" s="129"/>
      <c r="ZG7" s="129"/>
      <c r="ZH7" s="129"/>
      <c r="ZI7" s="129"/>
      <c r="ZJ7" s="129"/>
      <c r="ZK7" s="129"/>
      <c r="ZL7" s="129"/>
      <c r="ZM7" s="129"/>
      <c r="ZN7" s="129"/>
      <c r="ZO7" s="129"/>
      <c r="ZP7" s="129"/>
      <c r="ZQ7" s="129"/>
      <c r="ZR7" s="129"/>
      <c r="ZS7" s="129"/>
      <c r="ZT7" s="129"/>
      <c r="ZU7" s="129"/>
      <c r="ZV7" s="129"/>
      <c r="ZW7" s="129"/>
      <c r="ZX7" s="128"/>
      <c r="ZY7" s="128"/>
      <c r="ZZ7" s="128"/>
      <c r="AAA7" s="128"/>
      <c r="AAB7" s="128"/>
      <c r="AAC7" s="128"/>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8"/>
      <c r="ABG7" s="128"/>
      <c r="ABH7" s="128"/>
      <c r="ABI7" s="128"/>
      <c r="ABJ7" s="128"/>
      <c r="ABK7" s="128"/>
      <c r="ABL7" s="128"/>
      <c r="ABN7" s="128" t="s">
        <v>176</v>
      </c>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8"/>
      <c r="ADO7" s="128"/>
      <c r="ADP7" s="128"/>
      <c r="ADQ7" s="128"/>
      <c r="ADR7" s="128"/>
      <c r="ADS7" s="128"/>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8"/>
      <c r="AEW7" s="128"/>
      <c r="AEX7" s="128"/>
      <c r="AEY7" s="128"/>
      <c r="AEZ7" s="128"/>
      <c r="AFA7" s="128"/>
      <c r="AFB7" s="128"/>
      <c r="AFD7" s="128" t="s">
        <v>185</v>
      </c>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8"/>
      <c r="AHE7" s="128"/>
      <c r="AHF7" s="128"/>
      <c r="AHG7" s="128"/>
      <c r="AHH7" s="128"/>
      <c r="AHI7" s="128"/>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8"/>
      <c r="AIM7" s="128"/>
      <c r="AIN7" s="128"/>
      <c r="AIO7" s="128"/>
      <c r="AIP7" s="128"/>
      <c r="AIQ7" s="128"/>
      <c r="AIR7" s="128"/>
      <c r="AIT7" s="128" t="s">
        <v>192</v>
      </c>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8"/>
      <c r="AKU7" s="128"/>
      <c r="AKV7" s="128"/>
      <c r="AKW7" s="128"/>
      <c r="AKX7" s="128"/>
      <c r="AKY7" s="128"/>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c r="ALZ7" s="129"/>
      <c r="AMA7" s="129"/>
      <c r="AMB7" s="128"/>
      <c r="AMC7" s="128"/>
      <c r="AMD7" s="128"/>
      <c r="AME7" s="128"/>
      <c r="AMF7" s="128"/>
      <c r="AMG7" s="128"/>
      <c r="AMH7" s="128"/>
      <c r="AMJ7" s="128" t="s">
        <v>221</v>
      </c>
      <c r="AMK7" s="128"/>
      <c r="AML7" s="128"/>
      <c r="AMM7" s="128"/>
      <c r="AMN7" s="128"/>
      <c r="AMO7" s="128"/>
      <c r="AMP7" s="128"/>
      <c r="AMQ7" s="128"/>
      <c r="AMR7" s="128"/>
      <c r="AMS7" s="128"/>
      <c r="AMT7" s="128"/>
      <c r="AMU7" s="128"/>
      <c r="AMV7" s="128"/>
      <c r="AMW7" s="128"/>
      <c r="AMX7" s="128"/>
      <c r="AMY7" s="128"/>
      <c r="AMZ7" s="128"/>
      <c r="ANA7" s="128"/>
      <c r="ANB7" s="128"/>
      <c r="ANC7" s="128"/>
      <c r="AND7" s="128"/>
      <c r="ANE7" s="128"/>
      <c r="ANF7" s="128"/>
      <c r="ANG7" s="128"/>
      <c r="ANH7" s="128"/>
      <c r="ANI7" s="128"/>
      <c r="ANJ7" s="128"/>
      <c r="ANK7" s="128"/>
      <c r="ANL7" s="128"/>
      <c r="ANM7" s="128"/>
      <c r="ANN7" s="128"/>
      <c r="ANO7" s="129"/>
      <c r="ANP7" s="129"/>
      <c r="ANQ7" s="129"/>
      <c r="ANR7" s="129"/>
      <c r="ANS7" s="129"/>
      <c r="ANT7" s="129"/>
      <c r="ANU7" s="129"/>
      <c r="ANV7" s="129"/>
      <c r="ANW7" s="129"/>
      <c r="ANX7" s="129"/>
      <c r="ANY7" s="129"/>
      <c r="ANZ7" s="129"/>
      <c r="AOA7" s="129"/>
      <c r="AOB7" s="129"/>
      <c r="AOC7" s="129"/>
      <c r="AOD7" s="129"/>
      <c r="AOE7" s="129"/>
      <c r="AOF7" s="129"/>
      <c r="AOG7" s="129"/>
      <c r="AOH7" s="129"/>
      <c r="AOI7" s="129"/>
      <c r="AOJ7" s="128"/>
      <c r="AOK7" s="128"/>
      <c r="AOL7" s="128"/>
      <c r="AOM7" s="128"/>
      <c r="AON7" s="128"/>
      <c r="AOO7" s="128"/>
      <c r="AOP7" s="129"/>
      <c r="AOQ7" s="129"/>
      <c r="AOR7" s="129"/>
      <c r="AOS7" s="129"/>
      <c r="AOT7" s="129"/>
      <c r="AOU7" s="129"/>
      <c r="AOV7" s="129"/>
      <c r="AOW7" s="129"/>
      <c r="AOX7" s="129"/>
      <c r="AOY7" s="129"/>
      <c r="AOZ7" s="129"/>
      <c r="APA7" s="129"/>
      <c r="APB7" s="129"/>
      <c r="APC7" s="129"/>
      <c r="APD7" s="129"/>
      <c r="APE7" s="129"/>
      <c r="APF7" s="129"/>
      <c r="APG7" s="129"/>
      <c r="APH7" s="129"/>
      <c r="API7" s="129"/>
      <c r="APJ7" s="129"/>
      <c r="APK7" s="129"/>
      <c r="APL7" s="129"/>
      <c r="APM7" s="129"/>
      <c r="APN7" s="129"/>
      <c r="APO7" s="129"/>
      <c r="APP7" s="129"/>
      <c r="APQ7" s="129"/>
      <c r="APR7" s="128"/>
      <c r="APS7" s="128"/>
      <c r="APT7" s="128"/>
      <c r="APU7" s="128"/>
      <c r="APV7" s="128"/>
      <c r="APW7" s="128"/>
      <c r="APX7" s="128"/>
      <c r="APZ7" s="128" t="s">
        <v>243</v>
      </c>
      <c r="AQA7" s="128"/>
      <c r="AQB7" s="128"/>
      <c r="AQC7" s="128"/>
      <c r="AQD7" s="128"/>
      <c r="AQE7" s="128"/>
      <c r="AQF7" s="128"/>
      <c r="AQG7" s="128"/>
      <c r="AQH7" s="128"/>
      <c r="AQI7" s="128"/>
      <c r="AQJ7" s="128"/>
      <c r="AQK7" s="128"/>
      <c r="AQL7" s="128"/>
      <c r="AQM7" s="128"/>
      <c r="AQN7" s="128"/>
      <c r="AQO7" s="128"/>
      <c r="AQP7" s="128"/>
      <c r="AQQ7" s="128"/>
      <c r="AQR7" s="128"/>
      <c r="AQS7" s="128"/>
      <c r="AQT7" s="128"/>
      <c r="AQU7" s="128"/>
      <c r="AQV7" s="128"/>
      <c r="AQW7" s="128"/>
      <c r="AQX7" s="128"/>
      <c r="AQY7" s="128"/>
      <c r="AQZ7" s="128"/>
      <c r="ARA7" s="128"/>
      <c r="ARB7" s="128"/>
      <c r="ARC7" s="128"/>
      <c r="ARD7" s="128"/>
      <c r="ARE7" s="129"/>
      <c r="ARF7" s="129"/>
      <c r="ARG7" s="129"/>
      <c r="ARH7" s="129"/>
      <c r="ARI7" s="129"/>
      <c r="ARJ7" s="129"/>
      <c r="ARK7" s="129"/>
      <c r="ARL7" s="129"/>
      <c r="ARM7" s="129"/>
      <c r="ARN7" s="129"/>
      <c r="ARO7" s="129"/>
      <c r="ARP7" s="129"/>
      <c r="ARQ7" s="129"/>
      <c r="ARR7" s="129"/>
      <c r="ARS7" s="129"/>
      <c r="ART7" s="129"/>
      <c r="ARU7" s="129"/>
      <c r="ARV7" s="129"/>
      <c r="ARW7" s="129"/>
      <c r="ARX7" s="129"/>
      <c r="ARY7" s="129"/>
      <c r="ARZ7" s="128"/>
      <c r="ASA7" s="128"/>
      <c r="ASB7" s="128"/>
      <c r="ASC7" s="128"/>
      <c r="ASD7" s="128"/>
      <c r="ASE7" s="128"/>
      <c r="ASF7" s="129"/>
      <c r="ASG7" s="129"/>
      <c r="ASH7" s="129"/>
      <c r="ASI7" s="129"/>
      <c r="ASJ7" s="129"/>
      <c r="ASK7" s="129"/>
      <c r="ASL7" s="129"/>
      <c r="ASM7" s="129"/>
      <c r="ASN7" s="129"/>
      <c r="ASO7" s="129"/>
      <c r="ASP7" s="129"/>
      <c r="ASQ7" s="129"/>
      <c r="ASR7" s="129"/>
      <c r="ASS7" s="129"/>
      <c r="AST7" s="129"/>
      <c r="ASU7" s="129"/>
      <c r="ASV7" s="129"/>
      <c r="ASW7" s="129"/>
      <c r="ASX7" s="129"/>
      <c r="ASY7" s="129"/>
      <c r="ASZ7" s="129"/>
      <c r="ATA7" s="129"/>
      <c r="ATB7" s="129"/>
      <c r="ATC7" s="129"/>
      <c r="ATD7" s="129"/>
      <c r="ATE7" s="129"/>
      <c r="ATF7" s="129"/>
      <c r="ATG7" s="129"/>
      <c r="ATH7" s="128"/>
      <c r="ATI7" s="128"/>
      <c r="ATJ7" s="128"/>
      <c r="ATK7" s="128"/>
      <c r="ATL7" s="128"/>
      <c r="ATM7" s="128"/>
      <c r="ATN7" s="128"/>
      <c r="AXF7" s="128" t="s">
        <v>264</v>
      </c>
      <c r="AXG7" s="128"/>
      <c r="AXH7" s="128"/>
      <c r="AXI7" s="128"/>
      <c r="AXJ7" s="128"/>
      <c r="AXK7" s="128"/>
      <c r="AXL7" s="128"/>
      <c r="AXM7" s="128"/>
      <c r="AXN7" s="128"/>
      <c r="AXO7" s="128"/>
      <c r="AXP7" s="128"/>
      <c r="AXQ7" s="128"/>
      <c r="AXR7" s="128"/>
      <c r="AXS7" s="128"/>
      <c r="AXT7" s="128"/>
      <c r="AXU7" s="128"/>
      <c r="AXV7" s="128"/>
      <c r="AXW7" s="128"/>
      <c r="AXX7" s="128"/>
      <c r="AXY7" s="128"/>
      <c r="AXZ7" s="128"/>
      <c r="AYA7" s="128"/>
      <c r="AYB7" s="128"/>
      <c r="AYC7" s="128"/>
      <c r="AYD7" s="128"/>
      <c r="AYE7" s="128"/>
      <c r="AYF7" s="128"/>
      <c r="AYG7" s="128"/>
      <c r="AYH7" s="128"/>
      <c r="AYI7" s="128"/>
      <c r="AYJ7" s="128"/>
      <c r="AYK7" s="129"/>
      <c r="AYL7" s="129"/>
      <c r="AYM7" s="129"/>
      <c r="AYN7" s="129"/>
      <c r="AYO7" s="129"/>
      <c r="AYP7" s="129"/>
      <c r="AYQ7" s="129"/>
      <c r="AYR7" s="129"/>
      <c r="AYS7" s="129"/>
      <c r="AYT7" s="129"/>
      <c r="AYU7" s="129"/>
      <c r="AYV7" s="129"/>
      <c r="AYW7" s="129"/>
      <c r="AYX7" s="129"/>
      <c r="AYY7" s="129"/>
      <c r="AYZ7" s="129"/>
      <c r="AZA7" s="129"/>
      <c r="AZB7" s="129"/>
      <c r="AZC7" s="129"/>
      <c r="AZD7" s="129"/>
      <c r="AZE7" s="129"/>
      <c r="AZF7" s="128"/>
      <c r="AZG7" s="128"/>
      <c r="AZH7" s="128"/>
      <c r="AZI7" s="128"/>
      <c r="AZJ7" s="128"/>
      <c r="AZK7" s="128"/>
      <c r="AZL7" s="129"/>
      <c r="AZM7" s="129"/>
      <c r="AZN7" s="129"/>
      <c r="AZO7" s="129"/>
      <c r="AZP7" s="129"/>
      <c r="AZQ7" s="129"/>
      <c r="AZR7" s="129"/>
      <c r="AZS7" s="129"/>
      <c r="AZT7" s="129"/>
      <c r="AZU7" s="129"/>
      <c r="AZV7" s="129"/>
      <c r="AZW7" s="129"/>
      <c r="AZX7" s="129"/>
      <c r="AZY7" s="129"/>
      <c r="AZZ7" s="129"/>
      <c r="BAA7" s="129"/>
      <c r="BAB7" s="129"/>
      <c r="BAC7" s="129"/>
      <c r="BAD7" s="129"/>
      <c r="BAE7" s="129"/>
      <c r="BAF7" s="129"/>
      <c r="BAG7" s="129"/>
      <c r="BAH7" s="129"/>
      <c r="BAI7" s="129"/>
      <c r="BAJ7" s="129"/>
      <c r="BAK7" s="129"/>
      <c r="BAL7" s="129"/>
      <c r="BAM7" s="129"/>
      <c r="BAN7" s="128"/>
      <c r="BAO7" s="128"/>
      <c r="BAP7" s="128"/>
      <c r="BAQ7" s="128"/>
      <c r="BAR7" s="128"/>
      <c r="BAS7" s="128"/>
      <c r="BAT7" s="128"/>
      <c r="BAV7" s="144" t="s">
        <v>581</v>
      </c>
      <c r="BAW7" s="144"/>
      <c r="BAX7" s="144"/>
      <c r="BAY7" s="144"/>
      <c r="BAZ7" s="144"/>
      <c r="BBA7" s="144"/>
      <c r="BBB7" s="144"/>
      <c r="BBC7" s="144"/>
      <c r="BBD7" s="144"/>
      <c r="BBE7" s="144"/>
      <c r="BBF7" s="144"/>
      <c r="BBG7" s="144"/>
      <c r="BBH7" s="144"/>
      <c r="BBI7" s="144"/>
      <c r="BBJ7" s="144"/>
      <c r="BBK7" s="144"/>
      <c r="BBL7" s="144"/>
      <c r="BBM7" s="144"/>
      <c r="BBN7" s="144"/>
      <c r="BBO7" s="144"/>
      <c r="BBP7" s="144"/>
      <c r="BBQ7" s="144"/>
      <c r="BBR7" s="144"/>
      <c r="BBS7" s="144"/>
      <c r="BBT7" s="144"/>
      <c r="BBU7" s="144"/>
      <c r="BBV7" s="144"/>
      <c r="BBW7" s="144"/>
      <c r="BBX7" s="144"/>
      <c r="BBY7" s="144"/>
      <c r="BBZ7" s="144"/>
      <c r="BCA7" s="144"/>
      <c r="BCB7" s="144"/>
      <c r="BCC7" s="144"/>
      <c r="BCD7" s="144"/>
      <c r="BCE7" s="144"/>
      <c r="BCF7" s="144"/>
      <c r="BCG7" s="144"/>
      <c r="BCH7" s="144"/>
      <c r="BCI7" s="144"/>
      <c r="BCJ7" s="144"/>
      <c r="BCK7" s="144"/>
      <c r="BCL7" s="144"/>
      <c r="BCM7" s="144"/>
      <c r="BCN7" s="144"/>
      <c r="BCO7" s="144"/>
      <c r="BCP7" s="144"/>
      <c r="BCQ7" s="144"/>
      <c r="BCR7" s="144"/>
      <c r="BCS7" s="144"/>
      <c r="BCT7" s="144"/>
      <c r="BCU7" s="144"/>
      <c r="BCV7" s="144"/>
      <c r="BCW7" s="144"/>
      <c r="BCX7" s="144"/>
      <c r="BCY7" s="144"/>
      <c r="BCZ7" s="144"/>
      <c r="BDA7" s="144"/>
      <c r="BDB7" s="144"/>
      <c r="BDC7" s="144"/>
      <c r="BDD7" s="144"/>
      <c r="BDE7" s="144"/>
      <c r="BDF7" s="144"/>
      <c r="BDG7" s="144"/>
      <c r="BDH7" s="144"/>
      <c r="BDI7" s="144"/>
      <c r="BDJ7" s="144"/>
      <c r="BDK7" s="144"/>
      <c r="BDL7" s="144"/>
      <c r="BDM7" s="144"/>
      <c r="BDN7" s="144"/>
      <c r="BDO7" s="144"/>
      <c r="BDP7" s="144"/>
      <c r="BDQ7" s="144"/>
      <c r="BDR7" s="144"/>
      <c r="BDS7" s="144"/>
      <c r="BDT7" s="144"/>
      <c r="BDU7" s="144"/>
      <c r="BDV7" s="144"/>
      <c r="BDW7" s="144"/>
      <c r="BDX7" s="144"/>
      <c r="BDY7" s="144"/>
      <c r="BDZ7" s="144"/>
      <c r="BEA7" s="144"/>
      <c r="BEB7" s="144"/>
      <c r="BEC7" s="144"/>
      <c r="BED7" s="144"/>
      <c r="BEE7" s="144"/>
      <c r="BEF7" s="144"/>
      <c r="BEG7" s="144"/>
      <c r="BEH7" s="144"/>
      <c r="BEI7" s="144"/>
      <c r="BEJ7" s="144"/>
      <c r="BEL7" s="128" t="s">
        <v>308</v>
      </c>
      <c r="BEM7" s="128"/>
      <c r="BEN7" s="128"/>
      <c r="BEO7" s="128"/>
      <c r="BEP7" s="128"/>
      <c r="BEQ7" s="128"/>
      <c r="BER7" s="128"/>
      <c r="BES7" s="128"/>
      <c r="BET7" s="128"/>
      <c r="BEU7" s="128"/>
      <c r="BEV7" s="128"/>
      <c r="BEW7" s="128"/>
      <c r="BEX7" s="128"/>
      <c r="BEY7" s="128"/>
      <c r="BEZ7" s="128"/>
      <c r="BFA7" s="128"/>
      <c r="BFB7" s="128"/>
      <c r="BFC7" s="128"/>
      <c r="BFD7" s="128"/>
      <c r="BFE7" s="128"/>
      <c r="BFF7" s="128"/>
      <c r="BFG7" s="128"/>
      <c r="BFH7" s="128"/>
      <c r="BFI7" s="128"/>
      <c r="BFJ7" s="128"/>
      <c r="BFK7" s="128"/>
      <c r="BFL7" s="128"/>
      <c r="BFM7" s="128"/>
      <c r="BFN7" s="128"/>
      <c r="BFO7" s="128"/>
      <c r="BFP7" s="128"/>
      <c r="BFQ7" s="129"/>
      <c r="BFR7" s="129"/>
      <c r="BFS7" s="129"/>
      <c r="BFT7" s="129"/>
      <c r="BFU7" s="129"/>
      <c r="BFV7" s="129"/>
      <c r="BFW7" s="129"/>
      <c r="BFX7" s="129"/>
      <c r="BFY7" s="129"/>
      <c r="BFZ7" s="129"/>
      <c r="BGA7" s="129"/>
      <c r="BGB7" s="129"/>
      <c r="BGC7" s="129"/>
      <c r="BGD7" s="129"/>
      <c r="BGE7" s="129"/>
      <c r="BGF7" s="129"/>
      <c r="BGG7" s="129"/>
      <c r="BGH7" s="129"/>
      <c r="BGI7" s="129"/>
      <c r="BGJ7" s="129"/>
      <c r="BGK7" s="129"/>
      <c r="BGL7" s="128"/>
      <c r="BGM7" s="128"/>
      <c r="BGN7" s="128"/>
      <c r="BGO7" s="128"/>
      <c r="BGP7" s="128"/>
      <c r="BGQ7" s="128"/>
      <c r="BGR7" s="129"/>
      <c r="BGS7" s="129"/>
      <c r="BGT7" s="129"/>
      <c r="BGU7" s="129"/>
      <c r="BGV7" s="129"/>
      <c r="BGW7" s="129"/>
      <c r="BGX7" s="129"/>
      <c r="BGY7" s="129"/>
      <c r="BGZ7" s="129"/>
      <c r="BHA7" s="129"/>
      <c r="BHB7" s="129"/>
      <c r="BHC7" s="129"/>
      <c r="BHD7" s="129"/>
      <c r="BHE7" s="129"/>
      <c r="BHF7" s="129"/>
      <c r="BHG7" s="129"/>
      <c r="BHH7" s="129"/>
      <c r="BHI7" s="129"/>
      <c r="BHJ7" s="129"/>
      <c r="BHK7" s="129"/>
      <c r="BHL7" s="129"/>
      <c r="BHM7" s="129"/>
      <c r="BHN7" s="129"/>
      <c r="BHO7" s="129"/>
      <c r="BHP7" s="129"/>
      <c r="BHQ7" s="129"/>
      <c r="BHR7" s="129"/>
      <c r="BHS7" s="129"/>
      <c r="BHT7" s="128"/>
      <c r="BHU7" s="128"/>
      <c r="BHV7" s="128"/>
      <c r="BHW7" s="128"/>
      <c r="BHX7" s="128"/>
      <c r="BHY7" s="128"/>
      <c r="BHZ7" s="128"/>
      <c r="BIB7" s="128" t="s">
        <v>315</v>
      </c>
      <c r="BIC7" s="128"/>
      <c r="BID7" s="128"/>
      <c r="BIE7" s="128"/>
      <c r="BIF7" s="128"/>
      <c r="BIG7" s="128"/>
      <c r="BIH7" s="128"/>
      <c r="BII7" s="128"/>
      <c r="BIJ7" s="128"/>
      <c r="BIK7" s="128"/>
      <c r="BIL7" s="128"/>
      <c r="BIM7" s="128"/>
      <c r="BIN7" s="128"/>
      <c r="BIO7" s="128"/>
      <c r="BIP7" s="128"/>
      <c r="BIQ7" s="128"/>
      <c r="BIR7" s="128"/>
      <c r="BIS7" s="128"/>
      <c r="BIT7" s="128"/>
      <c r="BIU7" s="128"/>
      <c r="BIV7" s="128"/>
      <c r="BIW7" s="128"/>
      <c r="BIX7" s="128"/>
      <c r="BIY7" s="128"/>
      <c r="BIZ7" s="128"/>
      <c r="BJA7" s="128"/>
      <c r="BJB7" s="128"/>
      <c r="BJC7" s="128"/>
      <c r="BJD7" s="128"/>
      <c r="BJE7" s="128"/>
      <c r="BJF7" s="128"/>
      <c r="BJG7" s="129"/>
      <c r="BJH7" s="129"/>
      <c r="BJI7" s="129"/>
      <c r="BJJ7" s="129"/>
      <c r="BJK7" s="129"/>
      <c r="BJL7" s="129"/>
      <c r="BJM7" s="129"/>
      <c r="BJN7" s="129"/>
      <c r="BJO7" s="129"/>
      <c r="BJP7" s="129"/>
      <c r="BJQ7" s="129"/>
      <c r="BJR7" s="129"/>
      <c r="BJS7" s="129"/>
      <c r="BJT7" s="129"/>
      <c r="BJU7" s="129"/>
      <c r="BJV7" s="129"/>
      <c r="BJW7" s="129"/>
      <c r="BJX7" s="129"/>
      <c r="BJY7" s="129"/>
      <c r="BJZ7" s="129"/>
      <c r="BKA7" s="129"/>
      <c r="BKB7" s="128"/>
      <c r="BKC7" s="128"/>
      <c r="BKD7" s="128"/>
      <c r="BKE7" s="128"/>
      <c r="BKF7" s="128"/>
      <c r="BKG7" s="128"/>
      <c r="BKH7" s="129"/>
      <c r="BKI7" s="129"/>
      <c r="BKJ7" s="129"/>
      <c r="BKK7" s="129"/>
      <c r="BKL7" s="129"/>
      <c r="BKM7" s="129"/>
      <c r="BKN7" s="129"/>
      <c r="BKO7" s="129"/>
      <c r="BKP7" s="129"/>
      <c r="BKQ7" s="129"/>
      <c r="BKR7" s="129"/>
      <c r="BKS7" s="129"/>
      <c r="BKT7" s="129"/>
      <c r="BKU7" s="129"/>
      <c r="BKV7" s="129"/>
      <c r="BKW7" s="129"/>
      <c r="BKX7" s="129"/>
      <c r="BKY7" s="129"/>
      <c r="BKZ7" s="129"/>
      <c r="BLA7" s="129"/>
      <c r="BLB7" s="129"/>
      <c r="BLC7" s="129"/>
      <c r="BLD7" s="129"/>
      <c r="BLE7" s="129"/>
      <c r="BLF7" s="129"/>
      <c r="BLG7" s="129"/>
      <c r="BLH7" s="129"/>
      <c r="BLI7" s="129"/>
      <c r="BLJ7" s="128"/>
      <c r="BLK7" s="128"/>
      <c r="BLL7" s="128"/>
      <c r="BLM7" s="128"/>
      <c r="BLN7" s="128"/>
      <c r="BLO7" s="128"/>
      <c r="BLP7" s="128"/>
      <c r="BLR7" s="128" t="s">
        <v>2031</v>
      </c>
      <c r="BLS7" s="128"/>
      <c r="BLT7" s="128"/>
      <c r="BLU7" s="128"/>
      <c r="BLV7" s="128"/>
      <c r="BLW7" s="128"/>
      <c r="BLX7" s="128"/>
      <c r="BLY7" s="128"/>
      <c r="BLZ7" s="128"/>
      <c r="BMA7" s="128"/>
      <c r="BMB7" s="128"/>
      <c r="BMC7" s="128"/>
      <c r="BMD7" s="128"/>
      <c r="BME7" s="128"/>
      <c r="BMF7" s="128"/>
      <c r="BMG7" s="128"/>
      <c r="BMH7" s="128"/>
      <c r="BMI7" s="128"/>
      <c r="BMJ7" s="128"/>
      <c r="BMK7" s="128"/>
      <c r="BML7" s="128"/>
      <c r="BMM7" s="128"/>
      <c r="BMN7" s="128"/>
      <c r="BMO7" s="128"/>
      <c r="BMP7" s="128"/>
      <c r="BMQ7" s="128"/>
      <c r="BMR7" s="128"/>
      <c r="BMS7" s="128"/>
      <c r="BMT7" s="128"/>
      <c r="BMU7" s="128"/>
      <c r="BMV7" s="128"/>
      <c r="BMW7" s="129"/>
      <c r="BMX7" s="129"/>
      <c r="BMY7" s="129"/>
      <c r="BMZ7" s="129"/>
      <c r="BNA7" s="129"/>
      <c r="BNB7" s="129"/>
      <c r="BNC7" s="129"/>
      <c r="BND7" s="129"/>
      <c r="BNE7" s="129"/>
      <c r="BNF7" s="129"/>
      <c r="BNG7" s="129"/>
      <c r="BNH7" s="129"/>
      <c r="BNI7" s="129"/>
      <c r="BNJ7" s="129"/>
      <c r="BNK7" s="129"/>
      <c r="BNL7" s="129"/>
      <c r="BNM7" s="129"/>
      <c r="BNN7" s="129"/>
      <c r="BNO7" s="129"/>
      <c r="BNP7" s="129"/>
      <c r="BNQ7" s="129"/>
      <c r="BNR7" s="128"/>
      <c r="BNS7" s="128"/>
      <c r="BNT7" s="128"/>
      <c r="BNU7" s="128"/>
      <c r="BNV7" s="128"/>
      <c r="BNW7" s="128"/>
      <c r="BNX7" s="129"/>
      <c r="BNY7" s="129"/>
      <c r="BNZ7" s="129"/>
      <c r="BOA7" s="129"/>
      <c r="BOB7" s="129"/>
      <c r="BOC7" s="129"/>
      <c r="BOD7" s="129"/>
      <c r="BOE7" s="129"/>
      <c r="BOF7" s="129"/>
      <c r="BOG7" s="129"/>
      <c r="BOH7" s="129"/>
      <c r="BOI7" s="129"/>
      <c r="BOJ7" s="129"/>
      <c r="BOK7" s="129"/>
      <c r="BOL7" s="129"/>
      <c r="BOM7" s="129"/>
      <c r="BON7" s="129"/>
      <c r="BOO7" s="129"/>
      <c r="BOP7" s="129"/>
      <c r="BOQ7" s="129"/>
      <c r="BOR7" s="129"/>
      <c r="BOS7" s="129"/>
      <c r="BOT7" s="129"/>
      <c r="BOU7" s="129"/>
      <c r="BOV7" s="129"/>
      <c r="BOW7" s="129"/>
      <c r="BOX7" s="129"/>
      <c r="BOY7" s="129"/>
      <c r="BOZ7" s="128"/>
      <c r="BPA7" s="128"/>
      <c r="BPB7" s="128"/>
      <c r="BPC7" s="128"/>
      <c r="BPD7" s="128"/>
      <c r="BPE7" s="128"/>
      <c r="BPF7" s="128"/>
      <c r="BPH7" s="128" t="s">
        <v>370</v>
      </c>
      <c r="BPI7" s="128"/>
      <c r="BPJ7" s="128"/>
      <c r="BPK7" s="128"/>
      <c r="BPL7" s="128"/>
      <c r="BPM7" s="128"/>
      <c r="BPN7" s="128"/>
      <c r="BPO7" s="128"/>
      <c r="BPP7" s="128"/>
      <c r="BPQ7" s="128"/>
      <c r="BPR7" s="128"/>
      <c r="BPS7" s="128"/>
      <c r="BPT7" s="128"/>
      <c r="BPU7" s="128"/>
      <c r="BPV7" s="128"/>
      <c r="BPW7" s="128"/>
      <c r="BPX7" s="128"/>
      <c r="BPY7" s="128"/>
      <c r="BPZ7" s="128"/>
      <c r="BQA7" s="128"/>
      <c r="BQB7" s="128"/>
      <c r="BQC7" s="128"/>
      <c r="BQD7" s="128"/>
      <c r="BQE7" s="128"/>
      <c r="BQF7" s="128"/>
      <c r="BQG7" s="128"/>
      <c r="BQH7" s="128"/>
      <c r="BQI7" s="128"/>
      <c r="BQJ7" s="128"/>
      <c r="BQK7" s="128"/>
      <c r="BQL7" s="128"/>
      <c r="BQM7" s="129"/>
      <c r="BQN7" s="129"/>
      <c r="BQO7" s="129"/>
      <c r="BQP7" s="129"/>
      <c r="BQQ7" s="129"/>
      <c r="BQR7" s="129"/>
      <c r="BQS7" s="129"/>
      <c r="BQT7" s="129"/>
      <c r="BQU7" s="129"/>
      <c r="BQV7" s="129"/>
      <c r="BQW7" s="129"/>
      <c r="BQX7" s="129"/>
      <c r="BQY7" s="129"/>
      <c r="BQZ7" s="129"/>
      <c r="BRA7" s="129"/>
      <c r="BRB7" s="129"/>
      <c r="BRC7" s="129"/>
      <c r="BRD7" s="129"/>
      <c r="BRE7" s="129"/>
      <c r="BRF7" s="129"/>
      <c r="BRG7" s="129"/>
      <c r="BRH7" s="128"/>
      <c r="BRI7" s="128"/>
      <c r="BRJ7" s="128"/>
      <c r="BRK7" s="128"/>
      <c r="BRL7" s="128"/>
      <c r="BRM7" s="128"/>
      <c r="BRN7" s="129"/>
      <c r="BRO7" s="129"/>
      <c r="BRP7" s="129"/>
      <c r="BRQ7" s="129"/>
      <c r="BRR7" s="129"/>
      <c r="BRS7" s="129"/>
      <c r="BRT7" s="129"/>
      <c r="BRU7" s="129"/>
      <c r="BRV7" s="129"/>
      <c r="BRW7" s="129"/>
      <c r="BRX7" s="129"/>
      <c r="BRY7" s="129"/>
      <c r="BRZ7" s="129"/>
      <c r="BSA7" s="129"/>
      <c r="BSB7" s="129"/>
      <c r="BSC7" s="129"/>
      <c r="BSD7" s="129"/>
      <c r="BSE7" s="129"/>
      <c r="BSF7" s="129"/>
      <c r="BSG7" s="129"/>
      <c r="BSH7" s="129"/>
      <c r="BSI7" s="129"/>
      <c r="BSJ7" s="129"/>
      <c r="BSK7" s="129"/>
      <c r="BSL7" s="129"/>
      <c r="BSM7" s="129"/>
      <c r="BSN7" s="129"/>
      <c r="BSO7" s="129"/>
      <c r="BSP7" s="128"/>
      <c r="BSQ7" s="128"/>
      <c r="BSR7" s="128"/>
      <c r="BSS7" s="128"/>
      <c r="BST7" s="128"/>
      <c r="BSU7" s="128"/>
      <c r="BSV7" s="128"/>
      <c r="BSX7" s="128"/>
      <c r="BSY7" s="128"/>
      <c r="BSZ7" s="128"/>
      <c r="BTA7" s="128"/>
      <c r="BTB7" s="128"/>
      <c r="BTC7" s="128"/>
      <c r="BTD7" s="128"/>
      <c r="BTE7" s="128"/>
      <c r="BTF7" s="128"/>
      <c r="BTG7" s="128"/>
      <c r="BTH7" s="128"/>
      <c r="BTI7" s="128"/>
      <c r="BTJ7" s="128"/>
      <c r="BTK7" s="128"/>
      <c r="BTL7" s="128"/>
      <c r="BTM7" s="128"/>
      <c r="BTN7" s="128"/>
      <c r="BTO7" s="128"/>
      <c r="BTP7" s="128"/>
      <c r="BTQ7" s="128"/>
      <c r="BTR7" s="128"/>
      <c r="BTS7" s="128"/>
      <c r="BTT7" s="128"/>
      <c r="BTU7" s="128"/>
      <c r="BTV7" s="128"/>
      <c r="BTW7" s="128"/>
      <c r="BTX7" s="128"/>
      <c r="BTY7" s="128"/>
      <c r="BTZ7" s="128"/>
      <c r="BUA7" s="128"/>
      <c r="BUB7" s="128"/>
      <c r="BUC7" s="129"/>
      <c r="BUD7" s="129"/>
      <c r="BUE7" s="129"/>
      <c r="BUF7" s="129"/>
      <c r="BUG7" s="129"/>
      <c r="BUH7" s="129"/>
      <c r="BUI7" s="129"/>
      <c r="BUJ7" s="129"/>
      <c r="BUK7" s="129"/>
      <c r="BUL7" s="129"/>
      <c r="BUM7" s="129"/>
      <c r="BUN7" s="129"/>
      <c r="BUO7" s="129"/>
      <c r="BUP7" s="129"/>
      <c r="BUQ7" s="129"/>
      <c r="BUR7" s="129"/>
      <c r="BUS7" s="129"/>
      <c r="BUT7" s="129"/>
      <c r="BUU7" s="129"/>
      <c r="BUV7" s="129"/>
      <c r="BUW7" s="129"/>
      <c r="BUX7" s="128"/>
      <c r="BUY7" s="128"/>
      <c r="BUZ7" s="128"/>
      <c r="BVA7" s="128"/>
      <c r="BVB7" s="128"/>
      <c r="BVC7" s="128"/>
      <c r="BVD7" s="129"/>
      <c r="BVE7" s="129"/>
      <c r="BVF7" s="129"/>
      <c r="BVG7" s="129"/>
      <c r="BVH7" s="129"/>
      <c r="BVI7" s="129"/>
      <c r="BVJ7" s="129"/>
      <c r="BVK7" s="129"/>
      <c r="BVL7" s="129"/>
      <c r="BVM7" s="129"/>
      <c r="BVN7" s="129"/>
      <c r="BVO7" s="129"/>
      <c r="BVP7" s="129"/>
      <c r="BVQ7" s="129"/>
      <c r="BVR7" s="129"/>
      <c r="BVS7" s="129"/>
      <c r="BVT7" s="129"/>
      <c r="BVU7" s="129"/>
      <c r="BVV7" s="129"/>
      <c r="BVW7" s="129"/>
      <c r="BVX7" s="129"/>
      <c r="BVY7" s="129"/>
      <c r="BVZ7" s="129"/>
      <c r="BWA7" s="129"/>
      <c r="BWB7" s="129"/>
      <c r="BWC7" s="129"/>
      <c r="BWD7" s="129"/>
      <c r="BWE7" s="129"/>
      <c r="BWF7" s="128"/>
      <c r="BWG7" s="128"/>
      <c r="BWH7" s="128"/>
      <c r="BWI7" s="128"/>
      <c r="BWJ7" s="128"/>
      <c r="BWK7" s="128"/>
      <c r="BWL7" s="128"/>
      <c r="BWN7" s="128" t="s">
        <v>377</v>
      </c>
      <c r="BWO7" s="128"/>
      <c r="BWP7" s="128"/>
      <c r="BWQ7" s="128"/>
      <c r="BWR7" s="128"/>
      <c r="BWS7" s="128"/>
      <c r="BWT7" s="128"/>
      <c r="BWU7" s="128"/>
      <c r="BWV7" s="128"/>
      <c r="BWW7" s="128"/>
      <c r="BWX7" s="128"/>
      <c r="BWY7" s="128"/>
      <c r="BWZ7" s="128"/>
      <c r="BXA7" s="128"/>
      <c r="BXB7" s="128"/>
      <c r="BXC7" s="128"/>
      <c r="BXD7" s="128"/>
      <c r="BXE7" s="128"/>
      <c r="BXF7" s="128"/>
      <c r="BXG7" s="128"/>
      <c r="BXH7" s="128"/>
      <c r="BXI7" s="128"/>
      <c r="BXJ7" s="128"/>
      <c r="BXK7" s="128"/>
      <c r="BXL7" s="128"/>
      <c r="BXM7" s="128"/>
      <c r="BXN7" s="128"/>
      <c r="BXO7" s="128"/>
      <c r="BXP7" s="128"/>
      <c r="BXQ7" s="128"/>
      <c r="BXR7" s="128"/>
      <c r="BXS7" s="129"/>
      <c r="BXT7" s="129"/>
      <c r="BXU7" s="129"/>
      <c r="BXV7" s="129"/>
      <c r="BXW7" s="129"/>
      <c r="BXX7" s="129"/>
      <c r="BXY7" s="129"/>
      <c r="BXZ7" s="129"/>
      <c r="BYA7" s="129"/>
      <c r="BYB7" s="129"/>
      <c r="BYC7" s="129"/>
      <c r="BYD7" s="129"/>
      <c r="BYE7" s="129"/>
      <c r="BYF7" s="129"/>
      <c r="BYG7" s="129"/>
      <c r="BYH7" s="129"/>
      <c r="BYI7" s="129"/>
      <c r="BYJ7" s="129"/>
      <c r="BYK7" s="129"/>
      <c r="BYL7" s="129"/>
      <c r="BYM7" s="129"/>
      <c r="BYN7" s="128"/>
      <c r="BYO7" s="128"/>
      <c r="BYP7" s="128"/>
      <c r="BYQ7" s="128"/>
      <c r="BYR7" s="128"/>
      <c r="BYS7" s="128"/>
      <c r="BYT7" s="129"/>
      <c r="BYU7" s="129"/>
      <c r="BYV7" s="129"/>
      <c r="BYW7" s="129"/>
      <c r="BYX7" s="129"/>
      <c r="BYY7" s="129"/>
      <c r="BYZ7" s="129"/>
      <c r="BZA7" s="129"/>
      <c r="BZB7" s="129"/>
      <c r="BZC7" s="129"/>
      <c r="BZD7" s="129"/>
      <c r="BZE7" s="129"/>
      <c r="BZF7" s="129"/>
      <c r="BZG7" s="129"/>
      <c r="BZH7" s="129"/>
      <c r="BZI7" s="129"/>
      <c r="BZJ7" s="129"/>
      <c r="BZK7" s="129"/>
      <c r="BZL7" s="129"/>
      <c r="BZM7" s="129"/>
      <c r="BZN7" s="129"/>
      <c r="BZO7" s="129"/>
      <c r="BZP7" s="129"/>
      <c r="BZQ7" s="129"/>
      <c r="BZR7" s="129"/>
      <c r="BZS7" s="129"/>
      <c r="BZT7" s="129"/>
      <c r="BZU7" s="129"/>
      <c r="BZV7" s="128"/>
      <c r="BZW7" s="128"/>
      <c r="BZX7" s="128"/>
      <c r="BZY7" s="128"/>
      <c r="BZZ7" s="128"/>
      <c r="CAA7" s="128"/>
      <c r="CAB7" s="128"/>
      <c r="CAD7" s="128" t="s">
        <v>384</v>
      </c>
      <c r="CAE7" s="128"/>
      <c r="CAF7" s="128"/>
      <c r="CAG7" s="128"/>
      <c r="CAH7" s="128"/>
      <c r="CAI7" s="128"/>
      <c r="CAJ7" s="128"/>
      <c r="CAK7" s="128"/>
      <c r="CAL7" s="128"/>
      <c r="CAM7" s="128"/>
      <c r="CAN7" s="128"/>
      <c r="CAO7" s="128"/>
      <c r="CAP7" s="128"/>
      <c r="CAQ7" s="128"/>
      <c r="CAR7" s="128"/>
      <c r="CAS7" s="128"/>
      <c r="CAT7" s="128"/>
      <c r="CAU7" s="128"/>
      <c r="CAV7" s="128"/>
      <c r="CAW7" s="128"/>
      <c r="CAX7" s="128"/>
      <c r="CAY7" s="128"/>
      <c r="CAZ7" s="128"/>
      <c r="CBA7" s="128"/>
      <c r="CBB7" s="128"/>
      <c r="CBC7" s="128"/>
      <c r="CBD7" s="128"/>
      <c r="CBE7" s="128"/>
      <c r="CBF7" s="128"/>
      <c r="CBG7" s="128"/>
      <c r="CBH7" s="128"/>
      <c r="CBI7" s="129"/>
      <c r="CBJ7" s="129"/>
      <c r="CBK7" s="129"/>
      <c r="CBL7" s="129"/>
      <c r="CBM7" s="129"/>
      <c r="CBN7" s="129"/>
      <c r="CBO7" s="129"/>
      <c r="CBP7" s="129"/>
      <c r="CBQ7" s="129"/>
      <c r="CBR7" s="129"/>
      <c r="CBS7" s="129"/>
      <c r="CBT7" s="129"/>
      <c r="CBU7" s="129"/>
      <c r="CBV7" s="129"/>
      <c r="CBW7" s="129"/>
      <c r="CBX7" s="129"/>
      <c r="CBY7" s="129"/>
      <c r="CBZ7" s="129"/>
      <c r="CCA7" s="129"/>
      <c r="CCB7" s="129"/>
      <c r="CCC7" s="129"/>
      <c r="CCD7" s="128"/>
      <c r="CCE7" s="128"/>
      <c r="CCF7" s="128"/>
      <c r="CCG7" s="128"/>
      <c r="CCH7" s="128"/>
      <c r="CCI7" s="128"/>
      <c r="CCJ7" s="129"/>
      <c r="CCK7" s="129"/>
      <c r="CCL7" s="129"/>
      <c r="CCM7" s="129"/>
      <c r="CCN7" s="129"/>
      <c r="CCO7" s="129"/>
      <c r="CCP7" s="129"/>
      <c r="CCQ7" s="129"/>
      <c r="CCR7" s="129"/>
      <c r="CCS7" s="129"/>
      <c r="CCT7" s="129"/>
      <c r="CCU7" s="129"/>
      <c r="CCV7" s="129"/>
      <c r="CCW7" s="129"/>
      <c r="CCX7" s="129"/>
      <c r="CCY7" s="129"/>
      <c r="CCZ7" s="129"/>
      <c r="CDA7" s="129"/>
      <c r="CDB7" s="129"/>
      <c r="CDC7" s="129"/>
      <c r="CDD7" s="129"/>
      <c r="CDE7" s="129"/>
      <c r="CDF7" s="129"/>
      <c r="CDG7" s="129"/>
      <c r="CDH7" s="129"/>
      <c r="CDI7" s="129"/>
      <c r="CDJ7" s="129"/>
      <c r="CDK7" s="129"/>
      <c r="CDL7" s="128"/>
      <c r="CDM7" s="128"/>
      <c r="CDN7" s="128"/>
      <c r="CDO7" s="128"/>
      <c r="CDP7" s="128"/>
      <c r="CDQ7" s="128"/>
      <c r="CDR7" s="128"/>
      <c r="CDT7" s="128" t="s">
        <v>390</v>
      </c>
      <c r="CDU7" s="128"/>
      <c r="CDV7" s="128"/>
      <c r="CDW7" s="128"/>
      <c r="CDX7" s="128"/>
      <c r="CDY7" s="128"/>
      <c r="CDZ7" s="128"/>
      <c r="CEA7" s="128"/>
      <c r="CEB7" s="128"/>
      <c r="CEC7" s="128"/>
      <c r="CED7" s="128"/>
      <c r="CEE7" s="128"/>
      <c r="CEF7" s="128"/>
      <c r="CEG7" s="128"/>
      <c r="CEH7" s="128"/>
      <c r="CEI7" s="128"/>
      <c r="CEJ7" s="128"/>
      <c r="CEK7" s="128"/>
      <c r="CEL7" s="128"/>
      <c r="CEM7" s="128"/>
      <c r="CEN7" s="128"/>
      <c r="CEO7" s="128"/>
      <c r="CEP7" s="128"/>
      <c r="CEQ7" s="128"/>
      <c r="CER7" s="128"/>
      <c r="CES7" s="128"/>
      <c r="CET7" s="128"/>
      <c r="CEU7" s="128"/>
      <c r="CEV7" s="128"/>
      <c r="CEW7" s="128"/>
      <c r="CEX7" s="128"/>
      <c r="CEY7" s="129"/>
      <c r="CEZ7" s="129"/>
      <c r="CFA7" s="129"/>
      <c r="CFB7" s="129"/>
      <c r="CFC7" s="129"/>
      <c r="CFD7" s="129"/>
      <c r="CFE7" s="129"/>
      <c r="CFF7" s="129"/>
      <c r="CFG7" s="129"/>
      <c r="CFH7" s="129"/>
      <c r="CFI7" s="129"/>
      <c r="CFJ7" s="129"/>
      <c r="CFK7" s="129"/>
      <c r="CFL7" s="129"/>
      <c r="CFM7" s="129"/>
      <c r="CFN7" s="129"/>
      <c r="CFO7" s="129"/>
      <c r="CFP7" s="129"/>
      <c r="CFQ7" s="129"/>
      <c r="CFR7" s="129"/>
      <c r="CFS7" s="129"/>
      <c r="CFT7" s="128"/>
      <c r="CFU7" s="128"/>
      <c r="CFV7" s="128"/>
      <c r="CFW7" s="128"/>
      <c r="CFX7" s="128"/>
      <c r="CFY7" s="128"/>
      <c r="CFZ7" s="129"/>
      <c r="CGA7" s="129"/>
      <c r="CGB7" s="129"/>
      <c r="CGC7" s="129"/>
      <c r="CGD7" s="129"/>
      <c r="CGE7" s="129"/>
      <c r="CGF7" s="129"/>
      <c r="CGG7" s="129"/>
      <c r="CGH7" s="129"/>
      <c r="CGI7" s="129"/>
      <c r="CGJ7" s="129"/>
      <c r="CGK7" s="129"/>
      <c r="CGL7" s="129"/>
      <c r="CGM7" s="129"/>
      <c r="CGN7" s="129"/>
      <c r="CGO7" s="129"/>
      <c r="CGP7" s="129"/>
      <c r="CGQ7" s="129"/>
      <c r="CGR7" s="129"/>
      <c r="CGS7" s="129"/>
      <c r="CGT7" s="129"/>
      <c r="CGU7" s="129"/>
      <c r="CGV7" s="129"/>
      <c r="CGW7" s="129"/>
      <c r="CGX7" s="129"/>
      <c r="CGY7" s="129"/>
      <c r="CGZ7" s="129"/>
      <c r="CHA7" s="129"/>
      <c r="CHB7" s="128"/>
      <c r="CHC7" s="128"/>
      <c r="CHD7" s="128"/>
      <c r="CHE7" s="128"/>
      <c r="CHF7" s="128"/>
      <c r="CHG7" s="128"/>
      <c r="CHH7" s="128"/>
      <c r="CHJ7" s="144" t="s">
        <v>403</v>
      </c>
      <c r="CHK7" s="144"/>
      <c r="CHL7" s="144"/>
      <c r="CHM7" s="144"/>
      <c r="CHN7" s="144"/>
      <c r="CHO7" s="144"/>
      <c r="CHP7" s="144"/>
      <c r="CHQ7" s="144"/>
      <c r="CHR7" s="144"/>
      <c r="CHS7" s="144"/>
      <c r="CHT7" s="144"/>
      <c r="CHU7" s="144"/>
      <c r="CHV7" s="144"/>
      <c r="CHW7" s="144"/>
      <c r="CHX7" s="144"/>
      <c r="CHY7" s="144"/>
      <c r="CHZ7" s="144"/>
      <c r="CIA7" s="144"/>
      <c r="CIB7" s="144"/>
      <c r="CIC7" s="144"/>
      <c r="CID7" s="144"/>
      <c r="CIE7" s="144"/>
      <c r="CIF7" s="144"/>
      <c r="CIG7" s="144"/>
      <c r="CIH7" s="144"/>
      <c r="CII7" s="144"/>
      <c r="CIJ7" s="144"/>
      <c r="CIK7" s="144"/>
      <c r="CIL7" s="144"/>
      <c r="CIM7" s="144"/>
      <c r="CIN7" s="144"/>
      <c r="CIO7" s="144"/>
      <c r="CIP7" s="144"/>
      <c r="CIQ7" s="144"/>
      <c r="CIR7" s="144"/>
      <c r="CIS7" s="144"/>
      <c r="CIT7" s="144"/>
      <c r="CIU7" s="144"/>
      <c r="CIV7" s="144"/>
      <c r="CIW7" s="144"/>
      <c r="CIX7" s="144"/>
      <c r="CIY7" s="144"/>
      <c r="CIZ7" s="144"/>
      <c r="CJA7" s="144"/>
      <c r="CJB7" s="144"/>
      <c r="CJC7" s="144"/>
      <c r="CJD7" s="144"/>
      <c r="CJE7" s="144"/>
      <c r="CJF7" s="144"/>
      <c r="CJG7" s="144"/>
      <c r="CJH7" s="144"/>
      <c r="CJI7" s="144"/>
      <c r="CJJ7" s="144"/>
      <c r="CJK7" s="144"/>
      <c r="CJL7" s="144"/>
      <c r="CJM7" s="144"/>
      <c r="CJN7" s="144"/>
      <c r="CJO7" s="144"/>
      <c r="CJP7" s="144"/>
      <c r="CJQ7" s="144"/>
      <c r="CJR7" s="144"/>
      <c r="CJS7" s="144"/>
      <c r="CJT7" s="144"/>
      <c r="CJU7" s="144"/>
      <c r="CJV7" s="144"/>
      <c r="CJW7" s="144"/>
      <c r="CJX7" s="144"/>
      <c r="CJY7" s="144"/>
      <c r="CJZ7" s="144"/>
      <c r="CKA7" s="144"/>
      <c r="CKB7" s="144"/>
      <c r="CKC7" s="144"/>
      <c r="CKD7" s="144"/>
      <c r="CKE7" s="144"/>
      <c r="CKF7" s="144"/>
      <c r="CKG7" s="144"/>
      <c r="CKH7" s="144"/>
      <c r="CKI7" s="144"/>
      <c r="CKJ7" s="144"/>
      <c r="CKK7" s="144"/>
      <c r="CKL7" s="144"/>
      <c r="CKM7" s="144"/>
      <c r="CKN7" s="144"/>
      <c r="CKO7" s="144"/>
      <c r="CKP7" s="144"/>
      <c r="CKQ7" s="144"/>
      <c r="CKR7" s="144"/>
      <c r="CKS7" s="144"/>
      <c r="CKT7" s="144"/>
      <c r="CKU7" s="144"/>
      <c r="CKV7" s="144"/>
      <c r="CKW7" s="144"/>
      <c r="CKX7" s="144"/>
      <c r="CKZ7" s="128" t="s">
        <v>409</v>
      </c>
      <c r="CLA7" s="128"/>
      <c r="CLB7" s="128"/>
      <c r="CLC7" s="128"/>
      <c r="CLD7" s="128"/>
      <c r="CLE7" s="128"/>
      <c r="CLF7" s="128"/>
      <c r="CLG7" s="128"/>
      <c r="CLH7" s="128"/>
      <c r="CLI7" s="128"/>
      <c r="CLJ7" s="128"/>
      <c r="CLK7" s="128"/>
      <c r="CLL7" s="128"/>
      <c r="CLM7" s="128"/>
      <c r="CLN7" s="128"/>
      <c r="CLO7" s="128"/>
      <c r="CLP7" s="128"/>
      <c r="CLQ7" s="128"/>
      <c r="CLR7" s="128"/>
      <c r="CLS7" s="128"/>
      <c r="CLT7" s="128"/>
      <c r="CLU7" s="128"/>
      <c r="CLV7" s="128"/>
      <c r="CLW7" s="128"/>
      <c r="CLX7" s="128"/>
      <c r="CLY7" s="128"/>
      <c r="CLZ7" s="128"/>
      <c r="CMA7" s="128"/>
      <c r="CMB7" s="128"/>
      <c r="CMC7" s="128"/>
      <c r="CMD7" s="128"/>
      <c r="CME7" s="129"/>
      <c r="CMF7" s="129"/>
      <c r="CMG7" s="129"/>
      <c r="CMH7" s="129"/>
      <c r="CMI7" s="129"/>
      <c r="CMJ7" s="129"/>
      <c r="CMK7" s="129"/>
      <c r="CML7" s="129"/>
      <c r="CMM7" s="129"/>
      <c r="CMN7" s="129"/>
      <c r="CMO7" s="129"/>
      <c r="CMP7" s="129"/>
      <c r="CMQ7" s="129"/>
      <c r="CMR7" s="129"/>
      <c r="CMS7" s="129"/>
      <c r="CMT7" s="129"/>
      <c r="CMU7" s="129"/>
      <c r="CMV7" s="129"/>
      <c r="CMW7" s="129"/>
      <c r="CMX7" s="129"/>
      <c r="CMY7" s="129"/>
      <c r="CMZ7" s="128"/>
      <c r="CNA7" s="128"/>
      <c r="CNB7" s="128"/>
      <c r="CNC7" s="128"/>
      <c r="CND7" s="128"/>
      <c r="CNE7" s="128"/>
      <c r="CNF7" s="129"/>
      <c r="CNG7" s="129"/>
      <c r="CNH7" s="129"/>
      <c r="CNI7" s="129"/>
      <c r="CNJ7" s="129"/>
      <c r="CNK7" s="129"/>
      <c r="CNL7" s="129"/>
      <c r="CNM7" s="129"/>
      <c r="CNN7" s="129"/>
      <c r="CNO7" s="129"/>
      <c r="CNP7" s="129"/>
      <c r="CNQ7" s="129"/>
      <c r="CNR7" s="129"/>
      <c r="CNS7" s="129"/>
      <c r="CNT7" s="129"/>
      <c r="CNU7" s="129"/>
      <c r="CNV7" s="129"/>
      <c r="CNW7" s="129"/>
      <c r="CNX7" s="129"/>
      <c r="CNY7" s="129"/>
      <c r="CNZ7" s="129"/>
      <c r="COA7" s="129"/>
      <c r="COB7" s="129"/>
      <c r="COC7" s="129"/>
      <c r="COD7" s="129"/>
      <c r="COE7" s="129"/>
      <c r="COF7" s="129"/>
      <c r="COG7" s="129"/>
      <c r="COH7" s="128"/>
      <c r="COI7" s="128"/>
      <c r="COJ7" s="128"/>
      <c r="COK7" s="128"/>
      <c r="COL7" s="128"/>
      <c r="COM7" s="128"/>
      <c r="CON7" s="128"/>
      <c r="COP7" s="128" t="str">
        <f ca="1">VLOOKUP(3,INDIRECT("Base"&amp;$BJ$3),2,FALSE)</f>
        <v>Influences</v>
      </c>
      <c r="COQ7" s="128"/>
      <c r="COR7" s="128"/>
      <c r="COS7" s="128"/>
      <c r="COT7" s="128"/>
      <c r="COU7" s="128"/>
      <c r="COV7" s="128"/>
      <c r="COW7" s="128"/>
      <c r="COX7" s="128"/>
      <c r="COY7" s="128"/>
      <c r="COZ7" s="128"/>
      <c r="CPA7" s="128"/>
      <c r="CPB7" s="128"/>
      <c r="CPC7" s="128"/>
      <c r="CPD7" s="128"/>
      <c r="CPE7" s="128"/>
      <c r="CPF7" s="128"/>
      <c r="CPG7" s="128"/>
      <c r="CPH7" s="128"/>
      <c r="CPI7" s="128"/>
      <c r="CPJ7" s="128"/>
      <c r="CPK7" s="128"/>
      <c r="CPL7" s="128"/>
      <c r="CPM7" s="128"/>
      <c r="CPN7" s="128"/>
      <c r="CPO7" s="128"/>
      <c r="CPP7" s="128"/>
      <c r="CPQ7" s="128"/>
      <c r="CPR7" s="128"/>
      <c r="CPS7" s="128"/>
      <c r="CPT7" s="128"/>
      <c r="CPU7" s="129"/>
      <c r="CPV7" s="129"/>
      <c r="CPW7" s="129"/>
      <c r="CPX7" s="129"/>
      <c r="CPY7" s="129"/>
      <c r="CPZ7" s="129"/>
      <c r="CQA7" s="129"/>
      <c r="CQB7" s="129"/>
      <c r="CQC7" s="129"/>
      <c r="CQD7" s="129"/>
      <c r="CQE7" s="129"/>
      <c r="CQF7" s="129"/>
      <c r="CQG7" s="129"/>
      <c r="CQH7" s="129"/>
      <c r="CQI7" s="129"/>
      <c r="CQJ7" s="129"/>
      <c r="CQK7" s="129"/>
      <c r="CQL7" s="129"/>
      <c r="CQM7" s="129"/>
      <c r="CQN7" s="129"/>
      <c r="CQO7" s="129"/>
      <c r="CQP7" s="128"/>
      <c r="CQQ7" s="128"/>
      <c r="CQR7" s="128"/>
      <c r="CQS7" s="128"/>
      <c r="CQT7" s="128"/>
      <c r="CQU7" s="128"/>
      <c r="CQV7" s="129"/>
      <c r="CQW7" s="129"/>
      <c r="CQX7" s="129"/>
      <c r="CQY7" s="129"/>
      <c r="CQZ7" s="129"/>
      <c r="CRA7" s="129"/>
      <c r="CRB7" s="129"/>
      <c r="CRC7" s="129"/>
      <c r="CRD7" s="129"/>
      <c r="CRE7" s="129"/>
      <c r="CRF7" s="129"/>
      <c r="CRG7" s="129"/>
      <c r="CRH7" s="129"/>
      <c r="CRI7" s="129"/>
      <c r="CRJ7" s="129"/>
      <c r="CRK7" s="129"/>
      <c r="CRL7" s="129"/>
      <c r="CRM7" s="129"/>
      <c r="CRN7" s="129"/>
      <c r="CRO7" s="129"/>
      <c r="CRP7" s="129"/>
      <c r="CRQ7" s="129"/>
      <c r="CRR7" s="129"/>
      <c r="CRS7" s="129"/>
      <c r="CRT7" s="129"/>
      <c r="CRU7" s="129"/>
      <c r="CRV7" s="129"/>
      <c r="CRW7" s="129"/>
      <c r="CRX7" s="128"/>
      <c r="CRY7" s="128"/>
      <c r="CRZ7" s="128"/>
      <c r="CSA7" s="128"/>
      <c r="CSB7" s="128"/>
      <c r="CSC7" s="128"/>
      <c r="CSD7" s="128"/>
      <c r="CSF7" s="128" t="s">
        <v>432</v>
      </c>
      <c r="CSG7" s="128"/>
      <c r="CSH7" s="128"/>
      <c r="CSI7" s="128"/>
      <c r="CSJ7" s="128"/>
      <c r="CSK7" s="128"/>
      <c r="CSL7" s="128"/>
      <c r="CSM7" s="128"/>
      <c r="CSN7" s="128"/>
      <c r="CSO7" s="128"/>
      <c r="CSP7" s="128"/>
      <c r="CSQ7" s="128"/>
      <c r="CSR7" s="128"/>
      <c r="CSS7" s="128"/>
      <c r="CST7" s="128"/>
      <c r="CSU7" s="128"/>
      <c r="CSV7" s="128"/>
      <c r="CSW7" s="128"/>
      <c r="CSX7" s="128"/>
      <c r="CSY7" s="128"/>
      <c r="CSZ7" s="128"/>
      <c r="CTA7" s="128"/>
      <c r="CTB7" s="128"/>
      <c r="CTC7" s="128"/>
      <c r="CTD7" s="128"/>
      <c r="CTE7" s="128"/>
      <c r="CTF7" s="128"/>
      <c r="CTG7" s="128"/>
      <c r="CTH7" s="128"/>
      <c r="CTI7" s="128"/>
      <c r="CTJ7" s="128"/>
      <c r="CTK7" s="129"/>
      <c r="CTL7" s="129"/>
      <c r="CTM7" s="129"/>
      <c r="CTN7" s="129"/>
      <c r="CTO7" s="129"/>
      <c r="CTP7" s="129"/>
      <c r="CTQ7" s="129"/>
      <c r="CTR7" s="129"/>
      <c r="CTS7" s="129"/>
      <c r="CTT7" s="129"/>
      <c r="CTU7" s="129"/>
      <c r="CTV7" s="129"/>
      <c r="CTW7" s="129"/>
      <c r="CTX7" s="129"/>
      <c r="CTY7" s="129"/>
      <c r="CTZ7" s="129"/>
      <c r="CUA7" s="129"/>
      <c r="CUB7" s="129"/>
      <c r="CUC7" s="129"/>
      <c r="CUD7" s="129"/>
      <c r="CUE7" s="129"/>
      <c r="CUF7" s="128"/>
      <c r="CUG7" s="128"/>
      <c r="CUH7" s="128"/>
      <c r="CUI7" s="128"/>
      <c r="CUJ7" s="128"/>
      <c r="CUK7" s="128"/>
      <c r="CUL7" s="129"/>
      <c r="CUM7" s="129"/>
      <c r="CUN7" s="129"/>
      <c r="CUO7" s="129"/>
      <c r="CUP7" s="129"/>
      <c r="CUQ7" s="129"/>
      <c r="CUR7" s="129"/>
      <c r="CUS7" s="129"/>
      <c r="CUT7" s="129"/>
      <c r="CUU7" s="129"/>
      <c r="CUV7" s="129"/>
      <c r="CUW7" s="129"/>
      <c r="CUX7" s="129"/>
      <c r="CUY7" s="129"/>
      <c r="CUZ7" s="129"/>
      <c r="CVA7" s="129"/>
      <c r="CVB7" s="129"/>
      <c r="CVC7" s="129"/>
      <c r="CVD7" s="129"/>
      <c r="CVE7" s="129"/>
      <c r="CVF7" s="129"/>
      <c r="CVG7" s="129"/>
      <c r="CVH7" s="129"/>
      <c r="CVI7" s="129"/>
      <c r="CVJ7" s="129"/>
      <c r="CVK7" s="129"/>
      <c r="CVL7" s="129"/>
      <c r="CVM7" s="129"/>
      <c r="CVN7" s="128"/>
      <c r="CVO7" s="128"/>
      <c r="CVP7" s="128"/>
      <c r="CVQ7" s="128"/>
      <c r="CVR7" s="128"/>
      <c r="CVS7" s="128"/>
      <c r="CVT7" s="128"/>
      <c r="CVV7" s="128" t="s">
        <v>486</v>
      </c>
      <c r="CVW7" s="128"/>
      <c r="CVX7" s="128"/>
      <c r="CVY7" s="128"/>
      <c r="CVZ7" s="128"/>
      <c r="CWA7" s="128"/>
      <c r="CWB7" s="128"/>
      <c r="CWC7" s="128"/>
      <c r="CWD7" s="128"/>
      <c r="CWE7" s="128"/>
      <c r="CWF7" s="128"/>
      <c r="CWG7" s="128"/>
      <c r="CWH7" s="128"/>
      <c r="CWI7" s="128"/>
      <c r="CWJ7" s="128"/>
      <c r="CWK7" s="128"/>
      <c r="CWL7" s="128"/>
      <c r="CWM7" s="128"/>
      <c r="CWN7" s="128"/>
      <c r="CWO7" s="128"/>
      <c r="CWP7" s="128"/>
      <c r="CWQ7" s="128"/>
      <c r="CWR7" s="128"/>
      <c r="CWS7" s="128"/>
      <c r="CWT7" s="128"/>
      <c r="CWU7" s="128"/>
      <c r="CWV7" s="128"/>
      <c r="CWW7" s="128"/>
      <c r="CWX7" s="128"/>
      <c r="CWY7" s="128"/>
      <c r="CWZ7" s="128"/>
      <c r="CXA7" s="129"/>
      <c r="CXB7" s="129"/>
      <c r="CXC7" s="129"/>
      <c r="CXD7" s="129"/>
      <c r="CXE7" s="129"/>
      <c r="CXF7" s="129"/>
      <c r="CXG7" s="129"/>
      <c r="CXH7" s="129"/>
      <c r="CXI7" s="129"/>
      <c r="CXJ7" s="129"/>
      <c r="CXK7" s="129"/>
      <c r="CXL7" s="129"/>
      <c r="CXM7" s="129"/>
      <c r="CXN7" s="129"/>
      <c r="CXO7" s="129"/>
      <c r="CXP7" s="129"/>
      <c r="CXQ7" s="129"/>
      <c r="CXR7" s="129"/>
      <c r="CXS7" s="129"/>
      <c r="CXT7" s="129"/>
      <c r="CXU7" s="129"/>
      <c r="CXV7" s="128"/>
      <c r="CXW7" s="128"/>
      <c r="CXX7" s="128"/>
      <c r="CXY7" s="128"/>
      <c r="CXZ7" s="128"/>
      <c r="CYA7" s="128"/>
      <c r="CYB7" s="129"/>
      <c r="CYC7" s="129"/>
      <c r="CYD7" s="129"/>
      <c r="CYE7" s="129"/>
      <c r="CYF7" s="129"/>
      <c r="CYG7" s="129"/>
      <c r="CYH7" s="129"/>
      <c r="CYI7" s="129"/>
      <c r="CYJ7" s="129"/>
      <c r="CYK7" s="129"/>
      <c r="CYL7" s="129"/>
      <c r="CYM7" s="129"/>
      <c r="CYN7" s="129"/>
      <c r="CYO7" s="129"/>
      <c r="CYP7" s="129"/>
      <c r="CYQ7" s="129"/>
      <c r="CYR7" s="129"/>
      <c r="CYS7" s="129"/>
      <c r="CYT7" s="129"/>
      <c r="CYU7" s="129"/>
      <c r="CYV7" s="129"/>
      <c r="CYW7" s="129"/>
      <c r="CYX7" s="129"/>
      <c r="CYY7" s="129"/>
      <c r="CYZ7" s="129"/>
      <c r="CZA7" s="129"/>
      <c r="CZB7" s="129"/>
      <c r="CZC7" s="129"/>
      <c r="CZD7" s="128"/>
      <c r="CZE7" s="128"/>
      <c r="CZF7" s="128"/>
      <c r="CZG7" s="128"/>
      <c r="CZH7" s="128"/>
      <c r="CZI7" s="128"/>
      <c r="CZJ7" s="128"/>
      <c r="CZL7" s="128" t="s">
        <v>504</v>
      </c>
      <c r="CZM7" s="128"/>
      <c r="CZN7" s="128"/>
      <c r="CZO7" s="128"/>
      <c r="CZP7" s="128"/>
      <c r="CZQ7" s="128"/>
      <c r="CZR7" s="128"/>
      <c r="CZS7" s="128"/>
      <c r="CZT7" s="128"/>
      <c r="CZU7" s="128"/>
      <c r="CZV7" s="128"/>
      <c r="CZW7" s="128"/>
      <c r="CZX7" s="128"/>
      <c r="CZY7" s="128"/>
      <c r="CZZ7" s="128"/>
      <c r="DAA7" s="128"/>
      <c r="DAB7" s="128"/>
      <c r="DAC7" s="128"/>
      <c r="DAD7" s="128"/>
      <c r="DAE7" s="128"/>
      <c r="DAF7" s="128"/>
      <c r="DAG7" s="128"/>
      <c r="DAH7" s="128"/>
      <c r="DAI7" s="128"/>
      <c r="DAJ7" s="128"/>
      <c r="DAK7" s="128"/>
      <c r="DAL7" s="128"/>
      <c r="DAM7" s="128"/>
      <c r="DAN7" s="128"/>
      <c r="DAO7" s="128"/>
      <c r="DAP7" s="128"/>
      <c r="DAQ7" s="129"/>
      <c r="DAR7" s="129"/>
      <c r="DAS7" s="129"/>
      <c r="DAT7" s="129"/>
      <c r="DAU7" s="129"/>
      <c r="DAV7" s="129"/>
      <c r="DAW7" s="129"/>
      <c r="DAX7" s="129"/>
      <c r="DAY7" s="129"/>
      <c r="DAZ7" s="129"/>
      <c r="DBA7" s="129"/>
      <c r="DBB7" s="129"/>
      <c r="DBC7" s="129"/>
      <c r="DBD7" s="129"/>
      <c r="DBE7" s="129"/>
      <c r="DBF7" s="129"/>
      <c r="DBG7" s="129"/>
      <c r="DBH7" s="129"/>
      <c r="DBI7" s="129"/>
      <c r="DBJ7" s="129"/>
      <c r="DBK7" s="129"/>
      <c r="DBL7" s="128"/>
      <c r="DBM7" s="128"/>
      <c r="DBN7" s="128"/>
      <c r="DBO7" s="128"/>
      <c r="DBP7" s="128"/>
      <c r="DBQ7" s="128"/>
      <c r="DBR7" s="129"/>
      <c r="DBS7" s="129"/>
      <c r="DBT7" s="129"/>
      <c r="DBU7" s="129"/>
      <c r="DBV7" s="129"/>
      <c r="DBW7" s="129"/>
      <c r="DBX7" s="129"/>
      <c r="DBY7" s="129"/>
      <c r="DBZ7" s="129"/>
      <c r="DCA7" s="129"/>
      <c r="DCB7" s="129"/>
      <c r="DCC7" s="129"/>
      <c r="DCD7" s="129"/>
      <c r="DCE7" s="129"/>
      <c r="DCF7" s="129"/>
      <c r="DCG7" s="129"/>
      <c r="DCH7" s="129"/>
      <c r="DCI7" s="129"/>
      <c r="DCJ7" s="129"/>
      <c r="DCK7" s="129"/>
      <c r="DCL7" s="129"/>
      <c r="DCM7" s="129"/>
      <c r="DCN7" s="129"/>
      <c r="DCO7" s="129"/>
      <c r="DCP7" s="129"/>
      <c r="DCQ7" s="129"/>
      <c r="DCR7" s="129"/>
      <c r="DCS7" s="129"/>
      <c r="DCT7" s="128"/>
      <c r="DCU7" s="128"/>
      <c r="DCV7" s="128"/>
      <c r="DCW7" s="128"/>
      <c r="DCX7" s="128"/>
      <c r="DCY7" s="128"/>
      <c r="DCZ7" s="128"/>
      <c r="DDB7" s="128" t="s">
        <v>517</v>
      </c>
      <c r="DDC7" s="128"/>
      <c r="DDD7" s="128"/>
      <c r="DDE7" s="128"/>
      <c r="DDF7" s="128"/>
      <c r="DDG7" s="128"/>
      <c r="DDH7" s="128"/>
      <c r="DDI7" s="128"/>
      <c r="DDJ7" s="128"/>
      <c r="DDK7" s="128"/>
      <c r="DDL7" s="128"/>
      <c r="DDM7" s="128"/>
      <c r="DDN7" s="128"/>
      <c r="DDO7" s="128"/>
      <c r="DDP7" s="128"/>
      <c r="DDQ7" s="128"/>
      <c r="DDR7" s="128"/>
      <c r="DDS7" s="128"/>
      <c r="DDT7" s="128"/>
      <c r="DDU7" s="128"/>
      <c r="DDV7" s="128"/>
      <c r="DDW7" s="128"/>
      <c r="DDX7" s="128"/>
      <c r="DDY7" s="128"/>
      <c r="DDZ7" s="128"/>
      <c r="DEA7" s="128"/>
      <c r="DEB7" s="128"/>
      <c r="DEC7" s="128"/>
      <c r="DED7" s="128"/>
      <c r="DEE7" s="128"/>
      <c r="DEF7" s="128"/>
      <c r="DEG7" s="129"/>
      <c r="DEH7" s="129"/>
      <c r="DEI7" s="129"/>
      <c r="DEJ7" s="129"/>
      <c r="DEK7" s="129"/>
      <c r="DEL7" s="129"/>
      <c r="DEM7" s="129"/>
      <c r="DEN7" s="129"/>
      <c r="DEO7" s="129"/>
      <c r="DEP7" s="129"/>
      <c r="DEQ7" s="129"/>
      <c r="DER7" s="129"/>
      <c r="DES7" s="129"/>
      <c r="DET7" s="129"/>
      <c r="DEU7" s="129"/>
      <c r="DEV7" s="129"/>
      <c r="DEW7" s="129"/>
      <c r="DEX7" s="129"/>
      <c r="DEY7" s="129"/>
      <c r="DEZ7" s="129"/>
      <c r="DFA7" s="129"/>
      <c r="DFB7" s="128"/>
      <c r="DFC7" s="128"/>
      <c r="DFD7" s="128"/>
      <c r="DFE7" s="128"/>
      <c r="DFF7" s="128"/>
      <c r="DFG7" s="128"/>
      <c r="DFH7" s="129"/>
      <c r="DFI7" s="129"/>
      <c r="DFJ7" s="129"/>
      <c r="DFK7" s="129"/>
      <c r="DFL7" s="129"/>
      <c r="DFM7" s="129"/>
      <c r="DFN7" s="129"/>
      <c r="DFO7" s="129"/>
      <c r="DFP7" s="129"/>
      <c r="DFQ7" s="129"/>
      <c r="DFR7" s="129"/>
      <c r="DFS7" s="129"/>
      <c r="DFT7" s="129"/>
      <c r="DFU7" s="129"/>
      <c r="DFV7" s="129"/>
      <c r="DFW7" s="129"/>
      <c r="DFX7" s="129"/>
      <c r="DFY7" s="129"/>
      <c r="DFZ7" s="129"/>
      <c r="DGA7" s="129"/>
      <c r="DGB7" s="129"/>
      <c r="DGC7" s="129"/>
      <c r="DGD7" s="129"/>
      <c r="DGE7" s="129"/>
      <c r="DGF7" s="129"/>
      <c r="DGG7" s="129"/>
      <c r="DGH7" s="129"/>
      <c r="DGI7" s="129"/>
      <c r="DGJ7" s="128"/>
      <c r="DGK7" s="128"/>
      <c r="DGL7" s="128"/>
      <c r="DGM7" s="128"/>
      <c r="DGN7" s="128"/>
      <c r="DGO7" s="128"/>
      <c r="DGP7" s="128"/>
      <c r="DGR7" s="128" t="s">
        <v>558</v>
      </c>
      <c r="DGS7" s="128"/>
      <c r="DGT7" s="128"/>
      <c r="DGU7" s="128"/>
      <c r="DGV7" s="128"/>
      <c r="DGW7" s="128"/>
      <c r="DGX7" s="128"/>
      <c r="DGY7" s="128"/>
      <c r="DGZ7" s="128"/>
      <c r="DHA7" s="128"/>
      <c r="DHB7" s="128"/>
      <c r="DHC7" s="128"/>
      <c r="DHD7" s="128"/>
      <c r="DHE7" s="128"/>
      <c r="DHF7" s="128"/>
      <c r="DHG7" s="128"/>
      <c r="DHH7" s="128"/>
      <c r="DHI7" s="128"/>
      <c r="DHJ7" s="128"/>
      <c r="DHK7" s="128"/>
      <c r="DHL7" s="128"/>
      <c r="DHM7" s="128"/>
      <c r="DHN7" s="128"/>
      <c r="DHO7" s="128"/>
      <c r="DHP7" s="128"/>
      <c r="DHQ7" s="128"/>
      <c r="DHR7" s="128"/>
      <c r="DHS7" s="128"/>
      <c r="DHT7" s="128"/>
      <c r="DHU7" s="128"/>
      <c r="DHV7" s="128"/>
      <c r="DHW7" s="129"/>
      <c r="DHX7" s="129"/>
      <c r="DHY7" s="129"/>
      <c r="DHZ7" s="129"/>
      <c r="DIA7" s="129"/>
      <c r="DIB7" s="129"/>
      <c r="DIC7" s="129"/>
      <c r="DID7" s="129"/>
      <c r="DIE7" s="129"/>
      <c r="DIF7" s="129"/>
      <c r="DIG7" s="129"/>
      <c r="DIH7" s="129"/>
      <c r="DII7" s="129"/>
      <c r="DIJ7" s="129"/>
      <c r="DIK7" s="129"/>
      <c r="DIL7" s="129"/>
      <c r="DIM7" s="129"/>
      <c r="DIN7" s="129"/>
      <c r="DIO7" s="129"/>
      <c r="DIP7" s="129"/>
      <c r="DIQ7" s="129"/>
      <c r="DIR7" s="128"/>
      <c r="DIS7" s="128"/>
      <c r="DIT7" s="128"/>
      <c r="DIU7" s="128"/>
      <c r="DIV7" s="128"/>
      <c r="DIW7" s="128"/>
      <c r="DIX7" s="129"/>
      <c r="DIY7" s="129"/>
      <c r="DIZ7" s="129"/>
      <c r="DJA7" s="129"/>
      <c r="DJB7" s="129"/>
      <c r="DJC7" s="129"/>
      <c r="DJD7" s="129"/>
      <c r="DJE7" s="129"/>
      <c r="DJF7" s="129"/>
      <c r="DJG7" s="129"/>
      <c r="DJH7" s="129"/>
      <c r="DJI7" s="129"/>
      <c r="DJJ7" s="129"/>
      <c r="DJK7" s="129"/>
      <c r="DJL7" s="129"/>
      <c r="DJM7" s="129"/>
      <c r="DJN7" s="129"/>
      <c r="DJO7" s="129"/>
      <c r="DJP7" s="129"/>
      <c r="DJQ7" s="129"/>
      <c r="DJR7" s="129"/>
      <c r="DJS7" s="129"/>
      <c r="DJT7" s="129"/>
      <c r="DJU7" s="129"/>
      <c r="DJV7" s="129"/>
      <c r="DJW7" s="129"/>
      <c r="DJX7" s="129"/>
      <c r="DJY7" s="129"/>
      <c r="DJZ7" s="128"/>
      <c r="DKA7" s="128"/>
      <c r="DKB7" s="128"/>
      <c r="DKC7" s="128"/>
      <c r="DKD7" s="128"/>
      <c r="DKE7" s="128"/>
      <c r="DKF7" s="128"/>
    </row>
    <row r="8" spans="2:2996" ht="15" customHeight="1" x14ac:dyDescent="0.25">
      <c r="B8" s="190" t="s">
        <v>6</v>
      </c>
      <c r="C8" s="191"/>
      <c r="D8" s="191"/>
      <c r="E8" s="191"/>
      <c r="F8" s="191"/>
      <c r="G8" s="191"/>
      <c r="H8" s="191"/>
      <c r="I8" s="191"/>
      <c r="J8" s="131" t="str">
        <f>'Character Creation'!Z18&amp;" lbs"</f>
        <v>156 lbs</v>
      </c>
      <c r="K8" s="131"/>
      <c r="L8" s="131"/>
      <c r="M8" s="131"/>
      <c r="N8" s="131"/>
      <c r="O8" s="131"/>
      <c r="P8" s="131"/>
      <c r="Q8" s="201"/>
      <c r="R8" s="191" t="s">
        <v>13</v>
      </c>
      <c r="S8" s="191"/>
      <c r="T8" s="191"/>
      <c r="U8" s="191"/>
      <c r="V8" s="191"/>
      <c r="W8" s="191"/>
      <c r="X8" s="191"/>
      <c r="Y8" s="191"/>
      <c r="Z8" s="191"/>
      <c r="AA8" s="131" t="str">
        <f>ROUND(20+(Qu/2)+(VLOOKUP(Calculations!AA4,Stride,2,FALSE)),2)&amp;" ft"</f>
        <v>18.5 ft</v>
      </c>
      <c r="AB8" s="131"/>
      <c r="AC8" s="131"/>
      <c r="AD8" s="131"/>
      <c r="AE8" s="131"/>
      <c r="AF8" s="131"/>
      <c r="AG8" s="131"/>
      <c r="AH8" s="201"/>
      <c r="AI8" s="191" t="s">
        <v>17</v>
      </c>
      <c r="AJ8" s="191"/>
      <c r="AK8" s="191"/>
      <c r="AL8" s="191"/>
      <c r="AM8" s="191"/>
      <c r="AN8" s="191"/>
      <c r="AO8" s="191"/>
      <c r="AP8" s="191"/>
      <c r="AQ8" s="191"/>
      <c r="AR8" s="131" t="e">
        <f>(MAX(0,IF(Skills!$AF$393&lt;0,0,Skills!$AF$393))&amp;" PP")</f>
        <v>#N/A</v>
      </c>
      <c r="AS8" s="131"/>
      <c r="AT8" s="131"/>
      <c r="AU8" s="131"/>
      <c r="AV8" s="131"/>
      <c r="AW8" s="131"/>
      <c r="AX8" s="131"/>
      <c r="AY8" s="201"/>
      <c r="AZ8" s="191" t="s">
        <v>20</v>
      </c>
      <c r="BA8" s="191"/>
      <c r="BB8" s="191"/>
      <c r="BC8" s="191"/>
      <c r="BD8" s="191"/>
      <c r="BE8" s="191"/>
      <c r="BF8" s="191"/>
      <c r="BG8" s="191"/>
      <c r="BH8" s="191"/>
      <c r="BI8" s="191"/>
      <c r="BJ8" s="136" t="str">
        <f>SUBSTITUTE(SUBSTITUTE(SUBSTITUTE('Character Creation'!Z14,"Essence","Ess."),"Channeling","Chan."),"Mentalism","Ment.")</f>
        <v>Ess.</v>
      </c>
      <c r="BK8" s="136"/>
      <c r="BL8" s="136"/>
      <c r="BM8" s="136"/>
      <c r="BN8" s="136"/>
      <c r="BO8" s="136"/>
      <c r="BP8" s="136"/>
      <c r="BQ8" s="136"/>
      <c r="BR8" s="136"/>
      <c r="BS8" s="136"/>
      <c r="BT8" s="136"/>
      <c r="BU8" s="136"/>
      <c r="BV8" s="136"/>
      <c r="BW8" s="136"/>
      <c r="BX8" s="313"/>
      <c r="BZ8" s="190" t="s">
        <v>3230</v>
      </c>
      <c r="CA8" s="191"/>
      <c r="CB8" s="191"/>
      <c r="CC8" s="191"/>
      <c r="CD8" s="191"/>
      <c r="CE8" s="191"/>
      <c r="CF8" s="191"/>
      <c r="CG8" s="191"/>
      <c r="CH8" s="191"/>
      <c r="CI8" s="191"/>
      <c r="CJ8" s="191"/>
      <c r="CK8" s="194">
        <v>0</v>
      </c>
      <c r="CL8" s="194"/>
      <c r="CM8" s="194"/>
      <c r="CN8" s="339"/>
      <c r="CO8" s="191" t="s">
        <v>3234</v>
      </c>
      <c r="CP8" s="191"/>
      <c r="CQ8" s="191"/>
      <c r="CR8" s="191"/>
      <c r="CS8" s="191"/>
      <c r="CT8" s="191"/>
      <c r="CU8" s="191"/>
      <c r="CV8" s="191"/>
      <c r="CW8" s="191"/>
      <c r="CX8" s="191"/>
      <c r="CY8" s="194">
        <v>2</v>
      </c>
      <c r="CZ8" s="194"/>
      <c r="DA8" s="194"/>
      <c r="DB8" s="274"/>
      <c r="DC8"/>
      <c r="DD8" s="240" t="s">
        <v>118</v>
      </c>
      <c r="DE8" s="241"/>
      <c r="DF8" s="241"/>
      <c r="DG8" s="241"/>
      <c r="DH8" s="241"/>
      <c r="DI8" s="241"/>
      <c r="DJ8" s="241"/>
      <c r="DK8" s="241"/>
      <c r="DL8" s="241"/>
      <c r="DM8" s="241"/>
      <c r="DN8" s="241"/>
      <c r="DO8" s="241"/>
      <c r="DP8" s="241"/>
      <c r="DQ8" s="241"/>
      <c r="DR8" s="241"/>
      <c r="DS8" s="241"/>
      <c r="DT8" s="241"/>
      <c r="DU8" s="241"/>
      <c r="DV8" s="241"/>
      <c r="DW8" s="241"/>
      <c r="DX8" s="241"/>
      <c r="DY8" s="241"/>
      <c r="DZ8" s="241"/>
      <c r="EA8" s="241"/>
      <c r="EB8" s="241"/>
      <c r="EC8" s="241"/>
      <c r="ED8" s="241"/>
      <c r="EE8" s="241"/>
      <c r="EF8" s="241"/>
      <c r="EG8" s="241"/>
      <c r="EH8" s="241"/>
      <c r="EI8" s="241"/>
      <c r="EJ8" s="241"/>
      <c r="EK8" s="241"/>
      <c r="EL8" s="241"/>
      <c r="EM8" s="241"/>
      <c r="EN8" s="241"/>
      <c r="EO8" s="241"/>
      <c r="EP8" s="241"/>
      <c r="EQ8" s="241"/>
      <c r="ER8" s="241"/>
      <c r="ES8" s="241"/>
      <c r="ET8" s="241"/>
      <c r="EU8" s="241"/>
      <c r="EV8" s="241"/>
      <c r="EW8" s="241"/>
      <c r="EX8" s="241"/>
      <c r="EY8" s="241"/>
      <c r="EZ8" s="242"/>
      <c r="FB8" s="139" t="s">
        <v>3003</v>
      </c>
      <c r="FC8" s="140"/>
      <c r="FD8" s="140"/>
      <c r="FE8" s="140"/>
      <c r="FF8" s="140"/>
      <c r="FG8" s="140"/>
      <c r="FH8" s="140"/>
      <c r="FI8" s="140"/>
      <c r="FJ8" s="140"/>
      <c r="FK8" s="140"/>
      <c r="FL8" s="140"/>
      <c r="FM8" s="140"/>
      <c r="FN8" s="140"/>
      <c r="FO8" s="140"/>
      <c r="FP8" s="140"/>
      <c r="FQ8" s="140"/>
      <c r="FR8" s="140"/>
      <c r="FS8" s="140"/>
      <c r="FT8" s="140"/>
      <c r="FU8" s="140"/>
      <c r="FV8" s="140"/>
      <c r="FW8" s="140"/>
      <c r="FX8" s="140"/>
      <c r="FY8" s="140"/>
      <c r="FZ8" s="140"/>
      <c r="GA8" s="140"/>
      <c r="GB8" s="140"/>
      <c r="GC8" s="140"/>
      <c r="GD8" s="140"/>
      <c r="GE8" s="140"/>
      <c r="GF8" s="140"/>
      <c r="GG8" s="140"/>
      <c r="GH8" s="140"/>
      <c r="GI8" s="140"/>
      <c r="GJ8" s="140"/>
      <c r="GK8" s="140"/>
      <c r="GL8" s="140"/>
      <c r="GM8" s="140"/>
      <c r="GN8" s="140"/>
      <c r="GO8" s="140"/>
      <c r="GP8" s="140"/>
      <c r="GQ8" s="140"/>
      <c r="GR8" s="140"/>
      <c r="GS8" s="140"/>
      <c r="GT8" s="141">
        <v>1</v>
      </c>
      <c r="GU8" s="141"/>
      <c r="GV8" s="141"/>
      <c r="GW8" s="141"/>
      <c r="GX8" s="141"/>
      <c r="GY8" s="141"/>
      <c r="GZ8" s="141"/>
      <c r="HA8" s="141"/>
      <c r="HB8" s="142">
        <f>IFERROR(ROUND(((Calculations!BV8/185)*'Character Creation'!$Z$18)*GT8,2),"")</f>
        <v>1.2</v>
      </c>
      <c r="HC8" s="142"/>
      <c r="HD8" s="142"/>
      <c r="HE8" s="142"/>
      <c r="HF8" s="142"/>
      <c r="HG8" s="142"/>
      <c r="HH8" s="142"/>
      <c r="HI8" s="142"/>
      <c r="HJ8" s="142">
        <f>IFERROR(Calculations!BS8+IQ8+IX8,"")</f>
        <v>30</v>
      </c>
      <c r="HK8" s="142"/>
      <c r="HL8" s="142"/>
      <c r="HM8" s="142"/>
      <c r="HN8" s="142"/>
      <c r="HO8" s="142"/>
      <c r="HP8" s="142"/>
      <c r="HQ8" s="142"/>
      <c r="HR8" s="142">
        <f t="shared" si="0"/>
        <v>0</v>
      </c>
      <c r="HS8" s="142"/>
      <c r="HT8" s="142"/>
      <c r="HU8" s="142"/>
      <c r="HV8" s="142"/>
      <c r="HW8" s="142"/>
      <c r="HX8" s="142"/>
      <c r="HY8" s="142"/>
      <c r="HZ8" s="142" t="str">
        <f>IFERROR(Calculations!BX8,"")</f>
        <v>$1</v>
      </c>
      <c r="IA8" s="142"/>
      <c r="IB8" s="142"/>
      <c r="IC8" s="142"/>
      <c r="ID8" s="142"/>
      <c r="IE8" s="142"/>
      <c r="IF8" s="142"/>
      <c r="IG8" s="142"/>
      <c r="IH8" s="142"/>
      <c r="II8" s="142"/>
      <c r="IJ8" s="142">
        <f>IFERROR(Calculations!BR8+IX8,"")</f>
        <v>0</v>
      </c>
      <c r="IK8" s="142"/>
      <c r="IL8" s="142"/>
      <c r="IM8" s="142"/>
      <c r="IN8" s="142"/>
      <c r="IO8" s="142"/>
      <c r="IP8" s="142"/>
      <c r="IQ8" s="141">
        <v>0</v>
      </c>
      <c r="IR8" s="141"/>
      <c r="IS8" s="141"/>
      <c r="IT8" s="141"/>
      <c r="IU8" s="141"/>
      <c r="IV8" s="141"/>
      <c r="IW8" s="141"/>
      <c r="IX8" s="141">
        <v>0</v>
      </c>
      <c r="IY8" s="141"/>
      <c r="IZ8" s="141"/>
      <c r="JA8" s="141"/>
      <c r="JB8" s="141"/>
      <c r="JC8" s="141"/>
      <c r="JD8" s="141"/>
      <c r="JE8" s="141"/>
      <c r="JF8" s="142"/>
      <c r="JG8" s="142"/>
      <c r="JH8" s="142"/>
      <c r="JI8" s="142"/>
      <c r="JJ8" s="142"/>
      <c r="JK8" s="143" t="str">
        <f>Calculations!AS8</f>
        <v>Heavy Cloth</v>
      </c>
      <c r="JL8" s="143"/>
      <c r="JM8" s="143"/>
      <c r="JN8" s="143"/>
      <c r="JO8" s="143"/>
      <c r="JP8" s="143"/>
      <c r="JQ8" s="143"/>
      <c r="JR8" s="143"/>
      <c r="JS8" s="143"/>
      <c r="JT8" s="143"/>
      <c r="JU8" s="143"/>
      <c r="JV8" s="143"/>
      <c r="JW8" s="143"/>
      <c r="JX8" s="143"/>
      <c r="JY8" s="143"/>
      <c r="JZ8" s="143"/>
      <c r="KA8" s="143"/>
      <c r="KB8" s="143"/>
      <c r="KC8" s="143" t="str">
        <f>Calculations!AW8</f>
        <v>Light Cloth</v>
      </c>
      <c r="KD8" s="143"/>
      <c r="KE8" s="143"/>
      <c r="KF8" s="143"/>
      <c r="KG8" s="143"/>
      <c r="KH8" s="143"/>
      <c r="KI8" s="143"/>
      <c r="KJ8" s="143"/>
      <c r="KK8" s="143"/>
      <c r="KL8" s="143"/>
      <c r="KM8" s="143"/>
      <c r="KN8" s="143"/>
      <c r="KO8" s="143"/>
      <c r="KP8" s="143"/>
      <c r="KQ8" s="143"/>
      <c r="KR8" s="143"/>
      <c r="KS8" s="143"/>
      <c r="KT8" s="143"/>
      <c r="KU8" s="144"/>
      <c r="KV8" s="144"/>
      <c r="KW8" s="144"/>
      <c r="KX8" s="144"/>
      <c r="KY8" s="144"/>
      <c r="KZ8" s="144"/>
      <c r="LA8" s="144"/>
      <c r="LB8" s="144"/>
      <c r="LC8" s="144"/>
      <c r="LD8" s="144"/>
      <c r="LE8" s="144"/>
      <c r="LF8" s="144"/>
      <c r="LG8" s="144"/>
      <c r="LH8" s="144"/>
      <c r="LI8" s="144"/>
      <c r="LJ8" s="144"/>
      <c r="LK8" s="144"/>
      <c r="LL8" s="144"/>
      <c r="LM8" s="144"/>
      <c r="LN8" s="144"/>
      <c r="LO8" s="144"/>
      <c r="LP8" s="144"/>
      <c r="LQ8" s="144"/>
      <c r="LR8" s="144"/>
      <c r="LS8" s="144"/>
      <c r="LT8" s="144"/>
      <c r="LU8" s="144"/>
      <c r="LV8" s="144"/>
      <c r="LW8" s="144"/>
      <c r="LX8" s="144"/>
      <c r="LY8" s="144"/>
      <c r="LZ8" s="144"/>
      <c r="MA8" s="144"/>
      <c r="MB8" s="144"/>
      <c r="MC8" s="144"/>
      <c r="MD8" s="144"/>
      <c r="ME8" s="144"/>
      <c r="MF8" s="144"/>
      <c r="MG8" s="144"/>
      <c r="MH8" s="144"/>
      <c r="MI8" s="144"/>
      <c r="MJ8" s="144"/>
      <c r="MK8" s="144"/>
      <c r="ML8" s="144"/>
      <c r="MM8" s="144"/>
      <c r="MN8" s="144"/>
      <c r="MO8" s="144"/>
      <c r="MP8" s="144"/>
      <c r="MQ8" s="144"/>
      <c r="MR8" s="144"/>
      <c r="MS8" s="144"/>
      <c r="MT8" s="144"/>
      <c r="MU8" s="144"/>
      <c r="MV8" s="144"/>
      <c r="MW8" s="144"/>
      <c r="MX8" s="144"/>
      <c r="MY8" s="144"/>
      <c r="MZ8" s="145"/>
      <c r="NB8" s="128"/>
      <c r="NC8" s="128"/>
      <c r="ND8" s="128"/>
      <c r="NE8" s="128"/>
      <c r="NF8" s="128"/>
      <c r="NG8" s="128"/>
      <c r="NH8" s="128"/>
      <c r="NI8" s="128"/>
      <c r="NJ8" s="128"/>
      <c r="NK8" s="128"/>
      <c r="NL8" s="128"/>
      <c r="NM8" s="128"/>
      <c r="NN8" s="128"/>
      <c r="NO8" s="128"/>
      <c r="NP8" s="128"/>
      <c r="NQ8" s="128"/>
      <c r="NR8" s="128"/>
      <c r="NS8" s="128"/>
      <c r="NT8" s="128"/>
      <c r="NU8" s="128"/>
      <c r="NV8" s="128"/>
      <c r="NW8" s="128"/>
      <c r="NX8" s="128"/>
      <c r="NY8" s="128"/>
      <c r="NZ8" s="128"/>
      <c r="OA8" s="128"/>
      <c r="OB8" s="128"/>
      <c r="OC8" s="128"/>
      <c r="OD8" s="128"/>
      <c r="OE8" s="128"/>
      <c r="OF8" s="128"/>
      <c r="OG8" s="129"/>
      <c r="OH8" s="129"/>
      <c r="OI8" s="129"/>
      <c r="OJ8" s="129"/>
      <c r="OK8" s="129"/>
      <c r="OL8" s="129"/>
      <c r="OM8" s="129"/>
      <c r="ON8" s="129"/>
      <c r="OO8" s="129"/>
      <c r="OP8" s="129"/>
      <c r="OQ8" s="129"/>
      <c r="OR8" s="129"/>
      <c r="OS8" s="129"/>
      <c r="OT8" s="129"/>
      <c r="OU8" s="129"/>
      <c r="OV8" s="129"/>
      <c r="OW8" s="129"/>
      <c r="OX8" s="129"/>
      <c r="OY8" s="129"/>
      <c r="OZ8" s="129"/>
      <c r="PA8" s="129"/>
      <c r="PB8" s="128"/>
      <c r="PC8" s="128"/>
      <c r="PD8" s="128"/>
      <c r="PE8" s="128"/>
      <c r="PF8" s="128"/>
      <c r="PG8" s="128"/>
      <c r="PH8" s="129"/>
      <c r="PI8" s="129"/>
      <c r="PJ8" s="129"/>
      <c r="PK8" s="129"/>
      <c r="PL8" s="129"/>
      <c r="PM8" s="129"/>
      <c r="PN8" s="129"/>
      <c r="PO8" s="129"/>
      <c r="PP8" s="129"/>
      <c r="PQ8" s="129"/>
      <c r="PR8" s="129"/>
      <c r="PS8" s="129"/>
      <c r="PT8" s="129"/>
      <c r="PU8" s="129"/>
      <c r="PV8" s="129"/>
      <c r="PW8" s="129"/>
      <c r="PX8" s="129"/>
      <c r="PY8" s="129"/>
      <c r="PZ8" s="129"/>
      <c r="QA8" s="129"/>
      <c r="QB8" s="129"/>
      <c r="QC8" s="129"/>
      <c r="QD8" s="129"/>
      <c r="QE8" s="129"/>
      <c r="QF8" s="129"/>
      <c r="QG8" s="129"/>
      <c r="QH8" s="129"/>
      <c r="QI8" s="129"/>
      <c r="QJ8" s="128"/>
      <c r="QK8" s="128"/>
      <c r="QL8" s="128"/>
      <c r="QM8" s="128"/>
      <c r="QN8" s="128"/>
      <c r="QO8" s="128"/>
      <c r="QP8" s="128"/>
      <c r="UH8" s="128" t="s">
        <v>163</v>
      </c>
      <c r="UI8" s="128"/>
      <c r="UJ8" s="128"/>
      <c r="UK8" s="128"/>
      <c r="UL8" s="128"/>
      <c r="UM8" s="128"/>
      <c r="UN8" s="128"/>
      <c r="UO8" s="128"/>
      <c r="UP8" s="128"/>
      <c r="UQ8" s="128"/>
      <c r="UR8" s="128"/>
      <c r="US8" s="128"/>
      <c r="UT8" s="128"/>
      <c r="UU8" s="128"/>
      <c r="UV8" s="128"/>
      <c r="UW8" s="128"/>
      <c r="UX8" s="128"/>
      <c r="UY8" s="128"/>
      <c r="UZ8" s="128"/>
      <c r="VA8" s="128"/>
      <c r="VB8" s="128"/>
      <c r="VC8" s="128"/>
      <c r="VD8" s="128"/>
      <c r="VE8" s="128"/>
      <c r="VF8" s="128"/>
      <c r="VG8" s="128"/>
      <c r="VH8" s="128"/>
      <c r="VI8" s="128"/>
      <c r="VJ8" s="128"/>
      <c r="VK8" s="128"/>
      <c r="VL8" s="128"/>
      <c r="VM8" s="129"/>
      <c r="VN8" s="129"/>
      <c r="VO8" s="129"/>
      <c r="VP8" s="129"/>
      <c r="VQ8" s="129"/>
      <c r="VR8" s="129"/>
      <c r="VS8" s="129"/>
      <c r="VT8" s="129"/>
      <c r="VU8" s="129"/>
      <c r="VV8" s="129"/>
      <c r="VW8" s="129"/>
      <c r="VX8" s="129"/>
      <c r="VY8" s="129"/>
      <c r="VZ8" s="129"/>
      <c r="WA8" s="129"/>
      <c r="WB8" s="129"/>
      <c r="WC8" s="129"/>
      <c r="WD8" s="129"/>
      <c r="WE8" s="129"/>
      <c r="WF8" s="129"/>
      <c r="WG8" s="129"/>
      <c r="WH8" s="128"/>
      <c r="WI8" s="128"/>
      <c r="WJ8" s="128"/>
      <c r="WK8" s="128"/>
      <c r="WL8" s="128"/>
      <c r="WM8" s="128"/>
      <c r="WN8" s="129"/>
      <c r="WO8" s="129"/>
      <c r="WP8" s="129"/>
      <c r="WQ8" s="129"/>
      <c r="WR8" s="129"/>
      <c r="WS8" s="129"/>
      <c r="WT8" s="129"/>
      <c r="WU8" s="129"/>
      <c r="WV8" s="129"/>
      <c r="WW8" s="129"/>
      <c r="WX8" s="129"/>
      <c r="WY8" s="129"/>
      <c r="WZ8" s="129"/>
      <c r="XA8" s="129"/>
      <c r="XB8" s="129"/>
      <c r="XC8" s="129"/>
      <c r="XD8" s="129"/>
      <c r="XE8" s="129"/>
      <c r="XF8" s="129"/>
      <c r="XG8" s="129"/>
      <c r="XH8" s="129"/>
      <c r="XI8" s="129"/>
      <c r="XJ8" s="129"/>
      <c r="XK8" s="129"/>
      <c r="XL8" s="129"/>
      <c r="XM8" s="129"/>
      <c r="XN8" s="129"/>
      <c r="XO8" s="129"/>
      <c r="XP8" s="128"/>
      <c r="XQ8" s="128"/>
      <c r="XR8" s="128"/>
      <c r="XS8" s="128"/>
      <c r="XT8" s="128"/>
      <c r="XU8" s="128"/>
      <c r="XV8" s="128"/>
      <c r="XX8" s="128" t="s">
        <v>169</v>
      </c>
      <c r="XY8" s="128"/>
      <c r="XZ8" s="128"/>
      <c r="YA8" s="128"/>
      <c r="YB8" s="128"/>
      <c r="YC8" s="128"/>
      <c r="YD8" s="128"/>
      <c r="YE8" s="128"/>
      <c r="YF8" s="128"/>
      <c r="YG8" s="128"/>
      <c r="YH8" s="128"/>
      <c r="YI8" s="128"/>
      <c r="YJ8" s="128"/>
      <c r="YK8" s="128"/>
      <c r="YL8" s="128"/>
      <c r="YM8" s="128"/>
      <c r="YN8" s="128"/>
      <c r="YO8" s="128"/>
      <c r="YP8" s="128"/>
      <c r="YQ8" s="128"/>
      <c r="YR8" s="128"/>
      <c r="YS8" s="128"/>
      <c r="YT8" s="128"/>
      <c r="YU8" s="128"/>
      <c r="YV8" s="128"/>
      <c r="YW8" s="128"/>
      <c r="YX8" s="128"/>
      <c r="YY8" s="128"/>
      <c r="YZ8" s="128"/>
      <c r="ZA8" s="128"/>
      <c r="ZB8" s="128"/>
      <c r="ZC8" s="129"/>
      <c r="ZD8" s="129"/>
      <c r="ZE8" s="129"/>
      <c r="ZF8" s="129"/>
      <c r="ZG8" s="129"/>
      <c r="ZH8" s="129"/>
      <c r="ZI8" s="129"/>
      <c r="ZJ8" s="129"/>
      <c r="ZK8" s="129"/>
      <c r="ZL8" s="129"/>
      <c r="ZM8" s="129"/>
      <c r="ZN8" s="129"/>
      <c r="ZO8" s="129"/>
      <c r="ZP8" s="129"/>
      <c r="ZQ8" s="129"/>
      <c r="ZR8" s="129"/>
      <c r="ZS8" s="129"/>
      <c r="ZT8" s="129"/>
      <c r="ZU8" s="129"/>
      <c r="ZV8" s="129"/>
      <c r="ZW8" s="129"/>
      <c r="ZX8" s="128"/>
      <c r="ZY8" s="128"/>
      <c r="ZZ8" s="128"/>
      <c r="AAA8" s="128"/>
      <c r="AAB8" s="128"/>
      <c r="AAC8" s="128"/>
      <c r="AAD8" s="129"/>
      <c r="AAE8" s="129"/>
      <c r="AAF8" s="129"/>
      <c r="AAG8" s="129"/>
      <c r="AAH8" s="129"/>
      <c r="AAI8" s="129"/>
      <c r="AAJ8" s="129"/>
      <c r="AAK8" s="129"/>
      <c r="AAL8" s="129"/>
      <c r="AAM8" s="129"/>
      <c r="AAN8" s="129"/>
      <c r="AAO8" s="129"/>
      <c r="AAP8" s="129"/>
      <c r="AAQ8" s="129"/>
      <c r="AAR8" s="129"/>
      <c r="AAS8" s="129"/>
      <c r="AAT8" s="129"/>
      <c r="AAU8" s="129"/>
      <c r="AAV8" s="129"/>
      <c r="AAW8" s="129"/>
      <c r="AAX8" s="129"/>
      <c r="AAY8" s="129"/>
      <c r="AAZ8" s="129"/>
      <c r="ABA8" s="129"/>
      <c r="ABB8" s="129"/>
      <c r="ABC8" s="129"/>
      <c r="ABD8" s="129"/>
      <c r="ABE8" s="129"/>
      <c r="ABF8" s="128"/>
      <c r="ABG8" s="128"/>
      <c r="ABH8" s="128"/>
      <c r="ABI8" s="128"/>
      <c r="ABJ8" s="128"/>
      <c r="ABK8" s="128"/>
      <c r="ABL8" s="128"/>
      <c r="AFD8" s="128" t="s">
        <v>186</v>
      </c>
      <c r="AFE8" s="128"/>
      <c r="AFF8" s="128"/>
      <c r="AFG8" s="128"/>
      <c r="AFH8" s="128"/>
      <c r="AFI8" s="128"/>
      <c r="AFJ8" s="128"/>
      <c r="AFK8" s="128"/>
      <c r="AFL8" s="128"/>
      <c r="AFM8" s="128"/>
      <c r="AFN8" s="128"/>
      <c r="AFO8" s="128"/>
      <c r="AFP8" s="128"/>
      <c r="AFQ8" s="128"/>
      <c r="AFR8" s="128"/>
      <c r="AFS8" s="128"/>
      <c r="AFT8" s="128"/>
      <c r="AFU8" s="128"/>
      <c r="AFV8" s="128"/>
      <c r="AFW8" s="128"/>
      <c r="AFX8" s="128"/>
      <c r="AFY8" s="128"/>
      <c r="AFZ8" s="128"/>
      <c r="AGA8" s="128"/>
      <c r="AGB8" s="128"/>
      <c r="AGC8" s="128"/>
      <c r="AGD8" s="128"/>
      <c r="AGE8" s="128"/>
      <c r="AGF8" s="128"/>
      <c r="AGG8" s="128"/>
      <c r="AGH8" s="128"/>
      <c r="AGI8" s="129"/>
      <c r="AGJ8" s="129"/>
      <c r="AGK8" s="129"/>
      <c r="AGL8" s="129"/>
      <c r="AGM8" s="129"/>
      <c r="AGN8" s="129"/>
      <c r="AGO8" s="129"/>
      <c r="AGP8" s="129"/>
      <c r="AGQ8" s="129"/>
      <c r="AGR8" s="129"/>
      <c r="AGS8" s="129"/>
      <c r="AGT8" s="129"/>
      <c r="AGU8" s="129"/>
      <c r="AGV8" s="129"/>
      <c r="AGW8" s="129"/>
      <c r="AGX8" s="129"/>
      <c r="AGY8" s="129"/>
      <c r="AGZ8" s="129"/>
      <c r="AHA8" s="129"/>
      <c r="AHB8" s="129"/>
      <c r="AHC8" s="129"/>
      <c r="AHD8" s="128"/>
      <c r="AHE8" s="128"/>
      <c r="AHF8" s="128"/>
      <c r="AHG8" s="128"/>
      <c r="AHH8" s="128"/>
      <c r="AHI8" s="128"/>
      <c r="AHJ8" s="129"/>
      <c r="AHK8" s="129"/>
      <c r="AHL8" s="129"/>
      <c r="AHM8" s="129"/>
      <c r="AHN8" s="129"/>
      <c r="AHO8" s="129"/>
      <c r="AHP8" s="129"/>
      <c r="AHQ8" s="129"/>
      <c r="AHR8" s="129"/>
      <c r="AHS8" s="129"/>
      <c r="AHT8" s="129"/>
      <c r="AHU8" s="129"/>
      <c r="AHV8" s="129"/>
      <c r="AHW8" s="129"/>
      <c r="AHX8" s="129"/>
      <c r="AHY8" s="129"/>
      <c r="AHZ8" s="129"/>
      <c r="AIA8" s="129"/>
      <c r="AIB8" s="129"/>
      <c r="AIC8" s="129"/>
      <c r="AID8" s="129"/>
      <c r="AIE8" s="129"/>
      <c r="AIF8" s="129"/>
      <c r="AIG8" s="129"/>
      <c r="AIH8" s="129"/>
      <c r="AII8" s="129"/>
      <c r="AIJ8" s="129"/>
      <c r="AIK8" s="129"/>
      <c r="AIL8" s="128"/>
      <c r="AIM8" s="128"/>
      <c r="AIN8" s="128"/>
      <c r="AIO8" s="128"/>
      <c r="AIP8" s="128"/>
      <c r="AIQ8" s="128"/>
      <c r="AIR8" s="128"/>
      <c r="AIT8" s="128" t="s">
        <v>193</v>
      </c>
      <c r="AIU8" s="128"/>
      <c r="AIV8" s="128"/>
      <c r="AIW8" s="128"/>
      <c r="AIX8" s="128"/>
      <c r="AIY8" s="128"/>
      <c r="AIZ8" s="128"/>
      <c r="AJA8" s="128"/>
      <c r="AJB8" s="128"/>
      <c r="AJC8" s="128"/>
      <c r="AJD8" s="128"/>
      <c r="AJE8" s="128"/>
      <c r="AJF8" s="128"/>
      <c r="AJG8" s="128"/>
      <c r="AJH8" s="128"/>
      <c r="AJI8" s="128"/>
      <c r="AJJ8" s="128"/>
      <c r="AJK8" s="128"/>
      <c r="AJL8" s="128"/>
      <c r="AJM8" s="128"/>
      <c r="AJN8" s="128"/>
      <c r="AJO8" s="128"/>
      <c r="AJP8" s="128"/>
      <c r="AJQ8" s="128"/>
      <c r="AJR8" s="128"/>
      <c r="AJS8" s="128"/>
      <c r="AJT8" s="128"/>
      <c r="AJU8" s="128"/>
      <c r="AJV8" s="128"/>
      <c r="AJW8" s="128"/>
      <c r="AJX8" s="128"/>
      <c r="AJY8" s="129"/>
      <c r="AJZ8" s="129"/>
      <c r="AKA8" s="129"/>
      <c r="AKB8" s="129"/>
      <c r="AKC8" s="129"/>
      <c r="AKD8" s="129"/>
      <c r="AKE8" s="129"/>
      <c r="AKF8" s="129"/>
      <c r="AKG8" s="129"/>
      <c r="AKH8" s="129"/>
      <c r="AKI8" s="129"/>
      <c r="AKJ8" s="129"/>
      <c r="AKK8" s="129"/>
      <c r="AKL8" s="129"/>
      <c r="AKM8" s="129"/>
      <c r="AKN8" s="129"/>
      <c r="AKO8" s="129"/>
      <c r="AKP8" s="129"/>
      <c r="AKQ8" s="129"/>
      <c r="AKR8" s="129"/>
      <c r="AKS8" s="129"/>
      <c r="AKT8" s="128"/>
      <c r="AKU8" s="128"/>
      <c r="AKV8" s="128"/>
      <c r="AKW8" s="128"/>
      <c r="AKX8" s="128"/>
      <c r="AKY8" s="128"/>
      <c r="AKZ8" s="129"/>
      <c r="ALA8" s="129"/>
      <c r="ALB8" s="129"/>
      <c r="ALC8" s="129"/>
      <c r="ALD8" s="129"/>
      <c r="ALE8" s="129"/>
      <c r="ALF8" s="129"/>
      <c r="ALG8" s="129"/>
      <c r="ALH8" s="129"/>
      <c r="ALI8" s="129"/>
      <c r="ALJ8" s="129"/>
      <c r="ALK8" s="129"/>
      <c r="ALL8" s="129"/>
      <c r="ALM8" s="129"/>
      <c r="ALN8" s="129"/>
      <c r="ALO8" s="129"/>
      <c r="ALP8" s="129"/>
      <c r="ALQ8" s="129"/>
      <c r="ALR8" s="129"/>
      <c r="ALS8" s="129"/>
      <c r="ALT8" s="129"/>
      <c r="ALU8" s="129"/>
      <c r="ALV8" s="129"/>
      <c r="ALW8" s="129"/>
      <c r="ALX8" s="129"/>
      <c r="ALY8" s="129"/>
      <c r="ALZ8" s="129"/>
      <c r="AMA8" s="129"/>
      <c r="AMB8" s="128"/>
      <c r="AMC8" s="128"/>
      <c r="AMD8" s="128"/>
      <c r="AME8" s="128"/>
      <c r="AMF8" s="128"/>
      <c r="AMG8" s="128"/>
      <c r="AMH8" s="128"/>
      <c r="AMJ8" s="128" t="s">
        <v>222</v>
      </c>
      <c r="AMK8" s="128"/>
      <c r="AML8" s="128"/>
      <c r="AMM8" s="128"/>
      <c r="AMN8" s="128"/>
      <c r="AMO8" s="128"/>
      <c r="AMP8" s="128"/>
      <c r="AMQ8" s="128"/>
      <c r="AMR8" s="128"/>
      <c r="AMS8" s="128"/>
      <c r="AMT8" s="128"/>
      <c r="AMU8" s="128"/>
      <c r="AMV8" s="128"/>
      <c r="AMW8" s="128"/>
      <c r="AMX8" s="128"/>
      <c r="AMY8" s="128"/>
      <c r="AMZ8" s="128"/>
      <c r="ANA8" s="128"/>
      <c r="ANB8" s="128"/>
      <c r="ANC8" s="128"/>
      <c r="AND8" s="128"/>
      <c r="ANE8" s="128"/>
      <c r="ANF8" s="128"/>
      <c r="ANG8" s="128"/>
      <c r="ANH8" s="128"/>
      <c r="ANI8" s="128"/>
      <c r="ANJ8" s="128"/>
      <c r="ANK8" s="128"/>
      <c r="ANL8" s="128"/>
      <c r="ANM8" s="128"/>
      <c r="ANN8" s="128"/>
      <c r="ANO8" s="129"/>
      <c r="ANP8" s="129"/>
      <c r="ANQ8" s="129"/>
      <c r="ANR8" s="129"/>
      <c r="ANS8" s="129"/>
      <c r="ANT8" s="129"/>
      <c r="ANU8" s="129"/>
      <c r="ANV8" s="129"/>
      <c r="ANW8" s="129"/>
      <c r="ANX8" s="129"/>
      <c r="ANY8" s="129"/>
      <c r="ANZ8" s="129"/>
      <c r="AOA8" s="129"/>
      <c r="AOB8" s="129"/>
      <c r="AOC8" s="129"/>
      <c r="AOD8" s="129"/>
      <c r="AOE8" s="129"/>
      <c r="AOF8" s="129"/>
      <c r="AOG8" s="129"/>
      <c r="AOH8" s="129"/>
      <c r="AOI8" s="129"/>
      <c r="AOJ8" s="128"/>
      <c r="AOK8" s="128"/>
      <c r="AOL8" s="128"/>
      <c r="AOM8" s="128"/>
      <c r="AON8" s="128"/>
      <c r="AOO8" s="128"/>
      <c r="AOP8" s="129"/>
      <c r="AOQ8" s="129"/>
      <c r="AOR8" s="129"/>
      <c r="AOS8" s="129"/>
      <c r="AOT8" s="129"/>
      <c r="AOU8" s="129"/>
      <c r="AOV8" s="129"/>
      <c r="AOW8" s="129"/>
      <c r="AOX8" s="129"/>
      <c r="AOY8" s="129"/>
      <c r="AOZ8" s="129"/>
      <c r="APA8" s="129"/>
      <c r="APB8" s="129"/>
      <c r="APC8" s="129"/>
      <c r="APD8" s="129"/>
      <c r="APE8" s="129"/>
      <c r="APF8" s="129"/>
      <c r="APG8" s="129"/>
      <c r="APH8" s="129"/>
      <c r="API8" s="129"/>
      <c r="APJ8" s="129"/>
      <c r="APK8" s="129"/>
      <c r="APL8" s="129"/>
      <c r="APM8" s="129"/>
      <c r="APN8" s="129"/>
      <c r="APO8" s="129"/>
      <c r="APP8" s="129"/>
      <c r="APQ8" s="129"/>
      <c r="APR8" s="128"/>
      <c r="APS8" s="128"/>
      <c r="APT8" s="128"/>
      <c r="APU8" s="128"/>
      <c r="APV8" s="128"/>
      <c r="APW8" s="128"/>
      <c r="APX8" s="128"/>
      <c r="APZ8" s="128" t="s">
        <v>597</v>
      </c>
      <c r="AQA8" s="128"/>
      <c r="AQB8" s="128"/>
      <c r="AQC8" s="128"/>
      <c r="AQD8" s="128"/>
      <c r="AQE8" s="128"/>
      <c r="AQF8" s="128"/>
      <c r="AQG8" s="128"/>
      <c r="AQH8" s="128"/>
      <c r="AQI8" s="128"/>
      <c r="AQJ8" s="128"/>
      <c r="AQK8" s="128"/>
      <c r="AQL8" s="128"/>
      <c r="AQM8" s="128"/>
      <c r="AQN8" s="128"/>
      <c r="AQO8" s="128"/>
      <c r="AQP8" s="128"/>
      <c r="AQQ8" s="128"/>
      <c r="AQR8" s="128"/>
      <c r="AQS8" s="128"/>
      <c r="AQT8" s="128"/>
      <c r="AQU8" s="128"/>
      <c r="AQV8" s="128"/>
      <c r="AQW8" s="128"/>
      <c r="AQX8" s="128"/>
      <c r="AQY8" s="128"/>
      <c r="AQZ8" s="128"/>
      <c r="ARA8" s="128"/>
      <c r="ARB8" s="128"/>
      <c r="ARC8" s="128"/>
      <c r="ARD8" s="128"/>
      <c r="ARE8" s="129"/>
      <c r="ARF8" s="129"/>
      <c r="ARG8" s="129"/>
      <c r="ARH8" s="129"/>
      <c r="ARI8" s="129"/>
      <c r="ARJ8" s="129"/>
      <c r="ARK8" s="129"/>
      <c r="ARL8" s="129"/>
      <c r="ARM8" s="129"/>
      <c r="ARN8" s="129"/>
      <c r="ARO8" s="129"/>
      <c r="ARP8" s="129"/>
      <c r="ARQ8" s="129"/>
      <c r="ARR8" s="129"/>
      <c r="ARS8" s="129"/>
      <c r="ART8" s="129"/>
      <c r="ARU8" s="129"/>
      <c r="ARV8" s="129"/>
      <c r="ARW8" s="129"/>
      <c r="ARX8" s="129"/>
      <c r="ARY8" s="129"/>
      <c r="ARZ8" s="128"/>
      <c r="ASA8" s="128"/>
      <c r="ASB8" s="128"/>
      <c r="ASC8" s="128"/>
      <c r="ASD8" s="128"/>
      <c r="ASE8" s="128"/>
      <c r="ASF8" s="129"/>
      <c r="ASG8" s="129"/>
      <c r="ASH8" s="129"/>
      <c r="ASI8" s="129"/>
      <c r="ASJ8" s="129"/>
      <c r="ASK8" s="129"/>
      <c r="ASL8" s="129"/>
      <c r="ASM8" s="129"/>
      <c r="ASN8" s="129"/>
      <c r="ASO8" s="129"/>
      <c r="ASP8" s="129"/>
      <c r="ASQ8" s="129"/>
      <c r="ASR8" s="129"/>
      <c r="ASS8" s="129"/>
      <c r="AST8" s="129"/>
      <c r="ASU8" s="129"/>
      <c r="ASV8" s="129"/>
      <c r="ASW8" s="129"/>
      <c r="ASX8" s="129"/>
      <c r="ASY8" s="129"/>
      <c r="ASZ8" s="129"/>
      <c r="ATA8" s="129"/>
      <c r="ATB8" s="129"/>
      <c r="ATC8" s="129"/>
      <c r="ATD8" s="129"/>
      <c r="ATE8" s="129"/>
      <c r="ATF8" s="129"/>
      <c r="ATG8" s="129"/>
      <c r="ATH8" s="128"/>
      <c r="ATI8" s="128"/>
      <c r="ATJ8" s="128"/>
      <c r="ATK8" s="128"/>
      <c r="ATL8" s="128"/>
      <c r="ATM8" s="128"/>
      <c r="ATN8" s="128"/>
      <c r="AXF8" s="128" t="s">
        <v>265</v>
      </c>
      <c r="AXG8" s="128"/>
      <c r="AXH8" s="128"/>
      <c r="AXI8" s="128"/>
      <c r="AXJ8" s="128"/>
      <c r="AXK8" s="128"/>
      <c r="AXL8" s="128"/>
      <c r="AXM8" s="128"/>
      <c r="AXN8" s="128"/>
      <c r="AXO8" s="128"/>
      <c r="AXP8" s="128"/>
      <c r="AXQ8" s="128"/>
      <c r="AXR8" s="128"/>
      <c r="AXS8" s="128"/>
      <c r="AXT8" s="128"/>
      <c r="AXU8" s="128"/>
      <c r="AXV8" s="128"/>
      <c r="AXW8" s="128"/>
      <c r="AXX8" s="128"/>
      <c r="AXY8" s="128"/>
      <c r="AXZ8" s="128"/>
      <c r="AYA8" s="128"/>
      <c r="AYB8" s="128"/>
      <c r="AYC8" s="128"/>
      <c r="AYD8" s="128"/>
      <c r="AYE8" s="128"/>
      <c r="AYF8" s="128"/>
      <c r="AYG8" s="128"/>
      <c r="AYH8" s="128"/>
      <c r="AYI8" s="128"/>
      <c r="AYJ8" s="128"/>
      <c r="AYK8" s="129"/>
      <c r="AYL8" s="129"/>
      <c r="AYM8" s="129"/>
      <c r="AYN8" s="129"/>
      <c r="AYO8" s="129"/>
      <c r="AYP8" s="129"/>
      <c r="AYQ8" s="129"/>
      <c r="AYR8" s="129"/>
      <c r="AYS8" s="129"/>
      <c r="AYT8" s="129"/>
      <c r="AYU8" s="129"/>
      <c r="AYV8" s="129"/>
      <c r="AYW8" s="129"/>
      <c r="AYX8" s="129"/>
      <c r="AYY8" s="129"/>
      <c r="AYZ8" s="129"/>
      <c r="AZA8" s="129"/>
      <c r="AZB8" s="129"/>
      <c r="AZC8" s="129"/>
      <c r="AZD8" s="129"/>
      <c r="AZE8" s="129"/>
      <c r="AZF8" s="128"/>
      <c r="AZG8" s="128"/>
      <c r="AZH8" s="128"/>
      <c r="AZI8" s="128"/>
      <c r="AZJ8" s="128"/>
      <c r="AZK8" s="128"/>
      <c r="AZL8" s="129"/>
      <c r="AZM8" s="129"/>
      <c r="AZN8" s="129"/>
      <c r="AZO8" s="129"/>
      <c r="AZP8" s="129"/>
      <c r="AZQ8" s="129"/>
      <c r="AZR8" s="129"/>
      <c r="AZS8" s="129"/>
      <c r="AZT8" s="129"/>
      <c r="AZU8" s="129"/>
      <c r="AZV8" s="129"/>
      <c r="AZW8" s="129"/>
      <c r="AZX8" s="129"/>
      <c r="AZY8" s="129"/>
      <c r="AZZ8" s="129"/>
      <c r="BAA8" s="129"/>
      <c r="BAB8" s="129"/>
      <c r="BAC8" s="129"/>
      <c r="BAD8" s="129"/>
      <c r="BAE8" s="129"/>
      <c r="BAF8" s="129"/>
      <c r="BAG8" s="129"/>
      <c r="BAH8" s="129"/>
      <c r="BAI8" s="129"/>
      <c r="BAJ8" s="129"/>
      <c r="BAK8" s="129"/>
      <c r="BAL8" s="129"/>
      <c r="BAM8" s="129"/>
      <c r="BAN8" s="128"/>
      <c r="BAO8" s="128"/>
      <c r="BAP8" s="128"/>
      <c r="BAQ8" s="128"/>
      <c r="BAR8" s="128"/>
      <c r="BAS8" s="128"/>
      <c r="BAT8" s="128"/>
      <c r="BAV8" s="144" t="s">
        <v>147</v>
      </c>
      <c r="BAW8" s="144"/>
      <c r="BAX8" s="144"/>
      <c r="BAY8" s="144"/>
      <c r="BAZ8" s="144"/>
      <c r="BBA8" s="144"/>
      <c r="BBB8" s="144"/>
      <c r="BBC8" s="144"/>
      <c r="BBD8" s="144"/>
      <c r="BBE8" s="144"/>
      <c r="BBF8" s="144"/>
      <c r="BBG8" s="144"/>
      <c r="BBH8" s="144"/>
      <c r="BBI8" s="144"/>
      <c r="BBJ8" s="144"/>
      <c r="BBK8" s="144"/>
      <c r="BBL8" s="144"/>
      <c r="BBM8" s="144"/>
      <c r="BBN8" s="144"/>
      <c r="BBO8" s="144"/>
      <c r="BBP8" s="144"/>
      <c r="BBQ8" s="144"/>
      <c r="BBR8" s="144"/>
      <c r="BBS8" s="144"/>
      <c r="BBT8" s="144"/>
      <c r="BBU8" s="144"/>
      <c r="BBV8" s="144"/>
      <c r="BBW8" s="144"/>
      <c r="BBX8" s="144"/>
      <c r="BBY8" s="144"/>
      <c r="BBZ8" s="144"/>
      <c r="BCA8" s="129" t="s">
        <v>133</v>
      </c>
      <c r="BCB8" s="129"/>
      <c r="BCC8" s="129"/>
      <c r="BCD8" s="129"/>
      <c r="BCE8" s="129" t="s">
        <v>148</v>
      </c>
      <c r="BCF8" s="129"/>
      <c r="BCG8" s="129"/>
      <c r="BCH8" s="129"/>
      <c r="BCI8" s="129"/>
      <c r="BCJ8" s="129" t="s">
        <v>83</v>
      </c>
      <c r="BCK8" s="129"/>
      <c r="BCL8" s="129"/>
      <c r="BCM8" s="129"/>
      <c r="BCN8" s="129"/>
      <c r="BCO8" s="129"/>
      <c r="BCP8" s="129" t="s">
        <v>37</v>
      </c>
      <c r="BCQ8" s="129"/>
      <c r="BCR8" s="129"/>
      <c r="BCS8" s="129"/>
      <c r="BCT8" s="129"/>
      <c r="BCU8" s="129"/>
      <c r="BCV8" s="129" t="s">
        <v>49</v>
      </c>
      <c r="BCW8" s="129"/>
      <c r="BCX8" s="129"/>
      <c r="BCY8" s="129"/>
      <c r="BCZ8" s="129"/>
      <c r="BDA8" s="129"/>
      <c r="BDB8" s="129" t="s">
        <v>149</v>
      </c>
      <c r="BDC8" s="129"/>
      <c r="BDD8" s="129"/>
      <c r="BDE8" s="129"/>
      <c r="BDF8" s="129"/>
      <c r="BDG8" s="129"/>
      <c r="BDH8" s="129"/>
      <c r="BDI8" s="129" t="s">
        <v>150</v>
      </c>
      <c r="BDJ8" s="129"/>
      <c r="BDK8" s="129"/>
      <c r="BDL8" s="129"/>
      <c r="BDM8" s="129"/>
      <c r="BDN8" s="129"/>
      <c r="BDO8" s="129"/>
      <c r="BDP8" s="129" t="s">
        <v>151</v>
      </c>
      <c r="BDQ8" s="129"/>
      <c r="BDR8" s="129"/>
      <c r="BDS8" s="129"/>
      <c r="BDT8" s="129"/>
      <c r="BDU8" s="129"/>
      <c r="BDV8" s="129"/>
      <c r="BDW8" s="129" t="s">
        <v>37</v>
      </c>
      <c r="BDX8" s="129"/>
      <c r="BDY8" s="129"/>
      <c r="BDZ8" s="129"/>
      <c r="BEA8" s="129"/>
      <c r="BEB8" s="129"/>
      <c r="BEC8" s="129"/>
      <c r="BED8" s="129" t="s">
        <v>40</v>
      </c>
      <c r="BEE8" s="129"/>
      <c r="BEF8" s="129"/>
      <c r="BEG8" s="129"/>
      <c r="BEH8" s="129"/>
      <c r="BEI8" s="129"/>
      <c r="BEJ8" s="129"/>
      <c r="BEL8" s="128" t="s">
        <v>309</v>
      </c>
      <c r="BEM8" s="128"/>
      <c r="BEN8" s="128"/>
      <c r="BEO8" s="128"/>
      <c r="BEP8" s="128"/>
      <c r="BEQ8" s="128"/>
      <c r="BER8" s="128"/>
      <c r="BES8" s="128"/>
      <c r="BET8" s="128"/>
      <c r="BEU8" s="128"/>
      <c r="BEV8" s="128"/>
      <c r="BEW8" s="128"/>
      <c r="BEX8" s="128"/>
      <c r="BEY8" s="128"/>
      <c r="BEZ8" s="128"/>
      <c r="BFA8" s="128"/>
      <c r="BFB8" s="128"/>
      <c r="BFC8" s="128"/>
      <c r="BFD8" s="128"/>
      <c r="BFE8" s="128"/>
      <c r="BFF8" s="128"/>
      <c r="BFG8" s="128"/>
      <c r="BFH8" s="128"/>
      <c r="BFI8" s="128"/>
      <c r="BFJ8" s="128"/>
      <c r="BFK8" s="128"/>
      <c r="BFL8" s="128"/>
      <c r="BFM8" s="128"/>
      <c r="BFN8" s="128"/>
      <c r="BFO8" s="128"/>
      <c r="BFP8" s="128"/>
      <c r="BFQ8" s="129"/>
      <c r="BFR8" s="129"/>
      <c r="BFS8" s="129"/>
      <c r="BFT8" s="129"/>
      <c r="BFU8" s="129"/>
      <c r="BFV8" s="129"/>
      <c r="BFW8" s="129"/>
      <c r="BFX8" s="129"/>
      <c r="BFY8" s="129"/>
      <c r="BFZ8" s="129"/>
      <c r="BGA8" s="129"/>
      <c r="BGB8" s="129"/>
      <c r="BGC8" s="129"/>
      <c r="BGD8" s="129"/>
      <c r="BGE8" s="129"/>
      <c r="BGF8" s="129"/>
      <c r="BGG8" s="129"/>
      <c r="BGH8" s="129"/>
      <c r="BGI8" s="129"/>
      <c r="BGJ8" s="129"/>
      <c r="BGK8" s="129"/>
      <c r="BGL8" s="128"/>
      <c r="BGM8" s="128"/>
      <c r="BGN8" s="128"/>
      <c r="BGO8" s="128"/>
      <c r="BGP8" s="128"/>
      <c r="BGQ8" s="128"/>
      <c r="BGR8" s="129"/>
      <c r="BGS8" s="129"/>
      <c r="BGT8" s="129"/>
      <c r="BGU8" s="129"/>
      <c r="BGV8" s="129"/>
      <c r="BGW8" s="129"/>
      <c r="BGX8" s="129"/>
      <c r="BGY8" s="129"/>
      <c r="BGZ8" s="129"/>
      <c r="BHA8" s="129"/>
      <c r="BHB8" s="129"/>
      <c r="BHC8" s="129"/>
      <c r="BHD8" s="129"/>
      <c r="BHE8" s="129"/>
      <c r="BHF8" s="129"/>
      <c r="BHG8" s="129"/>
      <c r="BHH8" s="129"/>
      <c r="BHI8" s="129"/>
      <c r="BHJ8" s="129"/>
      <c r="BHK8" s="129"/>
      <c r="BHL8" s="129"/>
      <c r="BHM8" s="129"/>
      <c r="BHN8" s="129"/>
      <c r="BHO8" s="129"/>
      <c r="BHP8" s="129"/>
      <c r="BHQ8" s="129"/>
      <c r="BHR8" s="129"/>
      <c r="BHS8" s="129"/>
      <c r="BHT8" s="128"/>
      <c r="BHU8" s="128"/>
      <c r="BHV8" s="128"/>
      <c r="BHW8" s="128"/>
      <c r="BHX8" s="128"/>
      <c r="BHY8" s="128"/>
      <c r="BHZ8" s="128"/>
      <c r="BLR8" s="128" t="s">
        <v>319</v>
      </c>
      <c r="BLS8" s="128"/>
      <c r="BLT8" s="128"/>
      <c r="BLU8" s="128"/>
      <c r="BLV8" s="128"/>
      <c r="BLW8" s="128"/>
      <c r="BLX8" s="128"/>
      <c r="BLY8" s="128"/>
      <c r="BLZ8" s="128"/>
      <c r="BMA8" s="128"/>
      <c r="BMB8" s="128"/>
      <c r="BMC8" s="128"/>
      <c r="BMD8" s="128"/>
      <c r="BME8" s="128"/>
      <c r="BMF8" s="128"/>
      <c r="BMG8" s="128"/>
      <c r="BMH8" s="128"/>
      <c r="BMI8" s="128"/>
      <c r="BMJ8" s="128"/>
      <c r="BMK8" s="128"/>
      <c r="BML8" s="128"/>
      <c r="BMM8" s="128"/>
      <c r="BMN8" s="128"/>
      <c r="BMO8" s="128"/>
      <c r="BMP8" s="128"/>
      <c r="BMQ8" s="128"/>
      <c r="BMR8" s="128"/>
      <c r="BMS8" s="128"/>
      <c r="BMT8" s="128"/>
      <c r="BMU8" s="128"/>
      <c r="BMV8" s="128"/>
      <c r="BMW8" s="129"/>
      <c r="BMX8" s="129"/>
      <c r="BMY8" s="129"/>
      <c r="BMZ8" s="129"/>
      <c r="BNA8" s="129"/>
      <c r="BNB8" s="129"/>
      <c r="BNC8" s="129"/>
      <c r="BND8" s="129"/>
      <c r="BNE8" s="129"/>
      <c r="BNF8" s="129"/>
      <c r="BNG8" s="129"/>
      <c r="BNH8" s="129"/>
      <c r="BNI8" s="129"/>
      <c r="BNJ8" s="129"/>
      <c r="BNK8" s="129"/>
      <c r="BNL8" s="129"/>
      <c r="BNM8" s="129"/>
      <c r="BNN8" s="129"/>
      <c r="BNO8" s="129"/>
      <c r="BNP8" s="129"/>
      <c r="BNQ8" s="129"/>
      <c r="BNR8" s="128"/>
      <c r="BNS8" s="128"/>
      <c r="BNT8" s="128"/>
      <c r="BNU8" s="128"/>
      <c r="BNV8" s="128"/>
      <c r="BNW8" s="128"/>
      <c r="BNX8" s="129"/>
      <c r="BNY8" s="129"/>
      <c r="BNZ8" s="129"/>
      <c r="BOA8" s="129"/>
      <c r="BOB8" s="129"/>
      <c r="BOC8" s="129"/>
      <c r="BOD8" s="129"/>
      <c r="BOE8" s="129"/>
      <c r="BOF8" s="129"/>
      <c r="BOG8" s="129"/>
      <c r="BOH8" s="129"/>
      <c r="BOI8" s="129"/>
      <c r="BOJ8" s="129"/>
      <c r="BOK8" s="129"/>
      <c r="BOL8" s="129"/>
      <c r="BOM8" s="129"/>
      <c r="BON8" s="129"/>
      <c r="BOO8" s="129"/>
      <c r="BOP8" s="129"/>
      <c r="BOQ8" s="129"/>
      <c r="BOR8" s="129"/>
      <c r="BOS8" s="129"/>
      <c r="BOT8" s="129"/>
      <c r="BOU8" s="129"/>
      <c r="BOV8" s="129"/>
      <c r="BOW8" s="129"/>
      <c r="BOX8" s="129"/>
      <c r="BOY8" s="129"/>
      <c r="BOZ8" s="128"/>
      <c r="BPA8" s="128"/>
      <c r="BPB8" s="128"/>
      <c r="BPC8" s="128"/>
      <c r="BPD8" s="128"/>
      <c r="BPE8" s="128"/>
      <c r="BPF8" s="128"/>
      <c r="BPH8" s="128" t="s">
        <v>371</v>
      </c>
      <c r="BPI8" s="128"/>
      <c r="BPJ8" s="128"/>
      <c r="BPK8" s="128"/>
      <c r="BPL8" s="128"/>
      <c r="BPM8" s="128"/>
      <c r="BPN8" s="128"/>
      <c r="BPO8" s="128"/>
      <c r="BPP8" s="128"/>
      <c r="BPQ8" s="128"/>
      <c r="BPR8" s="128"/>
      <c r="BPS8" s="128"/>
      <c r="BPT8" s="128"/>
      <c r="BPU8" s="128"/>
      <c r="BPV8" s="128"/>
      <c r="BPW8" s="128"/>
      <c r="BPX8" s="128"/>
      <c r="BPY8" s="128"/>
      <c r="BPZ8" s="128"/>
      <c r="BQA8" s="128"/>
      <c r="BQB8" s="128"/>
      <c r="BQC8" s="128"/>
      <c r="BQD8" s="128"/>
      <c r="BQE8" s="128"/>
      <c r="BQF8" s="128"/>
      <c r="BQG8" s="128"/>
      <c r="BQH8" s="128"/>
      <c r="BQI8" s="128"/>
      <c r="BQJ8" s="128"/>
      <c r="BQK8" s="128"/>
      <c r="BQL8" s="128"/>
      <c r="BQM8" s="129"/>
      <c r="BQN8" s="129"/>
      <c r="BQO8" s="129"/>
      <c r="BQP8" s="129"/>
      <c r="BQQ8" s="129"/>
      <c r="BQR8" s="129"/>
      <c r="BQS8" s="129"/>
      <c r="BQT8" s="129"/>
      <c r="BQU8" s="129"/>
      <c r="BQV8" s="129"/>
      <c r="BQW8" s="129"/>
      <c r="BQX8" s="129"/>
      <c r="BQY8" s="129"/>
      <c r="BQZ8" s="129"/>
      <c r="BRA8" s="129"/>
      <c r="BRB8" s="129"/>
      <c r="BRC8" s="129"/>
      <c r="BRD8" s="129"/>
      <c r="BRE8" s="129"/>
      <c r="BRF8" s="129"/>
      <c r="BRG8" s="129"/>
      <c r="BRH8" s="128"/>
      <c r="BRI8" s="128"/>
      <c r="BRJ8" s="128"/>
      <c r="BRK8" s="128"/>
      <c r="BRL8" s="128"/>
      <c r="BRM8" s="128"/>
      <c r="BRN8" s="129"/>
      <c r="BRO8" s="129"/>
      <c r="BRP8" s="129"/>
      <c r="BRQ8" s="129"/>
      <c r="BRR8" s="129"/>
      <c r="BRS8" s="129"/>
      <c r="BRT8" s="129"/>
      <c r="BRU8" s="129"/>
      <c r="BRV8" s="129"/>
      <c r="BRW8" s="129"/>
      <c r="BRX8" s="129"/>
      <c r="BRY8" s="129"/>
      <c r="BRZ8" s="129"/>
      <c r="BSA8" s="129"/>
      <c r="BSB8" s="129"/>
      <c r="BSC8" s="129"/>
      <c r="BSD8" s="129"/>
      <c r="BSE8" s="129"/>
      <c r="BSF8" s="129"/>
      <c r="BSG8" s="129"/>
      <c r="BSH8" s="129"/>
      <c r="BSI8" s="129"/>
      <c r="BSJ8" s="129"/>
      <c r="BSK8" s="129"/>
      <c r="BSL8" s="129"/>
      <c r="BSM8" s="129"/>
      <c r="BSN8" s="129"/>
      <c r="BSO8" s="129"/>
      <c r="BSP8" s="128"/>
      <c r="BSQ8" s="128"/>
      <c r="BSR8" s="128"/>
      <c r="BSS8" s="128"/>
      <c r="BST8" s="128"/>
      <c r="BSU8" s="128"/>
      <c r="BSV8" s="128"/>
      <c r="BSX8" s="128"/>
      <c r="BSY8" s="128"/>
      <c r="BSZ8" s="128"/>
      <c r="BTA8" s="128"/>
      <c r="BTB8" s="128"/>
      <c r="BTC8" s="128"/>
      <c r="BTD8" s="128"/>
      <c r="BTE8" s="128"/>
      <c r="BTF8" s="128"/>
      <c r="BTG8" s="128"/>
      <c r="BTH8" s="128"/>
      <c r="BTI8" s="128"/>
      <c r="BTJ8" s="128"/>
      <c r="BTK8" s="128"/>
      <c r="BTL8" s="128"/>
      <c r="BTM8" s="128"/>
      <c r="BTN8" s="128"/>
      <c r="BTO8" s="128"/>
      <c r="BTP8" s="128"/>
      <c r="BTQ8" s="128"/>
      <c r="BTR8" s="128"/>
      <c r="BTS8" s="128"/>
      <c r="BTT8" s="128"/>
      <c r="BTU8" s="128"/>
      <c r="BTV8" s="128"/>
      <c r="BTW8" s="128"/>
      <c r="BTX8" s="128"/>
      <c r="BTY8" s="128"/>
      <c r="BTZ8" s="128"/>
      <c r="BUA8" s="128"/>
      <c r="BUB8" s="128"/>
      <c r="BUC8" s="129"/>
      <c r="BUD8" s="129"/>
      <c r="BUE8" s="129"/>
      <c r="BUF8" s="129"/>
      <c r="BUG8" s="129"/>
      <c r="BUH8" s="129"/>
      <c r="BUI8" s="129"/>
      <c r="BUJ8" s="129"/>
      <c r="BUK8" s="129"/>
      <c r="BUL8" s="129"/>
      <c r="BUM8" s="129"/>
      <c r="BUN8" s="129"/>
      <c r="BUO8" s="129"/>
      <c r="BUP8" s="129"/>
      <c r="BUQ8" s="129"/>
      <c r="BUR8" s="129"/>
      <c r="BUS8" s="129"/>
      <c r="BUT8" s="129"/>
      <c r="BUU8" s="129"/>
      <c r="BUV8" s="129"/>
      <c r="BUW8" s="129"/>
      <c r="BUX8" s="128"/>
      <c r="BUY8" s="128"/>
      <c r="BUZ8" s="128"/>
      <c r="BVA8" s="128"/>
      <c r="BVB8" s="128"/>
      <c r="BVC8" s="128"/>
      <c r="BVD8" s="129"/>
      <c r="BVE8" s="129"/>
      <c r="BVF8" s="129"/>
      <c r="BVG8" s="129"/>
      <c r="BVH8" s="129"/>
      <c r="BVI8" s="129"/>
      <c r="BVJ8" s="129"/>
      <c r="BVK8" s="129"/>
      <c r="BVL8" s="129"/>
      <c r="BVM8" s="129"/>
      <c r="BVN8" s="129"/>
      <c r="BVO8" s="129"/>
      <c r="BVP8" s="129"/>
      <c r="BVQ8" s="129"/>
      <c r="BVR8" s="129"/>
      <c r="BVS8" s="129"/>
      <c r="BVT8" s="129"/>
      <c r="BVU8" s="129"/>
      <c r="BVV8" s="129"/>
      <c r="BVW8" s="129"/>
      <c r="BVX8" s="129"/>
      <c r="BVY8" s="129"/>
      <c r="BVZ8" s="129"/>
      <c r="BWA8" s="129"/>
      <c r="BWB8" s="129"/>
      <c r="BWC8" s="129"/>
      <c r="BWD8" s="129"/>
      <c r="BWE8" s="129"/>
      <c r="BWF8" s="128"/>
      <c r="BWG8" s="128"/>
      <c r="BWH8" s="128"/>
      <c r="BWI8" s="128"/>
      <c r="BWJ8" s="128"/>
      <c r="BWK8" s="128"/>
      <c r="BWL8" s="128"/>
      <c r="BWN8" s="128" t="s">
        <v>378</v>
      </c>
      <c r="BWO8" s="128"/>
      <c r="BWP8" s="128"/>
      <c r="BWQ8" s="128"/>
      <c r="BWR8" s="128"/>
      <c r="BWS8" s="128"/>
      <c r="BWT8" s="128"/>
      <c r="BWU8" s="128"/>
      <c r="BWV8" s="128"/>
      <c r="BWW8" s="128"/>
      <c r="BWX8" s="128"/>
      <c r="BWY8" s="128"/>
      <c r="BWZ8" s="128"/>
      <c r="BXA8" s="128"/>
      <c r="BXB8" s="128"/>
      <c r="BXC8" s="128"/>
      <c r="BXD8" s="128"/>
      <c r="BXE8" s="128"/>
      <c r="BXF8" s="128"/>
      <c r="BXG8" s="128"/>
      <c r="BXH8" s="128"/>
      <c r="BXI8" s="128"/>
      <c r="BXJ8" s="128"/>
      <c r="BXK8" s="128"/>
      <c r="BXL8" s="128"/>
      <c r="BXM8" s="128"/>
      <c r="BXN8" s="128"/>
      <c r="BXO8" s="128"/>
      <c r="BXP8" s="128"/>
      <c r="BXQ8" s="128"/>
      <c r="BXR8" s="128"/>
      <c r="BXS8" s="129"/>
      <c r="BXT8" s="129"/>
      <c r="BXU8" s="129"/>
      <c r="BXV8" s="129"/>
      <c r="BXW8" s="129"/>
      <c r="BXX8" s="129"/>
      <c r="BXY8" s="129"/>
      <c r="BXZ8" s="129"/>
      <c r="BYA8" s="129"/>
      <c r="BYB8" s="129"/>
      <c r="BYC8" s="129"/>
      <c r="BYD8" s="129"/>
      <c r="BYE8" s="129"/>
      <c r="BYF8" s="129"/>
      <c r="BYG8" s="129"/>
      <c r="BYH8" s="129"/>
      <c r="BYI8" s="129"/>
      <c r="BYJ8" s="129"/>
      <c r="BYK8" s="129"/>
      <c r="BYL8" s="129"/>
      <c r="BYM8" s="129"/>
      <c r="BYN8" s="128"/>
      <c r="BYO8" s="128"/>
      <c r="BYP8" s="128"/>
      <c r="BYQ8" s="128"/>
      <c r="BYR8" s="128"/>
      <c r="BYS8" s="128"/>
      <c r="BYT8" s="129"/>
      <c r="BYU8" s="129"/>
      <c r="BYV8" s="129"/>
      <c r="BYW8" s="129"/>
      <c r="BYX8" s="129"/>
      <c r="BYY8" s="129"/>
      <c r="BYZ8" s="129"/>
      <c r="BZA8" s="129"/>
      <c r="BZB8" s="129"/>
      <c r="BZC8" s="129"/>
      <c r="BZD8" s="129"/>
      <c r="BZE8" s="129"/>
      <c r="BZF8" s="129"/>
      <c r="BZG8" s="129"/>
      <c r="BZH8" s="129"/>
      <c r="BZI8" s="129"/>
      <c r="BZJ8" s="129"/>
      <c r="BZK8" s="129"/>
      <c r="BZL8" s="129"/>
      <c r="BZM8" s="129"/>
      <c r="BZN8" s="129"/>
      <c r="BZO8" s="129"/>
      <c r="BZP8" s="129"/>
      <c r="BZQ8" s="129"/>
      <c r="BZR8" s="129"/>
      <c r="BZS8" s="129"/>
      <c r="BZT8" s="129"/>
      <c r="BZU8" s="129"/>
      <c r="BZV8" s="128"/>
      <c r="BZW8" s="128"/>
      <c r="BZX8" s="128"/>
      <c r="BZY8" s="128"/>
      <c r="BZZ8" s="128"/>
      <c r="CAA8" s="128"/>
      <c r="CAB8" s="128"/>
      <c r="CAD8" s="128" t="s">
        <v>385</v>
      </c>
      <c r="CAE8" s="128"/>
      <c r="CAF8" s="128"/>
      <c r="CAG8" s="128"/>
      <c r="CAH8" s="128"/>
      <c r="CAI8" s="128"/>
      <c r="CAJ8" s="128"/>
      <c r="CAK8" s="128"/>
      <c r="CAL8" s="128"/>
      <c r="CAM8" s="128"/>
      <c r="CAN8" s="128"/>
      <c r="CAO8" s="128"/>
      <c r="CAP8" s="128"/>
      <c r="CAQ8" s="128"/>
      <c r="CAR8" s="128"/>
      <c r="CAS8" s="128"/>
      <c r="CAT8" s="128"/>
      <c r="CAU8" s="128"/>
      <c r="CAV8" s="128"/>
      <c r="CAW8" s="128"/>
      <c r="CAX8" s="128"/>
      <c r="CAY8" s="128"/>
      <c r="CAZ8" s="128"/>
      <c r="CBA8" s="128"/>
      <c r="CBB8" s="128"/>
      <c r="CBC8" s="128"/>
      <c r="CBD8" s="128"/>
      <c r="CBE8" s="128"/>
      <c r="CBF8" s="128"/>
      <c r="CBG8" s="128"/>
      <c r="CBH8" s="128"/>
      <c r="CBI8" s="129"/>
      <c r="CBJ8" s="129"/>
      <c r="CBK8" s="129"/>
      <c r="CBL8" s="129"/>
      <c r="CBM8" s="129"/>
      <c r="CBN8" s="129"/>
      <c r="CBO8" s="129"/>
      <c r="CBP8" s="129"/>
      <c r="CBQ8" s="129"/>
      <c r="CBR8" s="129"/>
      <c r="CBS8" s="129"/>
      <c r="CBT8" s="129"/>
      <c r="CBU8" s="129"/>
      <c r="CBV8" s="129"/>
      <c r="CBW8" s="129"/>
      <c r="CBX8" s="129"/>
      <c r="CBY8" s="129"/>
      <c r="CBZ8" s="129"/>
      <c r="CCA8" s="129"/>
      <c r="CCB8" s="129"/>
      <c r="CCC8" s="129"/>
      <c r="CCD8" s="128"/>
      <c r="CCE8" s="128"/>
      <c r="CCF8" s="128"/>
      <c r="CCG8" s="128"/>
      <c r="CCH8" s="128"/>
      <c r="CCI8" s="128"/>
      <c r="CCJ8" s="129"/>
      <c r="CCK8" s="129"/>
      <c r="CCL8" s="129"/>
      <c r="CCM8" s="129"/>
      <c r="CCN8" s="129"/>
      <c r="CCO8" s="129"/>
      <c r="CCP8" s="129"/>
      <c r="CCQ8" s="129"/>
      <c r="CCR8" s="129"/>
      <c r="CCS8" s="129"/>
      <c r="CCT8" s="129"/>
      <c r="CCU8" s="129"/>
      <c r="CCV8" s="129"/>
      <c r="CCW8" s="129"/>
      <c r="CCX8" s="129"/>
      <c r="CCY8" s="129"/>
      <c r="CCZ8" s="129"/>
      <c r="CDA8" s="129"/>
      <c r="CDB8" s="129"/>
      <c r="CDC8" s="129"/>
      <c r="CDD8" s="129"/>
      <c r="CDE8" s="129"/>
      <c r="CDF8" s="129"/>
      <c r="CDG8" s="129"/>
      <c r="CDH8" s="129"/>
      <c r="CDI8" s="129"/>
      <c r="CDJ8" s="129"/>
      <c r="CDK8" s="129"/>
      <c r="CDL8" s="128"/>
      <c r="CDM8" s="128"/>
      <c r="CDN8" s="128"/>
      <c r="CDO8" s="128"/>
      <c r="CDP8" s="128"/>
      <c r="CDQ8" s="128"/>
      <c r="CDR8" s="128"/>
      <c r="CDT8" s="128" t="s">
        <v>391</v>
      </c>
      <c r="CDU8" s="128"/>
      <c r="CDV8" s="128"/>
      <c r="CDW8" s="128"/>
      <c r="CDX8" s="128"/>
      <c r="CDY8" s="128"/>
      <c r="CDZ8" s="128"/>
      <c r="CEA8" s="128"/>
      <c r="CEB8" s="128"/>
      <c r="CEC8" s="128"/>
      <c r="CED8" s="128"/>
      <c r="CEE8" s="128"/>
      <c r="CEF8" s="128"/>
      <c r="CEG8" s="128"/>
      <c r="CEH8" s="128"/>
      <c r="CEI8" s="128"/>
      <c r="CEJ8" s="128"/>
      <c r="CEK8" s="128"/>
      <c r="CEL8" s="128"/>
      <c r="CEM8" s="128"/>
      <c r="CEN8" s="128"/>
      <c r="CEO8" s="128"/>
      <c r="CEP8" s="128"/>
      <c r="CEQ8" s="128"/>
      <c r="CER8" s="128"/>
      <c r="CES8" s="128"/>
      <c r="CET8" s="128"/>
      <c r="CEU8" s="128"/>
      <c r="CEV8" s="128"/>
      <c r="CEW8" s="128"/>
      <c r="CEX8" s="128"/>
      <c r="CEY8" s="129"/>
      <c r="CEZ8" s="129"/>
      <c r="CFA8" s="129"/>
      <c r="CFB8" s="129"/>
      <c r="CFC8" s="129"/>
      <c r="CFD8" s="129"/>
      <c r="CFE8" s="129"/>
      <c r="CFF8" s="129"/>
      <c r="CFG8" s="129"/>
      <c r="CFH8" s="129"/>
      <c r="CFI8" s="129"/>
      <c r="CFJ8" s="129"/>
      <c r="CFK8" s="129"/>
      <c r="CFL8" s="129"/>
      <c r="CFM8" s="129"/>
      <c r="CFN8" s="129"/>
      <c r="CFO8" s="129"/>
      <c r="CFP8" s="129"/>
      <c r="CFQ8" s="129"/>
      <c r="CFR8" s="129"/>
      <c r="CFS8" s="129"/>
      <c r="CFT8" s="128"/>
      <c r="CFU8" s="128"/>
      <c r="CFV8" s="128"/>
      <c r="CFW8" s="128"/>
      <c r="CFX8" s="128"/>
      <c r="CFY8" s="128"/>
      <c r="CFZ8" s="129"/>
      <c r="CGA8" s="129"/>
      <c r="CGB8" s="129"/>
      <c r="CGC8" s="129"/>
      <c r="CGD8" s="129"/>
      <c r="CGE8" s="129"/>
      <c r="CGF8" s="129"/>
      <c r="CGG8" s="129"/>
      <c r="CGH8" s="129"/>
      <c r="CGI8" s="129"/>
      <c r="CGJ8" s="129"/>
      <c r="CGK8" s="129"/>
      <c r="CGL8" s="129"/>
      <c r="CGM8" s="129"/>
      <c r="CGN8" s="129"/>
      <c r="CGO8" s="129"/>
      <c r="CGP8" s="129"/>
      <c r="CGQ8" s="129"/>
      <c r="CGR8" s="129"/>
      <c r="CGS8" s="129"/>
      <c r="CGT8" s="129"/>
      <c r="CGU8" s="129"/>
      <c r="CGV8" s="129"/>
      <c r="CGW8" s="129"/>
      <c r="CGX8" s="129"/>
      <c r="CGY8" s="129"/>
      <c r="CGZ8" s="129"/>
      <c r="CHA8" s="129"/>
      <c r="CHB8" s="128"/>
      <c r="CHC8" s="128"/>
      <c r="CHD8" s="128"/>
      <c r="CHE8" s="128"/>
      <c r="CHF8" s="128"/>
      <c r="CHG8" s="128"/>
      <c r="CHH8" s="128"/>
      <c r="CHJ8" s="144" t="s">
        <v>147</v>
      </c>
      <c r="CHK8" s="144"/>
      <c r="CHL8" s="144"/>
      <c r="CHM8" s="144"/>
      <c r="CHN8" s="144"/>
      <c r="CHO8" s="144"/>
      <c r="CHP8" s="144"/>
      <c r="CHQ8" s="144"/>
      <c r="CHR8" s="144"/>
      <c r="CHS8" s="144"/>
      <c r="CHT8" s="144"/>
      <c r="CHU8" s="144"/>
      <c r="CHV8" s="144"/>
      <c r="CHW8" s="144"/>
      <c r="CHX8" s="144"/>
      <c r="CHY8" s="144"/>
      <c r="CHZ8" s="144"/>
      <c r="CIA8" s="144"/>
      <c r="CIB8" s="144"/>
      <c r="CIC8" s="144"/>
      <c r="CID8" s="144"/>
      <c r="CIE8" s="144"/>
      <c r="CIF8" s="144"/>
      <c r="CIG8" s="144"/>
      <c r="CIH8" s="144"/>
      <c r="CII8" s="144"/>
      <c r="CIJ8" s="144"/>
      <c r="CIK8" s="144"/>
      <c r="CIL8" s="144"/>
      <c r="CIM8" s="144"/>
      <c r="CIN8" s="144"/>
      <c r="CIO8" s="129" t="s">
        <v>133</v>
      </c>
      <c r="CIP8" s="129"/>
      <c r="CIQ8" s="129"/>
      <c r="CIR8" s="129"/>
      <c r="CIS8" s="129" t="s">
        <v>148</v>
      </c>
      <c r="CIT8" s="129"/>
      <c r="CIU8" s="129"/>
      <c r="CIV8" s="129"/>
      <c r="CIW8" s="129"/>
      <c r="CIX8" s="129" t="s">
        <v>83</v>
      </c>
      <c r="CIY8" s="129"/>
      <c r="CIZ8" s="129"/>
      <c r="CJA8" s="129"/>
      <c r="CJB8" s="129"/>
      <c r="CJC8" s="129"/>
      <c r="CJD8" s="129" t="s">
        <v>37</v>
      </c>
      <c r="CJE8" s="129"/>
      <c r="CJF8" s="129"/>
      <c r="CJG8" s="129"/>
      <c r="CJH8" s="129"/>
      <c r="CJI8" s="129"/>
      <c r="CJJ8" s="129" t="s">
        <v>49</v>
      </c>
      <c r="CJK8" s="129"/>
      <c r="CJL8" s="129"/>
      <c r="CJM8" s="129"/>
      <c r="CJN8" s="129"/>
      <c r="CJO8" s="129"/>
      <c r="CJP8" s="129" t="s">
        <v>149</v>
      </c>
      <c r="CJQ8" s="129"/>
      <c r="CJR8" s="129"/>
      <c r="CJS8" s="129"/>
      <c r="CJT8" s="129"/>
      <c r="CJU8" s="129"/>
      <c r="CJV8" s="129"/>
      <c r="CJW8" s="129" t="s">
        <v>150</v>
      </c>
      <c r="CJX8" s="129"/>
      <c r="CJY8" s="129"/>
      <c r="CJZ8" s="129"/>
      <c r="CKA8" s="129"/>
      <c r="CKB8" s="129"/>
      <c r="CKC8" s="129"/>
      <c r="CKD8" s="129" t="s">
        <v>151</v>
      </c>
      <c r="CKE8" s="129"/>
      <c r="CKF8" s="129"/>
      <c r="CKG8" s="129"/>
      <c r="CKH8" s="129"/>
      <c r="CKI8" s="129"/>
      <c r="CKJ8" s="129"/>
      <c r="CKK8" s="129" t="s">
        <v>37</v>
      </c>
      <c r="CKL8" s="129"/>
      <c r="CKM8" s="129"/>
      <c r="CKN8" s="129"/>
      <c r="CKO8" s="129"/>
      <c r="CKP8" s="129"/>
      <c r="CKQ8" s="129"/>
      <c r="CKR8" s="129" t="s">
        <v>40</v>
      </c>
      <c r="CKS8" s="129"/>
      <c r="CKT8" s="129"/>
      <c r="CKU8" s="129"/>
      <c r="CKV8" s="129"/>
      <c r="CKW8" s="129"/>
      <c r="CKX8" s="129"/>
      <c r="COP8" s="128" t="str">
        <f ca="1">VLOOKUP(4,INDIRECT("Base"&amp;$BJ$3),2,FALSE)</f>
        <v>Controlling Songs</v>
      </c>
      <c r="COQ8" s="128"/>
      <c r="COR8" s="128"/>
      <c r="COS8" s="128"/>
      <c r="COT8" s="128"/>
      <c r="COU8" s="128"/>
      <c r="COV8" s="128"/>
      <c r="COW8" s="128"/>
      <c r="COX8" s="128"/>
      <c r="COY8" s="128"/>
      <c r="COZ8" s="128"/>
      <c r="CPA8" s="128"/>
      <c r="CPB8" s="128"/>
      <c r="CPC8" s="128"/>
      <c r="CPD8" s="128"/>
      <c r="CPE8" s="128"/>
      <c r="CPF8" s="128"/>
      <c r="CPG8" s="128"/>
      <c r="CPH8" s="128"/>
      <c r="CPI8" s="128"/>
      <c r="CPJ8" s="128"/>
      <c r="CPK8" s="128"/>
      <c r="CPL8" s="128"/>
      <c r="CPM8" s="128"/>
      <c r="CPN8" s="128"/>
      <c r="CPO8" s="128"/>
      <c r="CPP8" s="128"/>
      <c r="CPQ8" s="128"/>
      <c r="CPR8" s="128"/>
      <c r="CPS8" s="128"/>
      <c r="CPT8" s="128"/>
      <c r="CPU8" s="129"/>
      <c r="CPV8" s="129"/>
      <c r="CPW8" s="129"/>
      <c r="CPX8" s="129"/>
      <c r="CPY8" s="129"/>
      <c r="CPZ8" s="129"/>
      <c r="CQA8" s="129"/>
      <c r="CQB8" s="129"/>
      <c r="CQC8" s="129"/>
      <c r="CQD8" s="129"/>
      <c r="CQE8" s="129"/>
      <c r="CQF8" s="129"/>
      <c r="CQG8" s="129"/>
      <c r="CQH8" s="129"/>
      <c r="CQI8" s="129"/>
      <c r="CQJ8" s="129"/>
      <c r="CQK8" s="129"/>
      <c r="CQL8" s="129"/>
      <c r="CQM8" s="129"/>
      <c r="CQN8" s="129"/>
      <c r="CQO8" s="129"/>
      <c r="CQP8" s="128"/>
      <c r="CQQ8" s="128"/>
      <c r="CQR8" s="128"/>
      <c r="CQS8" s="128"/>
      <c r="CQT8" s="128"/>
      <c r="CQU8" s="128"/>
      <c r="CQV8" s="129"/>
      <c r="CQW8" s="129"/>
      <c r="CQX8" s="129"/>
      <c r="CQY8" s="129"/>
      <c r="CQZ8" s="129"/>
      <c r="CRA8" s="129"/>
      <c r="CRB8" s="129"/>
      <c r="CRC8" s="129"/>
      <c r="CRD8" s="129"/>
      <c r="CRE8" s="129"/>
      <c r="CRF8" s="129"/>
      <c r="CRG8" s="129"/>
      <c r="CRH8" s="129"/>
      <c r="CRI8" s="129"/>
      <c r="CRJ8" s="129"/>
      <c r="CRK8" s="129"/>
      <c r="CRL8" s="129"/>
      <c r="CRM8" s="129"/>
      <c r="CRN8" s="129"/>
      <c r="CRO8" s="129"/>
      <c r="CRP8" s="129"/>
      <c r="CRQ8" s="129"/>
      <c r="CRR8" s="129"/>
      <c r="CRS8" s="129"/>
      <c r="CRT8" s="129"/>
      <c r="CRU8" s="129"/>
      <c r="CRV8" s="129"/>
      <c r="CRW8" s="129"/>
      <c r="CRX8" s="128"/>
      <c r="CRY8" s="128"/>
      <c r="CRZ8" s="128"/>
      <c r="CSA8" s="128"/>
      <c r="CSB8" s="128"/>
      <c r="CSC8" s="128"/>
      <c r="CSD8" s="128"/>
      <c r="CSF8" s="128" t="s">
        <v>433</v>
      </c>
      <c r="CSG8" s="128"/>
      <c r="CSH8" s="128"/>
      <c r="CSI8" s="128"/>
      <c r="CSJ8" s="128"/>
      <c r="CSK8" s="128"/>
      <c r="CSL8" s="128"/>
      <c r="CSM8" s="128"/>
      <c r="CSN8" s="128"/>
      <c r="CSO8" s="128"/>
      <c r="CSP8" s="128"/>
      <c r="CSQ8" s="128"/>
      <c r="CSR8" s="128"/>
      <c r="CSS8" s="128"/>
      <c r="CST8" s="128"/>
      <c r="CSU8" s="128"/>
      <c r="CSV8" s="128"/>
      <c r="CSW8" s="128"/>
      <c r="CSX8" s="128"/>
      <c r="CSY8" s="128"/>
      <c r="CSZ8" s="128"/>
      <c r="CTA8" s="128"/>
      <c r="CTB8" s="128"/>
      <c r="CTC8" s="128"/>
      <c r="CTD8" s="128"/>
      <c r="CTE8" s="128"/>
      <c r="CTF8" s="128"/>
      <c r="CTG8" s="128"/>
      <c r="CTH8" s="128"/>
      <c r="CTI8" s="128"/>
      <c r="CTJ8" s="128"/>
      <c r="CTK8" s="129"/>
      <c r="CTL8" s="129"/>
      <c r="CTM8" s="129"/>
      <c r="CTN8" s="129"/>
      <c r="CTO8" s="129"/>
      <c r="CTP8" s="129"/>
      <c r="CTQ8" s="129"/>
      <c r="CTR8" s="129"/>
      <c r="CTS8" s="129"/>
      <c r="CTT8" s="129"/>
      <c r="CTU8" s="129"/>
      <c r="CTV8" s="129"/>
      <c r="CTW8" s="129"/>
      <c r="CTX8" s="129"/>
      <c r="CTY8" s="129"/>
      <c r="CTZ8" s="129"/>
      <c r="CUA8" s="129"/>
      <c r="CUB8" s="129"/>
      <c r="CUC8" s="129"/>
      <c r="CUD8" s="129"/>
      <c r="CUE8" s="129"/>
      <c r="CUF8" s="128"/>
      <c r="CUG8" s="128"/>
      <c r="CUH8" s="128"/>
      <c r="CUI8" s="128"/>
      <c r="CUJ8" s="128"/>
      <c r="CUK8" s="128"/>
      <c r="CUL8" s="129"/>
      <c r="CUM8" s="129"/>
      <c r="CUN8" s="129"/>
      <c r="CUO8" s="129"/>
      <c r="CUP8" s="129"/>
      <c r="CUQ8" s="129"/>
      <c r="CUR8" s="129"/>
      <c r="CUS8" s="129"/>
      <c r="CUT8" s="129"/>
      <c r="CUU8" s="129"/>
      <c r="CUV8" s="129"/>
      <c r="CUW8" s="129"/>
      <c r="CUX8" s="129"/>
      <c r="CUY8" s="129"/>
      <c r="CUZ8" s="129"/>
      <c r="CVA8" s="129"/>
      <c r="CVB8" s="129"/>
      <c r="CVC8" s="129"/>
      <c r="CVD8" s="129"/>
      <c r="CVE8" s="129"/>
      <c r="CVF8" s="129"/>
      <c r="CVG8" s="129"/>
      <c r="CVH8" s="129"/>
      <c r="CVI8" s="129"/>
      <c r="CVJ8" s="129"/>
      <c r="CVK8" s="129"/>
      <c r="CVL8" s="129"/>
      <c r="CVM8" s="129"/>
      <c r="CVN8" s="128"/>
      <c r="CVO8" s="128"/>
      <c r="CVP8" s="128"/>
      <c r="CVQ8" s="128"/>
      <c r="CVR8" s="128"/>
      <c r="CVS8" s="128"/>
      <c r="CVT8" s="128"/>
      <c r="CVV8" s="128" t="s">
        <v>487</v>
      </c>
      <c r="CVW8" s="128"/>
      <c r="CVX8" s="128"/>
      <c r="CVY8" s="128"/>
      <c r="CVZ8" s="128"/>
      <c r="CWA8" s="128"/>
      <c r="CWB8" s="128"/>
      <c r="CWC8" s="128"/>
      <c r="CWD8" s="128"/>
      <c r="CWE8" s="128"/>
      <c r="CWF8" s="128"/>
      <c r="CWG8" s="128"/>
      <c r="CWH8" s="128"/>
      <c r="CWI8" s="128"/>
      <c r="CWJ8" s="128"/>
      <c r="CWK8" s="128"/>
      <c r="CWL8" s="128"/>
      <c r="CWM8" s="128"/>
      <c r="CWN8" s="128"/>
      <c r="CWO8" s="128"/>
      <c r="CWP8" s="128"/>
      <c r="CWQ8" s="128"/>
      <c r="CWR8" s="128"/>
      <c r="CWS8" s="128"/>
      <c r="CWT8" s="128"/>
      <c r="CWU8" s="128"/>
      <c r="CWV8" s="128"/>
      <c r="CWW8" s="128"/>
      <c r="CWX8" s="128"/>
      <c r="CWY8" s="128"/>
      <c r="CWZ8" s="128"/>
      <c r="CXA8" s="129"/>
      <c r="CXB8" s="129"/>
      <c r="CXC8" s="129"/>
      <c r="CXD8" s="129"/>
      <c r="CXE8" s="129"/>
      <c r="CXF8" s="129"/>
      <c r="CXG8" s="129"/>
      <c r="CXH8" s="129"/>
      <c r="CXI8" s="129"/>
      <c r="CXJ8" s="129"/>
      <c r="CXK8" s="129"/>
      <c r="CXL8" s="129"/>
      <c r="CXM8" s="129"/>
      <c r="CXN8" s="129"/>
      <c r="CXO8" s="129"/>
      <c r="CXP8" s="129"/>
      <c r="CXQ8" s="129"/>
      <c r="CXR8" s="129"/>
      <c r="CXS8" s="129"/>
      <c r="CXT8" s="129"/>
      <c r="CXU8" s="129"/>
      <c r="CXV8" s="128"/>
      <c r="CXW8" s="128"/>
      <c r="CXX8" s="128"/>
      <c r="CXY8" s="128"/>
      <c r="CXZ8" s="128"/>
      <c r="CYA8" s="128"/>
      <c r="CYB8" s="129"/>
      <c r="CYC8" s="129"/>
      <c r="CYD8" s="129"/>
      <c r="CYE8" s="129"/>
      <c r="CYF8" s="129"/>
      <c r="CYG8" s="129"/>
      <c r="CYH8" s="129"/>
      <c r="CYI8" s="129"/>
      <c r="CYJ8" s="129"/>
      <c r="CYK8" s="129"/>
      <c r="CYL8" s="129"/>
      <c r="CYM8" s="129"/>
      <c r="CYN8" s="129"/>
      <c r="CYO8" s="129"/>
      <c r="CYP8" s="129"/>
      <c r="CYQ8" s="129"/>
      <c r="CYR8" s="129"/>
      <c r="CYS8" s="129"/>
      <c r="CYT8" s="129"/>
      <c r="CYU8" s="129"/>
      <c r="CYV8" s="129"/>
      <c r="CYW8" s="129"/>
      <c r="CYX8" s="129"/>
      <c r="CYY8" s="129"/>
      <c r="CYZ8" s="129"/>
      <c r="CZA8" s="129"/>
      <c r="CZB8" s="129"/>
      <c r="CZC8" s="129"/>
      <c r="CZD8" s="128"/>
      <c r="CZE8" s="128"/>
      <c r="CZF8" s="128"/>
      <c r="CZG8" s="128"/>
      <c r="CZH8" s="128"/>
      <c r="CZI8" s="128"/>
      <c r="CZJ8" s="128"/>
      <c r="CZL8" s="128" t="s">
        <v>505</v>
      </c>
      <c r="CZM8" s="128"/>
      <c r="CZN8" s="128"/>
      <c r="CZO8" s="128"/>
      <c r="CZP8" s="128"/>
      <c r="CZQ8" s="128"/>
      <c r="CZR8" s="128"/>
      <c r="CZS8" s="128"/>
      <c r="CZT8" s="128"/>
      <c r="CZU8" s="128"/>
      <c r="CZV8" s="128"/>
      <c r="CZW8" s="128"/>
      <c r="CZX8" s="128"/>
      <c r="CZY8" s="128"/>
      <c r="CZZ8" s="128"/>
      <c r="DAA8" s="128"/>
      <c r="DAB8" s="128"/>
      <c r="DAC8" s="128"/>
      <c r="DAD8" s="128"/>
      <c r="DAE8" s="128"/>
      <c r="DAF8" s="128"/>
      <c r="DAG8" s="128"/>
      <c r="DAH8" s="128"/>
      <c r="DAI8" s="128"/>
      <c r="DAJ8" s="128"/>
      <c r="DAK8" s="128"/>
      <c r="DAL8" s="128"/>
      <c r="DAM8" s="128"/>
      <c r="DAN8" s="128"/>
      <c r="DAO8" s="128"/>
      <c r="DAP8" s="128"/>
      <c r="DAQ8" s="129"/>
      <c r="DAR8" s="129"/>
      <c r="DAS8" s="129"/>
      <c r="DAT8" s="129"/>
      <c r="DAU8" s="129"/>
      <c r="DAV8" s="129"/>
      <c r="DAW8" s="129"/>
      <c r="DAX8" s="129"/>
      <c r="DAY8" s="129"/>
      <c r="DAZ8" s="129"/>
      <c r="DBA8" s="129"/>
      <c r="DBB8" s="129"/>
      <c r="DBC8" s="129"/>
      <c r="DBD8" s="129"/>
      <c r="DBE8" s="129"/>
      <c r="DBF8" s="129"/>
      <c r="DBG8" s="129"/>
      <c r="DBH8" s="129"/>
      <c r="DBI8" s="129"/>
      <c r="DBJ8" s="129"/>
      <c r="DBK8" s="129"/>
      <c r="DBL8" s="128"/>
      <c r="DBM8" s="128"/>
      <c r="DBN8" s="128"/>
      <c r="DBO8" s="128"/>
      <c r="DBP8" s="128"/>
      <c r="DBQ8" s="128"/>
      <c r="DBR8" s="129"/>
      <c r="DBS8" s="129"/>
      <c r="DBT8" s="129"/>
      <c r="DBU8" s="129"/>
      <c r="DBV8" s="129"/>
      <c r="DBW8" s="129"/>
      <c r="DBX8" s="129"/>
      <c r="DBY8" s="129"/>
      <c r="DBZ8" s="129"/>
      <c r="DCA8" s="129"/>
      <c r="DCB8" s="129"/>
      <c r="DCC8" s="129"/>
      <c r="DCD8" s="129"/>
      <c r="DCE8" s="129"/>
      <c r="DCF8" s="129"/>
      <c r="DCG8" s="129"/>
      <c r="DCH8" s="129"/>
      <c r="DCI8" s="129"/>
      <c r="DCJ8" s="129"/>
      <c r="DCK8" s="129"/>
      <c r="DCL8" s="129"/>
      <c r="DCM8" s="129"/>
      <c r="DCN8" s="129"/>
      <c r="DCO8" s="129"/>
      <c r="DCP8" s="129"/>
      <c r="DCQ8" s="129"/>
      <c r="DCR8" s="129"/>
      <c r="DCS8" s="129"/>
      <c r="DCT8" s="128"/>
      <c r="DCU8" s="128"/>
      <c r="DCV8" s="128"/>
      <c r="DCW8" s="128"/>
      <c r="DCX8" s="128"/>
      <c r="DCY8" s="128"/>
      <c r="DCZ8" s="128"/>
      <c r="DDB8" s="128" t="s">
        <v>518</v>
      </c>
      <c r="DDC8" s="128"/>
      <c r="DDD8" s="128"/>
      <c r="DDE8" s="128"/>
      <c r="DDF8" s="128"/>
      <c r="DDG8" s="128"/>
      <c r="DDH8" s="128"/>
      <c r="DDI8" s="128"/>
      <c r="DDJ8" s="128"/>
      <c r="DDK8" s="128"/>
      <c r="DDL8" s="128"/>
      <c r="DDM8" s="128"/>
      <c r="DDN8" s="128"/>
      <c r="DDO8" s="128"/>
      <c r="DDP8" s="128"/>
      <c r="DDQ8" s="128"/>
      <c r="DDR8" s="128"/>
      <c r="DDS8" s="128"/>
      <c r="DDT8" s="128"/>
      <c r="DDU8" s="128"/>
      <c r="DDV8" s="128"/>
      <c r="DDW8" s="128"/>
      <c r="DDX8" s="128"/>
      <c r="DDY8" s="128"/>
      <c r="DDZ8" s="128"/>
      <c r="DEA8" s="128"/>
      <c r="DEB8" s="128"/>
      <c r="DEC8" s="128"/>
      <c r="DED8" s="128"/>
      <c r="DEE8" s="128"/>
      <c r="DEF8" s="128"/>
      <c r="DEG8" s="129"/>
      <c r="DEH8" s="129"/>
      <c r="DEI8" s="129"/>
      <c r="DEJ8" s="129"/>
      <c r="DEK8" s="129"/>
      <c r="DEL8" s="129"/>
      <c r="DEM8" s="129"/>
      <c r="DEN8" s="129"/>
      <c r="DEO8" s="129"/>
      <c r="DEP8" s="129"/>
      <c r="DEQ8" s="129"/>
      <c r="DER8" s="129"/>
      <c r="DES8" s="129"/>
      <c r="DET8" s="129"/>
      <c r="DEU8" s="129"/>
      <c r="DEV8" s="129"/>
      <c r="DEW8" s="129"/>
      <c r="DEX8" s="129"/>
      <c r="DEY8" s="129"/>
      <c r="DEZ8" s="129"/>
      <c r="DFA8" s="129"/>
      <c r="DFB8" s="128"/>
      <c r="DFC8" s="128"/>
      <c r="DFD8" s="128"/>
      <c r="DFE8" s="128"/>
      <c r="DFF8" s="128"/>
      <c r="DFG8" s="128"/>
      <c r="DFH8" s="129"/>
      <c r="DFI8" s="129"/>
      <c r="DFJ8" s="129"/>
      <c r="DFK8" s="129"/>
      <c r="DFL8" s="129"/>
      <c r="DFM8" s="129"/>
      <c r="DFN8" s="129"/>
      <c r="DFO8" s="129"/>
      <c r="DFP8" s="129"/>
      <c r="DFQ8" s="129"/>
      <c r="DFR8" s="129"/>
      <c r="DFS8" s="129"/>
      <c r="DFT8" s="129"/>
      <c r="DFU8" s="129"/>
      <c r="DFV8" s="129"/>
      <c r="DFW8" s="129"/>
      <c r="DFX8" s="129"/>
      <c r="DFY8" s="129"/>
      <c r="DFZ8" s="129"/>
      <c r="DGA8" s="129"/>
      <c r="DGB8" s="129"/>
      <c r="DGC8" s="129"/>
      <c r="DGD8" s="129"/>
      <c r="DGE8" s="129"/>
      <c r="DGF8" s="129"/>
      <c r="DGG8" s="129"/>
      <c r="DGH8" s="129"/>
      <c r="DGI8" s="129"/>
      <c r="DGJ8" s="128"/>
      <c r="DGK8" s="128"/>
      <c r="DGL8" s="128"/>
      <c r="DGM8" s="128"/>
      <c r="DGN8" s="128"/>
      <c r="DGO8" s="128"/>
      <c r="DGP8" s="128"/>
      <c r="DGR8" s="128" t="s">
        <v>559</v>
      </c>
      <c r="DGS8" s="128"/>
      <c r="DGT8" s="128"/>
      <c r="DGU8" s="128"/>
      <c r="DGV8" s="128"/>
      <c r="DGW8" s="128"/>
      <c r="DGX8" s="128"/>
      <c r="DGY8" s="128"/>
      <c r="DGZ8" s="128"/>
      <c r="DHA8" s="128"/>
      <c r="DHB8" s="128"/>
      <c r="DHC8" s="128"/>
      <c r="DHD8" s="128"/>
      <c r="DHE8" s="128"/>
      <c r="DHF8" s="128"/>
      <c r="DHG8" s="128"/>
      <c r="DHH8" s="128"/>
      <c r="DHI8" s="128"/>
      <c r="DHJ8" s="128"/>
      <c r="DHK8" s="128"/>
      <c r="DHL8" s="128"/>
      <c r="DHM8" s="128"/>
      <c r="DHN8" s="128"/>
      <c r="DHO8" s="128"/>
      <c r="DHP8" s="128"/>
      <c r="DHQ8" s="128"/>
      <c r="DHR8" s="128"/>
      <c r="DHS8" s="128"/>
      <c r="DHT8" s="128"/>
      <c r="DHU8" s="128"/>
      <c r="DHV8" s="128"/>
      <c r="DHW8" s="129"/>
      <c r="DHX8" s="129"/>
      <c r="DHY8" s="129"/>
      <c r="DHZ8" s="129"/>
      <c r="DIA8" s="129"/>
      <c r="DIB8" s="129"/>
      <c r="DIC8" s="129"/>
      <c r="DID8" s="129"/>
      <c r="DIE8" s="129"/>
      <c r="DIF8" s="129"/>
      <c r="DIG8" s="129"/>
      <c r="DIH8" s="129"/>
      <c r="DII8" s="129"/>
      <c r="DIJ8" s="129"/>
      <c r="DIK8" s="129"/>
      <c r="DIL8" s="129"/>
      <c r="DIM8" s="129"/>
      <c r="DIN8" s="129"/>
      <c r="DIO8" s="129"/>
      <c r="DIP8" s="129"/>
      <c r="DIQ8" s="129"/>
      <c r="DIR8" s="128"/>
      <c r="DIS8" s="128"/>
      <c r="DIT8" s="128"/>
      <c r="DIU8" s="128"/>
      <c r="DIV8" s="128"/>
      <c r="DIW8" s="128"/>
      <c r="DIX8" s="129"/>
      <c r="DIY8" s="129"/>
      <c r="DIZ8" s="129"/>
      <c r="DJA8" s="129"/>
      <c r="DJB8" s="129"/>
      <c r="DJC8" s="129"/>
      <c r="DJD8" s="129"/>
      <c r="DJE8" s="129"/>
      <c r="DJF8" s="129"/>
      <c r="DJG8" s="129"/>
      <c r="DJH8" s="129"/>
      <c r="DJI8" s="129"/>
      <c r="DJJ8" s="129"/>
      <c r="DJK8" s="129"/>
      <c r="DJL8" s="129"/>
      <c r="DJM8" s="129"/>
      <c r="DJN8" s="129"/>
      <c r="DJO8" s="129"/>
      <c r="DJP8" s="129"/>
      <c r="DJQ8" s="129"/>
      <c r="DJR8" s="129"/>
      <c r="DJS8" s="129"/>
      <c r="DJT8" s="129"/>
      <c r="DJU8" s="129"/>
      <c r="DJV8" s="129"/>
      <c r="DJW8" s="129"/>
      <c r="DJX8" s="129"/>
      <c r="DJY8" s="129"/>
      <c r="DJZ8" s="128"/>
      <c r="DKA8" s="128"/>
      <c r="DKB8" s="128"/>
      <c r="DKC8" s="128"/>
      <c r="DKD8" s="128"/>
      <c r="DKE8" s="128"/>
      <c r="DKF8" s="128"/>
    </row>
    <row r="9" spans="2:2996" ht="15" customHeight="1" x14ac:dyDescent="0.25">
      <c r="B9" s="230" t="s">
        <v>7</v>
      </c>
      <c r="C9" s="207"/>
      <c r="D9" s="207"/>
      <c r="E9" s="207"/>
      <c r="F9" s="207"/>
      <c r="G9" s="207"/>
      <c r="H9" s="207"/>
      <c r="I9" s="207"/>
      <c r="J9" s="245" t="str">
        <f>VLOOKUP('Character Creation'!Z11,RaceChart,20,FALSE)&amp;" "&amp;VLOOKUP('Character Creation'!Z11,RaceChart,21,FALSE)</f>
        <v>M (5)</v>
      </c>
      <c r="K9" s="245"/>
      <c r="L9" s="245"/>
      <c r="M9" s="245"/>
      <c r="N9" s="245"/>
      <c r="O9" s="245"/>
      <c r="P9" s="245"/>
      <c r="Q9" s="324"/>
      <c r="R9" s="207" t="s">
        <v>14</v>
      </c>
      <c r="S9" s="207"/>
      <c r="T9" s="207"/>
      <c r="U9" s="207"/>
      <c r="V9" s="207"/>
      <c r="W9" s="207"/>
      <c r="X9" s="207"/>
      <c r="Y9" s="207"/>
      <c r="Z9" s="207"/>
      <c r="AA9" s="245">
        <f>VLOOKUP('Character Creation'!Z11,RaceChart,24,FALSE)</f>
        <v>1</v>
      </c>
      <c r="AB9" s="245"/>
      <c r="AC9" s="245"/>
      <c r="AD9" s="245"/>
      <c r="AE9" s="245"/>
      <c r="AF9" s="245"/>
      <c r="AG9" s="245"/>
      <c r="AH9" s="324"/>
      <c r="AI9" s="207" t="s">
        <v>18</v>
      </c>
      <c r="AJ9" s="207"/>
      <c r="AK9" s="207"/>
      <c r="AL9" s="207"/>
      <c r="AM9" s="207"/>
      <c r="AN9" s="207"/>
      <c r="AO9" s="207"/>
      <c r="AP9" s="207"/>
      <c r="AQ9" s="207"/>
      <c r="AR9" s="245" t="str">
        <f>"x "&amp;VLOOKUP('Character Creation'!Z11,RaceChart,23,FALSE)</f>
        <v>x 1</v>
      </c>
      <c r="AS9" s="245"/>
      <c r="AT9" s="245"/>
      <c r="AU9" s="245"/>
      <c r="AV9" s="245"/>
      <c r="AW9" s="245"/>
      <c r="AX9" s="245"/>
      <c r="AY9" s="324"/>
      <c r="AZ9" s="207" t="s">
        <v>21</v>
      </c>
      <c r="BA9" s="207"/>
      <c r="BB9" s="207"/>
      <c r="BC9" s="207"/>
      <c r="BD9" s="207"/>
      <c r="BE9" s="207"/>
      <c r="BF9" s="207"/>
      <c r="BG9" s="207"/>
      <c r="BH9" s="207"/>
      <c r="BI9" s="207"/>
      <c r="BJ9" s="316" t="str">
        <f>'Character Creation'!Z12</f>
        <v>Harsh</v>
      </c>
      <c r="BK9" s="316"/>
      <c r="BL9" s="316"/>
      <c r="BM9" s="316"/>
      <c r="BN9" s="316"/>
      <c r="BO9" s="316"/>
      <c r="BP9" s="316"/>
      <c r="BQ9" s="316"/>
      <c r="BR9" s="316"/>
      <c r="BS9" s="316"/>
      <c r="BT9" s="316"/>
      <c r="BU9" s="316"/>
      <c r="BV9" s="316"/>
      <c r="BW9" s="316"/>
      <c r="BX9" s="317"/>
      <c r="BZ9" s="230" t="s">
        <v>3223</v>
      </c>
      <c r="CA9" s="207"/>
      <c r="CB9" s="207"/>
      <c r="CC9" s="207"/>
      <c r="CD9" s="207"/>
      <c r="CE9" s="207"/>
      <c r="CF9" s="207"/>
      <c r="CG9" s="207"/>
      <c r="CH9" s="207"/>
      <c r="CI9" s="207"/>
      <c r="CJ9" s="207"/>
      <c r="CK9" s="249">
        <v>0</v>
      </c>
      <c r="CL9" s="249"/>
      <c r="CM9" s="249"/>
      <c r="CN9" s="341"/>
      <c r="CO9" s="207" t="s">
        <v>129</v>
      </c>
      <c r="CP9" s="207"/>
      <c r="CQ9" s="207"/>
      <c r="CR9" s="207"/>
      <c r="CS9" s="207"/>
      <c r="CT9" s="207"/>
      <c r="CU9" s="207"/>
      <c r="CV9" s="207"/>
      <c r="CW9" s="207"/>
      <c r="CX9" s="207"/>
      <c r="CY9" s="249">
        <v>7</v>
      </c>
      <c r="CZ9" s="249"/>
      <c r="DA9" s="249"/>
      <c r="DB9" s="353"/>
      <c r="DC9"/>
      <c r="DD9" s="297" t="s">
        <v>119</v>
      </c>
      <c r="DE9" s="236"/>
      <c r="DF9" s="236"/>
      <c r="DG9" s="236"/>
      <c r="DH9" s="236"/>
      <c r="DI9" s="236"/>
      <c r="DJ9" s="236"/>
      <c r="DK9" s="236"/>
      <c r="DL9" s="236"/>
      <c r="DM9" s="236"/>
      <c r="DN9" s="236"/>
      <c r="DO9" s="236"/>
      <c r="DP9" s="236"/>
      <c r="DQ9" s="236"/>
      <c r="DR9" s="236"/>
      <c r="DS9" s="236"/>
      <c r="DT9" s="236"/>
      <c r="DU9" s="236"/>
      <c r="DV9" s="236"/>
      <c r="DW9" s="236"/>
      <c r="DX9" s="236"/>
      <c r="DY9" s="236"/>
      <c r="DZ9" s="236"/>
      <c r="EA9" s="236"/>
      <c r="EB9" s="236"/>
      <c r="EC9" s="236"/>
      <c r="ED9" s="236"/>
      <c r="EE9" s="236"/>
      <c r="EF9" s="236"/>
      <c r="EG9" s="290">
        <f>SUM(AW49:BD69)+SUM(AW71:BD71)+SUM(HB4:HI54)</f>
        <v>21.15</v>
      </c>
      <c r="EH9" s="290"/>
      <c r="EI9" s="290"/>
      <c r="EJ9" s="290"/>
      <c r="EK9" s="290"/>
      <c r="EL9" s="290"/>
      <c r="EM9" s="290"/>
      <c r="EN9" s="290"/>
      <c r="EO9" s="130" t="s">
        <v>117</v>
      </c>
      <c r="EP9" s="130"/>
      <c r="EQ9" s="130"/>
      <c r="ER9" s="130"/>
      <c r="ES9" s="291">
        <f>SUM(Calculations!E2:E15)+((SUM(DM3:DT6))*0.00220462)</f>
        <v>0.20388790709999999</v>
      </c>
      <c r="ET9" s="291"/>
      <c r="EU9" s="291"/>
      <c r="EV9" s="291"/>
      <c r="EW9" s="291"/>
      <c r="EX9" s="291"/>
      <c r="EY9" s="291"/>
      <c r="EZ9" s="292"/>
      <c r="FB9" s="139" t="s">
        <v>3747</v>
      </c>
      <c r="FC9" s="140"/>
      <c r="FD9" s="140"/>
      <c r="FE9" s="140"/>
      <c r="FF9" s="140"/>
      <c r="FG9" s="140"/>
      <c r="FH9" s="140"/>
      <c r="FI9" s="140"/>
      <c r="FJ9" s="140"/>
      <c r="FK9" s="140"/>
      <c r="FL9" s="140"/>
      <c r="FM9" s="140"/>
      <c r="FN9" s="140"/>
      <c r="FO9" s="140"/>
      <c r="FP9" s="140"/>
      <c r="FQ9" s="140"/>
      <c r="FR9" s="140"/>
      <c r="FS9" s="140"/>
      <c r="FT9" s="140"/>
      <c r="FU9" s="140"/>
      <c r="FV9" s="140"/>
      <c r="FW9" s="140"/>
      <c r="FX9" s="140"/>
      <c r="FY9" s="140"/>
      <c r="FZ9" s="140"/>
      <c r="GA9" s="140"/>
      <c r="GB9" s="140"/>
      <c r="GC9" s="140"/>
      <c r="GD9" s="140"/>
      <c r="GE9" s="140"/>
      <c r="GF9" s="140"/>
      <c r="GG9" s="140"/>
      <c r="GH9" s="140"/>
      <c r="GI9" s="140"/>
      <c r="GJ9" s="140"/>
      <c r="GK9" s="140"/>
      <c r="GL9" s="140"/>
      <c r="GM9" s="140"/>
      <c r="GN9" s="140"/>
      <c r="GO9" s="140"/>
      <c r="GP9" s="140"/>
      <c r="GQ9" s="140"/>
      <c r="GR9" s="140"/>
      <c r="GS9" s="140"/>
      <c r="GT9" s="141">
        <v>1</v>
      </c>
      <c r="GU9" s="141"/>
      <c r="GV9" s="141"/>
      <c r="GW9" s="141"/>
      <c r="GX9" s="141"/>
      <c r="GY9" s="141"/>
      <c r="GZ9" s="141"/>
      <c r="HA9" s="141"/>
      <c r="HB9" s="142">
        <f>IFERROR(ROUND(((Calculations!BV9/185)*'Character Creation'!$Z$18)*GT9,2),"")</f>
        <v>0.84</v>
      </c>
      <c r="HC9" s="142"/>
      <c r="HD9" s="142"/>
      <c r="HE9" s="142"/>
      <c r="HF9" s="142"/>
      <c r="HG9" s="142"/>
      <c r="HH9" s="142"/>
      <c r="HI9" s="142"/>
      <c r="HJ9" s="142">
        <f>IFERROR(Calculations!BS9+IQ9+IX9,"")</f>
        <v>15</v>
      </c>
      <c r="HK9" s="142"/>
      <c r="HL9" s="142"/>
      <c r="HM9" s="142"/>
      <c r="HN9" s="142"/>
      <c r="HO9" s="142"/>
      <c r="HP9" s="142"/>
      <c r="HQ9" s="142"/>
      <c r="HR9" s="142">
        <f t="shared" si="0"/>
        <v>0</v>
      </c>
      <c r="HS9" s="142"/>
      <c r="HT9" s="142"/>
      <c r="HU9" s="142"/>
      <c r="HV9" s="142"/>
      <c r="HW9" s="142"/>
      <c r="HX9" s="142"/>
      <c r="HY9" s="142"/>
      <c r="HZ9" s="142" t="str">
        <f>IFERROR(Calculations!BX9,"")</f>
        <v>$1.25</v>
      </c>
      <c r="IA9" s="142"/>
      <c r="IB9" s="142"/>
      <c r="IC9" s="142"/>
      <c r="ID9" s="142"/>
      <c r="IE9" s="142"/>
      <c r="IF9" s="142"/>
      <c r="IG9" s="142"/>
      <c r="IH9" s="142"/>
      <c r="II9" s="142"/>
      <c r="IJ9" s="142">
        <f>IFERROR(Calculations!BR9+IX9,"")</f>
        <v>0</v>
      </c>
      <c r="IK9" s="142"/>
      <c r="IL9" s="142"/>
      <c r="IM9" s="142"/>
      <c r="IN9" s="142"/>
      <c r="IO9" s="142"/>
      <c r="IP9" s="142"/>
      <c r="IQ9" s="141">
        <v>0</v>
      </c>
      <c r="IR9" s="141"/>
      <c r="IS9" s="141"/>
      <c r="IT9" s="141"/>
      <c r="IU9" s="141"/>
      <c r="IV9" s="141"/>
      <c r="IW9" s="141"/>
      <c r="IX9" s="141">
        <v>0</v>
      </c>
      <c r="IY9" s="141"/>
      <c r="IZ9" s="141"/>
      <c r="JA9" s="141"/>
      <c r="JB9" s="141"/>
      <c r="JC9" s="141"/>
      <c r="JD9" s="141"/>
      <c r="JE9" s="141"/>
      <c r="JF9" s="142"/>
      <c r="JG9" s="142"/>
      <c r="JH9" s="142"/>
      <c r="JI9" s="142"/>
      <c r="JJ9" s="142"/>
      <c r="JK9" s="143" t="str">
        <f>Calculations!AS9</f>
        <v>Light Cloth</v>
      </c>
      <c r="JL9" s="143"/>
      <c r="JM9" s="143"/>
      <c r="JN9" s="143"/>
      <c r="JO9" s="143"/>
      <c r="JP9" s="143"/>
      <c r="JQ9" s="143"/>
      <c r="JR9" s="143"/>
      <c r="JS9" s="143"/>
      <c r="JT9" s="143"/>
      <c r="JU9" s="143"/>
      <c r="JV9" s="143"/>
      <c r="JW9" s="143"/>
      <c r="JX9" s="143"/>
      <c r="JY9" s="143"/>
      <c r="JZ9" s="143"/>
      <c r="KA9" s="143"/>
      <c r="KB9" s="143"/>
      <c r="KC9" s="143" t="str">
        <f>Calculations!AW9</f>
        <v>Light Cloth</v>
      </c>
      <c r="KD9" s="143"/>
      <c r="KE9" s="143"/>
      <c r="KF9" s="143"/>
      <c r="KG9" s="143"/>
      <c r="KH9" s="143"/>
      <c r="KI9" s="143"/>
      <c r="KJ9" s="143"/>
      <c r="KK9" s="143"/>
      <c r="KL9" s="143"/>
      <c r="KM9" s="143"/>
      <c r="KN9" s="143"/>
      <c r="KO9" s="143"/>
      <c r="KP9" s="143"/>
      <c r="KQ9" s="143"/>
      <c r="KR9" s="143"/>
      <c r="KS9" s="143"/>
      <c r="KT9" s="143"/>
      <c r="KU9" s="144"/>
      <c r="KV9" s="144"/>
      <c r="KW9" s="144"/>
      <c r="KX9" s="144"/>
      <c r="KY9" s="144"/>
      <c r="KZ9" s="144"/>
      <c r="LA9" s="144"/>
      <c r="LB9" s="144"/>
      <c r="LC9" s="144"/>
      <c r="LD9" s="144"/>
      <c r="LE9" s="144"/>
      <c r="LF9" s="144"/>
      <c r="LG9" s="144"/>
      <c r="LH9" s="144"/>
      <c r="LI9" s="144"/>
      <c r="LJ9" s="144"/>
      <c r="LK9" s="144"/>
      <c r="LL9" s="144"/>
      <c r="LM9" s="144"/>
      <c r="LN9" s="144"/>
      <c r="LO9" s="144"/>
      <c r="LP9" s="144"/>
      <c r="LQ9" s="144"/>
      <c r="LR9" s="144"/>
      <c r="LS9" s="144"/>
      <c r="LT9" s="144"/>
      <c r="LU9" s="144"/>
      <c r="LV9" s="144"/>
      <c r="LW9" s="144"/>
      <c r="LX9" s="144"/>
      <c r="LY9" s="144"/>
      <c r="LZ9" s="144"/>
      <c r="MA9" s="144"/>
      <c r="MB9" s="144"/>
      <c r="MC9" s="144"/>
      <c r="MD9" s="144"/>
      <c r="ME9" s="144"/>
      <c r="MF9" s="144"/>
      <c r="MG9" s="144"/>
      <c r="MH9" s="144"/>
      <c r="MI9" s="144"/>
      <c r="MJ9" s="144"/>
      <c r="MK9" s="144"/>
      <c r="ML9" s="144"/>
      <c r="MM9" s="144"/>
      <c r="MN9" s="144"/>
      <c r="MO9" s="144"/>
      <c r="MP9" s="144"/>
      <c r="MQ9" s="144"/>
      <c r="MR9" s="144"/>
      <c r="MS9" s="144"/>
      <c r="MT9" s="144"/>
      <c r="MU9" s="144"/>
      <c r="MV9" s="144"/>
      <c r="MW9" s="144"/>
      <c r="MX9" s="144"/>
      <c r="MY9" s="144"/>
      <c r="MZ9" s="145"/>
      <c r="UH9" s="128" t="s">
        <v>164</v>
      </c>
      <c r="UI9" s="128"/>
      <c r="UJ9" s="128"/>
      <c r="UK9" s="128"/>
      <c r="UL9" s="128"/>
      <c r="UM9" s="128"/>
      <c r="UN9" s="128"/>
      <c r="UO9" s="128"/>
      <c r="UP9" s="128"/>
      <c r="UQ9" s="128"/>
      <c r="UR9" s="128"/>
      <c r="US9" s="128"/>
      <c r="UT9" s="128"/>
      <c r="UU9" s="128"/>
      <c r="UV9" s="128"/>
      <c r="UW9" s="128"/>
      <c r="UX9" s="128"/>
      <c r="UY9" s="128"/>
      <c r="UZ9" s="128"/>
      <c r="VA9" s="128"/>
      <c r="VB9" s="128"/>
      <c r="VC9" s="128"/>
      <c r="VD9" s="128"/>
      <c r="VE9" s="128"/>
      <c r="VF9" s="128"/>
      <c r="VG9" s="128"/>
      <c r="VH9" s="128"/>
      <c r="VI9" s="128"/>
      <c r="VJ9" s="128"/>
      <c r="VK9" s="128"/>
      <c r="VL9" s="128"/>
      <c r="VM9" s="129"/>
      <c r="VN9" s="129"/>
      <c r="VO9" s="129"/>
      <c r="VP9" s="129"/>
      <c r="VQ9" s="129"/>
      <c r="VR9" s="129"/>
      <c r="VS9" s="129"/>
      <c r="VT9" s="129"/>
      <c r="VU9" s="129"/>
      <c r="VV9" s="129"/>
      <c r="VW9" s="129"/>
      <c r="VX9" s="129"/>
      <c r="VY9" s="129"/>
      <c r="VZ9" s="129"/>
      <c r="WA9" s="129"/>
      <c r="WB9" s="129"/>
      <c r="WC9" s="129"/>
      <c r="WD9" s="129"/>
      <c r="WE9" s="129"/>
      <c r="WF9" s="129"/>
      <c r="WG9" s="129"/>
      <c r="WH9" s="128"/>
      <c r="WI9" s="128"/>
      <c r="WJ9" s="128"/>
      <c r="WK9" s="128"/>
      <c r="WL9" s="128"/>
      <c r="WM9" s="128"/>
      <c r="WN9" s="129"/>
      <c r="WO9" s="129"/>
      <c r="WP9" s="129"/>
      <c r="WQ9" s="129"/>
      <c r="WR9" s="129"/>
      <c r="WS9" s="129"/>
      <c r="WT9" s="129"/>
      <c r="WU9" s="129"/>
      <c r="WV9" s="129"/>
      <c r="WW9" s="129"/>
      <c r="WX9" s="129"/>
      <c r="WY9" s="129"/>
      <c r="WZ9" s="129"/>
      <c r="XA9" s="129"/>
      <c r="XB9" s="129"/>
      <c r="XC9" s="129"/>
      <c r="XD9" s="129"/>
      <c r="XE9" s="129"/>
      <c r="XF9" s="129"/>
      <c r="XG9" s="129"/>
      <c r="XH9" s="129"/>
      <c r="XI9" s="129"/>
      <c r="XJ9" s="129"/>
      <c r="XK9" s="129"/>
      <c r="XL9" s="129"/>
      <c r="XM9" s="129"/>
      <c r="XN9" s="129"/>
      <c r="XO9" s="129"/>
      <c r="XP9" s="128"/>
      <c r="XQ9" s="128"/>
      <c r="XR9" s="128"/>
      <c r="XS9" s="128"/>
      <c r="XT9" s="128"/>
      <c r="XU9" s="128"/>
      <c r="XV9" s="128"/>
      <c r="XX9" s="128" t="s">
        <v>170</v>
      </c>
      <c r="XY9" s="128"/>
      <c r="XZ9" s="128"/>
      <c r="YA9" s="128"/>
      <c r="YB9" s="128"/>
      <c r="YC9" s="128"/>
      <c r="YD9" s="128"/>
      <c r="YE9" s="128"/>
      <c r="YF9" s="128"/>
      <c r="YG9" s="128"/>
      <c r="YH9" s="128"/>
      <c r="YI9" s="128"/>
      <c r="YJ9" s="128"/>
      <c r="YK9" s="128"/>
      <c r="YL9" s="128"/>
      <c r="YM9" s="128"/>
      <c r="YN9" s="128"/>
      <c r="YO9" s="128"/>
      <c r="YP9" s="128"/>
      <c r="YQ9" s="128"/>
      <c r="YR9" s="128"/>
      <c r="YS9" s="128"/>
      <c r="YT9" s="128"/>
      <c r="YU9" s="128"/>
      <c r="YV9" s="128"/>
      <c r="YW9" s="128"/>
      <c r="YX9" s="128"/>
      <c r="YY9" s="128"/>
      <c r="YZ9" s="128"/>
      <c r="ZA9" s="128"/>
      <c r="ZB9" s="128"/>
      <c r="ZC9" s="129"/>
      <c r="ZD9" s="129"/>
      <c r="ZE9" s="129"/>
      <c r="ZF9" s="129"/>
      <c r="ZG9" s="129"/>
      <c r="ZH9" s="129"/>
      <c r="ZI9" s="129"/>
      <c r="ZJ9" s="129"/>
      <c r="ZK9" s="129"/>
      <c r="ZL9" s="129"/>
      <c r="ZM9" s="129"/>
      <c r="ZN9" s="129"/>
      <c r="ZO9" s="129"/>
      <c r="ZP9" s="129"/>
      <c r="ZQ9" s="129"/>
      <c r="ZR9" s="129"/>
      <c r="ZS9" s="129"/>
      <c r="ZT9" s="129"/>
      <c r="ZU9" s="129"/>
      <c r="ZV9" s="129"/>
      <c r="ZW9" s="129"/>
      <c r="ZX9" s="128"/>
      <c r="ZY9" s="128"/>
      <c r="ZZ9" s="128"/>
      <c r="AAA9" s="128"/>
      <c r="AAB9" s="128"/>
      <c r="AAC9" s="128"/>
      <c r="AAD9" s="129"/>
      <c r="AAE9" s="129"/>
      <c r="AAF9" s="129"/>
      <c r="AAG9" s="129"/>
      <c r="AAH9" s="129"/>
      <c r="AAI9" s="129"/>
      <c r="AAJ9" s="129"/>
      <c r="AAK9" s="129"/>
      <c r="AAL9" s="129"/>
      <c r="AAM9" s="129"/>
      <c r="AAN9" s="129"/>
      <c r="AAO9" s="129"/>
      <c r="AAP9" s="129"/>
      <c r="AAQ9" s="129"/>
      <c r="AAR9" s="129"/>
      <c r="AAS9" s="129"/>
      <c r="AAT9" s="129"/>
      <c r="AAU9" s="129"/>
      <c r="AAV9" s="129"/>
      <c r="AAW9" s="129"/>
      <c r="AAX9" s="129"/>
      <c r="AAY9" s="129"/>
      <c r="AAZ9" s="129"/>
      <c r="ABA9" s="129"/>
      <c r="ABB9" s="129"/>
      <c r="ABC9" s="129"/>
      <c r="ABD9" s="129"/>
      <c r="ABE9" s="129"/>
      <c r="ABF9" s="128"/>
      <c r="ABG9" s="128"/>
      <c r="ABH9" s="128"/>
      <c r="ABI9" s="128"/>
      <c r="ABJ9" s="128"/>
      <c r="ABK9" s="128"/>
      <c r="ABL9" s="128"/>
      <c r="ABN9" s="144" t="s">
        <v>177</v>
      </c>
      <c r="ABO9" s="144"/>
      <c r="ABP9" s="144"/>
      <c r="ABQ9" s="144"/>
      <c r="ABR9" s="144"/>
      <c r="ABS9" s="144"/>
      <c r="ABT9" s="144"/>
      <c r="ABU9" s="144"/>
      <c r="ABV9" s="144"/>
      <c r="ABW9" s="144"/>
      <c r="ABX9" s="144"/>
      <c r="ABY9" s="144"/>
      <c r="ABZ9" s="144"/>
      <c r="ACA9" s="144"/>
      <c r="ACB9" s="144"/>
      <c r="ACC9" s="144"/>
      <c r="ACD9" s="144"/>
      <c r="ACE9" s="144"/>
      <c r="ACF9" s="144"/>
      <c r="ACG9" s="144"/>
      <c r="ACH9" s="144"/>
      <c r="ACI9" s="144"/>
      <c r="ACJ9" s="144"/>
      <c r="ACK9" s="144"/>
      <c r="ACL9" s="144"/>
      <c r="ACM9" s="144"/>
      <c r="ACN9" s="144"/>
      <c r="ACO9" s="144"/>
      <c r="ACP9" s="144"/>
      <c r="ACQ9" s="144"/>
      <c r="ACR9" s="144"/>
      <c r="ACS9" s="144"/>
      <c r="ACT9" s="144"/>
      <c r="ACU9" s="144"/>
      <c r="ACV9" s="144"/>
      <c r="ACW9" s="144"/>
      <c r="ACX9" s="144"/>
      <c r="ACY9" s="144"/>
      <c r="ACZ9" s="144"/>
      <c r="ADA9" s="144"/>
      <c r="ADB9" s="144"/>
      <c r="ADC9" s="144"/>
      <c r="ADD9" s="144"/>
      <c r="ADE9" s="144"/>
      <c r="ADF9" s="144"/>
      <c r="ADG9" s="144"/>
      <c r="ADH9" s="144"/>
      <c r="ADI9" s="144"/>
      <c r="ADJ9" s="144"/>
      <c r="ADK9" s="144"/>
      <c r="ADL9" s="144"/>
      <c r="ADM9" s="144"/>
      <c r="ADN9" s="144"/>
      <c r="ADO9" s="144"/>
      <c r="ADP9" s="144"/>
      <c r="ADQ9" s="144"/>
      <c r="ADR9" s="144"/>
      <c r="ADS9" s="144"/>
      <c r="ADT9" s="144"/>
      <c r="ADU9" s="144"/>
      <c r="ADV9" s="144"/>
      <c r="ADW9" s="144"/>
      <c r="ADX9" s="144"/>
      <c r="ADY9" s="144"/>
      <c r="ADZ9" s="144"/>
      <c r="AEA9" s="144"/>
      <c r="AEB9" s="144"/>
      <c r="AEC9" s="144"/>
      <c r="AED9" s="144"/>
      <c r="AEE9" s="144"/>
      <c r="AEF9" s="144"/>
      <c r="AEG9" s="144"/>
      <c r="AEH9" s="144"/>
      <c r="AEI9" s="144"/>
      <c r="AEJ9" s="144"/>
      <c r="AEK9" s="144"/>
      <c r="AEL9" s="144"/>
      <c r="AEM9" s="144"/>
      <c r="AEN9" s="144"/>
      <c r="AEO9" s="144"/>
      <c r="AEP9" s="144"/>
      <c r="AEQ9" s="144"/>
      <c r="AER9" s="144"/>
      <c r="AES9" s="144"/>
      <c r="AET9" s="144"/>
      <c r="AEU9" s="144"/>
      <c r="AEV9" s="144"/>
      <c r="AEW9" s="144"/>
      <c r="AEX9" s="144"/>
      <c r="AEY9" s="144"/>
      <c r="AEZ9" s="144"/>
      <c r="AFA9" s="144"/>
      <c r="AFB9" s="144"/>
      <c r="AFD9" s="128" t="s">
        <v>187</v>
      </c>
      <c r="AFE9" s="128"/>
      <c r="AFF9" s="128"/>
      <c r="AFG9" s="128"/>
      <c r="AFH9" s="128"/>
      <c r="AFI9" s="128"/>
      <c r="AFJ9" s="128"/>
      <c r="AFK9" s="128"/>
      <c r="AFL9" s="128"/>
      <c r="AFM9" s="128"/>
      <c r="AFN9" s="128"/>
      <c r="AFO9" s="128"/>
      <c r="AFP9" s="128"/>
      <c r="AFQ9" s="128"/>
      <c r="AFR9" s="128"/>
      <c r="AFS9" s="128"/>
      <c r="AFT9" s="128"/>
      <c r="AFU9" s="128"/>
      <c r="AFV9" s="128"/>
      <c r="AFW9" s="128"/>
      <c r="AFX9" s="128"/>
      <c r="AFY9" s="128"/>
      <c r="AFZ9" s="128"/>
      <c r="AGA9" s="128"/>
      <c r="AGB9" s="128"/>
      <c r="AGC9" s="128"/>
      <c r="AGD9" s="128"/>
      <c r="AGE9" s="128"/>
      <c r="AGF9" s="128"/>
      <c r="AGG9" s="128"/>
      <c r="AGH9" s="128"/>
      <c r="AGI9" s="129"/>
      <c r="AGJ9" s="129"/>
      <c r="AGK9" s="129"/>
      <c r="AGL9" s="129"/>
      <c r="AGM9" s="129"/>
      <c r="AGN9" s="129"/>
      <c r="AGO9" s="129"/>
      <c r="AGP9" s="129"/>
      <c r="AGQ9" s="129"/>
      <c r="AGR9" s="129"/>
      <c r="AGS9" s="129"/>
      <c r="AGT9" s="129"/>
      <c r="AGU9" s="129"/>
      <c r="AGV9" s="129"/>
      <c r="AGW9" s="129"/>
      <c r="AGX9" s="129"/>
      <c r="AGY9" s="129"/>
      <c r="AGZ9" s="129"/>
      <c r="AHA9" s="129"/>
      <c r="AHB9" s="129"/>
      <c r="AHC9" s="129"/>
      <c r="AHD9" s="128"/>
      <c r="AHE9" s="128"/>
      <c r="AHF9" s="128"/>
      <c r="AHG9" s="128"/>
      <c r="AHH9" s="128"/>
      <c r="AHI9" s="128"/>
      <c r="AHJ9" s="129"/>
      <c r="AHK9" s="129"/>
      <c r="AHL9" s="129"/>
      <c r="AHM9" s="129"/>
      <c r="AHN9" s="129"/>
      <c r="AHO9" s="129"/>
      <c r="AHP9" s="129"/>
      <c r="AHQ9" s="129"/>
      <c r="AHR9" s="129"/>
      <c r="AHS9" s="129"/>
      <c r="AHT9" s="129"/>
      <c r="AHU9" s="129"/>
      <c r="AHV9" s="129"/>
      <c r="AHW9" s="129"/>
      <c r="AHX9" s="129"/>
      <c r="AHY9" s="129"/>
      <c r="AHZ9" s="129"/>
      <c r="AIA9" s="129"/>
      <c r="AIB9" s="129"/>
      <c r="AIC9" s="129"/>
      <c r="AID9" s="129"/>
      <c r="AIE9" s="129"/>
      <c r="AIF9" s="129"/>
      <c r="AIG9" s="129"/>
      <c r="AIH9" s="129"/>
      <c r="AII9" s="129"/>
      <c r="AIJ9" s="129"/>
      <c r="AIK9" s="129"/>
      <c r="AIL9" s="128"/>
      <c r="AIM9" s="128"/>
      <c r="AIN9" s="128"/>
      <c r="AIO9" s="128"/>
      <c r="AIP9" s="128"/>
      <c r="AIQ9" s="128"/>
      <c r="AIR9" s="128"/>
      <c r="AIT9" s="128" t="s">
        <v>194</v>
      </c>
      <c r="AIU9" s="128"/>
      <c r="AIV9" s="128"/>
      <c r="AIW9" s="128"/>
      <c r="AIX9" s="128"/>
      <c r="AIY9" s="128"/>
      <c r="AIZ9" s="128"/>
      <c r="AJA9" s="128"/>
      <c r="AJB9" s="128"/>
      <c r="AJC9" s="128"/>
      <c r="AJD9" s="128"/>
      <c r="AJE9" s="128"/>
      <c r="AJF9" s="128"/>
      <c r="AJG9" s="128"/>
      <c r="AJH9" s="128"/>
      <c r="AJI9" s="128"/>
      <c r="AJJ9" s="128"/>
      <c r="AJK9" s="128"/>
      <c r="AJL9" s="128"/>
      <c r="AJM9" s="128"/>
      <c r="AJN9" s="128"/>
      <c r="AJO9" s="128"/>
      <c r="AJP9" s="128"/>
      <c r="AJQ9" s="128"/>
      <c r="AJR9" s="128"/>
      <c r="AJS9" s="128"/>
      <c r="AJT9" s="128"/>
      <c r="AJU9" s="128"/>
      <c r="AJV9" s="128"/>
      <c r="AJW9" s="128"/>
      <c r="AJX9" s="128"/>
      <c r="AJY9" s="129"/>
      <c r="AJZ9" s="129"/>
      <c r="AKA9" s="129"/>
      <c r="AKB9" s="129"/>
      <c r="AKC9" s="129"/>
      <c r="AKD9" s="129"/>
      <c r="AKE9" s="129"/>
      <c r="AKF9" s="129"/>
      <c r="AKG9" s="129"/>
      <c r="AKH9" s="129"/>
      <c r="AKI9" s="129"/>
      <c r="AKJ9" s="129"/>
      <c r="AKK9" s="129"/>
      <c r="AKL9" s="129"/>
      <c r="AKM9" s="129"/>
      <c r="AKN9" s="129"/>
      <c r="AKO9" s="129"/>
      <c r="AKP9" s="129"/>
      <c r="AKQ9" s="129"/>
      <c r="AKR9" s="129"/>
      <c r="AKS9" s="129"/>
      <c r="AKT9" s="128"/>
      <c r="AKU9" s="128"/>
      <c r="AKV9" s="128"/>
      <c r="AKW9" s="128"/>
      <c r="AKX9" s="128"/>
      <c r="AKY9" s="128"/>
      <c r="AKZ9" s="129"/>
      <c r="ALA9" s="129"/>
      <c r="ALB9" s="129"/>
      <c r="ALC9" s="129"/>
      <c r="ALD9" s="129"/>
      <c r="ALE9" s="129"/>
      <c r="ALF9" s="129"/>
      <c r="ALG9" s="129"/>
      <c r="ALH9" s="129"/>
      <c r="ALI9" s="129"/>
      <c r="ALJ9" s="129"/>
      <c r="ALK9" s="129"/>
      <c r="ALL9" s="129"/>
      <c r="ALM9" s="129"/>
      <c r="ALN9" s="129"/>
      <c r="ALO9" s="129"/>
      <c r="ALP9" s="129"/>
      <c r="ALQ9" s="129"/>
      <c r="ALR9" s="129"/>
      <c r="ALS9" s="129"/>
      <c r="ALT9" s="129"/>
      <c r="ALU9" s="129"/>
      <c r="ALV9" s="129"/>
      <c r="ALW9" s="129"/>
      <c r="ALX9" s="129"/>
      <c r="ALY9" s="129"/>
      <c r="ALZ9" s="129"/>
      <c r="AMA9" s="129"/>
      <c r="AMB9" s="128"/>
      <c r="AMC9" s="128"/>
      <c r="AMD9" s="128"/>
      <c r="AME9" s="128"/>
      <c r="AMF9" s="128"/>
      <c r="AMG9" s="128"/>
      <c r="AMH9" s="128"/>
      <c r="AMJ9" s="128" t="s">
        <v>223</v>
      </c>
      <c r="AMK9" s="128"/>
      <c r="AML9" s="128"/>
      <c r="AMM9" s="128"/>
      <c r="AMN9" s="128"/>
      <c r="AMO9" s="128"/>
      <c r="AMP9" s="128"/>
      <c r="AMQ9" s="128"/>
      <c r="AMR9" s="128"/>
      <c r="AMS9" s="128"/>
      <c r="AMT9" s="128"/>
      <c r="AMU9" s="128"/>
      <c r="AMV9" s="128"/>
      <c r="AMW9" s="128"/>
      <c r="AMX9" s="128"/>
      <c r="AMY9" s="128"/>
      <c r="AMZ9" s="128"/>
      <c r="ANA9" s="128"/>
      <c r="ANB9" s="128"/>
      <c r="ANC9" s="128"/>
      <c r="AND9" s="128"/>
      <c r="ANE9" s="128"/>
      <c r="ANF9" s="128"/>
      <c r="ANG9" s="128"/>
      <c r="ANH9" s="128"/>
      <c r="ANI9" s="128"/>
      <c r="ANJ9" s="128"/>
      <c r="ANK9" s="128"/>
      <c r="ANL9" s="128"/>
      <c r="ANM9" s="128"/>
      <c r="ANN9" s="128"/>
      <c r="ANO9" s="129"/>
      <c r="ANP9" s="129"/>
      <c r="ANQ9" s="129"/>
      <c r="ANR9" s="129"/>
      <c r="ANS9" s="129"/>
      <c r="ANT9" s="129"/>
      <c r="ANU9" s="129"/>
      <c r="ANV9" s="129"/>
      <c r="ANW9" s="129"/>
      <c r="ANX9" s="129"/>
      <c r="ANY9" s="129"/>
      <c r="ANZ9" s="129"/>
      <c r="AOA9" s="129"/>
      <c r="AOB9" s="129"/>
      <c r="AOC9" s="129"/>
      <c r="AOD9" s="129"/>
      <c r="AOE9" s="129"/>
      <c r="AOF9" s="129"/>
      <c r="AOG9" s="129"/>
      <c r="AOH9" s="129"/>
      <c r="AOI9" s="129"/>
      <c r="AOJ9" s="128"/>
      <c r="AOK9" s="128"/>
      <c r="AOL9" s="128"/>
      <c r="AOM9" s="128"/>
      <c r="AON9" s="128"/>
      <c r="AOO9" s="128"/>
      <c r="AOP9" s="129"/>
      <c r="AOQ9" s="129"/>
      <c r="AOR9" s="129"/>
      <c r="AOS9" s="129"/>
      <c r="AOT9" s="129"/>
      <c r="AOU9" s="129"/>
      <c r="AOV9" s="129"/>
      <c r="AOW9" s="129"/>
      <c r="AOX9" s="129"/>
      <c r="AOY9" s="129"/>
      <c r="AOZ9" s="129"/>
      <c r="APA9" s="129"/>
      <c r="APB9" s="129"/>
      <c r="APC9" s="129"/>
      <c r="APD9" s="129"/>
      <c r="APE9" s="129"/>
      <c r="APF9" s="129"/>
      <c r="APG9" s="129"/>
      <c r="APH9" s="129"/>
      <c r="API9" s="129"/>
      <c r="APJ9" s="129"/>
      <c r="APK9" s="129"/>
      <c r="APL9" s="129"/>
      <c r="APM9" s="129"/>
      <c r="APN9" s="129"/>
      <c r="APO9" s="129"/>
      <c r="APP9" s="129"/>
      <c r="APQ9" s="129"/>
      <c r="APR9" s="128"/>
      <c r="APS9" s="128"/>
      <c r="APT9" s="128"/>
      <c r="APU9" s="128"/>
      <c r="APV9" s="128"/>
      <c r="APW9" s="128"/>
      <c r="APX9" s="128"/>
      <c r="APZ9" s="128" t="s">
        <v>598</v>
      </c>
      <c r="AQA9" s="128"/>
      <c r="AQB9" s="128"/>
      <c r="AQC9" s="128"/>
      <c r="AQD9" s="128"/>
      <c r="AQE9" s="128"/>
      <c r="AQF9" s="128"/>
      <c r="AQG9" s="128"/>
      <c r="AQH9" s="128"/>
      <c r="AQI9" s="128"/>
      <c r="AQJ9" s="128"/>
      <c r="AQK9" s="128"/>
      <c r="AQL9" s="128"/>
      <c r="AQM9" s="128"/>
      <c r="AQN9" s="128"/>
      <c r="AQO9" s="128"/>
      <c r="AQP9" s="128"/>
      <c r="AQQ9" s="128"/>
      <c r="AQR9" s="128"/>
      <c r="AQS9" s="128"/>
      <c r="AQT9" s="128"/>
      <c r="AQU9" s="128"/>
      <c r="AQV9" s="128"/>
      <c r="AQW9" s="128"/>
      <c r="AQX9" s="128"/>
      <c r="AQY9" s="128"/>
      <c r="AQZ9" s="128"/>
      <c r="ARA9" s="128"/>
      <c r="ARB9" s="128"/>
      <c r="ARC9" s="128"/>
      <c r="ARD9" s="128"/>
      <c r="ARE9" s="129"/>
      <c r="ARF9" s="129"/>
      <c r="ARG9" s="129"/>
      <c r="ARH9" s="129"/>
      <c r="ARI9" s="129"/>
      <c r="ARJ9" s="129"/>
      <c r="ARK9" s="129"/>
      <c r="ARL9" s="129"/>
      <c r="ARM9" s="129"/>
      <c r="ARN9" s="129"/>
      <c r="ARO9" s="129"/>
      <c r="ARP9" s="129"/>
      <c r="ARQ9" s="129"/>
      <c r="ARR9" s="129"/>
      <c r="ARS9" s="129"/>
      <c r="ART9" s="129"/>
      <c r="ARU9" s="129"/>
      <c r="ARV9" s="129"/>
      <c r="ARW9" s="129"/>
      <c r="ARX9" s="129"/>
      <c r="ARY9" s="129"/>
      <c r="ARZ9" s="128"/>
      <c r="ASA9" s="128"/>
      <c r="ASB9" s="128"/>
      <c r="ASC9" s="128"/>
      <c r="ASD9" s="128"/>
      <c r="ASE9" s="128"/>
      <c r="ASF9" s="129"/>
      <c r="ASG9" s="129"/>
      <c r="ASH9" s="129"/>
      <c r="ASI9" s="129"/>
      <c r="ASJ9" s="129"/>
      <c r="ASK9" s="129"/>
      <c r="ASL9" s="129"/>
      <c r="ASM9" s="129"/>
      <c r="ASN9" s="129"/>
      <c r="ASO9" s="129"/>
      <c r="ASP9" s="129"/>
      <c r="ASQ9" s="129"/>
      <c r="ASR9" s="129"/>
      <c r="ASS9" s="129"/>
      <c r="AST9" s="129"/>
      <c r="ASU9" s="129"/>
      <c r="ASV9" s="129"/>
      <c r="ASW9" s="129"/>
      <c r="ASX9" s="129"/>
      <c r="ASY9" s="129"/>
      <c r="ASZ9" s="129"/>
      <c r="ATA9" s="129"/>
      <c r="ATB9" s="129"/>
      <c r="ATC9" s="129"/>
      <c r="ATD9" s="129"/>
      <c r="ATE9" s="129"/>
      <c r="ATF9" s="129"/>
      <c r="ATG9" s="129"/>
      <c r="ATH9" s="128"/>
      <c r="ATI9" s="128"/>
      <c r="ATJ9" s="128"/>
      <c r="ATK9" s="128"/>
      <c r="ATL9" s="128"/>
      <c r="ATM9" s="128"/>
      <c r="ATN9" s="128"/>
      <c r="AXF9" s="128" t="s">
        <v>266</v>
      </c>
      <c r="AXG9" s="128"/>
      <c r="AXH9" s="128"/>
      <c r="AXI9" s="128"/>
      <c r="AXJ9" s="128"/>
      <c r="AXK9" s="128"/>
      <c r="AXL9" s="128"/>
      <c r="AXM9" s="128"/>
      <c r="AXN9" s="128"/>
      <c r="AXO9" s="128"/>
      <c r="AXP9" s="128"/>
      <c r="AXQ9" s="128"/>
      <c r="AXR9" s="128"/>
      <c r="AXS9" s="128"/>
      <c r="AXT9" s="128"/>
      <c r="AXU9" s="128"/>
      <c r="AXV9" s="128"/>
      <c r="AXW9" s="128"/>
      <c r="AXX9" s="128"/>
      <c r="AXY9" s="128"/>
      <c r="AXZ9" s="128"/>
      <c r="AYA9" s="128"/>
      <c r="AYB9" s="128"/>
      <c r="AYC9" s="128"/>
      <c r="AYD9" s="128"/>
      <c r="AYE9" s="128"/>
      <c r="AYF9" s="128"/>
      <c r="AYG9" s="128"/>
      <c r="AYH9" s="128"/>
      <c r="AYI9" s="128"/>
      <c r="AYJ9" s="128"/>
      <c r="AYK9" s="129"/>
      <c r="AYL9" s="129"/>
      <c r="AYM9" s="129"/>
      <c r="AYN9" s="129"/>
      <c r="AYO9" s="129"/>
      <c r="AYP9" s="129"/>
      <c r="AYQ9" s="129"/>
      <c r="AYR9" s="129"/>
      <c r="AYS9" s="129"/>
      <c r="AYT9" s="129"/>
      <c r="AYU9" s="129"/>
      <c r="AYV9" s="129"/>
      <c r="AYW9" s="129"/>
      <c r="AYX9" s="129"/>
      <c r="AYY9" s="129"/>
      <c r="AYZ9" s="129"/>
      <c r="AZA9" s="129"/>
      <c r="AZB9" s="129"/>
      <c r="AZC9" s="129"/>
      <c r="AZD9" s="129"/>
      <c r="AZE9" s="129"/>
      <c r="AZF9" s="128"/>
      <c r="AZG9" s="128"/>
      <c r="AZH9" s="128"/>
      <c r="AZI9" s="128"/>
      <c r="AZJ9" s="128"/>
      <c r="AZK9" s="128"/>
      <c r="AZL9" s="129"/>
      <c r="AZM9" s="129"/>
      <c r="AZN9" s="129"/>
      <c r="AZO9" s="129"/>
      <c r="AZP9" s="129"/>
      <c r="AZQ9" s="129"/>
      <c r="AZR9" s="129"/>
      <c r="AZS9" s="129"/>
      <c r="AZT9" s="129"/>
      <c r="AZU9" s="129"/>
      <c r="AZV9" s="129"/>
      <c r="AZW9" s="129"/>
      <c r="AZX9" s="129"/>
      <c r="AZY9" s="129"/>
      <c r="AZZ9" s="129"/>
      <c r="BAA9" s="129"/>
      <c r="BAB9" s="129"/>
      <c r="BAC9" s="129"/>
      <c r="BAD9" s="129"/>
      <c r="BAE9" s="129"/>
      <c r="BAF9" s="129"/>
      <c r="BAG9" s="129"/>
      <c r="BAH9" s="129"/>
      <c r="BAI9" s="129"/>
      <c r="BAJ9" s="129"/>
      <c r="BAK9" s="129"/>
      <c r="BAL9" s="129"/>
      <c r="BAM9" s="129"/>
      <c r="BAN9" s="128"/>
      <c r="BAO9" s="128"/>
      <c r="BAP9" s="128"/>
      <c r="BAQ9" s="128"/>
      <c r="BAR9" s="128"/>
      <c r="BAS9" s="128"/>
      <c r="BAT9" s="128"/>
      <c r="BAV9" s="128" t="s">
        <v>582</v>
      </c>
      <c r="BAW9" s="128"/>
      <c r="BAX9" s="128"/>
      <c r="BAY9" s="128"/>
      <c r="BAZ9" s="128"/>
      <c r="BBA9" s="128"/>
      <c r="BBB9" s="128"/>
      <c r="BBC9" s="128"/>
      <c r="BBD9" s="128"/>
      <c r="BBE9" s="128"/>
      <c r="BBF9" s="128"/>
      <c r="BBG9" s="128"/>
      <c r="BBH9" s="128"/>
      <c r="BBI9" s="128"/>
      <c r="BBJ9" s="128"/>
      <c r="BBK9" s="128"/>
      <c r="BBL9" s="128"/>
      <c r="BBM9" s="128"/>
      <c r="BBN9" s="128"/>
      <c r="BBO9" s="128"/>
      <c r="BBP9" s="128"/>
      <c r="BBQ9" s="128"/>
      <c r="BBR9" s="128"/>
      <c r="BBS9" s="128"/>
      <c r="BBT9" s="128"/>
      <c r="BBU9" s="128"/>
      <c r="BBV9" s="128"/>
      <c r="BBW9" s="128"/>
      <c r="BBX9" s="128"/>
      <c r="BBY9" s="128"/>
      <c r="BBZ9" s="128"/>
      <c r="BCA9" s="129"/>
      <c r="BCB9" s="129"/>
      <c r="BCC9" s="129"/>
      <c r="BCD9" s="129"/>
      <c r="BCE9" s="129"/>
      <c r="BCF9" s="129"/>
      <c r="BCG9" s="129"/>
      <c r="BCH9" s="129"/>
      <c r="BCI9" s="129"/>
      <c r="BCJ9" s="129"/>
      <c r="BCK9" s="129"/>
      <c r="BCL9" s="129"/>
      <c r="BCM9" s="129"/>
      <c r="BCN9" s="129"/>
      <c r="BCO9" s="129"/>
      <c r="BCP9" s="129"/>
      <c r="BCQ9" s="129"/>
      <c r="BCR9" s="129"/>
      <c r="BCS9" s="129"/>
      <c r="BCT9" s="129"/>
      <c r="BCU9" s="129"/>
      <c r="BCV9" s="128"/>
      <c r="BCW9" s="128"/>
      <c r="BCX9" s="128"/>
      <c r="BCY9" s="128"/>
      <c r="BCZ9" s="128"/>
      <c r="BDA9" s="128"/>
      <c r="BDB9" s="129"/>
      <c r="BDC9" s="129"/>
      <c r="BDD9" s="129"/>
      <c r="BDE9" s="129"/>
      <c r="BDF9" s="129"/>
      <c r="BDG9" s="129"/>
      <c r="BDH9" s="129"/>
      <c r="BDI9" s="129"/>
      <c r="BDJ9" s="129"/>
      <c r="BDK9" s="129"/>
      <c r="BDL9" s="129"/>
      <c r="BDM9" s="129"/>
      <c r="BDN9" s="129"/>
      <c r="BDO9" s="129"/>
      <c r="BDP9" s="129"/>
      <c r="BDQ9" s="129"/>
      <c r="BDR9" s="129"/>
      <c r="BDS9" s="129"/>
      <c r="BDT9" s="129"/>
      <c r="BDU9" s="129"/>
      <c r="BDV9" s="129"/>
      <c r="BDW9" s="129"/>
      <c r="BDX9" s="129"/>
      <c r="BDY9" s="129"/>
      <c r="BDZ9" s="129"/>
      <c r="BEA9" s="129"/>
      <c r="BEB9" s="129"/>
      <c r="BEC9" s="129"/>
      <c r="BED9" s="128"/>
      <c r="BEE9" s="128"/>
      <c r="BEF9" s="128"/>
      <c r="BEG9" s="128"/>
      <c r="BEH9" s="128"/>
      <c r="BEI9" s="128"/>
      <c r="BEJ9" s="128"/>
      <c r="BLR9" s="128" t="s">
        <v>320</v>
      </c>
      <c r="BLS9" s="128"/>
      <c r="BLT9" s="128"/>
      <c r="BLU9" s="128"/>
      <c r="BLV9" s="128"/>
      <c r="BLW9" s="128"/>
      <c r="BLX9" s="128"/>
      <c r="BLY9" s="128"/>
      <c r="BLZ9" s="128"/>
      <c r="BMA9" s="128"/>
      <c r="BMB9" s="128"/>
      <c r="BMC9" s="128"/>
      <c r="BMD9" s="128"/>
      <c r="BME9" s="128"/>
      <c r="BMF9" s="128"/>
      <c r="BMG9" s="128"/>
      <c r="BMH9" s="128"/>
      <c r="BMI9" s="128"/>
      <c r="BMJ9" s="128"/>
      <c r="BMK9" s="128"/>
      <c r="BML9" s="128"/>
      <c r="BMM9" s="128"/>
      <c r="BMN9" s="128"/>
      <c r="BMO9" s="128"/>
      <c r="BMP9" s="128"/>
      <c r="BMQ9" s="128"/>
      <c r="BMR9" s="128"/>
      <c r="BMS9" s="128"/>
      <c r="BMT9" s="128"/>
      <c r="BMU9" s="128"/>
      <c r="BMV9" s="128"/>
      <c r="BMW9" s="129"/>
      <c r="BMX9" s="129"/>
      <c r="BMY9" s="129"/>
      <c r="BMZ9" s="129"/>
      <c r="BNA9" s="129"/>
      <c r="BNB9" s="129"/>
      <c r="BNC9" s="129"/>
      <c r="BND9" s="129"/>
      <c r="BNE9" s="129"/>
      <c r="BNF9" s="129"/>
      <c r="BNG9" s="129"/>
      <c r="BNH9" s="129"/>
      <c r="BNI9" s="129"/>
      <c r="BNJ9" s="129"/>
      <c r="BNK9" s="129"/>
      <c r="BNL9" s="129"/>
      <c r="BNM9" s="129"/>
      <c r="BNN9" s="129"/>
      <c r="BNO9" s="129"/>
      <c r="BNP9" s="129"/>
      <c r="BNQ9" s="129"/>
      <c r="BNR9" s="128"/>
      <c r="BNS9" s="128"/>
      <c r="BNT9" s="128"/>
      <c r="BNU9" s="128"/>
      <c r="BNV9" s="128"/>
      <c r="BNW9" s="128"/>
      <c r="BNX9" s="129"/>
      <c r="BNY9" s="129"/>
      <c r="BNZ9" s="129"/>
      <c r="BOA9" s="129"/>
      <c r="BOB9" s="129"/>
      <c r="BOC9" s="129"/>
      <c r="BOD9" s="129"/>
      <c r="BOE9" s="129"/>
      <c r="BOF9" s="129"/>
      <c r="BOG9" s="129"/>
      <c r="BOH9" s="129"/>
      <c r="BOI9" s="129"/>
      <c r="BOJ9" s="129"/>
      <c r="BOK9" s="129"/>
      <c r="BOL9" s="129"/>
      <c r="BOM9" s="129"/>
      <c r="BON9" s="129"/>
      <c r="BOO9" s="129"/>
      <c r="BOP9" s="129"/>
      <c r="BOQ9" s="129"/>
      <c r="BOR9" s="129"/>
      <c r="BOS9" s="129"/>
      <c r="BOT9" s="129"/>
      <c r="BOU9" s="129"/>
      <c r="BOV9" s="129"/>
      <c r="BOW9" s="129"/>
      <c r="BOX9" s="129"/>
      <c r="BOY9" s="129"/>
      <c r="BOZ9" s="128"/>
      <c r="BPA9" s="128"/>
      <c r="BPB9" s="128"/>
      <c r="BPC9" s="128"/>
      <c r="BPD9" s="128"/>
      <c r="BPE9" s="128"/>
      <c r="BPF9" s="128"/>
      <c r="BPH9" s="128" t="s">
        <v>372</v>
      </c>
      <c r="BPI9" s="128"/>
      <c r="BPJ9" s="128"/>
      <c r="BPK9" s="128"/>
      <c r="BPL9" s="128"/>
      <c r="BPM9" s="128"/>
      <c r="BPN9" s="128"/>
      <c r="BPO9" s="128"/>
      <c r="BPP9" s="128"/>
      <c r="BPQ9" s="128"/>
      <c r="BPR9" s="128"/>
      <c r="BPS9" s="128"/>
      <c r="BPT9" s="128"/>
      <c r="BPU9" s="128"/>
      <c r="BPV9" s="128"/>
      <c r="BPW9" s="128"/>
      <c r="BPX9" s="128"/>
      <c r="BPY9" s="128"/>
      <c r="BPZ9" s="128"/>
      <c r="BQA9" s="128"/>
      <c r="BQB9" s="128"/>
      <c r="BQC9" s="128"/>
      <c r="BQD9" s="128"/>
      <c r="BQE9" s="128"/>
      <c r="BQF9" s="128"/>
      <c r="BQG9" s="128"/>
      <c r="BQH9" s="128"/>
      <c r="BQI9" s="128"/>
      <c r="BQJ9" s="128"/>
      <c r="BQK9" s="128"/>
      <c r="BQL9" s="128"/>
      <c r="BQM9" s="129"/>
      <c r="BQN9" s="129"/>
      <c r="BQO9" s="129"/>
      <c r="BQP9" s="129"/>
      <c r="BQQ9" s="129"/>
      <c r="BQR9" s="129"/>
      <c r="BQS9" s="129"/>
      <c r="BQT9" s="129"/>
      <c r="BQU9" s="129"/>
      <c r="BQV9" s="129"/>
      <c r="BQW9" s="129"/>
      <c r="BQX9" s="129"/>
      <c r="BQY9" s="129"/>
      <c r="BQZ9" s="129"/>
      <c r="BRA9" s="129"/>
      <c r="BRB9" s="129"/>
      <c r="BRC9" s="129"/>
      <c r="BRD9" s="129"/>
      <c r="BRE9" s="129"/>
      <c r="BRF9" s="129"/>
      <c r="BRG9" s="129"/>
      <c r="BRH9" s="128"/>
      <c r="BRI9" s="128"/>
      <c r="BRJ9" s="128"/>
      <c r="BRK9" s="128"/>
      <c r="BRL9" s="128"/>
      <c r="BRM9" s="128"/>
      <c r="BRN9" s="129"/>
      <c r="BRO9" s="129"/>
      <c r="BRP9" s="129"/>
      <c r="BRQ9" s="129"/>
      <c r="BRR9" s="129"/>
      <c r="BRS9" s="129"/>
      <c r="BRT9" s="129"/>
      <c r="BRU9" s="129"/>
      <c r="BRV9" s="129"/>
      <c r="BRW9" s="129"/>
      <c r="BRX9" s="129"/>
      <c r="BRY9" s="129"/>
      <c r="BRZ9" s="129"/>
      <c r="BSA9" s="129"/>
      <c r="BSB9" s="129"/>
      <c r="BSC9" s="129"/>
      <c r="BSD9" s="129"/>
      <c r="BSE9" s="129"/>
      <c r="BSF9" s="129"/>
      <c r="BSG9" s="129"/>
      <c r="BSH9" s="129"/>
      <c r="BSI9" s="129"/>
      <c r="BSJ9" s="129"/>
      <c r="BSK9" s="129"/>
      <c r="BSL9" s="129"/>
      <c r="BSM9" s="129"/>
      <c r="BSN9" s="129"/>
      <c r="BSO9" s="129"/>
      <c r="BSP9" s="128"/>
      <c r="BSQ9" s="128"/>
      <c r="BSR9" s="128"/>
      <c r="BSS9" s="128"/>
      <c r="BST9" s="128"/>
      <c r="BSU9" s="128"/>
      <c r="BSV9" s="128"/>
      <c r="CDT9" s="128" t="s">
        <v>392</v>
      </c>
      <c r="CDU9" s="128"/>
      <c r="CDV9" s="128"/>
      <c r="CDW9" s="128"/>
      <c r="CDX9" s="128"/>
      <c r="CDY9" s="128"/>
      <c r="CDZ9" s="128"/>
      <c r="CEA9" s="128"/>
      <c r="CEB9" s="128"/>
      <c r="CEC9" s="128"/>
      <c r="CED9" s="128"/>
      <c r="CEE9" s="128"/>
      <c r="CEF9" s="128"/>
      <c r="CEG9" s="128"/>
      <c r="CEH9" s="128"/>
      <c r="CEI9" s="128"/>
      <c r="CEJ9" s="128"/>
      <c r="CEK9" s="128"/>
      <c r="CEL9" s="128"/>
      <c r="CEM9" s="128"/>
      <c r="CEN9" s="128"/>
      <c r="CEO9" s="128"/>
      <c r="CEP9" s="128"/>
      <c r="CEQ9" s="128"/>
      <c r="CER9" s="128"/>
      <c r="CES9" s="128"/>
      <c r="CET9" s="128"/>
      <c r="CEU9" s="128"/>
      <c r="CEV9" s="128"/>
      <c r="CEW9" s="128"/>
      <c r="CEX9" s="128"/>
      <c r="CEY9" s="129"/>
      <c r="CEZ9" s="129"/>
      <c r="CFA9" s="129"/>
      <c r="CFB9" s="129"/>
      <c r="CFC9" s="129"/>
      <c r="CFD9" s="129"/>
      <c r="CFE9" s="129"/>
      <c r="CFF9" s="129"/>
      <c r="CFG9" s="129"/>
      <c r="CFH9" s="129"/>
      <c r="CFI9" s="129"/>
      <c r="CFJ9" s="129"/>
      <c r="CFK9" s="129"/>
      <c r="CFL9" s="129"/>
      <c r="CFM9" s="129"/>
      <c r="CFN9" s="129"/>
      <c r="CFO9" s="129"/>
      <c r="CFP9" s="129"/>
      <c r="CFQ9" s="129"/>
      <c r="CFR9" s="129"/>
      <c r="CFS9" s="129"/>
      <c r="CFT9" s="128"/>
      <c r="CFU9" s="128"/>
      <c r="CFV9" s="128"/>
      <c r="CFW9" s="128"/>
      <c r="CFX9" s="128"/>
      <c r="CFY9" s="128"/>
      <c r="CFZ9" s="129"/>
      <c r="CGA9" s="129"/>
      <c r="CGB9" s="129"/>
      <c r="CGC9" s="129"/>
      <c r="CGD9" s="129"/>
      <c r="CGE9" s="129"/>
      <c r="CGF9" s="129"/>
      <c r="CGG9" s="129"/>
      <c r="CGH9" s="129"/>
      <c r="CGI9" s="129"/>
      <c r="CGJ9" s="129"/>
      <c r="CGK9" s="129"/>
      <c r="CGL9" s="129"/>
      <c r="CGM9" s="129"/>
      <c r="CGN9" s="129"/>
      <c r="CGO9" s="129"/>
      <c r="CGP9" s="129"/>
      <c r="CGQ9" s="129"/>
      <c r="CGR9" s="129"/>
      <c r="CGS9" s="129"/>
      <c r="CGT9" s="129"/>
      <c r="CGU9" s="129"/>
      <c r="CGV9" s="129"/>
      <c r="CGW9" s="129"/>
      <c r="CGX9" s="129"/>
      <c r="CGY9" s="129"/>
      <c r="CGZ9" s="129"/>
      <c r="CHA9" s="129"/>
      <c r="CHB9" s="128"/>
      <c r="CHC9" s="128"/>
      <c r="CHD9" s="128"/>
      <c r="CHE9" s="128"/>
      <c r="CHF9" s="128"/>
      <c r="CHG9" s="128"/>
      <c r="CHH9" s="128"/>
      <c r="CHJ9" s="128" t="s">
        <v>3484</v>
      </c>
      <c r="CHK9" s="128"/>
      <c r="CHL9" s="128"/>
      <c r="CHM9" s="128"/>
      <c r="CHN9" s="128"/>
      <c r="CHO9" s="128"/>
      <c r="CHP9" s="128"/>
      <c r="CHQ9" s="128"/>
      <c r="CHR9" s="128"/>
      <c r="CHS9" s="128"/>
      <c r="CHT9" s="128"/>
      <c r="CHU9" s="128"/>
      <c r="CHV9" s="128"/>
      <c r="CHW9" s="128"/>
      <c r="CHX9" s="128"/>
      <c r="CHY9" s="128"/>
      <c r="CHZ9" s="128"/>
      <c r="CIA9" s="128"/>
      <c r="CIB9" s="128"/>
      <c r="CIC9" s="128"/>
      <c r="CID9" s="128"/>
      <c r="CIE9" s="128"/>
      <c r="CIF9" s="128"/>
      <c r="CIG9" s="128"/>
      <c r="CIH9" s="128"/>
      <c r="CII9" s="128"/>
      <c r="CIJ9" s="128"/>
      <c r="CIK9" s="128"/>
      <c r="CIL9" s="128"/>
      <c r="CIM9" s="128"/>
      <c r="CIN9" s="128"/>
      <c r="CIO9" s="129"/>
      <c r="CIP9" s="129"/>
      <c r="CIQ9" s="129"/>
      <c r="CIR9" s="129"/>
      <c r="CIS9" s="129"/>
      <c r="CIT9" s="129"/>
      <c r="CIU9" s="129"/>
      <c r="CIV9" s="129"/>
      <c r="CIW9" s="129"/>
      <c r="CIX9" s="129"/>
      <c r="CIY9" s="129"/>
      <c r="CIZ9" s="129"/>
      <c r="CJA9" s="129"/>
      <c r="CJB9" s="129"/>
      <c r="CJC9" s="129"/>
      <c r="CJD9" s="129"/>
      <c r="CJE9" s="129"/>
      <c r="CJF9" s="129"/>
      <c r="CJG9" s="129"/>
      <c r="CJH9" s="129"/>
      <c r="CJI9" s="129"/>
      <c r="CJJ9" s="128"/>
      <c r="CJK9" s="128"/>
      <c r="CJL9" s="128"/>
      <c r="CJM9" s="128"/>
      <c r="CJN9" s="128"/>
      <c r="CJO9" s="128"/>
      <c r="CJP9" s="129"/>
      <c r="CJQ9" s="129"/>
      <c r="CJR9" s="129"/>
      <c r="CJS9" s="129"/>
      <c r="CJT9" s="129"/>
      <c r="CJU9" s="129"/>
      <c r="CJV9" s="129"/>
      <c r="CJW9" s="129"/>
      <c r="CJX9" s="129"/>
      <c r="CJY9" s="129"/>
      <c r="CJZ9" s="129"/>
      <c r="CKA9" s="129"/>
      <c r="CKB9" s="129"/>
      <c r="CKC9" s="129"/>
      <c r="CKD9" s="129"/>
      <c r="CKE9" s="129"/>
      <c r="CKF9" s="129"/>
      <c r="CKG9" s="129"/>
      <c r="CKH9" s="129"/>
      <c r="CKI9" s="129"/>
      <c r="CKJ9" s="129"/>
      <c r="CKK9" s="129"/>
      <c r="CKL9" s="129"/>
      <c r="CKM9" s="129"/>
      <c r="CKN9" s="129"/>
      <c r="CKO9" s="129"/>
      <c r="CKP9" s="129"/>
      <c r="CKQ9" s="129"/>
      <c r="CKR9" s="128"/>
      <c r="CKS9" s="128"/>
      <c r="CKT9" s="128"/>
      <c r="CKU9" s="128"/>
      <c r="CKV9" s="128"/>
      <c r="CKW9" s="128"/>
      <c r="CKX9" s="128"/>
      <c r="CKZ9" s="144" t="s">
        <v>410</v>
      </c>
      <c r="CLA9" s="144"/>
      <c r="CLB9" s="144"/>
      <c r="CLC9" s="144"/>
      <c r="CLD9" s="144"/>
      <c r="CLE9" s="144"/>
      <c r="CLF9" s="144"/>
      <c r="CLG9" s="144"/>
      <c r="CLH9" s="144"/>
      <c r="CLI9" s="144"/>
      <c r="CLJ9" s="144"/>
      <c r="CLK9" s="144"/>
      <c r="CLL9" s="144"/>
      <c r="CLM9" s="144"/>
      <c r="CLN9" s="144"/>
      <c r="CLO9" s="144"/>
      <c r="CLP9" s="144"/>
      <c r="CLQ9" s="144"/>
      <c r="CLR9" s="144"/>
      <c r="CLS9" s="144"/>
      <c r="CLT9" s="144"/>
      <c r="CLU9" s="144"/>
      <c r="CLV9" s="144"/>
      <c r="CLW9" s="144"/>
      <c r="CLX9" s="144"/>
      <c r="CLY9" s="144"/>
      <c r="CLZ9" s="144"/>
      <c r="CMA9" s="144"/>
      <c r="CMB9" s="144"/>
      <c r="CMC9" s="144"/>
      <c r="CMD9" s="144"/>
      <c r="CME9" s="144"/>
      <c r="CMF9" s="144"/>
      <c r="CMG9" s="144"/>
      <c r="CMH9" s="144"/>
      <c r="CMI9" s="144"/>
      <c r="CMJ9" s="144"/>
      <c r="CMK9" s="144"/>
      <c r="CML9" s="144"/>
      <c r="CMM9" s="144"/>
      <c r="CMN9" s="144"/>
      <c r="CMO9" s="144"/>
      <c r="CMP9" s="144"/>
      <c r="CMQ9" s="144"/>
      <c r="CMR9" s="144"/>
      <c r="CMS9" s="144"/>
      <c r="CMT9" s="144"/>
      <c r="CMU9" s="144"/>
      <c r="CMV9" s="144"/>
      <c r="CMW9" s="144"/>
      <c r="CMX9" s="144"/>
      <c r="CMY9" s="144"/>
      <c r="CMZ9" s="144"/>
      <c r="CNA9" s="144"/>
      <c r="CNB9" s="144"/>
      <c r="CNC9" s="144"/>
      <c r="CND9" s="144"/>
      <c r="CNE9" s="144"/>
      <c r="CNF9" s="144"/>
      <c r="CNG9" s="144"/>
      <c r="CNH9" s="144"/>
      <c r="CNI9" s="144"/>
      <c r="CNJ9" s="144"/>
      <c r="CNK9" s="144"/>
      <c r="CNL9" s="144"/>
      <c r="CNM9" s="144"/>
      <c r="CNN9" s="144"/>
      <c r="CNO9" s="144"/>
      <c r="CNP9" s="144"/>
      <c r="CNQ9" s="144"/>
      <c r="CNR9" s="144"/>
      <c r="CNS9" s="144"/>
      <c r="CNT9" s="144"/>
      <c r="CNU9" s="144"/>
      <c r="CNV9" s="144"/>
      <c r="CNW9" s="144"/>
      <c r="CNX9" s="144"/>
      <c r="CNY9" s="144"/>
      <c r="CNZ9" s="144"/>
      <c r="COA9" s="144"/>
      <c r="COB9" s="144"/>
      <c r="COC9" s="144"/>
      <c r="COD9" s="144"/>
      <c r="COE9" s="144"/>
      <c r="COF9" s="144"/>
      <c r="COG9" s="144"/>
      <c r="COH9" s="144"/>
      <c r="COI9" s="144"/>
      <c r="COJ9" s="144"/>
      <c r="COK9" s="144"/>
      <c r="COL9" s="144"/>
      <c r="COM9" s="144"/>
      <c r="CON9" s="144"/>
      <c r="COP9" s="128" t="str">
        <f ca="1">VLOOKUP(5,INDIRECT("Base"&amp;$BJ$3),2,FALSE)</f>
        <v>Inspiring Songs</v>
      </c>
      <c r="COQ9" s="128"/>
      <c r="COR9" s="128"/>
      <c r="COS9" s="128"/>
      <c r="COT9" s="128"/>
      <c r="COU9" s="128"/>
      <c r="COV9" s="128"/>
      <c r="COW9" s="128"/>
      <c r="COX9" s="128"/>
      <c r="COY9" s="128"/>
      <c r="COZ9" s="128"/>
      <c r="CPA9" s="128"/>
      <c r="CPB9" s="128"/>
      <c r="CPC9" s="128"/>
      <c r="CPD9" s="128"/>
      <c r="CPE9" s="128"/>
      <c r="CPF9" s="128"/>
      <c r="CPG9" s="128"/>
      <c r="CPH9" s="128"/>
      <c r="CPI9" s="128"/>
      <c r="CPJ9" s="128"/>
      <c r="CPK9" s="128"/>
      <c r="CPL9" s="128"/>
      <c r="CPM9" s="128"/>
      <c r="CPN9" s="128"/>
      <c r="CPO9" s="128"/>
      <c r="CPP9" s="128"/>
      <c r="CPQ9" s="128"/>
      <c r="CPR9" s="128"/>
      <c r="CPS9" s="128"/>
      <c r="CPT9" s="128"/>
      <c r="CPU9" s="129"/>
      <c r="CPV9" s="129"/>
      <c r="CPW9" s="129"/>
      <c r="CPX9" s="129"/>
      <c r="CPY9" s="129"/>
      <c r="CPZ9" s="129"/>
      <c r="CQA9" s="129"/>
      <c r="CQB9" s="129"/>
      <c r="CQC9" s="129"/>
      <c r="CQD9" s="129"/>
      <c r="CQE9" s="129"/>
      <c r="CQF9" s="129"/>
      <c r="CQG9" s="129"/>
      <c r="CQH9" s="129"/>
      <c r="CQI9" s="129"/>
      <c r="CQJ9" s="129"/>
      <c r="CQK9" s="129"/>
      <c r="CQL9" s="129"/>
      <c r="CQM9" s="129"/>
      <c r="CQN9" s="129"/>
      <c r="CQO9" s="129"/>
      <c r="CQP9" s="128"/>
      <c r="CQQ9" s="128"/>
      <c r="CQR9" s="128"/>
      <c r="CQS9" s="128"/>
      <c r="CQT9" s="128"/>
      <c r="CQU9" s="128"/>
      <c r="CQV9" s="129"/>
      <c r="CQW9" s="129"/>
      <c r="CQX9" s="129"/>
      <c r="CQY9" s="129"/>
      <c r="CQZ9" s="129"/>
      <c r="CRA9" s="129"/>
      <c r="CRB9" s="129"/>
      <c r="CRC9" s="129"/>
      <c r="CRD9" s="129"/>
      <c r="CRE9" s="129"/>
      <c r="CRF9" s="129"/>
      <c r="CRG9" s="129"/>
      <c r="CRH9" s="129"/>
      <c r="CRI9" s="129"/>
      <c r="CRJ9" s="129"/>
      <c r="CRK9" s="129"/>
      <c r="CRL9" s="129"/>
      <c r="CRM9" s="129"/>
      <c r="CRN9" s="129"/>
      <c r="CRO9" s="129"/>
      <c r="CRP9" s="129"/>
      <c r="CRQ9" s="129"/>
      <c r="CRR9" s="129"/>
      <c r="CRS9" s="129"/>
      <c r="CRT9" s="129"/>
      <c r="CRU9" s="129"/>
      <c r="CRV9" s="129"/>
      <c r="CRW9" s="129"/>
      <c r="CRX9" s="128"/>
      <c r="CRY9" s="128"/>
      <c r="CRZ9" s="128"/>
      <c r="CSA9" s="128"/>
      <c r="CSB9" s="128"/>
      <c r="CSC9" s="128"/>
      <c r="CSD9" s="128"/>
      <c r="CSF9" s="128" t="s">
        <v>434</v>
      </c>
      <c r="CSG9" s="128"/>
      <c r="CSH9" s="128"/>
      <c r="CSI9" s="128"/>
      <c r="CSJ9" s="128"/>
      <c r="CSK9" s="128"/>
      <c r="CSL9" s="128"/>
      <c r="CSM9" s="128"/>
      <c r="CSN9" s="128"/>
      <c r="CSO9" s="128"/>
      <c r="CSP9" s="128"/>
      <c r="CSQ9" s="128"/>
      <c r="CSR9" s="128"/>
      <c r="CSS9" s="128"/>
      <c r="CST9" s="128"/>
      <c r="CSU9" s="128"/>
      <c r="CSV9" s="128"/>
      <c r="CSW9" s="128"/>
      <c r="CSX9" s="128"/>
      <c r="CSY9" s="128"/>
      <c r="CSZ9" s="128"/>
      <c r="CTA9" s="128"/>
      <c r="CTB9" s="128"/>
      <c r="CTC9" s="128"/>
      <c r="CTD9" s="128"/>
      <c r="CTE9" s="128"/>
      <c r="CTF9" s="128"/>
      <c r="CTG9" s="128"/>
      <c r="CTH9" s="128"/>
      <c r="CTI9" s="128"/>
      <c r="CTJ9" s="128"/>
      <c r="CTK9" s="129"/>
      <c r="CTL9" s="129"/>
      <c r="CTM9" s="129"/>
      <c r="CTN9" s="129"/>
      <c r="CTO9" s="129"/>
      <c r="CTP9" s="129"/>
      <c r="CTQ9" s="129"/>
      <c r="CTR9" s="129"/>
      <c r="CTS9" s="129"/>
      <c r="CTT9" s="129"/>
      <c r="CTU9" s="129"/>
      <c r="CTV9" s="129"/>
      <c r="CTW9" s="129"/>
      <c r="CTX9" s="129"/>
      <c r="CTY9" s="129"/>
      <c r="CTZ9" s="129"/>
      <c r="CUA9" s="129"/>
      <c r="CUB9" s="129"/>
      <c r="CUC9" s="129"/>
      <c r="CUD9" s="129"/>
      <c r="CUE9" s="129"/>
      <c r="CUF9" s="128"/>
      <c r="CUG9" s="128"/>
      <c r="CUH9" s="128"/>
      <c r="CUI9" s="128"/>
      <c r="CUJ9" s="128"/>
      <c r="CUK9" s="128"/>
      <c r="CUL9" s="129"/>
      <c r="CUM9" s="129"/>
      <c r="CUN9" s="129"/>
      <c r="CUO9" s="129"/>
      <c r="CUP9" s="129"/>
      <c r="CUQ9" s="129"/>
      <c r="CUR9" s="129"/>
      <c r="CUS9" s="129"/>
      <c r="CUT9" s="129"/>
      <c r="CUU9" s="129"/>
      <c r="CUV9" s="129"/>
      <c r="CUW9" s="129"/>
      <c r="CUX9" s="129"/>
      <c r="CUY9" s="129"/>
      <c r="CUZ9" s="129"/>
      <c r="CVA9" s="129"/>
      <c r="CVB9" s="129"/>
      <c r="CVC9" s="129"/>
      <c r="CVD9" s="129"/>
      <c r="CVE9" s="129"/>
      <c r="CVF9" s="129"/>
      <c r="CVG9" s="129"/>
      <c r="CVH9" s="129"/>
      <c r="CVI9" s="129"/>
      <c r="CVJ9" s="129"/>
      <c r="CVK9" s="129"/>
      <c r="CVL9" s="129"/>
      <c r="CVM9" s="129"/>
      <c r="CVN9" s="128"/>
      <c r="CVO9" s="128"/>
      <c r="CVP9" s="128"/>
      <c r="CVQ9" s="128"/>
      <c r="CVR9" s="128"/>
      <c r="CVS9" s="128"/>
      <c r="CVT9" s="128"/>
      <c r="CVV9" s="128" t="s">
        <v>488</v>
      </c>
      <c r="CVW9" s="128"/>
      <c r="CVX9" s="128"/>
      <c r="CVY9" s="128"/>
      <c r="CVZ9" s="128"/>
      <c r="CWA9" s="128"/>
      <c r="CWB9" s="128"/>
      <c r="CWC9" s="128"/>
      <c r="CWD9" s="128"/>
      <c r="CWE9" s="128"/>
      <c r="CWF9" s="128"/>
      <c r="CWG9" s="128"/>
      <c r="CWH9" s="128"/>
      <c r="CWI9" s="128"/>
      <c r="CWJ9" s="128"/>
      <c r="CWK9" s="128"/>
      <c r="CWL9" s="128"/>
      <c r="CWM9" s="128"/>
      <c r="CWN9" s="128"/>
      <c r="CWO9" s="128"/>
      <c r="CWP9" s="128"/>
      <c r="CWQ9" s="128"/>
      <c r="CWR9" s="128"/>
      <c r="CWS9" s="128"/>
      <c r="CWT9" s="128"/>
      <c r="CWU9" s="128"/>
      <c r="CWV9" s="128"/>
      <c r="CWW9" s="128"/>
      <c r="CWX9" s="128"/>
      <c r="CWY9" s="128"/>
      <c r="CWZ9" s="128"/>
      <c r="CXA9" s="129"/>
      <c r="CXB9" s="129"/>
      <c r="CXC9" s="129"/>
      <c r="CXD9" s="129"/>
      <c r="CXE9" s="129"/>
      <c r="CXF9" s="129"/>
      <c r="CXG9" s="129"/>
      <c r="CXH9" s="129"/>
      <c r="CXI9" s="129"/>
      <c r="CXJ9" s="129"/>
      <c r="CXK9" s="129"/>
      <c r="CXL9" s="129"/>
      <c r="CXM9" s="129"/>
      <c r="CXN9" s="129"/>
      <c r="CXO9" s="129"/>
      <c r="CXP9" s="129"/>
      <c r="CXQ9" s="129"/>
      <c r="CXR9" s="129"/>
      <c r="CXS9" s="129"/>
      <c r="CXT9" s="129"/>
      <c r="CXU9" s="129"/>
      <c r="CXV9" s="128"/>
      <c r="CXW9" s="128"/>
      <c r="CXX9" s="128"/>
      <c r="CXY9" s="128"/>
      <c r="CXZ9" s="128"/>
      <c r="CYA9" s="128"/>
      <c r="CYB9" s="129"/>
      <c r="CYC9" s="129"/>
      <c r="CYD9" s="129"/>
      <c r="CYE9" s="129"/>
      <c r="CYF9" s="129"/>
      <c r="CYG9" s="129"/>
      <c r="CYH9" s="129"/>
      <c r="CYI9" s="129"/>
      <c r="CYJ9" s="129"/>
      <c r="CYK9" s="129"/>
      <c r="CYL9" s="129"/>
      <c r="CYM9" s="129"/>
      <c r="CYN9" s="129"/>
      <c r="CYO9" s="129"/>
      <c r="CYP9" s="129"/>
      <c r="CYQ9" s="129"/>
      <c r="CYR9" s="129"/>
      <c r="CYS9" s="129"/>
      <c r="CYT9" s="129"/>
      <c r="CYU9" s="129"/>
      <c r="CYV9" s="129"/>
      <c r="CYW9" s="129"/>
      <c r="CYX9" s="129"/>
      <c r="CYY9" s="129"/>
      <c r="CYZ9" s="129"/>
      <c r="CZA9" s="129"/>
      <c r="CZB9" s="129"/>
      <c r="CZC9" s="129"/>
      <c r="CZD9" s="128"/>
      <c r="CZE9" s="128"/>
      <c r="CZF9" s="128"/>
      <c r="CZG9" s="128"/>
      <c r="CZH9" s="128"/>
      <c r="CZI9" s="128"/>
      <c r="CZJ9" s="128"/>
      <c r="DDB9" s="128" t="s">
        <v>538</v>
      </c>
      <c r="DDC9" s="128"/>
      <c r="DDD9" s="128"/>
      <c r="DDE9" s="128"/>
      <c r="DDF9" s="128"/>
      <c r="DDG9" s="128"/>
      <c r="DDH9" s="128"/>
      <c r="DDI9" s="128"/>
      <c r="DDJ9" s="128"/>
      <c r="DDK9" s="128"/>
      <c r="DDL9" s="128"/>
      <c r="DDM9" s="128"/>
      <c r="DDN9" s="128"/>
      <c r="DDO9" s="128"/>
      <c r="DDP9" s="128"/>
      <c r="DDQ9" s="128"/>
      <c r="DDR9" s="128"/>
      <c r="DDS9" s="128"/>
      <c r="DDT9" s="128"/>
      <c r="DDU9" s="128"/>
      <c r="DDV9" s="128"/>
      <c r="DDW9" s="128"/>
      <c r="DDX9" s="128"/>
      <c r="DDY9" s="128"/>
      <c r="DDZ9" s="128"/>
      <c r="DEA9" s="128"/>
      <c r="DEB9" s="128"/>
      <c r="DEC9" s="128"/>
      <c r="DED9" s="128"/>
      <c r="DEE9" s="128"/>
      <c r="DEF9" s="128"/>
      <c r="DEG9" s="129"/>
      <c r="DEH9" s="129"/>
      <c r="DEI9" s="129"/>
      <c r="DEJ9" s="129"/>
      <c r="DEK9" s="129"/>
      <c r="DEL9" s="129"/>
      <c r="DEM9" s="129"/>
      <c r="DEN9" s="129"/>
      <c r="DEO9" s="129"/>
      <c r="DEP9" s="129"/>
      <c r="DEQ9" s="129"/>
      <c r="DER9" s="129"/>
      <c r="DES9" s="129"/>
      <c r="DET9" s="129"/>
      <c r="DEU9" s="129"/>
      <c r="DEV9" s="129"/>
      <c r="DEW9" s="129"/>
      <c r="DEX9" s="129"/>
      <c r="DEY9" s="129"/>
      <c r="DEZ9" s="129"/>
      <c r="DFA9" s="129"/>
      <c r="DFB9" s="128"/>
      <c r="DFC9" s="128"/>
      <c r="DFD9" s="128"/>
      <c r="DFE9" s="128"/>
      <c r="DFF9" s="128"/>
      <c r="DFG9" s="128"/>
      <c r="DFH9" s="129"/>
      <c r="DFI9" s="129"/>
      <c r="DFJ9" s="129"/>
      <c r="DFK9" s="129"/>
      <c r="DFL9" s="129"/>
      <c r="DFM9" s="129"/>
      <c r="DFN9" s="129"/>
      <c r="DFO9" s="129"/>
      <c r="DFP9" s="129"/>
      <c r="DFQ9" s="129"/>
      <c r="DFR9" s="129"/>
      <c r="DFS9" s="129"/>
      <c r="DFT9" s="129"/>
      <c r="DFU9" s="129"/>
      <c r="DFV9" s="129"/>
      <c r="DFW9" s="129"/>
      <c r="DFX9" s="129"/>
      <c r="DFY9" s="129"/>
      <c r="DFZ9" s="129"/>
      <c r="DGA9" s="129"/>
      <c r="DGB9" s="129"/>
      <c r="DGC9" s="129"/>
      <c r="DGD9" s="129"/>
      <c r="DGE9" s="129"/>
      <c r="DGF9" s="129"/>
      <c r="DGG9" s="129"/>
      <c r="DGH9" s="129"/>
      <c r="DGI9" s="129"/>
      <c r="DGJ9" s="128"/>
      <c r="DGK9" s="128"/>
      <c r="DGL9" s="128"/>
      <c r="DGM9" s="128"/>
      <c r="DGN9" s="128"/>
      <c r="DGO9" s="128"/>
      <c r="DGP9" s="128"/>
      <c r="DGR9" s="128" t="s">
        <v>560</v>
      </c>
      <c r="DGS9" s="128"/>
      <c r="DGT9" s="128"/>
      <c r="DGU9" s="128"/>
      <c r="DGV9" s="128"/>
      <c r="DGW9" s="128"/>
      <c r="DGX9" s="128"/>
      <c r="DGY9" s="128"/>
      <c r="DGZ9" s="128"/>
      <c r="DHA9" s="128"/>
      <c r="DHB9" s="128"/>
      <c r="DHC9" s="128"/>
      <c r="DHD9" s="128"/>
      <c r="DHE9" s="128"/>
      <c r="DHF9" s="128"/>
      <c r="DHG9" s="128"/>
      <c r="DHH9" s="128"/>
      <c r="DHI9" s="128"/>
      <c r="DHJ9" s="128"/>
      <c r="DHK9" s="128"/>
      <c r="DHL9" s="128"/>
      <c r="DHM9" s="128"/>
      <c r="DHN9" s="128"/>
      <c r="DHO9" s="128"/>
      <c r="DHP9" s="128"/>
      <c r="DHQ9" s="128"/>
      <c r="DHR9" s="128"/>
      <c r="DHS9" s="128"/>
      <c r="DHT9" s="128"/>
      <c r="DHU9" s="128"/>
      <c r="DHV9" s="128"/>
      <c r="DHW9" s="129"/>
      <c r="DHX9" s="129"/>
      <c r="DHY9" s="129"/>
      <c r="DHZ9" s="129"/>
      <c r="DIA9" s="129"/>
      <c r="DIB9" s="129"/>
      <c r="DIC9" s="129"/>
      <c r="DID9" s="129"/>
      <c r="DIE9" s="129"/>
      <c r="DIF9" s="129"/>
      <c r="DIG9" s="129"/>
      <c r="DIH9" s="129"/>
      <c r="DII9" s="129"/>
      <c r="DIJ9" s="129"/>
      <c r="DIK9" s="129"/>
      <c r="DIL9" s="129"/>
      <c r="DIM9" s="129"/>
      <c r="DIN9" s="129"/>
      <c r="DIO9" s="129"/>
      <c r="DIP9" s="129"/>
      <c r="DIQ9" s="129"/>
      <c r="DIR9" s="128"/>
      <c r="DIS9" s="128"/>
      <c r="DIT9" s="128"/>
      <c r="DIU9" s="128"/>
      <c r="DIV9" s="128"/>
      <c r="DIW9" s="128"/>
      <c r="DIX9" s="129"/>
      <c r="DIY9" s="129"/>
      <c r="DIZ9" s="129"/>
      <c r="DJA9" s="129"/>
      <c r="DJB9" s="129"/>
      <c r="DJC9" s="129"/>
      <c r="DJD9" s="129"/>
      <c r="DJE9" s="129"/>
      <c r="DJF9" s="129"/>
      <c r="DJG9" s="129"/>
      <c r="DJH9" s="129"/>
      <c r="DJI9" s="129"/>
      <c r="DJJ9" s="129"/>
      <c r="DJK9" s="129"/>
      <c r="DJL9" s="129"/>
      <c r="DJM9" s="129"/>
      <c r="DJN9" s="129"/>
      <c r="DJO9" s="129"/>
      <c r="DJP9" s="129"/>
      <c r="DJQ9" s="129"/>
      <c r="DJR9" s="129"/>
      <c r="DJS9" s="129"/>
      <c r="DJT9" s="129"/>
      <c r="DJU9" s="129"/>
      <c r="DJV9" s="129"/>
      <c r="DJW9" s="129"/>
      <c r="DJX9" s="129"/>
      <c r="DJY9" s="129"/>
      <c r="DJZ9" s="128"/>
      <c r="DKA9" s="128"/>
      <c r="DKB9" s="128"/>
      <c r="DKC9" s="128"/>
      <c r="DKD9" s="128"/>
      <c r="DKE9" s="128"/>
      <c r="DKF9" s="128"/>
    </row>
    <row r="10" spans="2:2996" ht="15" customHeight="1" x14ac:dyDescent="0.25">
      <c r="CY10"/>
      <c r="CZ10"/>
      <c r="DA10"/>
      <c r="DB10"/>
      <c r="DC10"/>
      <c r="DD10" s="135" t="s">
        <v>120</v>
      </c>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278">
        <f>SUM(HB56:HI81)</f>
        <v>10.780000000000001</v>
      </c>
      <c r="EH10" s="278"/>
      <c r="EI10" s="278"/>
      <c r="EJ10" s="278"/>
      <c r="EK10" s="278"/>
      <c r="EL10" s="278"/>
      <c r="EM10" s="278"/>
      <c r="EN10" s="278"/>
      <c r="EO10" s="278"/>
      <c r="EP10" s="278"/>
      <c r="EQ10" s="278"/>
      <c r="ER10" s="278"/>
      <c r="ES10" s="278"/>
      <c r="ET10" s="278"/>
      <c r="EU10" s="278"/>
      <c r="EV10" s="278"/>
      <c r="EW10" s="278"/>
      <c r="EX10" s="278"/>
      <c r="EY10" s="278"/>
      <c r="EZ10" s="279"/>
      <c r="FB10" s="139" t="s">
        <v>3748</v>
      </c>
      <c r="FC10" s="140"/>
      <c r="FD10" s="140"/>
      <c r="FE10" s="140"/>
      <c r="FF10" s="140"/>
      <c r="FG10" s="140"/>
      <c r="FH10" s="140"/>
      <c r="FI10" s="140"/>
      <c r="FJ10" s="140"/>
      <c r="FK10" s="140"/>
      <c r="FL10" s="140"/>
      <c r="FM10" s="140"/>
      <c r="FN10" s="140"/>
      <c r="FO10" s="140"/>
      <c r="FP10" s="140"/>
      <c r="FQ10" s="140"/>
      <c r="FR10" s="140"/>
      <c r="FS10" s="140"/>
      <c r="FT10" s="140"/>
      <c r="FU10" s="140"/>
      <c r="FV10" s="140"/>
      <c r="FW10" s="140"/>
      <c r="FX10" s="140"/>
      <c r="FY10" s="140"/>
      <c r="FZ10" s="140"/>
      <c r="GA10" s="140"/>
      <c r="GB10" s="140"/>
      <c r="GC10" s="140"/>
      <c r="GD10" s="140"/>
      <c r="GE10" s="140"/>
      <c r="GF10" s="140"/>
      <c r="GG10" s="140"/>
      <c r="GH10" s="140"/>
      <c r="GI10" s="140"/>
      <c r="GJ10" s="140"/>
      <c r="GK10" s="140"/>
      <c r="GL10" s="140"/>
      <c r="GM10" s="140"/>
      <c r="GN10" s="140"/>
      <c r="GO10" s="140"/>
      <c r="GP10" s="140"/>
      <c r="GQ10" s="140"/>
      <c r="GR10" s="140"/>
      <c r="GS10" s="140"/>
      <c r="GT10" s="141">
        <v>2</v>
      </c>
      <c r="GU10" s="141"/>
      <c r="GV10" s="141"/>
      <c r="GW10" s="141"/>
      <c r="GX10" s="141"/>
      <c r="GY10" s="141"/>
      <c r="GZ10" s="141"/>
      <c r="HA10" s="141"/>
      <c r="HB10" s="142">
        <f>IFERROR(ROUND(((Calculations!BV10/185)*'Character Creation'!$Z$18)*GT10,2),"")</f>
        <v>0.84</v>
      </c>
      <c r="HC10" s="142"/>
      <c r="HD10" s="142"/>
      <c r="HE10" s="142"/>
      <c r="HF10" s="142"/>
      <c r="HG10" s="142"/>
      <c r="HH10" s="142"/>
      <c r="HI10" s="142"/>
      <c r="HJ10" s="142">
        <f>IFERROR(Calculations!BS10+IQ10+IX10,"")</f>
        <v>30</v>
      </c>
      <c r="HK10" s="142"/>
      <c r="HL10" s="142"/>
      <c r="HM10" s="142"/>
      <c r="HN10" s="142"/>
      <c r="HO10" s="142"/>
      <c r="HP10" s="142"/>
      <c r="HQ10" s="142"/>
      <c r="HR10" s="142">
        <f t="shared" si="0"/>
        <v>0</v>
      </c>
      <c r="HS10" s="142"/>
      <c r="HT10" s="142"/>
      <c r="HU10" s="142"/>
      <c r="HV10" s="142"/>
      <c r="HW10" s="142"/>
      <c r="HX10" s="142"/>
      <c r="HY10" s="142"/>
      <c r="HZ10" s="142" t="str">
        <f>IFERROR(Calculations!BX10,"")</f>
        <v>$1.46</v>
      </c>
      <c r="IA10" s="142"/>
      <c r="IB10" s="142"/>
      <c r="IC10" s="142"/>
      <c r="ID10" s="142"/>
      <c r="IE10" s="142"/>
      <c r="IF10" s="142"/>
      <c r="IG10" s="142"/>
      <c r="IH10" s="142"/>
      <c r="II10" s="142"/>
      <c r="IJ10" s="142">
        <f>IFERROR(Calculations!BR10+IX10,"")</f>
        <v>0</v>
      </c>
      <c r="IK10" s="142"/>
      <c r="IL10" s="142"/>
      <c r="IM10" s="142"/>
      <c r="IN10" s="142"/>
      <c r="IO10" s="142"/>
      <c r="IP10" s="142"/>
      <c r="IQ10" s="141">
        <v>0</v>
      </c>
      <c r="IR10" s="141"/>
      <c r="IS10" s="141"/>
      <c r="IT10" s="141"/>
      <c r="IU10" s="141"/>
      <c r="IV10" s="141"/>
      <c r="IW10" s="141"/>
      <c r="IX10" s="141">
        <v>0</v>
      </c>
      <c r="IY10" s="141"/>
      <c r="IZ10" s="141"/>
      <c r="JA10" s="141"/>
      <c r="JB10" s="141"/>
      <c r="JC10" s="141"/>
      <c r="JD10" s="141"/>
      <c r="JE10" s="141"/>
      <c r="JF10" s="142"/>
      <c r="JG10" s="142"/>
      <c r="JH10" s="142"/>
      <c r="JI10" s="142"/>
      <c r="JJ10" s="142"/>
      <c r="JK10" s="143" t="str">
        <f>Calculations!AS10</f>
        <v>Heavy Cloth</v>
      </c>
      <c r="JL10" s="143"/>
      <c r="JM10" s="143"/>
      <c r="JN10" s="143"/>
      <c r="JO10" s="143"/>
      <c r="JP10" s="143"/>
      <c r="JQ10" s="143"/>
      <c r="JR10" s="143"/>
      <c r="JS10" s="143"/>
      <c r="JT10" s="143"/>
      <c r="JU10" s="143"/>
      <c r="JV10" s="143"/>
      <c r="JW10" s="143"/>
      <c r="JX10" s="143"/>
      <c r="JY10" s="143"/>
      <c r="JZ10" s="143"/>
      <c r="KA10" s="143"/>
      <c r="KB10" s="143"/>
      <c r="KC10" s="143" t="str">
        <f>Calculations!AW10</f>
        <v>Light Cloth</v>
      </c>
      <c r="KD10" s="143"/>
      <c r="KE10" s="143"/>
      <c r="KF10" s="143"/>
      <c r="KG10" s="143"/>
      <c r="KH10" s="143"/>
      <c r="KI10" s="143"/>
      <c r="KJ10" s="143"/>
      <c r="KK10" s="143"/>
      <c r="KL10" s="143"/>
      <c r="KM10" s="143"/>
      <c r="KN10" s="143"/>
      <c r="KO10" s="143"/>
      <c r="KP10" s="143"/>
      <c r="KQ10" s="143"/>
      <c r="KR10" s="143"/>
      <c r="KS10" s="143"/>
      <c r="KT10" s="143"/>
      <c r="KU10" s="144"/>
      <c r="KV10" s="144"/>
      <c r="KW10" s="144"/>
      <c r="KX10" s="144"/>
      <c r="KY10" s="144"/>
      <c r="KZ10" s="144"/>
      <c r="LA10" s="144"/>
      <c r="LB10" s="144"/>
      <c r="LC10" s="144"/>
      <c r="LD10" s="144"/>
      <c r="LE10" s="144"/>
      <c r="LF10" s="144"/>
      <c r="LG10" s="144"/>
      <c r="LH10" s="144"/>
      <c r="LI10" s="144"/>
      <c r="LJ10" s="144"/>
      <c r="LK10" s="144"/>
      <c r="LL10" s="144"/>
      <c r="LM10" s="144"/>
      <c r="LN10" s="144"/>
      <c r="LO10" s="144"/>
      <c r="LP10" s="144"/>
      <c r="LQ10" s="144"/>
      <c r="LR10" s="144"/>
      <c r="LS10" s="144"/>
      <c r="LT10" s="144"/>
      <c r="LU10" s="144"/>
      <c r="LV10" s="144"/>
      <c r="LW10" s="144"/>
      <c r="LX10" s="144"/>
      <c r="LY10" s="144"/>
      <c r="LZ10" s="144"/>
      <c r="MA10" s="144"/>
      <c r="MB10" s="144"/>
      <c r="MC10" s="144"/>
      <c r="MD10" s="144"/>
      <c r="ME10" s="144"/>
      <c r="MF10" s="144"/>
      <c r="MG10" s="144"/>
      <c r="MH10" s="144"/>
      <c r="MI10" s="144"/>
      <c r="MJ10" s="144"/>
      <c r="MK10" s="144"/>
      <c r="ML10" s="144"/>
      <c r="MM10" s="144"/>
      <c r="MN10" s="144"/>
      <c r="MO10" s="144"/>
      <c r="MP10" s="144"/>
      <c r="MQ10" s="144"/>
      <c r="MR10" s="144"/>
      <c r="MS10" s="144"/>
      <c r="MT10" s="144"/>
      <c r="MU10" s="144"/>
      <c r="MV10" s="144"/>
      <c r="MW10" s="144"/>
      <c r="MX10" s="144"/>
      <c r="MY10" s="144"/>
      <c r="MZ10" s="145"/>
      <c r="NB10" s="144" t="s">
        <v>153</v>
      </c>
      <c r="NC10" s="144"/>
      <c r="ND10" s="144"/>
      <c r="NE10" s="144"/>
      <c r="NF10" s="144"/>
      <c r="NG10" s="144"/>
      <c r="NH10" s="144"/>
      <c r="NI10" s="144"/>
      <c r="NJ10" s="144"/>
      <c r="NK10" s="144"/>
      <c r="NL10" s="144"/>
      <c r="NM10" s="144"/>
      <c r="NN10" s="144"/>
      <c r="NO10" s="144"/>
      <c r="NP10" s="144"/>
      <c r="NQ10" s="144"/>
      <c r="NR10" s="144"/>
      <c r="NS10" s="144"/>
      <c r="NT10" s="144"/>
      <c r="NU10" s="144"/>
      <c r="NV10" s="144"/>
      <c r="NW10" s="144"/>
      <c r="NX10" s="144"/>
      <c r="NY10" s="144"/>
      <c r="NZ10" s="144"/>
      <c r="OA10" s="144"/>
      <c r="OB10" s="144"/>
      <c r="OC10" s="144"/>
      <c r="OD10" s="144"/>
      <c r="OE10" s="144"/>
      <c r="OF10" s="144"/>
      <c r="OG10" s="144"/>
      <c r="OH10" s="144"/>
      <c r="OI10" s="144"/>
      <c r="OJ10" s="144"/>
      <c r="OK10" s="144"/>
      <c r="OL10" s="144"/>
      <c r="OM10" s="144"/>
      <c r="ON10" s="144"/>
      <c r="OO10" s="144"/>
      <c r="OP10" s="144"/>
      <c r="OQ10" s="144"/>
      <c r="OR10" s="144"/>
      <c r="OS10" s="144"/>
      <c r="OT10" s="144"/>
      <c r="OU10" s="144"/>
      <c r="OV10" s="144"/>
      <c r="OW10" s="144"/>
      <c r="OX10" s="144"/>
      <c r="OY10" s="144"/>
      <c r="OZ10" s="144"/>
      <c r="PA10" s="144"/>
      <c r="PB10" s="144"/>
      <c r="PC10" s="144"/>
      <c r="PD10" s="144"/>
      <c r="PE10" s="144"/>
      <c r="PF10" s="144"/>
      <c r="PG10" s="144"/>
      <c r="PH10" s="144"/>
      <c r="PI10" s="144"/>
      <c r="PJ10" s="144"/>
      <c r="PK10" s="144"/>
      <c r="PL10" s="144"/>
      <c r="PM10" s="144"/>
      <c r="PN10" s="144"/>
      <c r="PO10" s="144"/>
      <c r="PP10" s="144"/>
      <c r="PQ10" s="144"/>
      <c r="PR10" s="144"/>
      <c r="PS10" s="144"/>
      <c r="PT10" s="144"/>
      <c r="PU10" s="144"/>
      <c r="PV10" s="144"/>
      <c r="PW10" s="144"/>
      <c r="PX10" s="144"/>
      <c r="PY10" s="144"/>
      <c r="PZ10" s="144"/>
      <c r="QA10" s="144"/>
      <c r="QB10" s="144"/>
      <c r="QC10" s="144"/>
      <c r="QD10" s="144"/>
      <c r="QE10" s="144"/>
      <c r="QF10" s="144"/>
      <c r="QG10" s="144"/>
      <c r="QH10" s="144"/>
      <c r="QI10" s="144"/>
      <c r="QJ10" s="144"/>
      <c r="QK10" s="144"/>
      <c r="QL10" s="144"/>
      <c r="QM10" s="144"/>
      <c r="QN10" s="144"/>
      <c r="QO10" s="144"/>
      <c r="QP10" s="144"/>
      <c r="ABN10" s="144" t="s">
        <v>147</v>
      </c>
      <c r="ABO10" s="144"/>
      <c r="ABP10" s="144"/>
      <c r="ABQ10" s="144"/>
      <c r="ABR10" s="144"/>
      <c r="ABS10" s="144"/>
      <c r="ABT10" s="144"/>
      <c r="ABU10" s="144"/>
      <c r="ABV10" s="144"/>
      <c r="ABW10" s="144"/>
      <c r="ABX10" s="144"/>
      <c r="ABY10" s="144"/>
      <c r="ABZ10" s="144"/>
      <c r="ACA10" s="144"/>
      <c r="ACB10" s="144"/>
      <c r="ACC10" s="144"/>
      <c r="ACD10" s="144"/>
      <c r="ACE10" s="144"/>
      <c r="ACF10" s="144"/>
      <c r="ACG10" s="144"/>
      <c r="ACH10" s="144"/>
      <c r="ACI10" s="144"/>
      <c r="ACJ10" s="144"/>
      <c r="ACK10" s="144"/>
      <c r="ACL10" s="144"/>
      <c r="ACM10" s="144"/>
      <c r="ACN10" s="144"/>
      <c r="ACO10" s="144"/>
      <c r="ACP10" s="144"/>
      <c r="ACQ10" s="144"/>
      <c r="ACR10" s="144"/>
      <c r="ACS10" s="129" t="s">
        <v>133</v>
      </c>
      <c r="ACT10" s="129"/>
      <c r="ACU10" s="129"/>
      <c r="ACV10" s="129"/>
      <c r="ACW10" s="129" t="s">
        <v>148</v>
      </c>
      <c r="ACX10" s="129"/>
      <c r="ACY10" s="129"/>
      <c r="ACZ10" s="129"/>
      <c r="ADA10" s="129"/>
      <c r="ADB10" s="129" t="s">
        <v>83</v>
      </c>
      <c r="ADC10" s="129"/>
      <c r="ADD10" s="129"/>
      <c r="ADE10" s="129"/>
      <c r="ADF10" s="129"/>
      <c r="ADG10" s="129"/>
      <c r="ADH10" s="129" t="s">
        <v>37</v>
      </c>
      <c r="ADI10" s="129"/>
      <c r="ADJ10" s="129"/>
      <c r="ADK10" s="129"/>
      <c r="ADL10" s="129"/>
      <c r="ADM10" s="129"/>
      <c r="ADN10" s="129" t="s">
        <v>49</v>
      </c>
      <c r="ADO10" s="129"/>
      <c r="ADP10" s="129"/>
      <c r="ADQ10" s="129"/>
      <c r="ADR10" s="129"/>
      <c r="ADS10" s="129"/>
      <c r="ADT10" s="129" t="s">
        <v>149</v>
      </c>
      <c r="ADU10" s="129"/>
      <c r="ADV10" s="129"/>
      <c r="ADW10" s="129"/>
      <c r="ADX10" s="129"/>
      <c r="ADY10" s="129"/>
      <c r="ADZ10" s="129"/>
      <c r="AEA10" s="129" t="s">
        <v>150</v>
      </c>
      <c r="AEB10" s="129"/>
      <c r="AEC10" s="129"/>
      <c r="AED10" s="129"/>
      <c r="AEE10" s="129"/>
      <c r="AEF10" s="129"/>
      <c r="AEG10" s="129"/>
      <c r="AEH10" s="129" t="s">
        <v>151</v>
      </c>
      <c r="AEI10" s="129"/>
      <c r="AEJ10" s="129"/>
      <c r="AEK10" s="129"/>
      <c r="AEL10" s="129"/>
      <c r="AEM10" s="129"/>
      <c r="AEN10" s="129"/>
      <c r="AEO10" s="129" t="s">
        <v>37</v>
      </c>
      <c r="AEP10" s="129"/>
      <c r="AEQ10" s="129"/>
      <c r="AER10" s="129"/>
      <c r="AES10" s="129"/>
      <c r="AET10" s="129"/>
      <c r="AEU10" s="129"/>
      <c r="AEV10" s="129" t="s">
        <v>40</v>
      </c>
      <c r="AEW10" s="129"/>
      <c r="AEX10" s="129"/>
      <c r="AEY10" s="129"/>
      <c r="AEZ10" s="129"/>
      <c r="AFA10" s="129"/>
      <c r="AFB10" s="129"/>
      <c r="AIT10" s="128" t="s">
        <v>195</v>
      </c>
      <c r="AIU10" s="128"/>
      <c r="AIV10" s="128"/>
      <c r="AIW10" s="128"/>
      <c r="AIX10" s="128"/>
      <c r="AIY10" s="128"/>
      <c r="AIZ10" s="128"/>
      <c r="AJA10" s="128"/>
      <c r="AJB10" s="128"/>
      <c r="AJC10" s="128"/>
      <c r="AJD10" s="128"/>
      <c r="AJE10" s="128"/>
      <c r="AJF10" s="128"/>
      <c r="AJG10" s="128"/>
      <c r="AJH10" s="128"/>
      <c r="AJI10" s="128"/>
      <c r="AJJ10" s="128"/>
      <c r="AJK10" s="128"/>
      <c r="AJL10" s="128"/>
      <c r="AJM10" s="128"/>
      <c r="AJN10" s="128"/>
      <c r="AJO10" s="128"/>
      <c r="AJP10" s="128"/>
      <c r="AJQ10" s="128"/>
      <c r="AJR10" s="128"/>
      <c r="AJS10" s="128"/>
      <c r="AJT10" s="128"/>
      <c r="AJU10" s="128"/>
      <c r="AJV10" s="128"/>
      <c r="AJW10" s="128"/>
      <c r="AJX10" s="128"/>
      <c r="AJY10" s="129"/>
      <c r="AJZ10" s="129"/>
      <c r="AKA10" s="129"/>
      <c r="AKB10" s="129"/>
      <c r="AKC10" s="129"/>
      <c r="AKD10" s="129"/>
      <c r="AKE10" s="129"/>
      <c r="AKF10" s="129"/>
      <c r="AKG10" s="129"/>
      <c r="AKH10" s="129"/>
      <c r="AKI10" s="129"/>
      <c r="AKJ10" s="129"/>
      <c r="AKK10" s="129"/>
      <c r="AKL10" s="129"/>
      <c r="AKM10" s="129"/>
      <c r="AKN10" s="129"/>
      <c r="AKO10" s="129"/>
      <c r="AKP10" s="129"/>
      <c r="AKQ10" s="129"/>
      <c r="AKR10" s="129"/>
      <c r="AKS10" s="129"/>
      <c r="AKT10" s="128"/>
      <c r="AKU10" s="128"/>
      <c r="AKV10" s="128"/>
      <c r="AKW10" s="128"/>
      <c r="AKX10" s="128"/>
      <c r="AKY10" s="128"/>
      <c r="AKZ10" s="129"/>
      <c r="ALA10" s="129"/>
      <c r="ALB10" s="129"/>
      <c r="ALC10" s="129"/>
      <c r="ALD10" s="129"/>
      <c r="ALE10" s="129"/>
      <c r="ALF10" s="129"/>
      <c r="ALG10" s="129"/>
      <c r="ALH10" s="129"/>
      <c r="ALI10" s="129"/>
      <c r="ALJ10" s="129"/>
      <c r="ALK10" s="129"/>
      <c r="ALL10" s="129"/>
      <c r="ALM10" s="129"/>
      <c r="ALN10" s="129"/>
      <c r="ALO10" s="129"/>
      <c r="ALP10" s="129"/>
      <c r="ALQ10" s="129"/>
      <c r="ALR10" s="129"/>
      <c r="ALS10" s="129"/>
      <c r="ALT10" s="129"/>
      <c r="ALU10" s="129"/>
      <c r="ALV10" s="129"/>
      <c r="ALW10" s="129"/>
      <c r="ALX10" s="129"/>
      <c r="ALY10" s="129"/>
      <c r="ALZ10" s="129"/>
      <c r="AMA10" s="129"/>
      <c r="AMB10" s="128"/>
      <c r="AMC10" s="128"/>
      <c r="AMD10" s="128"/>
      <c r="AME10" s="128"/>
      <c r="AMF10" s="128"/>
      <c r="AMG10" s="128"/>
      <c r="AMH10" s="128"/>
      <c r="AMJ10" s="128" t="s">
        <v>224</v>
      </c>
      <c r="AMK10" s="128"/>
      <c r="AML10" s="128"/>
      <c r="AMM10" s="128"/>
      <c r="AMN10" s="128"/>
      <c r="AMO10" s="128"/>
      <c r="AMP10" s="128"/>
      <c r="AMQ10" s="128"/>
      <c r="AMR10" s="128"/>
      <c r="AMS10" s="128"/>
      <c r="AMT10" s="128"/>
      <c r="AMU10" s="128"/>
      <c r="AMV10" s="128"/>
      <c r="AMW10" s="128"/>
      <c r="AMX10" s="128"/>
      <c r="AMY10" s="128"/>
      <c r="AMZ10" s="128"/>
      <c r="ANA10" s="128"/>
      <c r="ANB10" s="128"/>
      <c r="ANC10" s="128"/>
      <c r="AND10" s="128"/>
      <c r="ANE10" s="128"/>
      <c r="ANF10" s="128"/>
      <c r="ANG10" s="128"/>
      <c r="ANH10" s="128"/>
      <c r="ANI10" s="128"/>
      <c r="ANJ10" s="128"/>
      <c r="ANK10" s="128"/>
      <c r="ANL10" s="128"/>
      <c r="ANM10" s="128"/>
      <c r="ANN10" s="128"/>
      <c r="ANO10" s="129"/>
      <c r="ANP10" s="129"/>
      <c r="ANQ10" s="129"/>
      <c r="ANR10" s="129"/>
      <c r="ANS10" s="129"/>
      <c r="ANT10" s="129"/>
      <c r="ANU10" s="129"/>
      <c r="ANV10" s="129"/>
      <c r="ANW10" s="129"/>
      <c r="ANX10" s="129"/>
      <c r="ANY10" s="129"/>
      <c r="ANZ10" s="129"/>
      <c r="AOA10" s="129"/>
      <c r="AOB10" s="129"/>
      <c r="AOC10" s="129"/>
      <c r="AOD10" s="129"/>
      <c r="AOE10" s="129"/>
      <c r="AOF10" s="129"/>
      <c r="AOG10" s="129"/>
      <c r="AOH10" s="129"/>
      <c r="AOI10" s="129"/>
      <c r="AOJ10" s="128"/>
      <c r="AOK10" s="128"/>
      <c r="AOL10" s="128"/>
      <c r="AOM10" s="128"/>
      <c r="AON10" s="128"/>
      <c r="AOO10" s="128"/>
      <c r="AOP10" s="129"/>
      <c r="AOQ10" s="129"/>
      <c r="AOR10" s="129"/>
      <c r="AOS10" s="129"/>
      <c r="AOT10" s="129"/>
      <c r="AOU10" s="129"/>
      <c r="AOV10" s="129"/>
      <c r="AOW10" s="129"/>
      <c r="AOX10" s="129"/>
      <c r="AOY10" s="129"/>
      <c r="AOZ10" s="129"/>
      <c r="APA10" s="129"/>
      <c r="APB10" s="129"/>
      <c r="APC10" s="129"/>
      <c r="APD10" s="129"/>
      <c r="APE10" s="129"/>
      <c r="APF10" s="129"/>
      <c r="APG10" s="129"/>
      <c r="APH10" s="129"/>
      <c r="API10" s="129"/>
      <c r="APJ10" s="129"/>
      <c r="APK10" s="129"/>
      <c r="APL10" s="129"/>
      <c r="APM10" s="129"/>
      <c r="APN10" s="129"/>
      <c r="APO10" s="129"/>
      <c r="APP10" s="129"/>
      <c r="APQ10" s="129"/>
      <c r="APR10" s="128"/>
      <c r="APS10" s="128"/>
      <c r="APT10" s="128"/>
      <c r="APU10" s="128"/>
      <c r="APV10" s="128"/>
      <c r="APW10" s="128"/>
      <c r="APX10" s="128"/>
      <c r="APZ10" s="128" t="s">
        <v>228</v>
      </c>
      <c r="AQA10" s="128"/>
      <c r="AQB10" s="128"/>
      <c r="AQC10" s="128"/>
      <c r="AQD10" s="128"/>
      <c r="AQE10" s="128"/>
      <c r="AQF10" s="128"/>
      <c r="AQG10" s="128"/>
      <c r="AQH10" s="128"/>
      <c r="AQI10" s="128"/>
      <c r="AQJ10" s="128"/>
      <c r="AQK10" s="128"/>
      <c r="AQL10" s="128"/>
      <c r="AQM10" s="128"/>
      <c r="AQN10" s="128"/>
      <c r="AQO10" s="128"/>
      <c r="AQP10" s="128"/>
      <c r="AQQ10" s="128"/>
      <c r="AQR10" s="128"/>
      <c r="AQS10" s="128"/>
      <c r="AQT10" s="128"/>
      <c r="AQU10" s="128"/>
      <c r="AQV10" s="128"/>
      <c r="AQW10" s="128"/>
      <c r="AQX10" s="128"/>
      <c r="AQY10" s="128"/>
      <c r="AQZ10" s="128"/>
      <c r="ARA10" s="128"/>
      <c r="ARB10" s="128"/>
      <c r="ARC10" s="128"/>
      <c r="ARD10" s="128"/>
      <c r="ARE10" s="129"/>
      <c r="ARF10" s="129"/>
      <c r="ARG10" s="129"/>
      <c r="ARH10" s="129"/>
      <c r="ARI10" s="129"/>
      <c r="ARJ10" s="129"/>
      <c r="ARK10" s="129"/>
      <c r="ARL10" s="129"/>
      <c r="ARM10" s="129"/>
      <c r="ARN10" s="129"/>
      <c r="ARO10" s="129"/>
      <c r="ARP10" s="129"/>
      <c r="ARQ10" s="129"/>
      <c r="ARR10" s="129"/>
      <c r="ARS10" s="129"/>
      <c r="ART10" s="129"/>
      <c r="ARU10" s="129"/>
      <c r="ARV10" s="129"/>
      <c r="ARW10" s="129"/>
      <c r="ARX10" s="129"/>
      <c r="ARY10" s="129"/>
      <c r="ARZ10" s="128"/>
      <c r="ASA10" s="128"/>
      <c r="ASB10" s="128"/>
      <c r="ASC10" s="128"/>
      <c r="ASD10" s="128"/>
      <c r="ASE10" s="128"/>
      <c r="ASF10" s="129"/>
      <c r="ASG10" s="129"/>
      <c r="ASH10" s="129"/>
      <c r="ASI10" s="129"/>
      <c r="ASJ10" s="129"/>
      <c r="ASK10" s="129"/>
      <c r="ASL10" s="129"/>
      <c r="ASM10" s="129"/>
      <c r="ASN10" s="129"/>
      <c r="ASO10" s="129"/>
      <c r="ASP10" s="129"/>
      <c r="ASQ10" s="129"/>
      <c r="ASR10" s="129"/>
      <c r="ASS10" s="129"/>
      <c r="AST10" s="129"/>
      <c r="ASU10" s="129"/>
      <c r="ASV10" s="129"/>
      <c r="ASW10" s="129"/>
      <c r="ASX10" s="129"/>
      <c r="ASY10" s="129"/>
      <c r="ASZ10" s="129"/>
      <c r="ATA10" s="129"/>
      <c r="ATB10" s="129"/>
      <c r="ATC10" s="129"/>
      <c r="ATD10" s="129"/>
      <c r="ATE10" s="129"/>
      <c r="ATF10" s="129"/>
      <c r="ATG10" s="129"/>
      <c r="ATH10" s="128"/>
      <c r="ATI10" s="128"/>
      <c r="ATJ10" s="128"/>
      <c r="ATK10" s="128"/>
      <c r="ATL10" s="128"/>
      <c r="ATM10" s="128"/>
      <c r="ATN10" s="128"/>
      <c r="AXF10" s="128" t="s">
        <v>267</v>
      </c>
      <c r="AXG10" s="128"/>
      <c r="AXH10" s="128"/>
      <c r="AXI10" s="128"/>
      <c r="AXJ10" s="128"/>
      <c r="AXK10" s="128"/>
      <c r="AXL10" s="128"/>
      <c r="AXM10" s="128"/>
      <c r="AXN10" s="128"/>
      <c r="AXO10" s="128"/>
      <c r="AXP10" s="128"/>
      <c r="AXQ10" s="128"/>
      <c r="AXR10" s="128"/>
      <c r="AXS10" s="128"/>
      <c r="AXT10" s="128"/>
      <c r="AXU10" s="128"/>
      <c r="AXV10" s="128"/>
      <c r="AXW10" s="128"/>
      <c r="AXX10" s="128"/>
      <c r="AXY10" s="128"/>
      <c r="AXZ10" s="128"/>
      <c r="AYA10" s="128"/>
      <c r="AYB10" s="128"/>
      <c r="AYC10" s="128"/>
      <c r="AYD10" s="128"/>
      <c r="AYE10" s="128"/>
      <c r="AYF10" s="128"/>
      <c r="AYG10" s="128"/>
      <c r="AYH10" s="128"/>
      <c r="AYI10" s="128"/>
      <c r="AYJ10" s="128"/>
      <c r="AYK10" s="129"/>
      <c r="AYL10" s="129"/>
      <c r="AYM10" s="129"/>
      <c r="AYN10" s="129"/>
      <c r="AYO10" s="129"/>
      <c r="AYP10" s="129"/>
      <c r="AYQ10" s="129"/>
      <c r="AYR10" s="129"/>
      <c r="AYS10" s="129"/>
      <c r="AYT10" s="129"/>
      <c r="AYU10" s="129"/>
      <c r="AYV10" s="129"/>
      <c r="AYW10" s="129"/>
      <c r="AYX10" s="129"/>
      <c r="AYY10" s="129"/>
      <c r="AYZ10" s="129"/>
      <c r="AZA10" s="129"/>
      <c r="AZB10" s="129"/>
      <c r="AZC10" s="129"/>
      <c r="AZD10" s="129"/>
      <c r="AZE10" s="129"/>
      <c r="AZF10" s="128"/>
      <c r="AZG10" s="128"/>
      <c r="AZH10" s="128"/>
      <c r="AZI10" s="128"/>
      <c r="AZJ10" s="128"/>
      <c r="AZK10" s="128"/>
      <c r="AZL10" s="129"/>
      <c r="AZM10" s="129"/>
      <c r="AZN10" s="129"/>
      <c r="AZO10" s="129"/>
      <c r="AZP10" s="129"/>
      <c r="AZQ10" s="129"/>
      <c r="AZR10" s="129"/>
      <c r="AZS10" s="129"/>
      <c r="AZT10" s="129"/>
      <c r="AZU10" s="129"/>
      <c r="AZV10" s="129"/>
      <c r="AZW10" s="129"/>
      <c r="AZX10" s="129"/>
      <c r="AZY10" s="129"/>
      <c r="AZZ10" s="129"/>
      <c r="BAA10" s="129"/>
      <c r="BAB10" s="129"/>
      <c r="BAC10" s="129"/>
      <c r="BAD10" s="129"/>
      <c r="BAE10" s="129"/>
      <c r="BAF10" s="129"/>
      <c r="BAG10" s="129"/>
      <c r="BAH10" s="129"/>
      <c r="BAI10" s="129"/>
      <c r="BAJ10" s="129"/>
      <c r="BAK10" s="129"/>
      <c r="BAL10" s="129"/>
      <c r="BAM10" s="129"/>
      <c r="BAN10" s="128"/>
      <c r="BAO10" s="128"/>
      <c r="BAP10" s="128"/>
      <c r="BAQ10" s="128"/>
      <c r="BAR10" s="128"/>
      <c r="BAS10" s="128"/>
      <c r="BAT10" s="128"/>
      <c r="BAV10" s="128" t="s">
        <v>287</v>
      </c>
      <c r="BAW10" s="128"/>
      <c r="BAX10" s="128"/>
      <c r="BAY10" s="128"/>
      <c r="BAZ10" s="128"/>
      <c r="BBA10" s="128"/>
      <c r="BBB10" s="128"/>
      <c r="BBC10" s="128"/>
      <c r="BBD10" s="128"/>
      <c r="BBE10" s="128"/>
      <c r="BBF10" s="128"/>
      <c r="BBG10" s="128"/>
      <c r="BBH10" s="128"/>
      <c r="BBI10" s="128"/>
      <c r="BBJ10" s="128"/>
      <c r="BBK10" s="128"/>
      <c r="BBL10" s="128"/>
      <c r="BBM10" s="128"/>
      <c r="BBN10" s="128"/>
      <c r="BBO10" s="128"/>
      <c r="BBP10" s="128"/>
      <c r="BBQ10" s="128"/>
      <c r="BBR10" s="128"/>
      <c r="BBS10" s="128"/>
      <c r="BBT10" s="128"/>
      <c r="BBU10" s="128"/>
      <c r="BBV10" s="128"/>
      <c r="BBW10" s="128"/>
      <c r="BBX10" s="128"/>
      <c r="BBY10" s="128"/>
      <c r="BBZ10" s="128"/>
      <c r="BCA10" s="129"/>
      <c r="BCB10" s="129"/>
      <c r="BCC10" s="129"/>
      <c r="BCD10" s="129"/>
      <c r="BCE10" s="129"/>
      <c r="BCF10" s="129"/>
      <c r="BCG10" s="129"/>
      <c r="BCH10" s="129"/>
      <c r="BCI10" s="129"/>
      <c r="BCJ10" s="129"/>
      <c r="BCK10" s="129"/>
      <c r="BCL10" s="129"/>
      <c r="BCM10" s="129"/>
      <c r="BCN10" s="129"/>
      <c r="BCO10" s="129"/>
      <c r="BCP10" s="129"/>
      <c r="BCQ10" s="129"/>
      <c r="BCR10" s="129"/>
      <c r="BCS10" s="129"/>
      <c r="BCT10" s="129"/>
      <c r="BCU10" s="129"/>
      <c r="BCV10" s="128"/>
      <c r="BCW10" s="128"/>
      <c r="BCX10" s="128"/>
      <c r="BCY10" s="128"/>
      <c r="BCZ10" s="128"/>
      <c r="BDA10" s="128"/>
      <c r="BDB10" s="129"/>
      <c r="BDC10" s="129"/>
      <c r="BDD10" s="129"/>
      <c r="BDE10" s="129"/>
      <c r="BDF10" s="129"/>
      <c r="BDG10" s="129"/>
      <c r="BDH10" s="129"/>
      <c r="BDI10" s="129"/>
      <c r="BDJ10" s="129"/>
      <c r="BDK10" s="129"/>
      <c r="BDL10" s="129"/>
      <c r="BDM10" s="129"/>
      <c r="BDN10" s="129"/>
      <c r="BDO10" s="129"/>
      <c r="BDP10" s="129"/>
      <c r="BDQ10" s="129"/>
      <c r="BDR10" s="129"/>
      <c r="BDS10" s="129"/>
      <c r="BDT10" s="129"/>
      <c r="BDU10" s="129"/>
      <c r="BDV10" s="129"/>
      <c r="BDW10" s="129"/>
      <c r="BDX10" s="129"/>
      <c r="BDY10" s="129"/>
      <c r="BDZ10" s="129"/>
      <c r="BEA10" s="129"/>
      <c r="BEB10" s="129"/>
      <c r="BEC10" s="129"/>
      <c r="BED10" s="128"/>
      <c r="BEE10" s="128"/>
      <c r="BEF10" s="128"/>
      <c r="BEG10" s="128"/>
      <c r="BEH10" s="128"/>
      <c r="BEI10" s="128"/>
      <c r="BEJ10" s="128"/>
      <c r="BLR10" s="128" t="s">
        <v>321</v>
      </c>
      <c r="BLS10" s="128"/>
      <c r="BLT10" s="128"/>
      <c r="BLU10" s="128"/>
      <c r="BLV10" s="128"/>
      <c r="BLW10" s="128"/>
      <c r="BLX10" s="128"/>
      <c r="BLY10" s="128"/>
      <c r="BLZ10" s="128"/>
      <c r="BMA10" s="128"/>
      <c r="BMB10" s="128"/>
      <c r="BMC10" s="128"/>
      <c r="BMD10" s="128"/>
      <c r="BME10" s="128"/>
      <c r="BMF10" s="128"/>
      <c r="BMG10" s="128"/>
      <c r="BMH10" s="128"/>
      <c r="BMI10" s="128"/>
      <c r="BMJ10" s="128"/>
      <c r="BMK10" s="128"/>
      <c r="BML10" s="128"/>
      <c r="BMM10" s="128"/>
      <c r="BMN10" s="128"/>
      <c r="BMO10" s="128"/>
      <c r="BMP10" s="128"/>
      <c r="BMQ10" s="128"/>
      <c r="BMR10" s="128"/>
      <c r="BMS10" s="128"/>
      <c r="BMT10" s="128"/>
      <c r="BMU10" s="128"/>
      <c r="BMV10" s="128"/>
      <c r="BMW10" s="129"/>
      <c r="BMX10" s="129"/>
      <c r="BMY10" s="129"/>
      <c r="BMZ10" s="129"/>
      <c r="BNA10" s="129"/>
      <c r="BNB10" s="129"/>
      <c r="BNC10" s="129"/>
      <c r="BND10" s="129"/>
      <c r="BNE10" s="129"/>
      <c r="BNF10" s="129"/>
      <c r="BNG10" s="129"/>
      <c r="BNH10" s="129"/>
      <c r="BNI10" s="129"/>
      <c r="BNJ10" s="129"/>
      <c r="BNK10" s="129"/>
      <c r="BNL10" s="129"/>
      <c r="BNM10" s="129"/>
      <c r="BNN10" s="129"/>
      <c r="BNO10" s="129"/>
      <c r="BNP10" s="129"/>
      <c r="BNQ10" s="129"/>
      <c r="BNR10" s="128"/>
      <c r="BNS10" s="128"/>
      <c r="BNT10" s="128"/>
      <c r="BNU10" s="128"/>
      <c r="BNV10" s="128"/>
      <c r="BNW10" s="128"/>
      <c r="BNX10" s="129"/>
      <c r="BNY10" s="129"/>
      <c r="BNZ10" s="129"/>
      <c r="BOA10" s="129"/>
      <c r="BOB10" s="129"/>
      <c r="BOC10" s="129"/>
      <c r="BOD10" s="129"/>
      <c r="BOE10" s="129"/>
      <c r="BOF10" s="129"/>
      <c r="BOG10" s="129"/>
      <c r="BOH10" s="129"/>
      <c r="BOI10" s="129"/>
      <c r="BOJ10" s="129"/>
      <c r="BOK10" s="129"/>
      <c r="BOL10" s="129"/>
      <c r="BOM10" s="129"/>
      <c r="BON10" s="129"/>
      <c r="BOO10" s="129"/>
      <c r="BOP10" s="129"/>
      <c r="BOQ10" s="129"/>
      <c r="BOR10" s="129"/>
      <c r="BOS10" s="129"/>
      <c r="BOT10" s="129"/>
      <c r="BOU10" s="129"/>
      <c r="BOV10" s="129"/>
      <c r="BOW10" s="129"/>
      <c r="BOX10" s="129"/>
      <c r="BOY10" s="129"/>
      <c r="BOZ10" s="128"/>
      <c r="BPA10" s="128"/>
      <c r="BPB10" s="128"/>
      <c r="BPC10" s="128"/>
      <c r="BPD10" s="128"/>
      <c r="BPE10" s="128"/>
      <c r="BPF10" s="128"/>
      <c r="CDT10" s="128" t="s">
        <v>393</v>
      </c>
      <c r="CDU10" s="128"/>
      <c r="CDV10" s="128"/>
      <c r="CDW10" s="128"/>
      <c r="CDX10" s="128"/>
      <c r="CDY10" s="128"/>
      <c r="CDZ10" s="128"/>
      <c r="CEA10" s="128"/>
      <c r="CEB10" s="128"/>
      <c r="CEC10" s="128"/>
      <c r="CED10" s="128"/>
      <c r="CEE10" s="128"/>
      <c r="CEF10" s="128"/>
      <c r="CEG10" s="128"/>
      <c r="CEH10" s="128"/>
      <c r="CEI10" s="128"/>
      <c r="CEJ10" s="128"/>
      <c r="CEK10" s="128"/>
      <c r="CEL10" s="128"/>
      <c r="CEM10" s="128"/>
      <c r="CEN10" s="128"/>
      <c r="CEO10" s="128"/>
      <c r="CEP10" s="128"/>
      <c r="CEQ10" s="128"/>
      <c r="CER10" s="128"/>
      <c r="CES10" s="128"/>
      <c r="CET10" s="128"/>
      <c r="CEU10" s="128"/>
      <c r="CEV10" s="128"/>
      <c r="CEW10" s="128"/>
      <c r="CEX10" s="128"/>
      <c r="CEY10" s="129"/>
      <c r="CEZ10" s="129"/>
      <c r="CFA10" s="129"/>
      <c r="CFB10" s="129"/>
      <c r="CFC10" s="129"/>
      <c r="CFD10" s="129"/>
      <c r="CFE10" s="129"/>
      <c r="CFF10" s="129"/>
      <c r="CFG10" s="129"/>
      <c r="CFH10" s="129"/>
      <c r="CFI10" s="129"/>
      <c r="CFJ10" s="129"/>
      <c r="CFK10" s="129"/>
      <c r="CFL10" s="129"/>
      <c r="CFM10" s="129"/>
      <c r="CFN10" s="129"/>
      <c r="CFO10" s="129"/>
      <c r="CFP10" s="129"/>
      <c r="CFQ10" s="129"/>
      <c r="CFR10" s="129"/>
      <c r="CFS10" s="129"/>
      <c r="CFT10" s="128"/>
      <c r="CFU10" s="128"/>
      <c r="CFV10" s="128"/>
      <c r="CFW10" s="128"/>
      <c r="CFX10" s="128"/>
      <c r="CFY10" s="128"/>
      <c r="CFZ10" s="129"/>
      <c r="CGA10" s="129"/>
      <c r="CGB10" s="129"/>
      <c r="CGC10" s="129"/>
      <c r="CGD10" s="129"/>
      <c r="CGE10" s="129"/>
      <c r="CGF10" s="129"/>
      <c r="CGG10" s="129"/>
      <c r="CGH10" s="129"/>
      <c r="CGI10" s="129"/>
      <c r="CGJ10" s="129"/>
      <c r="CGK10" s="129"/>
      <c r="CGL10" s="129"/>
      <c r="CGM10" s="129"/>
      <c r="CGN10" s="129"/>
      <c r="CGO10" s="129"/>
      <c r="CGP10" s="129"/>
      <c r="CGQ10" s="129"/>
      <c r="CGR10" s="129"/>
      <c r="CGS10" s="129"/>
      <c r="CGT10" s="129"/>
      <c r="CGU10" s="129"/>
      <c r="CGV10" s="129"/>
      <c r="CGW10" s="129"/>
      <c r="CGX10" s="129"/>
      <c r="CGY10" s="129"/>
      <c r="CGZ10" s="129"/>
      <c r="CHA10" s="129"/>
      <c r="CHB10" s="128"/>
      <c r="CHC10" s="128"/>
      <c r="CHD10" s="128"/>
      <c r="CHE10" s="128"/>
      <c r="CHF10" s="128"/>
      <c r="CHG10" s="128"/>
      <c r="CHH10" s="128"/>
      <c r="CHJ10" s="128" t="s">
        <v>3485</v>
      </c>
      <c r="CHK10" s="128"/>
      <c r="CHL10" s="128"/>
      <c r="CHM10" s="128"/>
      <c r="CHN10" s="128"/>
      <c r="CHO10" s="128"/>
      <c r="CHP10" s="128"/>
      <c r="CHQ10" s="128"/>
      <c r="CHR10" s="128"/>
      <c r="CHS10" s="128"/>
      <c r="CHT10" s="128"/>
      <c r="CHU10" s="128"/>
      <c r="CHV10" s="128"/>
      <c r="CHW10" s="128"/>
      <c r="CHX10" s="128"/>
      <c r="CHY10" s="128"/>
      <c r="CHZ10" s="128"/>
      <c r="CIA10" s="128"/>
      <c r="CIB10" s="128"/>
      <c r="CIC10" s="128"/>
      <c r="CID10" s="128"/>
      <c r="CIE10" s="128"/>
      <c r="CIF10" s="128"/>
      <c r="CIG10" s="128"/>
      <c r="CIH10" s="128"/>
      <c r="CII10" s="128"/>
      <c r="CIJ10" s="128"/>
      <c r="CIK10" s="128"/>
      <c r="CIL10" s="128"/>
      <c r="CIM10" s="128"/>
      <c r="CIN10" s="128"/>
      <c r="CIO10" s="129"/>
      <c r="CIP10" s="129"/>
      <c r="CIQ10" s="129"/>
      <c r="CIR10" s="129"/>
      <c r="CIS10" s="129"/>
      <c r="CIT10" s="129"/>
      <c r="CIU10" s="129"/>
      <c r="CIV10" s="129"/>
      <c r="CIW10" s="129"/>
      <c r="CIX10" s="129"/>
      <c r="CIY10" s="129"/>
      <c r="CIZ10" s="129"/>
      <c r="CJA10" s="129"/>
      <c r="CJB10" s="129"/>
      <c r="CJC10" s="129"/>
      <c r="CJD10" s="129"/>
      <c r="CJE10" s="129"/>
      <c r="CJF10" s="129"/>
      <c r="CJG10" s="129"/>
      <c r="CJH10" s="129"/>
      <c r="CJI10" s="129"/>
      <c r="CJJ10" s="128"/>
      <c r="CJK10" s="128"/>
      <c r="CJL10" s="128"/>
      <c r="CJM10" s="128"/>
      <c r="CJN10" s="128"/>
      <c r="CJO10" s="128"/>
      <c r="CJP10" s="129"/>
      <c r="CJQ10" s="129"/>
      <c r="CJR10" s="129"/>
      <c r="CJS10" s="129"/>
      <c r="CJT10" s="129"/>
      <c r="CJU10" s="129"/>
      <c r="CJV10" s="129"/>
      <c r="CJW10" s="129"/>
      <c r="CJX10" s="129"/>
      <c r="CJY10" s="129"/>
      <c r="CJZ10" s="129"/>
      <c r="CKA10" s="129"/>
      <c r="CKB10" s="129"/>
      <c r="CKC10" s="129"/>
      <c r="CKD10" s="129"/>
      <c r="CKE10" s="129"/>
      <c r="CKF10" s="129"/>
      <c r="CKG10" s="129"/>
      <c r="CKH10" s="129"/>
      <c r="CKI10" s="129"/>
      <c r="CKJ10" s="129"/>
      <c r="CKK10" s="129"/>
      <c r="CKL10" s="129"/>
      <c r="CKM10" s="129"/>
      <c r="CKN10" s="129"/>
      <c r="CKO10" s="129"/>
      <c r="CKP10" s="129"/>
      <c r="CKQ10" s="129"/>
      <c r="CKR10" s="128"/>
      <c r="CKS10" s="128"/>
      <c r="CKT10" s="128"/>
      <c r="CKU10" s="128"/>
      <c r="CKV10" s="128"/>
      <c r="CKW10" s="128"/>
      <c r="CKX10" s="128"/>
      <c r="CKZ10" s="144" t="s">
        <v>147</v>
      </c>
      <c r="CLA10" s="144"/>
      <c r="CLB10" s="144"/>
      <c r="CLC10" s="144"/>
      <c r="CLD10" s="144"/>
      <c r="CLE10" s="144"/>
      <c r="CLF10" s="144"/>
      <c r="CLG10" s="144"/>
      <c r="CLH10" s="144"/>
      <c r="CLI10" s="144"/>
      <c r="CLJ10" s="144"/>
      <c r="CLK10" s="144"/>
      <c r="CLL10" s="144"/>
      <c r="CLM10" s="144"/>
      <c r="CLN10" s="144"/>
      <c r="CLO10" s="144"/>
      <c r="CLP10" s="144"/>
      <c r="CLQ10" s="144"/>
      <c r="CLR10" s="144"/>
      <c r="CLS10" s="144"/>
      <c r="CLT10" s="144"/>
      <c r="CLU10" s="144"/>
      <c r="CLV10" s="144"/>
      <c r="CLW10" s="144"/>
      <c r="CLX10" s="144"/>
      <c r="CLY10" s="144"/>
      <c r="CLZ10" s="144"/>
      <c r="CMA10" s="144"/>
      <c r="CMB10" s="144"/>
      <c r="CMC10" s="144"/>
      <c r="CMD10" s="144"/>
      <c r="CME10" s="129" t="s">
        <v>133</v>
      </c>
      <c r="CMF10" s="129"/>
      <c r="CMG10" s="129"/>
      <c r="CMH10" s="129"/>
      <c r="CMI10" s="129" t="s">
        <v>148</v>
      </c>
      <c r="CMJ10" s="129"/>
      <c r="CMK10" s="129"/>
      <c r="CML10" s="129"/>
      <c r="CMM10" s="129"/>
      <c r="CMN10" s="129" t="s">
        <v>83</v>
      </c>
      <c r="CMO10" s="129"/>
      <c r="CMP10" s="129"/>
      <c r="CMQ10" s="129"/>
      <c r="CMR10" s="129"/>
      <c r="CMS10" s="129"/>
      <c r="CMT10" s="129" t="s">
        <v>37</v>
      </c>
      <c r="CMU10" s="129"/>
      <c r="CMV10" s="129"/>
      <c r="CMW10" s="129"/>
      <c r="CMX10" s="129"/>
      <c r="CMY10" s="129"/>
      <c r="CMZ10" s="129" t="s">
        <v>49</v>
      </c>
      <c r="CNA10" s="129"/>
      <c r="CNB10" s="129"/>
      <c r="CNC10" s="129"/>
      <c r="CND10" s="129"/>
      <c r="CNE10" s="129"/>
      <c r="CNF10" s="129" t="s">
        <v>149</v>
      </c>
      <c r="CNG10" s="129"/>
      <c r="CNH10" s="129"/>
      <c r="CNI10" s="129"/>
      <c r="CNJ10" s="129"/>
      <c r="CNK10" s="129"/>
      <c r="CNL10" s="129"/>
      <c r="CNM10" s="129" t="s">
        <v>150</v>
      </c>
      <c r="CNN10" s="129"/>
      <c r="CNO10" s="129"/>
      <c r="CNP10" s="129"/>
      <c r="CNQ10" s="129"/>
      <c r="CNR10" s="129"/>
      <c r="CNS10" s="129"/>
      <c r="CNT10" s="129" t="s">
        <v>151</v>
      </c>
      <c r="CNU10" s="129"/>
      <c r="CNV10" s="129"/>
      <c r="CNW10" s="129"/>
      <c r="CNX10" s="129"/>
      <c r="CNY10" s="129"/>
      <c r="CNZ10" s="129"/>
      <c r="COA10" s="129" t="s">
        <v>37</v>
      </c>
      <c r="COB10" s="129"/>
      <c r="COC10" s="129"/>
      <c r="COD10" s="129"/>
      <c r="COE10" s="129"/>
      <c r="COF10" s="129"/>
      <c r="COG10" s="129"/>
      <c r="COH10" s="129" t="s">
        <v>40</v>
      </c>
      <c r="COI10" s="129"/>
      <c r="COJ10" s="129"/>
      <c r="COK10" s="129"/>
      <c r="COL10" s="129"/>
      <c r="COM10" s="129"/>
      <c r="CON10" s="129"/>
      <c r="COP10" s="128" t="str">
        <f ca="1">VLOOKUP(6,INDIRECT("Base"&amp;$BJ$3),2,FALSE)</f>
        <v>Assassination Mastery</v>
      </c>
      <c r="COQ10" s="128"/>
      <c r="COR10" s="128"/>
      <c r="COS10" s="128"/>
      <c r="COT10" s="128"/>
      <c r="COU10" s="128"/>
      <c r="COV10" s="128"/>
      <c r="COW10" s="128"/>
      <c r="COX10" s="128"/>
      <c r="COY10" s="128"/>
      <c r="COZ10" s="128"/>
      <c r="CPA10" s="128"/>
      <c r="CPB10" s="128"/>
      <c r="CPC10" s="128"/>
      <c r="CPD10" s="128"/>
      <c r="CPE10" s="128"/>
      <c r="CPF10" s="128"/>
      <c r="CPG10" s="128"/>
      <c r="CPH10" s="128"/>
      <c r="CPI10" s="128"/>
      <c r="CPJ10" s="128"/>
      <c r="CPK10" s="128"/>
      <c r="CPL10" s="128"/>
      <c r="CPM10" s="128"/>
      <c r="CPN10" s="128"/>
      <c r="CPO10" s="128"/>
      <c r="CPP10" s="128"/>
      <c r="CPQ10" s="128"/>
      <c r="CPR10" s="128"/>
      <c r="CPS10" s="128"/>
      <c r="CPT10" s="128"/>
      <c r="CPU10" s="129"/>
      <c r="CPV10" s="129"/>
      <c r="CPW10" s="129"/>
      <c r="CPX10" s="129"/>
      <c r="CPY10" s="129"/>
      <c r="CPZ10" s="129"/>
      <c r="CQA10" s="129"/>
      <c r="CQB10" s="129"/>
      <c r="CQC10" s="129"/>
      <c r="CQD10" s="129"/>
      <c r="CQE10" s="129"/>
      <c r="CQF10" s="129"/>
      <c r="CQG10" s="129"/>
      <c r="CQH10" s="129"/>
      <c r="CQI10" s="129"/>
      <c r="CQJ10" s="129"/>
      <c r="CQK10" s="129"/>
      <c r="CQL10" s="129"/>
      <c r="CQM10" s="129"/>
      <c r="CQN10" s="129"/>
      <c r="CQO10" s="129"/>
      <c r="CQP10" s="128"/>
      <c r="CQQ10" s="128"/>
      <c r="CQR10" s="128"/>
      <c r="CQS10" s="128"/>
      <c r="CQT10" s="128"/>
      <c r="CQU10" s="128"/>
      <c r="CQV10" s="129"/>
      <c r="CQW10" s="129"/>
      <c r="CQX10" s="129"/>
      <c r="CQY10" s="129"/>
      <c r="CQZ10" s="129"/>
      <c r="CRA10" s="129"/>
      <c r="CRB10" s="129"/>
      <c r="CRC10" s="129"/>
      <c r="CRD10" s="129"/>
      <c r="CRE10" s="129"/>
      <c r="CRF10" s="129"/>
      <c r="CRG10" s="129"/>
      <c r="CRH10" s="129"/>
      <c r="CRI10" s="129"/>
      <c r="CRJ10" s="129"/>
      <c r="CRK10" s="129"/>
      <c r="CRL10" s="129"/>
      <c r="CRM10" s="129"/>
      <c r="CRN10" s="129"/>
      <c r="CRO10" s="129"/>
      <c r="CRP10" s="129"/>
      <c r="CRQ10" s="129"/>
      <c r="CRR10" s="129"/>
      <c r="CRS10" s="129"/>
      <c r="CRT10" s="129"/>
      <c r="CRU10" s="129"/>
      <c r="CRV10" s="129"/>
      <c r="CRW10" s="129"/>
      <c r="CRX10" s="128"/>
      <c r="CRY10" s="128"/>
      <c r="CRZ10" s="128"/>
      <c r="CSA10" s="128"/>
      <c r="CSB10" s="128"/>
      <c r="CSC10" s="128"/>
      <c r="CSD10" s="128"/>
      <c r="CSF10" s="128" t="s">
        <v>435</v>
      </c>
      <c r="CSG10" s="128"/>
      <c r="CSH10" s="128"/>
      <c r="CSI10" s="128"/>
      <c r="CSJ10" s="128"/>
      <c r="CSK10" s="128"/>
      <c r="CSL10" s="128"/>
      <c r="CSM10" s="128"/>
      <c r="CSN10" s="128"/>
      <c r="CSO10" s="128"/>
      <c r="CSP10" s="128"/>
      <c r="CSQ10" s="128"/>
      <c r="CSR10" s="128"/>
      <c r="CSS10" s="128"/>
      <c r="CST10" s="128"/>
      <c r="CSU10" s="128"/>
      <c r="CSV10" s="128"/>
      <c r="CSW10" s="128"/>
      <c r="CSX10" s="128"/>
      <c r="CSY10" s="128"/>
      <c r="CSZ10" s="128"/>
      <c r="CTA10" s="128"/>
      <c r="CTB10" s="128"/>
      <c r="CTC10" s="128"/>
      <c r="CTD10" s="128"/>
      <c r="CTE10" s="128"/>
      <c r="CTF10" s="128"/>
      <c r="CTG10" s="128"/>
      <c r="CTH10" s="128"/>
      <c r="CTI10" s="128"/>
      <c r="CTJ10" s="128"/>
      <c r="CTK10" s="129"/>
      <c r="CTL10" s="129"/>
      <c r="CTM10" s="129"/>
      <c r="CTN10" s="129"/>
      <c r="CTO10" s="129"/>
      <c r="CTP10" s="129"/>
      <c r="CTQ10" s="129"/>
      <c r="CTR10" s="129"/>
      <c r="CTS10" s="129"/>
      <c r="CTT10" s="129"/>
      <c r="CTU10" s="129"/>
      <c r="CTV10" s="129"/>
      <c r="CTW10" s="129"/>
      <c r="CTX10" s="129"/>
      <c r="CTY10" s="129"/>
      <c r="CTZ10" s="129"/>
      <c r="CUA10" s="129"/>
      <c r="CUB10" s="129"/>
      <c r="CUC10" s="129"/>
      <c r="CUD10" s="129"/>
      <c r="CUE10" s="129"/>
      <c r="CUF10" s="128"/>
      <c r="CUG10" s="128"/>
      <c r="CUH10" s="128"/>
      <c r="CUI10" s="128"/>
      <c r="CUJ10" s="128"/>
      <c r="CUK10" s="128"/>
      <c r="CUL10" s="129"/>
      <c r="CUM10" s="129"/>
      <c r="CUN10" s="129"/>
      <c r="CUO10" s="129"/>
      <c r="CUP10" s="129"/>
      <c r="CUQ10" s="129"/>
      <c r="CUR10" s="129"/>
      <c r="CUS10" s="129"/>
      <c r="CUT10" s="129"/>
      <c r="CUU10" s="129"/>
      <c r="CUV10" s="129"/>
      <c r="CUW10" s="129"/>
      <c r="CUX10" s="129"/>
      <c r="CUY10" s="129"/>
      <c r="CUZ10" s="129"/>
      <c r="CVA10" s="129"/>
      <c r="CVB10" s="129"/>
      <c r="CVC10" s="129"/>
      <c r="CVD10" s="129"/>
      <c r="CVE10" s="129"/>
      <c r="CVF10" s="129"/>
      <c r="CVG10" s="129"/>
      <c r="CVH10" s="129"/>
      <c r="CVI10" s="129"/>
      <c r="CVJ10" s="129"/>
      <c r="CVK10" s="129"/>
      <c r="CVL10" s="129"/>
      <c r="CVM10" s="129"/>
      <c r="CVN10" s="128"/>
      <c r="CVO10" s="128"/>
      <c r="CVP10" s="128"/>
      <c r="CVQ10" s="128"/>
      <c r="CVR10" s="128"/>
      <c r="CVS10" s="128"/>
      <c r="CVT10" s="128"/>
      <c r="CVV10" s="128" t="s">
        <v>489</v>
      </c>
      <c r="CVW10" s="128"/>
      <c r="CVX10" s="128"/>
      <c r="CVY10" s="128"/>
      <c r="CVZ10" s="128"/>
      <c r="CWA10" s="128"/>
      <c r="CWB10" s="128"/>
      <c r="CWC10" s="128"/>
      <c r="CWD10" s="128"/>
      <c r="CWE10" s="128"/>
      <c r="CWF10" s="128"/>
      <c r="CWG10" s="128"/>
      <c r="CWH10" s="128"/>
      <c r="CWI10" s="128"/>
      <c r="CWJ10" s="128"/>
      <c r="CWK10" s="128"/>
      <c r="CWL10" s="128"/>
      <c r="CWM10" s="128"/>
      <c r="CWN10" s="128"/>
      <c r="CWO10" s="128"/>
      <c r="CWP10" s="128"/>
      <c r="CWQ10" s="128"/>
      <c r="CWR10" s="128"/>
      <c r="CWS10" s="128"/>
      <c r="CWT10" s="128"/>
      <c r="CWU10" s="128"/>
      <c r="CWV10" s="128"/>
      <c r="CWW10" s="128"/>
      <c r="CWX10" s="128"/>
      <c r="CWY10" s="128"/>
      <c r="CWZ10" s="128"/>
      <c r="CXA10" s="129"/>
      <c r="CXB10" s="129"/>
      <c r="CXC10" s="129"/>
      <c r="CXD10" s="129"/>
      <c r="CXE10" s="129"/>
      <c r="CXF10" s="129"/>
      <c r="CXG10" s="129"/>
      <c r="CXH10" s="129"/>
      <c r="CXI10" s="129"/>
      <c r="CXJ10" s="129"/>
      <c r="CXK10" s="129"/>
      <c r="CXL10" s="129"/>
      <c r="CXM10" s="129"/>
      <c r="CXN10" s="129"/>
      <c r="CXO10" s="129"/>
      <c r="CXP10" s="129"/>
      <c r="CXQ10" s="129"/>
      <c r="CXR10" s="129"/>
      <c r="CXS10" s="129"/>
      <c r="CXT10" s="129"/>
      <c r="CXU10" s="129"/>
      <c r="CXV10" s="128"/>
      <c r="CXW10" s="128"/>
      <c r="CXX10" s="128"/>
      <c r="CXY10" s="128"/>
      <c r="CXZ10" s="128"/>
      <c r="CYA10" s="128"/>
      <c r="CYB10" s="129"/>
      <c r="CYC10" s="129"/>
      <c r="CYD10" s="129"/>
      <c r="CYE10" s="129"/>
      <c r="CYF10" s="129"/>
      <c r="CYG10" s="129"/>
      <c r="CYH10" s="129"/>
      <c r="CYI10" s="129"/>
      <c r="CYJ10" s="129"/>
      <c r="CYK10" s="129"/>
      <c r="CYL10" s="129"/>
      <c r="CYM10" s="129"/>
      <c r="CYN10" s="129"/>
      <c r="CYO10" s="129"/>
      <c r="CYP10" s="129"/>
      <c r="CYQ10" s="129"/>
      <c r="CYR10" s="129"/>
      <c r="CYS10" s="129"/>
      <c r="CYT10" s="129"/>
      <c r="CYU10" s="129"/>
      <c r="CYV10" s="129"/>
      <c r="CYW10" s="129"/>
      <c r="CYX10" s="129"/>
      <c r="CYY10" s="129"/>
      <c r="CYZ10" s="129"/>
      <c r="CZA10" s="129"/>
      <c r="CZB10" s="129"/>
      <c r="CZC10" s="129"/>
      <c r="CZD10" s="128"/>
      <c r="CZE10" s="128"/>
      <c r="CZF10" s="128"/>
      <c r="CZG10" s="128"/>
      <c r="CZH10" s="128"/>
      <c r="CZI10" s="128"/>
      <c r="CZJ10" s="128"/>
      <c r="CZL10" s="144" t="s">
        <v>507</v>
      </c>
      <c r="CZM10" s="144"/>
      <c r="CZN10" s="144"/>
      <c r="CZO10" s="144"/>
      <c r="CZP10" s="144"/>
      <c r="CZQ10" s="144"/>
      <c r="CZR10" s="144"/>
      <c r="CZS10" s="144"/>
      <c r="CZT10" s="144"/>
      <c r="CZU10" s="144"/>
      <c r="CZV10" s="144"/>
      <c r="CZW10" s="144"/>
      <c r="CZX10" s="144"/>
      <c r="CZY10" s="144"/>
      <c r="CZZ10" s="144"/>
      <c r="DAA10" s="144"/>
      <c r="DAB10" s="144"/>
      <c r="DAC10" s="144"/>
      <c r="DAD10" s="144"/>
      <c r="DAE10" s="144"/>
      <c r="DAF10" s="144"/>
      <c r="DAG10" s="144"/>
      <c r="DAH10" s="144"/>
      <c r="DAI10" s="144"/>
      <c r="DAJ10" s="144"/>
      <c r="DAK10" s="144"/>
      <c r="DAL10" s="144"/>
      <c r="DAM10" s="144"/>
      <c r="DAN10" s="144"/>
      <c r="DAO10" s="144"/>
      <c r="DAP10" s="144"/>
      <c r="DAQ10" s="144"/>
      <c r="DAR10" s="144"/>
      <c r="DAS10" s="144"/>
      <c r="DAT10" s="144"/>
      <c r="DAU10" s="144"/>
      <c r="DAV10" s="144"/>
      <c r="DAW10" s="144"/>
      <c r="DAX10" s="144"/>
      <c r="DAY10" s="144"/>
      <c r="DAZ10" s="144"/>
      <c r="DBA10" s="144"/>
      <c r="DBB10" s="144"/>
      <c r="DBC10" s="144"/>
      <c r="DBD10" s="144"/>
      <c r="DBE10" s="144"/>
      <c r="DBF10" s="144"/>
      <c r="DBG10" s="144"/>
      <c r="DBH10" s="144"/>
      <c r="DBI10" s="144"/>
      <c r="DBJ10" s="144"/>
      <c r="DBK10" s="144"/>
      <c r="DBL10" s="144"/>
      <c r="DBM10" s="144"/>
      <c r="DBN10" s="144"/>
      <c r="DBO10" s="144"/>
      <c r="DBP10" s="144"/>
      <c r="DBQ10" s="144"/>
      <c r="DBR10" s="144"/>
      <c r="DBS10" s="144"/>
      <c r="DBT10" s="144"/>
      <c r="DBU10" s="144"/>
      <c r="DBV10" s="144"/>
      <c r="DBW10" s="144"/>
      <c r="DBX10" s="144"/>
      <c r="DBY10" s="144"/>
      <c r="DBZ10" s="144"/>
      <c r="DCA10" s="144"/>
      <c r="DCB10" s="144"/>
      <c r="DCC10" s="144"/>
      <c r="DCD10" s="144"/>
      <c r="DCE10" s="144"/>
      <c r="DCF10" s="144"/>
      <c r="DCG10" s="144"/>
      <c r="DCH10" s="144"/>
      <c r="DCI10" s="144"/>
      <c r="DCJ10" s="144"/>
      <c r="DCK10" s="144"/>
      <c r="DCL10" s="144"/>
      <c r="DCM10" s="144"/>
      <c r="DCN10" s="144"/>
      <c r="DCO10" s="144"/>
      <c r="DCP10" s="144"/>
      <c r="DCQ10" s="144"/>
      <c r="DCR10" s="144"/>
      <c r="DCS10" s="144"/>
      <c r="DCT10" s="144"/>
      <c r="DCU10" s="144"/>
      <c r="DCV10" s="144"/>
      <c r="DCW10" s="144"/>
      <c r="DCX10" s="144"/>
      <c r="DCY10" s="144"/>
      <c r="DCZ10" s="144"/>
      <c r="DDB10" s="128" t="s">
        <v>519</v>
      </c>
      <c r="DDC10" s="128"/>
      <c r="DDD10" s="128"/>
      <c r="DDE10" s="128"/>
      <c r="DDF10" s="128"/>
      <c r="DDG10" s="128"/>
      <c r="DDH10" s="128"/>
      <c r="DDI10" s="128"/>
      <c r="DDJ10" s="128"/>
      <c r="DDK10" s="128"/>
      <c r="DDL10" s="128"/>
      <c r="DDM10" s="128"/>
      <c r="DDN10" s="128"/>
      <c r="DDO10" s="128"/>
      <c r="DDP10" s="128"/>
      <c r="DDQ10" s="128"/>
      <c r="DDR10" s="128"/>
      <c r="DDS10" s="128"/>
      <c r="DDT10" s="128"/>
      <c r="DDU10" s="128"/>
      <c r="DDV10" s="128"/>
      <c r="DDW10" s="128"/>
      <c r="DDX10" s="128"/>
      <c r="DDY10" s="128"/>
      <c r="DDZ10" s="128"/>
      <c r="DEA10" s="128"/>
      <c r="DEB10" s="128"/>
      <c r="DEC10" s="128"/>
      <c r="DED10" s="128"/>
      <c r="DEE10" s="128"/>
      <c r="DEF10" s="128"/>
      <c r="DEG10" s="129"/>
      <c r="DEH10" s="129"/>
      <c r="DEI10" s="129"/>
      <c r="DEJ10" s="129"/>
      <c r="DEK10" s="129"/>
      <c r="DEL10" s="129"/>
      <c r="DEM10" s="129"/>
      <c r="DEN10" s="129"/>
      <c r="DEO10" s="129"/>
      <c r="DEP10" s="129"/>
      <c r="DEQ10" s="129"/>
      <c r="DER10" s="129"/>
      <c r="DES10" s="129"/>
      <c r="DET10" s="129"/>
      <c r="DEU10" s="129"/>
      <c r="DEV10" s="129"/>
      <c r="DEW10" s="129"/>
      <c r="DEX10" s="129"/>
      <c r="DEY10" s="129"/>
      <c r="DEZ10" s="129"/>
      <c r="DFA10" s="129"/>
      <c r="DFB10" s="128"/>
      <c r="DFC10" s="128"/>
      <c r="DFD10" s="128"/>
      <c r="DFE10" s="128"/>
      <c r="DFF10" s="128"/>
      <c r="DFG10" s="128"/>
      <c r="DFH10" s="129"/>
      <c r="DFI10" s="129"/>
      <c r="DFJ10" s="129"/>
      <c r="DFK10" s="129"/>
      <c r="DFL10" s="129"/>
      <c r="DFM10" s="129"/>
      <c r="DFN10" s="129"/>
      <c r="DFO10" s="129"/>
      <c r="DFP10" s="129"/>
      <c r="DFQ10" s="129"/>
      <c r="DFR10" s="129"/>
      <c r="DFS10" s="129"/>
      <c r="DFT10" s="129"/>
      <c r="DFU10" s="129"/>
      <c r="DFV10" s="129"/>
      <c r="DFW10" s="129"/>
      <c r="DFX10" s="129"/>
      <c r="DFY10" s="129"/>
      <c r="DFZ10" s="129"/>
      <c r="DGA10" s="129"/>
      <c r="DGB10" s="129"/>
      <c r="DGC10" s="129"/>
      <c r="DGD10" s="129"/>
      <c r="DGE10" s="129"/>
      <c r="DGF10" s="129"/>
      <c r="DGG10" s="129"/>
      <c r="DGH10" s="129"/>
      <c r="DGI10" s="129"/>
      <c r="DGJ10" s="128"/>
      <c r="DGK10" s="128"/>
      <c r="DGL10" s="128"/>
      <c r="DGM10" s="128"/>
      <c r="DGN10" s="128"/>
      <c r="DGO10" s="128"/>
      <c r="DGP10" s="128"/>
      <c r="DGR10" s="128" t="s">
        <v>561</v>
      </c>
      <c r="DGS10" s="128"/>
      <c r="DGT10" s="128"/>
      <c r="DGU10" s="128"/>
      <c r="DGV10" s="128"/>
      <c r="DGW10" s="128"/>
      <c r="DGX10" s="128"/>
      <c r="DGY10" s="128"/>
      <c r="DGZ10" s="128"/>
      <c r="DHA10" s="128"/>
      <c r="DHB10" s="128"/>
      <c r="DHC10" s="128"/>
      <c r="DHD10" s="128"/>
      <c r="DHE10" s="128"/>
      <c r="DHF10" s="128"/>
      <c r="DHG10" s="128"/>
      <c r="DHH10" s="128"/>
      <c r="DHI10" s="128"/>
      <c r="DHJ10" s="128"/>
      <c r="DHK10" s="128"/>
      <c r="DHL10" s="128"/>
      <c r="DHM10" s="128"/>
      <c r="DHN10" s="128"/>
      <c r="DHO10" s="128"/>
      <c r="DHP10" s="128"/>
      <c r="DHQ10" s="128"/>
      <c r="DHR10" s="128"/>
      <c r="DHS10" s="128"/>
      <c r="DHT10" s="128"/>
      <c r="DHU10" s="128"/>
      <c r="DHV10" s="128"/>
      <c r="DHW10" s="129"/>
      <c r="DHX10" s="129"/>
      <c r="DHY10" s="129"/>
      <c r="DHZ10" s="129"/>
      <c r="DIA10" s="129"/>
      <c r="DIB10" s="129"/>
      <c r="DIC10" s="129"/>
      <c r="DID10" s="129"/>
      <c r="DIE10" s="129"/>
      <c r="DIF10" s="129"/>
      <c r="DIG10" s="129"/>
      <c r="DIH10" s="129"/>
      <c r="DII10" s="129"/>
      <c r="DIJ10" s="129"/>
      <c r="DIK10" s="129"/>
      <c r="DIL10" s="129"/>
      <c r="DIM10" s="129"/>
      <c r="DIN10" s="129"/>
      <c r="DIO10" s="129"/>
      <c r="DIP10" s="129"/>
      <c r="DIQ10" s="129"/>
      <c r="DIR10" s="128"/>
      <c r="DIS10" s="128"/>
      <c r="DIT10" s="128"/>
      <c r="DIU10" s="128"/>
      <c r="DIV10" s="128"/>
      <c r="DIW10" s="128"/>
      <c r="DIX10" s="129"/>
      <c r="DIY10" s="129"/>
      <c r="DIZ10" s="129"/>
      <c r="DJA10" s="129"/>
      <c r="DJB10" s="129"/>
      <c r="DJC10" s="129"/>
      <c r="DJD10" s="129"/>
      <c r="DJE10" s="129"/>
      <c r="DJF10" s="129"/>
      <c r="DJG10" s="129"/>
      <c r="DJH10" s="129"/>
      <c r="DJI10" s="129"/>
      <c r="DJJ10" s="129"/>
      <c r="DJK10" s="129"/>
      <c r="DJL10" s="129"/>
      <c r="DJM10" s="129"/>
      <c r="DJN10" s="129"/>
      <c r="DJO10" s="129"/>
      <c r="DJP10" s="129"/>
      <c r="DJQ10" s="129"/>
      <c r="DJR10" s="129"/>
      <c r="DJS10" s="129"/>
      <c r="DJT10" s="129"/>
      <c r="DJU10" s="129"/>
      <c r="DJV10" s="129"/>
      <c r="DJW10" s="129"/>
      <c r="DJX10" s="129"/>
      <c r="DJY10" s="129"/>
      <c r="DJZ10" s="128"/>
      <c r="DKA10" s="128"/>
      <c r="DKB10" s="128"/>
      <c r="DKC10" s="128"/>
      <c r="DKD10" s="128"/>
      <c r="DKE10" s="128"/>
      <c r="DKF10" s="128"/>
    </row>
    <row r="11" spans="2:2996" ht="15" customHeight="1" x14ac:dyDescent="0.25">
      <c r="B11" s="240" t="s">
        <v>24</v>
      </c>
      <c r="C11" s="241"/>
      <c r="D11" s="241"/>
      <c r="E11" s="241"/>
      <c r="F11" s="241"/>
      <c r="G11" s="241"/>
      <c r="H11" s="241"/>
      <c r="I11" s="241"/>
      <c r="J11" s="241"/>
      <c r="K11" s="241"/>
      <c r="L11" s="241"/>
      <c r="M11" s="241"/>
      <c r="N11" s="241"/>
      <c r="O11" s="241"/>
      <c r="P11" s="241"/>
      <c r="Q11" s="241"/>
      <c r="R11" s="241"/>
      <c r="S11" s="241"/>
      <c r="T11" s="241"/>
      <c r="U11" s="241"/>
      <c r="V11" s="241"/>
      <c r="W11" s="241"/>
      <c r="X11" s="241"/>
      <c r="Y11" s="241"/>
      <c r="Z11" s="241"/>
      <c r="AA11" s="241"/>
      <c r="AB11" s="241"/>
      <c r="AC11" s="241"/>
      <c r="AD11" s="241"/>
      <c r="AE11" s="241"/>
      <c r="AF11" s="241"/>
      <c r="AG11" s="241"/>
      <c r="AH11" s="241"/>
      <c r="AI11" s="241"/>
      <c r="AJ11" s="241"/>
      <c r="AK11" s="241"/>
      <c r="AL11" s="241"/>
      <c r="AM11" s="241"/>
      <c r="AN11" s="241"/>
      <c r="AO11" s="241"/>
      <c r="AP11" s="241"/>
      <c r="AQ11" s="241"/>
      <c r="AR11" s="241"/>
      <c r="AS11" s="241"/>
      <c r="AT11" s="241"/>
      <c r="AU11" s="241"/>
      <c r="AV11" s="241"/>
      <c r="AW11" s="241"/>
      <c r="AX11" s="241"/>
      <c r="AY11" s="241"/>
      <c r="AZ11" s="241"/>
      <c r="BA11" s="241"/>
      <c r="BB11" s="241"/>
      <c r="BC11" s="241"/>
      <c r="BD11" s="241"/>
      <c r="BE11" s="241"/>
      <c r="BF11" s="242"/>
      <c r="BH11" s="240" t="s">
        <v>41</v>
      </c>
      <c r="BI11" s="241"/>
      <c r="BJ11" s="241"/>
      <c r="BK11" s="241"/>
      <c r="BL11" s="241"/>
      <c r="BM11" s="241"/>
      <c r="BN11" s="241"/>
      <c r="BO11" s="241"/>
      <c r="BP11" s="241"/>
      <c r="BQ11" s="241"/>
      <c r="BR11" s="241"/>
      <c r="BS11" s="241"/>
      <c r="BT11" s="241"/>
      <c r="BU11" s="241"/>
      <c r="BV11" s="241"/>
      <c r="BW11" s="241"/>
      <c r="BX11" s="241"/>
      <c r="BY11" s="241"/>
      <c r="BZ11" s="241"/>
      <c r="CA11" s="241"/>
      <c r="CB11" s="241"/>
      <c r="CC11" s="241"/>
      <c r="CD11" s="241"/>
      <c r="CE11" s="241"/>
      <c r="CF11" s="241"/>
      <c r="CG11" s="241"/>
      <c r="CH11" s="241"/>
      <c r="CI11" s="241"/>
      <c r="CJ11" s="241"/>
      <c r="CK11" s="241"/>
      <c r="CL11" s="241"/>
      <c r="CM11" s="241"/>
      <c r="CN11" s="241"/>
      <c r="CO11" s="241"/>
      <c r="CP11" s="241"/>
      <c r="CQ11" s="241"/>
      <c r="CR11" s="241"/>
      <c r="CS11" s="241"/>
      <c r="CT11" s="241"/>
      <c r="CU11" s="241"/>
      <c r="CV11" s="241"/>
      <c r="CW11" s="241"/>
      <c r="CX11" s="241"/>
      <c r="CY11" s="241"/>
      <c r="CZ11" s="241"/>
      <c r="DA11" s="241"/>
      <c r="DB11" s="242"/>
      <c r="DC11"/>
      <c r="DD11" s="133" t="s">
        <v>121</v>
      </c>
      <c r="DE11" s="134"/>
      <c r="DF11" s="134"/>
      <c r="DG11" s="134"/>
      <c r="DH11" s="134"/>
      <c r="DI11" s="134"/>
      <c r="DJ11" s="134"/>
      <c r="DK11" s="134"/>
      <c r="DL11" s="134"/>
      <c r="DM11" s="134"/>
      <c r="DN11" s="134"/>
      <c r="DO11" s="134"/>
      <c r="DP11" s="134"/>
      <c r="DQ11" s="134"/>
      <c r="DR11" s="134"/>
      <c r="DS11" s="134"/>
      <c r="DT11" s="134"/>
      <c r="DU11" s="134"/>
      <c r="DV11" s="134"/>
      <c r="DW11" s="134"/>
      <c r="DX11" s="134"/>
      <c r="DY11" s="134"/>
      <c r="DZ11" s="134"/>
      <c r="EA11" s="134"/>
      <c r="EB11" s="134"/>
      <c r="EC11" s="134"/>
      <c r="ED11" s="134"/>
      <c r="EE11" s="134"/>
      <c r="EF11" s="134"/>
      <c r="EG11" s="293">
        <f>SUM(DA49:DH69)</f>
        <v>-25</v>
      </c>
      <c r="EH11" s="293"/>
      <c r="EI11" s="293"/>
      <c r="EJ11" s="293"/>
      <c r="EK11" s="293"/>
      <c r="EL11" s="293"/>
      <c r="EM11" s="293"/>
      <c r="EN11" s="293"/>
      <c r="EO11" s="130" t="s">
        <v>117</v>
      </c>
      <c r="EP11" s="130"/>
      <c r="EQ11" s="130"/>
      <c r="ER11" s="130"/>
      <c r="ES11" s="288">
        <f ca="1">IF(EG11+Skills!AF39&gt;0,0,SUM(EG11+Skills!AF39))</f>
        <v>-25</v>
      </c>
      <c r="ET11" s="288"/>
      <c r="EU11" s="288"/>
      <c r="EV11" s="288"/>
      <c r="EW11" s="288"/>
      <c r="EX11" s="288"/>
      <c r="EY11" s="288"/>
      <c r="EZ11" s="289"/>
      <c r="FB11" s="139" t="s">
        <v>2729</v>
      </c>
      <c r="FC11" s="140"/>
      <c r="FD11" s="140"/>
      <c r="FE11" s="140"/>
      <c r="FF11" s="140"/>
      <c r="FG11" s="140"/>
      <c r="FH11" s="140"/>
      <c r="FI11" s="140"/>
      <c r="FJ11" s="140"/>
      <c r="FK11" s="140"/>
      <c r="FL11" s="140"/>
      <c r="FM11" s="140"/>
      <c r="FN11" s="140"/>
      <c r="FO11" s="140"/>
      <c r="FP11" s="140"/>
      <c r="FQ11" s="140"/>
      <c r="FR11" s="140"/>
      <c r="FS11" s="140"/>
      <c r="FT11" s="140"/>
      <c r="FU11" s="140"/>
      <c r="FV11" s="140"/>
      <c r="FW11" s="140"/>
      <c r="FX11" s="140"/>
      <c r="FY11" s="140"/>
      <c r="FZ11" s="140"/>
      <c r="GA11" s="140"/>
      <c r="GB11" s="140"/>
      <c r="GC11" s="140"/>
      <c r="GD11" s="140"/>
      <c r="GE11" s="140"/>
      <c r="GF11" s="140"/>
      <c r="GG11" s="140"/>
      <c r="GH11" s="140"/>
      <c r="GI11" s="140"/>
      <c r="GJ11" s="140"/>
      <c r="GK11" s="140"/>
      <c r="GL11" s="140"/>
      <c r="GM11" s="140"/>
      <c r="GN11" s="140"/>
      <c r="GO11" s="140"/>
      <c r="GP11" s="140"/>
      <c r="GQ11" s="140"/>
      <c r="GR11" s="140"/>
      <c r="GS11" s="140"/>
      <c r="GT11" s="141">
        <v>1</v>
      </c>
      <c r="GU11" s="141"/>
      <c r="GV11" s="141"/>
      <c r="GW11" s="141"/>
      <c r="GX11" s="141"/>
      <c r="GY11" s="141"/>
      <c r="GZ11" s="141"/>
      <c r="HA11" s="141"/>
      <c r="HB11" s="142">
        <f>IFERROR(ROUND(((Calculations!BV11/185)*'Character Creation'!$Z$18)*GT11,2),"")</f>
        <v>1.69</v>
      </c>
      <c r="HC11" s="142"/>
      <c r="HD11" s="142"/>
      <c r="HE11" s="142"/>
      <c r="HF11" s="142"/>
      <c r="HG11" s="142"/>
      <c r="HH11" s="142"/>
      <c r="HI11" s="142"/>
      <c r="HJ11" s="142">
        <f>IFERROR(Calculations!BS11+IQ11+IX11,"")</f>
        <v>30</v>
      </c>
      <c r="HK11" s="142"/>
      <c r="HL11" s="142"/>
      <c r="HM11" s="142"/>
      <c r="HN11" s="142"/>
      <c r="HO11" s="142"/>
      <c r="HP11" s="142"/>
      <c r="HQ11" s="142"/>
      <c r="HR11" s="142">
        <f t="shared" si="0"/>
        <v>0</v>
      </c>
      <c r="HS11" s="142"/>
      <c r="HT11" s="142"/>
      <c r="HU11" s="142"/>
      <c r="HV11" s="142"/>
      <c r="HW11" s="142"/>
      <c r="HX11" s="142"/>
      <c r="HY11" s="142"/>
      <c r="HZ11" s="142" t="str">
        <f>IFERROR(Calculations!BX11,"")</f>
        <v>$1.15</v>
      </c>
      <c r="IA11" s="142"/>
      <c r="IB11" s="142"/>
      <c r="IC11" s="142"/>
      <c r="ID11" s="142"/>
      <c r="IE11" s="142"/>
      <c r="IF11" s="142"/>
      <c r="IG11" s="142"/>
      <c r="IH11" s="142"/>
      <c r="II11" s="142"/>
      <c r="IJ11" s="142">
        <f>IFERROR(Calculations!BR11+IX11,"")</f>
        <v>0</v>
      </c>
      <c r="IK11" s="142"/>
      <c r="IL11" s="142"/>
      <c r="IM11" s="142"/>
      <c r="IN11" s="142"/>
      <c r="IO11" s="142"/>
      <c r="IP11" s="142"/>
      <c r="IQ11" s="141">
        <v>0</v>
      </c>
      <c r="IR11" s="141"/>
      <c r="IS11" s="141"/>
      <c r="IT11" s="141"/>
      <c r="IU11" s="141"/>
      <c r="IV11" s="141"/>
      <c r="IW11" s="141"/>
      <c r="IX11" s="141">
        <v>0</v>
      </c>
      <c r="IY11" s="141"/>
      <c r="IZ11" s="141"/>
      <c r="JA11" s="141"/>
      <c r="JB11" s="141"/>
      <c r="JC11" s="141"/>
      <c r="JD11" s="141"/>
      <c r="JE11" s="141"/>
      <c r="JF11" s="142"/>
      <c r="JG11" s="142"/>
      <c r="JH11" s="142"/>
      <c r="JI11" s="142"/>
      <c r="JJ11" s="142"/>
      <c r="JK11" s="143" t="str">
        <f>Calculations!AS11</f>
        <v>Heavy Cloth</v>
      </c>
      <c r="JL11" s="143"/>
      <c r="JM11" s="143"/>
      <c r="JN11" s="143"/>
      <c r="JO11" s="143"/>
      <c r="JP11" s="143"/>
      <c r="JQ11" s="143"/>
      <c r="JR11" s="143"/>
      <c r="JS11" s="143"/>
      <c r="JT11" s="143"/>
      <c r="JU11" s="143"/>
      <c r="JV11" s="143"/>
      <c r="JW11" s="143"/>
      <c r="JX11" s="143"/>
      <c r="JY11" s="143"/>
      <c r="JZ11" s="143"/>
      <c r="KA11" s="143"/>
      <c r="KB11" s="143"/>
      <c r="KC11" s="143" t="str">
        <f>Calculations!AW11</f>
        <v>Heavy Cloth</v>
      </c>
      <c r="KD11" s="143"/>
      <c r="KE11" s="143"/>
      <c r="KF11" s="143"/>
      <c r="KG11" s="143"/>
      <c r="KH11" s="143"/>
      <c r="KI11" s="143"/>
      <c r="KJ11" s="143"/>
      <c r="KK11" s="143"/>
      <c r="KL11" s="143"/>
      <c r="KM11" s="143"/>
      <c r="KN11" s="143"/>
      <c r="KO11" s="143"/>
      <c r="KP11" s="143"/>
      <c r="KQ11" s="143"/>
      <c r="KR11" s="143"/>
      <c r="KS11" s="143"/>
      <c r="KT11" s="143"/>
      <c r="KU11" s="144"/>
      <c r="KV11" s="144"/>
      <c r="KW11" s="144"/>
      <c r="KX11" s="144"/>
      <c r="KY11" s="144"/>
      <c r="KZ11" s="144"/>
      <c r="LA11" s="144"/>
      <c r="LB11" s="144"/>
      <c r="LC11" s="144"/>
      <c r="LD11" s="144"/>
      <c r="LE11" s="144"/>
      <c r="LF11" s="144"/>
      <c r="LG11" s="144"/>
      <c r="LH11" s="144"/>
      <c r="LI11" s="144"/>
      <c r="LJ11" s="144"/>
      <c r="LK11" s="144"/>
      <c r="LL11" s="144"/>
      <c r="LM11" s="144"/>
      <c r="LN11" s="144"/>
      <c r="LO11" s="144"/>
      <c r="LP11" s="144"/>
      <c r="LQ11" s="144"/>
      <c r="LR11" s="144"/>
      <c r="LS11" s="144"/>
      <c r="LT11" s="144"/>
      <c r="LU11" s="144"/>
      <c r="LV11" s="144"/>
      <c r="LW11" s="144"/>
      <c r="LX11" s="144"/>
      <c r="LY11" s="144"/>
      <c r="LZ11" s="144"/>
      <c r="MA11" s="144"/>
      <c r="MB11" s="144"/>
      <c r="MC11" s="144"/>
      <c r="MD11" s="144"/>
      <c r="ME11" s="144"/>
      <c r="MF11" s="144"/>
      <c r="MG11" s="144"/>
      <c r="MH11" s="144"/>
      <c r="MI11" s="144"/>
      <c r="MJ11" s="144"/>
      <c r="MK11" s="144"/>
      <c r="ML11" s="144"/>
      <c r="MM11" s="144"/>
      <c r="MN11" s="144"/>
      <c r="MO11" s="144"/>
      <c r="MP11" s="144"/>
      <c r="MQ11" s="144"/>
      <c r="MR11" s="144"/>
      <c r="MS11" s="144"/>
      <c r="MT11" s="144"/>
      <c r="MU11" s="144"/>
      <c r="MV11" s="144"/>
      <c r="MW11" s="144"/>
      <c r="MX11" s="144"/>
      <c r="MY11" s="144"/>
      <c r="MZ11" s="145"/>
      <c r="NB11" s="144" t="s">
        <v>147</v>
      </c>
      <c r="NC11" s="144"/>
      <c r="ND11" s="144"/>
      <c r="NE11" s="144"/>
      <c r="NF11" s="144"/>
      <c r="NG11" s="144"/>
      <c r="NH11" s="144"/>
      <c r="NI11" s="144"/>
      <c r="NJ11" s="144"/>
      <c r="NK11" s="144"/>
      <c r="NL11" s="144"/>
      <c r="NM11" s="144"/>
      <c r="NN11" s="144"/>
      <c r="NO11" s="144"/>
      <c r="NP11" s="144"/>
      <c r="NQ11" s="144"/>
      <c r="NR11" s="144"/>
      <c r="NS11" s="144"/>
      <c r="NT11" s="144"/>
      <c r="NU11" s="144"/>
      <c r="NV11" s="144"/>
      <c r="NW11" s="144"/>
      <c r="NX11" s="144"/>
      <c r="NY11" s="144"/>
      <c r="NZ11" s="144"/>
      <c r="OA11" s="144"/>
      <c r="OB11" s="144"/>
      <c r="OC11" s="144"/>
      <c r="OD11" s="144"/>
      <c r="OE11" s="144"/>
      <c r="OF11" s="144"/>
      <c r="OG11" s="129" t="s">
        <v>133</v>
      </c>
      <c r="OH11" s="129"/>
      <c r="OI11" s="129"/>
      <c r="OJ11" s="129"/>
      <c r="OK11" s="129" t="s">
        <v>148</v>
      </c>
      <c r="OL11" s="129"/>
      <c r="OM11" s="129"/>
      <c r="ON11" s="129"/>
      <c r="OO11" s="129"/>
      <c r="OP11" s="129" t="s">
        <v>83</v>
      </c>
      <c r="OQ11" s="129"/>
      <c r="OR11" s="129"/>
      <c r="OS11" s="129"/>
      <c r="OT11" s="129"/>
      <c r="OU11" s="129"/>
      <c r="OV11" s="129" t="s">
        <v>37</v>
      </c>
      <c r="OW11" s="129"/>
      <c r="OX11" s="129"/>
      <c r="OY11" s="129"/>
      <c r="OZ11" s="129"/>
      <c r="PA11" s="129"/>
      <c r="PB11" s="129" t="s">
        <v>49</v>
      </c>
      <c r="PC11" s="129"/>
      <c r="PD11" s="129"/>
      <c r="PE11" s="129"/>
      <c r="PF11" s="129"/>
      <c r="PG11" s="129"/>
      <c r="PH11" s="129" t="s">
        <v>149</v>
      </c>
      <c r="PI11" s="129"/>
      <c r="PJ11" s="129"/>
      <c r="PK11" s="129"/>
      <c r="PL11" s="129"/>
      <c r="PM11" s="129"/>
      <c r="PN11" s="129"/>
      <c r="PO11" s="129" t="s">
        <v>150</v>
      </c>
      <c r="PP11" s="129"/>
      <c r="PQ11" s="129"/>
      <c r="PR11" s="129"/>
      <c r="PS11" s="129"/>
      <c r="PT11" s="129"/>
      <c r="PU11" s="129"/>
      <c r="PV11" s="129" t="s">
        <v>151</v>
      </c>
      <c r="PW11" s="129"/>
      <c r="PX11" s="129"/>
      <c r="PY11" s="129"/>
      <c r="PZ11" s="129"/>
      <c r="QA11" s="129"/>
      <c r="QB11" s="129"/>
      <c r="QC11" s="129" t="s">
        <v>37</v>
      </c>
      <c r="QD11" s="129"/>
      <c r="QE11" s="129"/>
      <c r="QF11" s="129"/>
      <c r="QG11" s="129"/>
      <c r="QH11" s="129"/>
      <c r="QI11" s="129"/>
      <c r="QJ11" s="129" t="s">
        <v>40</v>
      </c>
      <c r="QK11" s="129"/>
      <c r="QL11" s="129"/>
      <c r="QM11" s="129"/>
      <c r="QN11" s="129"/>
      <c r="QO11" s="129"/>
      <c r="QP11" s="129"/>
      <c r="ABN11" s="128" t="s">
        <v>178</v>
      </c>
      <c r="ABO11" s="128"/>
      <c r="ABP11" s="128"/>
      <c r="ABQ11" s="128"/>
      <c r="ABR11" s="128"/>
      <c r="ABS11" s="128"/>
      <c r="ABT11" s="128"/>
      <c r="ABU11" s="128"/>
      <c r="ABV11" s="128"/>
      <c r="ABW11" s="128"/>
      <c r="ABX11" s="128"/>
      <c r="ABY11" s="128"/>
      <c r="ABZ11" s="128"/>
      <c r="ACA11" s="128"/>
      <c r="ACB11" s="128"/>
      <c r="ACC11" s="128"/>
      <c r="ACD11" s="128"/>
      <c r="ACE11" s="128"/>
      <c r="ACF11" s="128"/>
      <c r="ACG11" s="128"/>
      <c r="ACH11" s="128"/>
      <c r="ACI11" s="128"/>
      <c r="ACJ11" s="128"/>
      <c r="ACK11" s="128"/>
      <c r="ACL11" s="128"/>
      <c r="ACM11" s="128"/>
      <c r="ACN11" s="128"/>
      <c r="ACO11" s="128"/>
      <c r="ACP11" s="128"/>
      <c r="ACQ11" s="128"/>
      <c r="ACR11" s="128"/>
      <c r="ACS11" s="129"/>
      <c r="ACT11" s="129"/>
      <c r="ACU11" s="129"/>
      <c r="ACV11" s="129"/>
      <c r="ACW11" s="129"/>
      <c r="ACX11" s="129"/>
      <c r="ACY11" s="129"/>
      <c r="ACZ11" s="129"/>
      <c r="ADA11" s="129"/>
      <c r="ADB11" s="129"/>
      <c r="ADC11" s="129"/>
      <c r="ADD11" s="129"/>
      <c r="ADE11" s="129"/>
      <c r="ADF11" s="129"/>
      <c r="ADG11" s="129"/>
      <c r="ADH11" s="129"/>
      <c r="ADI11" s="129"/>
      <c r="ADJ11" s="129"/>
      <c r="ADK11" s="129"/>
      <c r="ADL11" s="129"/>
      <c r="ADM11" s="129"/>
      <c r="ADN11" s="128"/>
      <c r="ADO11" s="128"/>
      <c r="ADP11" s="128"/>
      <c r="ADQ11" s="128"/>
      <c r="ADR11" s="128"/>
      <c r="ADS11" s="128"/>
      <c r="ADT11" s="129"/>
      <c r="ADU11" s="129"/>
      <c r="ADV11" s="129"/>
      <c r="ADW11" s="129"/>
      <c r="ADX11" s="129"/>
      <c r="ADY11" s="129"/>
      <c r="ADZ11" s="129"/>
      <c r="AEA11" s="129"/>
      <c r="AEB11" s="129"/>
      <c r="AEC11" s="129"/>
      <c r="AED11" s="129"/>
      <c r="AEE11" s="129"/>
      <c r="AEF11" s="129"/>
      <c r="AEG11" s="129"/>
      <c r="AEH11" s="129"/>
      <c r="AEI11" s="129"/>
      <c r="AEJ11" s="129"/>
      <c r="AEK11" s="129"/>
      <c r="AEL11" s="129"/>
      <c r="AEM11" s="129"/>
      <c r="AEN11" s="129"/>
      <c r="AEO11" s="129"/>
      <c r="AEP11" s="129"/>
      <c r="AEQ11" s="129"/>
      <c r="AER11" s="129"/>
      <c r="AES11" s="129"/>
      <c r="AET11" s="129"/>
      <c r="AEU11" s="129"/>
      <c r="AEV11" s="128"/>
      <c r="AEW11" s="128"/>
      <c r="AEX11" s="128"/>
      <c r="AEY11" s="128"/>
      <c r="AEZ11" s="128"/>
      <c r="AFA11" s="128"/>
      <c r="AFB11" s="128"/>
      <c r="AIT11" s="128" t="s">
        <v>196</v>
      </c>
      <c r="AIU11" s="128"/>
      <c r="AIV11" s="128"/>
      <c r="AIW11" s="128"/>
      <c r="AIX11" s="128"/>
      <c r="AIY11" s="128"/>
      <c r="AIZ11" s="128"/>
      <c r="AJA11" s="128"/>
      <c r="AJB11" s="128"/>
      <c r="AJC11" s="128"/>
      <c r="AJD11" s="128"/>
      <c r="AJE11" s="128"/>
      <c r="AJF11" s="128"/>
      <c r="AJG11" s="128"/>
      <c r="AJH11" s="128"/>
      <c r="AJI11" s="128"/>
      <c r="AJJ11" s="128"/>
      <c r="AJK11" s="128"/>
      <c r="AJL11" s="128"/>
      <c r="AJM11" s="128"/>
      <c r="AJN11" s="128"/>
      <c r="AJO11" s="128"/>
      <c r="AJP11" s="128"/>
      <c r="AJQ11" s="128"/>
      <c r="AJR11" s="128"/>
      <c r="AJS11" s="128"/>
      <c r="AJT11" s="128"/>
      <c r="AJU11" s="128"/>
      <c r="AJV11" s="128"/>
      <c r="AJW11" s="128"/>
      <c r="AJX11" s="128"/>
      <c r="AJY11" s="129"/>
      <c r="AJZ11" s="129"/>
      <c r="AKA11" s="129"/>
      <c r="AKB11" s="129"/>
      <c r="AKC11" s="129"/>
      <c r="AKD11" s="129"/>
      <c r="AKE11" s="129"/>
      <c r="AKF11" s="129"/>
      <c r="AKG11" s="129"/>
      <c r="AKH11" s="129"/>
      <c r="AKI11" s="129"/>
      <c r="AKJ11" s="129"/>
      <c r="AKK11" s="129"/>
      <c r="AKL11" s="129"/>
      <c r="AKM11" s="129"/>
      <c r="AKN11" s="129"/>
      <c r="AKO11" s="129"/>
      <c r="AKP11" s="129"/>
      <c r="AKQ11" s="129"/>
      <c r="AKR11" s="129"/>
      <c r="AKS11" s="129"/>
      <c r="AKT11" s="128"/>
      <c r="AKU11" s="128"/>
      <c r="AKV11" s="128"/>
      <c r="AKW11" s="128"/>
      <c r="AKX11" s="128"/>
      <c r="AKY11" s="128"/>
      <c r="AKZ11" s="129"/>
      <c r="ALA11" s="129"/>
      <c r="ALB11" s="129"/>
      <c r="ALC11" s="129"/>
      <c r="ALD11" s="129"/>
      <c r="ALE11" s="129"/>
      <c r="ALF11" s="129"/>
      <c r="ALG11" s="129"/>
      <c r="ALH11" s="129"/>
      <c r="ALI11" s="129"/>
      <c r="ALJ11" s="129"/>
      <c r="ALK11" s="129"/>
      <c r="ALL11" s="129"/>
      <c r="ALM11" s="129"/>
      <c r="ALN11" s="129"/>
      <c r="ALO11" s="129"/>
      <c r="ALP11" s="129"/>
      <c r="ALQ11" s="129"/>
      <c r="ALR11" s="129"/>
      <c r="ALS11" s="129"/>
      <c r="ALT11" s="129"/>
      <c r="ALU11" s="129"/>
      <c r="ALV11" s="129"/>
      <c r="ALW11" s="129"/>
      <c r="ALX11" s="129"/>
      <c r="ALY11" s="129"/>
      <c r="ALZ11" s="129"/>
      <c r="AMA11" s="129"/>
      <c r="AMB11" s="128"/>
      <c r="AMC11" s="128"/>
      <c r="AMD11" s="128"/>
      <c r="AME11" s="128"/>
      <c r="AMF11" s="128"/>
      <c r="AMG11" s="128"/>
      <c r="AMH11" s="128"/>
      <c r="AMJ11" s="128" t="s">
        <v>225</v>
      </c>
      <c r="AMK11" s="128"/>
      <c r="AML11" s="128"/>
      <c r="AMM11" s="128"/>
      <c r="AMN11" s="128"/>
      <c r="AMO11" s="128"/>
      <c r="AMP11" s="128"/>
      <c r="AMQ11" s="128"/>
      <c r="AMR11" s="128"/>
      <c r="AMS11" s="128"/>
      <c r="AMT11" s="128"/>
      <c r="AMU11" s="128"/>
      <c r="AMV11" s="128"/>
      <c r="AMW11" s="128"/>
      <c r="AMX11" s="128"/>
      <c r="AMY11" s="128"/>
      <c r="AMZ11" s="128"/>
      <c r="ANA11" s="128"/>
      <c r="ANB11" s="128"/>
      <c r="ANC11" s="128"/>
      <c r="AND11" s="128"/>
      <c r="ANE11" s="128"/>
      <c r="ANF11" s="128"/>
      <c r="ANG11" s="128"/>
      <c r="ANH11" s="128"/>
      <c r="ANI11" s="128"/>
      <c r="ANJ11" s="128"/>
      <c r="ANK11" s="128"/>
      <c r="ANL11" s="128"/>
      <c r="ANM11" s="128"/>
      <c r="ANN11" s="128"/>
      <c r="ANO11" s="129"/>
      <c r="ANP11" s="129"/>
      <c r="ANQ11" s="129"/>
      <c r="ANR11" s="129"/>
      <c r="ANS11" s="129"/>
      <c r="ANT11" s="129"/>
      <c r="ANU11" s="129"/>
      <c r="ANV11" s="129"/>
      <c r="ANW11" s="129"/>
      <c r="ANX11" s="129"/>
      <c r="ANY11" s="129"/>
      <c r="ANZ11" s="129"/>
      <c r="AOA11" s="129"/>
      <c r="AOB11" s="129"/>
      <c r="AOC11" s="129"/>
      <c r="AOD11" s="129"/>
      <c r="AOE11" s="129"/>
      <c r="AOF11" s="129"/>
      <c r="AOG11" s="129"/>
      <c r="AOH11" s="129"/>
      <c r="AOI11" s="129"/>
      <c r="AOJ11" s="128"/>
      <c r="AOK11" s="128"/>
      <c r="AOL11" s="128"/>
      <c r="AOM11" s="128"/>
      <c r="AON11" s="128"/>
      <c r="AOO11" s="128"/>
      <c r="AOP11" s="129"/>
      <c r="AOQ11" s="129"/>
      <c r="AOR11" s="129"/>
      <c r="AOS11" s="129"/>
      <c r="AOT11" s="129"/>
      <c r="AOU11" s="129"/>
      <c r="AOV11" s="129"/>
      <c r="AOW11" s="129"/>
      <c r="AOX11" s="129"/>
      <c r="AOY11" s="129"/>
      <c r="AOZ11" s="129"/>
      <c r="APA11" s="129"/>
      <c r="APB11" s="129"/>
      <c r="APC11" s="129"/>
      <c r="APD11" s="129"/>
      <c r="APE11" s="129"/>
      <c r="APF11" s="129"/>
      <c r="APG11" s="129"/>
      <c r="APH11" s="129"/>
      <c r="API11" s="129"/>
      <c r="APJ11" s="129"/>
      <c r="APK11" s="129"/>
      <c r="APL11" s="129"/>
      <c r="APM11" s="129"/>
      <c r="APN11" s="129"/>
      <c r="APO11" s="129"/>
      <c r="APP11" s="129"/>
      <c r="APQ11" s="129"/>
      <c r="APR11" s="128"/>
      <c r="APS11" s="128"/>
      <c r="APT11" s="128"/>
      <c r="APU11" s="128"/>
      <c r="APV11" s="128"/>
      <c r="APW11" s="128"/>
      <c r="APX11" s="128"/>
      <c r="APZ11" s="128" t="s">
        <v>586</v>
      </c>
      <c r="AQA11" s="128"/>
      <c r="AQB11" s="128"/>
      <c r="AQC11" s="128"/>
      <c r="AQD11" s="128"/>
      <c r="AQE11" s="128"/>
      <c r="AQF11" s="128"/>
      <c r="AQG11" s="128"/>
      <c r="AQH11" s="128"/>
      <c r="AQI11" s="128"/>
      <c r="AQJ11" s="128"/>
      <c r="AQK11" s="128"/>
      <c r="AQL11" s="128"/>
      <c r="AQM11" s="128"/>
      <c r="AQN11" s="128"/>
      <c r="AQO11" s="128"/>
      <c r="AQP11" s="128"/>
      <c r="AQQ11" s="128"/>
      <c r="AQR11" s="128"/>
      <c r="AQS11" s="128"/>
      <c r="AQT11" s="128"/>
      <c r="AQU11" s="128"/>
      <c r="AQV11" s="128"/>
      <c r="AQW11" s="128"/>
      <c r="AQX11" s="128"/>
      <c r="AQY11" s="128"/>
      <c r="AQZ11" s="128"/>
      <c r="ARA11" s="128"/>
      <c r="ARB11" s="128"/>
      <c r="ARC11" s="128"/>
      <c r="ARD11" s="128"/>
      <c r="ARE11" s="129"/>
      <c r="ARF11" s="129"/>
      <c r="ARG11" s="129"/>
      <c r="ARH11" s="129"/>
      <c r="ARI11" s="129"/>
      <c r="ARJ11" s="129"/>
      <c r="ARK11" s="129"/>
      <c r="ARL11" s="129"/>
      <c r="ARM11" s="129"/>
      <c r="ARN11" s="129"/>
      <c r="ARO11" s="129"/>
      <c r="ARP11" s="129"/>
      <c r="ARQ11" s="129"/>
      <c r="ARR11" s="129"/>
      <c r="ARS11" s="129"/>
      <c r="ART11" s="129"/>
      <c r="ARU11" s="129"/>
      <c r="ARV11" s="129"/>
      <c r="ARW11" s="129"/>
      <c r="ARX11" s="129"/>
      <c r="ARY11" s="129"/>
      <c r="ARZ11" s="128"/>
      <c r="ASA11" s="128"/>
      <c r="ASB11" s="128"/>
      <c r="ASC11" s="128"/>
      <c r="ASD11" s="128"/>
      <c r="ASE11" s="128"/>
      <c r="ASF11" s="129"/>
      <c r="ASG11" s="129"/>
      <c r="ASH11" s="129"/>
      <c r="ASI11" s="129"/>
      <c r="ASJ11" s="129"/>
      <c r="ASK11" s="129"/>
      <c r="ASL11" s="129"/>
      <c r="ASM11" s="129"/>
      <c r="ASN11" s="129"/>
      <c r="ASO11" s="129"/>
      <c r="ASP11" s="129"/>
      <c r="ASQ11" s="129"/>
      <c r="ASR11" s="129"/>
      <c r="ASS11" s="129"/>
      <c r="AST11" s="129"/>
      <c r="ASU11" s="129"/>
      <c r="ASV11" s="129"/>
      <c r="ASW11" s="129"/>
      <c r="ASX11" s="129"/>
      <c r="ASY11" s="129"/>
      <c r="ASZ11" s="129"/>
      <c r="ATA11" s="129"/>
      <c r="ATB11" s="129"/>
      <c r="ATC11" s="129"/>
      <c r="ATD11" s="129"/>
      <c r="ATE11" s="129"/>
      <c r="ATF11" s="129"/>
      <c r="ATG11" s="129"/>
      <c r="ATH11" s="128"/>
      <c r="ATI11" s="128"/>
      <c r="ATJ11" s="128"/>
      <c r="ATK11" s="128"/>
      <c r="ATL11" s="128"/>
      <c r="ATM11" s="128"/>
      <c r="ATN11" s="128"/>
      <c r="AXF11" s="128" t="s">
        <v>268</v>
      </c>
      <c r="AXG11" s="128"/>
      <c r="AXH11" s="128"/>
      <c r="AXI11" s="128"/>
      <c r="AXJ11" s="128"/>
      <c r="AXK11" s="128"/>
      <c r="AXL11" s="128"/>
      <c r="AXM11" s="128"/>
      <c r="AXN11" s="128"/>
      <c r="AXO11" s="128"/>
      <c r="AXP11" s="128"/>
      <c r="AXQ11" s="128"/>
      <c r="AXR11" s="128"/>
      <c r="AXS11" s="128"/>
      <c r="AXT11" s="128"/>
      <c r="AXU11" s="128"/>
      <c r="AXV11" s="128"/>
      <c r="AXW11" s="128"/>
      <c r="AXX11" s="128"/>
      <c r="AXY11" s="128"/>
      <c r="AXZ11" s="128"/>
      <c r="AYA11" s="128"/>
      <c r="AYB11" s="128"/>
      <c r="AYC11" s="128"/>
      <c r="AYD11" s="128"/>
      <c r="AYE11" s="128"/>
      <c r="AYF11" s="128"/>
      <c r="AYG11" s="128"/>
      <c r="AYH11" s="128"/>
      <c r="AYI11" s="128"/>
      <c r="AYJ11" s="128"/>
      <c r="AYK11" s="129"/>
      <c r="AYL11" s="129"/>
      <c r="AYM11" s="129"/>
      <c r="AYN11" s="129"/>
      <c r="AYO11" s="129"/>
      <c r="AYP11" s="129"/>
      <c r="AYQ11" s="129"/>
      <c r="AYR11" s="129"/>
      <c r="AYS11" s="129"/>
      <c r="AYT11" s="129"/>
      <c r="AYU11" s="129"/>
      <c r="AYV11" s="129"/>
      <c r="AYW11" s="129"/>
      <c r="AYX11" s="129"/>
      <c r="AYY11" s="129"/>
      <c r="AYZ11" s="129"/>
      <c r="AZA11" s="129"/>
      <c r="AZB11" s="129"/>
      <c r="AZC11" s="129"/>
      <c r="AZD11" s="129"/>
      <c r="AZE11" s="129"/>
      <c r="AZF11" s="128"/>
      <c r="AZG11" s="128"/>
      <c r="AZH11" s="128"/>
      <c r="AZI11" s="128"/>
      <c r="AZJ11" s="128"/>
      <c r="AZK11" s="128"/>
      <c r="AZL11" s="129"/>
      <c r="AZM11" s="129"/>
      <c r="AZN11" s="129"/>
      <c r="AZO11" s="129"/>
      <c r="AZP11" s="129"/>
      <c r="AZQ11" s="129"/>
      <c r="AZR11" s="129"/>
      <c r="AZS11" s="129"/>
      <c r="AZT11" s="129"/>
      <c r="AZU11" s="129"/>
      <c r="AZV11" s="129"/>
      <c r="AZW11" s="129"/>
      <c r="AZX11" s="129"/>
      <c r="AZY11" s="129"/>
      <c r="AZZ11" s="129"/>
      <c r="BAA11" s="129"/>
      <c r="BAB11" s="129"/>
      <c r="BAC11" s="129"/>
      <c r="BAD11" s="129"/>
      <c r="BAE11" s="129"/>
      <c r="BAF11" s="129"/>
      <c r="BAG11" s="129"/>
      <c r="BAH11" s="129"/>
      <c r="BAI11" s="129"/>
      <c r="BAJ11" s="129"/>
      <c r="BAK11" s="129"/>
      <c r="BAL11" s="129"/>
      <c r="BAM11" s="129"/>
      <c r="BAN11" s="128"/>
      <c r="BAO11" s="128"/>
      <c r="BAP11" s="128"/>
      <c r="BAQ11" s="128"/>
      <c r="BAR11" s="128"/>
      <c r="BAS11" s="128"/>
      <c r="BAT11" s="128"/>
      <c r="BAV11" s="128" t="s">
        <v>288</v>
      </c>
      <c r="BAW11" s="128"/>
      <c r="BAX11" s="128"/>
      <c r="BAY11" s="128"/>
      <c r="BAZ11" s="128"/>
      <c r="BBA11" s="128"/>
      <c r="BBB11" s="128"/>
      <c r="BBC11" s="128"/>
      <c r="BBD11" s="128"/>
      <c r="BBE11" s="128"/>
      <c r="BBF11" s="128"/>
      <c r="BBG11" s="128"/>
      <c r="BBH11" s="128"/>
      <c r="BBI11" s="128"/>
      <c r="BBJ11" s="128"/>
      <c r="BBK11" s="128"/>
      <c r="BBL11" s="128"/>
      <c r="BBM11" s="128"/>
      <c r="BBN11" s="128"/>
      <c r="BBO11" s="128"/>
      <c r="BBP11" s="128"/>
      <c r="BBQ11" s="128"/>
      <c r="BBR11" s="128"/>
      <c r="BBS11" s="128"/>
      <c r="BBT11" s="128"/>
      <c r="BBU11" s="128"/>
      <c r="BBV11" s="128"/>
      <c r="BBW11" s="128"/>
      <c r="BBX11" s="128"/>
      <c r="BBY11" s="128"/>
      <c r="BBZ11" s="128"/>
      <c r="BCA11" s="129"/>
      <c r="BCB11" s="129"/>
      <c r="BCC11" s="129"/>
      <c r="BCD11" s="129"/>
      <c r="BCE11" s="129"/>
      <c r="BCF11" s="129"/>
      <c r="BCG11" s="129"/>
      <c r="BCH11" s="129"/>
      <c r="BCI11" s="129"/>
      <c r="BCJ11" s="129"/>
      <c r="BCK11" s="129"/>
      <c r="BCL11" s="129"/>
      <c r="BCM11" s="129"/>
      <c r="BCN11" s="129"/>
      <c r="BCO11" s="129"/>
      <c r="BCP11" s="129"/>
      <c r="BCQ11" s="129"/>
      <c r="BCR11" s="129"/>
      <c r="BCS11" s="129"/>
      <c r="BCT11" s="129"/>
      <c r="BCU11" s="129"/>
      <c r="BCV11" s="128"/>
      <c r="BCW11" s="128"/>
      <c r="BCX11" s="128"/>
      <c r="BCY11" s="128"/>
      <c r="BCZ11" s="128"/>
      <c r="BDA11" s="128"/>
      <c r="BDB11" s="129"/>
      <c r="BDC11" s="129"/>
      <c r="BDD11" s="129"/>
      <c r="BDE11" s="129"/>
      <c r="BDF11" s="129"/>
      <c r="BDG11" s="129"/>
      <c r="BDH11" s="129"/>
      <c r="BDI11" s="129"/>
      <c r="BDJ11" s="129"/>
      <c r="BDK11" s="129"/>
      <c r="BDL11" s="129"/>
      <c r="BDM11" s="129"/>
      <c r="BDN11" s="129"/>
      <c r="BDO11" s="129"/>
      <c r="BDP11" s="129"/>
      <c r="BDQ11" s="129"/>
      <c r="BDR11" s="129"/>
      <c r="BDS11" s="129"/>
      <c r="BDT11" s="129"/>
      <c r="BDU11" s="129"/>
      <c r="BDV11" s="129"/>
      <c r="BDW11" s="129"/>
      <c r="BDX11" s="129"/>
      <c r="BDY11" s="129"/>
      <c r="BDZ11" s="129"/>
      <c r="BEA11" s="129"/>
      <c r="BEB11" s="129"/>
      <c r="BEC11" s="129"/>
      <c r="BED11" s="128"/>
      <c r="BEE11" s="128"/>
      <c r="BEF11" s="128"/>
      <c r="BEG11" s="128"/>
      <c r="BEH11" s="128"/>
      <c r="BEI11" s="128"/>
      <c r="BEJ11" s="128"/>
      <c r="BLR11" s="128" t="s">
        <v>322</v>
      </c>
      <c r="BLS11" s="128"/>
      <c r="BLT11" s="128"/>
      <c r="BLU11" s="128"/>
      <c r="BLV11" s="128"/>
      <c r="BLW11" s="128"/>
      <c r="BLX11" s="128"/>
      <c r="BLY11" s="128"/>
      <c r="BLZ11" s="128"/>
      <c r="BMA11" s="128"/>
      <c r="BMB11" s="128"/>
      <c r="BMC11" s="128"/>
      <c r="BMD11" s="128"/>
      <c r="BME11" s="128"/>
      <c r="BMF11" s="128"/>
      <c r="BMG11" s="128"/>
      <c r="BMH11" s="128"/>
      <c r="BMI11" s="128"/>
      <c r="BMJ11" s="128"/>
      <c r="BMK11" s="128"/>
      <c r="BML11" s="128"/>
      <c r="BMM11" s="128"/>
      <c r="BMN11" s="128"/>
      <c r="BMO11" s="128"/>
      <c r="BMP11" s="128"/>
      <c r="BMQ11" s="128"/>
      <c r="BMR11" s="128"/>
      <c r="BMS11" s="128"/>
      <c r="BMT11" s="128"/>
      <c r="BMU11" s="128"/>
      <c r="BMV11" s="128"/>
      <c r="BMW11" s="129"/>
      <c r="BMX11" s="129"/>
      <c r="BMY11" s="129"/>
      <c r="BMZ11" s="129"/>
      <c r="BNA11" s="129"/>
      <c r="BNB11" s="129"/>
      <c r="BNC11" s="129"/>
      <c r="BND11" s="129"/>
      <c r="BNE11" s="129"/>
      <c r="BNF11" s="129"/>
      <c r="BNG11" s="129"/>
      <c r="BNH11" s="129"/>
      <c r="BNI11" s="129"/>
      <c r="BNJ11" s="129"/>
      <c r="BNK11" s="129"/>
      <c r="BNL11" s="129"/>
      <c r="BNM11" s="129"/>
      <c r="BNN11" s="129"/>
      <c r="BNO11" s="129"/>
      <c r="BNP11" s="129"/>
      <c r="BNQ11" s="129"/>
      <c r="BNR11" s="128"/>
      <c r="BNS11" s="128"/>
      <c r="BNT11" s="128"/>
      <c r="BNU11" s="128"/>
      <c r="BNV11" s="128"/>
      <c r="BNW11" s="128"/>
      <c r="BNX11" s="129"/>
      <c r="BNY11" s="129"/>
      <c r="BNZ11" s="129"/>
      <c r="BOA11" s="129"/>
      <c r="BOB11" s="129"/>
      <c r="BOC11" s="129"/>
      <c r="BOD11" s="129"/>
      <c r="BOE11" s="129"/>
      <c r="BOF11" s="129"/>
      <c r="BOG11" s="129"/>
      <c r="BOH11" s="129"/>
      <c r="BOI11" s="129"/>
      <c r="BOJ11" s="129"/>
      <c r="BOK11" s="129"/>
      <c r="BOL11" s="129"/>
      <c r="BOM11" s="129"/>
      <c r="BON11" s="129"/>
      <c r="BOO11" s="129"/>
      <c r="BOP11" s="129"/>
      <c r="BOQ11" s="129"/>
      <c r="BOR11" s="129"/>
      <c r="BOS11" s="129"/>
      <c r="BOT11" s="129"/>
      <c r="BOU11" s="129"/>
      <c r="BOV11" s="129"/>
      <c r="BOW11" s="129"/>
      <c r="BOX11" s="129"/>
      <c r="BOY11" s="129"/>
      <c r="BOZ11" s="128"/>
      <c r="BPA11" s="128"/>
      <c r="BPB11" s="128"/>
      <c r="BPC11" s="128"/>
      <c r="BPD11" s="128"/>
      <c r="BPE11" s="128"/>
      <c r="BPF11" s="128"/>
      <c r="CDT11" s="128" t="s">
        <v>394</v>
      </c>
      <c r="CDU11" s="128"/>
      <c r="CDV11" s="128"/>
      <c r="CDW11" s="128"/>
      <c r="CDX11" s="128"/>
      <c r="CDY11" s="128"/>
      <c r="CDZ11" s="128"/>
      <c r="CEA11" s="128"/>
      <c r="CEB11" s="128"/>
      <c r="CEC11" s="128"/>
      <c r="CED11" s="128"/>
      <c r="CEE11" s="128"/>
      <c r="CEF11" s="128"/>
      <c r="CEG11" s="128"/>
      <c r="CEH11" s="128"/>
      <c r="CEI11" s="128"/>
      <c r="CEJ11" s="128"/>
      <c r="CEK11" s="128"/>
      <c r="CEL11" s="128"/>
      <c r="CEM11" s="128"/>
      <c r="CEN11" s="128"/>
      <c r="CEO11" s="128"/>
      <c r="CEP11" s="128"/>
      <c r="CEQ11" s="128"/>
      <c r="CER11" s="128"/>
      <c r="CES11" s="128"/>
      <c r="CET11" s="128"/>
      <c r="CEU11" s="128"/>
      <c r="CEV11" s="128"/>
      <c r="CEW11" s="128"/>
      <c r="CEX11" s="128"/>
      <c r="CEY11" s="129"/>
      <c r="CEZ11" s="129"/>
      <c r="CFA11" s="129"/>
      <c r="CFB11" s="129"/>
      <c r="CFC11" s="129"/>
      <c r="CFD11" s="129"/>
      <c r="CFE11" s="129"/>
      <c r="CFF11" s="129"/>
      <c r="CFG11" s="129"/>
      <c r="CFH11" s="129"/>
      <c r="CFI11" s="129"/>
      <c r="CFJ11" s="129"/>
      <c r="CFK11" s="129"/>
      <c r="CFL11" s="129"/>
      <c r="CFM11" s="129"/>
      <c r="CFN11" s="129"/>
      <c r="CFO11" s="129"/>
      <c r="CFP11" s="129"/>
      <c r="CFQ11" s="129"/>
      <c r="CFR11" s="129"/>
      <c r="CFS11" s="129"/>
      <c r="CFT11" s="128"/>
      <c r="CFU11" s="128"/>
      <c r="CFV11" s="128"/>
      <c r="CFW11" s="128"/>
      <c r="CFX11" s="128"/>
      <c r="CFY11" s="128"/>
      <c r="CFZ11" s="129"/>
      <c r="CGA11" s="129"/>
      <c r="CGB11" s="129"/>
      <c r="CGC11" s="129"/>
      <c r="CGD11" s="129"/>
      <c r="CGE11" s="129"/>
      <c r="CGF11" s="129"/>
      <c r="CGG11" s="129"/>
      <c r="CGH11" s="129"/>
      <c r="CGI11" s="129"/>
      <c r="CGJ11" s="129"/>
      <c r="CGK11" s="129"/>
      <c r="CGL11" s="129"/>
      <c r="CGM11" s="129"/>
      <c r="CGN11" s="129"/>
      <c r="CGO11" s="129"/>
      <c r="CGP11" s="129"/>
      <c r="CGQ11" s="129"/>
      <c r="CGR11" s="129"/>
      <c r="CGS11" s="129"/>
      <c r="CGT11" s="129"/>
      <c r="CGU11" s="129"/>
      <c r="CGV11" s="129"/>
      <c r="CGW11" s="129"/>
      <c r="CGX11" s="129"/>
      <c r="CGY11" s="129"/>
      <c r="CGZ11" s="129"/>
      <c r="CHA11" s="129"/>
      <c r="CHB11" s="128"/>
      <c r="CHC11" s="128"/>
      <c r="CHD11" s="128"/>
      <c r="CHE11" s="128"/>
      <c r="CHF11" s="128"/>
      <c r="CHG11" s="128"/>
      <c r="CHH11" s="128"/>
      <c r="CHJ11" s="128" t="s">
        <v>3486</v>
      </c>
      <c r="CHK11" s="128"/>
      <c r="CHL11" s="128"/>
      <c r="CHM11" s="128"/>
      <c r="CHN11" s="128"/>
      <c r="CHO11" s="128"/>
      <c r="CHP11" s="128"/>
      <c r="CHQ11" s="128"/>
      <c r="CHR11" s="128"/>
      <c r="CHS11" s="128"/>
      <c r="CHT11" s="128"/>
      <c r="CHU11" s="128"/>
      <c r="CHV11" s="128"/>
      <c r="CHW11" s="128"/>
      <c r="CHX11" s="128"/>
      <c r="CHY11" s="128"/>
      <c r="CHZ11" s="128"/>
      <c r="CIA11" s="128"/>
      <c r="CIB11" s="128"/>
      <c r="CIC11" s="128"/>
      <c r="CID11" s="128"/>
      <c r="CIE11" s="128"/>
      <c r="CIF11" s="128"/>
      <c r="CIG11" s="128"/>
      <c r="CIH11" s="128"/>
      <c r="CII11" s="128"/>
      <c r="CIJ11" s="128"/>
      <c r="CIK11" s="128"/>
      <c r="CIL11" s="128"/>
      <c r="CIM11" s="128"/>
      <c r="CIN11" s="128"/>
      <c r="CIO11" s="129"/>
      <c r="CIP11" s="129"/>
      <c r="CIQ11" s="129"/>
      <c r="CIR11" s="129"/>
      <c r="CIS11" s="129"/>
      <c r="CIT11" s="129"/>
      <c r="CIU11" s="129"/>
      <c r="CIV11" s="129"/>
      <c r="CIW11" s="129"/>
      <c r="CIX11" s="129"/>
      <c r="CIY11" s="129"/>
      <c r="CIZ11" s="129"/>
      <c r="CJA11" s="129"/>
      <c r="CJB11" s="129"/>
      <c r="CJC11" s="129"/>
      <c r="CJD11" s="129"/>
      <c r="CJE11" s="129"/>
      <c r="CJF11" s="129"/>
      <c r="CJG11" s="129"/>
      <c r="CJH11" s="129"/>
      <c r="CJI11" s="129"/>
      <c r="CJJ11" s="128"/>
      <c r="CJK11" s="128"/>
      <c r="CJL11" s="128"/>
      <c r="CJM11" s="128"/>
      <c r="CJN11" s="128"/>
      <c r="CJO11" s="128"/>
      <c r="CJP11" s="129"/>
      <c r="CJQ11" s="129"/>
      <c r="CJR11" s="129"/>
      <c r="CJS11" s="129"/>
      <c r="CJT11" s="129"/>
      <c r="CJU11" s="129"/>
      <c r="CJV11" s="129"/>
      <c r="CJW11" s="129"/>
      <c r="CJX11" s="129"/>
      <c r="CJY11" s="129"/>
      <c r="CJZ11" s="129"/>
      <c r="CKA11" s="129"/>
      <c r="CKB11" s="129"/>
      <c r="CKC11" s="129"/>
      <c r="CKD11" s="129"/>
      <c r="CKE11" s="129"/>
      <c r="CKF11" s="129"/>
      <c r="CKG11" s="129"/>
      <c r="CKH11" s="129"/>
      <c r="CKI11" s="129"/>
      <c r="CKJ11" s="129"/>
      <c r="CKK11" s="129"/>
      <c r="CKL11" s="129"/>
      <c r="CKM11" s="129"/>
      <c r="CKN11" s="129"/>
      <c r="CKO11" s="129"/>
      <c r="CKP11" s="129"/>
      <c r="CKQ11" s="129"/>
      <c r="CKR11" s="128"/>
      <c r="CKS11" s="128"/>
      <c r="CKT11" s="128"/>
      <c r="CKU11" s="128"/>
      <c r="CKV11" s="128"/>
      <c r="CKW11" s="128"/>
      <c r="CKX11" s="128"/>
      <c r="CKZ11" s="128" t="s">
        <v>411</v>
      </c>
      <c r="CLA11" s="128"/>
      <c r="CLB11" s="128"/>
      <c r="CLC11" s="128"/>
      <c r="CLD11" s="128"/>
      <c r="CLE11" s="128"/>
      <c r="CLF11" s="128"/>
      <c r="CLG11" s="128"/>
      <c r="CLH11" s="128"/>
      <c r="CLI11" s="128"/>
      <c r="CLJ11" s="128"/>
      <c r="CLK11" s="128"/>
      <c r="CLL11" s="128"/>
      <c r="CLM11" s="128"/>
      <c r="CLN11" s="128"/>
      <c r="CLO11" s="128"/>
      <c r="CLP11" s="128"/>
      <c r="CLQ11" s="128"/>
      <c r="CLR11" s="128"/>
      <c r="CLS11" s="128"/>
      <c r="CLT11" s="128"/>
      <c r="CLU11" s="128"/>
      <c r="CLV11" s="128"/>
      <c r="CLW11" s="128"/>
      <c r="CLX11" s="128"/>
      <c r="CLY11" s="128"/>
      <c r="CLZ11" s="128"/>
      <c r="CMA11" s="128"/>
      <c r="CMB11" s="128"/>
      <c r="CMC11" s="128"/>
      <c r="CMD11" s="128"/>
      <c r="CME11" s="129"/>
      <c r="CMF11" s="129"/>
      <c r="CMG11" s="129"/>
      <c r="CMH11" s="129"/>
      <c r="CMI11" s="129"/>
      <c r="CMJ11" s="129"/>
      <c r="CMK11" s="129"/>
      <c r="CML11" s="129"/>
      <c r="CMM11" s="129"/>
      <c r="CMN11" s="129"/>
      <c r="CMO11" s="129"/>
      <c r="CMP11" s="129"/>
      <c r="CMQ11" s="129"/>
      <c r="CMR11" s="129"/>
      <c r="CMS11" s="129"/>
      <c r="CMT11" s="129"/>
      <c r="CMU11" s="129"/>
      <c r="CMV11" s="129"/>
      <c r="CMW11" s="129"/>
      <c r="CMX11" s="129"/>
      <c r="CMY11" s="129"/>
      <c r="CMZ11" s="128"/>
      <c r="CNA11" s="128"/>
      <c r="CNB11" s="128"/>
      <c r="CNC11" s="128"/>
      <c r="CND11" s="128"/>
      <c r="CNE11" s="128"/>
      <c r="CNF11" s="129"/>
      <c r="CNG11" s="129"/>
      <c r="CNH11" s="129"/>
      <c r="CNI11" s="129"/>
      <c r="CNJ11" s="129"/>
      <c r="CNK11" s="129"/>
      <c r="CNL11" s="129"/>
      <c r="CNM11" s="129"/>
      <c r="CNN11" s="129"/>
      <c r="CNO11" s="129"/>
      <c r="CNP11" s="129"/>
      <c r="CNQ11" s="129"/>
      <c r="CNR11" s="129"/>
      <c r="CNS11" s="129"/>
      <c r="CNT11" s="129"/>
      <c r="CNU11" s="129"/>
      <c r="CNV11" s="129"/>
      <c r="CNW11" s="129"/>
      <c r="CNX11" s="129"/>
      <c r="CNY11" s="129"/>
      <c r="CNZ11" s="129"/>
      <c r="COA11" s="129"/>
      <c r="COB11" s="129"/>
      <c r="COC11" s="129"/>
      <c r="COD11" s="129"/>
      <c r="COE11" s="129"/>
      <c r="COF11" s="129"/>
      <c r="COG11" s="129"/>
      <c r="COH11" s="128"/>
      <c r="COI11" s="128"/>
      <c r="COJ11" s="128"/>
      <c r="COK11" s="128"/>
      <c r="COL11" s="128"/>
      <c r="COM11" s="128"/>
      <c r="CON11" s="128"/>
      <c r="CSF11" s="128" t="s">
        <v>436</v>
      </c>
      <c r="CSG11" s="128"/>
      <c r="CSH11" s="128"/>
      <c r="CSI11" s="128"/>
      <c r="CSJ11" s="128"/>
      <c r="CSK11" s="128"/>
      <c r="CSL11" s="128"/>
      <c r="CSM11" s="128"/>
      <c r="CSN11" s="128"/>
      <c r="CSO11" s="128"/>
      <c r="CSP11" s="128"/>
      <c r="CSQ11" s="128"/>
      <c r="CSR11" s="128"/>
      <c r="CSS11" s="128"/>
      <c r="CST11" s="128"/>
      <c r="CSU11" s="128"/>
      <c r="CSV11" s="128"/>
      <c r="CSW11" s="128"/>
      <c r="CSX11" s="128"/>
      <c r="CSY11" s="128"/>
      <c r="CSZ11" s="128"/>
      <c r="CTA11" s="128"/>
      <c r="CTB11" s="128"/>
      <c r="CTC11" s="128"/>
      <c r="CTD11" s="128"/>
      <c r="CTE11" s="128"/>
      <c r="CTF11" s="128"/>
      <c r="CTG11" s="128"/>
      <c r="CTH11" s="128"/>
      <c r="CTI11" s="128"/>
      <c r="CTJ11" s="128"/>
      <c r="CTK11" s="129"/>
      <c r="CTL11" s="129"/>
      <c r="CTM11" s="129"/>
      <c r="CTN11" s="129"/>
      <c r="CTO11" s="129"/>
      <c r="CTP11" s="129"/>
      <c r="CTQ11" s="129"/>
      <c r="CTR11" s="129"/>
      <c r="CTS11" s="129"/>
      <c r="CTT11" s="129"/>
      <c r="CTU11" s="129"/>
      <c r="CTV11" s="129"/>
      <c r="CTW11" s="129"/>
      <c r="CTX11" s="129"/>
      <c r="CTY11" s="129"/>
      <c r="CTZ11" s="129"/>
      <c r="CUA11" s="129"/>
      <c r="CUB11" s="129"/>
      <c r="CUC11" s="129"/>
      <c r="CUD11" s="129"/>
      <c r="CUE11" s="129"/>
      <c r="CUF11" s="128"/>
      <c r="CUG11" s="128"/>
      <c r="CUH11" s="128"/>
      <c r="CUI11" s="128"/>
      <c r="CUJ11" s="128"/>
      <c r="CUK11" s="128"/>
      <c r="CUL11" s="129"/>
      <c r="CUM11" s="129"/>
      <c r="CUN11" s="129"/>
      <c r="CUO11" s="129"/>
      <c r="CUP11" s="129"/>
      <c r="CUQ11" s="129"/>
      <c r="CUR11" s="129"/>
      <c r="CUS11" s="129"/>
      <c r="CUT11" s="129"/>
      <c r="CUU11" s="129"/>
      <c r="CUV11" s="129"/>
      <c r="CUW11" s="129"/>
      <c r="CUX11" s="129"/>
      <c r="CUY11" s="129"/>
      <c r="CUZ11" s="129"/>
      <c r="CVA11" s="129"/>
      <c r="CVB11" s="129"/>
      <c r="CVC11" s="129"/>
      <c r="CVD11" s="129"/>
      <c r="CVE11" s="129"/>
      <c r="CVF11" s="129"/>
      <c r="CVG11" s="129"/>
      <c r="CVH11" s="129"/>
      <c r="CVI11" s="129"/>
      <c r="CVJ11" s="129"/>
      <c r="CVK11" s="129"/>
      <c r="CVL11" s="129"/>
      <c r="CVM11" s="129"/>
      <c r="CVN11" s="128"/>
      <c r="CVO11" s="128"/>
      <c r="CVP11" s="128"/>
      <c r="CVQ11" s="128"/>
      <c r="CVR11" s="128"/>
      <c r="CVS11" s="128"/>
      <c r="CVT11" s="128"/>
      <c r="CVV11" s="128" t="s">
        <v>490</v>
      </c>
      <c r="CVW11" s="128"/>
      <c r="CVX11" s="128"/>
      <c r="CVY11" s="128"/>
      <c r="CVZ11" s="128"/>
      <c r="CWA11" s="128"/>
      <c r="CWB11" s="128"/>
      <c r="CWC11" s="128"/>
      <c r="CWD11" s="128"/>
      <c r="CWE11" s="128"/>
      <c r="CWF11" s="128"/>
      <c r="CWG11" s="128"/>
      <c r="CWH11" s="128"/>
      <c r="CWI11" s="128"/>
      <c r="CWJ11" s="128"/>
      <c r="CWK11" s="128"/>
      <c r="CWL11" s="128"/>
      <c r="CWM11" s="128"/>
      <c r="CWN11" s="128"/>
      <c r="CWO11" s="128"/>
      <c r="CWP11" s="128"/>
      <c r="CWQ11" s="128"/>
      <c r="CWR11" s="128"/>
      <c r="CWS11" s="128"/>
      <c r="CWT11" s="128"/>
      <c r="CWU11" s="128"/>
      <c r="CWV11" s="128"/>
      <c r="CWW11" s="128"/>
      <c r="CWX11" s="128"/>
      <c r="CWY11" s="128"/>
      <c r="CWZ11" s="128"/>
      <c r="CXA11" s="129"/>
      <c r="CXB11" s="129"/>
      <c r="CXC11" s="129"/>
      <c r="CXD11" s="129"/>
      <c r="CXE11" s="129"/>
      <c r="CXF11" s="129"/>
      <c r="CXG11" s="129"/>
      <c r="CXH11" s="129"/>
      <c r="CXI11" s="129"/>
      <c r="CXJ11" s="129"/>
      <c r="CXK11" s="129"/>
      <c r="CXL11" s="129"/>
      <c r="CXM11" s="129"/>
      <c r="CXN11" s="129"/>
      <c r="CXO11" s="129"/>
      <c r="CXP11" s="129"/>
      <c r="CXQ11" s="129"/>
      <c r="CXR11" s="129"/>
      <c r="CXS11" s="129"/>
      <c r="CXT11" s="129"/>
      <c r="CXU11" s="129"/>
      <c r="CXV11" s="128"/>
      <c r="CXW11" s="128"/>
      <c r="CXX11" s="128"/>
      <c r="CXY11" s="128"/>
      <c r="CXZ11" s="128"/>
      <c r="CYA11" s="128"/>
      <c r="CYB11" s="129"/>
      <c r="CYC11" s="129"/>
      <c r="CYD11" s="129"/>
      <c r="CYE11" s="129"/>
      <c r="CYF11" s="129"/>
      <c r="CYG11" s="129"/>
      <c r="CYH11" s="129"/>
      <c r="CYI11" s="129"/>
      <c r="CYJ11" s="129"/>
      <c r="CYK11" s="129"/>
      <c r="CYL11" s="129"/>
      <c r="CYM11" s="129"/>
      <c r="CYN11" s="129"/>
      <c r="CYO11" s="129"/>
      <c r="CYP11" s="129"/>
      <c r="CYQ11" s="129"/>
      <c r="CYR11" s="129"/>
      <c r="CYS11" s="129"/>
      <c r="CYT11" s="129"/>
      <c r="CYU11" s="129"/>
      <c r="CYV11" s="129"/>
      <c r="CYW11" s="129"/>
      <c r="CYX11" s="129"/>
      <c r="CYY11" s="129"/>
      <c r="CYZ11" s="129"/>
      <c r="CZA11" s="129"/>
      <c r="CZB11" s="129"/>
      <c r="CZC11" s="129"/>
      <c r="CZD11" s="128"/>
      <c r="CZE11" s="128"/>
      <c r="CZF11" s="128"/>
      <c r="CZG11" s="128"/>
      <c r="CZH11" s="128"/>
      <c r="CZI11" s="128"/>
      <c r="CZJ11" s="128"/>
      <c r="CZL11" s="144" t="s">
        <v>147</v>
      </c>
      <c r="CZM11" s="144"/>
      <c r="CZN11" s="144"/>
      <c r="CZO11" s="144"/>
      <c r="CZP11" s="144"/>
      <c r="CZQ11" s="144"/>
      <c r="CZR11" s="144"/>
      <c r="CZS11" s="144"/>
      <c r="CZT11" s="144"/>
      <c r="CZU11" s="144"/>
      <c r="CZV11" s="144"/>
      <c r="CZW11" s="144"/>
      <c r="CZX11" s="144"/>
      <c r="CZY11" s="144"/>
      <c r="CZZ11" s="144"/>
      <c r="DAA11" s="144"/>
      <c r="DAB11" s="144"/>
      <c r="DAC11" s="144"/>
      <c r="DAD11" s="144"/>
      <c r="DAE11" s="144"/>
      <c r="DAF11" s="144"/>
      <c r="DAG11" s="144"/>
      <c r="DAH11" s="144"/>
      <c r="DAI11" s="144"/>
      <c r="DAJ11" s="144"/>
      <c r="DAK11" s="144"/>
      <c r="DAL11" s="144"/>
      <c r="DAM11" s="144"/>
      <c r="DAN11" s="144"/>
      <c r="DAO11" s="144"/>
      <c r="DAP11" s="144"/>
      <c r="DAQ11" s="129" t="s">
        <v>133</v>
      </c>
      <c r="DAR11" s="129"/>
      <c r="DAS11" s="129"/>
      <c r="DAT11" s="129"/>
      <c r="DAU11" s="129" t="s">
        <v>148</v>
      </c>
      <c r="DAV11" s="129"/>
      <c r="DAW11" s="129"/>
      <c r="DAX11" s="129"/>
      <c r="DAY11" s="129"/>
      <c r="DAZ11" s="129" t="s">
        <v>83</v>
      </c>
      <c r="DBA11" s="129"/>
      <c r="DBB11" s="129"/>
      <c r="DBC11" s="129"/>
      <c r="DBD11" s="129"/>
      <c r="DBE11" s="129"/>
      <c r="DBF11" s="129" t="s">
        <v>37</v>
      </c>
      <c r="DBG11" s="129"/>
      <c r="DBH11" s="129"/>
      <c r="DBI11" s="129"/>
      <c r="DBJ11" s="129"/>
      <c r="DBK11" s="129"/>
      <c r="DBL11" s="129" t="s">
        <v>49</v>
      </c>
      <c r="DBM11" s="129"/>
      <c r="DBN11" s="129"/>
      <c r="DBO11" s="129"/>
      <c r="DBP11" s="129"/>
      <c r="DBQ11" s="129"/>
      <c r="DBR11" s="129" t="s">
        <v>149</v>
      </c>
      <c r="DBS11" s="129"/>
      <c r="DBT11" s="129"/>
      <c r="DBU11" s="129"/>
      <c r="DBV11" s="129"/>
      <c r="DBW11" s="129"/>
      <c r="DBX11" s="129"/>
      <c r="DBY11" s="129" t="s">
        <v>150</v>
      </c>
      <c r="DBZ11" s="129"/>
      <c r="DCA11" s="129"/>
      <c r="DCB11" s="129"/>
      <c r="DCC11" s="129"/>
      <c r="DCD11" s="129"/>
      <c r="DCE11" s="129"/>
      <c r="DCF11" s="129" t="s">
        <v>151</v>
      </c>
      <c r="DCG11" s="129"/>
      <c r="DCH11" s="129"/>
      <c r="DCI11" s="129"/>
      <c r="DCJ11" s="129"/>
      <c r="DCK11" s="129"/>
      <c r="DCL11" s="129"/>
      <c r="DCM11" s="129" t="s">
        <v>37</v>
      </c>
      <c r="DCN11" s="129"/>
      <c r="DCO11" s="129"/>
      <c r="DCP11" s="129"/>
      <c r="DCQ11" s="129"/>
      <c r="DCR11" s="129"/>
      <c r="DCS11" s="129"/>
      <c r="DCT11" s="129" t="s">
        <v>40</v>
      </c>
      <c r="DCU11" s="129"/>
      <c r="DCV11" s="129"/>
      <c r="DCW11" s="129"/>
      <c r="DCX11" s="129"/>
      <c r="DCY11" s="129"/>
      <c r="DCZ11" s="129"/>
      <c r="DDB11" s="128" t="s">
        <v>520</v>
      </c>
      <c r="DDC11" s="128"/>
      <c r="DDD11" s="128"/>
      <c r="DDE11" s="128"/>
      <c r="DDF11" s="128"/>
      <c r="DDG11" s="128"/>
      <c r="DDH11" s="128"/>
      <c r="DDI11" s="128"/>
      <c r="DDJ11" s="128"/>
      <c r="DDK11" s="128"/>
      <c r="DDL11" s="128"/>
      <c r="DDM11" s="128"/>
      <c r="DDN11" s="128"/>
      <c r="DDO11" s="128"/>
      <c r="DDP11" s="128"/>
      <c r="DDQ11" s="128"/>
      <c r="DDR11" s="128"/>
      <c r="DDS11" s="128"/>
      <c r="DDT11" s="128"/>
      <c r="DDU11" s="128"/>
      <c r="DDV11" s="128"/>
      <c r="DDW11" s="128"/>
      <c r="DDX11" s="128"/>
      <c r="DDY11" s="128"/>
      <c r="DDZ11" s="128"/>
      <c r="DEA11" s="128"/>
      <c r="DEB11" s="128"/>
      <c r="DEC11" s="128"/>
      <c r="DED11" s="128"/>
      <c r="DEE11" s="128"/>
      <c r="DEF11" s="128"/>
      <c r="DEG11" s="129"/>
      <c r="DEH11" s="129"/>
      <c r="DEI11" s="129"/>
      <c r="DEJ11" s="129"/>
      <c r="DEK11" s="129"/>
      <c r="DEL11" s="129"/>
      <c r="DEM11" s="129"/>
      <c r="DEN11" s="129"/>
      <c r="DEO11" s="129"/>
      <c r="DEP11" s="129"/>
      <c r="DEQ11" s="129"/>
      <c r="DER11" s="129"/>
      <c r="DES11" s="129"/>
      <c r="DET11" s="129"/>
      <c r="DEU11" s="129"/>
      <c r="DEV11" s="129"/>
      <c r="DEW11" s="129"/>
      <c r="DEX11" s="129"/>
      <c r="DEY11" s="129"/>
      <c r="DEZ11" s="129"/>
      <c r="DFA11" s="129"/>
      <c r="DFB11" s="128"/>
      <c r="DFC11" s="128"/>
      <c r="DFD11" s="128"/>
      <c r="DFE11" s="128"/>
      <c r="DFF11" s="128"/>
      <c r="DFG11" s="128"/>
      <c r="DFH11" s="129"/>
      <c r="DFI11" s="129"/>
      <c r="DFJ11" s="129"/>
      <c r="DFK11" s="129"/>
      <c r="DFL11" s="129"/>
      <c r="DFM11" s="129"/>
      <c r="DFN11" s="129"/>
      <c r="DFO11" s="129"/>
      <c r="DFP11" s="129"/>
      <c r="DFQ11" s="129"/>
      <c r="DFR11" s="129"/>
      <c r="DFS11" s="129"/>
      <c r="DFT11" s="129"/>
      <c r="DFU11" s="129"/>
      <c r="DFV11" s="129"/>
      <c r="DFW11" s="129"/>
      <c r="DFX11" s="129"/>
      <c r="DFY11" s="129"/>
      <c r="DFZ11" s="129"/>
      <c r="DGA11" s="129"/>
      <c r="DGB11" s="129"/>
      <c r="DGC11" s="129"/>
      <c r="DGD11" s="129"/>
      <c r="DGE11" s="129"/>
      <c r="DGF11" s="129"/>
      <c r="DGG11" s="129"/>
      <c r="DGH11" s="129"/>
      <c r="DGI11" s="129"/>
      <c r="DGJ11" s="128"/>
      <c r="DGK11" s="128"/>
      <c r="DGL11" s="128"/>
      <c r="DGM11" s="128"/>
      <c r="DGN11" s="128"/>
      <c r="DGO11" s="128"/>
      <c r="DGP11" s="128"/>
      <c r="DGR11" s="128" t="s">
        <v>562</v>
      </c>
      <c r="DGS11" s="128"/>
      <c r="DGT11" s="128"/>
      <c r="DGU11" s="128"/>
      <c r="DGV11" s="128"/>
      <c r="DGW11" s="128"/>
      <c r="DGX11" s="128"/>
      <c r="DGY11" s="128"/>
      <c r="DGZ11" s="128"/>
      <c r="DHA11" s="128"/>
      <c r="DHB11" s="128"/>
      <c r="DHC11" s="128"/>
      <c r="DHD11" s="128"/>
      <c r="DHE11" s="128"/>
      <c r="DHF11" s="128"/>
      <c r="DHG11" s="128"/>
      <c r="DHH11" s="128"/>
      <c r="DHI11" s="128"/>
      <c r="DHJ11" s="128"/>
      <c r="DHK11" s="128"/>
      <c r="DHL11" s="128"/>
      <c r="DHM11" s="128"/>
      <c r="DHN11" s="128"/>
      <c r="DHO11" s="128"/>
      <c r="DHP11" s="128"/>
      <c r="DHQ11" s="128"/>
      <c r="DHR11" s="128"/>
      <c r="DHS11" s="128"/>
      <c r="DHT11" s="128"/>
      <c r="DHU11" s="128"/>
      <c r="DHV11" s="128"/>
      <c r="DHW11" s="129"/>
      <c r="DHX11" s="129"/>
      <c r="DHY11" s="129"/>
      <c r="DHZ11" s="129"/>
      <c r="DIA11" s="129"/>
      <c r="DIB11" s="129"/>
      <c r="DIC11" s="129"/>
      <c r="DID11" s="129"/>
      <c r="DIE11" s="129"/>
      <c r="DIF11" s="129"/>
      <c r="DIG11" s="129"/>
      <c r="DIH11" s="129"/>
      <c r="DII11" s="129"/>
      <c r="DIJ11" s="129"/>
      <c r="DIK11" s="129"/>
      <c r="DIL11" s="129"/>
      <c r="DIM11" s="129"/>
      <c r="DIN11" s="129"/>
      <c r="DIO11" s="129"/>
      <c r="DIP11" s="129"/>
      <c r="DIQ11" s="129"/>
      <c r="DIR11" s="128"/>
      <c r="DIS11" s="128"/>
      <c r="DIT11" s="128"/>
      <c r="DIU11" s="128"/>
      <c r="DIV11" s="128"/>
      <c r="DIW11" s="128"/>
      <c r="DIX11" s="129"/>
      <c r="DIY11" s="129"/>
      <c r="DIZ11" s="129"/>
      <c r="DJA11" s="129"/>
      <c r="DJB11" s="129"/>
      <c r="DJC11" s="129"/>
      <c r="DJD11" s="129"/>
      <c r="DJE11" s="129"/>
      <c r="DJF11" s="129"/>
      <c r="DJG11" s="129"/>
      <c r="DJH11" s="129"/>
      <c r="DJI11" s="129"/>
      <c r="DJJ11" s="129"/>
      <c r="DJK11" s="129"/>
      <c r="DJL11" s="129"/>
      <c r="DJM11" s="129"/>
      <c r="DJN11" s="129"/>
      <c r="DJO11" s="129"/>
      <c r="DJP11" s="129"/>
      <c r="DJQ11" s="129"/>
      <c r="DJR11" s="129"/>
      <c r="DJS11" s="129"/>
      <c r="DJT11" s="129"/>
      <c r="DJU11" s="129"/>
      <c r="DJV11" s="129"/>
      <c r="DJW11" s="129"/>
      <c r="DJX11" s="129"/>
      <c r="DJY11" s="129"/>
      <c r="DJZ11" s="128"/>
      <c r="DKA11" s="128"/>
      <c r="DKB11" s="128"/>
      <c r="DKC11" s="128"/>
      <c r="DKD11" s="128"/>
      <c r="DKE11" s="128"/>
      <c r="DKF11" s="128"/>
    </row>
    <row r="12" spans="2:2996" ht="15" customHeight="1" x14ac:dyDescent="0.25">
      <c r="B12" s="228"/>
      <c r="C12" s="229"/>
      <c r="D12" s="229"/>
      <c r="E12" s="229"/>
      <c r="F12" s="229"/>
      <c r="G12" s="229"/>
      <c r="H12" s="229"/>
      <c r="I12" s="229"/>
      <c r="J12" s="229"/>
      <c r="K12" s="229"/>
      <c r="L12" s="229"/>
      <c r="M12" s="229"/>
      <c r="N12" s="229"/>
      <c r="O12" s="229"/>
      <c r="P12" s="229"/>
      <c r="Q12" s="208" t="s">
        <v>35</v>
      </c>
      <c r="R12" s="208"/>
      <c r="S12" s="208"/>
      <c r="T12" s="208"/>
      <c r="U12" s="208"/>
      <c r="V12" s="208"/>
      <c r="W12" s="208"/>
      <c r="X12" s="208" t="s">
        <v>36</v>
      </c>
      <c r="Y12" s="208"/>
      <c r="Z12" s="208"/>
      <c r="AA12" s="208"/>
      <c r="AB12" s="208"/>
      <c r="AC12" s="208"/>
      <c r="AD12" s="208"/>
      <c r="AE12" s="208" t="s">
        <v>37</v>
      </c>
      <c r="AF12" s="208"/>
      <c r="AG12" s="208"/>
      <c r="AH12" s="208"/>
      <c r="AI12" s="208"/>
      <c r="AJ12" s="208"/>
      <c r="AK12" s="208"/>
      <c r="AL12" s="208" t="s">
        <v>38</v>
      </c>
      <c r="AM12" s="208"/>
      <c r="AN12" s="208"/>
      <c r="AO12" s="208"/>
      <c r="AP12" s="208"/>
      <c r="AQ12" s="208"/>
      <c r="AR12" s="208"/>
      <c r="AS12" s="208" t="s">
        <v>39</v>
      </c>
      <c r="AT12" s="208"/>
      <c r="AU12" s="208"/>
      <c r="AV12" s="208"/>
      <c r="AW12" s="208"/>
      <c r="AX12" s="208"/>
      <c r="AY12" s="208"/>
      <c r="AZ12" s="208" t="s">
        <v>40</v>
      </c>
      <c r="BA12" s="208"/>
      <c r="BB12" s="208"/>
      <c r="BC12" s="208"/>
      <c r="BD12" s="208"/>
      <c r="BE12" s="208"/>
      <c r="BF12" s="209"/>
      <c r="BH12" s="228"/>
      <c r="BI12" s="229"/>
      <c r="BJ12" s="229"/>
      <c r="BK12" s="229"/>
      <c r="BL12" s="229"/>
      <c r="BM12" s="229"/>
      <c r="BN12" s="229"/>
      <c r="BO12" s="229"/>
      <c r="BP12" s="229"/>
      <c r="BQ12" s="229"/>
      <c r="BR12" s="229"/>
      <c r="BS12" s="229"/>
      <c r="BT12" s="229"/>
      <c r="BU12" s="229"/>
      <c r="BV12" s="229"/>
      <c r="BW12" s="229"/>
      <c r="BX12" s="229"/>
      <c r="BY12" s="229"/>
      <c r="BZ12" s="229"/>
      <c r="CA12" s="131" t="s">
        <v>50</v>
      </c>
      <c r="CB12" s="131"/>
      <c r="CC12" s="131"/>
      <c r="CD12" s="131"/>
      <c r="CE12" s="131"/>
      <c r="CF12" s="131"/>
      <c r="CG12" s="131"/>
      <c r="CH12" s="131" t="s">
        <v>38</v>
      </c>
      <c r="CI12" s="131"/>
      <c r="CJ12" s="131"/>
      <c r="CK12" s="131"/>
      <c r="CL12" s="131"/>
      <c r="CM12" s="131"/>
      <c r="CN12" s="131"/>
      <c r="CO12" s="131" t="s">
        <v>51</v>
      </c>
      <c r="CP12" s="131"/>
      <c r="CQ12" s="131"/>
      <c r="CR12" s="131"/>
      <c r="CS12" s="131"/>
      <c r="CT12" s="131"/>
      <c r="CU12" s="131"/>
      <c r="CV12" s="131" t="s">
        <v>40</v>
      </c>
      <c r="CW12" s="131"/>
      <c r="CX12" s="131"/>
      <c r="CY12" s="131"/>
      <c r="CZ12" s="131"/>
      <c r="DA12" s="131"/>
      <c r="DB12" s="239"/>
      <c r="DC12"/>
      <c r="DD12" s="135" t="s">
        <v>122</v>
      </c>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280">
        <f>SUM(DI49:DP69)</f>
        <v>-1</v>
      </c>
      <c r="EH12" s="280"/>
      <c r="EI12" s="280"/>
      <c r="EJ12" s="280"/>
      <c r="EK12" s="280"/>
      <c r="EL12" s="280"/>
      <c r="EM12" s="280"/>
      <c r="EN12" s="280"/>
      <c r="EO12" s="280"/>
      <c r="EP12" s="280"/>
      <c r="EQ12" s="280"/>
      <c r="ER12" s="280"/>
      <c r="ES12" s="280"/>
      <c r="ET12" s="280"/>
      <c r="EU12" s="280"/>
      <c r="EV12" s="280"/>
      <c r="EW12" s="280"/>
      <c r="EX12" s="280"/>
      <c r="EY12" s="280"/>
      <c r="EZ12" s="281"/>
      <c r="FB12" s="139" t="s">
        <v>2733</v>
      </c>
      <c r="FC12" s="140"/>
      <c r="FD12" s="140"/>
      <c r="FE12" s="140"/>
      <c r="FF12" s="140"/>
      <c r="FG12" s="140"/>
      <c r="FH12" s="140"/>
      <c r="FI12" s="140"/>
      <c r="FJ12" s="140"/>
      <c r="FK12" s="140"/>
      <c r="FL12" s="140"/>
      <c r="FM12" s="140"/>
      <c r="FN12" s="140"/>
      <c r="FO12" s="140"/>
      <c r="FP12" s="140"/>
      <c r="FQ12" s="140"/>
      <c r="FR12" s="140"/>
      <c r="FS12" s="140"/>
      <c r="FT12" s="140"/>
      <c r="FU12" s="140"/>
      <c r="FV12" s="140"/>
      <c r="FW12" s="140"/>
      <c r="FX12" s="140"/>
      <c r="FY12" s="140"/>
      <c r="FZ12" s="140"/>
      <c r="GA12" s="140"/>
      <c r="GB12" s="140"/>
      <c r="GC12" s="140"/>
      <c r="GD12" s="140"/>
      <c r="GE12" s="140"/>
      <c r="GF12" s="140"/>
      <c r="GG12" s="140"/>
      <c r="GH12" s="140"/>
      <c r="GI12" s="140"/>
      <c r="GJ12" s="140"/>
      <c r="GK12" s="140"/>
      <c r="GL12" s="140"/>
      <c r="GM12" s="140"/>
      <c r="GN12" s="140"/>
      <c r="GO12" s="140"/>
      <c r="GP12" s="140"/>
      <c r="GQ12" s="140"/>
      <c r="GR12" s="140"/>
      <c r="GS12" s="140"/>
      <c r="GT12" s="141">
        <v>1</v>
      </c>
      <c r="GU12" s="141"/>
      <c r="GV12" s="141"/>
      <c r="GW12" s="141"/>
      <c r="GX12" s="141"/>
      <c r="GY12" s="141"/>
      <c r="GZ12" s="141"/>
      <c r="HA12" s="141"/>
      <c r="HB12" s="142">
        <f>IFERROR(ROUND(((Calculations!BV12/185)*'Character Creation'!$Z$18)*GT12,2),"")</f>
        <v>2.5299999999999998</v>
      </c>
      <c r="HC12" s="142"/>
      <c r="HD12" s="142"/>
      <c r="HE12" s="142"/>
      <c r="HF12" s="142"/>
      <c r="HG12" s="142"/>
      <c r="HH12" s="142"/>
      <c r="HI12" s="142"/>
      <c r="HJ12" s="142">
        <f>IFERROR(Calculations!BS12+IQ12+IX12,"")</f>
        <v>30</v>
      </c>
      <c r="HK12" s="142"/>
      <c r="HL12" s="142"/>
      <c r="HM12" s="142"/>
      <c r="HN12" s="142"/>
      <c r="HO12" s="142"/>
      <c r="HP12" s="142"/>
      <c r="HQ12" s="142"/>
      <c r="HR12" s="142">
        <f t="shared" si="0"/>
        <v>0</v>
      </c>
      <c r="HS12" s="142"/>
      <c r="HT12" s="142"/>
      <c r="HU12" s="142"/>
      <c r="HV12" s="142"/>
      <c r="HW12" s="142"/>
      <c r="HX12" s="142"/>
      <c r="HY12" s="142"/>
      <c r="HZ12" s="142" t="str">
        <f>IFERROR(Calculations!BX12,"")</f>
        <v>$2.75</v>
      </c>
      <c r="IA12" s="142"/>
      <c r="IB12" s="142"/>
      <c r="IC12" s="142"/>
      <c r="ID12" s="142"/>
      <c r="IE12" s="142"/>
      <c r="IF12" s="142"/>
      <c r="IG12" s="142"/>
      <c r="IH12" s="142"/>
      <c r="II12" s="142"/>
      <c r="IJ12" s="142">
        <f>IFERROR(Calculations!BR12+IX12,"")</f>
        <v>0</v>
      </c>
      <c r="IK12" s="142"/>
      <c r="IL12" s="142"/>
      <c r="IM12" s="142"/>
      <c r="IN12" s="142"/>
      <c r="IO12" s="142"/>
      <c r="IP12" s="142"/>
      <c r="IQ12" s="141">
        <v>0</v>
      </c>
      <c r="IR12" s="141"/>
      <c r="IS12" s="141"/>
      <c r="IT12" s="141"/>
      <c r="IU12" s="141"/>
      <c r="IV12" s="141"/>
      <c r="IW12" s="141"/>
      <c r="IX12" s="141">
        <v>0</v>
      </c>
      <c r="IY12" s="141"/>
      <c r="IZ12" s="141"/>
      <c r="JA12" s="141"/>
      <c r="JB12" s="141"/>
      <c r="JC12" s="141"/>
      <c r="JD12" s="141"/>
      <c r="JE12" s="141"/>
      <c r="JF12" s="142"/>
      <c r="JG12" s="142"/>
      <c r="JH12" s="142"/>
      <c r="JI12" s="142"/>
      <c r="JJ12" s="142"/>
      <c r="JK12" s="143" t="str">
        <f>Calculations!AS12</f>
        <v>Soft Leather</v>
      </c>
      <c r="JL12" s="143"/>
      <c r="JM12" s="143"/>
      <c r="JN12" s="143"/>
      <c r="JO12" s="143"/>
      <c r="JP12" s="143"/>
      <c r="JQ12" s="143"/>
      <c r="JR12" s="143"/>
      <c r="JS12" s="143"/>
      <c r="JT12" s="143"/>
      <c r="JU12" s="143"/>
      <c r="JV12" s="143"/>
      <c r="JW12" s="143"/>
      <c r="JX12" s="143"/>
      <c r="JY12" s="143"/>
      <c r="JZ12" s="143"/>
      <c r="KA12" s="143"/>
      <c r="KB12" s="143"/>
      <c r="KC12" s="143" t="str">
        <f>Calculations!AW12</f>
        <v>Light Cloth</v>
      </c>
      <c r="KD12" s="143"/>
      <c r="KE12" s="143"/>
      <c r="KF12" s="143"/>
      <c r="KG12" s="143"/>
      <c r="KH12" s="143"/>
      <c r="KI12" s="143"/>
      <c r="KJ12" s="143"/>
      <c r="KK12" s="143"/>
      <c r="KL12" s="143"/>
      <c r="KM12" s="143"/>
      <c r="KN12" s="143"/>
      <c r="KO12" s="143"/>
      <c r="KP12" s="143"/>
      <c r="KQ12" s="143"/>
      <c r="KR12" s="143"/>
      <c r="KS12" s="143"/>
      <c r="KT12" s="143"/>
      <c r="KU12" s="144"/>
      <c r="KV12" s="144"/>
      <c r="KW12" s="144"/>
      <c r="KX12" s="144"/>
      <c r="KY12" s="144"/>
      <c r="KZ12" s="144"/>
      <c r="LA12" s="144"/>
      <c r="LB12" s="144"/>
      <c r="LC12" s="144"/>
      <c r="LD12" s="144"/>
      <c r="LE12" s="144"/>
      <c r="LF12" s="144"/>
      <c r="LG12" s="144"/>
      <c r="LH12" s="144"/>
      <c r="LI12" s="144"/>
      <c r="LJ12" s="144"/>
      <c r="LK12" s="144"/>
      <c r="LL12" s="144"/>
      <c r="LM12" s="144"/>
      <c r="LN12" s="144"/>
      <c r="LO12" s="144"/>
      <c r="LP12" s="144"/>
      <c r="LQ12" s="144"/>
      <c r="LR12" s="144"/>
      <c r="LS12" s="144"/>
      <c r="LT12" s="144"/>
      <c r="LU12" s="144"/>
      <c r="LV12" s="144"/>
      <c r="LW12" s="144"/>
      <c r="LX12" s="144"/>
      <c r="LY12" s="144"/>
      <c r="LZ12" s="144"/>
      <c r="MA12" s="144"/>
      <c r="MB12" s="144"/>
      <c r="MC12" s="144"/>
      <c r="MD12" s="144"/>
      <c r="ME12" s="144"/>
      <c r="MF12" s="144"/>
      <c r="MG12" s="144"/>
      <c r="MH12" s="144"/>
      <c r="MI12" s="144"/>
      <c r="MJ12" s="144"/>
      <c r="MK12" s="144"/>
      <c r="ML12" s="144"/>
      <c r="MM12" s="144"/>
      <c r="MN12" s="144"/>
      <c r="MO12" s="144"/>
      <c r="MP12" s="144"/>
      <c r="MQ12" s="144"/>
      <c r="MR12" s="144"/>
      <c r="MS12" s="144"/>
      <c r="MT12" s="144"/>
      <c r="MU12" s="144"/>
      <c r="MV12" s="144"/>
      <c r="MW12" s="144"/>
      <c r="MX12" s="144"/>
      <c r="MY12" s="144"/>
      <c r="MZ12" s="145"/>
      <c r="NB12" s="128" t="s">
        <v>3483</v>
      </c>
      <c r="NC12" s="128"/>
      <c r="ND12" s="128"/>
      <c r="NE12" s="128"/>
      <c r="NF12" s="128"/>
      <c r="NG12" s="128"/>
      <c r="NH12" s="128"/>
      <c r="NI12" s="128"/>
      <c r="NJ12" s="128"/>
      <c r="NK12" s="128"/>
      <c r="NL12" s="128"/>
      <c r="NM12" s="128"/>
      <c r="NN12" s="128"/>
      <c r="NO12" s="128"/>
      <c r="NP12" s="128"/>
      <c r="NQ12" s="128"/>
      <c r="NR12" s="128"/>
      <c r="NS12" s="128"/>
      <c r="NT12" s="128"/>
      <c r="NU12" s="128"/>
      <c r="NV12" s="128"/>
      <c r="NW12" s="128"/>
      <c r="NX12" s="128"/>
      <c r="NY12" s="128"/>
      <c r="NZ12" s="128"/>
      <c r="OA12" s="128"/>
      <c r="OB12" s="128"/>
      <c r="OC12" s="128"/>
      <c r="OD12" s="128"/>
      <c r="OE12" s="128"/>
      <c r="OF12" s="128"/>
      <c r="OG12" s="129"/>
      <c r="OH12" s="129"/>
      <c r="OI12" s="129"/>
      <c r="OJ12" s="129"/>
      <c r="OK12" s="129"/>
      <c r="OL12" s="129"/>
      <c r="OM12" s="129"/>
      <c r="ON12" s="129"/>
      <c r="OO12" s="129"/>
      <c r="OP12" s="129"/>
      <c r="OQ12" s="129"/>
      <c r="OR12" s="129"/>
      <c r="OS12" s="129"/>
      <c r="OT12" s="129"/>
      <c r="OU12" s="129"/>
      <c r="OV12" s="129"/>
      <c r="OW12" s="129"/>
      <c r="OX12" s="129"/>
      <c r="OY12" s="129"/>
      <c r="OZ12" s="129"/>
      <c r="PA12" s="129"/>
      <c r="PB12" s="128"/>
      <c r="PC12" s="128"/>
      <c r="PD12" s="128"/>
      <c r="PE12" s="128"/>
      <c r="PF12" s="128"/>
      <c r="PG12" s="128"/>
      <c r="PH12" s="129"/>
      <c r="PI12" s="129"/>
      <c r="PJ12" s="129"/>
      <c r="PK12" s="129"/>
      <c r="PL12" s="129"/>
      <c r="PM12" s="129"/>
      <c r="PN12" s="129"/>
      <c r="PO12" s="129"/>
      <c r="PP12" s="129"/>
      <c r="PQ12" s="129"/>
      <c r="PR12" s="129"/>
      <c r="PS12" s="129"/>
      <c r="PT12" s="129"/>
      <c r="PU12" s="129"/>
      <c r="PV12" s="129"/>
      <c r="PW12" s="129"/>
      <c r="PX12" s="129"/>
      <c r="PY12" s="129"/>
      <c r="PZ12" s="129"/>
      <c r="QA12" s="129"/>
      <c r="QB12" s="129"/>
      <c r="QC12" s="129"/>
      <c r="QD12" s="129"/>
      <c r="QE12" s="129"/>
      <c r="QF12" s="129"/>
      <c r="QG12" s="129"/>
      <c r="QH12" s="129"/>
      <c r="QI12" s="129"/>
      <c r="QJ12" s="128"/>
      <c r="QK12" s="128"/>
      <c r="QL12" s="128"/>
      <c r="QM12" s="128"/>
      <c r="QN12" s="128"/>
      <c r="QO12" s="128"/>
      <c r="QP12" s="128"/>
      <c r="ABN12" s="128" t="s">
        <v>179</v>
      </c>
      <c r="ABO12" s="128"/>
      <c r="ABP12" s="128"/>
      <c r="ABQ12" s="128"/>
      <c r="ABR12" s="128"/>
      <c r="ABS12" s="128"/>
      <c r="ABT12" s="128"/>
      <c r="ABU12" s="128"/>
      <c r="ABV12" s="128"/>
      <c r="ABW12" s="128"/>
      <c r="ABX12" s="128"/>
      <c r="ABY12" s="128"/>
      <c r="ABZ12" s="128"/>
      <c r="ACA12" s="128"/>
      <c r="ACB12" s="128"/>
      <c r="ACC12" s="128"/>
      <c r="ACD12" s="128"/>
      <c r="ACE12" s="128"/>
      <c r="ACF12" s="128"/>
      <c r="ACG12" s="128"/>
      <c r="ACH12" s="128"/>
      <c r="ACI12" s="128"/>
      <c r="ACJ12" s="128"/>
      <c r="ACK12" s="128"/>
      <c r="ACL12" s="128"/>
      <c r="ACM12" s="128"/>
      <c r="ACN12" s="128"/>
      <c r="ACO12" s="128"/>
      <c r="ACP12" s="128"/>
      <c r="ACQ12" s="128"/>
      <c r="ACR12" s="128"/>
      <c r="ACS12" s="129"/>
      <c r="ACT12" s="129"/>
      <c r="ACU12" s="129"/>
      <c r="ACV12" s="129"/>
      <c r="ACW12" s="129"/>
      <c r="ACX12" s="129"/>
      <c r="ACY12" s="129"/>
      <c r="ACZ12" s="129"/>
      <c r="ADA12" s="129"/>
      <c r="ADB12" s="129"/>
      <c r="ADC12" s="129"/>
      <c r="ADD12" s="129"/>
      <c r="ADE12" s="129"/>
      <c r="ADF12" s="129"/>
      <c r="ADG12" s="129"/>
      <c r="ADH12" s="129"/>
      <c r="ADI12" s="129"/>
      <c r="ADJ12" s="129"/>
      <c r="ADK12" s="129"/>
      <c r="ADL12" s="129"/>
      <c r="ADM12" s="129"/>
      <c r="ADN12" s="128"/>
      <c r="ADO12" s="128"/>
      <c r="ADP12" s="128"/>
      <c r="ADQ12" s="128"/>
      <c r="ADR12" s="128"/>
      <c r="ADS12" s="128"/>
      <c r="ADT12" s="129"/>
      <c r="ADU12" s="129"/>
      <c r="ADV12" s="129"/>
      <c r="ADW12" s="129"/>
      <c r="ADX12" s="129"/>
      <c r="ADY12" s="129"/>
      <c r="ADZ12" s="129"/>
      <c r="AEA12" s="129"/>
      <c r="AEB12" s="129"/>
      <c r="AEC12" s="129"/>
      <c r="AED12" s="129"/>
      <c r="AEE12" s="129"/>
      <c r="AEF12" s="129"/>
      <c r="AEG12" s="129"/>
      <c r="AEH12" s="129"/>
      <c r="AEI12" s="129"/>
      <c r="AEJ12" s="129"/>
      <c r="AEK12" s="129"/>
      <c r="AEL12" s="129"/>
      <c r="AEM12" s="129"/>
      <c r="AEN12" s="129"/>
      <c r="AEO12" s="129"/>
      <c r="AEP12" s="129"/>
      <c r="AEQ12" s="129"/>
      <c r="AER12" s="129"/>
      <c r="AES12" s="129"/>
      <c r="AET12" s="129"/>
      <c r="AEU12" s="129"/>
      <c r="AEV12" s="128"/>
      <c r="AEW12" s="128"/>
      <c r="AEX12" s="128"/>
      <c r="AEY12" s="128"/>
      <c r="AEZ12" s="128"/>
      <c r="AFA12" s="128"/>
      <c r="AFB12" s="128"/>
      <c r="AIT12" s="128" t="s">
        <v>197</v>
      </c>
      <c r="AIU12" s="128"/>
      <c r="AIV12" s="128"/>
      <c r="AIW12" s="128"/>
      <c r="AIX12" s="128"/>
      <c r="AIY12" s="128"/>
      <c r="AIZ12" s="128"/>
      <c r="AJA12" s="128"/>
      <c r="AJB12" s="128"/>
      <c r="AJC12" s="128"/>
      <c r="AJD12" s="128"/>
      <c r="AJE12" s="128"/>
      <c r="AJF12" s="128"/>
      <c r="AJG12" s="128"/>
      <c r="AJH12" s="128"/>
      <c r="AJI12" s="128"/>
      <c r="AJJ12" s="128"/>
      <c r="AJK12" s="128"/>
      <c r="AJL12" s="128"/>
      <c r="AJM12" s="128"/>
      <c r="AJN12" s="128"/>
      <c r="AJO12" s="128"/>
      <c r="AJP12" s="128"/>
      <c r="AJQ12" s="128"/>
      <c r="AJR12" s="128"/>
      <c r="AJS12" s="128"/>
      <c r="AJT12" s="128"/>
      <c r="AJU12" s="128"/>
      <c r="AJV12" s="128"/>
      <c r="AJW12" s="128"/>
      <c r="AJX12" s="128"/>
      <c r="AJY12" s="129"/>
      <c r="AJZ12" s="129"/>
      <c r="AKA12" s="129"/>
      <c r="AKB12" s="129"/>
      <c r="AKC12" s="129"/>
      <c r="AKD12" s="129"/>
      <c r="AKE12" s="129"/>
      <c r="AKF12" s="129"/>
      <c r="AKG12" s="129"/>
      <c r="AKH12" s="129"/>
      <c r="AKI12" s="129"/>
      <c r="AKJ12" s="129"/>
      <c r="AKK12" s="129"/>
      <c r="AKL12" s="129"/>
      <c r="AKM12" s="129"/>
      <c r="AKN12" s="129"/>
      <c r="AKO12" s="129"/>
      <c r="AKP12" s="129"/>
      <c r="AKQ12" s="129"/>
      <c r="AKR12" s="129"/>
      <c r="AKS12" s="129"/>
      <c r="AKT12" s="128"/>
      <c r="AKU12" s="128"/>
      <c r="AKV12" s="128"/>
      <c r="AKW12" s="128"/>
      <c r="AKX12" s="128"/>
      <c r="AKY12" s="128"/>
      <c r="AKZ12" s="129"/>
      <c r="ALA12" s="129"/>
      <c r="ALB12" s="129"/>
      <c r="ALC12" s="129"/>
      <c r="ALD12" s="129"/>
      <c r="ALE12" s="129"/>
      <c r="ALF12" s="129"/>
      <c r="ALG12" s="129"/>
      <c r="ALH12" s="129"/>
      <c r="ALI12" s="129"/>
      <c r="ALJ12" s="129"/>
      <c r="ALK12" s="129"/>
      <c r="ALL12" s="129"/>
      <c r="ALM12" s="129"/>
      <c r="ALN12" s="129"/>
      <c r="ALO12" s="129"/>
      <c r="ALP12" s="129"/>
      <c r="ALQ12" s="129"/>
      <c r="ALR12" s="129"/>
      <c r="ALS12" s="129"/>
      <c r="ALT12" s="129"/>
      <c r="ALU12" s="129"/>
      <c r="ALV12" s="129"/>
      <c r="ALW12" s="129"/>
      <c r="ALX12" s="129"/>
      <c r="ALY12" s="129"/>
      <c r="ALZ12" s="129"/>
      <c r="AMA12" s="129"/>
      <c r="AMB12" s="128"/>
      <c r="AMC12" s="128"/>
      <c r="AMD12" s="128"/>
      <c r="AME12" s="128"/>
      <c r="AMF12" s="128"/>
      <c r="AMG12" s="128"/>
      <c r="AMH12" s="128"/>
      <c r="APZ12" s="128" t="s">
        <v>244</v>
      </c>
      <c r="AQA12" s="128"/>
      <c r="AQB12" s="128"/>
      <c r="AQC12" s="128"/>
      <c r="AQD12" s="128"/>
      <c r="AQE12" s="128"/>
      <c r="AQF12" s="128"/>
      <c r="AQG12" s="128"/>
      <c r="AQH12" s="128"/>
      <c r="AQI12" s="128"/>
      <c r="AQJ12" s="128"/>
      <c r="AQK12" s="128"/>
      <c r="AQL12" s="128"/>
      <c r="AQM12" s="128"/>
      <c r="AQN12" s="128"/>
      <c r="AQO12" s="128"/>
      <c r="AQP12" s="128"/>
      <c r="AQQ12" s="128"/>
      <c r="AQR12" s="128"/>
      <c r="AQS12" s="128"/>
      <c r="AQT12" s="128"/>
      <c r="AQU12" s="128"/>
      <c r="AQV12" s="128"/>
      <c r="AQW12" s="128"/>
      <c r="AQX12" s="128"/>
      <c r="AQY12" s="128"/>
      <c r="AQZ12" s="128"/>
      <c r="ARA12" s="128"/>
      <c r="ARB12" s="128"/>
      <c r="ARC12" s="128"/>
      <c r="ARD12" s="128"/>
      <c r="ARE12" s="129"/>
      <c r="ARF12" s="129"/>
      <c r="ARG12" s="129"/>
      <c r="ARH12" s="129"/>
      <c r="ARI12" s="129"/>
      <c r="ARJ12" s="129"/>
      <c r="ARK12" s="129"/>
      <c r="ARL12" s="129"/>
      <c r="ARM12" s="129"/>
      <c r="ARN12" s="129"/>
      <c r="ARO12" s="129"/>
      <c r="ARP12" s="129"/>
      <c r="ARQ12" s="129"/>
      <c r="ARR12" s="129"/>
      <c r="ARS12" s="129"/>
      <c r="ART12" s="129"/>
      <c r="ARU12" s="129"/>
      <c r="ARV12" s="129"/>
      <c r="ARW12" s="129"/>
      <c r="ARX12" s="129"/>
      <c r="ARY12" s="129"/>
      <c r="ARZ12" s="128"/>
      <c r="ASA12" s="128"/>
      <c r="ASB12" s="128"/>
      <c r="ASC12" s="128"/>
      <c r="ASD12" s="128"/>
      <c r="ASE12" s="128"/>
      <c r="ASF12" s="129"/>
      <c r="ASG12" s="129"/>
      <c r="ASH12" s="129"/>
      <c r="ASI12" s="129"/>
      <c r="ASJ12" s="129"/>
      <c r="ASK12" s="129"/>
      <c r="ASL12" s="129"/>
      <c r="ASM12" s="129"/>
      <c r="ASN12" s="129"/>
      <c r="ASO12" s="129"/>
      <c r="ASP12" s="129"/>
      <c r="ASQ12" s="129"/>
      <c r="ASR12" s="129"/>
      <c r="ASS12" s="129"/>
      <c r="AST12" s="129"/>
      <c r="ASU12" s="129"/>
      <c r="ASV12" s="129"/>
      <c r="ASW12" s="129"/>
      <c r="ASX12" s="129"/>
      <c r="ASY12" s="129"/>
      <c r="ASZ12" s="129"/>
      <c r="ATA12" s="129"/>
      <c r="ATB12" s="129"/>
      <c r="ATC12" s="129"/>
      <c r="ATD12" s="129"/>
      <c r="ATE12" s="129"/>
      <c r="ATF12" s="129"/>
      <c r="ATG12" s="129"/>
      <c r="ATH12" s="128"/>
      <c r="ATI12" s="128"/>
      <c r="ATJ12" s="128"/>
      <c r="ATK12" s="128"/>
      <c r="ATL12" s="128"/>
      <c r="ATM12" s="128"/>
      <c r="ATN12" s="128"/>
      <c r="AXF12" s="128" t="s">
        <v>269</v>
      </c>
      <c r="AXG12" s="128"/>
      <c r="AXH12" s="128"/>
      <c r="AXI12" s="128"/>
      <c r="AXJ12" s="128"/>
      <c r="AXK12" s="128"/>
      <c r="AXL12" s="128"/>
      <c r="AXM12" s="128"/>
      <c r="AXN12" s="128"/>
      <c r="AXO12" s="128"/>
      <c r="AXP12" s="128"/>
      <c r="AXQ12" s="128"/>
      <c r="AXR12" s="128"/>
      <c r="AXS12" s="128"/>
      <c r="AXT12" s="128"/>
      <c r="AXU12" s="128"/>
      <c r="AXV12" s="128"/>
      <c r="AXW12" s="128"/>
      <c r="AXX12" s="128"/>
      <c r="AXY12" s="128"/>
      <c r="AXZ12" s="128"/>
      <c r="AYA12" s="128"/>
      <c r="AYB12" s="128"/>
      <c r="AYC12" s="128"/>
      <c r="AYD12" s="128"/>
      <c r="AYE12" s="128"/>
      <c r="AYF12" s="128"/>
      <c r="AYG12" s="128"/>
      <c r="AYH12" s="128"/>
      <c r="AYI12" s="128"/>
      <c r="AYJ12" s="128"/>
      <c r="AYK12" s="129"/>
      <c r="AYL12" s="129"/>
      <c r="AYM12" s="129"/>
      <c r="AYN12" s="129"/>
      <c r="AYO12" s="129"/>
      <c r="AYP12" s="129"/>
      <c r="AYQ12" s="129"/>
      <c r="AYR12" s="129"/>
      <c r="AYS12" s="129"/>
      <c r="AYT12" s="129"/>
      <c r="AYU12" s="129"/>
      <c r="AYV12" s="129"/>
      <c r="AYW12" s="129"/>
      <c r="AYX12" s="129"/>
      <c r="AYY12" s="129"/>
      <c r="AYZ12" s="129"/>
      <c r="AZA12" s="129"/>
      <c r="AZB12" s="129"/>
      <c r="AZC12" s="129"/>
      <c r="AZD12" s="129"/>
      <c r="AZE12" s="129"/>
      <c r="AZF12" s="128"/>
      <c r="AZG12" s="128"/>
      <c r="AZH12" s="128"/>
      <c r="AZI12" s="128"/>
      <c r="AZJ12" s="128"/>
      <c r="AZK12" s="128"/>
      <c r="AZL12" s="129"/>
      <c r="AZM12" s="129"/>
      <c r="AZN12" s="129"/>
      <c r="AZO12" s="129"/>
      <c r="AZP12" s="129"/>
      <c r="AZQ12" s="129"/>
      <c r="AZR12" s="129"/>
      <c r="AZS12" s="129"/>
      <c r="AZT12" s="129"/>
      <c r="AZU12" s="129"/>
      <c r="AZV12" s="129"/>
      <c r="AZW12" s="129"/>
      <c r="AZX12" s="129"/>
      <c r="AZY12" s="129"/>
      <c r="AZZ12" s="129"/>
      <c r="BAA12" s="129"/>
      <c r="BAB12" s="129"/>
      <c r="BAC12" s="129"/>
      <c r="BAD12" s="129"/>
      <c r="BAE12" s="129"/>
      <c r="BAF12" s="129"/>
      <c r="BAG12" s="129"/>
      <c r="BAH12" s="129"/>
      <c r="BAI12" s="129"/>
      <c r="BAJ12" s="129"/>
      <c r="BAK12" s="129"/>
      <c r="BAL12" s="129"/>
      <c r="BAM12" s="129"/>
      <c r="BAN12" s="128"/>
      <c r="BAO12" s="128"/>
      <c r="BAP12" s="128"/>
      <c r="BAQ12" s="128"/>
      <c r="BAR12" s="128"/>
      <c r="BAS12" s="128"/>
      <c r="BAT12" s="128"/>
      <c r="BAV12" s="128" t="s">
        <v>583</v>
      </c>
      <c r="BAW12" s="128"/>
      <c r="BAX12" s="128"/>
      <c r="BAY12" s="128"/>
      <c r="BAZ12" s="128"/>
      <c r="BBA12" s="128"/>
      <c r="BBB12" s="128"/>
      <c r="BBC12" s="128"/>
      <c r="BBD12" s="128"/>
      <c r="BBE12" s="128"/>
      <c r="BBF12" s="128"/>
      <c r="BBG12" s="128"/>
      <c r="BBH12" s="128"/>
      <c r="BBI12" s="128"/>
      <c r="BBJ12" s="128"/>
      <c r="BBK12" s="128"/>
      <c r="BBL12" s="128"/>
      <c r="BBM12" s="128"/>
      <c r="BBN12" s="128"/>
      <c r="BBO12" s="128"/>
      <c r="BBP12" s="128"/>
      <c r="BBQ12" s="128"/>
      <c r="BBR12" s="128"/>
      <c r="BBS12" s="128"/>
      <c r="BBT12" s="128"/>
      <c r="BBU12" s="128"/>
      <c r="BBV12" s="128"/>
      <c r="BBW12" s="128"/>
      <c r="BBX12" s="128"/>
      <c r="BBY12" s="128"/>
      <c r="BBZ12" s="128"/>
      <c r="BCA12" s="129"/>
      <c r="BCB12" s="129"/>
      <c r="BCC12" s="129"/>
      <c r="BCD12" s="129"/>
      <c r="BCE12" s="129"/>
      <c r="BCF12" s="129"/>
      <c r="BCG12" s="129"/>
      <c r="BCH12" s="129"/>
      <c r="BCI12" s="129"/>
      <c r="BCJ12" s="129"/>
      <c r="BCK12" s="129"/>
      <c r="BCL12" s="129"/>
      <c r="BCM12" s="129"/>
      <c r="BCN12" s="129"/>
      <c r="BCO12" s="129"/>
      <c r="BCP12" s="129"/>
      <c r="BCQ12" s="129"/>
      <c r="BCR12" s="129"/>
      <c r="BCS12" s="129"/>
      <c r="BCT12" s="129"/>
      <c r="BCU12" s="129"/>
      <c r="BCV12" s="128"/>
      <c r="BCW12" s="128"/>
      <c r="BCX12" s="128"/>
      <c r="BCY12" s="128"/>
      <c r="BCZ12" s="128"/>
      <c r="BDA12" s="128"/>
      <c r="BDB12" s="129"/>
      <c r="BDC12" s="129"/>
      <c r="BDD12" s="129"/>
      <c r="BDE12" s="129"/>
      <c r="BDF12" s="129"/>
      <c r="BDG12" s="129"/>
      <c r="BDH12" s="129"/>
      <c r="BDI12" s="129"/>
      <c r="BDJ12" s="129"/>
      <c r="BDK12" s="129"/>
      <c r="BDL12" s="129"/>
      <c r="BDM12" s="129"/>
      <c r="BDN12" s="129"/>
      <c r="BDO12" s="129"/>
      <c r="BDP12" s="129"/>
      <c r="BDQ12" s="129"/>
      <c r="BDR12" s="129"/>
      <c r="BDS12" s="129"/>
      <c r="BDT12" s="129"/>
      <c r="BDU12" s="129"/>
      <c r="BDV12" s="129"/>
      <c r="BDW12" s="129"/>
      <c r="BDX12" s="129"/>
      <c r="BDY12" s="129"/>
      <c r="BDZ12" s="129"/>
      <c r="BEA12" s="129"/>
      <c r="BEB12" s="129"/>
      <c r="BEC12" s="129"/>
      <c r="BED12" s="128"/>
      <c r="BEE12" s="128"/>
      <c r="BEF12" s="128"/>
      <c r="BEG12" s="128"/>
      <c r="BEH12" s="128"/>
      <c r="BEI12" s="128"/>
      <c r="BEJ12" s="128"/>
      <c r="BLR12" s="128" t="s">
        <v>323</v>
      </c>
      <c r="BLS12" s="128"/>
      <c r="BLT12" s="128"/>
      <c r="BLU12" s="128"/>
      <c r="BLV12" s="128"/>
      <c r="BLW12" s="128"/>
      <c r="BLX12" s="128"/>
      <c r="BLY12" s="128"/>
      <c r="BLZ12" s="128"/>
      <c r="BMA12" s="128"/>
      <c r="BMB12" s="128"/>
      <c r="BMC12" s="128"/>
      <c r="BMD12" s="128"/>
      <c r="BME12" s="128"/>
      <c r="BMF12" s="128"/>
      <c r="BMG12" s="128"/>
      <c r="BMH12" s="128"/>
      <c r="BMI12" s="128"/>
      <c r="BMJ12" s="128"/>
      <c r="BMK12" s="128"/>
      <c r="BML12" s="128"/>
      <c r="BMM12" s="128"/>
      <c r="BMN12" s="128"/>
      <c r="BMO12" s="128"/>
      <c r="BMP12" s="128"/>
      <c r="BMQ12" s="128"/>
      <c r="BMR12" s="128"/>
      <c r="BMS12" s="128"/>
      <c r="BMT12" s="128"/>
      <c r="BMU12" s="128"/>
      <c r="BMV12" s="128"/>
      <c r="BMW12" s="129"/>
      <c r="BMX12" s="129"/>
      <c r="BMY12" s="129"/>
      <c r="BMZ12" s="129"/>
      <c r="BNA12" s="129"/>
      <c r="BNB12" s="129"/>
      <c r="BNC12" s="129"/>
      <c r="BND12" s="129"/>
      <c r="BNE12" s="129"/>
      <c r="BNF12" s="129"/>
      <c r="BNG12" s="129"/>
      <c r="BNH12" s="129"/>
      <c r="BNI12" s="129"/>
      <c r="BNJ12" s="129"/>
      <c r="BNK12" s="129"/>
      <c r="BNL12" s="129"/>
      <c r="BNM12" s="129"/>
      <c r="BNN12" s="129"/>
      <c r="BNO12" s="129"/>
      <c r="BNP12" s="129"/>
      <c r="BNQ12" s="129"/>
      <c r="BNR12" s="128"/>
      <c r="BNS12" s="128"/>
      <c r="BNT12" s="128"/>
      <c r="BNU12" s="128"/>
      <c r="BNV12" s="128"/>
      <c r="BNW12" s="128"/>
      <c r="BNX12" s="129"/>
      <c r="BNY12" s="129"/>
      <c r="BNZ12" s="129"/>
      <c r="BOA12" s="129"/>
      <c r="BOB12" s="129"/>
      <c r="BOC12" s="129"/>
      <c r="BOD12" s="129"/>
      <c r="BOE12" s="129"/>
      <c r="BOF12" s="129"/>
      <c r="BOG12" s="129"/>
      <c r="BOH12" s="129"/>
      <c r="BOI12" s="129"/>
      <c r="BOJ12" s="129"/>
      <c r="BOK12" s="129"/>
      <c r="BOL12" s="129"/>
      <c r="BOM12" s="129"/>
      <c r="BON12" s="129"/>
      <c r="BOO12" s="129"/>
      <c r="BOP12" s="129"/>
      <c r="BOQ12" s="129"/>
      <c r="BOR12" s="129"/>
      <c r="BOS12" s="129"/>
      <c r="BOT12" s="129"/>
      <c r="BOU12" s="129"/>
      <c r="BOV12" s="129"/>
      <c r="BOW12" s="129"/>
      <c r="BOX12" s="129"/>
      <c r="BOY12" s="129"/>
      <c r="BOZ12" s="128"/>
      <c r="BPA12" s="128"/>
      <c r="BPB12" s="128"/>
      <c r="BPC12" s="128"/>
      <c r="BPD12" s="128"/>
      <c r="BPE12" s="128"/>
      <c r="BPF12" s="128"/>
      <c r="CDT12" s="128" t="s">
        <v>395</v>
      </c>
      <c r="CDU12" s="128"/>
      <c r="CDV12" s="128"/>
      <c r="CDW12" s="128"/>
      <c r="CDX12" s="128"/>
      <c r="CDY12" s="128"/>
      <c r="CDZ12" s="128"/>
      <c r="CEA12" s="128"/>
      <c r="CEB12" s="128"/>
      <c r="CEC12" s="128"/>
      <c r="CED12" s="128"/>
      <c r="CEE12" s="128"/>
      <c r="CEF12" s="128"/>
      <c r="CEG12" s="128"/>
      <c r="CEH12" s="128"/>
      <c r="CEI12" s="128"/>
      <c r="CEJ12" s="128"/>
      <c r="CEK12" s="128"/>
      <c r="CEL12" s="128"/>
      <c r="CEM12" s="128"/>
      <c r="CEN12" s="128"/>
      <c r="CEO12" s="128"/>
      <c r="CEP12" s="128"/>
      <c r="CEQ12" s="128"/>
      <c r="CER12" s="128"/>
      <c r="CES12" s="128"/>
      <c r="CET12" s="128"/>
      <c r="CEU12" s="128"/>
      <c r="CEV12" s="128"/>
      <c r="CEW12" s="128"/>
      <c r="CEX12" s="128"/>
      <c r="CEY12" s="129"/>
      <c r="CEZ12" s="129"/>
      <c r="CFA12" s="129"/>
      <c r="CFB12" s="129"/>
      <c r="CFC12" s="129"/>
      <c r="CFD12" s="129"/>
      <c r="CFE12" s="129"/>
      <c r="CFF12" s="129"/>
      <c r="CFG12" s="129"/>
      <c r="CFH12" s="129"/>
      <c r="CFI12" s="129"/>
      <c r="CFJ12" s="129"/>
      <c r="CFK12" s="129"/>
      <c r="CFL12" s="129"/>
      <c r="CFM12" s="129"/>
      <c r="CFN12" s="129"/>
      <c r="CFO12" s="129"/>
      <c r="CFP12" s="129"/>
      <c r="CFQ12" s="129"/>
      <c r="CFR12" s="129"/>
      <c r="CFS12" s="129"/>
      <c r="CFT12" s="128"/>
      <c r="CFU12" s="128"/>
      <c r="CFV12" s="128"/>
      <c r="CFW12" s="128"/>
      <c r="CFX12" s="128"/>
      <c r="CFY12" s="128"/>
      <c r="CFZ12" s="129"/>
      <c r="CGA12" s="129"/>
      <c r="CGB12" s="129"/>
      <c r="CGC12" s="129"/>
      <c r="CGD12" s="129"/>
      <c r="CGE12" s="129"/>
      <c r="CGF12" s="129"/>
      <c r="CGG12" s="129"/>
      <c r="CGH12" s="129"/>
      <c r="CGI12" s="129"/>
      <c r="CGJ12" s="129"/>
      <c r="CGK12" s="129"/>
      <c r="CGL12" s="129"/>
      <c r="CGM12" s="129"/>
      <c r="CGN12" s="129"/>
      <c r="CGO12" s="129"/>
      <c r="CGP12" s="129"/>
      <c r="CGQ12" s="129"/>
      <c r="CGR12" s="129"/>
      <c r="CGS12" s="129"/>
      <c r="CGT12" s="129"/>
      <c r="CGU12" s="129"/>
      <c r="CGV12" s="129"/>
      <c r="CGW12" s="129"/>
      <c r="CGX12" s="129"/>
      <c r="CGY12" s="129"/>
      <c r="CGZ12" s="129"/>
      <c r="CHA12" s="129"/>
      <c r="CHB12" s="128"/>
      <c r="CHC12" s="128"/>
      <c r="CHD12" s="128"/>
      <c r="CHE12" s="128"/>
      <c r="CHF12" s="128"/>
      <c r="CHG12" s="128"/>
      <c r="CHH12" s="128"/>
      <c r="CHJ12" s="128"/>
      <c r="CHK12" s="128"/>
      <c r="CHL12" s="128"/>
      <c r="CHM12" s="128"/>
      <c r="CHN12" s="128"/>
      <c r="CHO12" s="128"/>
      <c r="CHP12" s="128"/>
      <c r="CHQ12" s="128"/>
      <c r="CHR12" s="128"/>
      <c r="CHS12" s="128"/>
      <c r="CHT12" s="128"/>
      <c r="CHU12" s="128"/>
      <c r="CHV12" s="128"/>
      <c r="CHW12" s="128"/>
      <c r="CHX12" s="128"/>
      <c r="CHY12" s="128"/>
      <c r="CHZ12" s="128"/>
      <c r="CIA12" s="128"/>
      <c r="CIB12" s="128"/>
      <c r="CIC12" s="128"/>
      <c r="CID12" s="128"/>
      <c r="CIE12" s="128"/>
      <c r="CIF12" s="128"/>
      <c r="CIG12" s="128"/>
      <c r="CIH12" s="128"/>
      <c r="CII12" s="128"/>
      <c r="CIJ12" s="128"/>
      <c r="CIK12" s="128"/>
      <c r="CIL12" s="128"/>
      <c r="CIM12" s="128"/>
      <c r="CIN12" s="128"/>
      <c r="CIO12" s="129"/>
      <c r="CIP12" s="129"/>
      <c r="CIQ12" s="129"/>
      <c r="CIR12" s="129"/>
      <c r="CIS12" s="129"/>
      <c r="CIT12" s="129"/>
      <c r="CIU12" s="129"/>
      <c r="CIV12" s="129"/>
      <c r="CIW12" s="129"/>
      <c r="CIX12" s="129"/>
      <c r="CIY12" s="129"/>
      <c r="CIZ12" s="129"/>
      <c r="CJA12" s="129"/>
      <c r="CJB12" s="129"/>
      <c r="CJC12" s="129"/>
      <c r="CJD12" s="129"/>
      <c r="CJE12" s="129"/>
      <c r="CJF12" s="129"/>
      <c r="CJG12" s="129"/>
      <c r="CJH12" s="129"/>
      <c r="CJI12" s="129"/>
      <c r="CJJ12" s="128"/>
      <c r="CJK12" s="128"/>
      <c r="CJL12" s="128"/>
      <c r="CJM12" s="128"/>
      <c r="CJN12" s="128"/>
      <c r="CJO12" s="128"/>
      <c r="CJP12" s="129"/>
      <c r="CJQ12" s="129"/>
      <c r="CJR12" s="129"/>
      <c r="CJS12" s="129"/>
      <c r="CJT12" s="129"/>
      <c r="CJU12" s="129"/>
      <c r="CJV12" s="129"/>
      <c r="CJW12" s="129"/>
      <c r="CJX12" s="129"/>
      <c r="CJY12" s="129"/>
      <c r="CJZ12" s="129"/>
      <c r="CKA12" s="129"/>
      <c r="CKB12" s="129"/>
      <c r="CKC12" s="129"/>
      <c r="CKD12" s="129"/>
      <c r="CKE12" s="129"/>
      <c r="CKF12" s="129"/>
      <c r="CKG12" s="129"/>
      <c r="CKH12" s="129"/>
      <c r="CKI12" s="129"/>
      <c r="CKJ12" s="129"/>
      <c r="CKK12" s="129"/>
      <c r="CKL12" s="129"/>
      <c r="CKM12" s="129"/>
      <c r="CKN12" s="129"/>
      <c r="CKO12" s="129"/>
      <c r="CKP12" s="129"/>
      <c r="CKQ12" s="129"/>
      <c r="CKR12" s="128"/>
      <c r="CKS12" s="128"/>
      <c r="CKT12" s="128"/>
      <c r="CKU12" s="128"/>
      <c r="CKV12" s="128"/>
      <c r="CKW12" s="128"/>
      <c r="CKX12" s="128"/>
      <c r="CKZ12" s="128" t="s">
        <v>412</v>
      </c>
      <c r="CLA12" s="128"/>
      <c r="CLB12" s="128"/>
      <c r="CLC12" s="128"/>
      <c r="CLD12" s="128"/>
      <c r="CLE12" s="128"/>
      <c r="CLF12" s="128"/>
      <c r="CLG12" s="128"/>
      <c r="CLH12" s="128"/>
      <c r="CLI12" s="128"/>
      <c r="CLJ12" s="128"/>
      <c r="CLK12" s="128"/>
      <c r="CLL12" s="128"/>
      <c r="CLM12" s="128"/>
      <c r="CLN12" s="128"/>
      <c r="CLO12" s="128"/>
      <c r="CLP12" s="128"/>
      <c r="CLQ12" s="128"/>
      <c r="CLR12" s="128"/>
      <c r="CLS12" s="128"/>
      <c r="CLT12" s="128"/>
      <c r="CLU12" s="128"/>
      <c r="CLV12" s="128"/>
      <c r="CLW12" s="128"/>
      <c r="CLX12" s="128"/>
      <c r="CLY12" s="128"/>
      <c r="CLZ12" s="128"/>
      <c r="CMA12" s="128"/>
      <c r="CMB12" s="128"/>
      <c r="CMC12" s="128"/>
      <c r="CMD12" s="128"/>
      <c r="CME12" s="129"/>
      <c r="CMF12" s="129"/>
      <c r="CMG12" s="129"/>
      <c r="CMH12" s="129"/>
      <c r="CMI12" s="129"/>
      <c r="CMJ12" s="129"/>
      <c r="CMK12" s="129"/>
      <c r="CML12" s="129"/>
      <c r="CMM12" s="129"/>
      <c r="CMN12" s="129"/>
      <c r="CMO12" s="129"/>
      <c r="CMP12" s="129"/>
      <c r="CMQ12" s="129"/>
      <c r="CMR12" s="129"/>
      <c r="CMS12" s="129"/>
      <c r="CMT12" s="129"/>
      <c r="CMU12" s="129"/>
      <c r="CMV12" s="129"/>
      <c r="CMW12" s="129"/>
      <c r="CMX12" s="129"/>
      <c r="CMY12" s="129"/>
      <c r="CMZ12" s="128"/>
      <c r="CNA12" s="128"/>
      <c r="CNB12" s="128"/>
      <c r="CNC12" s="128"/>
      <c r="CND12" s="128"/>
      <c r="CNE12" s="128"/>
      <c r="CNF12" s="129"/>
      <c r="CNG12" s="129"/>
      <c r="CNH12" s="129"/>
      <c r="CNI12" s="129"/>
      <c r="CNJ12" s="129"/>
      <c r="CNK12" s="129"/>
      <c r="CNL12" s="129"/>
      <c r="CNM12" s="129"/>
      <c r="CNN12" s="129"/>
      <c r="CNO12" s="129"/>
      <c r="CNP12" s="129"/>
      <c r="CNQ12" s="129"/>
      <c r="CNR12" s="129"/>
      <c r="CNS12" s="129"/>
      <c r="CNT12" s="129"/>
      <c r="CNU12" s="129"/>
      <c r="CNV12" s="129"/>
      <c r="CNW12" s="129"/>
      <c r="CNX12" s="129"/>
      <c r="CNY12" s="129"/>
      <c r="CNZ12" s="129"/>
      <c r="COA12" s="129"/>
      <c r="COB12" s="129"/>
      <c r="COC12" s="129"/>
      <c r="COD12" s="129"/>
      <c r="COE12" s="129"/>
      <c r="COF12" s="129"/>
      <c r="COG12" s="129"/>
      <c r="COH12" s="128"/>
      <c r="COI12" s="128"/>
      <c r="COJ12" s="128"/>
      <c r="COK12" s="128"/>
      <c r="COL12" s="128"/>
      <c r="COM12" s="128"/>
      <c r="CON12" s="128"/>
      <c r="COP12" s="144" t="s">
        <v>416</v>
      </c>
      <c r="COQ12" s="144"/>
      <c r="COR12" s="144"/>
      <c r="COS12" s="144"/>
      <c r="COT12" s="144"/>
      <c r="COU12" s="144"/>
      <c r="COV12" s="144"/>
      <c r="COW12" s="144"/>
      <c r="COX12" s="144"/>
      <c r="COY12" s="144"/>
      <c r="COZ12" s="144"/>
      <c r="CPA12" s="144"/>
      <c r="CPB12" s="144"/>
      <c r="CPC12" s="144"/>
      <c r="CPD12" s="144"/>
      <c r="CPE12" s="144"/>
      <c r="CPF12" s="144"/>
      <c r="CPG12" s="144"/>
      <c r="CPH12" s="144"/>
      <c r="CPI12" s="144"/>
      <c r="CPJ12" s="144"/>
      <c r="CPK12" s="144"/>
      <c r="CPL12" s="144"/>
      <c r="CPM12" s="144"/>
      <c r="CPN12" s="144"/>
      <c r="CPO12" s="144"/>
      <c r="CPP12" s="144"/>
      <c r="CPQ12" s="144"/>
      <c r="CPR12" s="144"/>
      <c r="CPS12" s="144"/>
      <c r="CPT12" s="144"/>
      <c r="CPU12" s="144"/>
      <c r="CPV12" s="144"/>
      <c r="CPW12" s="144"/>
      <c r="CPX12" s="144"/>
      <c r="CPY12" s="144"/>
      <c r="CPZ12" s="144"/>
      <c r="CQA12" s="144"/>
      <c r="CQB12" s="144"/>
      <c r="CQC12" s="144"/>
      <c r="CQD12" s="144"/>
      <c r="CQE12" s="144"/>
      <c r="CQF12" s="144"/>
      <c r="CQG12" s="144"/>
      <c r="CQH12" s="144"/>
      <c r="CQI12" s="144"/>
      <c r="CQJ12" s="144"/>
      <c r="CQK12" s="144"/>
      <c r="CQL12" s="144"/>
      <c r="CQM12" s="144"/>
      <c r="CQN12" s="144"/>
      <c r="CQO12" s="144"/>
      <c r="CQP12" s="144"/>
      <c r="CQQ12" s="144"/>
      <c r="CQR12" s="144"/>
      <c r="CQS12" s="144"/>
      <c r="CQT12" s="144"/>
      <c r="CQU12" s="144"/>
      <c r="CQV12" s="144"/>
      <c r="CQW12" s="144"/>
      <c r="CQX12" s="144"/>
      <c r="CQY12" s="144"/>
      <c r="CQZ12" s="144"/>
      <c r="CRA12" s="144"/>
      <c r="CRB12" s="144"/>
      <c r="CRC12" s="144"/>
      <c r="CRD12" s="144"/>
      <c r="CRE12" s="144"/>
      <c r="CRF12" s="144"/>
      <c r="CRG12" s="144"/>
      <c r="CRH12" s="144"/>
      <c r="CRI12" s="144"/>
      <c r="CRJ12" s="144"/>
      <c r="CRK12" s="144"/>
      <c r="CRL12" s="144"/>
      <c r="CRM12" s="144"/>
      <c r="CRN12" s="144"/>
      <c r="CRO12" s="144"/>
      <c r="CRP12" s="144"/>
      <c r="CRQ12" s="144"/>
      <c r="CRR12" s="144"/>
      <c r="CRS12" s="144"/>
      <c r="CRT12" s="144"/>
      <c r="CRU12" s="144"/>
      <c r="CRV12" s="144"/>
      <c r="CRW12" s="144"/>
      <c r="CRX12" s="144"/>
      <c r="CRY12" s="144"/>
      <c r="CRZ12" s="144"/>
      <c r="CSA12" s="144"/>
      <c r="CSB12" s="144"/>
      <c r="CSC12" s="144"/>
      <c r="CSD12" s="144"/>
      <c r="CSF12" s="128" t="s">
        <v>437</v>
      </c>
      <c r="CSG12" s="128"/>
      <c r="CSH12" s="128"/>
      <c r="CSI12" s="128"/>
      <c r="CSJ12" s="128"/>
      <c r="CSK12" s="128"/>
      <c r="CSL12" s="128"/>
      <c r="CSM12" s="128"/>
      <c r="CSN12" s="128"/>
      <c r="CSO12" s="128"/>
      <c r="CSP12" s="128"/>
      <c r="CSQ12" s="128"/>
      <c r="CSR12" s="128"/>
      <c r="CSS12" s="128"/>
      <c r="CST12" s="128"/>
      <c r="CSU12" s="128"/>
      <c r="CSV12" s="128"/>
      <c r="CSW12" s="128"/>
      <c r="CSX12" s="128"/>
      <c r="CSY12" s="128"/>
      <c r="CSZ12" s="128"/>
      <c r="CTA12" s="128"/>
      <c r="CTB12" s="128"/>
      <c r="CTC12" s="128"/>
      <c r="CTD12" s="128"/>
      <c r="CTE12" s="128"/>
      <c r="CTF12" s="128"/>
      <c r="CTG12" s="128"/>
      <c r="CTH12" s="128"/>
      <c r="CTI12" s="128"/>
      <c r="CTJ12" s="128"/>
      <c r="CTK12" s="129"/>
      <c r="CTL12" s="129"/>
      <c r="CTM12" s="129"/>
      <c r="CTN12" s="129"/>
      <c r="CTO12" s="129"/>
      <c r="CTP12" s="129"/>
      <c r="CTQ12" s="129"/>
      <c r="CTR12" s="129"/>
      <c r="CTS12" s="129"/>
      <c r="CTT12" s="129"/>
      <c r="CTU12" s="129"/>
      <c r="CTV12" s="129"/>
      <c r="CTW12" s="129"/>
      <c r="CTX12" s="129"/>
      <c r="CTY12" s="129"/>
      <c r="CTZ12" s="129"/>
      <c r="CUA12" s="129"/>
      <c r="CUB12" s="129"/>
      <c r="CUC12" s="129"/>
      <c r="CUD12" s="129"/>
      <c r="CUE12" s="129"/>
      <c r="CUF12" s="128"/>
      <c r="CUG12" s="128"/>
      <c r="CUH12" s="128"/>
      <c r="CUI12" s="128"/>
      <c r="CUJ12" s="128"/>
      <c r="CUK12" s="128"/>
      <c r="CUL12" s="129"/>
      <c r="CUM12" s="129"/>
      <c r="CUN12" s="129"/>
      <c r="CUO12" s="129"/>
      <c r="CUP12" s="129"/>
      <c r="CUQ12" s="129"/>
      <c r="CUR12" s="129"/>
      <c r="CUS12" s="129"/>
      <c r="CUT12" s="129"/>
      <c r="CUU12" s="129"/>
      <c r="CUV12" s="129"/>
      <c r="CUW12" s="129"/>
      <c r="CUX12" s="129"/>
      <c r="CUY12" s="129"/>
      <c r="CUZ12" s="129"/>
      <c r="CVA12" s="129"/>
      <c r="CVB12" s="129"/>
      <c r="CVC12" s="129"/>
      <c r="CVD12" s="129"/>
      <c r="CVE12" s="129"/>
      <c r="CVF12" s="129"/>
      <c r="CVG12" s="129"/>
      <c r="CVH12" s="129"/>
      <c r="CVI12" s="129"/>
      <c r="CVJ12" s="129"/>
      <c r="CVK12" s="129"/>
      <c r="CVL12" s="129"/>
      <c r="CVM12" s="129"/>
      <c r="CVN12" s="128"/>
      <c r="CVO12" s="128"/>
      <c r="CVP12" s="128"/>
      <c r="CVQ12" s="128"/>
      <c r="CVR12" s="128"/>
      <c r="CVS12" s="128"/>
      <c r="CVT12" s="128"/>
      <c r="CVV12" s="128" t="s">
        <v>491</v>
      </c>
      <c r="CVW12" s="128"/>
      <c r="CVX12" s="128"/>
      <c r="CVY12" s="128"/>
      <c r="CVZ12" s="128"/>
      <c r="CWA12" s="128"/>
      <c r="CWB12" s="128"/>
      <c r="CWC12" s="128"/>
      <c r="CWD12" s="128"/>
      <c r="CWE12" s="128"/>
      <c r="CWF12" s="128"/>
      <c r="CWG12" s="128"/>
      <c r="CWH12" s="128"/>
      <c r="CWI12" s="128"/>
      <c r="CWJ12" s="128"/>
      <c r="CWK12" s="128"/>
      <c r="CWL12" s="128"/>
      <c r="CWM12" s="128"/>
      <c r="CWN12" s="128"/>
      <c r="CWO12" s="128"/>
      <c r="CWP12" s="128"/>
      <c r="CWQ12" s="128"/>
      <c r="CWR12" s="128"/>
      <c r="CWS12" s="128"/>
      <c r="CWT12" s="128"/>
      <c r="CWU12" s="128"/>
      <c r="CWV12" s="128"/>
      <c r="CWW12" s="128"/>
      <c r="CWX12" s="128"/>
      <c r="CWY12" s="128"/>
      <c r="CWZ12" s="128"/>
      <c r="CXA12" s="129"/>
      <c r="CXB12" s="129"/>
      <c r="CXC12" s="129"/>
      <c r="CXD12" s="129"/>
      <c r="CXE12" s="129"/>
      <c r="CXF12" s="129"/>
      <c r="CXG12" s="129"/>
      <c r="CXH12" s="129"/>
      <c r="CXI12" s="129"/>
      <c r="CXJ12" s="129"/>
      <c r="CXK12" s="129"/>
      <c r="CXL12" s="129"/>
      <c r="CXM12" s="129"/>
      <c r="CXN12" s="129"/>
      <c r="CXO12" s="129"/>
      <c r="CXP12" s="129"/>
      <c r="CXQ12" s="129"/>
      <c r="CXR12" s="129"/>
      <c r="CXS12" s="129"/>
      <c r="CXT12" s="129"/>
      <c r="CXU12" s="129"/>
      <c r="CXV12" s="128"/>
      <c r="CXW12" s="128"/>
      <c r="CXX12" s="128"/>
      <c r="CXY12" s="128"/>
      <c r="CXZ12" s="128"/>
      <c r="CYA12" s="128"/>
      <c r="CYB12" s="129"/>
      <c r="CYC12" s="129"/>
      <c r="CYD12" s="129"/>
      <c r="CYE12" s="129"/>
      <c r="CYF12" s="129"/>
      <c r="CYG12" s="129"/>
      <c r="CYH12" s="129"/>
      <c r="CYI12" s="129"/>
      <c r="CYJ12" s="129"/>
      <c r="CYK12" s="129"/>
      <c r="CYL12" s="129"/>
      <c r="CYM12" s="129"/>
      <c r="CYN12" s="129"/>
      <c r="CYO12" s="129"/>
      <c r="CYP12" s="129"/>
      <c r="CYQ12" s="129"/>
      <c r="CYR12" s="129"/>
      <c r="CYS12" s="129"/>
      <c r="CYT12" s="129"/>
      <c r="CYU12" s="129"/>
      <c r="CYV12" s="129"/>
      <c r="CYW12" s="129"/>
      <c r="CYX12" s="129"/>
      <c r="CYY12" s="129"/>
      <c r="CYZ12" s="129"/>
      <c r="CZA12" s="129"/>
      <c r="CZB12" s="129"/>
      <c r="CZC12" s="129"/>
      <c r="CZD12" s="128"/>
      <c r="CZE12" s="128"/>
      <c r="CZF12" s="128"/>
      <c r="CZG12" s="128"/>
      <c r="CZH12" s="128"/>
      <c r="CZI12" s="128"/>
      <c r="CZJ12" s="128"/>
      <c r="CZL12" s="128" t="s">
        <v>508</v>
      </c>
      <c r="CZM12" s="128"/>
      <c r="CZN12" s="128"/>
      <c r="CZO12" s="128"/>
      <c r="CZP12" s="128"/>
      <c r="CZQ12" s="128"/>
      <c r="CZR12" s="128"/>
      <c r="CZS12" s="128"/>
      <c r="CZT12" s="128"/>
      <c r="CZU12" s="128"/>
      <c r="CZV12" s="128"/>
      <c r="CZW12" s="128"/>
      <c r="CZX12" s="128"/>
      <c r="CZY12" s="128"/>
      <c r="CZZ12" s="128"/>
      <c r="DAA12" s="128"/>
      <c r="DAB12" s="128"/>
      <c r="DAC12" s="128"/>
      <c r="DAD12" s="128"/>
      <c r="DAE12" s="128"/>
      <c r="DAF12" s="128"/>
      <c r="DAG12" s="128"/>
      <c r="DAH12" s="128"/>
      <c r="DAI12" s="128"/>
      <c r="DAJ12" s="128"/>
      <c r="DAK12" s="128"/>
      <c r="DAL12" s="128"/>
      <c r="DAM12" s="128"/>
      <c r="DAN12" s="128"/>
      <c r="DAO12" s="128"/>
      <c r="DAP12" s="128"/>
      <c r="DAQ12" s="129"/>
      <c r="DAR12" s="129"/>
      <c r="DAS12" s="129"/>
      <c r="DAT12" s="129"/>
      <c r="DAU12" s="129"/>
      <c r="DAV12" s="129"/>
      <c r="DAW12" s="129"/>
      <c r="DAX12" s="129"/>
      <c r="DAY12" s="129"/>
      <c r="DAZ12" s="129"/>
      <c r="DBA12" s="129"/>
      <c r="DBB12" s="129"/>
      <c r="DBC12" s="129"/>
      <c r="DBD12" s="129"/>
      <c r="DBE12" s="129"/>
      <c r="DBF12" s="129"/>
      <c r="DBG12" s="129"/>
      <c r="DBH12" s="129"/>
      <c r="DBI12" s="129"/>
      <c r="DBJ12" s="129"/>
      <c r="DBK12" s="129"/>
      <c r="DBL12" s="128"/>
      <c r="DBM12" s="128"/>
      <c r="DBN12" s="128"/>
      <c r="DBO12" s="128"/>
      <c r="DBP12" s="128"/>
      <c r="DBQ12" s="128"/>
      <c r="DBR12" s="129"/>
      <c r="DBS12" s="129"/>
      <c r="DBT12" s="129"/>
      <c r="DBU12" s="129"/>
      <c r="DBV12" s="129"/>
      <c r="DBW12" s="129"/>
      <c r="DBX12" s="129"/>
      <c r="DBY12" s="129"/>
      <c r="DBZ12" s="129"/>
      <c r="DCA12" s="129"/>
      <c r="DCB12" s="129"/>
      <c r="DCC12" s="129"/>
      <c r="DCD12" s="129"/>
      <c r="DCE12" s="129"/>
      <c r="DCF12" s="129"/>
      <c r="DCG12" s="129"/>
      <c r="DCH12" s="129"/>
      <c r="DCI12" s="129"/>
      <c r="DCJ12" s="129"/>
      <c r="DCK12" s="129"/>
      <c r="DCL12" s="129"/>
      <c r="DCM12" s="129"/>
      <c r="DCN12" s="129"/>
      <c r="DCO12" s="129"/>
      <c r="DCP12" s="129"/>
      <c r="DCQ12" s="129"/>
      <c r="DCR12" s="129"/>
      <c r="DCS12" s="129"/>
      <c r="DCT12" s="128"/>
      <c r="DCU12" s="128"/>
      <c r="DCV12" s="128"/>
      <c r="DCW12" s="128"/>
      <c r="DCX12" s="128"/>
      <c r="DCY12" s="128"/>
      <c r="DCZ12" s="128"/>
      <c r="DDB12" s="128" t="s">
        <v>521</v>
      </c>
      <c r="DDC12" s="128"/>
      <c r="DDD12" s="128"/>
      <c r="DDE12" s="128"/>
      <c r="DDF12" s="128"/>
      <c r="DDG12" s="128"/>
      <c r="DDH12" s="128"/>
      <c r="DDI12" s="128"/>
      <c r="DDJ12" s="128"/>
      <c r="DDK12" s="128"/>
      <c r="DDL12" s="128"/>
      <c r="DDM12" s="128"/>
      <c r="DDN12" s="128"/>
      <c r="DDO12" s="128"/>
      <c r="DDP12" s="128"/>
      <c r="DDQ12" s="128"/>
      <c r="DDR12" s="128"/>
      <c r="DDS12" s="128"/>
      <c r="DDT12" s="128"/>
      <c r="DDU12" s="128"/>
      <c r="DDV12" s="128"/>
      <c r="DDW12" s="128"/>
      <c r="DDX12" s="128"/>
      <c r="DDY12" s="128"/>
      <c r="DDZ12" s="128"/>
      <c r="DEA12" s="128"/>
      <c r="DEB12" s="128"/>
      <c r="DEC12" s="128"/>
      <c r="DED12" s="128"/>
      <c r="DEE12" s="128"/>
      <c r="DEF12" s="128"/>
      <c r="DEG12" s="129"/>
      <c r="DEH12" s="129"/>
      <c r="DEI12" s="129"/>
      <c r="DEJ12" s="129"/>
      <c r="DEK12" s="129"/>
      <c r="DEL12" s="129"/>
      <c r="DEM12" s="129"/>
      <c r="DEN12" s="129"/>
      <c r="DEO12" s="129"/>
      <c r="DEP12" s="129"/>
      <c r="DEQ12" s="129"/>
      <c r="DER12" s="129"/>
      <c r="DES12" s="129"/>
      <c r="DET12" s="129"/>
      <c r="DEU12" s="129"/>
      <c r="DEV12" s="129"/>
      <c r="DEW12" s="129"/>
      <c r="DEX12" s="129"/>
      <c r="DEY12" s="129"/>
      <c r="DEZ12" s="129"/>
      <c r="DFA12" s="129"/>
      <c r="DFB12" s="128"/>
      <c r="DFC12" s="128"/>
      <c r="DFD12" s="128"/>
      <c r="DFE12" s="128"/>
      <c r="DFF12" s="128"/>
      <c r="DFG12" s="128"/>
      <c r="DFH12" s="129"/>
      <c r="DFI12" s="129"/>
      <c r="DFJ12" s="129"/>
      <c r="DFK12" s="129"/>
      <c r="DFL12" s="129"/>
      <c r="DFM12" s="129"/>
      <c r="DFN12" s="129"/>
      <c r="DFO12" s="129"/>
      <c r="DFP12" s="129"/>
      <c r="DFQ12" s="129"/>
      <c r="DFR12" s="129"/>
      <c r="DFS12" s="129"/>
      <c r="DFT12" s="129"/>
      <c r="DFU12" s="129"/>
      <c r="DFV12" s="129"/>
      <c r="DFW12" s="129"/>
      <c r="DFX12" s="129"/>
      <c r="DFY12" s="129"/>
      <c r="DFZ12" s="129"/>
      <c r="DGA12" s="129"/>
      <c r="DGB12" s="129"/>
      <c r="DGC12" s="129"/>
      <c r="DGD12" s="129"/>
      <c r="DGE12" s="129"/>
      <c r="DGF12" s="129"/>
      <c r="DGG12" s="129"/>
      <c r="DGH12" s="129"/>
      <c r="DGI12" s="129"/>
      <c r="DGJ12" s="128"/>
      <c r="DGK12" s="128"/>
      <c r="DGL12" s="128"/>
      <c r="DGM12" s="128"/>
      <c r="DGN12" s="128"/>
      <c r="DGO12" s="128"/>
      <c r="DGP12" s="128"/>
    </row>
    <row r="13" spans="2:2996" ht="15" customHeight="1" x14ac:dyDescent="0.25">
      <c r="B13" s="188" t="s">
        <v>25</v>
      </c>
      <c r="C13" s="189"/>
      <c r="D13" s="189"/>
      <c r="E13" s="189"/>
      <c r="F13" s="189"/>
      <c r="G13" s="189"/>
      <c r="H13" s="189"/>
      <c r="I13" s="189"/>
      <c r="J13" s="189"/>
      <c r="K13" s="189"/>
      <c r="L13" s="189"/>
      <c r="M13" s="189"/>
      <c r="N13" s="189"/>
      <c r="O13" s="189"/>
      <c r="P13" s="189"/>
      <c r="Q13" s="130">
        <f>'Level-up'!E3</f>
        <v>65</v>
      </c>
      <c r="R13" s="130"/>
      <c r="S13" s="130"/>
      <c r="T13" s="130"/>
      <c r="U13" s="130"/>
      <c r="V13" s="130"/>
      <c r="W13" s="130"/>
      <c r="X13" s="130">
        <f>'Character Creation'!AJ40</f>
        <v>100</v>
      </c>
      <c r="Y13" s="130"/>
      <c r="Z13" s="130"/>
      <c r="AA13" s="130"/>
      <c r="AB13" s="130"/>
      <c r="AC13" s="130"/>
      <c r="AD13" s="130"/>
      <c r="AE13" s="130">
        <f t="shared" ref="AE13:AE22" si="1">VLOOKUP(Q13,BonusChart,2,FALSE)</f>
        <v>2</v>
      </c>
      <c r="AF13" s="130"/>
      <c r="AG13" s="130"/>
      <c r="AH13" s="130"/>
      <c r="AI13" s="130"/>
      <c r="AJ13" s="130"/>
      <c r="AK13" s="130"/>
      <c r="AL13" s="130">
        <f>VLOOKUP('Character Creation'!$Z$11,RaceChart,2,FALSE)</f>
        <v>0</v>
      </c>
      <c r="AM13" s="130"/>
      <c r="AN13" s="130"/>
      <c r="AO13" s="130"/>
      <c r="AP13" s="130"/>
      <c r="AQ13" s="130"/>
      <c r="AR13" s="130"/>
      <c r="AS13" s="130">
        <f>IF(Sex="Female",1,0)</f>
        <v>0</v>
      </c>
      <c r="AT13" s="130"/>
      <c r="AU13" s="130"/>
      <c r="AV13" s="130"/>
      <c r="AW13" s="130"/>
      <c r="AX13" s="130"/>
      <c r="AY13" s="130"/>
      <c r="AZ13" s="210">
        <f>SUM(AE13:AY13)</f>
        <v>2</v>
      </c>
      <c r="BA13" s="210"/>
      <c r="BB13" s="210"/>
      <c r="BC13" s="210"/>
      <c r="BD13" s="210"/>
      <c r="BE13" s="210"/>
      <c r="BF13" s="211"/>
      <c r="BH13" s="188" t="s">
        <v>1994</v>
      </c>
      <c r="BI13" s="189"/>
      <c r="BJ13" s="189"/>
      <c r="BK13" s="189"/>
      <c r="BL13" s="189"/>
      <c r="BM13" s="189"/>
      <c r="BN13" s="189"/>
      <c r="BO13" s="189"/>
      <c r="BP13" s="189"/>
      <c r="BQ13" s="189"/>
      <c r="BR13" s="189"/>
      <c r="BS13" s="189"/>
      <c r="BT13" s="189"/>
      <c r="BU13" s="189"/>
      <c r="BV13" s="189"/>
      <c r="BW13" s="189"/>
      <c r="BX13" s="189"/>
      <c r="BY13" s="189"/>
      <c r="BZ13" s="189"/>
      <c r="CA13" s="130">
        <f>In</f>
        <v>2</v>
      </c>
      <c r="CB13" s="130"/>
      <c r="CC13" s="130"/>
      <c r="CD13" s="130"/>
      <c r="CE13" s="130"/>
      <c r="CF13" s="130"/>
      <c r="CG13" s="130"/>
      <c r="CH13" s="130">
        <f>VLOOKUP('Character Creation'!$Z$11,RaceChart,12,FALSE)</f>
        <v>0</v>
      </c>
      <c r="CI13" s="130"/>
      <c r="CJ13" s="130"/>
      <c r="CK13" s="130"/>
      <c r="CL13" s="130"/>
      <c r="CM13" s="130"/>
      <c r="CN13" s="130"/>
      <c r="CO13" s="130">
        <f>IF(ISNUMBER(SEARCH("Chan.",$BJ$8)),10,0)</f>
        <v>0</v>
      </c>
      <c r="CP13" s="130"/>
      <c r="CQ13" s="130"/>
      <c r="CR13" s="130"/>
      <c r="CS13" s="130"/>
      <c r="CT13" s="130"/>
      <c r="CU13" s="130"/>
      <c r="CV13" s="210">
        <f>SUM(CA13:CU13)+($BJ$5*2)</f>
        <v>2</v>
      </c>
      <c r="CW13" s="210"/>
      <c r="CX13" s="210"/>
      <c r="CY13" s="210"/>
      <c r="CZ13" s="210"/>
      <c r="DA13" s="210"/>
      <c r="DB13" s="211"/>
      <c r="DC13"/>
      <c r="DD13" s="133" t="s">
        <v>123</v>
      </c>
      <c r="DE13" s="134"/>
      <c r="DF13" s="134"/>
      <c r="DG13" s="134"/>
      <c r="DH13" s="134"/>
      <c r="DI13" s="134"/>
      <c r="DJ13" s="134"/>
      <c r="DK13" s="134"/>
      <c r="DL13" s="134"/>
      <c r="DM13" s="134"/>
      <c r="DN13" s="134"/>
      <c r="DO13" s="134"/>
      <c r="DP13" s="134"/>
      <c r="DQ13" s="134"/>
      <c r="DR13" s="134"/>
      <c r="DS13" s="134"/>
      <c r="DT13" s="134"/>
      <c r="DU13" s="134"/>
      <c r="DV13" s="134"/>
      <c r="DW13" s="134"/>
      <c r="DX13" s="134"/>
      <c r="DY13" s="134"/>
      <c r="DZ13" s="134"/>
      <c r="EA13" s="134"/>
      <c r="EB13" s="134"/>
      <c r="EC13" s="134"/>
      <c r="ED13" s="134"/>
      <c r="EE13" s="134"/>
      <c r="EF13" s="134"/>
      <c r="EG13" s="294">
        <f>St+10</f>
        <v>13</v>
      </c>
      <c r="EH13" s="294"/>
      <c r="EI13" s="294"/>
      <c r="EJ13" s="294"/>
      <c r="EK13" s="294"/>
      <c r="EL13" s="294"/>
      <c r="EM13" s="294"/>
      <c r="EN13" s="294"/>
      <c r="EO13" s="130" t="s">
        <v>117</v>
      </c>
      <c r="EP13" s="130"/>
      <c r="EQ13" s="130"/>
      <c r="ER13" s="130"/>
      <c r="ES13" s="295">
        <f>ROUND((LEFT(EG13,2)*'Character Creation'!Z18)/100,1)</f>
        <v>20.3</v>
      </c>
      <c r="ET13" s="295"/>
      <c r="EU13" s="295"/>
      <c r="EV13" s="295"/>
      <c r="EW13" s="295"/>
      <c r="EX13" s="295"/>
      <c r="EY13" s="295"/>
      <c r="EZ13" s="296"/>
      <c r="FB13" s="139"/>
      <c r="FC13" s="140"/>
      <c r="FD13" s="140"/>
      <c r="FE13" s="140"/>
      <c r="FF13" s="140"/>
      <c r="FG13" s="140"/>
      <c r="FH13" s="140"/>
      <c r="FI13" s="140"/>
      <c r="FJ13" s="140"/>
      <c r="FK13" s="140"/>
      <c r="FL13" s="140"/>
      <c r="FM13" s="140"/>
      <c r="FN13" s="140"/>
      <c r="FO13" s="140"/>
      <c r="FP13" s="140"/>
      <c r="FQ13" s="140"/>
      <c r="FR13" s="140"/>
      <c r="FS13" s="140"/>
      <c r="FT13" s="140"/>
      <c r="FU13" s="140"/>
      <c r="FV13" s="140"/>
      <c r="FW13" s="140"/>
      <c r="FX13" s="140"/>
      <c r="FY13" s="140"/>
      <c r="FZ13" s="140"/>
      <c r="GA13" s="140"/>
      <c r="GB13" s="140"/>
      <c r="GC13" s="140"/>
      <c r="GD13" s="140"/>
      <c r="GE13" s="140"/>
      <c r="GF13" s="140"/>
      <c r="GG13" s="140"/>
      <c r="GH13" s="140"/>
      <c r="GI13" s="140"/>
      <c r="GJ13" s="140"/>
      <c r="GK13" s="140"/>
      <c r="GL13" s="140"/>
      <c r="GM13" s="140"/>
      <c r="GN13" s="140"/>
      <c r="GO13" s="140"/>
      <c r="GP13" s="140"/>
      <c r="GQ13" s="140"/>
      <c r="GR13" s="140"/>
      <c r="GS13" s="140"/>
      <c r="GT13" s="141">
        <v>0</v>
      </c>
      <c r="GU13" s="141"/>
      <c r="GV13" s="141"/>
      <c r="GW13" s="141"/>
      <c r="GX13" s="141"/>
      <c r="GY13" s="141"/>
      <c r="GZ13" s="141"/>
      <c r="HA13" s="141"/>
      <c r="HB13" s="142" t="str">
        <f>IFERROR(ROUND(((Calculations!BV13/185)*'Character Creation'!$Z$18)*GT13,2),"")</f>
        <v/>
      </c>
      <c r="HC13" s="142"/>
      <c r="HD13" s="142"/>
      <c r="HE13" s="142"/>
      <c r="HF13" s="142"/>
      <c r="HG13" s="142"/>
      <c r="HH13" s="142"/>
      <c r="HI13" s="142"/>
      <c r="HJ13" s="142">
        <f>IFERROR(Calculations!BS13+IQ13+IX13,"")</f>
        <v>0</v>
      </c>
      <c r="HK13" s="142"/>
      <c r="HL13" s="142"/>
      <c r="HM13" s="142"/>
      <c r="HN13" s="142"/>
      <c r="HO13" s="142"/>
      <c r="HP13" s="142"/>
      <c r="HQ13" s="142"/>
      <c r="HR13" s="142" t="str">
        <f t="shared" si="0"/>
        <v/>
      </c>
      <c r="HS13" s="142"/>
      <c r="HT13" s="142"/>
      <c r="HU13" s="142"/>
      <c r="HV13" s="142"/>
      <c r="HW13" s="142"/>
      <c r="HX13" s="142"/>
      <c r="HY13" s="142"/>
      <c r="HZ13" s="142" t="str">
        <f>IFERROR(Calculations!BX13,"")</f>
        <v/>
      </c>
      <c r="IA13" s="142"/>
      <c r="IB13" s="142"/>
      <c r="IC13" s="142"/>
      <c r="ID13" s="142"/>
      <c r="IE13" s="142"/>
      <c r="IF13" s="142"/>
      <c r="IG13" s="142"/>
      <c r="IH13" s="142"/>
      <c r="II13" s="142"/>
      <c r="IJ13" s="142" t="str">
        <f>IFERROR(Calculations!BR13+IX13,"")</f>
        <v/>
      </c>
      <c r="IK13" s="142"/>
      <c r="IL13" s="142"/>
      <c r="IM13" s="142"/>
      <c r="IN13" s="142"/>
      <c r="IO13" s="142"/>
      <c r="IP13" s="142"/>
      <c r="IQ13" s="141">
        <v>0</v>
      </c>
      <c r="IR13" s="141"/>
      <c r="IS13" s="141"/>
      <c r="IT13" s="141"/>
      <c r="IU13" s="141"/>
      <c r="IV13" s="141"/>
      <c r="IW13" s="141"/>
      <c r="IX13" s="141">
        <v>0</v>
      </c>
      <c r="IY13" s="141"/>
      <c r="IZ13" s="141"/>
      <c r="JA13" s="141"/>
      <c r="JB13" s="141"/>
      <c r="JC13" s="141"/>
      <c r="JD13" s="141"/>
      <c r="JE13" s="141"/>
      <c r="JF13" s="142"/>
      <c r="JG13" s="142"/>
      <c r="JH13" s="142"/>
      <c r="JI13" s="142"/>
      <c r="JJ13" s="142"/>
      <c r="JK13" s="143" t="str">
        <f>Calculations!AS13</f>
        <v/>
      </c>
      <c r="JL13" s="143"/>
      <c r="JM13" s="143"/>
      <c r="JN13" s="143"/>
      <c r="JO13" s="143"/>
      <c r="JP13" s="143"/>
      <c r="JQ13" s="143"/>
      <c r="JR13" s="143"/>
      <c r="JS13" s="143"/>
      <c r="JT13" s="143"/>
      <c r="JU13" s="143"/>
      <c r="JV13" s="143"/>
      <c r="JW13" s="143"/>
      <c r="JX13" s="143"/>
      <c r="JY13" s="143"/>
      <c r="JZ13" s="143"/>
      <c r="KA13" s="143"/>
      <c r="KB13" s="143"/>
      <c r="KC13" s="143" t="str">
        <f>Calculations!AW13</f>
        <v/>
      </c>
      <c r="KD13" s="143"/>
      <c r="KE13" s="143"/>
      <c r="KF13" s="143"/>
      <c r="KG13" s="143"/>
      <c r="KH13" s="143"/>
      <c r="KI13" s="143"/>
      <c r="KJ13" s="143"/>
      <c r="KK13" s="143"/>
      <c r="KL13" s="143"/>
      <c r="KM13" s="143"/>
      <c r="KN13" s="143"/>
      <c r="KO13" s="143"/>
      <c r="KP13" s="143"/>
      <c r="KQ13" s="143"/>
      <c r="KR13" s="143"/>
      <c r="KS13" s="143"/>
      <c r="KT13" s="143"/>
      <c r="KU13" s="144"/>
      <c r="KV13" s="144"/>
      <c r="KW13" s="144"/>
      <c r="KX13" s="144"/>
      <c r="KY13" s="144"/>
      <c r="KZ13" s="144"/>
      <c r="LA13" s="144"/>
      <c r="LB13" s="144"/>
      <c r="LC13" s="144"/>
      <c r="LD13" s="144"/>
      <c r="LE13" s="144"/>
      <c r="LF13" s="144"/>
      <c r="LG13" s="144"/>
      <c r="LH13" s="144"/>
      <c r="LI13" s="144"/>
      <c r="LJ13" s="144"/>
      <c r="LK13" s="144"/>
      <c r="LL13" s="144"/>
      <c r="LM13" s="144"/>
      <c r="LN13" s="144"/>
      <c r="LO13" s="144"/>
      <c r="LP13" s="144"/>
      <c r="LQ13" s="144"/>
      <c r="LR13" s="144"/>
      <c r="LS13" s="144"/>
      <c r="LT13" s="144"/>
      <c r="LU13" s="144"/>
      <c r="LV13" s="144"/>
      <c r="LW13" s="144"/>
      <c r="LX13" s="144"/>
      <c r="LY13" s="144"/>
      <c r="LZ13" s="144"/>
      <c r="MA13" s="144"/>
      <c r="MB13" s="144"/>
      <c r="MC13" s="144"/>
      <c r="MD13" s="144"/>
      <c r="ME13" s="144"/>
      <c r="MF13" s="144"/>
      <c r="MG13" s="144"/>
      <c r="MH13" s="144"/>
      <c r="MI13" s="144"/>
      <c r="MJ13" s="144"/>
      <c r="MK13" s="144"/>
      <c r="ML13" s="144"/>
      <c r="MM13" s="144"/>
      <c r="MN13" s="144"/>
      <c r="MO13" s="144"/>
      <c r="MP13" s="144"/>
      <c r="MQ13" s="144"/>
      <c r="MR13" s="144"/>
      <c r="MS13" s="144"/>
      <c r="MT13" s="144"/>
      <c r="MU13" s="144"/>
      <c r="MV13" s="144"/>
      <c r="MW13" s="144"/>
      <c r="MX13" s="144"/>
      <c r="MY13" s="144"/>
      <c r="MZ13" s="145"/>
      <c r="NB13" s="128" t="s">
        <v>2001</v>
      </c>
      <c r="NC13" s="128"/>
      <c r="ND13" s="128"/>
      <c r="NE13" s="128"/>
      <c r="NF13" s="128"/>
      <c r="NG13" s="128"/>
      <c r="NH13" s="128"/>
      <c r="NI13" s="128"/>
      <c r="NJ13" s="128"/>
      <c r="NK13" s="128"/>
      <c r="NL13" s="128"/>
      <c r="NM13" s="128"/>
      <c r="NN13" s="128"/>
      <c r="NO13" s="128"/>
      <c r="NP13" s="128"/>
      <c r="NQ13" s="128"/>
      <c r="NR13" s="128"/>
      <c r="NS13" s="128"/>
      <c r="NT13" s="128"/>
      <c r="NU13" s="128"/>
      <c r="NV13" s="128"/>
      <c r="NW13" s="128"/>
      <c r="NX13" s="128"/>
      <c r="NY13" s="128"/>
      <c r="NZ13" s="128"/>
      <c r="OA13" s="128"/>
      <c r="OB13" s="128"/>
      <c r="OC13" s="128"/>
      <c r="OD13" s="128"/>
      <c r="OE13" s="128"/>
      <c r="OF13" s="128"/>
      <c r="OG13" s="129"/>
      <c r="OH13" s="129"/>
      <c r="OI13" s="129"/>
      <c r="OJ13" s="129"/>
      <c r="OK13" s="129"/>
      <c r="OL13" s="129"/>
      <c r="OM13" s="129"/>
      <c r="ON13" s="129"/>
      <c r="OO13" s="129"/>
      <c r="OP13" s="129"/>
      <c r="OQ13" s="129"/>
      <c r="OR13" s="129"/>
      <c r="OS13" s="129"/>
      <c r="OT13" s="129"/>
      <c r="OU13" s="129"/>
      <c r="OV13" s="129"/>
      <c r="OW13" s="129"/>
      <c r="OX13" s="129"/>
      <c r="OY13" s="129"/>
      <c r="OZ13" s="129"/>
      <c r="PA13" s="129"/>
      <c r="PB13" s="128"/>
      <c r="PC13" s="128"/>
      <c r="PD13" s="128"/>
      <c r="PE13" s="128"/>
      <c r="PF13" s="128"/>
      <c r="PG13" s="128"/>
      <c r="PH13" s="129"/>
      <c r="PI13" s="129"/>
      <c r="PJ13" s="129"/>
      <c r="PK13" s="129"/>
      <c r="PL13" s="129"/>
      <c r="PM13" s="129"/>
      <c r="PN13" s="129"/>
      <c r="PO13" s="129"/>
      <c r="PP13" s="129"/>
      <c r="PQ13" s="129"/>
      <c r="PR13" s="129"/>
      <c r="PS13" s="129"/>
      <c r="PT13" s="129"/>
      <c r="PU13" s="129"/>
      <c r="PV13" s="129"/>
      <c r="PW13" s="129"/>
      <c r="PX13" s="129"/>
      <c r="PY13" s="129"/>
      <c r="PZ13" s="129"/>
      <c r="QA13" s="129"/>
      <c r="QB13" s="129"/>
      <c r="QC13" s="129"/>
      <c r="QD13" s="129"/>
      <c r="QE13" s="129"/>
      <c r="QF13" s="129"/>
      <c r="QG13" s="129"/>
      <c r="QH13" s="129"/>
      <c r="QI13" s="129"/>
      <c r="QJ13" s="128"/>
      <c r="QK13" s="128"/>
      <c r="QL13" s="128"/>
      <c r="QM13" s="128"/>
      <c r="QN13" s="128"/>
      <c r="QO13" s="128"/>
      <c r="QP13" s="128"/>
      <c r="ABN13" s="128" t="s">
        <v>180</v>
      </c>
      <c r="ABO13" s="128"/>
      <c r="ABP13" s="128"/>
      <c r="ABQ13" s="128"/>
      <c r="ABR13" s="128"/>
      <c r="ABS13" s="128"/>
      <c r="ABT13" s="128"/>
      <c r="ABU13" s="128"/>
      <c r="ABV13" s="128"/>
      <c r="ABW13" s="128"/>
      <c r="ABX13" s="128"/>
      <c r="ABY13" s="128"/>
      <c r="ABZ13" s="128"/>
      <c r="ACA13" s="128"/>
      <c r="ACB13" s="128"/>
      <c r="ACC13" s="128"/>
      <c r="ACD13" s="128"/>
      <c r="ACE13" s="128"/>
      <c r="ACF13" s="128"/>
      <c r="ACG13" s="128"/>
      <c r="ACH13" s="128"/>
      <c r="ACI13" s="128"/>
      <c r="ACJ13" s="128"/>
      <c r="ACK13" s="128"/>
      <c r="ACL13" s="128"/>
      <c r="ACM13" s="128"/>
      <c r="ACN13" s="128"/>
      <c r="ACO13" s="128"/>
      <c r="ACP13" s="128"/>
      <c r="ACQ13" s="128"/>
      <c r="ACR13" s="128"/>
      <c r="ACS13" s="129"/>
      <c r="ACT13" s="129"/>
      <c r="ACU13" s="129"/>
      <c r="ACV13" s="129"/>
      <c r="ACW13" s="129"/>
      <c r="ACX13" s="129"/>
      <c r="ACY13" s="129"/>
      <c r="ACZ13" s="129"/>
      <c r="ADA13" s="129"/>
      <c r="ADB13" s="129"/>
      <c r="ADC13" s="129"/>
      <c r="ADD13" s="129"/>
      <c r="ADE13" s="129"/>
      <c r="ADF13" s="129"/>
      <c r="ADG13" s="129"/>
      <c r="ADH13" s="129"/>
      <c r="ADI13" s="129"/>
      <c r="ADJ13" s="129"/>
      <c r="ADK13" s="129"/>
      <c r="ADL13" s="129"/>
      <c r="ADM13" s="129"/>
      <c r="ADN13" s="128"/>
      <c r="ADO13" s="128"/>
      <c r="ADP13" s="128"/>
      <c r="ADQ13" s="128"/>
      <c r="ADR13" s="128"/>
      <c r="ADS13" s="128"/>
      <c r="ADT13" s="129"/>
      <c r="ADU13" s="129"/>
      <c r="ADV13" s="129"/>
      <c r="ADW13" s="129"/>
      <c r="ADX13" s="129"/>
      <c r="ADY13" s="129"/>
      <c r="ADZ13" s="129"/>
      <c r="AEA13" s="129"/>
      <c r="AEB13" s="129"/>
      <c r="AEC13" s="129"/>
      <c r="AED13" s="129"/>
      <c r="AEE13" s="129"/>
      <c r="AEF13" s="129"/>
      <c r="AEG13" s="129"/>
      <c r="AEH13" s="129"/>
      <c r="AEI13" s="129"/>
      <c r="AEJ13" s="129"/>
      <c r="AEK13" s="129"/>
      <c r="AEL13" s="129"/>
      <c r="AEM13" s="129"/>
      <c r="AEN13" s="129"/>
      <c r="AEO13" s="129"/>
      <c r="AEP13" s="129"/>
      <c r="AEQ13" s="129"/>
      <c r="AER13" s="129"/>
      <c r="AES13" s="129"/>
      <c r="AET13" s="129"/>
      <c r="AEU13" s="129"/>
      <c r="AEV13" s="128"/>
      <c r="AEW13" s="128"/>
      <c r="AEX13" s="128"/>
      <c r="AEY13" s="128"/>
      <c r="AEZ13" s="128"/>
      <c r="AFA13" s="128"/>
      <c r="AFB13" s="128"/>
      <c r="AIT13" s="128" t="s">
        <v>198</v>
      </c>
      <c r="AIU13" s="128"/>
      <c r="AIV13" s="128"/>
      <c r="AIW13" s="128"/>
      <c r="AIX13" s="128"/>
      <c r="AIY13" s="128"/>
      <c r="AIZ13" s="128"/>
      <c r="AJA13" s="128"/>
      <c r="AJB13" s="128"/>
      <c r="AJC13" s="128"/>
      <c r="AJD13" s="128"/>
      <c r="AJE13" s="128"/>
      <c r="AJF13" s="128"/>
      <c r="AJG13" s="128"/>
      <c r="AJH13" s="128"/>
      <c r="AJI13" s="128"/>
      <c r="AJJ13" s="128"/>
      <c r="AJK13" s="128"/>
      <c r="AJL13" s="128"/>
      <c r="AJM13" s="128"/>
      <c r="AJN13" s="128"/>
      <c r="AJO13" s="128"/>
      <c r="AJP13" s="128"/>
      <c r="AJQ13" s="128"/>
      <c r="AJR13" s="128"/>
      <c r="AJS13" s="128"/>
      <c r="AJT13" s="128"/>
      <c r="AJU13" s="128"/>
      <c r="AJV13" s="128"/>
      <c r="AJW13" s="128"/>
      <c r="AJX13" s="128"/>
      <c r="AJY13" s="129"/>
      <c r="AJZ13" s="129"/>
      <c r="AKA13" s="129"/>
      <c r="AKB13" s="129"/>
      <c r="AKC13" s="129"/>
      <c r="AKD13" s="129"/>
      <c r="AKE13" s="129"/>
      <c r="AKF13" s="129"/>
      <c r="AKG13" s="129"/>
      <c r="AKH13" s="129"/>
      <c r="AKI13" s="129"/>
      <c r="AKJ13" s="129"/>
      <c r="AKK13" s="129"/>
      <c r="AKL13" s="129"/>
      <c r="AKM13" s="129"/>
      <c r="AKN13" s="129"/>
      <c r="AKO13" s="129"/>
      <c r="AKP13" s="129"/>
      <c r="AKQ13" s="129"/>
      <c r="AKR13" s="129"/>
      <c r="AKS13" s="129"/>
      <c r="AKT13" s="128"/>
      <c r="AKU13" s="128"/>
      <c r="AKV13" s="128"/>
      <c r="AKW13" s="128"/>
      <c r="AKX13" s="128"/>
      <c r="AKY13" s="128"/>
      <c r="AKZ13" s="129"/>
      <c r="ALA13" s="129"/>
      <c r="ALB13" s="129"/>
      <c r="ALC13" s="129"/>
      <c r="ALD13" s="129"/>
      <c r="ALE13" s="129"/>
      <c r="ALF13" s="129"/>
      <c r="ALG13" s="129"/>
      <c r="ALH13" s="129"/>
      <c r="ALI13" s="129"/>
      <c r="ALJ13" s="129"/>
      <c r="ALK13" s="129"/>
      <c r="ALL13" s="129"/>
      <c r="ALM13" s="129"/>
      <c r="ALN13" s="129"/>
      <c r="ALO13" s="129"/>
      <c r="ALP13" s="129"/>
      <c r="ALQ13" s="129"/>
      <c r="ALR13" s="129"/>
      <c r="ALS13" s="129"/>
      <c r="ALT13" s="129"/>
      <c r="ALU13" s="129"/>
      <c r="ALV13" s="129"/>
      <c r="ALW13" s="129"/>
      <c r="ALX13" s="129"/>
      <c r="ALY13" s="129"/>
      <c r="ALZ13" s="129"/>
      <c r="AMA13" s="129"/>
      <c r="AMB13" s="128"/>
      <c r="AMC13" s="128"/>
      <c r="AMD13" s="128"/>
      <c r="AME13" s="128"/>
      <c r="AMF13" s="128"/>
      <c r="AMG13" s="128"/>
      <c r="AMH13" s="128"/>
      <c r="APZ13" s="128" t="s">
        <v>229</v>
      </c>
      <c r="AQA13" s="128"/>
      <c r="AQB13" s="128"/>
      <c r="AQC13" s="128"/>
      <c r="AQD13" s="128"/>
      <c r="AQE13" s="128"/>
      <c r="AQF13" s="128"/>
      <c r="AQG13" s="128"/>
      <c r="AQH13" s="128"/>
      <c r="AQI13" s="128"/>
      <c r="AQJ13" s="128"/>
      <c r="AQK13" s="128"/>
      <c r="AQL13" s="128"/>
      <c r="AQM13" s="128"/>
      <c r="AQN13" s="128"/>
      <c r="AQO13" s="128"/>
      <c r="AQP13" s="128"/>
      <c r="AQQ13" s="128"/>
      <c r="AQR13" s="128"/>
      <c r="AQS13" s="128"/>
      <c r="AQT13" s="128"/>
      <c r="AQU13" s="128"/>
      <c r="AQV13" s="128"/>
      <c r="AQW13" s="128"/>
      <c r="AQX13" s="128"/>
      <c r="AQY13" s="128"/>
      <c r="AQZ13" s="128"/>
      <c r="ARA13" s="128"/>
      <c r="ARB13" s="128"/>
      <c r="ARC13" s="128"/>
      <c r="ARD13" s="128"/>
      <c r="ARE13" s="129"/>
      <c r="ARF13" s="129"/>
      <c r="ARG13" s="129"/>
      <c r="ARH13" s="129"/>
      <c r="ARI13" s="129"/>
      <c r="ARJ13" s="129"/>
      <c r="ARK13" s="129"/>
      <c r="ARL13" s="129"/>
      <c r="ARM13" s="129"/>
      <c r="ARN13" s="129"/>
      <c r="ARO13" s="129"/>
      <c r="ARP13" s="129"/>
      <c r="ARQ13" s="129"/>
      <c r="ARR13" s="129"/>
      <c r="ARS13" s="129"/>
      <c r="ART13" s="129"/>
      <c r="ARU13" s="129"/>
      <c r="ARV13" s="129"/>
      <c r="ARW13" s="129"/>
      <c r="ARX13" s="129"/>
      <c r="ARY13" s="129"/>
      <c r="ARZ13" s="128"/>
      <c r="ASA13" s="128"/>
      <c r="ASB13" s="128"/>
      <c r="ASC13" s="128"/>
      <c r="ASD13" s="128"/>
      <c r="ASE13" s="128"/>
      <c r="ASF13" s="129"/>
      <c r="ASG13" s="129"/>
      <c r="ASH13" s="129"/>
      <c r="ASI13" s="129"/>
      <c r="ASJ13" s="129"/>
      <c r="ASK13" s="129"/>
      <c r="ASL13" s="129"/>
      <c r="ASM13" s="129"/>
      <c r="ASN13" s="129"/>
      <c r="ASO13" s="129"/>
      <c r="ASP13" s="129"/>
      <c r="ASQ13" s="129"/>
      <c r="ASR13" s="129"/>
      <c r="ASS13" s="129"/>
      <c r="AST13" s="129"/>
      <c r="ASU13" s="129"/>
      <c r="ASV13" s="129"/>
      <c r="ASW13" s="129"/>
      <c r="ASX13" s="129"/>
      <c r="ASY13" s="129"/>
      <c r="ASZ13" s="129"/>
      <c r="ATA13" s="129"/>
      <c r="ATB13" s="129"/>
      <c r="ATC13" s="129"/>
      <c r="ATD13" s="129"/>
      <c r="ATE13" s="129"/>
      <c r="ATF13" s="129"/>
      <c r="ATG13" s="129"/>
      <c r="ATH13" s="128"/>
      <c r="ATI13" s="128"/>
      <c r="ATJ13" s="128"/>
      <c r="ATK13" s="128"/>
      <c r="ATL13" s="128"/>
      <c r="ATM13" s="128"/>
      <c r="ATN13" s="128"/>
      <c r="BLR13" s="128" t="s">
        <v>326</v>
      </c>
      <c r="BLS13" s="128"/>
      <c r="BLT13" s="128"/>
      <c r="BLU13" s="128"/>
      <c r="BLV13" s="128"/>
      <c r="BLW13" s="128"/>
      <c r="BLX13" s="128"/>
      <c r="BLY13" s="128"/>
      <c r="BLZ13" s="128"/>
      <c r="BMA13" s="128"/>
      <c r="BMB13" s="128"/>
      <c r="BMC13" s="128"/>
      <c r="BMD13" s="128"/>
      <c r="BME13" s="128"/>
      <c r="BMF13" s="128"/>
      <c r="BMG13" s="128"/>
      <c r="BMH13" s="128"/>
      <c r="BMI13" s="128"/>
      <c r="BMJ13" s="128"/>
      <c r="BMK13" s="128"/>
      <c r="BML13" s="128"/>
      <c r="BMM13" s="128"/>
      <c r="BMN13" s="128"/>
      <c r="BMO13" s="128"/>
      <c r="BMP13" s="128"/>
      <c r="BMQ13" s="128"/>
      <c r="BMR13" s="128"/>
      <c r="BMS13" s="128"/>
      <c r="BMT13" s="128"/>
      <c r="BMU13" s="128"/>
      <c r="BMV13" s="128"/>
      <c r="BMW13" s="129"/>
      <c r="BMX13" s="129"/>
      <c r="BMY13" s="129"/>
      <c r="BMZ13" s="129"/>
      <c r="BNA13" s="129"/>
      <c r="BNB13" s="129"/>
      <c r="BNC13" s="129"/>
      <c r="BND13" s="129"/>
      <c r="BNE13" s="129"/>
      <c r="BNF13" s="129"/>
      <c r="BNG13" s="129"/>
      <c r="BNH13" s="129"/>
      <c r="BNI13" s="129"/>
      <c r="BNJ13" s="129"/>
      <c r="BNK13" s="129"/>
      <c r="BNL13" s="129"/>
      <c r="BNM13" s="129"/>
      <c r="BNN13" s="129"/>
      <c r="BNO13" s="129"/>
      <c r="BNP13" s="129"/>
      <c r="BNQ13" s="129"/>
      <c r="BNR13" s="128"/>
      <c r="BNS13" s="128"/>
      <c r="BNT13" s="128"/>
      <c r="BNU13" s="128"/>
      <c r="BNV13" s="128"/>
      <c r="BNW13" s="128"/>
      <c r="BNX13" s="129"/>
      <c r="BNY13" s="129"/>
      <c r="BNZ13" s="129"/>
      <c r="BOA13" s="129"/>
      <c r="BOB13" s="129"/>
      <c r="BOC13" s="129"/>
      <c r="BOD13" s="129"/>
      <c r="BOE13" s="129"/>
      <c r="BOF13" s="129"/>
      <c r="BOG13" s="129"/>
      <c r="BOH13" s="129"/>
      <c r="BOI13" s="129"/>
      <c r="BOJ13" s="129"/>
      <c r="BOK13" s="129"/>
      <c r="BOL13" s="129"/>
      <c r="BOM13" s="129"/>
      <c r="BON13" s="129"/>
      <c r="BOO13" s="129"/>
      <c r="BOP13" s="129"/>
      <c r="BOQ13" s="129"/>
      <c r="BOR13" s="129"/>
      <c r="BOS13" s="129"/>
      <c r="BOT13" s="129"/>
      <c r="BOU13" s="129"/>
      <c r="BOV13" s="129"/>
      <c r="BOW13" s="129"/>
      <c r="BOX13" s="129"/>
      <c r="BOY13" s="129"/>
      <c r="BOZ13" s="128"/>
      <c r="BPA13" s="128"/>
      <c r="BPB13" s="128"/>
      <c r="BPC13" s="128"/>
      <c r="BPD13" s="128"/>
      <c r="BPE13" s="128"/>
      <c r="BPF13" s="128"/>
      <c r="CDT13" s="128" t="s">
        <v>396</v>
      </c>
      <c r="CDU13" s="128"/>
      <c r="CDV13" s="128"/>
      <c r="CDW13" s="128"/>
      <c r="CDX13" s="128"/>
      <c r="CDY13" s="128"/>
      <c r="CDZ13" s="128"/>
      <c r="CEA13" s="128"/>
      <c r="CEB13" s="128"/>
      <c r="CEC13" s="128"/>
      <c r="CED13" s="128"/>
      <c r="CEE13" s="128"/>
      <c r="CEF13" s="128"/>
      <c r="CEG13" s="128"/>
      <c r="CEH13" s="128"/>
      <c r="CEI13" s="128"/>
      <c r="CEJ13" s="128"/>
      <c r="CEK13" s="128"/>
      <c r="CEL13" s="128"/>
      <c r="CEM13" s="128"/>
      <c r="CEN13" s="128"/>
      <c r="CEO13" s="128"/>
      <c r="CEP13" s="128"/>
      <c r="CEQ13" s="128"/>
      <c r="CER13" s="128"/>
      <c r="CES13" s="128"/>
      <c r="CET13" s="128"/>
      <c r="CEU13" s="128"/>
      <c r="CEV13" s="128"/>
      <c r="CEW13" s="128"/>
      <c r="CEX13" s="128"/>
      <c r="CEY13" s="129"/>
      <c r="CEZ13" s="129"/>
      <c r="CFA13" s="129"/>
      <c r="CFB13" s="129"/>
      <c r="CFC13" s="129"/>
      <c r="CFD13" s="129"/>
      <c r="CFE13" s="129"/>
      <c r="CFF13" s="129"/>
      <c r="CFG13" s="129"/>
      <c r="CFH13" s="129"/>
      <c r="CFI13" s="129"/>
      <c r="CFJ13" s="129"/>
      <c r="CFK13" s="129"/>
      <c r="CFL13" s="129"/>
      <c r="CFM13" s="129"/>
      <c r="CFN13" s="129"/>
      <c r="CFO13" s="129"/>
      <c r="CFP13" s="129"/>
      <c r="CFQ13" s="129"/>
      <c r="CFR13" s="129"/>
      <c r="CFS13" s="129"/>
      <c r="CFT13" s="128"/>
      <c r="CFU13" s="128"/>
      <c r="CFV13" s="128"/>
      <c r="CFW13" s="128"/>
      <c r="CFX13" s="128"/>
      <c r="CFY13" s="128"/>
      <c r="CFZ13" s="129"/>
      <c r="CGA13" s="129"/>
      <c r="CGB13" s="129"/>
      <c r="CGC13" s="129"/>
      <c r="CGD13" s="129"/>
      <c r="CGE13" s="129"/>
      <c r="CGF13" s="129"/>
      <c r="CGG13" s="129"/>
      <c r="CGH13" s="129"/>
      <c r="CGI13" s="129"/>
      <c r="CGJ13" s="129"/>
      <c r="CGK13" s="129"/>
      <c r="CGL13" s="129"/>
      <c r="CGM13" s="129"/>
      <c r="CGN13" s="129"/>
      <c r="CGO13" s="129"/>
      <c r="CGP13" s="129"/>
      <c r="CGQ13" s="129"/>
      <c r="CGR13" s="129"/>
      <c r="CGS13" s="129"/>
      <c r="CGT13" s="129"/>
      <c r="CGU13" s="129"/>
      <c r="CGV13" s="129"/>
      <c r="CGW13" s="129"/>
      <c r="CGX13" s="129"/>
      <c r="CGY13" s="129"/>
      <c r="CGZ13" s="129"/>
      <c r="CHA13" s="129"/>
      <c r="CHB13" s="128"/>
      <c r="CHC13" s="128"/>
      <c r="CHD13" s="128"/>
      <c r="CHE13" s="128"/>
      <c r="CHF13" s="128"/>
      <c r="CHG13" s="128"/>
      <c r="CHH13" s="128"/>
      <c r="CHJ13" s="128"/>
      <c r="CHK13" s="128"/>
      <c r="CHL13" s="128"/>
      <c r="CHM13" s="128"/>
      <c r="CHN13" s="128"/>
      <c r="CHO13" s="128"/>
      <c r="CHP13" s="128"/>
      <c r="CHQ13" s="128"/>
      <c r="CHR13" s="128"/>
      <c r="CHS13" s="128"/>
      <c r="CHT13" s="128"/>
      <c r="CHU13" s="128"/>
      <c r="CHV13" s="128"/>
      <c r="CHW13" s="128"/>
      <c r="CHX13" s="128"/>
      <c r="CHY13" s="128"/>
      <c r="CHZ13" s="128"/>
      <c r="CIA13" s="128"/>
      <c r="CIB13" s="128"/>
      <c r="CIC13" s="128"/>
      <c r="CID13" s="128"/>
      <c r="CIE13" s="128"/>
      <c r="CIF13" s="128"/>
      <c r="CIG13" s="128"/>
      <c r="CIH13" s="128"/>
      <c r="CII13" s="128"/>
      <c r="CIJ13" s="128"/>
      <c r="CIK13" s="128"/>
      <c r="CIL13" s="128"/>
      <c r="CIM13" s="128"/>
      <c r="CIN13" s="128"/>
      <c r="CIO13" s="129"/>
      <c r="CIP13" s="129"/>
      <c r="CIQ13" s="129"/>
      <c r="CIR13" s="129"/>
      <c r="CIS13" s="129"/>
      <c r="CIT13" s="129"/>
      <c r="CIU13" s="129"/>
      <c r="CIV13" s="129"/>
      <c r="CIW13" s="129"/>
      <c r="CIX13" s="129"/>
      <c r="CIY13" s="129"/>
      <c r="CIZ13" s="129"/>
      <c r="CJA13" s="129"/>
      <c r="CJB13" s="129"/>
      <c r="CJC13" s="129"/>
      <c r="CJD13" s="129"/>
      <c r="CJE13" s="129"/>
      <c r="CJF13" s="129"/>
      <c r="CJG13" s="129"/>
      <c r="CJH13" s="129"/>
      <c r="CJI13" s="129"/>
      <c r="CJJ13" s="128"/>
      <c r="CJK13" s="128"/>
      <c r="CJL13" s="128"/>
      <c r="CJM13" s="128"/>
      <c r="CJN13" s="128"/>
      <c r="CJO13" s="128"/>
      <c r="CJP13" s="129"/>
      <c r="CJQ13" s="129"/>
      <c r="CJR13" s="129"/>
      <c r="CJS13" s="129"/>
      <c r="CJT13" s="129"/>
      <c r="CJU13" s="129"/>
      <c r="CJV13" s="129"/>
      <c r="CJW13" s="129"/>
      <c r="CJX13" s="129"/>
      <c r="CJY13" s="129"/>
      <c r="CJZ13" s="129"/>
      <c r="CKA13" s="129"/>
      <c r="CKB13" s="129"/>
      <c r="CKC13" s="129"/>
      <c r="CKD13" s="129"/>
      <c r="CKE13" s="129"/>
      <c r="CKF13" s="129"/>
      <c r="CKG13" s="129"/>
      <c r="CKH13" s="129"/>
      <c r="CKI13" s="129"/>
      <c r="CKJ13" s="129"/>
      <c r="CKK13" s="129"/>
      <c r="CKL13" s="129"/>
      <c r="CKM13" s="129"/>
      <c r="CKN13" s="129"/>
      <c r="CKO13" s="129"/>
      <c r="CKP13" s="129"/>
      <c r="CKQ13" s="129"/>
      <c r="CKR13" s="128"/>
      <c r="CKS13" s="128"/>
      <c r="CKT13" s="128"/>
      <c r="CKU13" s="128"/>
      <c r="CKV13" s="128"/>
      <c r="CKW13" s="128"/>
      <c r="CKX13" s="128"/>
      <c r="CKZ13" s="128" t="s">
        <v>413</v>
      </c>
      <c r="CLA13" s="128"/>
      <c r="CLB13" s="128"/>
      <c r="CLC13" s="128"/>
      <c r="CLD13" s="128"/>
      <c r="CLE13" s="128"/>
      <c r="CLF13" s="128"/>
      <c r="CLG13" s="128"/>
      <c r="CLH13" s="128"/>
      <c r="CLI13" s="128"/>
      <c r="CLJ13" s="128"/>
      <c r="CLK13" s="128"/>
      <c r="CLL13" s="128"/>
      <c r="CLM13" s="128"/>
      <c r="CLN13" s="128"/>
      <c r="CLO13" s="128"/>
      <c r="CLP13" s="128"/>
      <c r="CLQ13" s="128"/>
      <c r="CLR13" s="128"/>
      <c r="CLS13" s="128"/>
      <c r="CLT13" s="128"/>
      <c r="CLU13" s="128"/>
      <c r="CLV13" s="128"/>
      <c r="CLW13" s="128"/>
      <c r="CLX13" s="128"/>
      <c r="CLY13" s="128"/>
      <c r="CLZ13" s="128"/>
      <c r="CMA13" s="128"/>
      <c r="CMB13" s="128"/>
      <c r="CMC13" s="128"/>
      <c r="CMD13" s="128"/>
      <c r="CME13" s="129"/>
      <c r="CMF13" s="129"/>
      <c r="CMG13" s="129"/>
      <c r="CMH13" s="129"/>
      <c r="CMI13" s="129"/>
      <c r="CMJ13" s="129"/>
      <c r="CMK13" s="129"/>
      <c r="CML13" s="129"/>
      <c r="CMM13" s="129"/>
      <c r="CMN13" s="129"/>
      <c r="CMO13" s="129"/>
      <c r="CMP13" s="129"/>
      <c r="CMQ13" s="129"/>
      <c r="CMR13" s="129"/>
      <c r="CMS13" s="129"/>
      <c r="CMT13" s="129"/>
      <c r="CMU13" s="129"/>
      <c r="CMV13" s="129"/>
      <c r="CMW13" s="129"/>
      <c r="CMX13" s="129"/>
      <c r="CMY13" s="129"/>
      <c r="CMZ13" s="128"/>
      <c r="CNA13" s="128"/>
      <c r="CNB13" s="128"/>
      <c r="CNC13" s="128"/>
      <c r="CND13" s="128"/>
      <c r="CNE13" s="128"/>
      <c r="CNF13" s="129"/>
      <c r="CNG13" s="129"/>
      <c r="CNH13" s="129"/>
      <c r="CNI13" s="129"/>
      <c r="CNJ13" s="129"/>
      <c r="CNK13" s="129"/>
      <c r="CNL13" s="129"/>
      <c r="CNM13" s="129"/>
      <c r="CNN13" s="129"/>
      <c r="CNO13" s="129"/>
      <c r="CNP13" s="129"/>
      <c r="CNQ13" s="129"/>
      <c r="CNR13" s="129"/>
      <c r="CNS13" s="129"/>
      <c r="CNT13" s="129"/>
      <c r="CNU13" s="129"/>
      <c r="CNV13" s="129"/>
      <c r="CNW13" s="129"/>
      <c r="CNX13" s="129"/>
      <c r="CNY13" s="129"/>
      <c r="CNZ13" s="129"/>
      <c r="COA13" s="129"/>
      <c r="COB13" s="129"/>
      <c r="COC13" s="129"/>
      <c r="COD13" s="129"/>
      <c r="COE13" s="129"/>
      <c r="COF13" s="129"/>
      <c r="COG13" s="129"/>
      <c r="COH13" s="128"/>
      <c r="COI13" s="128"/>
      <c r="COJ13" s="128"/>
      <c r="COK13" s="128"/>
      <c r="COL13" s="128"/>
      <c r="COM13" s="128"/>
      <c r="CON13" s="128"/>
      <c r="COP13" s="144" t="s">
        <v>147</v>
      </c>
      <c r="COQ13" s="144"/>
      <c r="COR13" s="144"/>
      <c r="COS13" s="144"/>
      <c r="COT13" s="144"/>
      <c r="COU13" s="144"/>
      <c r="COV13" s="144"/>
      <c r="COW13" s="144"/>
      <c r="COX13" s="144"/>
      <c r="COY13" s="144"/>
      <c r="COZ13" s="144"/>
      <c r="CPA13" s="144"/>
      <c r="CPB13" s="144"/>
      <c r="CPC13" s="144"/>
      <c r="CPD13" s="144"/>
      <c r="CPE13" s="144"/>
      <c r="CPF13" s="144"/>
      <c r="CPG13" s="144"/>
      <c r="CPH13" s="144"/>
      <c r="CPI13" s="144"/>
      <c r="CPJ13" s="144"/>
      <c r="CPK13" s="144"/>
      <c r="CPL13" s="144"/>
      <c r="CPM13" s="144"/>
      <c r="CPN13" s="144"/>
      <c r="CPO13" s="144"/>
      <c r="CPP13" s="144"/>
      <c r="CPQ13" s="144"/>
      <c r="CPR13" s="144"/>
      <c r="CPS13" s="144"/>
      <c r="CPT13" s="144"/>
      <c r="CPU13" s="129" t="s">
        <v>133</v>
      </c>
      <c r="CPV13" s="129"/>
      <c r="CPW13" s="129"/>
      <c r="CPX13" s="129"/>
      <c r="CPY13" s="129" t="s">
        <v>148</v>
      </c>
      <c r="CPZ13" s="129"/>
      <c r="CQA13" s="129"/>
      <c r="CQB13" s="129"/>
      <c r="CQC13" s="129"/>
      <c r="CQD13" s="129" t="s">
        <v>83</v>
      </c>
      <c r="CQE13" s="129"/>
      <c r="CQF13" s="129"/>
      <c r="CQG13" s="129"/>
      <c r="CQH13" s="129"/>
      <c r="CQI13" s="129"/>
      <c r="CQJ13" s="129" t="s">
        <v>37</v>
      </c>
      <c r="CQK13" s="129"/>
      <c r="CQL13" s="129"/>
      <c r="CQM13" s="129"/>
      <c r="CQN13" s="129"/>
      <c r="CQO13" s="129"/>
      <c r="CQP13" s="129" t="s">
        <v>49</v>
      </c>
      <c r="CQQ13" s="129"/>
      <c r="CQR13" s="129"/>
      <c r="CQS13" s="129"/>
      <c r="CQT13" s="129"/>
      <c r="CQU13" s="129"/>
      <c r="CQV13" s="129" t="s">
        <v>149</v>
      </c>
      <c r="CQW13" s="129"/>
      <c r="CQX13" s="129"/>
      <c r="CQY13" s="129"/>
      <c r="CQZ13" s="129"/>
      <c r="CRA13" s="129"/>
      <c r="CRB13" s="129"/>
      <c r="CRC13" s="129" t="s">
        <v>150</v>
      </c>
      <c r="CRD13" s="129"/>
      <c r="CRE13" s="129"/>
      <c r="CRF13" s="129"/>
      <c r="CRG13" s="129"/>
      <c r="CRH13" s="129"/>
      <c r="CRI13" s="129"/>
      <c r="CRJ13" s="129" t="s">
        <v>151</v>
      </c>
      <c r="CRK13" s="129"/>
      <c r="CRL13" s="129"/>
      <c r="CRM13" s="129"/>
      <c r="CRN13" s="129"/>
      <c r="CRO13" s="129"/>
      <c r="CRP13" s="129"/>
      <c r="CRQ13" s="129" t="s">
        <v>37</v>
      </c>
      <c r="CRR13" s="129"/>
      <c r="CRS13" s="129"/>
      <c r="CRT13" s="129"/>
      <c r="CRU13" s="129"/>
      <c r="CRV13" s="129"/>
      <c r="CRW13" s="129"/>
      <c r="CRX13" s="129" t="s">
        <v>40</v>
      </c>
      <c r="CRY13" s="129"/>
      <c r="CRZ13" s="129"/>
      <c r="CSA13" s="129"/>
      <c r="CSB13" s="129"/>
      <c r="CSC13" s="129"/>
      <c r="CSD13" s="129"/>
      <c r="CSF13" s="128" t="s">
        <v>438</v>
      </c>
      <c r="CSG13" s="128"/>
      <c r="CSH13" s="128"/>
      <c r="CSI13" s="128"/>
      <c r="CSJ13" s="128"/>
      <c r="CSK13" s="128"/>
      <c r="CSL13" s="128"/>
      <c r="CSM13" s="128"/>
      <c r="CSN13" s="128"/>
      <c r="CSO13" s="128"/>
      <c r="CSP13" s="128"/>
      <c r="CSQ13" s="128"/>
      <c r="CSR13" s="128"/>
      <c r="CSS13" s="128"/>
      <c r="CST13" s="128"/>
      <c r="CSU13" s="128"/>
      <c r="CSV13" s="128"/>
      <c r="CSW13" s="128"/>
      <c r="CSX13" s="128"/>
      <c r="CSY13" s="128"/>
      <c r="CSZ13" s="128"/>
      <c r="CTA13" s="128"/>
      <c r="CTB13" s="128"/>
      <c r="CTC13" s="128"/>
      <c r="CTD13" s="128"/>
      <c r="CTE13" s="128"/>
      <c r="CTF13" s="128"/>
      <c r="CTG13" s="128"/>
      <c r="CTH13" s="128"/>
      <c r="CTI13" s="128"/>
      <c r="CTJ13" s="128"/>
      <c r="CTK13" s="129"/>
      <c r="CTL13" s="129"/>
      <c r="CTM13" s="129"/>
      <c r="CTN13" s="129"/>
      <c r="CTO13" s="129"/>
      <c r="CTP13" s="129"/>
      <c r="CTQ13" s="129"/>
      <c r="CTR13" s="129"/>
      <c r="CTS13" s="129"/>
      <c r="CTT13" s="129"/>
      <c r="CTU13" s="129"/>
      <c r="CTV13" s="129"/>
      <c r="CTW13" s="129"/>
      <c r="CTX13" s="129"/>
      <c r="CTY13" s="129"/>
      <c r="CTZ13" s="129"/>
      <c r="CUA13" s="129"/>
      <c r="CUB13" s="129"/>
      <c r="CUC13" s="129"/>
      <c r="CUD13" s="129"/>
      <c r="CUE13" s="129"/>
      <c r="CUF13" s="128"/>
      <c r="CUG13" s="128"/>
      <c r="CUH13" s="128"/>
      <c r="CUI13" s="128"/>
      <c r="CUJ13" s="128"/>
      <c r="CUK13" s="128"/>
      <c r="CUL13" s="129"/>
      <c r="CUM13" s="129"/>
      <c r="CUN13" s="129"/>
      <c r="CUO13" s="129"/>
      <c r="CUP13" s="129"/>
      <c r="CUQ13" s="129"/>
      <c r="CUR13" s="129"/>
      <c r="CUS13" s="129"/>
      <c r="CUT13" s="129"/>
      <c r="CUU13" s="129"/>
      <c r="CUV13" s="129"/>
      <c r="CUW13" s="129"/>
      <c r="CUX13" s="129"/>
      <c r="CUY13" s="129"/>
      <c r="CUZ13" s="129"/>
      <c r="CVA13" s="129"/>
      <c r="CVB13" s="129"/>
      <c r="CVC13" s="129"/>
      <c r="CVD13" s="129"/>
      <c r="CVE13" s="129"/>
      <c r="CVF13" s="129"/>
      <c r="CVG13" s="129"/>
      <c r="CVH13" s="129"/>
      <c r="CVI13" s="129"/>
      <c r="CVJ13" s="129"/>
      <c r="CVK13" s="129"/>
      <c r="CVL13" s="129"/>
      <c r="CVM13" s="129"/>
      <c r="CVN13" s="128"/>
      <c r="CVO13" s="128"/>
      <c r="CVP13" s="128"/>
      <c r="CVQ13" s="128"/>
      <c r="CVR13" s="128"/>
      <c r="CVS13" s="128"/>
      <c r="CVT13" s="128"/>
      <c r="CVV13" s="128" t="s">
        <v>492</v>
      </c>
      <c r="CVW13" s="128"/>
      <c r="CVX13" s="128"/>
      <c r="CVY13" s="128"/>
      <c r="CVZ13" s="128"/>
      <c r="CWA13" s="128"/>
      <c r="CWB13" s="128"/>
      <c r="CWC13" s="128"/>
      <c r="CWD13" s="128"/>
      <c r="CWE13" s="128"/>
      <c r="CWF13" s="128"/>
      <c r="CWG13" s="128"/>
      <c r="CWH13" s="128"/>
      <c r="CWI13" s="128"/>
      <c r="CWJ13" s="128"/>
      <c r="CWK13" s="128"/>
      <c r="CWL13" s="128"/>
      <c r="CWM13" s="128"/>
      <c r="CWN13" s="128"/>
      <c r="CWO13" s="128"/>
      <c r="CWP13" s="128"/>
      <c r="CWQ13" s="128"/>
      <c r="CWR13" s="128"/>
      <c r="CWS13" s="128"/>
      <c r="CWT13" s="128"/>
      <c r="CWU13" s="128"/>
      <c r="CWV13" s="128"/>
      <c r="CWW13" s="128"/>
      <c r="CWX13" s="128"/>
      <c r="CWY13" s="128"/>
      <c r="CWZ13" s="128"/>
      <c r="CXA13" s="129"/>
      <c r="CXB13" s="129"/>
      <c r="CXC13" s="129"/>
      <c r="CXD13" s="129"/>
      <c r="CXE13" s="129"/>
      <c r="CXF13" s="129"/>
      <c r="CXG13" s="129"/>
      <c r="CXH13" s="129"/>
      <c r="CXI13" s="129"/>
      <c r="CXJ13" s="129"/>
      <c r="CXK13" s="129"/>
      <c r="CXL13" s="129"/>
      <c r="CXM13" s="129"/>
      <c r="CXN13" s="129"/>
      <c r="CXO13" s="129"/>
      <c r="CXP13" s="129"/>
      <c r="CXQ13" s="129"/>
      <c r="CXR13" s="129"/>
      <c r="CXS13" s="129"/>
      <c r="CXT13" s="129"/>
      <c r="CXU13" s="129"/>
      <c r="CXV13" s="128"/>
      <c r="CXW13" s="128"/>
      <c r="CXX13" s="128"/>
      <c r="CXY13" s="128"/>
      <c r="CXZ13" s="128"/>
      <c r="CYA13" s="128"/>
      <c r="CYB13" s="129"/>
      <c r="CYC13" s="129"/>
      <c r="CYD13" s="129"/>
      <c r="CYE13" s="129"/>
      <c r="CYF13" s="129"/>
      <c r="CYG13" s="129"/>
      <c r="CYH13" s="129"/>
      <c r="CYI13" s="129"/>
      <c r="CYJ13" s="129"/>
      <c r="CYK13" s="129"/>
      <c r="CYL13" s="129"/>
      <c r="CYM13" s="129"/>
      <c r="CYN13" s="129"/>
      <c r="CYO13" s="129"/>
      <c r="CYP13" s="129"/>
      <c r="CYQ13" s="129"/>
      <c r="CYR13" s="129"/>
      <c r="CYS13" s="129"/>
      <c r="CYT13" s="129"/>
      <c r="CYU13" s="129"/>
      <c r="CYV13" s="129"/>
      <c r="CYW13" s="129"/>
      <c r="CYX13" s="129"/>
      <c r="CYY13" s="129"/>
      <c r="CYZ13" s="129"/>
      <c r="CZA13" s="129"/>
      <c r="CZB13" s="129"/>
      <c r="CZC13" s="129"/>
      <c r="CZD13" s="128"/>
      <c r="CZE13" s="128"/>
      <c r="CZF13" s="128"/>
      <c r="CZG13" s="128"/>
      <c r="CZH13" s="128"/>
      <c r="CZI13" s="128"/>
      <c r="CZJ13" s="128"/>
      <c r="CZL13" s="128" t="s">
        <v>509</v>
      </c>
      <c r="CZM13" s="128"/>
      <c r="CZN13" s="128"/>
      <c r="CZO13" s="128"/>
      <c r="CZP13" s="128"/>
      <c r="CZQ13" s="128"/>
      <c r="CZR13" s="128"/>
      <c r="CZS13" s="128"/>
      <c r="CZT13" s="128"/>
      <c r="CZU13" s="128"/>
      <c r="CZV13" s="128"/>
      <c r="CZW13" s="128"/>
      <c r="CZX13" s="128"/>
      <c r="CZY13" s="128"/>
      <c r="CZZ13" s="128"/>
      <c r="DAA13" s="128"/>
      <c r="DAB13" s="128"/>
      <c r="DAC13" s="128"/>
      <c r="DAD13" s="128"/>
      <c r="DAE13" s="128"/>
      <c r="DAF13" s="128"/>
      <c r="DAG13" s="128"/>
      <c r="DAH13" s="128"/>
      <c r="DAI13" s="128"/>
      <c r="DAJ13" s="128"/>
      <c r="DAK13" s="128"/>
      <c r="DAL13" s="128"/>
      <c r="DAM13" s="128"/>
      <c r="DAN13" s="128"/>
      <c r="DAO13" s="128"/>
      <c r="DAP13" s="128"/>
      <c r="DAQ13" s="129"/>
      <c r="DAR13" s="129"/>
      <c r="DAS13" s="129"/>
      <c r="DAT13" s="129"/>
      <c r="DAU13" s="129"/>
      <c r="DAV13" s="129"/>
      <c r="DAW13" s="129"/>
      <c r="DAX13" s="129"/>
      <c r="DAY13" s="129"/>
      <c r="DAZ13" s="129"/>
      <c r="DBA13" s="129"/>
      <c r="DBB13" s="129"/>
      <c r="DBC13" s="129"/>
      <c r="DBD13" s="129"/>
      <c r="DBE13" s="129"/>
      <c r="DBF13" s="129"/>
      <c r="DBG13" s="129"/>
      <c r="DBH13" s="129"/>
      <c r="DBI13" s="129"/>
      <c r="DBJ13" s="129"/>
      <c r="DBK13" s="129"/>
      <c r="DBL13" s="128"/>
      <c r="DBM13" s="128"/>
      <c r="DBN13" s="128"/>
      <c r="DBO13" s="128"/>
      <c r="DBP13" s="128"/>
      <c r="DBQ13" s="128"/>
      <c r="DBR13" s="129"/>
      <c r="DBS13" s="129"/>
      <c r="DBT13" s="129"/>
      <c r="DBU13" s="129"/>
      <c r="DBV13" s="129"/>
      <c r="DBW13" s="129"/>
      <c r="DBX13" s="129"/>
      <c r="DBY13" s="129"/>
      <c r="DBZ13" s="129"/>
      <c r="DCA13" s="129"/>
      <c r="DCB13" s="129"/>
      <c r="DCC13" s="129"/>
      <c r="DCD13" s="129"/>
      <c r="DCE13" s="129"/>
      <c r="DCF13" s="129"/>
      <c r="DCG13" s="129"/>
      <c r="DCH13" s="129"/>
      <c r="DCI13" s="129"/>
      <c r="DCJ13" s="129"/>
      <c r="DCK13" s="129"/>
      <c r="DCL13" s="129"/>
      <c r="DCM13" s="129"/>
      <c r="DCN13" s="129"/>
      <c r="DCO13" s="129"/>
      <c r="DCP13" s="129"/>
      <c r="DCQ13" s="129"/>
      <c r="DCR13" s="129"/>
      <c r="DCS13" s="129"/>
      <c r="DCT13" s="128"/>
      <c r="DCU13" s="128"/>
      <c r="DCV13" s="128"/>
      <c r="DCW13" s="128"/>
      <c r="DCX13" s="128"/>
      <c r="DCY13" s="128"/>
      <c r="DCZ13" s="128"/>
      <c r="DDB13" s="128" t="s">
        <v>522</v>
      </c>
      <c r="DDC13" s="128"/>
      <c r="DDD13" s="128"/>
      <c r="DDE13" s="128"/>
      <c r="DDF13" s="128"/>
      <c r="DDG13" s="128"/>
      <c r="DDH13" s="128"/>
      <c r="DDI13" s="128"/>
      <c r="DDJ13" s="128"/>
      <c r="DDK13" s="128"/>
      <c r="DDL13" s="128"/>
      <c r="DDM13" s="128"/>
      <c r="DDN13" s="128"/>
      <c r="DDO13" s="128"/>
      <c r="DDP13" s="128"/>
      <c r="DDQ13" s="128"/>
      <c r="DDR13" s="128"/>
      <c r="DDS13" s="128"/>
      <c r="DDT13" s="128"/>
      <c r="DDU13" s="128"/>
      <c r="DDV13" s="128"/>
      <c r="DDW13" s="128"/>
      <c r="DDX13" s="128"/>
      <c r="DDY13" s="128"/>
      <c r="DDZ13" s="128"/>
      <c r="DEA13" s="128"/>
      <c r="DEB13" s="128"/>
      <c r="DEC13" s="128"/>
      <c r="DED13" s="128"/>
      <c r="DEE13" s="128"/>
      <c r="DEF13" s="128"/>
      <c r="DEG13" s="129"/>
      <c r="DEH13" s="129"/>
      <c r="DEI13" s="129"/>
      <c r="DEJ13" s="129"/>
      <c r="DEK13" s="129"/>
      <c r="DEL13" s="129"/>
      <c r="DEM13" s="129"/>
      <c r="DEN13" s="129"/>
      <c r="DEO13" s="129"/>
      <c r="DEP13" s="129"/>
      <c r="DEQ13" s="129"/>
      <c r="DER13" s="129"/>
      <c r="DES13" s="129"/>
      <c r="DET13" s="129"/>
      <c r="DEU13" s="129"/>
      <c r="DEV13" s="129"/>
      <c r="DEW13" s="129"/>
      <c r="DEX13" s="129"/>
      <c r="DEY13" s="129"/>
      <c r="DEZ13" s="129"/>
      <c r="DFA13" s="129"/>
      <c r="DFB13" s="128"/>
      <c r="DFC13" s="128"/>
      <c r="DFD13" s="128"/>
      <c r="DFE13" s="128"/>
      <c r="DFF13" s="128"/>
      <c r="DFG13" s="128"/>
      <c r="DFH13" s="129"/>
      <c r="DFI13" s="129"/>
      <c r="DFJ13" s="129"/>
      <c r="DFK13" s="129"/>
      <c r="DFL13" s="129"/>
      <c r="DFM13" s="129"/>
      <c r="DFN13" s="129"/>
      <c r="DFO13" s="129"/>
      <c r="DFP13" s="129"/>
      <c r="DFQ13" s="129"/>
      <c r="DFR13" s="129"/>
      <c r="DFS13" s="129"/>
      <c r="DFT13" s="129"/>
      <c r="DFU13" s="129"/>
      <c r="DFV13" s="129"/>
      <c r="DFW13" s="129"/>
      <c r="DFX13" s="129"/>
      <c r="DFY13" s="129"/>
      <c r="DFZ13" s="129"/>
      <c r="DGA13" s="129"/>
      <c r="DGB13" s="129"/>
      <c r="DGC13" s="129"/>
      <c r="DGD13" s="129"/>
      <c r="DGE13" s="129"/>
      <c r="DGF13" s="129"/>
      <c r="DGG13" s="129"/>
      <c r="DGH13" s="129"/>
      <c r="DGI13" s="129"/>
      <c r="DGJ13" s="128"/>
      <c r="DGK13" s="128"/>
      <c r="DGL13" s="128"/>
      <c r="DGM13" s="128"/>
      <c r="DGN13" s="128"/>
      <c r="DGO13" s="128"/>
      <c r="DGP13" s="128"/>
      <c r="DGR13" s="144" t="s">
        <v>563</v>
      </c>
      <c r="DGS13" s="144"/>
      <c r="DGT13" s="144"/>
      <c r="DGU13" s="144"/>
      <c r="DGV13" s="144"/>
      <c r="DGW13" s="144"/>
      <c r="DGX13" s="144"/>
      <c r="DGY13" s="144"/>
      <c r="DGZ13" s="144"/>
      <c r="DHA13" s="144"/>
      <c r="DHB13" s="144"/>
      <c r="DHC13" s="144"/>
      <c r="DHD13" s="144"/>
      <c r="DHE13" s="144"/>
      <c r="DHF13" s="144"/>
      <c r="DHG13" s="144"/>
      <c r="DHH13" s="144"/>
      <c r="DHI13" s="144"/>
      <c r="DHJ13" s="144"/>
      <c r="DHK13" s="144"/>
      <c r="DHL13" s="144"/>
      <c r="DHM13" s="144"/>
      <c r="DHN13" s="144"/>
      <c r="DHO13" s="144"/>
      <c r="DHP13" s="144"/>
      <c r="DHQ13" s="144"/>
      <c r="DHR13" s="144"/>
      <c r="DHS13" s="144"/>
      <c r="DHT13" s="144"/>
      <c r="DHU13" s="144"/>
      <c r="DHV13" s="144"/>
      <c r="DHW13" s="144"/>
      <c r="DHX13" s="144"/>
      <c r="DHY13" s="144"/>
      <c r="DHZ13" s="144"/>
      <c r="DIA13" s="144"/>
      <c r="DIB13" s="144"/>
      <c r="DIC13" s="144"/>
      <c r="DID13" s="144"/>
      <c r="DIE13" s="144"/>
      <c r="DIF13" s="144"/>
      <c r="DIG13" s="144"/>
      <c r="DIH13" s="144"/>
      <c r="DII13" s="144"/>
      <c r="DIJ13" s="144"/>
      <c r="DIK13" s="144"/>
      <c r="DIL13" s="144"/>
      <c r="DIM13" s="144"/>
      <c r="DIN13" s="144"/>
      <c r="DIO13" s="144"/>
      <c r="DIP13" s="144"/>
      <c r="DIQ13" s="144"/>
      <c r="DIR13" s="144"/>
      <c r="DIS13" s="144"/>
      <c r="DIT13" s="144"/>
      <c r="DIU13" s="144"/>
      <c r="DIV13" s="144"/>
      <c r="DIW13" s="144"/>
      <c r="DIX13" s="144"/>
      <c r="DIY13" s="144"/>
      <c r="DIZ13" s="144"/>
      <c r="DJA13" s="144"/>
      <c r="DJB13" s="144"/>
      <c r="DJC13" s="144"/>
      <c r="DJD13" s="144"/>
      <c r="DJE13" s="144"/>
      <c r="DJF13" s="144"/>
      <c r="DJG13" s="144"/>
      <c r="DJH13" s="144"/>
      <c r="DJI13" s="144"/>
      <c r="DJJ13" s="144"/>
      <c r="DJK13" s="144"/>
      <c r="DJL13" s="144"/>
      <c r="DJM13" s="144"/>
      <c r="DJN13" s="144"/>
      <c r="DJO13" s="144"/>
      <c r="DJP13" s="144"/>
      <c r="DJQ13" s="144"/>
      <c r="DJR13" s="144"/>
      <c r="DJS13" s="144"/>
      <c r="DJT13" s="144"/>
      <c r="DJU13" s="144"/>
      <c r="DJV13" s="144"/>
      <c r="DJW13" s="144"/>
      <c r="DJX13" s="144"/>
      <c r="DJY13" s="144"/>
      <c r="DJZ13" s="144"/>
      <c r="DKA13" s="144"/>
      <c r="DKB13" s="144"/>
      <c r="DKC13" s="144"/>
      <c r="DKD13" s="144"/>
      <c r="DKE13" s="144"/>
      <c r="DKF13" s="144"/>
    </row>
    <row r="14" spans="2:2996" ht="15" customHeight="1" x14ac:dyDescent="0.25">
      <c r="B14" s="190" t="s">
        <v>26</v>
      </c>
      <c r="C14" s="191"/>
      <c r="D14" s="191"/>
      <c r="E14" s="191"/>
      <c r="F14" s="191"/>
      <c r="G14" s="191"/>
      <c r="H14" s="191"/>
      <c r="I14" s="191"/>
      <c r="J14" s="191"/>
      <c r="K14" s="191"/>
      <c r="L14" s="191"/>
      <c r="M14" s="191"/>
      <c r="N14" s="191"/>
      <c r="O14" s="191"/>
      <c r="P14" s="191"/>
      <c r="Q14" s="131">
        <f>'Level-up'!E4</f>
        <v>41</v>
      </c>
      <c r="R14" s="131"/>
      <c r="S14" s="131"/>
      <c r="T14" s="131"/>
      <c r="U14" s="131"/>
      <c r="V14" s="131"/>
      <c r="W14" s="131"/>
      <c r="X14" s="131">
        <f>'Character Creation'!AJ41</f>
        <v>100</v>
      </c>
      <c r="Y14" s="131"/>
      <c r="Z14" s="131"/>
      <c r="AA14" s="131"/>
      <c r="AB14" s="131"/>
      <c r="AC14" s="131"/>
      <c r="AD14" s="131"/>
      <c r="AE14" s="131">
        <f t="shared" si="1"/>
        <v>-2</v>
      </c>
      <c r="AF14" s="131"/>
      <c r="AG14" s="131"/>
      <c r="AH14" s="131"/>
      <c r="AI14" s="131"/>
      <c r="AJ14" s="131"/>
      <c r="AK14" s="131"/>
      <c r="AL14" s="131">
        <f>VLOOKUP('Character Creation'!$Z$11,RaceChart,3,FALSE)</f>
        <v>0</v>
      </c>
      <c r="AM14" s="131"/>
      <c r="AN14" s="131"/>
      <c r="AO14" s="131"/>
      <c r="AP14" s="131"/>
      <c r="AQ14" s="131"/>
      <c r="AR14" s="131"/>
      <c r="AS14" s="131">
        <v>0</v>
      </c>
      <c r="AT14" s="131"/>
      <c r="AU14" s="131"/>
      <c r="AV14" s="131"/>
      <c r="AW14" s="131"/>
      <c r="AX14" s="131"/>
      <c r="AY14" s="131"/>
      <c r="AZ14" s="226">
        <f t="shared" ref="AZ14:AZ22" si="2">SUM(AE14:AY14)</f>
        <v>-2</v>
      </c>
      <c r="BA14" s="226"/>
      <c r="BB14" s="226"/>
      <c r="BC14" s="226"/>
      <c r="BD14" s="226"/>
      <c r="BE14" s="226"/>
      <c r="BF14" s="227"/>
      <c r="BH14" s="190" t="s">
        <v>1993</v>
      </c>
      <c r="BI14" s="191"/>
      <c r="BJ14" s="191"/>
      <c r="BK14" s="191"/>
      <c r="BL14" s="191"/>
      <c r="BM14" s="191"/>
      <c r="BN14" s="191"/>
      <c r="BO14" s="191"/>
      <c r="BP14" s="191"/>
      <c r="BQ14" s="191"/>
      <c r="BR14" s="191"/>
      <c r="BS14" s="191"/>
      <c r="BT14" s="191"/>
      <c r="BU14" s="191"/>
      <c r="BV14" s="191"/>
      <c r="BW14" s="191"/>
      <c r="BX14" s="191"/>
      <c r="BY14" s="191"/>
      <c r="BZ14" s="191"/>
      <c r="CA14" s="131">
        <f>Em</f>
        <v>5</v>
      </c>
      <c r="CB14" s="131"/>
      <c r="CC14" s="131"/>
      <c r="CD14" s="131"/>
      <c r="CE14" s="131"/>
      <c r="CF14" s="131"/>
      <c r="CG14" s="131"/>
      <c r="CH14" s="131">
        <f>VLOOKUP('Character Creation'!$Z$11,RaceChart,13,FALSE)</f>
        <v>0</v>
      </c>
      <c r="CI14" s="131"/>
      <c r="CJ14" s="131"/>
      <c r="CK14" s="131"/>
      <c r="CL14" s="131"/>
      <c r="CM14" s="131"/>
      <c r="CN14" s="131"/>
      <c r="CO14" s="131">
        <f>IF(ISNUMBER(SEARCH("Ess.",$BJ$8)),10,0)</f>
        <v>10</v>
      </c>
      <c r="CP14" s="131"/>
      <c r="CQ14" s="131"/>
      <c r="CR14" s="131"/>
      <c r="CS14" s="131"/>
      <c r="CT14" s="131"/>
      <c r="CU14" s="131"/>
      <c r="CV14" s="226">
        <f t="shared" ref="CV14:CV17" si="3">SUM(CA14:CU14)+($BJ$5*2)</f>
        <v>15</v>
      </c>
      <c r="CW14" s="226"/>
      <c r="CX14" s="226"/>
      <c r="CY14" s="226"/>
      <c r="CZ14" s="226"/>
      <c r="DA14" s="226"/>
      <c r="DB14" s="227"/>
      <c r="DC14"/>
      <c r="DD14" s="135" t="s">
        <v>124</v>
      </c>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282">
        <f>SUM(EG9,ES9,EG10)</f>
        <v>32.133887907100004</v>
      </c>
      <c r="EH14" s="283"/>
      <c r="EI14" s="283"/>
      <c r="EJ14" s="283"/>
      <c r="EK14" s="283"/>
      <c r="EL14" s="283"/>
      <c r="EM14" s="283"/>
      <c r="EN14" s="283"/>
      <c r="EO14" s="131" t="s">
        <v>117</v>
      </c>
      <c r="EP14" s="131"/>
      <c r="EQ14" s="131"/>
      <c r="ER14" s="131"/>
      <c r="ES14" s="284">
        <f>SUM(EG9,ES9)</f>
        <v>21.353887907099999</v>
      </c>
      <c r="ET14" s="285"/>
      <c r="EU14" s="285"/>
      <c r="EV14" s="285"/>
      <c r="EW14" s="285"/>
      <c r="EX14" s="285"/>
      <c r="EY14" s="285"/>
      <c r="EZ14" s="286"/>
      <c r="FB14" s="139"/>
      <c r="FC14" s="140"/>
      <c r="FD14" s="140"/>
      <c r="FE14" s="140"/>
      <c r="FF14" s="140"/>
      <c r="FG14" s="140"/>
      <c r="FH14" s="140"/>
      <c r="FI14" s="140"/>
      <c r="FJ14" s="140"/>
      <c r="FK14" s="140"/>
      <c r="FL14" s="140"/>
      <c r="FM14" s="140"/>
      <c r="FN14" s="140"/>
      <c r="FO14" s="140"/>
      <c r="FP14" s="140"/>
      <c r="FQ14" s="140"/>
      <c r="FR14" s="140"/>
      <c r="FS14" s="140"/>
      <c r="FT14" s="140"/>
      <c r="FU14" s="140"/>
      <c r="FV14" s="140"/>
      <c r="FW14" s="140"/>
      <c r="FX14" s="140"/>
      <c r="FY14" s="140"/>
      <c r="FZ14" s="140"/>
      <c r="GA14" s="140"/>
      <c r="GB14" s="140"/>
      <c r="GC14" s="140"/>
      <c r="GD14" s="140"/>
      <c r="GE14" s="140"/>
      <c r="GF14" s="140"/>
      <c r="GG14" s="140"/>
      <c r="GH14" s="140"/>
      <c r="GI14" s="140"/>
      <c r="GJ14" s="140"/>
      <c r="GK14" s="140"/>
      <c r="GL14" s="140"/>
      <c r="GM14" s="140"/>
      <c r="GN14" s="140"/>
      <c r="GO14" s="140"/>
      <c r="GP14" s="140"/>
      <c r="GQ14" s="140"/>
      <c r="GR14" s="140"/>
      <c r="GS14" s="140"/>
      <c r="GT14" s="141">
        <v>0</v>
      </c>
      <c r="GU14" s="141"/>
      <c r="GV14" s="141"/>
      <c r="GW14" s="141"/>
      <c r="GX14" s="141"/>
      <c r="GY14" s="141"/>
      <c r="GZ14" s="141"/>
      <c r="HA14" s="141"/>
      <c r="HB14" s="142" t="str">
        <f>IFERROR(ROUND(((Calculations!BV14/185)*'Character Creation'!$Z$18)*GT14,2),"")</f>
        <v/>
      </c>
      <c r="HC14" s="142"/>
      <c r="HD14" s="142"/>
      <c r="HE14" s="142"/>
      <c r="HF14" s="142"/>
      <c r="HG14" s="142"/>
      <c r="HH14" s="142"/>
      <c r="HI14" s="142"/>
      <c r="HJ14" s="142">
        <f>IFERROR(Calculations!BS14+IQ14+IX14,"")</f>
        <v>0</v>
      </c>
      <c r="HK14" s="142"/>
      <c r="HL14" s="142"/>
      <c r="HM14" s="142"/>
      <c r="HN14" s="142"/>
      <c r="HO14" s="142"/>
      <c r="HP14" s="142"/>
      <c r="HQ14" s="142"/>
      <c r="HR14" s="142" t="str">
        <f t="shared" si="0"/>
        <v/>
      </c>
      <c r="HS14" s="142"/>
      <c r="HT14" s="142"/>
      <c r="HU14" s="142"/>
      <c r="HV14" s="142"/>
      <c r="HW14" s="142"/>
      <c r="HX14" s="142"/>
      <c r="HY14" s="142"/>
      <c r="HZ14" s="142" t="str">
        <f>IFERROR(Calculations!BX14,"")</f>
        <v/>
      </c>
      <c r="IA14" s="142"/>
      <c r="IB14" s="142"/>
      <c r="IC14" s="142"/>
      <c r="ID14" s="142"/>
      <c r="IE14" s="142"/>
      <c r="IF14" s="142"/>
      <c r="IG14" s="142"/>
      <c r="IH14" s="142"/>
      <c r="II14" s="142"/>
      <c r="IJ14" s="142" t="str">
        <f>IFERROR(Calculations!BR14+IX14,"")</f>
        <v/>
      </c>
      <c r="IK14" s="142"/>
      <c r="IL14" s="142"/>
      <c r="IM14" s="142"/>
      <c r="IN14" s="142"/>
      <c r="IO14" s="142"/>
      <c r="IP14" s="142"/>
      <c r="IQ14" s="141">
        <v>0</v>
      </c>
      <c r="IR14" s="141"/>
      <c r="IS14" s="141"/>
      <c r="IT14" s="141"/>
      <c r="IU14" s="141"/>
      <c r="IV14" s="141"/>
      <c r="IW14" s="141"/>
      <c r="IX14" s="141">
        <v>0</v>
      </c>
      <c r="IY14" s="141"/>
      <c r="IZ14" s="141"/>
      <c r="JA14" s="141"/>
      <c r="JB14" s="141"/>
      <c r="JC14" s="141"/>
      <c r="JD14" s="141"/>
      <c r="JE14" s="141"/>
      <c r="JF14" s="142"/>
      <c r="JG14" s="142"/>
      <c r="JH14" s="142"/>
      <c r="JI14" s="142"/>
      <c r="JJ14" s="142"/>
      <c r="JK14" s="143" t="str">
        <f>Calculations!AS14</f>
        <v/>
      </c>
      <c r="JL14" s="143"/>
      <c r="JM14" s="143"/>
      <c r="JN14" s="143"/>
      <c r="JO14" s="143"/>
      <c r="JP14" s="143"/>
      <c r="JQ14" s="143"/>
      <c r="JR14" s="143"/>
      <c r="JS14" s="143"/>
      <c r="JT14" s="143"/>
      <c r="JU14" s="143"/>
      <c r="JV14" s="143"/>
      <c r="JW14" s="143"/>
      <c r="JX14" s="143"/>
      <c r="JY14" s="143"/>
      <c r="JZ14" s="143"/>
      <c r="KA14" s="143"/>
      <c r="KB14" s="143"/>
      <c r="KC14" s="143" t="str">
        <f>Calculations!AW14</f>
        <v/>
      </c>
      <c r="KD14" s="143"/>
      <c r="KE14" s="143"/>
      <c r="KF14" s="143"/>
      <c r="KG14" s="143"/>
      <c r="KH14" s="143"/>
      <c r="KI14" s="143"/>
      <c r="KJ14" s="143"/>
      <c r="KK14" s="143"/>
      <c r="KL14" s="143"/>
      <c r="KM14" s="143"/>
      <c r="KN14" s="143"/>
      <c r="KO14" s="143"/>
      <c r="KP14" s="143"/>
      <c r="KQ14" s="143"/>
      <c r="KR14" s="143"/>
      <c r="KS14" s="143"/>
      <c r="KT14" s="143"/>
      <c r="KU14" s="144"/>
      <c r="KV14" s="144"/>
      <c r="KW14" s="144"/>
      <c r="KX14" s="144"/>
      <c r="KY14" s="144"/>
      <c r="KZ14" s="144"/>
      <c r="LA14" s="144"/>
      <c r="LB14" s="144"/>
      <c r="LC14" s="144"/>
      <c r="LD14" s="144"/>
      <c r="LE14" s="144"/>
      <c r="LF14" s="144"/>
      <c r="LG14" s="144"/>
      <c r="LH14" s="144"/>
      <c r="LI14" s="144"/>
      <c r="LJ14" s="144"/>
      <c r="LK14" s="144"/>
      <c r="LL14" s="144"/>
      <c r="LM14" s="144"/>
      <c r="LN14" s="144"/>
      <c r="LO14" s="144"/>
      <c r="LP14" s="144"/>
      <c r="LQ14" s="144"/>
      <c r="LR14" s="144"/>
      <c r="LS14" s="144"/>
      <c r="LT14" s="144"/>
      <c r="LU14" s="144"/>
      <c r="LV14" s="144"/>
      <c r="LW14" s="144"/>
      <c r="LX14" s="144"/>
      <c r="LY14" s="144"/>
      <c r="LZ14" s="144"/>
      <c r="MA14" s="144"/>
      <c r="MB14" s="144"/>
      <c r="MC14" s="144"/>
      <c r="MD14" s="144"/>
      <c r="ME14" s="144"/>
      <c r="MF14" s="144"/>
      <c r="MG14" s="144"/>
      <c r="MH14" s="144"/>
      <c r="MI14" s="144"/>
      <c r="MJ14" s="144"/>
      <c r="MK14" s="144"/>
      <c r="ML14" s="144"/>
      <c r="MM14" s="144"/>
      <c r="MN14" s="144"/>
      <c r="MO14" s="144"/>
      <c r="MP14" s="144"/>
      <c r="MQ14" s="144"/>
      <c r="MR14" s="144"/>
      <c r="MS14" s="144"/>
      <c r="MT14" s="144"/>
      <c r="MU14" s="144"/>
      <c r="MV14" s="144"/>
      <c r="MW14" s="144"/>
      <c r="MX14" s="144"/>
      <c r="MY14" s="144"/>
      <c r="MZ14" s="145"/>
      <c r="NB14" s="128"/>
      <c r="NC14" s="128"/>
      <c r="ND14" s="128"/>
      <c r="NE14" s="128"/>
      <c r="NF14" s="128"/>
      <c r="NG14" s="128"/>
      <c r="NH14" s="128"/>
      <c r="NI14" s="128"/>
      <c r="NJ14" s="128"/>
      <c r="NK14" s="128"/>
      <c r="NL14" s="128"/>
      <c r="NM14" s="128"/>
      <c r="NN14" s="128"/>
      <c r="NO14" s="128"/>
      <c r="NP14" s="128"/>
      <c r="NQ14" s="128"/>
      <c r="NR14" s="128"/>
      <c r="NS14" s="128"/>
      <c r="NT14" s="128"/>
      <c r="NU14" s="128"/>
      <c r="NV14" s="128"/>
      <c r="NW14" s="128"/>
      <c r="NX14" s="128"/>
      <c r="NY14" s="128"/>
      <c r="NZ14" s="128"/>
      <c r="OA14" s="128"/>
      <c r="OB14" s="128"/>
      <c r="OC14" s="128"/>
      <c r="OD14" s="128"/>
      <c r="OE14" s="128"/>
      <c r="OF14" s="128"/>
      <c r="OG14" s="129"/>
      <c r="OH14" s="129"/>
      <c r="OI14" s="129"/>
      <c r="OJ14" s="129"/>
      <c r="OK14" s="129"/>
      <c r="OL14" s="129"/>
      <c r="OM14" s="129"/>
      <c r="ON14" s="129"/>
      <c r="OO14" s="129"/>
      <c r="OP14" s="129"/>
      <c r="OQ14" s="129"/>
      <c r="OR14" s="129"/>
      <c r="OS14" s="129"/>
      <c r="OT14" s="129"/>
      <c r="OU14" s="129"/>
      <c r="OV14" s="129"/>
      <c r="OW14" s="129"/>
      <c r="OX14" s="129"/>
      <c r="OY14" s="129"/>
      <c r="OZ14" s="129"/>
      <c r="PA14" s="129"/>
      <c r="PB14" s="128"/>
      <c r="PC14" s="128"/>
      <c r="PD14" s="128"/>
      <c r="PE14" s="128"/>
      <c r="PF14" s="128"/>
      <c r="PG14" s="128"/>
      <c r="PH14" s="129"/>
      <c r="PI14" s="129"/>
      <c r="PJ14" s="129"/>
      <c r="PK14" s="129"/>
      <c r="PL14" s="129"/>
      <c r="PM14" s="129"/>
      <c r="PN14" s="129"/>
      <c r="PO14" s="129"/>
      <c r="PP14" s="129"/>
      <c r="PQ14" s="129"/>
      <c r="PR14" s="129"/>
      <c r="PS14" s="129"/>
      <c r="PT14" s="129"/>
      <c r="PU14" s="129"/>
      <c r="PV14" s="129"/>
      <c r="PW14" s="129"/>
      <c r="PX14" s="129"/>
      <c r="PY14" s="129"/>
      <c r="PZ14" s="129"/>
      <c r="QA14" s="129"/>
      <c r="QB14" s="129"/>
      <c r="QC14" s="129"/>
      <c r="QD14" s="129"/>
      <c r="QE14" s="129"/>
      <c r="QF14" s="129"/>
      <c r="QG14" s="129"/>
      <c r="QH14" s="129"/>
      <c r="QI14" s="129"/>
      <c r="QJ14" s="128"/>
      <c r="QK14" s="128"/>
      <c r="QL14" s="128"/>
      <c r="QM14" s="128"/>
      <c r="QN14" s="128"/>
      <c r="QO14" s="128"/>
      <c r="QP14" s="128"/>
      <c r="AIT14" s="128" t="s">
        <v>199</v>
      </c>
      <c r="AIU14" s="128"/>
      <c r="AIV14" s="128"/>
      <c r="AIW14" s="128"/>
      <c r="AIX14" s="128"/>
      <c r="AIY14" s="128"/>
      <c r="AIZ14" s="128"/>
      <c r="AJA14" s="128"/>
      <c r="AJB14" s="128"/>
      <c r="AJC14" s="128"/>
      <c r="AJD14" s="128"/>
      <c r="AJE14" s="128"/>
      <c r="AJF14" s="128"/>
      <c r="AJG14" s="128"/>
      <c r="AJH14" s="128"/>
      <c r="AJI14" s="128"/>
      <c r="AJJ14" s="128"/>
      <c r="AJK14" s="128"/>
      <c r="AJL14" s="128"/>
      <c r="AJM14" s="128"/>
      <c r="AJN14" s="128"/>
      <c r="AJO14" s="128"/>
      <c r="AJP14" s="128"/>
      <c r="AJQ14" s="128"/>
      <c r="AJR14" s="128"/>
      <c r="AJS14" s="128"/>
      <c r="AJT14" s="128"/>
      <c r="AJU14" s="128"/>
      <c r="AJV14" s="128"/>
      <c r="AJW14" s="128"/>
      <c r="AJX14" s="128"/>
      <c r="AJY14" s="129"/>
      <c r="AJZ14" s="129"/>
      <c r="AKA14" s="129"/>
      <c r="AKB14" s="129"/>
      <c r="AKC14" s="129"/>
      <c r="AKD14" s="129"/>
      <c r="AKE14" s="129"/>
      <c r="AKF14" s="129"/>
      <c r="AKG14" s="129"/>
      <c r="AKH14" s="129"/>
      <c r="AKI14" s="129"/>
      <c r="AKJ14" s="129"/>
      <c r="AKK14" s="129"/>
      <c r="AKL14" s="129"/>
      <c r="AKM14" s="129"/>
      <c r="AKN14" s="129"/>
      <c r="AKO14" s="129"/>
      <c r="AKP14" s="129"/>
      <c r="AKQ14" s="129"/>
      <c r="AKR14" s="129"/>
      <c r="AKS14" s="129"/>
      <c r="AKT14" s="128"/>
      <c r="AKU14" s="128"/>
      <c r="AKV14" s="128"/>
      <c r="AKW14" s="128"/>
      <c r="AKX14" s="128"/>
      <c r="AKY14" s="128"/>
      <c r="AKZ14" s="129"/>
      <c r="ALA14" s="129"/>
      <c r="ALB14" s="129"/>
      <c r="ALC14" s="129"/>
      <c r="ALD14" s="129"/>
      <c r="ALE14" s="129"/>
      <c r="ALF14" s="129"/>
      <c r="ALG14" s="129"/>
      <c r="ALH14" s="129"/>
      <c r="ALI14" s="129"/>
      <c r="ALJ14" s="129"/>
      <c r="ALK14" s="129"/>
      <c r="ALL14" s="129"/>
      <c r="ALM14" s="129"/>
      <c r="ALN14" s="129"/>
      <c r="ALO14" s="129"/>
      <c r="ALP14" s="129"/>
      <c r="ALQ14" s="129"/>
      <c r="ALR14" s="129"/>
      <c r="ALS14" s="129"/>
      <c r="ALT14" s="129"/>
      <c r="ALU14" s="129"/>
      <c r="ALV14" s="129"/>
      <c r="ALW14" s="129"/>
      <c r="ALX14" s="129"/>
      <c r="ALY14" s="129"/>
      <c r="ALZ14" s="129"/>
      <c r="AMA14" s="129"/>
      <c r="AMB14" s="128"/>
      <c r="AMC14" s="128"/>
      <c r="AMD14" s="128"/>
      <c r="AME14" s="128"/>
      <c r="AMF14" s="128"/>
      <c r="AMG14" s="128"/>
      <c r="AMH14" s="128"/>
      <c r="APZ14" s="128" t="s">
        <v>230</v>
      </c>
      <c r="AQA14" s="128"/>
      <c r="AQB14" s="128"/>
      <c r="AQC14" s="128"/>
      <c r="AQD14" s="128"/>
      <c r="AQE14" s="128"/>
      <c r="AQF14" s="128"/>
      <c r="AQG14" s="128"/>
      <c r="AQH14" s="128"/>
      <c r="AQI14" s="128"/>
      <c r="AQJ14" s="128"/>
      <c r="AQK14" s="128"/>
      <c r="AQL14" s="128"/>
      <c r="AQM14" s="128"/>
      <c r="AQN14" s="128"/>
      <c r="AQO14" s="128"/>
      <c r="AQP14" s="128"/>
      <c r="AQQ14" s="128"/>
      <c r="AQR14" s="128"/>
      <c r="AQS14" s="128"/>
      <c r="AQT14" s="128"/>
      <c r="AQU14" s="128"/>
      <c r="AQV14" s="128"/>
      <c r="AQW14" s="128"/>
      <c r="AQX14" s="128"/>
      <c r="AQY14" s="128"/>
      <c r="AQZ14" s="128"/>
      <c r="ARA14" s="128"/>
      <c r="ARB14" s="128"/>
      <c r="ARC14" s="128"/>
      <c r="ARD14" s="128"/>
      <c r="ARE14" s="129"/>
      <c r="ARF14" s="129"/>
      <c r="ARG14" s="129"/>
      <c r="ARH14" s="129"/>
      <c r="ARI14" s="129"/>
      <c r="ARJ14" s="129"/>
      <c r="ARK14" s="129"/>
      <c r="ARL14" s="129"/>
      <c r="ARM14" s="129"/>
      <c r="ARN14" s="129"/>
      <c r="ARO14" s="129"/>
      <c r="ARP14" s="129"/>
      <c r="ARQ14" s="129"/>
      <c r="ARR14" s="129"/>
      <c r="ARS14" s="129"/>
      <c r="ART14" s="129"/>
      <c r="ARU14" s="129"/>
      <c r="ARV14" s="129"/>
      <c r="ARW14" s="129"/>
      <c r="ARX14" s="129"/>
      <c r="ARY14" s="129"/>
      <c r="ARZ14" s="128"/>
      <c r="ASA14" s="128"/>
      <c r="ASB14" s="128"/>
      <c r="ASC14" s="128"/>
      <c r="ASD14" s="128"/>
      <c r="ASE14" s="128"/>
      <c r="ASF14" s="129"/>
      <c r="ASG14" s="129"/>
      <c r="ASH14" s="129"/>
      <c r="ASI14" s="129"/>
      <c r="ASJ14" s="129"/>
      <c r="ASK14" s="129"/>
      <c r="ASL14" s="129"/>
      <c r="ASM14" s="129"/>
      <c r="ASN14" s="129"/>
      <c r="ASO14" s="129"/>
      <c r="ASP14" s="129"/>
      <c r="ASQ14" s="129"/>
      <c r="ASR14" s="129"/>
      <c r="ASS14" s="129"/>
      <c r="AST14" s="129"/>
      <c r="ASU14" s="129"/>
      <c r="ASV14" s="129"/>
      <c r="ASW14" s="129"/>
      <c r="ASX14" s="129"/>
      <c r="ASY14" s="129"/>
      <c r="ASZ14" s="129"/>
      <c r="ATA14" s="129"/>
      <c r="ATB14" s="129"/>
      <c r="ATC14" s="129"/>
      <c r="ATD14" s="129"/>
      <c r="ATE14" s="129"/>
      <c r="ATF14" s="129"/>
      <c r="ATG14" s="129"/>
      <c r="ATH14" s="128"/>
      <c r="ATI14" s="128"/>
      <c r="ATJ14" s="128"/>
      <c r="ATK14" s="128"/>
      <c r="ATL14" s="128"/>
      <c r="ATM14" s="128"/>
      <c r="ATN14" s="128"/>
      <c r="AXF14" s="144" t="s">
        <v>270</v>
      </c>
      <c r="AXG14" s="144"/>
      <c r="AXH14" s="144"/>
      <c r="AXI14" s="144"/>
      <c r="AXJ14" s="144"/>
      <c r="AXK14" s="144"/>
      <c r="AXL14" s="144"/>
      <c r="AXM14" s="144"/>
      <c r="AXN14" s="144"/>
      <c r="AXO14" s="144"/>
      <c r="AXP14" s="144"/>
      <c r="AXQ14" s="144"/>
      <c r="AXR14" s="144"/>
      <c r="AXS14" s="144"/>
      <c r="AXT14" s="144"/>
      <c r="AXU14" s="144"/>
      <c r="AXV14" s="144"/>
      <c r="AXW14" s="144"/>
      <c r="AXX14" s="144"/>
      <c r="AXY14" s="144"/>
      <c r="AXZ14" s="144"/>
      <c r="AYA14" s="144"/>
      <c r="AYB14" s="144"/>
      <c r="AYC14" s="144"/>
      <c r="AYD14" s="144"/>
      <c r="AYE14" s="144"/>
      <c r="AYF14" s="144"/>
      <c r="AYG14" s="144"/>
      <c r="AYH14" s="144"/>
      <c r="AYI14" s="144"/>
      <c r="AYJ14" s="144"/>
      <c r="AYK14" s="144"/>
      <c r="AYL14" s="144"/>
      <c r="AYM14" s="144"/>
      <c r="AYN14" s="144"/>
      <c r="AYO14" s="144"/>
      <c r="AYP14" s="144"/>
      <c r="AYQ14" s="144"/>
      <c r="AYR14" s="144"/>
      <c r="AYS14" s="144"/>
      <c r="AYT14" s="144"/>
      <c r="AYU14" s="144"/>
      <c r="AYV14" s="144"/>
      <c r="AYW14" s="144"/>
      <c r="AYX14" s="144"/>
      <c r="AYY14" s="144"/>
      <c r="AYZ14" s="144"/>
      <c r="AZA14" s="144"/>
      <c r="AZB14" s="144"/>
      <c r="AZC14" s="144"/>
      <c r="AZD14" s="144"/>
      <c r="AZE14" s="144"/>
      <c r="AZF14" s="144"/>
      <c r="AZG14" s="144"/>
      <c r="AZH14" s="144"/>
      <c r="AZI14" s="144"/>
      <c r="AZJ14" s="144"/>
      <c r="AZK14" s="144"/>
      <c r="AZL14" s="144"/>
      <c r="AZM14" s="144"/>
      <c r="AZN14" s="144"/>
      <c r="AZO14" s="144"/>
      <c r="AZP14" s="144"/>
      <c r="AZQ14" s="144"/>
      <c r="AZR14" s="144"/>
      <c r="AZS14" s="144"/>
      <c r="AZT14" s="144"/>
      <c r="AZU14" s="144"/>
      <c r="AZV14" s="144"/>
      <c r="AZW14" s="144"/>
      <c r="AZX14" s="144"/>
      <c r="AZY14" s="144"/>
      <c r="AZZ14" s="144"/>
      <c r="BAA14" s="144"/>
      <c r="BAB14" s="144"/>
      <c r="BAC14" s="144"/>
      <c r="BAD14" s="144"/>
      <c r="BAE14" s="144"/>
      <c r="BAF14" s="144"/>
      <c r="BAG14" s="144"/>
      <c r="BAH14" s="144"/>
      <c r="BAI14" s="144"/>
      <c r="BAJ14" s="144"/>
      <c r="BAK14" s="144"/>
      <c r="BAL14" s="144"/>
      <c r="BAM14" s="144"/>
      <c r="BAN14" s="144"/>
      <c r="BAO14" s="144"/>
      <c r="BAP14" s="144"/>
      <c r="BAQ14" s="144"/>
      <c r="BAR14" s="144"/>
      <c r="BAS14" s="144"/>
      <c r="BAT14" s="144"/>
      <c r="BAV14" s="144" t="s">
        <v>289</v>
      </c>
      <c r="BAW14" s="144"/>
      <c r="BAX14" s="144"/>
      <c r="BAY14" s="144"/>
      <c r="BAZ14" s="144"/>
      <c r="BBA14" s="144"/>
      <c r="BBB14" s="144"/>
      <c r="BBC14" s="144"/>
      <c r="BBD14" s="144"/>
      <c r="BBE14" s="144"/>
      <c r="BBF14" s="144"/>
      <c r="BBG14" s="144"/>
      <c r="BBH14" s="144"/>
      <c r="BBI14" s="144"/>
      <c r="BBJ14" s="144"/>
      <c r="BBK14" s="144"/>
      <c r="BBL14" s="144"/>
      <c r="BBM14" s="144"/>
      <c r="BBN14" s="144"/>
      <c r="BBO14" s="144"/>
      <c r="BBP14" s="144"/>
      <c r="BBQ14" s="144"/>
      <c r="BBR14" s="144"/>
      <c r="BBS14" s="144"/>
      <c r="BBT14" s="144"/>
      <c r="BBU14" s="144"/>
      <c r="BBV14" s="144"/>
      <c r="BBW14" s="144"/>
      <c r="BBX14" s="144"/>
      <c r="BBY14" s="144"/>
      <c r="BBZ14" s="144"/>
      <c r="BCA14" s="144"/>
      <c r="BCB14" s="144"/>
      <c r="BCC14" s="144"/>
      <c r="BCD14" s="144"/>
      <c r="BCE14" s="144"/>
      <c r="BCF14" s="144"/>
      <c r="BCG14" s="144"/>
      <c r="BCH14" s="144"/>
      <c r="BCI14" s="144"/>
      <c r="BCJ14" s="144"/>
      <c r="BCK14" s="144"/>
      <c r="BCL14" s="144"/>
      <c r="BCM14" s="144"/>
      <c r="BCN14" s="144"/>
      <c r="BCO14" s="144"/>
      <c r="BCP14" s="144"/>
      <c r="BCQ14" s="144"/>
      <c r="BCR14" s="144"/>
      <c r="BCS14" s="144"/>
      <c r="BCT14" s="144"/>
      <c r="BCU14" s="144"/>
      <c r="BCV14" s="144"/>
      <c r="BCW14" s="144"/>
      <c r="BCX14" s="144"/>
      <c r="BCY14" s="144"/>
      <c r="BCZ14" s="144"/>
      <c r="BDA14" s="144"/>
      <c r="BDB14" s="144"/>
      <c r="BDC14" s="144"/>
      <c r="BDD14" s="144"/>
      <c r="BDE14" s="144"/>
      <c r="BDF14" s="144"/>
      <c r="BDG14" s="144"/>
      <c r="BDH14" s="144"/>
      <c r="BDI14" s="144"/>
      <c r="BDJ14" s="144"/>
      <c r="BDK14" s="144"/>
      <c r="BDL14" s="144"/>
      <c r="BDM14" s="144"/>
      <c r="BDN14" s="144"/>
      <c r="BDO14" s="144"/>
      <c r="BDP14" s="144"/>
      <c r="BDQ14" s="144"/>
      <c r="BDR14" s="144"/>
      <c r="BDS14" s="144"/>
      <c r="BDT14" s="144"/>
      <c r="BDU14" s="144"/>
      <c r="BDV14" s="144"/>
      <c r="BDW14" s="144"/>
      <c r="BDX14" s="144"/>
      <c r="BDY14" s="144"/>
      <c r="BDZ14" s="144"/>
      <c r="BEA14" s="144"/>
      <c r="BEB14" s="144"/>
      <c r="BEC14" s="144"/>
      <c r="BED14" s="144"/>
      <c r="BEE14" s="144"/>
      <c r="BEF14" s="144"/>
      <c r="BEG14" s="144"/>
      <c r="BEH14" s="144"/>
      <c r="BEI14" s="144"/>
      <c r="BEJ14" s="144"/>
      <c r="BLR14" s="128" t="s">
        <v>327</v>
      </c>
      <c r="BLS14" s="128"/>
      <c r="BLT14" s="128"/>
      <c r="BLU14" s="128"/>
      <c r="BLV14" s="128"/>
      <c r="BLW14" s="128"/>
      <c r="BLX14" s="128"/>
      <c r="BLY14" s="128"/>
      <c r="BLZ14" s="128"/>
      <c r="BMA14" s="128"/>
      <c r="BMB14" s="128"/>
      <c r="BMC14" s="128"/>
      <c r="BMD14" s="128"/>
      <c r="BME14" s="128"/>
      <c r="BMF14" s="128"/>
      <c r="BMG14" s="128"/>
      <c r="BMH14" s="128"/>
      <c r="BMI14" s="128"/>
      <c r="BMJ14" s="128"/>
      <c r="BMK14" s="128"/>
      <c r="BML14" s="128"/>
      <c r="BMM14" s="128"/>
      <c r="BMN14" s="128"/>
      <c r="BMO14" s="128"/>
      <c r="BMP14" s="128"/>
      <c r="BMQ14" s="128"/>
      <c r="BMR14" s="128"/>
      <c r="BMS14" s="128"/>
      <c r="BMT14" s="128"/>
      <c r="BMU14" s="128"/>
      <c r="BMV14" s="128"/>
      <c r="BMW14" s="129"/>
      <c r="BMX14" s="129"/>
      <c r="BMY14" s="129"/>
      <c r="BMZ14" s="129"/>
      <c r="BNA14" s="129"/>
      <c r="BNB14" s="129"/>
      <c r="BNC14" s="129"/>
      <c r="BND14" s="129"/>
      <c r="BNE14" s="129"/>
      <c r="BNF14" s="129"/>
      <c r="BNG14" s="129"/>
      <c r="BNH14" s="129"/>
      <c r="BNI14" s="129"/>
      <c r="BNJ14" s="129"/>
      <c r="BNK14" s="129"/>
      <c r="BNL14" s="129"/>
      <c r="BNM14" s="129"/>
      <c r="BNN14" s="129"/>
      <c r="BNO14" s="129"/>
      <c r="BNP14" s="129"/>
      <c r="BNQ14" s="129"/>
      <c r="BNR14" s="128"/>
      <c r="BNS14" s="128"/>
      <c r="BNT14" s="128"/>
      <c r="BNU14" s="128"/>
      <c r="BNV14" s="128"/>
      <c r="BNW14" s="128"/>
      <c r="BNX14" s="129"/>
      <c r="BNY14" s="129"/>
      <c r="BNZ14" s="129"/>
      <c r="BOA14" s="129"/>
      <c r="BOB14" s="129"/>
      <c r="BOC14" s="129"/>
      <c r="BOD14" s="129"/>
      <c r="BOE14" s="129"/>
      <c r="BOF14" s="129"/>
      <c r="BOG14" s="129"/>
      <c r="BOH14" s="129"/>
      <c r="BOI14" s="129"/>
      <c r="BOJ14" s="129"/>
      <c r="BOK14" s="129"/>
      <c r="BOL14" s="129"/>
      <c r="BOM14" s="129"/>
      <c r="BON14" s="129"/>
      <c r="BOO14" s="129"/>
      <c r="BOP14" s="129"/>
      <c r="BOQ14" s="129"/>
      <c r="BOR14" s="129"/>
      <c r="BOS14" s="129"/>
      <c r="BOT14" s="129"/>
      <c r="BOU14" s="129"/>
      <c r="BOV14" s="129"/>
      <c r="BOW14" s="129"/>
      <c r="BOX14" s="129"/>
      <c r="BOY14" s="129"/>
      <c r="BOZ14" s="128"/>
      <c r="BPA14" s="128"/>
      <c r="BPB14" s="128"/>
      <c r="BPC14" s="128"/>
      <c r="BPD14" s="128"/>
      <c r="BPE14" s="128"/>
      <c r="BPF14" s="128"/>
      <c r="CDT14" s="128" t="s">
        <v>397</v>
      </c>
      <c r="CDU14" s="128"/>
      <c r="CDV14" s="128"/>
      <c r="CDW14" s="128"/>
      <c r="CDX14" s="128"/>
      <c r="CDY14" s="128"/>
      <c r="CDZ14" s="128"/>
      <c r="CEA14" s="128"/>
      <c r="CEB14" s="128"/>
      <c r="CEC14" s="128"/>
      <c r="CED14" s="128"/>
      <c r="CEE14" s="128"/>
      <c r="CEF14" s="128"/>
      <c r="CEG14" s="128"/>
      <c r="CEH14" s="128"/>
      <c r="CEI14" s="128"/>
      <c r="CEJ14" s="128"/>
      <c r="CEK14" s="128"/>
      <c r="CEL14" s="128"/>
      <c r="CEM14" s="128"/>
      <c r="CEN14" s="128"/>
      <c r="CEO14" s="128"/>
      <c r="CEP14" s="128"/>
      <c r="CEQ14" s="128"/>
      <c r="CER14" s="128"/>
      <c r="CES14" s="128"/>
      <c r="CET14" s="128"/>
      <c r="CEU14" s="128"/>
      <c r="CEV14" s="128"/>
      <c r="CEW14" s="128"/>
      <c r="CEX14" s="128"/>
      <c r="CEY14" s="129"/>
      <c r="CEZ14" s="129"/>
      <c r="CFA14" s="129"/>
      <c r="CFB14" s="129"/>
      <c r="CFC14" s="129"/>
      <c r="CFD14" s="129"/>
      <c r="CFE14" s="129"/>
      <c r="CFF14" s="129"/>
      <c r="CFG14" s="129"/>
      <c r="CFH14" s="129"/>
      <c r="CFI14" s="129"/>
      <c r="CFJ14" s="129"/>
      <c r="CFK14" s="129"/>
      <c r="CFL14" s="129"/>
      <c r="CFM14" s="129"/>
      <c r="CFN14" s="129"/>
      <c r="CFO14" s="129"/>
      <c r="CFP14" s="129"/>
      <c r="CFQ14" s="129"/>
      <c r="CFR14" s="129"/>
      <c r="CFS14" s="129"/>
      <c r="CFT14" s="128"/>
      <c r="CFU14" s="128"/>
      <c r="CFV14" s="128"/>
      <c r="CFW14" s="128"/>
      <c r="CFX14" s="128"/>
      <c r="CFY14" s="128"/>
      <c r="CFZ14" s="129"/>
      <c r="CGA14" s="129"/>
      <c r="CGB14" s="129"/>
      <c r="CGC14" s="129"/>
      <c r="CGD14" s="129"/>
      <c r="CGE14" s="129"/>
      <c r="CGF14" s="129"/>
      <c r="CGG14" s="129"/>
      <c r="CGH14" s="129"/>
      <c r="CGI14" s="129"/>
      <c r="CGJ14" s="129"/>
      <c r="CGK14" s="129"/>
      <c r="CGL14" s="129"/>
      <c r="CGM14" s="129"/>
      <c r="CGN14" s="129"/>
      <c r="CGO14" s="129"/>
      <c r="CGP14" s="129"/>
      <c r="CGQ14" s="129"/>
      <c r="CGR14" s="129"/>
      <c r="CGS14" s="129"/>
      <c r="CGT14" s="129"/>
      <c r="CGU14" s="129"/>
      <c r="CGV14" s="129"/>
      <c r="CGW14" s="129"/>
      <c r="CGX14" s="129"/>
      <c r="CGY14" s="129"/>
      <c r="CGZ14" s="129"/>
      <c r="CHA14" s="129"/>
      <c r="CHB14" s="128"/>
      <c r="CHC14" s="128"/>
      <c r="CHD14" s="128"/>
      <c r="CHE14" s="128"/>
      <c r="CHF14" s="128"/>
      <c r="CHG14" s="128"/>
      <c r="CHH14" s="128"/>
      <c r="COP14" s="128" t="str">
        <f ca="1">VLOOKUP(1,INDIRECT("Open"&amp;'Character Creation'!$Z$14),2,FALSE)</f>
        <v>Delving Ways</v>
      </c>
      <c r="COQ14" s="128"/>
      <c r="COR14" s="128"/>
      <c r="COS14" s="128"/>
      <c r="COT14" s="128"/>
      <c r="COU14" s="128"/>
      <c r="COV14" s="128"/>
      <c r="COW14" s="128"/>
      <c r="COX14" s="128"/>
      <c r="COY14" s="128"/>
      <c r="COZ14" s="128"/>
      <c r="CPA14" s="128"/>
      <c r="CPB14" s="128"/>
      <c r="CPC14" s="128"/>
      <c r="CPD14" s="128"/>
      <c r="CPE14" s="128"/>
      <c r="CPF14" s="128"/>
      <c r="CPG14" s="128"/>
      <c r="CPH14" s="128"/>
      <c r="CPI14" s="128"/>
      <c r="CPJ14" s="128"/>
      <c r="CPK14" s="128"/>
      <c r="CPL14" s="128"/>
      <c r="CPM14" s="128"/>
      <c r="CPN14" s="128"/>
      <c r="CPO14" s="128"/>
      <c r="CPP14" s="128"/>
      <c r="CPQ14" s="128"/>
      <c r="CPR14" s="128"/>
      <c r="CPS14" s="128"/>
      <c r="CPT14" s="128"/>
      <c r="CPU14" s="129"/>
      <c r="CPV14" s="129"/>
      <c r="CPW14" s="129"/>
      <c r="CPX14" s="129"/>
      <c r="CPY14" s="129"/>
      <c r="CPZ14" s="129"/>
      <c r="CQA14" s="129"/>
      <c r="CQB14" s="129"/>
      <c r="CQC14" s="129"/>
      <c r="CQD14" s="129"/>
      <c r="CQE14" s="129"/>
      <c r="CQF14" s="129"/>
      <c r="CQG14" s="129"/>
      <c r="CQH14" s="129"/>
      <c r="CQI14" s="129"/>
      <c r="CQJ14" s="129"/>
      <c r="CQK14" s="129"/>
      <c r="CQL14" s="129"/>
      <c r="CQM14" s="129"/>
      <c r="CQN14" s="129"/>
      <c r="CQO14" s="129"/>
      <c r="CQP14" s="128"/>
      <c r="CQQ14" s="128"/>
      <c r="CQR14" s="128"/>
      <c r="CQS14" s="128"/>
      <c r="CQT14" s="128"/>
      <c r="CQU14" s="128"/>
      <c r="CQV14" s="129"/>
      <c r="CQW14" s="129"/>
      <c r="CQX14" s="129"/>
      <c r="CQY14" s="129"/>
      <c r="CQZ14" s="129"/>
      <c r="CRA14" s="129"/>
      <c r="CRB14" s="129"/>
      <c r="CRC14" s="129"/>
      <c r="CRD14" s="129"/>
      <c r="CRE14" s="129"/>
      <c r="CRF14" s="129"/>
      <c r="CRG14" s="129"/>
      <c r="CRH14" s="129"/>
      <c r="CRI14" s="129"/>
      <c r="CRJ14" s="129"/>
      <c r="CRK14" s="129"/>
      <c r="CRL14" s="129"/>
      <c r="CRM14" s="129"/>
      <c r="CRN14" s="129"/>
      <c r="CRO14" s="129"/>
      <c r="CRP14" s="129"/>
      <c r="CRQ14" s="129"/>
      <c r="CRR14" s="129"/>
      <c r="CRS14" s="129"/>
      <c r="CRT14" s="129"/>
      <c r="CRU14" s="129"/>
      <c r="CRV14" s="129"/>
      <c r="CRW14" s="129"/>
      <c r="CRX14" s="128"/>
      <c r="CRY14" s="128"/>
      <c r="CRZ14" s="128"/>
      <c r="CSA14" s="128"/>
      <c r="CSB14" s="128"/>
      <c r="CSC14" s="128"/>
      <c r="CSD14" s="128"/>
      <c r="CSF14" s="128" t="s">
        <v>439</v>
      </c>
      <c r="CSG14" s="128"/>
      <c r="CSH14" s="128"/>
      <c r="CSI14" s="128"/>
      <c r="CSJ14" s="128"/>
      <c r="CSK14" s="128"/>
      <c r="CSL14" s="128"/>
      <c r="CSM14" s="128"/>
      <c r="CSN14" s="128"/>
      <c r="CSO14" s="128"/>
      <c r="CSP14" s="128"/>
      <c r="CSQ14" s="128"/>
      <c r="CSR14" s="128"/>
      <c r="CSS14" s="128"/>
      <c r="CST14" s="128"/>
      <c r="CSU14" s="128"/>
      <c r="CSV14" s="128"/>
      <c r="CSW14" s="128"/>
      <c r="CSX14" s="128"/>
      <c r="CSY14" s="128"/>
      <c r="CSZ14" s="128"/>
      <c r="CTA14" s="128"/>
      <c r="CTB14" s="128"/>
      <c r="CTC14" s="128"/>
      <c r="CTD14" s="128"/>
      <c r="CTE14" s="128"/>
      <c r="CTF14" s="128"/>
      <c r="CTG14" s="128"/>
      <c r="CTH14" s="128"/>
      <c r="CTI14" s="128"/>
      <c r="CTJ14" s="128"/>
      <c r="CTK14" s="129"/>
      <c r="CTL14" s="129"/>
      <c r="CTM14" s="129"/>
      <c r="CTN14" s="129"/>
      <c r="CTO14" s="129"/>
      <c r="CTP14" s="129"/>
      <c r="CTQ14" s="129"/>
      <c r="CTR14" s="129"/>
      <c r="CTS14" s="129"/>
      <c r="CTT14" s="129"/>
      <c r="CTU14" s="129"/>
      <c r="CTV14" s="129"/>
      <c r="CTW14" s="129"/>
      <c r="CTX14" s="129"/>
      <c r="CTY14" s="129"/>
      <c r="CTZ14" s="129"/>
      <c r="CUA14" s="129"/>
      <c r="CUB14" s="129"/>
      <c r="CUC14" s="129"/>
      <c r="CUD14" s="129"/>
      <c r="CUE14" s="129"/>
      <c r="CUF14" s="128"/>
      <c r="CUG14" s="128"/>
      <c r="CUH14" s="128"/>
      <c r="CUI14" s="128"/>
      <c r="CUJ14" s="128"/>
      <c r="CUK14" s="128"/>
      <c r="CUL14" s="129"/>
      <c r="CUM14" s="129"/>
      <c r="CUN14" s="129"/>
      <c r="CUO14" s="129"/>
      <c r="CUP14" s="129"/>
      <c r="CUQ14" s="129"/>
      <c r="CUR14" s="129"/>
      <c r="CUS14" s="129"/>
      <c r="CUT14" s="129"/>
      <c r="CUU14" s="129"/>
      <c r="CUV14" s="129"/>
      <c r="CUW14" s="129"/>
      <c r="CUX14" s="129"/>
      <c r="CUY14" s="129"/>
      <c r="CUZ14" s="129"/>
      <c r="CVA14" s="129"/>
      <c r="CVB14" s="129"/>
      <c r="CVC14" s="129"/>
      <c r="CVD14" s="129"/>
      <c r="CVE14" s="129"/>
      <c r="CVF14" s="129"/>
      <c r="CVG14" s="129"/>
      <c r="CVH14" s="129"/>
      <c r="CVI14" s="129"/>
      <c r="CVJ14" s="129"/>
      <c r="CVK14" s="129"/>
      <c r="CVL14" s="129"/>
      <c r="CVM14" s="129"/>
      <c r="CVN14" s="128"/>
      <c r="CVO14" s="128"/>
      <c r="CVP14" s="128"/>
      <c r="CVQ14" s="128"/>
      <c r="CVR14" s="128"/>
      <c r="CVS14" s="128"/>
      <c r="CVT14" s="128"/>
      <c r="CVV14" s="128" t="s">
        <v>493</v>
      </c>
      <c r="CVW14" s="128"/>
      <c r="CVX14" s="128"/>
      <c r="CVY14" s="128"/>
      <c r="CVZ14" s="128"/>
      <c r="CWA14" s="128"/>
      <c r="CWB14" s="128"/>
      <c r="CWC14" s="128"/>
      <c r="CWD14" s="128"/>
      <c r="CWE14" s="128"/>
      <c r="CWF14" s="128"/>
      <c r="CWG14" s="128"/>
      <c r="CWH14" s="128"/>
      <c r="CWI14" s="128"/>
      <c r="CWJ14" s="128"/>
      <c r="CWK14" s="128"/>
      <c r="CWL14" s="128"/>
      <c r="CWM14" s="128"/>
      <c r="CWN14" s="128"/>
      <c r="CWO14" s="128"/>
      <c r="CWP14" s="128"/>
      <c r="CWQ14" s="128"/>
      <c r="CWR14" s="128"/>
      <c r="CWS14" s="128"/>
      <c r="CWT14" s="128"/>
      <c r="CWU14" s="128"/>
      <c r="CWV14" s="128"/>
      <c r="CWW14" s="128"/>
      <c r="CWX14" s="128"/>
      <c r="CWY14" s="128"/>
      <c r="CWZ14" s="128"/>
      <c r="CXA14" s="129"/>
      <c r="CXB14" s="129"/>
      <c r="CXC14" s="129"/>
      <c r="CXD14" s="129"/>
      <c r="CXE14" s="129"/>
      <c r="CXF14" s="129"/>
      <c r="CXG14" s="129"/>
      <c r="CXH14" s="129"/>
      <c r="CXI14" s="129"/>
      <c r="CXJ14" s="129"/>
      <c r="CXK14" s="129"/>
      <c r="CXL14" s="129"/>
      <c r="CXM14" s="129"/>
      <c r="CXN14" s="129"/>
      <c r="CXO14" s="129"/>
      <c r="CXP14" s="129"/>
      <c r="CXQ14" s="129"/>
      <c r="CXR14" s="129"/>
      <c r="CXS14" s="129"/>
      <c r="CXT14" s="129"/>
      <c r="CXU14" s="129"/>
      <c r="CXV14" s="128"/>
      <c r="CXW14" s="128"/>
      <c r="CXX14" s="128"/>
      <c r="CXY14" s="128"/>
      <c r="CXZ14" s="128"/>
      <c r="CYA14" s="128"/>
      <c r="CYB14" s="129"/>
      <c r="CYC14" s="129"/>
      <c r="CYD14" s="129"/>
      <c r="CYE14" s="129"/>
      <c r="CYF14" s="129"/>
      <c r="CYG14" s="129"/>
      <c r="CYH14" s="129"/>
      <c r="CYI14" s="129"/>
      <c r="CYJ14" s="129"/>
      <c r="CYK14" s="129"/>
      <c r="CYL14" s="129"/>
      <c r="CYM14" s="129"/>
      <c r="CYN14" s="129"/>
      <c r="CYO14" s="129"/>
      <c r="CYP14" s="129"/>
      <c r="CYQ14" s="129"/>
      <c r="CYR14" s="129"/>
      <c r="CYS14" s="129"/>
      <c r="CYT14" s="129"/>
      <c r="CYU14" s="129"/>
      <c r="CYV14" s="129"/>
      <c r="CYW14" s="129"/>
      <c r="CYX14" s="129"/>
      <c r="CYY14" s="129"/>
      <c r="CYZ14" s="129"/>
      <c r="CZA14" s="129"/>
      <c r="CZB14" s="129"/>
      <c r="CZC14" s="129"/>
      <c r="CZD14" s="128"/>
      <c r="CZE14" s="128"/>
      <c r="CZF14" s="128"/>
      <c r="CZG14" s="128"/>
      <c r="CZH14" s="128"/>
      <c r="CZI14" s="128"/>
      <c r="CZJ14" s="128"/>
      <c r="CZL14" s="128" t="s">
        <v>510</v>
      </c>
      <c r="CZM14" s="128"/>
      <c r="CZN14" s="128"/>
      <c r="CZO14" s="128"/>
      <c r="CZP14" s="128"/>
      <c r="CZQ14" s="128"/>
      <c r="CZR14" s="128"/>
      <c r="CZS14" s="128"/>
      <c r="CZT14" s="128"/>
      <c r="CZU14" s="128"/>
      <c r="CZV14" s="128"/>
      <c r="CZW14" s="128"/>
      <c r="CZX14" s="128"/>
      <c r="CZY14" s="128"/>
      <c r="CZZ14" s="128"/>
      <c r="DAA14" s="128"/>
      <c r="DAB14" s="128"/>
      <c r="DAC14" s="128"/>
      <c r="DAD14" s="128"/>
      <c r="DAE14" s="128"/>
      <c r="DAF14" s="128"/>
      <c r="DAG14" s="128"/>
      <c r="DAH14" s="128"/>
      <c r="DAI14" s="128"/>
      <c r="DAJ14" s="128"/>
      <c r="DAK14" s="128"/>
      <c r="DAL14" s="128"/>
      <c r="DAM14" s="128"/>
      <c r="DAN14" s="128"/>
      <c r="DAO14" s="128"/>
      <c r="DAP14" s="128"/>
      <c r="DAQ14" s="129"/>
      <c r="DAR14" s="129"/>
      <c r="DAS14" s="129"/>
      <c r="DAT14" s="129"/>
      <c r="DAU14" s="129"/>
      <c r="DAV14" s="129"/>
      <c r="DAW14" s="129"/>
      <c r="DAX14" s="129"/>
      <c r="DAY14" s="129"/>
      <c r="DAZ14" s="129"/>
      <c r="DBA14" s="129"/>
      <c r="DBB14" s="129"/>
      <c r="DBC14" s="129"/>
      <c r="DBD14" s="129"/>
      <c r="DBE14" s="129"/>
      <c r="DBF14" s="129"/>
      <c r="DBG14" s="129"/>
      <c r="DBH14" s="129"/>
      <c r="DBI14" s="129"/>
      <c r="DBJ14" s="129"/>
      <c r="DBK14" s="129"/>
      <c r="DBL14" s="128"/>
      <c r="DBM14" s="128"/>
      <c r="DBN14" s="128"/>
      <c r="DBO14" s="128"/>
      <c r="DBP14" s="128"/>
      <c r="DBQ14" s="128"/>
      <c r="DBR14" s="129"/>
      <c r="DBS14" s="129"/>
      <c r="DBT14" s="129"/>
      <c r="DBU14" s="129"/>
      <c r="DBV14" s="129"/>
      <c r="DBW14" s="129"/>
      <c r="DBX14" s="129"/>
      <c r="DBY14" s="129"/>
      <c r="DBZ14" s="129"/>
      <c r="DCA14" s="129"/>
      <c r="DCB14" s="129"/>
      <c r="DCC14" s="129"/>
      <c r="DCD14" s="129"/>
      <c r="DCE14" s="129"/>
      <c r="DCF14" s="129"/>
      <c r="DCG14" s="129"/>
      <c r="DCH14" s="129"/>
      <c r="DCI14" s="129"/>
      <c r="DCJ14" s="129"/>
      <c r="DCK14" s="129"/>
      <c r="DCL14" s="129"/>
      <c r="DCM14" s="129"/>
      <c r="DCN14" s="129"/>
      <c r="DCO14" s="129"/>
      <c r="DCP14" s="129"/>
      <c r="DCQ14" s="129"/>
      <c r="DCR14" s="129"/>
      <c r="DCS14" s="129"/>
      <c r="DCT14" s="128"/>
      <c r="DCU14" s="128"/>
      <c r="DCV14" s="128"/>
      <c r="DCW14" s="128"/>
      <c r="DCX14" s="128"/>
      <c r="DCY14" s="128"/>
      <c r="DCZ14" s="128"/>
      <c r="DDB14" s="128" t="s">
        <v>523</v>
      </c>
      <c r="DDC14" s="128"/>
      <c r="DDD14" s="128"/>
      <c r="DDE14" s="128"/>
      <c r="DDF14" s="128"/>
      <c r="DDG14" s="128"/>
      <c r="DDH14" s="128"/>
      <c r="DDI14" s="128"/>
      <c r="DDJ14" s="128"/>
      <c r="DDK14" s="128"/>
      <c r="DDL14" s="128"/>
      <c r="DDM14" s="128"/>
      <c r="DDN14" s="128"/>
      <c r="DDO14" s="128"/>
      <c r="DDP14" s="128"/>
      <c r="DDQ14" s="128"/>
      <c r="DDR14" s="128"/>
      <c r="DDS14" s="128"/>
      <c r="DDT14" s="128"/>
      <c r="DDU14" s="128"/>
      <c r="DDV14" s="128"/>
      <c r="DDW14" s="128"/>
      <c r="DDX14" s="128"/>
      <c r="DDY14" s="128"/>
      <c r="DDZ14" s="128"/>
      <c r="DEA14" s="128"/>
      <c r="DEB14" s="128"/>
      <c r="DEC14" s="128"/>
      <c r="DED14" s="128"/>
      <c r="DEE14" s="128"/>
      <c r="DEF14" s="128"/>
      <c r="DEG14" s="129"/>
      <c r="DEH14" s="129"/>
      <c r="DEI14" s="129"/>
      <c r="DEJ14" s="129"/>
      <c r="DEK14" s="129"/>
      <c r="DEL14" s="129"/>
      <c r="DEM14" s="129"/>
      <c r="DEN14" s="129"/>
      <c r="DEO14" s="129"/>
      <c r="DEP14" s="129"/>
      <c r="DEQ14" s="129"/>
      <c r="DER14" s="129"/>
      <c r="DES14" s="129"/>
      <c r="DET14" s="129"/>
      <c r="DEU14" s="129"/>
      <c r="DEV14" s="129"/>
      <c r="DEW14" s="129"/>
      <c r="DEX14" s="129"/>
      <c r="DEY14" s="129"/>
      <c r="DEZ14" s="129"/>
      <c r="DFA14" s="129"/>
      <c r="DFB14" s="128"/>
      <c r="DFC14" s="128"/>
      <c r="DFD14" s="128"/>
      <c r="DFE14" s="128"/>
      <c r="DFF14" s="128"/>
      <c r="DFG14" s="128"/>
      <c r="DFH14" s="129"/>
      <c r="DFI14" s="129"/>
      <c r="DFJ14" s="129"/>
      <c r="DFK14" s="129"/>
      <c r="DFL14" s="129"/>
      <c r="DFM14" s="129"/>
      <c r="DFN14" s="129"/>
      <c r="DFO14" s="129"/>
      <c r="DFP14" s="129"/>
      <c r="DFQ14" s="129"/>
      <c r="DFR14" s="129"/>
      <c r="DFS14" s="129"/>
      <c r="DFT14" s="129"/>
      <c r="DFU14" s="129"/>
      <c r="DFV14" s="129"/>
      <c r="DFW14" s="129"/>
      <c r="DFX14" s="129"/>
      <c r="DFY14" s="129"/>
      <c r="DFZ14" s="129"/>
      <c r="DGA14" s="129"/>
      <c r="DGB14" s="129"/>
      <c r="DGC14" s="129"/>
      <c r="DGD14" s="129"/>
      <c r="DGE14" s="129"/>
      <c r="DGF14" s="129"/>
      <c r="DGG14" s="129"/>
      <c r="DGH14" s="129"/>
      <c r="DGI14" s="129"/>
      <c r="DGJ14" s="128"/>
      <c r="DGK14" s="128"/>
      <c r="DGL14" s="128"/>
      <c r="DGM14" s="128"/>
      <c r="DGN14" s="128"/>
      <c r="DGO14" s="128"/>
      <c r="DGP14" s="128"/>
      <c r="DGR14" s="144" t="s">
        <v>147</v>
      </c>
      <c r="DGS14" s="144"/>
      <c r="DGT14" s="144"/>
      <c r="DGU14" s="144"/>
      <c r="DGV14" s="144"/>
      <c r="DGW14" s="144"/>
      <c r="DGX14" s="144"/>
      <c r="DGY14" s="144"/>
      <c r="DGZ14" s="144"/>
      <c r="DHA14" s="144"/>
      <c r="DHB14" s="144"/>
      <c r="DHC14" s="144"/>
      <c r="DHD14" s="144"/>
      <c r="DHE14" s="144"/>
      <c r="DHF14" s="144"/>
      <c r="DHG14" s="144"/>
      <c r="DHH14" s="144"/>
      <c r="DHI14" s="144"/>
      <c r="DHJ14" s="144"/>
      <c r="DHK14" s="144"/>
      <c r="DHL14" s="144"/>
      <c r="DHM14" s="144"/>
      <c r="DHN14" s="144"/>
      <c r="DHO14" s="144"/>
      <c r="DHP14" s="144"/>
      <c r="DHQ14" s="144"/>
      <c r="DHR14" s="144"/>
      <c r="DHS14" s="144"/>
      <c r="DHT14" s="144"/>
      <c r="DHU14" s="144"/>
      <c r="DHV14" s="144"/>
      <c r="DHW14" s="129" t="s">
        <v>133</v>
      </c>
      <c r="DHX14" s="129"/>
      <c r="DHY14" s="129"/>
      <c r="DHZ14" s="129"/>
      <c r="DIA14" s="129" t="s">
        <v>148</v>
      </c>
      <c r="DIB14" s="129"/>
      <c r="DIC14" s="129"/>
      <c r="DID14" s="129"/>
      <c r="DIE14" s="129"/>
      <c r="DIF14" s="129" t="s">
        <v>83</v>
      </c>
      <c r="DIG14" s="129"/>
      <c r="DIH14" s="129"/>
      <c r="DII14" s="129"/>
      <c r="DIJ14" s="129"/>
      <c r="DIK14" s="129"/>
      <c r="DIL14" s="129" t="s">
        <v>37</v>
      </c>
      <c r="DIM14" s="129"/>
      <c r="DIN14" s="129"/>
      <c r="DIO14" s="129"/>
      <c r="DIP14" s="129"/>
      <c r="DIQ14" s="129"/>
      <c r="DIR14" s="129" t="s">
        <v>49</v>
      </c>
      <c r="DIS14" s="129"/>
      <c r="DIT14" s="129"/>
      <c r="DIU14" s="129"/>
      <c r="DIV14" s="129"/>
      <c r="DIW14" s="129"/>
      <c r="DIX14" s="129" t="s">
        <v>149</v>
      </c>
      <c r="DIY14" s="129"/>
      <c r="DIZ14" s="129"/>
      <c r="DJA14" s="129"/>
      <c r="DJB14" s="129"/>
      <c r="DJC14" s="129"/>
      <c r="DJD14" s="129"/>
      <c r="DJE14" s="129" t="s">
        <v>150</v>
      </c>
      <c r="DJF14" s="129"/>
      <c r="DJG14" s="129"/>
      <c r="DJH14" s="129"/>
      <c r="DJI14" s="129"/>
      <c r="DJJ14" s="129"/>
      <c r="DJK14" s="129"/>
      <c r="DJL14" s="129" t="s">
        <v>151</v>
      </c>
      <c r="DJM14" s="129"/>
      <c r="DJN14" s="129"/>
      <c r="DJO14" s="129"/>
      <c r="DJP14" s="129"/>
      <c r="DJQ14" s="129"/>
      <c r="DJR14" s="129"/>
      <c r="DJS14" s="129" t="s">
        <v>37</v>
      </c>
      <c r="DJT14" s="129"/>
      <c r="DJU14" s="129"/>
      <c r="DJV14" s="129"/>
      <c r="DJW14" s="129"/>
      <c r="DJX14" s="129"/>
      <c r="DJY14" s="129"/>
      <c r="DJZ14" s="129" t="s">
        <v>40</v>
      </c>
      <c r="DKA14" s="129"/>
      <c r="DKB14" s="129"/>
      <c r="DKC14" s="129"/>
      <c r="DKD14" s="129"/>
      <c r="DKE14" s="129"/>
      <c r="DKF14" s="129"/>
    </row>
    <row r="15" spans="2:2996" ht="15" customHeight="1" x14ac:dyDescent="0.25">
      <c r="B15" s="188" t="s">
        <v>27</v>
      </c>
      <c r="C15" s="189"/>
      <c r="D15" s="189"/>
      <c r="E15" s="189"/>
      <c r="F15" s="189"/>
      <c r="G15" s="189"/>
      <c r="H15" s="189"/>
      <c r="I15" s="189"/>
      <c r="J15" s="189"/>
      <c r="K15" s="189"/>
      <c r="L15" s="189"/>
      <c r="M15" s="189"/>
      <c r="N15" s="189"/>
      <c r="O15" s="189"/>
      <c r="P15" s="189"/>
      <c r="Q15" s="130">
        <f>'Level-up'!E5</f>
        <v>78</v>
      </c>
      <c r="R15" s="130"/>
      <c r="S15" s="130"/>
      <c r="T15" s="130"/>
      <c r="U15" s="130"/>
      <c r="V15" s="130"/>
      <c r="W15" s="130"/>
      <c r="X15" s="130">
        <f>'Character Creation'!AJ42</f>
        <v>100</v>
      </c>
      <c r="Y15" s="130"/>
      <c r="Z15" s="130"/>
      <c r="AA15" s="130"/>
      <c r="AB15" s="130"/>
      <c r="AC15" s="130"/>
      <c r="AD15" s="130"/>
      <c r="AE15" s="130">
        <f t="shared" si="1"/>
        <v>5</v>
      </c>
      <c r="AF15" s="130"/>
      <c r="AG15" s="130"/>
      <c r="AH15" s="130"/>
      <c r="AI15" s="130"/>
      <c r="AJ15" s="130"/>
      <c r="AK15" s="130"/>
      <c r="AL15" s="130">
        <f>VLOOKUP('Character Creation'!$Z$11,RaceChart,4,FALSE)</f>
        <v>0</v>
      </c>
      <c r="AM15" s="130"/>
      <c r="AN15" s="130"/>
      <c r="AO15" s="130"/>
      <c r="AP15" s="130"/>
      <c r="AQ15" s="130"/>
      <c r="AR15" s="130"/>
      <c r="AS15" s="130">
        <v>0</v>
      </c>
      <c r="AT15" s="130"/>
      <c r="AU15" s="130"/>
      <c r="AV15" s="130"/>
      <c r="AW15" s="130"/>
      <c r="AX15" s="130"/>
      <c r="AY15" s="130"/>
      <c r="AZ15" s="210">
        <f t="shared" si="2"/>
        <v>5</v>
      </c>
      <c r="BA15" s="210"/>
      <c r="BB15" s="210"/>
      <c r="BC15" s="210"/>
      <c r="BD15" s="210"/>
      <c r="BE15" s="210"/>
      <c r="BF15" s="211"/>
      <c r="BH15" s="188" t="s">
        <v>42</v>
      </c>
      <c r="BI15" s="189"/>
      <c r="BJ15" s="189"/>
      <c r="BK15" s="189"/>
      <c r="BL15" s="189"/>
      <c r="BM15" s="189"/>
      <c r="BN15" s="189"/>
      <c r="BO15" s="189"/>
      <c r="BP15" s="189"/>
      <c r="BQ15" s="189"/>
      <c r="BR15" s="189"/>
      <c r="BS15" s="189"/>
      <c r="BT15" s="189"/>
      <c r="BU15" s="189"/>
      <c r="BV15" s="189"/>
      <c r="BW15" s="189"/>
      <c r="BX15" s="189"/>
      <c r="BY15" s="189"/>
      <c r="BZ15" s="189"/>
      <c r="CA15" s="130">
        <f>Pr</f>
        <v>-3</v>
      </c>
      <c r="CB15" s="130"/>
      <c r="CC15" s="130"/>
      <c r="CD15" s="130"/>
      <c r="CE15" s="130"/>
      <c r="CF15" s="130"/>
      <c r="CG15" s="130"/>
      <c r="CH15" s="130">
        <f>VLOOKUP('Character Creation'!$Z$11,RaceChart,14,FALSE)</f>
        <v>0</v>
      </c>
      <c r="CI15" s="130"/>
      <c r="CJ15" s="130"/>
      <c r="CK15" s="130"/>
      <c r="CL15" s="130"/>
      <c r="CM15" s="130"/>
      <c r="CN15" s="130"/>
      <c r="CO15" s="130">
        <f>IF(ISNUMBER(SEARCH("Ment.",$BJ$8)),10,0)</f>
        <v>0</v>
      </c>
      <c r="CP15" s="130"/>
      <c r="CQ15" s="130"/>
      <c r="CR15" s="130"/>
      <c r="CS15" s="130"/>
      <c r="CT15" s="130"/>
      <c r="CU15" s="130"/>
      <c r="CV15" s="210">
        <f t="shared" si="3"/>
        <v>-3</v>
      </c>
      <c r="CW15" s="210"/>
      <c r="CX15" s="210"/>
      <c r="CY15" s="210"/>
      <c r="CZ15" s="210"/>
      <c r="DA15" s="210"/>
      <c r="DB15" s="211"/>
      <c r="DC15"/>
      <c r="DD15" s="133" t="s">
        <v>125</v>
      </c>
      <c r="DE15" s="134"/>
      <c r="DF15" s="134"/>
      <c r="DG15" s="134"/>
      <c r="DH15" s="134"/>
      <c r="DI15" s="134"/>
      <c r="DJ15" s="134"/>
      <c r="DK15" s="134"/>
      <c r="DL15" s="134"/>
      <c r="DM15" s="134"/>
      <c r="DN15" s="134"/>
      <c r="DO15" s="134"/>
      <c r="DP15" s="134"/>
      <c r="DQ15" s="134"/>
      <c r="DR15" s="134"/>
      <c r="DS15" s="134"/>
      <c r="DT15" s="134"/>
      <c r="DU15" s="134"/>
      <c r="DV15" s="134"/>
      <c r="DW15" s="134"/>
      <c r="DX15" s="134"/>
      <c r="DY15" s="134"/>
      <c r="DZ15" s="134"/>
      <c r="EA15" s="134"/>
      <c r="EB15" s="134"/>
      <c r="EC15" s="134"/>
      <c r="ED15" s="134"/>
      <c r="EE15" s="134"/>
      <c r="EF15" s="134"/>
      <c r="EG15" s="287">
        <f>ROUND(IF(EG14&gt;$ES$13,0-(EG14-$ES$13),0)+$ES$20,0)</f>
        <v>-12</v>
      </c>
      <c r="EH15" s="287"/>
      <c r="EI15" s="287"/>
      <c r="EJ15" s="287"/>
      <c r="EK15" s="287"/>
      <c r="EL15" s="287"/>
      <c r="EM15" s="287"/>
      <c r="EN15" s="287"/>
      <c r="EO15" s="210" t="s">
        <v>117</v>
      </c>
      <c r="EP15" s="210"/>
      <c r="EQ15" s="210"/>
      <c r="ER15" s="210"/>
      <c r="ES15" s="288">
        <f>ROUND(IF(ES14&gt;$ES$13,0-(ES14-$ES$13),0)+$ES$20,0)</f>
        <v>-1</v>
      </c>
      <c r="ET15" s="288"/>
      <c r="EU15" s="288"/>
      <c r="EV15" s="288"/>
      <c r="EW15" s="288"/>
      <c r="EX15" s="288"/>
      <c r="EY15" s="288"/>
      <c r="EZ15" s="289"/>
      <c r="FB15" s="139"/>
      <c r="FC15" s="140"/>
      <c r="FD15" s="140"/>
      <c r="FE15" s="140"/>
      <c r="FF15" s="140"/>
      <c r="FG15" s="140"/>
      <c r="FH15" s="140"/>
      <c r="FI15" s="140"/>
      <c r="FJ15" s="140"/>
      <c r="FK15" s="140"/>
      <c r="FL15" s="140"/>
      <c r="FM15" s="140"/>
      <c r="FN15" s="140"/>
      <c r="FO15" s="140"/>
      <c r="FP15" s="140"/>
      <c r="FQ15" s="140"/>
      <c r="FR15" s="140"/>
      <c r="FS15" s="140"/>
      <c r="FT15" s="140"/>
      <c r="FU15" s="140"/>
      <c r="FV15" s="140"/>
      <c r="FW15" s="140"/>
      <c r="FX15" s="140"/>
      <c r="FY15" s="140"/>
      <c r="FZ15" s="140"/>
      <c r="GA15" s="140"/>
      <c r="GB15" s="140"/>
      <c r="GC15" s="140"/>
      <c r="GD15" s="140"/>
      <c r="GE15" s="140"/>
      <c r="GF15" s="140"/>
      <c r="GG15" s="140"/>
      <c r="GH15" s="140"/>
      <c r="GI15" s="140"/>
      <c r="GJ15" s="140"/>
      <c r="GK15" s="140"/>
      <c r="GL15" s="140"/>
      <c r="GM15" s="140"/>
      <c r="GN15" s="140"/>
      <c r="GO15" s="140"/>
      <c r="GP15" s="140"/>
      <c r="GQ15" s="140"/>
      <c r="GR15" s="140"/>
      <c r="GS15" s="140"/>
      <c r="GT15" s="141">
        <v>0</v>
      </c>
      <c r="GU15" s="141"/>
      <c r="GV15" s="141"/>
      <c r="GW15" s="141"/>
      <c r="GX15" s="141"/>
      <c r="GY15" s="141"/>
      <c r="GZ15" s="141"/>
      <c r="HA15" s="141"/>
      <c r="HB15" s="142" t="str">
        <f>IFERROR(ROUND(((Calculations!BV15/185)*'Character Creation'!$Z$18)*GT15,2),"")</f>
        <v/>
      </c>
      <c r="HC15" s="142"/>
      <c r="HD15" s="142"/>
      <c r="HE15" s="142"/>
      <c r="HF15" s="142"/>
      <c r="HG15" s="142"/>
      <c r="HH15" s="142"/>
      <c r="HI15" s="142"/>
      <c r="HJ15" s="142">
        <f>IFERROR(Calculations!BS15+IQ15+IX15,"")</f>
        <v>0</v>
      </c>
      <c r="HK15" s="142"/>
      <c r="HL15" s="142"/>
      <c r="HM15" s="142"/>
      <c r="HN15" s="142"/>
      <c r="HO15" s="142"/>
      <c r="HP15" s="142"/>
      <c r="HQ15" s="142"/>
      <c r="HR15" s="142" t="str">
        <f t="shared" si="0"/>
        <v/>
      </c>
      <c r="HS15" s="142"/>
      <c r="HT15" s="142"/>
      <c r="HU15" s="142"/>
      <c r="HV15" s="142"/>
      <c r="HW15" s="142"/>
      <c r="HX15" s="142"/>
      <c r="HY15" s="142"/>
      <c r="HZ15" s="142" t="str">
        <f>IFERROR(Calculations!BX15,"")</f>
        <v/>
      </c>
      <c r="IA15" s="142"/>
      <c r="IB15" s="142"/>
      <c r="IC15" s="142"/>
      <c r="ID15" s="142"/>
      <c r="IE15" s="142"/>
      <c r="IF15" s="142"/>
      <c r="IG15" s="142"/>
      <c r="IH15" s="142"/>
      <c r="II15" s="142"/>
      <c r="IJ15" s="142" t="str">
        <f>IFERROR(Calculations!BR15+IX15,"")</f>
        <v/>
      </c>
      <c r="IK15" s="142"/>
      <c r="IL15" s="142"/>
      <c r="IM15" s="142"/>
      <c r="IN15" s="142"/>
      <c r="IO15" s="142"/>
      <c r="IP15" s="142"/>
      <c r="IQ15" s="141">
        <v>0</v>
      </c>
      <c r="IR15" s="141"/>
      <c r="IS15" s="141"/>
      <c r="IT15" s="141"/>
      <c r="IU15" s="141"/>
      <c r="IV15" s="141"/>
      <c r="IW15" s="141"/>
      <c r="IX15" s="141">
        <v>0</v>
      </c>
      <c r="IY15" s="141"/>
      <c r="IZ15" s="141"/>
      <c r="JA15" s="141"/>
      <c r="JB15" s="141"/>
      <c r="JC15" s="141"/>
      <c r="JD15" s="141"/>
      <c r="JE15" s="141"/>
      <c r="JF15" s="142"/>
      <c r="JG15" s="142"/>
      <c r="JH15" s="142"/>
      <c r="JI15" s="142"/>
      <c r="JJ15" s="142"/>
      <c r="JK15" s="143" t="str">
        <f>Calculations!AS15</f>
        <v/>
      </c>
      <c r="JL15" s="143"/>
      <c r="JM15" s="143"/>
      <c r="JN15" s="143"/>
      <c r="JO15" s="143"/>
      <c r="JP15" s="143"/>
      <c r="JQ15" s="143"/>
      <c r="JR15" s="143"/>
      <c r="JS15" s="143"/>
      <c r="JT15" s="143"/>
      <c r="JU15" s="143"/>
      <c r="JV15" s="143"/>
      <c r="JW15" s="143"/>
      <c r="JX15" s="143"/>
      <c r="JY15" s="143"/>
      <c r="JZ15" s="143"/>
      <c r="KA15" s="143"/>
      <c r="KB15" s="143"/>
      <c r="KC15" s="143" t="str">
        <f>Calculations!AW15</f>
        <v/>
      </c>
      <c r="KD15" s="143"/>
      <c r="KE15" s="143"/>
      <c r="KF15" s="143"/>
      <c r="KG15" s="143"/>
      <c r="KH15" s="143"/>
      <c r="KI15" s="143"/>
      <c r="KJ15" s="143"/>
      <c r="KK15" s="143"/>
      <c r="KL15" s="143"/>
      <c r="KM15" s="143"/>
      <c r="KN15" s="143"/>
      <c r="KO15" s="143"/>
      <c r="KP15" s="143"/>
      <c r="KQ15" s="143"/>
      <c r="KR15" s="143"/>
      <c r="KS15" s="143"/>
      <c r="KT15" s="143"/>
      <c r="KU15" s="144"/>
      <c r="KV15" s="144"/>
      <c r="KW15" s="144"/>
      <c r="KX15" s="144"/>
      <c r="KY15" s="144"/>
      <c r="KZ15" s="144"/>
      <c r="LA15" s="144"/>
      <c r="LB15" s="144"/>
      <c r="LC15" s="144"/>
      <c r="LD15" s="144"/>
      <c r="LE15" s="144"/>
      <c r="LF15" s="144"/>
      <c r="LG15" s="144"/>
      <c r="LH15" s="144"/>
      <c r="LI15" s="144"/>
      <c r="LJ15" s="144"/>
      <c r="LK15" s="144"/>
      <c r="LL15" s="144"/>
      <c r="LM15" s="144"/>
      <c r="LN15" s="144"/>
      <c r="LO15" s="144"/>
      <c r="LP15" s="144"/>
      <c r="LQ15" s="144"/>
      <c r="LR15" s="144"/>
      <c r="LS15" s="144"/>
      <c r="LT15" s="144"/>
      <c r="LU15" s="144"/>
      <c r="LV15" s="144"/>
      <c r="LW15" s="144"/>
      <c r="LX15" s="144"/>
      <c r="LY15" s="144"/>
      <c r="LZ15" s="144"/>
      <c r="MA15" s="144"/>
      <c r="MB15" s="144"/>
      <c r="MC15" s="144"/>
      <c r="MD15" s="144"/>
      <c r="ME15" s="144"/>
      <c r="MF15" s="144"/>
      <c r="MG15" s="144"/>
      <c r="MH15" s="144"/>
      <c r="MI15" s="144"/>
      <c r="MJ15" s="144"/>
      <c r="MK15" s="144"/>
      <c r="ML15" s="144"/>
      <c r="MM15" s="144"/>
      <c r="MN15" s="144"/>
      <c r="MO15" s="144"/>
      <c r="MP15" s="144"/>
      <c r="MQ15" s="144"/>
      <c r="MR15" s="144"/>
      <c r="MS15" s="144"/>
      <c r="MT15" s="144"/>
      <c r="MU15" s="144"/>
      <c r="MV15" s="144"/>
      <c r="MW15" s="144"/>
      <c r="MX15" s="144"/>
      <c r="MY15" s="144"/>
      <c r="MZ15" s="145"/>
      <c r="NB15" s="128"/>
      <c r="NC15" s="128"/>
      <c r="ND15" s="128"/>
      <c r="NE15" s="128"/>
      <c r="NF15" s="128"/>
      <c r="NG15" s="128"/>
      <c r="NH15" s="128"/>
      <c r="NI15" s="128"/>
      <c r="NJ15" s="128"/>
      <c r="NK15" s="128"/>
      <c r="NL15" s="128"/>
      <c r="NM15" s="128"/>
      <c r="NN15" s="128"/>
      <c r="NO15" s="128"/>
      <c r="NP15" s="128"/>
      <c r="NQ15" s="128"/>
      <c r="NR15" s="128"/>
      <c r="NS15" s="128"/>
      <c r="NT15" s="128"/>
      <c r="NU15" s="128"/>
      <c r="NV15" s="128"/>
      <c r="NW15" s="128"/>
      <c r="NX15" s="128"/>
      <c r="NY15" s="128"/>
      <c r="NZ15" s="128"/>
      <c r="OA15" s="128"/>
      <c r="OB15" s="128"/>
      <c r="OC15" s="128"/>
      <c r="OD15" s="128"/>
      <c r="OE15" s="128"/>
      <c r="OF15" s="128"/>
      <c r="OG15" s="129"/>
      <c r="OH15" s="129"/>
      <c r="OI15" s="129"/>
      <c r="OJ15" s="129"/>
      <c r="OK15" s="129"/>
      <c r="OL15" s="129"/>
      <c r="OM15" s="129"/>
      <c r="ON15" s="129"/>
      <c r="OO15" s="129"/>
      <c r="OP15" s="129"/>
      <c r="OQ15" s="129"/>
      <c r="OR15" s="129"/>
      <c r="OS15" s="129"/>
      <c r="OT15" s="129"/>
      <c r="OU15" s="129"/>
      <c r="OV15" s="129"/>
      <c r="OW15" s="129"/>
      <c r="OX15" s="129"/>
      <c r="OY15" s="129"/>
      <c r="OZ15" s="129"/>
      <c r="PA15" s="129"/>
      <c r="PB15" s="128"/>
      <c r="PC15" s="128"/>
      <c r="PD15" s="128"/>
      <c r="PE15" s="128"/>
      <c r="PF15" s="128"/>
      <c r="PG15" s="128"/>
      <c r="PH15" s="129"/>
      <c r="PI15" s="129"/>
      <c r="PJ15" s="129"/>
      <c r="PK15" s="129"/>
      <c r="PL15" s="129"/>
      <c r="PM15" s="129"/>
      <c r="PN15" s="129"/>
      <c r="PO15" s="129"/>
      <c r="PP15" s="129"/>
      <c r="PQ15" s="129"/>
      <c r="PR15" s="129"/>
      <c r="PS15" s="129"/>
      <c r="PT15" s="129"/>
      <c r="PU15" s="129"/>
      <c r="PV15" s="129"/>
      <c r="PW15" s="129"/>
      <c r="PX15" s="129"/>
      <c r="PY15" s="129"/>
      <c r="PZ15" s="129"/>
      <c r="QA15" s="129"/>
      <c r="QB15" s="129"/>
      <c r="QC15" s="129"/>
      <c r="QD15" s="129"/>
      <c r="QE15" s="129"/>
      <c r="QF15" s="129"/>
      <c r="QG15" s="129"/>
      <c r="QH15" s="129"/>
      <c r="QI15" s="129"/>
      <c r="QJ15" s="128"/>
      <c r="QK15" s="128"/>
      <c r="QL15" s="128"/>
      <c r="QM15" s="128"/>
      <c r="QN15" s="128"/>
      <c r="QO15" s="128"/>
      <c r="QP15" s="128"/>
      <c r="AIT15" s="128" t="s">
        <v>200</v>
      </c>
      <c r="AIU15" s="128"/>
      <c r="AIV15" s="128"/>
      <c r="AIW15" s="128"/>
      <c r="AIX15" s="128"/>
      <c r="AIY15" s="128"/>
      <c r="AIZ15" s="128"/>
      <c r="AJA15" s="128"/>
      <c r="AJB15" s="128"/>
      <c r="AJC15" s="128"/>
      <c r="AJD15" s="128"/>
      <c r="AJE15" s="128"/>
      <c r="AJF15" s="128"/>
      <c r="AJG15" s="128"/>
      <c r="AJH15" s="128"/>
      <c r="AJI15" s="128"/>
      <c r="AJJ15" s="128"/>
      <c r="AJK15" s="128"/>
      <c r="AJL15" s="128"/>
      <c r="AJM15" s="128"/>
      <c r="AJN15" s="128"/>
      <c r="AJO15" s="128"/>
      <c r="AJP15" s="128"/>
      <c r="AJQ15" s="128"/>
      <c r="AJR15" s="128"/>
      <c r="AJS15" s="128"/>
      <c r="AJT15" s="128"/>
      <c r="AJU15" s="128"/>
      <c r="AJV15" s="128"/>
      <c r="AJW15" s="128"/>
      <c r="AJX15" s="128"/>
      <c r="AJY15" s="129"/>
      <c r="AJZ15" s="129"/>
      <c r="AKA15" s="129"/>
      <c r="AKB15" s="129"/>
      <c r="AKC15" s="129"/>
      <c r="AKD15" s="129"/>
      <c r="AKE15" s="129"/>
      <c r="AKF15" s="129"/>
      <c r="AKG15" s="129"/>
      <c r="AKH15" s="129"/>
      <c r="AKI15" s="129"/>
      <c r="AKJ15" s="129"/>
      <c r="AKK15" s="129"/>
      <c r="AKL15" s="129"/>
      <c r="AKM15" s="129"/>
      <c r="AKN15" s="129"/>
      <c r="AKO15" s="129"/>
      <c r="AKP15" s="129"/>
      <c r="AKQ15" s="129"/>
      <c r="AKR15" s="129"/>
      <c r="AKS15" s="129"/>
      <c r="AKT15" s="128"/>
      <c r="AKU15" s="128"/>
      <c r="AKV15" s="128"/>
      <c r="AKW15" s="128"/>
      <c r="AKX15" s="128"/>
      <c r="AKY15" s="128"/>
      <c r="AKZ15" s="129"/>
      <c r="ALA15" s="129"/>
      <c r="ALB15" s="129"/>
      <c r="ALC15" s="129"/>
      <c r="ALD15" s="129"/>
      <c r="ALE15" s="129"/>
      <c r="ALF15" s="129"/>
      <c r="ALG15" s="129"/>
      <c r="ALH15" s="129"/>
      <c r="ALI15" s="129"/>
      <c r="ALJ15" s="129"/>
      <c r="ALK15" s="129"/>
      <c r="ALL15" s="129"/>
      <c r="ALM15" s="129"/>
      <c r="ALN15" s="129"/>
      <c r="ALO15" s="129"/>
      <c r="ALP15" s="129"/>
      <c r="ALQ15" s="129"/>
      <c r="ALR15" s="129"/>
      <c r="ALS15" s="129"/>
      <c r="ALT15" s="129"/>
      <c r="ALU15" s="129"/>
      <c r="ALV15" s="129"/>
      <c r="ALW15" s="129"/>
      <c r="ALX15" s="129"/>
      <c r="ALY15" s="129"/>
      <c r="ALZ15" s="129"/>
      <c r="AMA15" s="129"/>
      <c r="AMB15" s="128"/>
      <c r="AMC15" s="128"/>
      <c r="AMD15" s="128"/>
      <c r="AME15" s="128"/>
      <c r="AMF15" s="128"/>
      <c r="AMG15" s="128"/>
      <c r="AMH15" s="128"/>
      <c r="APZ15" s="128" t="s">
        <v>231</v>
      </c>
      <c r="AQA15" s="128"/>
      <c r="AQB15" s="128"/>
      <c r="AQC15" s="128"/>
      <c r="AQD15" s="128"/>
      <c r="AQE15" s="128"/>
      <c r="AQF15" s="128"/>
      <c r="AQG15" s="128"/>
      <c r="AQH15" s="128"/>
      <c r="AQI15" s="128"/>
      <c r="AQJ15" s="128"/>
      <c r="AQK15" s="128"/>
      <c r="AQL15" s="128"/>
      <c r="AQM15" s="128"/>
      <c r="AQN15" s="128"/>
      <c r="AQO15" s="128"/>
      <c r="AQP15" s="128"/>
      <c r="AQQ15" s="128"/>
      <c r="AQR15" s="128"/>
      <c r="AQS15" s="128"/>
      <c r="AQT15" s="128"/>
      <c r="AQU15" s="128"/>
      <c r="AQV15" s="128"/>
      <c r="AQW15" s="128"/>
      <c r="AQX15" s="128"/>
      <c r="AQY15" s="128"/>
      <c r="AQZ15" s="128"/>
      <c r="ARA15" s="128"/>
      <c r="ARB15" s="128"/>
      <c r="ARC15" s="128"/>
      <c r="ARD15" s="128"/>
      <c r="ARE15" s="129"/>
      <c r="ARF15" s="129"/>
      <c r="ARG15" s="129"/>
      <c r="ARH15" s="129"/>
      <c r="ARI15" s="129"/>
      <c r="ARJ15" s="129"/>
      <c r="ARK15" s="129"/>
      <c r="ARL15" s="129"/>
      <c r="ARM15" s="129"/>
      <c r="ARN15" s="129"/>
      <c r="ARO15" s="129"/>
      <c r="ARP15" s="129"/>
      <c r="ARQ15" s="129"/>
      <c r="ARR15" s="129"/>
      <c r="ARS15" s="129"/>
      <c r="ART15" s="129"/>
      <c r="ARU15" s="129"/>
      <c r="ARV15" s="129"/>
      <c r="ARW15" s="129"/>
      <c r="ARX15" s="129"/>
      <c r="ARY15" s="129"/>
      <c r="ARZ15" s="128"/>
      <c r="ASA15" s="128"/>
      <c r="ASB15" s="128"/>
      <c r="ASC15" s="128"/>
      <c r="ASD15" s="128"/>
      <c r="ASE15" s="128"/>
      <c r="ASF15" s="129"/>
      <c r="ASG15" s="129"/>
      <c r="ASH15" s="129"/>
      <c r="ASI15" s="129"/>
      <c r="ASJ15" s="129"/>
      <c r="ASK15" s="129"/>
      <c r="ASL15" s="129"/>
      <c r="ASM15" s="129"/>
      <c r="ASN15" s="129"/>
      <c r="ASO15" s="129"/>
      <c r="ASP15" s="129"/>
      <c r="ASQ15" s="129"/>
      <c r="ASR15" s="129"/>
      <c r="ASS15" s="129"/>
      <c r="AST15" s="129"/>
      <c r="ASU15" s="129"/>
      <c r="ASV15" s="129"/>
      <c r="ASW15" s="129"/>
      <c r="ASX15" s="129"/>
      <c r="ASY15" s="129"/>
      <c r="ASZ15" s="129"/>
      <c r="ATA15" s="129"/>
      <c r="ATB15" s="129"/>
      <c r="ATC15" s="129"/>
      <c r="ATD15" s="129"/>
      <c r="ATE15" s="129"/>
      <c r="ATF15" s="129"/>
      <c r="ATG15" s="129"/>
      <c r="ATH15" s="128"/>
      <c r="ATI15" s="128"/>
      <c r="ATJ15" s="128"/>
      <c r="ATK15" s="128"/>
      <c r="ATL15" s="128"/>
      <c r="ATM15" s="128"/>
      <c r="ATN15" s="128"/>
      <c r="AXF15" s="144" t="s">
        <v>147</v>
      </c>
      <c r="AXG15" s="144"/>
      <c r="AXH15" s="144"/>
      <c r="AXI15" s="144"/>
      <c r="AXJ15" s="144"/>
      <c r="AXK15" s="144"/>
      <c r="AXL15" s="144"/>
      <c r="AXM15" s="144"/>
      <c r="AXN15" s="144"/>
      <c r="AXO15" s="144"/>
      <c r="AXP15" s="144"/>
      <c r="AXQ15" s="144"/>
      <c r="AXR15" s="144"/>
      <c r="AXS15" s="144"/>
      <c r="AXT15" s="144"/>
      <c r="AXU15" s="144"/>
      <c r="AXV15" s="144"/>
      <c r="AXW15" s="144"/>
      <c r="AXX15" s="144"/>
      <c r="AXY15" s="144"/>
      <c r="AXZ15" s="144"/>
      <c r="AYA15" s="144"/>
      <c r="AYB15" s="144"/>
      <c r="AYC15" s="144"/>
      <c r="AYD15" s="144"/>
      <c r="AYE15" s="144"/>
      <c r="AYF15" s="144"/>
      <c r="AYG15" s="144"/>
      <c r="AYH15" s="144"/>
      <c r="AYI15" s="144"/>
      <c r="AYJ15" s="144"/>
      <c r="AYK15" s="129" t="s">
        <v>133</v>
      </c>
      <c r="AYL15" s="129"/>
      <c r="AYM15" s="129"/>
      <c r="AYN15" s="129"/>
      <c r="AYO15" s="129" t="s">
        <v>148</v>
      </c>
      <c r="AYP15" s="129"/>
      <c r="AYQ15" s="129"/>
      <c r="AYR15" s="129"/>
      <c r="AYS15" s="129"/>
      <c r="AYT15" s="129" t="s">
        <v>83</v>
      </c>
      <c r="AYU15" s="129"/>
      <c r="AYV15" s="129"/>
      <c r="AYW15" s="129"/>
      <c r="AYX15" s="129"/>
      <c r="AYY15" s="129"/>
      <c r="AYZ15" s="129" t="s">
        <v>37</v>
      </c>
      <c r="AZA15" s="129"/>
      <c r="AZB15" s="129"/>
      <c r="AZC15" s="129"/>
      <c r="AZD15" s="129"/>
      <c r="AZE15" s="129"/>
      <c r="AZF15" s="129" t="s">
        <v>49</v>
      </c>
      <c r="AZG15" s="129"/>
      <c r="AZH15" s="129"/>
      <c r="AZI15" s="129"/>
      <c r="AZJ15" s="129"/>
      <c r="AZK15" s="129"/>
      <c r="AZL15" s="129" t="s">
        <v>149</v>
      </c>
      <c r="AZM15" s="129"/>
      <c r="AZN15" s="129"/>
      <c r="AZO15" s="129"/>
      <c r="AZP15" s="129"/>
      <c r="AZQ15" s="129"/>
      <c r="AZR15" s="129"/>
      <c r="AZS15" s="129" t="s">
        <v>150</v>
      </c>
      <c r="AZT15" s="129"/>
      <c r="AZU15" s="129"/>
      <c r="AZV15" s="129"/>
      <c r="AZW15" s="129"/>
      <c r="AZX15" s="129"/>
      <c r="AZY15" s="129"/>
      <c r="AZZ15" s="129" t="s">
        <v>151</v>
      </c>
      <c r="BAA15" s="129"/>
      <c r="BAB15" s="129"/>
      <c r="BAC15" s="129"/>
      <c r="BAD15" s="129"/>
      <c r="BAE15" s="129"/>
      <c r="BAF15" s="129"/>
      <c r="BAG15" s="129" t="s">
        <v>37</v>
      </c>
      <c r="BAH15" s="129"/>
      <c r="BAI15" s="129"/>
      <c r="BAJ15" s="129"/>
      <c r="BAK15" s="129"/>
      <c r="BAL15" s="129"/>
      <c r="BAM15" s="129"/>
      <c r="BAN15" s="129" t="s">
        <v>40</v>
      </c>
      <c r="BAO15" s="129"/>
      <c r="BAP15" s="129"/>
      <c r="BAQ15" s="129"/>
      <c r="BAR15" s="129"/>
      <c r="BAS15" s="129"/>
      <c r="BAT15" s="129"/>
      <c r="BAV15" s="144" t="s">
        <v>147</v>
      </c>
      <c r="BAW15" s="144"/>
      <c r="BAX15" s="144"/>
      <c r="BAY15" s="144"/>
      <c r="BAZ15" s="144"/>
      <c r="BBA15" s="144"/>
      <c r="BBB15" s="144"/>
      <c r="BBC15" s="144"/>
      <c r="BBD15" s="144"/>
      <c r="BBE15" s="144"/>
      <c r="BBF15" s="144"/>
      <c r="BBG15" s="144"/>
      <c r="BBH15" s="144"/>
      <c r="BBI15" s="144"/>
      <c r="BBJ15" s="144"/>
      <c r="BBK15" s="144"/>
      <c r="BBL15" s="144"/>
      <c r="BBM15" s="144"/>
      <c r="BBN15" s="144"/>
      <c r="BBO15" s="144"/>
      <c r="BBP15" s="144"/>
      <c r="BBQ15" s="144"/>
      <c r="BBR15" s="144"/>
      <c r="BBS15" s="144"/>
      <c r="BBT15" s="144"/>
      <c r="BBU15" s="144"/>
      <c r="BBV15" s="144"/>
      <c r="BBW15" s="144"/>
      <c r="BBX15" s="144"/>
      <c r="BBY15" s="144"/>
      <c r="BBZ15" s="144"/>
      <c r="BCA15" s="129" t="s">
        <v>133</v>
      </c>
      <c r="BCB15" s="129"/>
      <c r="BCC15" s="129"/>
      <c r="BCD15" s="129"/>
      <c r="BCE15" s="129" t="s">
        <v>148</v>
      </c>
      <c r="BCF15" s="129"/>
      <c r="BCG15" s="129"/>
      <c r="BCH15" s="129"/>
      <c r="BCI15" s="129"/>
      <c r="BCJ15" s="129" t="s">
        <v>83</v>
      </c>
      <c r="BCK15" s="129"/>
      <c r="BCL15" s="129"/>
      <c r="BCM15" s="129"/>
      <c r="BCN15" s="129"/>
      <c r="BCO15" s="129"/>
      <c r="BCP15" s="129" t="s">
        <v>37</v>
      </c>
      <c r="BCQ15" s="129"/>
      <c r="BCR15" s="129"/>
      <c r="BCS15" s="129"/>
      <c r="BCT15" s="129"/>
      <c r="BCU15" s="129"/>
      <c r="BCV15" s="129" t="s">
        <v>49</v>
      </c>
      <c r="BCW15" s="129"/>
      <c r="BCX15" s="129"/>
      <c r="BCY15" s="129"/>
      <c r="BCZ15" s="129"/>
      <c r="BDA15" s="129"/>
      <c r="BDB15" s="129" t="s">
        <v>149</v>
      </c>
      <c r="BDC15" s="129"/>
      <c r="BDD15" s="129"/>
      <c r="BDE15" s="129"/>
      <c r="BDF15" s="129"/>
      <c r="BDG15" s="129"/>
      <c r="BDH15" s="129"/>
      <c r="BDI15" s="129" t="s">
        <v>150</v>
      </c>
      <c r="BDJ15" s="129"/>
      <c r="BDK15" s="129"/>
      <c r="BDL15" s="129"/>
      <c r="BDM15" s="129"/>
      <c r="BDN15" s="129"/>
      <c r="BDO15" s="129"/>
      <c r="BDP15" s="129" t="s">
        <v>151</v>
      </c>
      <c r="BDQ15" s="129"/>
      <c r="BDR15" s="129"/>
      <c r="BDS15" s="129"/>
      <c r="BDT15" s="129"/>
      <c r="BDU15" s="129"/>
      <c r="BDV15" s="129"/>
      <c r="BDW15" s="129" t="s">
        <v>37</v>
      </c>
      <c r="BDX15" s="129"/>
      <c r="BDY15" s="129"/>
      <c r="BDZ15" s="129"/>
      <c r="BEA15" s="129"/>
      <c r="BEB15" s="129"/>
      <c r="BEC15" s="129"/>
      <c r="BED15" s="129" t="s">
        <v>40</v>
      </c>
      <c r="BEE15" s="129"/>
      <c r="BEF15" s="129"/>
      <c r="BEG15" s="129"/>
      <c r="BEH15" s="129"/>
      <c r="BEI15" s="129"/>
      <c r="BEJ15" s="129"/>
      <c r="BLR15" s="128" t="s">
        <v>328</v>
      </c>
      <c r="BLS15" s="128"/>
      <c r="BLT15" s="128"/>
      <c r="BLU15" s="128"/>
      <c r="BLV15" s="128"/>
      <c r="BLW15" s="128"/>
      <c r="BLX15" s="128"/>
      <c r="BLY15" s="128"/>
      <c r="BLZ15" s="128"/>
      <c r="BMA15" s="128"/>
      <c r="BMB15" s="128"/>
      <c r="BMC15" s="128"/>
      <c r="BMD15" s="128"/>
      <c r="BME15" s="128"/>
      <c r="BMF15" s="128"/>
      <c r="BMG15" s="128"/>
      <c r="BMH15" s="128"/>
      <c r="BMI15" s="128"/>
      <c r="BMJ15" s="128"/>
      <c r="BMK15" s="128"/>
      <c r="BML15" s="128"/>
      <c r="BMM15" s="128"/>
      <c r="BMN15" s="128"/>
      <c r="BMO15" s="128"/>
      <c r="BMP15" s="128"/>
      <c r="BMQ15" s="128"/>
      <c r="BMR15" s="128"/>
      <c r="BMS15" s="128"/>
      <c r="BMT15" s="128"/>
      <c r="BMU15" s="128"/>
      <c r="BMV15" s="128"/>
      <c r="BMW15" s="129"/>
      <c r="BMX15" s="129"/>
      <c r="BMY15" s="129"/>
      <c r="BMZ15" s="129"/>
      <c r="BNA15" s="129"/>
      <c r="BNB15" s="129"/>
      <c r="BNC15" s="129"/>
      <c r="BND15" s="129"/>
      <c r="BNE15" s="129"/>
      <c r="BNF15" s="129"/>
      <c r="BNG15" s="129"/>
      <c r="BNH15" s="129"/>
      <c r="BNI15" s="129"/>
      <c r="BNJ15" s="129"/>
      <c r="BNK15" s="129"/>
      <c r="BNL15" s="129"/>
      <c r="BNM15" s="129"/>
      <c r="BNN15" s="129"/>
      <c r="BNO15" s="129"/>
      <c r="BNP15" s="129"/>
      <c r="BNQ15" s="129"/>
      <c r="BNR15" s="128"/>
      <c r="BNS15" s="128"/>
      <c r="BNT15" s="128"/>
      <c r="BNU15" s="128"/>
      <c r="BNV15" s="128"/>
      <c r="BNW15" s="128"/>
      <c r="BNX15" s="129"/>
      <c r="BNY15" s="129"/>
      <c r="BNZ15" s="129"/>
      <c r="BOA15" s="129"/>
      <c r="BOB15" s="129"/>
      <c r="BOC15" s="129"/>
      <c r="BOD15" s="129"/>
      <c r="BOE15" s="129"/>
      <c r="BOF15" s="129"/>
      <c r="BOG15" s="129"/>
      <c r="BOH15" s="129"/>
      <c r="BOI15" s="129"/>
      <c r="BOJ15" s="129"/>
      <c r="BOK15" s="129"/>
      <c r="BOL15" s="129"/>
      <c r="BOM15" s="129"/>
      <c r="BON15" s="129"/>
      <c r="BOO15" s="129"/>
      <c r="BOP15" s="129"/>
      <c r="BOQ15" s="129"/>
      <c r="BOR15" s="129"/>
      <c r="BOS15" s="129"/>
      <c r="BOT15" s="129"/>
      <c r="BOU15" s="129"/>
      <c r="BOV15" s="129"/>
      <c r="BOW15" s="129"/>
      <c r="BOX15" s="129"/>
      <c r="BOY15" s="129"/>
      <c r="BOZ15" s="128"/>
      <c r="BPA15" s="128"/>
      <c r="BPB15" s="128"/>
      <c r="BPC15" s="128"/>
      <c r="BPD15" s="128"/>
      <c r="BPE15" s="128"/>
      <c r="BPF15" s="128"/>
      <c r="CHJ15" s="144" t="s">
        <v>404</v>
      </c>
      <c r="CHK15" s="144"/>
      <c r="CHL15" s="144"/>
      <c r="CHM15" s="144"/>
      <c r="CHN15" s="144"/>
      <c r="CHO15" s="144"/>
      <c r="CHP15" s="144"/>
      <c r="CHQ15" s="144"/>
      <c r="CHR15" s="144"/>
      <c r="CHS15" s="144"/>
      <c r="CHT15" s="144"/>
      <c r="CHU15" s="144"/>
      <c r="CHV15" s="144"/>
      <c r="CHW15" s="144"/>
      <c r="CHX15" s="144"/>
      <c r="CHY15" s="144"/>
      <c r="CHZ15" s="144"/>
      <c r="CIA15" s="144"/>
      <c r="CIB15" s="144"/>
      <c r="CIC15" s="144"/>
      <c r="CID15" s="144"/>
      <c r="CIE15" s="144"/>
      <c r="CIF15" s="144"/>
      <c r="CIG15" s="144"/>
      <c r="CIH15" s="144"/>
      <c r="CII15" s="144"/>
      <c r="CIJ15" s="144"/>
      <c r="CIK15" s="144"/>
      <c r="CIL15" s="144"/>
      <c r="CIM15" s="144"/>
      <c r="CIN15" s="144"/>
      <c r="CIO15" s="144"/>
      <c r="CIP15" s="144"/>
      <c r="CIQ15" s="144"/>
      <c r="CIR15" s="144"/>
      <c r="CIS15" s="144"/>
      <c r="CIT15" s="144"/>
      <c r="CIU15" s="144"/>
      <c r="CIV15" s="144"/>
      <c r="CIW15" s="144"/>
      <c r="CIX15" s="144"/>
      <c r="CIY15" s="144"/>
      <c r="CIZ15" s="144"/>
      <c r="CJA15" s="144"/>
      <c r="CJB15" s="144"/>
      <c r="CJC15" s="144"/>
      <c r="CJD15" s="144"/>
      <c r="CJE15" s="144"/>
      <c r="CJF15" s="144"/>
      <c r="CJG15" s="144"/>
      <c r="CJH15" s="144"/>
      <c r="CJI15" s="144"/>
      <c r="CJJ15" s="144"/>
      <c r="CJK15" s="144"/>
      <c r="CJL15" s="144"/>
      <c r="CJM15" s="144"/>
      <c r="CJN15" s="144"/>
      <c r="CJO15" s="144"/>
      <c r="CJP15" s="144"/>
      <c r="CJQ15" s="144"/>
      <c r="CJR15" s="144"/>
      <c r="CJS15" s="144"/>
      <c r="CJT15" s="144"/>
      <c r="CJU15" s="144"/>
      <c r="CJV15" s="144"/>
      <c r="CJW15" s="144"/>
      <c r="CJX15" s="144"/>
      <c r="CJY15" s="144"/>
      <c r="CJZ15" s="144"/>
      <c r="CKA15" s="144"/>
      <c r="CKB15" s="144"/>
      <c r="CKC15" s="144"/>
      <c r="CKD15" s="144"/>
      <c r="CKE15" s="144"/>
      <c r="CKF15" s="144"/>
      <c r="CKG15" s="144"/>
      <c r="CKH15" s="144"/>
      <c r="CKI15" s="144"/>
      <c r="CKJ15" s="144"/>
      <c r="CKK15" s="144"/>
      <c r="CKL15" s="144"/>
      <c r="CKM15" s="144"/>
      <c r="CKN15" s="144"/>
      <c r="CKO15" s="144"/>
      <c r="CKP15" s="144"/>
      <c r="CKQ15" s="144"/>
      <c r="CKR15" s="144"/>
      <c r="CKS15" s="144"/>
      <c r="CKT15" s="144"/>
      <c r="CKU15" s="144"/>
      <c r="CKV15" s="144"/>
      <c r="CKW15" s="144"/>
      <c r="CKX15" s="144"/>
      <c r="COP15" s="128" t="str">
        <f ca="1">VLOOKUP(2,INDIRECT("Open"&amp;'Character Creation'!$Z$14),2,FALSE)</f>
        <v>Detecting Ways</v>
      </c>
      <c r="COQ15" s="128"/>
      <c r="COR15" s="128"/>
      <c r="COS15" s="128"/>
      <c r="COT15" s="128"/>
      <c r="COU15" s="128"/>
      <c r="COV15" s="128"/>
      <c r="COW15" s="128"/>
      <c r="COX15" s="128"/>
      <c r="COY15" s="128"/>
      <c r="COZ15" s="128"/>
      <c r="CPA15" s="128"/>
      <c r="CPB15" s="128"/>
      <c r="CPC15" s="128"/>
      <c r="CPD15" s="128"/>
      <c r="CPE15" s="128"/>
      <c r="CPF15" s="128"/>
      <c r="CPG15" s="128"/>
      <c r="CPH15" s="128"/>
      <c r="CPI15" s="128"/>
      <c r="CPJ15" s="128"/>
      <c r="CPK15" s="128"/>
      <c r="CPL15" s="128"/>
      <c r="CPM15" s="128"/>
      <c r="CPN15" s="128"/>
      <c r="CPO15" s="128"/>
      <c r="CPP15" s="128"/>
      <c r="CPQ15" s="128"/>
      <c r="CPR15" s="128"/>
      <c r="CPS15" s="128"/>
      <c r="CPT15" s="128"/>
      <c r="CPU15" s="129"/>
      <c r="CPV15" s="129"/>
      <c r="CPW15" s="129"/>
      <c r="CPX15" s="129"/>
      <c r="CPY15" s="129"/>
      <c r="CPZ15" s="129"/>
      <c r="CQA15" s="129"/>
      <c r="CQB15" s="129"/>
      <c r="CQC15" s="129"/>
      <c r="CQD15" s="129"/>
      <c r="CQE15" s="129"/>
      <c r="CQF15" s="129"/>
      <c r="CQG15" s="129"/>
      <c r="CQH15" s="129"/>
      <c r="CQI15" s="129"/>
      <c r="CQJ15" s="129"/>
      <c r="CQK15" s="129"/>
      <c r="CQL15" s="129"/>
      <c r="CQM15" s="129"/>
      <c r="CQN15" s="129"/>
      <c r="CQO15" s="129"/>
      <c r="CQP15" s="128"/>
      <c r="CQQ15" s="128"/>
      <c r="CQR15" s="128"/>
      <c r="CQS15" s="128"/>
      <c r="CQT15" s="128"/>
      <c r="CQU15" s="128"/>
      <c r="CQV15" s="129"/>
      <c r="CQW15" s="129"/>
      <c r="CQX15" s="129"/>
      <c r="CQY15" s="129"/>
      <c r="CQZ15" s="129"/>
      <c r="CRA15" s="129"/>
      <c r="CRB15" s="129"/>
      <c r="CRC15" s="129"/>
      <c r="CRD15" s="129"/>
      <c r="CRE15" s="129"/>
      <c r="CRF15" s="129"/>
      <c r="CRG15" s="129"/>
      <c r="CRH15" s="129"/>
      <c r="CRI15" s="129"/>
      <c r="CRJ15" s="129"/>
      <c r="CRK15" s="129"/>
      <c r="CRL15" s="129"/>
      <c r="CRM15" s="129"/>
      <c r="CRN15" s="129"/>
      <c r="CRO15" s="129"/>
      <c r="CRP15" s="129"/>
      <c r="CRQ15" s="129"/>
      <c r="CRR15" s="129"/>
      <c r="CRS15" s="129"/>
      <c r="CRT15" s="129"/>
      <c r="CRU15" s="129"/>
      <c r="CRV15" s="129"/>
      <c r="CRW15" s="129"/>
      <c r="CRX15" s="128"/>
      <c r="CRY15" s="128"/>
      <c r="CRZ15" s="128"/>
      <c r="CSA15" s="128"/>
      <c r="CSB15" s="128"/>
      <c r="CSC15" s="128"/>
      <c r="CSD15" s="128"/>
      <c r="CSF15" s="128" t="s">
        <v>440</v>
      </c>
      <c r="CSG15" s="128"/>
      <c r="CSH15" s="128"/>
      <c r="CSI15" s="128"/>
      <c r="CSJ15" s="128"/>
      <c r="CSK15" s="128"/>
      <c r="CSL15" s="128"/>
      <c r="CSM15" s="128"/>
      <c r="CSN15" s="128"/>
      <c r="CSO15" s="128"/>
      <c r="CSP15" s="128"/>
      <c r="CSQ15" s="128"/>
      <c r="CSR15" s="128"/>
      <c r="CSS15" s="128"/>
      <c r="CST15" s="128"/>
      <c r="CSU15" s="128"/>
      <c r="CSV15" s="128"/>
      <c r="CSW15" s="128"/>
      <c r="CSX15" s="128"/>
      <c r="CSY15" s="128"/>
      <c r="CSZ15" s="128"/>
      <c r="CTA15" s="128"/>
      <c r="CTB15" s="128"/>
      <c r="CTC15" s="128"/>
      <c r="CTD15" s="128"/>
      <c r="CTE15" s="128"/>
      <c r="CTF15" s="128"/>
      <c r="CTG15" s="128"/>
      <c r="CTH15" s="128"/>
      <c r="CTI15" s="128"/>
      <c r="CTJ15" s="128"/>
      <c r="CTK15" s="129"/>
      <c r="CTL15" s="129"/>
      <c r="CTM15" s="129"/>
      <c r="CTN15" s="129"/>
      <c r="CTO15" s="129"/>
      <c r="CTP15" s="129"/>
      <c r="CTQ15" s="129"/>
      <c r="CTR15" s="129"/>
      <c r="CTS15" s="129"/>
      <c r="CTT15" s="129"/>
      <c r="CTU15" s="129"/>
      <c r="CTV15" s="129"/>
      <c r="CTW15" s="129"/>
      <c r="CTX15" s="129"/>
      <c r="CTY15" s="129"/>
      <c r="CTZ15" s="129"/>
      <c r="CUA15" s="129"/>
      <c r="CUB15" s="129"/>
      <c r="CUC15" s="129"/>
      <c r="CUD15" s="129"/>
      <c r="CUE15" s="129"/>
      <c r="CUF15" s="128"/>
      <c r="CUG15" s="128"/>
      <c r="CUH15" s="128"/>
      <c r="CUI15" s="128"/>
      <c r="CUJ15" s="128"/>
      <c r="CUK15" s="128"/>
      <c r="CUL15" s="129"/>
      <c r="CUM15" s="129"/>
      <c r="CUN15" s="129"/>
      <c r="CUO15" s="129"/>
      <c r="CUP15" s="129"/>
      <c r="CUQ15" s="129"/>
      <c r="CUR15" s="129"/>
      <c r="CUS15" s="129"/>
      <c r="CUT15" s="129"/>
      <c r="CUU15" s="129"/>
      <c r="CUV15" s="129"/>
      <c r="CUW15" s="129"/>
      <c r="CUX15" s="129"/>
      <c r="CUY15" s="129"/>
      <c r="CUZ15" s="129"/>
      <c r="CVA15" s="129"/>
      <c r="CVB15" s="129"/>
      <c r="CVC15" s="129"/>
      <c r="CVD15" s="129"/>
      <c r="CVE15" s="129"/>
      <c r="CVF15" s="129"/>
      <c r="CVG15" s="129"/>
      <c r="CVH15" s="129"/>
      <c r="CVI15" s="129"/>
      <c r="CVJ15" s="129"/>
      <c r="CVK15" s="129"/>
      <c r="CVL15" s="129"/>
      <c r="CVM15" s="129"/>
      <c r="CVN15" s="128"/>
      <c r="CVO15" s="128"/>
      <c r="CVP15" s="128"/>
      <c r="CVQ15" s="128"/>
      <c r="CVR15" s="128"/>
      <c r="CVS15" s="128"/>
      <c r="CVT15" s="128"/>
      <c r="CZL15" s="128" t="s">
        <v>511</v>
      </c>
      <c r="CZM15" s="128"/>
      <c r="CZN15" s="128"/>
      <c r="CZO15" s="128"/>
      <c r="CZP15" s="128"/>
      <c r="CZQ15" s="128"/>
      <c r="CZR15" s="128"/>
      <c r="CZS15" s="128"/>
      <c r="CZT15" s="128"/>
      <c r="CZU15" s="128"/>
      <c r="CZV15" s="128"/>
      <c r="CZW15" s="128"/>
      <c r="CZX15" s="128"/>
      <c r="CZY15" s="128"/>
      <c r="CZZ15" s="128"/>
      <c r="DAA15" s="128"/>
      <c r="DAB15" s="128"/>
      <c r="DAC15" s="128"/>
      <c r="DAD15" s="128"/>
      <c r="DAE15" s="128"/>
      <c r="DAF15" s="128"/>
      <c r="DAG15" s="128"/>
      <c r="DAH15" s="128"/>
      <c r="DAI15" s="128"/>
      <c r="DAJ15" s="128"/>
      <c r="DAK15" s="128"/>
      <c r="DAL15" s="128"/>
      <c r="DAM15" s="128"/>
      <c r="DAN15" s="128"/>
      <c r="DAO15" s="128"/>
      <c r="DAP15" s="128"/>
      <c r="DAQ15" s="129"/>
      <c r="DAR15" s="129"/>
      <c r="DAS15" s="129"/>
      <c r="DAT15" s="129"/>
      <c r="DAU15" s="129"/>
      <c r="DAV15" s="129"/>
      <c r="DAW15" s="129"/>
      <c r="DAX15" s="129"/>
      <c r="DAY15" s="129"/>
      <c r="DAZ15" s="129"/>
      <c r="DBA15" s="129"/>
      <c r="DBB15" s="129"/>
      <c r="DBC15" s="129"/>
      <c r="DBD15" s="129"/>
      <c r="DBE15" s="129"/>
      <c r="DBF15" s="129"/>
      <c r="DBG15" s="129"/>
      <c r="DBH15" s="129"/>
      <c r="DBI15" s="129"/>
      <c r="DBJ15" s="129"/>
      <c r="DBK15" s="129"/>
      <c r="DBL15" s="128"/>
      <c r="DBM15" s="128"/>
      <c r="DBN15" s="128"/>
      <c r="DBO15" s="128"/>
      <c r="DBP15" s="128"/>
      <c r="DBQ15" s="128"/>
      <c r="DBR15" s="129"/>
      <c r="DBS15" s="129"/>
      <c r="DBT15" s="129"/>
      <c r="DBU15" s="129"/>
      <c r="DBV15" s="129"/>
      <c r="DBW15" s="129"/>
      <c r="DBX15" s="129"/>
      <c r="DBY15" s="129"/>
      <c r="DBZ15" s="129"/>
      <c r="DCA15" s="129"/>
      <c r="DCB15" s="129"/>
      <c r="DCC15" s="129"/>
      <c r="DCD15" s="129"/>
      <c r="DCE15" s="129"/>
      <c r="DCF15" s="129"/>
      <c r="DCG15" s="129"/>
      <c r="DCH15" s="129"/>
      <c r="DCI15" s="129"/>
      <c r="DCJ15" s="129"/>
      <c r="DCK15" s="129"/>
      <c r="DCL15" s="129"/>
      <c r="DCM15" s="129"/>
      <c r="DCN15" s="129"/>
      <c r="DCO15" s="129"/>
      <c r="DCP15" s="129"/>
      <c r="DCQ15" s="129"/>
      <c r="DCR15" s="129"/>
      <c r="DCS15" s="129"/>
      <c r="DCT15" s="128"/>
      <c r="DCU15" s="128"/>
      <c r="DCV15" s="128"/>
      <c r="DCW15" s="128"/>
      <c r="DCX15" s="128"/>
      <c r="DCY15" s="128"/>
      <c r="DCZ15" s="128"/>
      <c r="DDB15" s="128" t="s">
        <v>524</v>
      </c>
      <c r="DDC15" s="128"/>
      <c r="DDD15" s="128"/>
      <c r="DDE15" s="128"/>
      <c r="DDF15" s="128"/>
      <c r="DDG15" s="128"/>
      <c r="DDH15" s="128"/>
      <c r="DDI15" s="128"/>
      <c r="DDJ15" s="128"/>
      <c r="DDK15" s="128"/>
      <c r="DDL15" s="128"/>
      <c r="DDM15" s="128"/>
      <c r="DDN15" s="128"/>
      <c r="DDO15" s="128"/>
      <c r="DDP15" s="128"/>
      <c r="DDQ15" s="128"/>
      <c r="DDR15" s="128"/>
      <c r="DDS15" s="128"/>
      <c r="DDT15" s="128"/>
      <c r="DDU15" s="128"/>
      <c r="DDV15" s="128"/>
      <c r="DDW15" s="128"/>
      <c r="DDX15" s="128"/>
      <c r="DDY15" s="128"/>
      <c r="DDZ15" s="128"/>
      <c r="DEA15" s="128"/>
      <c r="DEB15" s="128"/>
      <c r="DEC15" s="128"/>
      <c r="DED15" s="128"/>
      <c r="DEE15" s="128"/>
      <c r="DEF15" s="128"/>
      <c r="DEG15" s="129"/>
      <c r="DEH15" s="129"/>
      <c r="DEI15" s="129"/>
      <c r="DEJ15" s="129"/>
      <c r="DEK15" s="129"/>
      <c r="DEL15" s="129"/>
      <c r="DEM15" s="129"/>
      <c r="DEN15" s="129"/>
      <c r="DEO15" s="129"/>
      <c r="DEP15" s="129"/>
      <c r="DEQ15" s="129"/>
      <c r="DER15" s="129"/>
      <c r="DES15" s="129"/>
      <c r="DET15" s="129"/>
      <c r="DEU15" s="129"/>
      <c r="DEV15" s="129"/>
      <c r="DEW15" s="129"/>
      <c r="DEX15" s="129"/>
      <c r="DEY15" s="129"/>
      <c r="DEZ15" s="129"/>
      <c r="DFA15" s="129"/>
      <c r="DFB15" s="128"/>
      <c r="DFC15" s="128"/>
      <c r="DFD15" s="128"/>
      <c r="DFE15" s="128"/>
      <c r="DFF15" s="128"/>
      <c r="DFG15" s="128"/>
      <c r="DFH15" s="129"/>
      <c r="DFI15" s="129"/>
      <c r="DFJ15" s="129"/>
      <c r="DFK15" s="129"/>
      <c r="DFL15" s="129"/>
      <c r="DFM15" s="129"/>
      <c r="DFN15" s="129"/>
      <c r="DFO15" s="129"/>
      <c r="DFP15" s="129"/>
      <c r="DFQ15" s="129"/>
      <c r="DFR15" s="129"/>
      <c r="DFS15" s="129"/>
      <c r="DFT15" s="129"/>
      <c r="DFU15" s="129"/>
      <c r="DFV15" s="129"/>
      <c r="DFW15" s="129"/>
      <c r="DFX15" s="129"/>
      <c r="DFY15" s="129"/>
      <c r="DFZ15" s="129"/>
      <c r="DGA15" s="129"/>
      <c r="DGB15" s="129"/>
      <c r="DGC15" s="129"/>
      <c r="DGD15" s="129"/>
      <c r="DGE15" s="129"/>
      <c r="DGF15" s="129"/>
      <c r="DGG15" s="129"/>
      <c r="DGH15" s="129"/>
      <c r="DGI15" s="129"/>
      <c r="DGJ15" s="128"/>
      <c r="DGK15" s="128"/>
      <c r="DGL15" s="128"/>
      <c r="DGM15" s="128"/>
      <c r="DGN15" s="128"/>
      <c r="DGO15" s="128"/>
      <c r="DGP15" s="128"/>
      <c r="DGR15" s="128" t="s">
        <v>564</v>
      </c>
      <c r="DGS15" s="128"/>
      <c r="DGT15" s="128"/>
      <c r="DGU15" s="128"/>
      <c r="DGV15" s="128"/>
      <c r="DGW15" s="128"/>
      <c r="DGX15" s="128"/>
      <c r="DGY15" s="128"/>
      <c r="DGZ15" s="128"/>
      <c r="DHA15" s="128"/>
      <c r="DHB15" s="128"/>
      <c r="DHC15" s="128"/>
      <c r="DHD15" s="128"/>
      <c r="DHE15" s="128"/>
      <c r="DHF15" s="128"/>
      <c r="DHG15" s="128"/>
      <c r="DHH15" s="128"/>
      <c r="DHI15" s="128"/>
      <c r="DHJ15" s="128"/>
      <c r="DHK15" s="128"/>
      <c r="DHL15" s="128"/>
      <c r="DHM15" s="128"/>
      <c r="DHN15" s="128"/>
      <c r="DHO15" s="128"/>
      <c r="DHP15" s="128"/>
      <c r="DHQ15" s="128"/>
      <c r="DHR15" s="128"/>
      <c r="DHS15" s="128"/>
      <c r="DHT15" s="128"/>
      <c r="DHU15" s="128"/>
      <c r="DHV15" s="128"/>
      <c r="DHW15" s="129"/>
      <c r="DHX15" s="129"/>
      <c r="DHY15" s="129"/>
      <c r="DHZ15" s="129"/>
      <c r="DIA15" s="129"/>
      <c r="DIB15" s="129"/>
      <c r="DIC15" s="129"/>
      <c r="DID15" s="129"/>
      <c r="DIE15" s="129"/>
      <c r="DIF15" s="129"/>
      <c r="DIG15" s="129"/>
      <c r="DIH15" s="129"/>
      <c r="DII15" s="129"/>
      <c r="DIJ15" s="129"/>
      <c r="DIK15" s="129"/>
      <c r="DIL15" s="129"/>
      <c r="DIM15" s="129"/>
      <c r="DIN15" s="129"/>
      <c r="DIO15" s="129"/>
      <c r="DIP15" s="129"/>
      <c r="DIQ15" s="129"/>
      <c r="DIR15" s="128"/>
      <c r="DIS15" s="128"/>
      <c r="DIT15" s="128"/>
      <c r="DIU15" s="128"/>
      <c r="DIV15" s="128"/>
      <c r="DIW15" s="128"/>
      <c r="DIX15" s="129"/>
      <c r="DIY15" s="129"/>
      <c r="DIZ15" s="129"/>
      <c r="DJA15" s="129"/>
      <c r="DJB15" s="129"/>
      <c r="DJC15" s="129"/>
      <c r="DJD15" s="129"/>
      <c r="DJE15" s="129"/>
      <c r="DJF15" s="129"/>
      <c r="DJG15" s="129"/>
      <c r="DJH15" s="129"/>
      <c r="DJI15" s="129"/>
      <c r="DJJ15" s="129"/>
      <c r="DJK15" s="129"/>
      <c r="DJL15" s="129"/>
      <c r="DJM15" s="129"/>
      <c r="DJN15" s="129"/>
      <c r="DJO15" s="129"/>
      <c r="DJP15" s="129"/>
      <c r="DJQ15" s="129"/>
      <c r="DJR15" s="129"/>
      <c r="DJS15" s="129"/>
      <c r="DJT15" s="129"/>
      <c r="DJU15" s="129"/>
      <c r="DJV15" s="129"/>
      <c r="DJW15" s="129"/>
      <c r="DJX15" s="129"/>
      <c r="DJY15" s="129"/>
      <c r="DJZ15" s="128"/>
      <c r="DKA15" s="128"/>
      <c r="DKB15" s="128"/>
      <c r="DKC15" s="128"/>
      <c r="DKD15" s="128"/>
      <c r="DKE15" s="128"/>
      <c r="DKF15" s="128"/>
    </row>
    <row r="16" spans="2:2996" ht="15" customHeight="1" x14ac:dyDescent="0.25">
      <c r="B16" s="190" t="s">
        <v>28</v>
      </c>
      <c r="C16" s="191"/>
      <c r="D16" s="191"/>
      <c r="E16" s="191"/>
      <c r="F16" s="191"/>
      <c r="G16" s="191"/>
      <c r="H16" s="191"/>
      <c r="I16" s="191"/>
      <c r="J16" s="191"/>
      <c r="K16" s="191"/>
      <c r="L16" s="191"/>
      <c r="M16" s="191"/>
      <c r="N16" s="191"/>
      <c r="O16" s="191"/>
      <c r="P16" s="191"/>
      <c r="Q16" s="131">
        <f>'Level-up'!E6</f>
        <v>65</v>
      </c>
      <c r="R16" s="131"/>
      <c r="S16" s="131"/>
      <c r="T16" s="131"/>
      <c r="U16" s="131"/>
      <c r="V16" s="131"/>
      <c r="W16" s="131"/>
      <c r="X16" s="131">
        <f>'Character Creation'!AJ43</f>
        <v>100</v>
      </c>
      <c r="Y16" s="131"/>
      <c r="Z16" s="131"/>
      <c r="AA16" s="131"/>
      <c r="AB16" s="131"/>
      <c r="AC16" s="131"/>
      <c r="AD16" s="131"/>
      <c r="AE16" s="131">
        <f t="shared" si="1"/>
        <v>2</v>
      </c>
      <c r="AF16" s="131"/>
      <c r="AG16" s="131"/>
      <c r="AH16" s="131"/>
      <c r="AI16" s="131"/>
      <c r="AJ16" s="131"/>
      <c r="AK16" s="131"/>
      <c r="AL16" s="131">
        <f>VLOOKUP('Character Creation'!$Z$11,RaceChart,5,FALSE)</f>
        <v>0</v>
      </c>
      <c r="AM16" s="131"/>
      <c r="AN16" s="131"/>
      <c r="AO16" s="131"/>
      <c r="AP16" s="131"/>
      <c r="AQ16" s="131"/>
      <c r="AR16" s="131"/>
      <c r="AS16" s="131">
        <v>0</v>
      </c>
      <c r="AT16" s="131"/>
      <c r="AU16" s="131"/>
      <c r="AV16" s="131"/>
      <c r="AW16" s="131"/>
      <c r="AX16" s="131"/>
      <c r="AY16" s="131"/>
      <c r="AZ16" s="226">
        <f t="shared" si="2"/>
        <v>2</v>
      </c>
      <c r="BA16" s="226"/>
      <c r="BB16" s="226"/>
      <c r="BC16" s="226"/>
      <c r="BD16" s="226"/>
      <c r="BE16" s="226"/>
      <c r="BF16" s="227"/>
      <c r="BH16" s="190" t="s">
        <v>43</v>
      </c>
      <c r="BI16" s="191"/>
      <c r="BJ16" s="191"/>
      <c r="BK16" s="191"/>
      <c r="BL16" s="191"/>
      <c r="BM16" s="191"/>
      <c r="BN16" s="191"/>
      <c r="BO16" s="191"/>
      <c r="BP16" s="191"/>
      <c r="BQ16" s="191"/>
      <c r="BR16" s="191"/>
      <c r="BS16" s="191"/>
      <c r="BT16" s="191"/>
      <c r="BU16" s="191"/>
      <c r="BV16" s="191"/>
      <c r="BW16" s="191"/>
      <c r="BX16" s="191"/>
      <c r="BY16" s="191"/>
      <c r="BZ16" s="191"/>
      <c r="CA16" s="131">
        <f>Co</f>
        <v>-2</v>
      </c>
      <c r="CB16" s="131"/>
      <c r="CC16" s="131"/>
      <c r="CD16" s="131"/>
      <c r="CE16" s="131"/>
      <c r="CF16" s="131"/>
      <c r="CG16" s="131"/>
      <c r="CH16" s="131">
        <f>VLOOKUP('Character Creation'!$Z$11,RaceChart,15,FALSE)</f>
        <v>0</v>
      </c>
      <c r="CI16" s="131"/>
      <c r="CJ16" s="131"/>
      <c r="CK16" s="131"/>
      <c r="CL16" s="131"/>
      <c r="CM16" s="131"/>
      <c r="CN16" s="131"/>
      <c r="CO16" s="131">
        <v>0</v>
      </c>
      <c r="CP16" s="131"/>
      <c r="CQ16" s="131"/>
      <c r="CR16" s="131"/>
      <c r="CS16" s="131"/>
      <c r="CT16" s="131"/>
      <c r="CU16" s="131"/>
      <c r="CV16" s="226">
        <f t="shared" si="3"/>
        <v>-2</v>
      </c>
      <c r="CW16" s="226"/>
      <c r="CX16" s="226"/>
      <c r="CY16" s="226"/>
      <c r="CZ16" s="226"/>
      <c r="DA16" s="226"/>
      <c r="DB16" s="227"/>
      <c r="DC16"/>
      <c r="DD16" s="137" t="s">
        <v>126</v>
      </c>
      <c r="DE16" s="138"/>
      <c r="DF16" s="138"/>
      <c r="DG16" s="138"/>
      <c r="DH16" s="138"/>
      <c r="DI16" s="138"/>
      <c r="DJ16" s="138"/>
      <c r="DK16" s="138"/>
      <c r="DL16" s="138"/>
      <c r="DM16" s="138"/>
      <c r="DN16" s="138"/>
      <c r="DO16" s="138"/>
      <c r="DP16" s="138"/>
      <c r="DQ16" s="138"/>
      <c r="DR16" s="138"/>
      <c r="DS16" s="138"/>
      <c r="DT16" s="138"/>
      <c r="DU16" s="138"/>
      <c r="DV16" s="138"/>
      <c r="DW16" s="138"/>
      <c r="DX16" s="138"/>
      <c r="DY16" s="138"/>
      <c r="DZ16" s="138"/>
      <c r="EA16" s="138"/>
      <c r="EB16" s="138"/>
      <c r="EC16" s="138"/>
      <c r="ED16" s="138"/>
      <c r="EE16" s="138"/>
      <c r="EF16" s="138"/>
      <c r="EG16" s="275" t="str">
        <f>IF(EG15&gt;-10,"Dash",IF(EG15&gt;-20,"Sprint",IF(EG15&gt;-30,"Run",IF(EG15&gt;-50,"Jog",IF(EG15&gt;-70,"Brisk",IF(EG15&gt;-100,"Walk",IF(EG15&gt;-150,"Creep")))))))</f>
        <v>Sprint</v>
      </c>
      <c r="EH16" s="275"/>
      <c r="EI16" s="275"/>
      <c r="EJ16" s="275"/>
      <c r="EK16" s="275"/>
      <c r="EL16" s="275"/>
      <c r="EM16" s="275"/>
      <c r="EN16" s="275"/>
      <c r="EO16" s="234" t="s">
        <v>117</v>
      </c>
      <c r="EP16" s="234"/>
      <c r="EQ16" s="234"/>
      <c r="ER16" s="234"/>
      <c r="ES16" s="276" t="str">
        <f>IF(ES15&gt;-10,"Dash",IF(ES15&gt;-20,"Sprint",IF(ES15&gt;-30,"Run",IF(ES15&gt;-50,"Jog",IF(ES15&gt;-70,"Brisk",IF(ES15&gt;-100,"Walk",IF(ES15&gt;-150,"Creep")))))))</f>
        <v>Dash</v>
      </c>
      <c r="ET16" s="276"/>
      <c r="EU16" s="276"/>
      <c r="EV16" s="276"/>
      <c r="EW16" s="276"/>
      <c r="EX16" s="276"/>
      <c r="EY16" s="276"/>
      <c r="EZ16" s="277"/>
      <c r="FB16" s="139"/>
      <c r="FC16" s="140"/>
      <c r="FD16" s="140"/>
      <c r="FE16" s="140"/>
      <c r="FF16" s="140"/>
      <c r="FG16" s="140"/>
      <c r="FH16" s="140"/>
      <c r="FI16" s="140"/>
      <c r="FJ16" s="140"/>
      <c r="FK16" s="140"/>
      <c r="FL16" s="140"/>
      <c r="FM16" s="140"/>
      <c r="FN16" s="140"/>
      <c r="FO16" s="140"/>
      <c r="FP16" s="140"/>
      <c r="FQ16" s="140"/>
      <c r="FR16" s="140"/>
      <c r="FS16" s="140"/>
      <c r="FT16" s="140"/>
      <c r="FU16" s="140"/>
      <c r="FV16" s="140"/>
      <c r="FW16" s="140"/>
      <c r="FX16" s="140"/>
      <c r="FY16" s="140"/>
      <c r="FZ16" s="140"/>
      <c r="GA16" s="140"/>
      <c r="GB16" s="140"/>
      <c r="GC16" s="140"/>
      <c r="GD16" s="140"/>
      <c r="GE16" s="140"/>
      <c r="GF16" s="140"/>
      <c r="GG16" s="140"/>
      <c r="GH16" s="140"/>
      <c r="GI16" s="140"/>
      <c r="GJ16" s="140"/>
      <c r="GK16" s="140"/>
      <c r="GL16" s="140"/>
      <c r="GM16" s="140"/>
      <c r="GN16" s="140"/>
      <c r="GO16" s="140"/>
      <c r="GP16" s="140"/>
      <c r="GQ16" s="140"/>
      <c r="GR16" s="140"/>
      <c r="GS16" s="140"/>
      <c r="GT16" s="141">
        <v>0</v>
      </c>
      <c r="GU16" s="141"/>
      <c r="GV16" s="141"/>
      <c r="GW16" s="141"/>
      <c r="GX16" s="141"/>
      <c r="GY16" s="141"/>
      <c r="GZ16" s="141"/>
      <c r="HA16" s="141"/>
      <c r="HB16" s="142" t="str">
        <f>IFERROR(ROUND(((Calculations!BV16/185)*'Character Creation'!$Z$18)*GT16,2),"")</f>
        <v/>
      </c>
      <c r="HC16" s="142"/>
      <c r="HD16" s="142"/>
      <c r="HE16" s="142"/>
      <c r="HF16" s="142"/>
      <c r="HG16" s="142"/>
      <c r="HH16" s="142"/>
      <c r="HI16" s="142"/>
      <c r="HJ16" s="142">
        <f>IFERROR(Calculations!BS16+IQ16+IX16,"")</f>
        <v>0</v>
      </c>
      <c r="HK16" s="142"/>
      <c r="HL16" s="142"/>
      <c r="HM16" s="142"/>
      <c r="HN16" s="142"/>
      <c r="HO16" s="142"/>
      <c r="HP16" s="142"/>
      <c r="HQ16" s="142"/>
      <c r="HR16" s="142" t="str">
        <f t="shared" si="0"/>
        <v/>
      </c>
      <c r="HS16" s="142"/>
      <c r="HT16" s="142"/>
      <c r="HU16" s="142"/>
      <c r="HV16" s="142"/>
      <c r="HW16" s="142"/>
      <c r="HX16" s="142"/>
      <c r="HY16" s="142"/>
      <c r="HZ16" s="142" t="str">
        <f>IFERROR(Calculations!BX16,"")</f>
        <v/>
      </c>
      <c r="IA16" s="142"/>
      <c r="IB16" s="142"/>
      <c r="IC16" s="142"/>
      <c r="ID16" s="142"/>
      <c r="IE16" s="142"/>
      <c r="IF16" s="142"/>
      <c r="IG16" s="142"/>
      <c r="IH16" s="142"/>
      <c r="II16" s="142"/>
      <c r="IJ16" s="142" t="str">
        <f>IFERROR(Calculations!BR16+IX16,"")</f>
        <v/>
      </c>
      <c r="IK16" s="142"/>
      <c r="IL16" s="142"/>
      <c r="IM16" s="142"/>
      <c r="IN16" s="142"/>
      <c r="IO16" s="142"/>
      <c r="IP16" s="142"/>
      <c r="IQ16" s="141">
        <v>0</v>
      </c>
      <c r="IR16" s="141"/>
      <c r="IS16" s="141"/>
      <c r="IT16" s="141"/>
      <c r="IU16" s="141"/>
      <c r="IV16" s="141"/>
      <c r="IW16" s="141"/>
      <c r="IX16" s="141">
        <v>0</v>
      </c>
      <c r="IY16" s="141"/>
      <c r="IZ16" s="141"/>
      <c r="JA16" s="141"/>
      <c r="JB16" s="141"/>
      <c r="JC16" s="141"/>
      <c r="JD16" s="141"/>
      <c r="JE16" s="141"/>
      <c r="JF16" s="142"/>
      <c r="JG16" s="142"/>
      <c r="JH16" s="142"/>
      <c r="JI16" s="142"/>
      <c r="JJ16" s="142"/>
      <c r="JK16" s="143" t="str">
        <f>Calculations!AS16</f>
        <v/>
      </c>
      <c r="JL16" s="143"/>
      <c r="JM16" s="143"/>
      <c r="JN16" s="143"/>
      <c r="JO16" s="143"/>
      <c r="JP16" s="143"/>
      <c r="JQ16" s="143"/>
      <c r="JR16" s="143"/>
      <c r="JS16" s="143"/>
      <c r="JT16" s="143"/>
      <c r="JU16" s="143"/>
      <c r="JV16" s="143"/>
      <c r="JW16" s="143"/>
      <c r="JX16" s="143"/>
      <c r="JY16" s="143"/>
      <c r="JZ16" s="143"/>
      <c r="KA16" s="143"/>
      <c r="KB16" s="143"/>
      <c r="KC16" s="143" t="str">
        <f>Calculations!AW16</f>
        <v/>
      </c>
      <c r="KD16" s="143"/>
      <c r="KE16" s="143"/>
      <c r="KF16" s="143"/>
      <c r="KG16" s="143"/>
      <c r="KH16" s="143"/>
      <c r="KI16" s="143"/>
      <c r="KJ16" s="143"/>
      <c r="KK16" s="143"/>
      <c r="KL16" s="143"/>
      <c r="KM16" s="143"/>
      <c r="KN16" s="143"/>
      <c r="KO16" s="143"/>
      <c r="KP16" s="143"/>
      <c r="KQ16" s="143"/>
      <c r="KR16" s="143"/>
      <c r="KS16" s="143"/>
      <c r="KT16" s="143"/>
      <c r="KU16" s="144"/>
      <c r="KV16" s="144"/>
      <c r="KW16" s="144"/>
      <c r="KX16" s="144"/>
      <c r="KY16" s="144"/>
      <c r="KZ16" s="144"/>
      <c r="LA16" s="144"/>
      <c r="LB16" s="144"/>
      <c r="LC16" s="144"/>
      <c r="LD16" s="144"/>
      <c r="LE16" s="144"/>
      <c r="LF16" s="144"/>
      <c r="LG16" s="144"/>
      <c r="LH16" s="144"/>
      <c r="LI16" s="144"/>
      <c r="LJ16" s="144"/>
      <c r="LK16" s="144"/>
      <c r="LL16" s="144"/>
      <c r="LM16" s="144"/>
      <c r="LN16" s="144"/>
      <c r="LO16" s="144"/>
      <c r="LP16" s="144"/>
      <c r="LQ16" s="144"/>
      <c r="LR16" s="144"/>
      <c r="LS16" s="144"/>
      <c r="LT16" s="144"/>
      <c r="LU16" s="144"/>
      <c r="LV16" s="144"/>
      <c r="LW16" s="144"/>
      <c r="LX16" s="144"/>
      <c r="LY16" s="144"/>
      <c r="LZ16" s="144"/>
      <c r="MA16" s="144"/>
      <c r="MB16" s="144"/>
      <c r="MC16" s="144"/>
      <c r="MD16" s="144"/>
      <c r="ME16" s="144"/>
      <c r="MF16" s="144"/>
      <c r="MG16" s="144"/>
      <c r="MH16" s="144"/>
      <c r="MI16" s="144"/>
      <c r="MJ16" s="144"/>
      <c r="MK16" s="144"/>
      <c r="ML16" s="144"/>
      <c r="MM16" s="144"/>
      <c r="MN16" s="144"/>
      <c r="MO16" s="144"/>
      <c r="MP16" s="144"/>
      <c r="MQ16" s="144"/>
      <c r="MR16" s="144"/>
      <c r="MS16" s="144"/>
      <c r="MT16" s="144"/>
      <c r="MU16" s="144"/>
      <c r="MV16" s="144"/>
      <c r="MW16" s="144"/>
      <c r="MX16" s="144"/>
      <c r="MY16" s="144"/>
      <c r="MZ16" s="145"/>
      <c r="APZ16" s="128" t="s">
        <v>232</v>
      </c>
      <c r="AQA16" s="128"/>
      <c r="AQB16" s="128"/>
      <c r="AQC16" s="128"/>
      <c r="AQD16" s="128"/>
      <c r="AQE16" s="128"/>
      <c r="AQF16" s="128"/>
      <c r="AQG16" s="128"/>
      <c r="AQH16" s="128"/>
      <c r="AQI16" s="128"/>
      <c r="AQJ16" s="128"/>
      <c r="AQK16" s="128"/>
      <c r="AQL16" s="128"/>
      <c r="AQM16" s="128"/>
      <c r="AQN16" s="128"/>
      <c r="AQO16" s="128"/>
      <c r="AQP16" s="128"/>
      <c r="AQQ16" s="128"/>
      <c r="AQR16" s="128"/>
      <c r="AQS16" s="128"/>
      <c r="AQT16" s="128"/>
      <c r="AQU16" s="128"/>
      <c r="AQV16" s="128"/>
      <c r="AQW16" s="128"/>
      <c r="AQX16" s="128"/>
      <c r="AQY16" s="128"/>
      <c r="AQZ16" s="128"/>
      <c r="ARA16" s="128"/>
      <c r="ARB16" s="128"/>
      <c r="ARC16" s="128"/>
      <c r="ARD16" s="128"/>
      <c r="ARE16" s="129"/>
      <c r="ARF16" s="129"/>
      <c r="ARG16" s="129"/>
      <c r="ARH16" s="129"/>
      <c r="ARI16" s="129"/>
      <c r="ARJ16" s="129"/>
      <c r="ARK16" s="129"/>
      <c r="ARL16" s="129"/>
      <c r="ARM16" s="129"/>
      <c r="ARN16" s="129"/>
      <c r="ARO16" s="129"/>
      <c r="ARP16" s="129"/>
      <c r="ARQ16" s="129"/>
      <c r="ARR16" s="129"/>
      <c r="ARS16" s="129"/>
      <c r="ART16" s="129"/>
      <c r="ARU16" s="129"/>
      <c r="ARV16" s="129"/>
      <c r="ARW16" s="129"/>
      <c r="ARX16" s="129"/>
      <c r="ARY16" s="129"/>
      <c r="ARZ16" s="128"/>
      <c r="ASA16" s="128"/>
      <c r="ASB16" s="128"/>
      <c r="ASC16" s="128"/>
      <c r="ASD16" s="128"/>
      <c r="ASE16" s="128"/>
      <c r="ASF16" s="129"/>
      <c r="ASG16" s="129"/>
      <c r="ASH16" s="129"/>
      <c r="ASI16" s="129"/>
      <c r="ASJ16" s="129"/>
      <c r="ASK16" s="129"/>
      <c r="ASL16" s="129"/>
      <c r="ASM16" s="129"/>
      <c r="ASN16" s="129"/>
      <c r="ASO16" s="129"/>
      <c r="ASP16" s="129"/>
      <c r="ASQ16" s="129"/>
      <c r="ASR16" s="129"/>
      <c r="ASS16" s="129"/>
      <c r="AST16" s="129"/>
      <c r="ASU16" s="129"/>
      <c r="ASV16" s="129"/>
      <c r="ASW16" s="129"/>
      <c r="ASX16" s="129"/>
      <c r="ASY16" s="129"/>
      <c r="ASZ16" s="129"/>
      <c r="ATA16" s="129"/>
      <c r="ATB16" s="129"/>
      <c r="ATC16" s="129"/>
      <c r="ATD16" s="129"/>
      <c r="ATE16" s="129"/>
      <c r="ATF16" s="129"/>
      <c r="ATG16" s="129"/>
      <c r="ATH16" s="128"/>
      <c r="ATI16" s="128"/>
      <c r="ATJ16" s="128"/>
      <c r="ATK16" s="128"/>
      <c r="ATL16" s="128"/>
      <c r="ATM16" s="128"/>
      <c r="ATN16" s="128"/>
      <c r="AXF16" s="128" t="s">
        <v>271</v>
      </c>
      <c r="AXG16" s="128"/>
      <c r="AXH16" s="128"/>
      <c r="AXI16" s="128"/>
      <c r="AXJ16" s="128"/>
      <c r="AXK16" s="128"/>
      <c r="AXL16" s="128"/>
      <c r="AXM16" s="128"/>
      <c r="AXN16" s="128"/>
      <c r="AXO16" s="128"/>
      <c r="AXP16" s="128"/>
      <c r="AXQ16" s="128"/>
      <c r="AXR16" s="128"/>
      <c r="AXS16" s="128"/>
      <c r="AXT16" s="128"/>
      <c r="AXU16" s="128"/>
      <c r="AXV16" s="128"/>
      <c r="AXW16" s="128"/>
      <c r="AXX16" s="128"/>
      <c r="AXY16" s="128"/>
      <c r="AXZ16" s="128"/>
      <c r="AYA16" s="128"/>
      <c r="AYB16" s="128"/>
      <c r="AYC16" s="128"/>
      <c r="AYD16" s="128"/>
      <c r="AYE16" s="128"/>
      <c r="AYF16" s="128"/>
      <c r="AYG16" s="128"/>
      <c r="AYH16" s="128"/>
      <c r="AYI16" s="128"/>
      <c r="AYJ16" s="128"/>
      <c r="AYK16" s="129"/>
      <c r="AYL16" s="129"/>
      <c r="AYM16" s="129"/>
      <c r="AYN16" s="129"/>
      <c r="AYO16" s="129"/>
      <c r="AYP16" s="129"/>
      <c r="AYQ16" s="129"/>
      <c r="AYR16" s="129"/>
      <c r="AYS16" s="129"/>
      <c r="AYT16" s="129"/>
      <c r="AYU16" s="129"/>
      <c r="AYV16" s="129"/>
      <c r="AYW16" s="129"/>
      <c r="AYX16" s="129"/>
      <c r="AYY16" s="129"/>
      <c r="AYZ16" s="129"/>
      <c r="AZA16" s="129"/>
      <c r="AZB16" s="129"/>
      <c r="AZC16" s="129"/>
      <c r="AZD16" s="129"/>
      <c r="AZE16" s="129"/>
      <c r="AZF16" s="128"/>
      <c r="AZG16" s="128"/>
      <c r="AZH16" s="128"/>
      <c r="AZI16" s="128"/>
      <c r="AZJ16" s="128"/>
      <c r="AZK16" s="128"/>
      <c r="AZL16" s="129"/>
      <c r="AZM16" s="129"/>
      <c r="AZN16" s="129"/>
      <c r="AZO16" s="129"/>
      <c r="AZP16" s="129"/>
      <c r="AZQ16" s="129"/>
      <c r="AZR16" s="129"/>
      <c r="AZS16" s="129"/>
      <c r="AZT16" s="129"/>
      <c r="AZU16" s="129"/>
      <c r="AZV16" s="129"/>
      <c r="AZW16" s="129"/>
      <c r="AZX16" s="129"/>
      <c r="AZY16" s="129"/>
      <c r="AZZ16" s="129"/>
      <c r="BAA16" s="129"/>
      <c r="BAB16" s="129"/>
      <c r="BAC16" s="129"/>
      <c r="BAD16" s="129"/>
      <c r="BAE16" s="129"/>
      <c r="BAF16" s="129"/>
      <c r="BAG16" s="129"/>
      <c r="BAH16" s="129"/>
      <c r="BAI16" s="129"/>
      <c r="BAJ16" s="129"/>
      <c r="BAK16" s="129"/>
      <c r="BAL16" s="129"/>
      <c r="BAM16" s="129"/>
      <c r="BAN16" s="128"/>
      <c r="BAO16" s="128"/>
      <c r="BAP16" s="128"/>
      <c r="BAQ16" s="128"/>
      <c r="BAR16" s="128"/>
      <c r="BAS16" s="128"/>
      <c r="BAT16" s="128"/>
      <c r="BAV16" s="128" t="s">
        <v>290</v>
      </c>
      <c r="BAW16" s="128"/>
      <c r="BAX16" s="128"/>
      <c r="BAY16" s="128"/>
      <c r="BAZ16" s="128"/>
      <c r="BBA16" s="128"/>
      <c r="BBB16" s="128"/>
      <c r="BBC16" s="128"/>
      <c r="BBD16" s="128"/>
      <c r="BBE16" s="128"/>
      <c r="BBF16" s="128"/>
      <c r="BBG16" s="128"/>
      <c r="BBH16" s="128"/>
      <c r="BBI16" s="128"/>
      <c r="BBJ16" s="128"/>
      <c r="BBK16" s="128"/>
      <c r="BBL16" s="128"/>
      <c r="BBM16" s="128"/>
      <c r="BBN16" s="128"/>
      <c r="BBO16" s="128"/>
      <c r="BBP16" s="128"/>
      <c r="BBQ16" s="128"/>
      <c r="BBR16" s="128"/>
      <c r="BBS16" s="128"/>
      <c r="BBT16" s="128"/>
      <c r="BBU16" s="128"/>
      <c r="BBV16" s="128"/>
      <c r="BBW16" s="128"/>
      <c r="BBX16" s="128"/>
      <c r="BBY16" s="128"/>
      <c r="BBZ16" s="128"/>
      <c r="BCA16" s="129"/>
      <c r="BCB16" s="129"/>
      <c r="BCC16" s="129"/>
      <c r="BCD16" s="129"/>
      <c r="BCE16" s="129"/>
      <c r="BCF16" s="129"/>
      <c r="BCG16" s="129"/>
      <c r="BCH16" s="129"/>
      <c r="BCI16" s="129"/>
      <c r="BCJ16" s="129"/>
      <c r="BCK16" s="129"/>
      <c r="BCL16" s="129"/>
      <c r="BCM16" s="129"/>
      <c r="BCN16" s="129"/>
      <c r="BCO16" s="129"/>
      <c r="BCP16" s="129"/>
      <c r="BCQ16" s="129"/>
      <c r="BCR16" s="129"/>
      <c r="BCS16" s="129"/>
      <c r="BCT16" s="129"/>
      <c r="BCU16" s="129"/>
      <c r="BCV16" s="128"/>
      <c r="BCW16" s="128"/>
      <c r="BCX16" s="128"/>
      <c r="BCY16" s="128"/>
      <c r="BCZ16" s="128"/>
      <c r="BDA16" s="128"/>
      <c r="BDB16" s="129"/>
      <c r="BDC16" s="129"/>
      <c r="BDD16" s="129"/>
      <c r="BDE16" s="129"/>
      <c r="BDF16" s="129"/>
      <c r="BDG16" s="129"/>
      <c r="BDH16" s="129"/>
      <c r="BDI16" s="129"/>
      <c r="BDJ16" s="129"/>
      <c r="BDK16" s="129"/>
      <c r="BDL16" s="129"/>
      <c r="BDM16" s="129"/>
      <c r="BDN16" s="129"/>
      <c r="BDO16" s="129"/>
      <c r="BDP16" s="129"/>
      <c r="BDQ16" s="129"/>
      <c r="BDR16" s="129"/>
      <c r="BDS16" s="129"/>
      <c r="BDT16" s="129"/>
      <c r="BDU16" s="129"/>
      <c r="BDV16" s="129"/>
      <c r="BDW16" s="129"/>
      <c r="BDX16" s="129"/>
      <c r="BDY16" s="129"/>
      <c r="BDZ16" s="129"/>
      <c r="BEA16" s="129"/>
      <c r="BEB16" s="129"/>
      <c r="BEC16" s="129"/>
      <c r="BED16" s="128"/>
      <c r="BEE16" s="128"/>
      <c r="BEF16" s="128"/>
      <c r="BEG16" s="128"/>
      <c r="BEH16" s="128"/>
      <c r="BEI16" s="128"/>
      <c r="BEJ16" s="128"/>
      <c r="BLR16" s="128" t="s">
        <v>329</v>
      </c>
      <c r="BLS16" s="128"/>
      <c r="BLT16" s="128"/>
      <c r="BLU16" s="128"/>
      <c r="BLV16" s="128"/>
      <c r="BLW16" s="128"/>
      <c r="BLX16" s="128"/>
      <c r="BLY16" s="128"/>
      <c r="BLZ16" s="128"/>
      <c r="BMA16" s="128"/>
      <c r="BMB16" s="128"/>
      <c r="BMC16" s="128"/>
      <c r="BMD16" s="128"/>
      <c r="BME16" s="128"/>
      <c r="BMF16" s="128"/>
      <c r="BMG16" s="128"/>
      <c r="BMH16" s="128"/>
      <c r="BMI16" s="128"/>
      <c r="BMJ16" s="128"/>
      <c r="BMK16" s="128"/>
      <c r="BML16" s="128"/>
      <c r="BMM16" s="128"/>
      <c r="BMN16" s="128"/>
      <c r="BMO16" s="128"/>
      <c r="BMP16" s="128"/>
      <c r="BMQ16" s="128"/>
      <c r="BMR16" s="128"/>
      <c r="BMS16" s="128"/>
      <c r="BMT16" s="128"/>
      <c r="BMU16" s="128"/>
      <c r="BMV16" s="128"/>
      <c r="BMW16" s="129"/>
      <c r="BMX16" s="129"/>
      <c r="BMY16" s="129"/>
      <c r="BMZ16" s="129"/>
      <c r="BNA16" s="129"/>
      <c r="BNB16" s="129"/>
      <c r="BNC16" s="129"/>
      <c r="BND16" s="129"/>
      <c r="BNE16" s="129"/>
      <c r="BNF16" s="129"/>
      <c r="BNG16" s="129"/>
      <c r="BNH16" s="129"/>
      <c r="BNI16" s="129"/>
      <c r="BNJ16" s="129"/>
      <c r="BNK16" s="129"/>
      <c r="BNL16" s="129"/>
      <c r="BNM16" s="129"/>
      <c r="BNN16" s="129"/>
      <c r="BNO16" s="129"/>
      <c r="BNP16" s="129"/>
      <c r="BNQ16" s="129"/>
      <c r="BNR16" s="128"/>
      <c r="BNS16" s="128"/>
      <c r="BNT16" s="128"/>
      <c r="BNU16" s="128"/>
      <c r="BNV16" s="128"/>
      <c r="BNW16" s="128"/>
      <c r="BNX16" s="129"/>
      <c r="BNY16" s="129"/>
      <c r="BNZ16" s="129"/>
      <c r="BOA16" s="129"/>
      <c r="BOB16" s="129"/>
      <c r="BOC16" s="129"/>
      <c r="BOD16" s="129"/>
      <c r="BOE16" s="129"/>
      <c r="BOF16" s="129"/>
      <c r="BOG16" s="129"/>
      <c r="BOH16" s="129"/>
      <c r="BOI16" s="129"/>
      <c r="BOJ16" s="129"/>
      <c r="BOK16" s="129"/>
      <c r="BOL16" s="129"/>
      <c r="BOM16" s="129"/>
      <c r="BON16" s="129"/>
      <c r="BOO16" s="129"/>
      <c r="BOP16" s="129"/>
      <c r="BOQ16" s="129"/>
      <c r="BOR16" s="129"/>
      <c r="BOS16" s="129"/>
      <c r="BOT16" s="129"/>
      <c r="BOU16" s="129"/>
      <c r="BOV16" s="129"/>
      <c r="BOW16" s="129"/>
      <c r="BOX16" s="129"/>
      <c r="BOY16" s="129"/>
      <c r="BOZ16" s="128"/>
      <c r="BPA16" s="128"/>
      <c r="BPB16" s="128"/>
      <c r="BPC16" s="128"/>
      <c r="BPD16" s="128"/>
      <c r="BPE16" s="128"/>
      <c r="BPF16" s="128"/>
      <c r="CDT16" s="144" t="s">
        <v>398</v>
      </c>
      <c r="CDU16" s="144"/>
      <c r="CDV16" s="144"/>
      <c r="CDW16" s="144"/>
      <c r="CDX16" s="144"/>
      <c r="CDY16" s="144"/>
      <c r="CDZ16" s="144"/>
      <c r="CEA16" s="144"/>
      <c r="CEB16" s="144"/>
      <c r="CEC16" s="144"/>
      <c r="CED16" s="144"/>
      <c r="CEE16" s="144"/>
      <c r="CEF16" s="144"/>
      <c r="CEG16" s="144"/>
      <c r="CEH16" s="144"/>
      <c r="CEI16" s="144"/>
      <c r="CEJ16" s="144"/>
      <c r="CEK16" s="144"/>
      <c r="CEL16" s="144"/>
      <c r="CEM16" s="144"/>
      <c r="CEN16" s="144"/>
      <c r="CEO16" s="144"/>
      <c r="CEP16" s="144"/>
      <c r="CEQ16" s="144"/>
      <c r="CER16" s="144"/>
      <c r="CES16" s="144"/>
      <c r="CET16" s="144"/>
      <c r="CEU16" s="144"/>
      <c r="CEV16" s="144"/>
      <c r="CEW16" s="144"/>
      <c r="CEX16" s="144"/>
      <c r="CEY16" s="144"/>
      <c r="CEZ16" s="144"/>
      <c r="CFA16" s="144"/>
      <c r="CFB16" s="144"/>
      <c r="CFC16" s="144"/>
      <c r="CFD16" s="144"/>
      <c r="CFE16" s="144"/>
      <c r="CFF16" s="144"/>
      <c r="CFG16" s="144"/>
      <c r="CFH16" s="144"/>
      <c r="CFI16" s="144"/>
      <c r="CFJ16" s="144"/>
      <c r="CFK16" s="144"/>
      <c r="CFL16" s="144"/>
      <c r="CFM16" s="144"/>
      <c r="CFN16" s="144"/>
      <c r="CFO16" s="144"/>
      <c r="CFP16" s="144"/>
      <c r="CFQ16" s="144"/>
      <c r="CFR16" s="144"/>
      <c r="CFS16" s="144"/>
      <c r="CFT16" s="144"/>
      <c r="CFU16" s="144"/>
      <c r="CFV16" s="144"/>
      <c r="CFW16" s="144"/>
      <c r="CFX16" s="144"/>
      <c r="CFY16" s="144"/>
      <c r="CFZ16" s="144"/>
      <c r="CGA16" s="144"/>
      <c r="CGB16" s="144"/>
      <c r="CGC16" s="144"/>
      <c r="CGD16" s="144"/>
      <c r="CGE16" s="144"/>
      <c r="CGF16" s="144"/>
      <c r="CGG16" s="144"/>
      <c r="CGH16" s="144"/>
      <c r="CGI16" s="144"/>
      <c r="CGJ16" s="144"/>
      <c r="CGK16" s="144"/>
      <c r="CGL16" s="144"/>
      <c r="CGM16" s="144"/>
      <c r="CGN16" s="144"/>
      <c r="CGO16" s="144"/>
      <c r="CGP16" s="144"/>
      <c r="CGQ16" s="144"/>
      <c r="CGR16" s="144"/>
      <c r="CGS16" s="144"/>
      <c r="CGT16" s="144"/>
      <c r="CGU16" s="144"/>
      <c r="CGV16" s="144"/>
      <c r="CGW16" s="144"/>
      <c r="CGX16" s="144"/>
      <c r="CGY16" s="144"/>
      <c r="CGZ16" s="144"/>
      <c r="CHA16" s="144"/>
      <c r="CHB16" s="144"/>
      <c r="CHC16" s="144"/>
      <c r="CHD16" s="144"/>
      <c r="CHE16" s="144"/>
      <c r="CHF16" s="144"/>
      <c r="CHG16" s="144"/>
      <c r="CHH16" s="144"/>
      <c r="CHJ16" s="144" t="s">
        <v>147</v>
      </c>
      <c r="CHK16" s="144"/>
      <c r="CHL16" s="144"/>
      <c r="CHM16" s="144"/>
      <c r="CHN16" s="144"/>
      <c r="CHO16" s="144"/>
      <c r="CHP16" s="144"/>
      <c r="CHQ16" s="144"/>
      <c r="CHR16" s="144"/>
      <c r="CHS16" s="144"/>
      <c r="CHT16" s="144"/>
      <c r="CHU16" s="144"/>
      <c r="CHV16" s="144"/>
      <c r="CHW16" s="144"/>
      <c r="CHX16" s="144"/>
      <c r="CHY16" s="144"/>
      <c r="CHZ16" s="144"/>
      <c r="CIA16" s="144"/>
      <c r="CIB16" s="144"/>
      <c r="CIC16" s="144"/>
      <c r="CID16" s="144"/>
      <c r="CIE16" s="144"/>
      <c r="CIF16" s="144"/>
      <c r="CIG16" s="144"/>
      <c r="CIH16" s="144"/>
      <c r="CII16" s="144"/>
      <c r="CIJ16" s="144"/>
      <c r="CIK16" s="144"/>
      <c r="CIL16" s="144"/>
      <c r="CIM16" s="144"/>
      <c r="CIN16" s="144"/>
      <c r="CIO16" s="129" t="s">
        <v>133</v>
      </c>
      <c r="CIP16" s="129"/>
      <c r="CIQ16" s="129"/>
      <c r="CIR16" s="129"/>
      <c r="CIS16" s="129" t="s">
        <v>148</v>
      </c>
      <c r="CIT16" s="129"/>
      <c r="CIU16" s="129"/>
      <c r="CIV16" s="129"/>
      <c r="CIW16" s="129"/>
      <c r="CIX16" s="129" t="s">
        <v>83</v>
      </c>
      <c r="CIY16" s="129"/>
      <c r="CIZ16" s="129"/>
      <c r="CJA16" s="129"/>
      <c r="CJB16" s="129"/>
      <c r="CJC16" s="129"/>
      <c r="CJD16" s="129" t="s">
        <v>37</v>
      </c>
      <c r="CJE16" s="129"/>
      <c r="CJF16" s="129"/>
      <c r="CJG16" s="129"/>
      <c r="CJH16" s="129"/>
      <c r="CJI16" s="129"/>
      <c r="CJJ16" s="129" t="s">
        <v>49</v>
      </c>
      <c r="CJK16" s="129"/>
      <c r="CJL16" s="129"/>
      <c r="CJM16" s="129"/>
      <c r="CJN16" s="129"/>
      <c r="CJO16" s="129"/>
      <c r="CJP16" s="129" t="s">
        <v>149</v>
      </c>
      <c r="CJQ16" s="129"/>
      <c r="CJR16" s="129"/>
      <c r="CJS16" s="129"/>
      <c r="CJT16" s="129"/>
      <c r="CJU16" s="129"/>
      <c r="CJV16" s="129"/>
      <c r="CJW16" s="129" t="s">
        <v>150</v>
      </c>
      <c r="CJX16" s="129"/>
      <c r="CJY16" s="129"/>
      <c r="CJZ16" s="129"/>
      <c r="CKA16" s="129"/>
      <c r="CKB16" s="129"/>
      <c r="CKC16" s="129"/>
      <c r="CKD16" s="129" t="s">
        <v>151</v>
      </c>
      <c r="CKE16" s="129"/>
      <c r="CKF16" s="129"/>
      <c r="CKG16" s="129"/>
      <c r="CKH16" s="129"/>
      <c r="CKI16" s="129"/>
      <c r="CKJ16" s="129"/>
      <c r="CKK16" s="129" t="s">
        <v>37</v>
      </c>
      <c r="CKL16" s="129"/>
      <c r="CKM16" s="129"/>
      <c r="CKN16" s="129"/>
      <c r="CKO16" s="129"/>
      <c r="CKP16" s="129"/>
      <c r="CKQ16" s="129"/>
      <c r="CKR16" s="129" t="s">
        <v>40</v>
      </c>
      <c r="CKS16" s="129"/>
      <c r="CKT16" s="129"/>
      <c r="CKU16" s="129"/>
      <c r="CKV16" s="129"/>
      <c r="CKW16" s="129"/>
      <c r="CKX16" s="129"/>
      <c r="COP16" s="128" t="str">
        <f ca="1">VLOOKUP(3,INDIRECT("Open"&amp;'Character Creation'!$Z$14),2,FALSE)</f>
        <v>Elemental Shields</v>
      </c>
      <c r="COQ16" s="128"/>
      <c r="COR16" s="128"/>
      <c r="COS16" s="128"/>
      <c r="COT16" s="128"/>
      <c r="COU16" s="128"/>
      <c r="COV16" s="128"/>
      <c r="COW16" s="128"/>
      <c r="COX16" s="128"/>
      <c r="COY16" s="128"/>
      <c r="COZ16" s="128"/>
      <c r="CPA16" s="128"/>
      <c r="CPB16" s="128"/>
      <c r="CPC16" s="128"/>
      <c r="CPD16" s="128"/>
      <c r="CPE16" s="128"/>
      <c r="CPF16" s="128"/>
      <c r="CPG16" s="128"/>
      <c r="CPH16" s="128"/>
      <c r="CPI16" s="128"/>
      <c r="CPJ16" s="128"/>
      <c r="CPK16" s="128"/>
      <c r="CPL16" s="128"/>
      <c r="CPM16" s="128"/>
      <c r="CPN16" s="128"/>
      <c r="CPO16" s="128"/>
      <c r="CPP16" s="128"/>
      <c r="CPQ16" s="128"/>
      <c r="CPR16" s="128"/>
      <c r="CPS16" s="128"/>
      <c r="CPT16" s="128"/>
      <c r="CPU16" s="129"/>
      <c r="CPV16" s="129"/>
      <c r="CPW16" s="129"/>
      <c r="CPX16" s="129"/>
      <c r="CPY16" s="129"/>
      <c r="CPZ16" s="129"/>
      <c r="CQA16" s="129"/>
      <c r="CQB16" s="129"/>
      <c r="CQC16" s="129"/>
      <c r="CQD16" s="129"/>
      <c r="CQE16" s="129"/>
      <c r="CQF16" s="129"/>
      <c r="CQG16" s="129"/>
      <c r="CQH16" s="129"/>
      <c r="CQI16" s="129"/>
      <c r="CQJ16" s="129"/>
      <c r="CQK16" s="129"/>
      <c r="CQL16" s="129"/>
      <c r="CQM16" s="129"/>
      <c r="CQN16" s="129"/>
      <c r="CQO16" s="129"/>
      <c r="CQP16" s="128"/>
      <c r="CQQ16" s="128"/>
      <c r="CQR16" s="128"/>
      <c r="CQS16" s="128"/>
      <c r="CQT16" s="128"/>
      <c r="CQU16" s="128"/>
      <c r="CQV16" s="129"/>
      <c r="CQW16" s="129"/>
      <c r="CQX16" s="129"/>
      <c r="CQY16" s="129"/>
      <c r="CQZ16" s="129"/>
      <c r="CRA16" s="129"/>
      <c r="CRB16" s="129"/>
      <c r="CRC16" s="129"/>
      <c r="CRD16" s="129"/>
      <c r="CRE16" s="129"/>
      <c r="CRF16" s="129"/>
      <c r="CRG16" s="129"/>
      <c r="CRH16" s="129"/>
      <c r="CRI16" s="129"/>
      <c r="CRJ16" s="129"/>
      <c r="CRK16" s="129"/>
      <c r="CRL16" s="129"/>
      <c r="CRM16" s="129"/>
      <c r="CRN16" s="129"/>
      <c r="CRO16" s="129"/>
      <c r="CRP16" s="129"/>
      <c r="CRQ16" s="129"/>
      <c r="CRR16" s="129"/>
      <c r="CRS16" s="129"/>
      <c r="CRT16" s="129"/>
      <c r="CRU16" s="129"/>
      <c r="CRV16" s="129"/>
      <c r="CRW16" s="129"/>
      <c r="CRX16" s="128"/>
      <c r="CRY16" s="128"/>
      <c r="CRZ16" s="128"/>
      <c r="CSA16" s="128"/>
      <c r="CSB16" s="128"/>
      <c r="CSC16" s="128"/>
      <c r="CSD16" s="128"/>
      <c r="CSF16" s="128" t="s">
        <v>441</v>
      </c>
      <c r="CSG16" s="128"/>
      <c r="CSH16" s="128"/>
      <c r="CSI16" s="128"/>
      <c r="CSJ16" s="128"/>
      <c r="CSK16" s="128"/>
      <c r="CSL16" s="128"/>
      <c r="CSM16" s="128"/>
      <c r="CSN16" s="128"/>
      <c r="CSO16" s="128"/>
      <c r="CSP16" s="128"/>
      <c r="CSQ16" s="128"/>
      <c r="CSR16" s="128"/>
      <c r="CSS16" s="128"/>
      <c r="CST16" s="128"/>
      <c r="CSU16" s="128"/>
      <c r="CSV16" s="128"/>
      <c r="CSW16" s="128"/>
      <c r="CSX16" s="128"/>
      <c r="CSY16" s="128"/>
      <c r="CSZ16" s="128"/>
      <c r="CTA16" s="128"/>
      <c r="CTB16" s="128"/>
      <c r="CTC16" s="128"/>
      <c r="CTD16" s="128"/>
      <c r="CTE16" s="128"/>
      <c r="CTF16" s="128"/>
      <c r="CTG16" s="128"/>
      <c r="CTH16" s="128"/>
      <c r="CTI16" s="128"/>
      <c r="CTJ16" s="128"/>
      <c r="CTK16" s="129"/>
      <c r="CTL16" s="129"/>
      <c r="CTM16" s="129"/>
      <c r="CTN16" s="129"/>
      <c r="CTO16" s="129"/>
      <c r="CTP16" s="129"/>
      <c r="CTQ16" s="129"/>
      <c r="CTR16" s="129"/>
      <c r="CTS16" s="129"/>
      <c r="CTT16" s="129"/>
      <c r="CTU16" s="129"/>
      <c r="CTV16" s="129"/>
      <c r="CTW16" s="129"/>
      <c r="CTX16" s="129"/>
      <c r="CTY16" s="129"/>
      <c r="CTZ16" s="129"/>
      <c r="CUA16" s="129"/>
      <c r="CUB16" s="129"/>
      <c r="CUC16" s="129"/>
      <c r="CUD16" s="129"/>
      <c r="CUE16" s="129"/>
      <c r="CUF16" s="128"/>
      <c r="CUG16" s="128"/>
      <c r="CUH16" s="128"/>
      <c r="CUI16" s="128"/>
      <c r="CUJ16" s="128"/>
      <c r="CUK16" s="128"/>
      <c r="CUL16" s="129"/>
      <c r="CUM16" s="129"/>
      <c r="CUN16" s="129"/>
      <c r="CUO16" s="129"/>
      <c r="CUP16" s="129"/>
      <c r="CUQ16" s="129"/>
      <c r="CUR16" s="129"/>
      <c r="CUS16" s="129"/>
      <c r="CUT16" s="129"/>
      <c r="CUU16" s="129"/>
      <c r="CUV16" s="129"/>
      <c r="CUW16" s="129"/>
      <c r="CUX16" s="129"/>
      <c r="CUY16" s="129"/>
      <c r="CUZ16" s="129"/>
      <c r="CVA16" s="129"/>
      <c r="CVB16" s="129"/>
      <c r="CVC16" s="129"/>
      <c r="CVD16" s="129"/>
      <c r="CVE16" s="129"/>
      <c r="CVF16" s="129"/>
      <c r="CVG16" s="129"/>
      <c r="CVH16" s="129"/>
      <c r="CVI16" s="129"/>
      <c r="CVJ16" s="129"/>
      <c r="CVK16" s="129"/>
      <c r="CVL16" s="129"/>
      <c r="CVM16" s="129"/>
      <c r="CVN16" s="128"/>
      <c r="CVO16" s="128"/>
      <c r="CVP16" s="128"/>
      <c r="CVQ16" s="128"/>
      <c r="CVR16" s="128"/>
      <c r="CVS16" s="128"/>
      <c r="CVT16" s="128"/>
      <c r="CVV16" s="144" t="s">
        <v>483</v>
      </c>
      <c r="CVW16" s="144"/>
      <c r="CVX16" s="144"/>
      <c r="CVY16" s="144"/>
      <c r="CVZ16" s="144"/>
      <c r="CWA16" s="144"/>
      <c r="CWB16" s="144"/>
      <c r="CWC16" s="144"/>
      <c r="CWD16" s="144"/>
      <c r="CWE16" s="144"/>
      <c r="CWF16" s="144"/>
      <c r="CWG16" s="144"/>
      <c r="CWH16" s="144"/>
      <c r="CWI16" s="144"/>
      <c r="CWJ16" s="144"/>
      <c r="CWK16" s="144"/>
      <c r="CWL16" s="144"/>
      <c r="CWM16" s="144"/>
      <c r="CWN16" s="144"/>
      <c r="CWO16" s="144"/>
      <c r="CWP16" s="144"/>
      <c r="CWQ16" s="144"/>
      <c r="CWR16" s="144"/>
      <c r="CWS16" s="144"/>
      <c r="CWT16" s="144"/>
      <c r="CWU16" s="144"/>
      <c r="CWV16" s="144"/>
      <c r="CWW16" s="144"/>
      <c r="CWX16" s="144"/>
      <c r="CWY16" s="144"/>
      <c r="CWZ16" s="144"/>
      <c r="CXA16" s="144"/>
      <c r="CXB16" s="144"/>
      <c r="CXC16" s="144"/>
      <c r="CXD16" s="144"/>
      <c r="CXE16" s="144"/>
      <c r="CXF16" s="144"/>
      <c r="CXG16" s="144"/>
      <c r="CXH16" s="144"/>
      <c r="CXI16" s="144"/>
      <c r="CXJ16" s="144"/>
      <c r="CXK16" s="144"/>
      <c r="CXL16" s="144"/>
      <c r="CXM16" s="144"/>
      <c r="CXN16" s="144"/>
      <c r="CXO16" s="144"/>
      <c r="CXP16" s="144"/>
      <c r="CXQ16" s="144"/>
      <c r="CXR16" s="144"/>
      <c r="CXS16" s="144"/>
      <c r="CXT16" s="144"/>
      <c r="CXU16" s="144"/>
      <c r="CXV16" s="144"/>
      <c r="CXW16" s="144"/>
      <c r="CXX16" s="144"/>
      <c r="CXY16" s="144"/>
      <c r="CXZ16" s="144"/>
      <c r="CYA16" s="144"/>
      <c r="CYB16" s="144"/>
      <c r="CYC16" s="144"/>
      <c r="CYD16" s="144"/>
      <c r="CYE16" s="144"/>
      <c r="CYF16" s="144"/>
      <c r="CYG16" s="144"/>
      <c r="CYH16" s="144"/>
      <c r="CYI16" s="144"/>
      <c r="CYJ16" s="144"/>
      <c r="CYK16" s="144"/>
      <c r="CYL16" s="144"/>
      <c r="CYM16" s="144"/>
      <c r="CYN16" s="144"/>
      <c r="CYO16" s="144"/>
      <c r="CYP16" s="144"/>
      <c r="CYQ16" s="144"/>
      <c r="CYR16" s="144"/>
      <c r="CYS16" s="144"/>
      <c r="CYT16" s="144"/>
      <c r="CYU16" s="144"/>
      <c r="CYV16" s="144"/>
      <c r="CYW16" s="144"/>
      <c r="CYX16" s="144"/>
      <c r="CYY16" s="144"/>
      <c r="CYZ16" s="144"/>
      <c r="CZA16" s="144"/>
      <c r="CZB16" s="144"/>
      <c r="CZC16" s="144"/>
      <c r="CZD16" s="144"/>
      <c r="CZE16" s="144"/>
      <c r="CZF16" s="144"/>
      <c r="CZG16" s="144"/>
      <c r="CZH16" s="144"/>
      <c r="CZI16" s="144"/>
      <c r="CZJ16" s="144"/>
      <c r="CZL16" s="128" t="s">
        <v>512</v>
      </c>
      <c r="CZM16" s="128"/>
      <c r="CZN16" s="128"/>
      <c r="CZO16" s="128"/>
      <c r="CZP16" s="128"/>
      <c r="CZQ16" s="128"/>
      <c r="CZR16" s="128"/>
      <c r="CZS16" s="128"/>
      <c r="CZT16" s="128"/>
      <c r="CZU16" s="128"/>
      <c r="CZV16" s="128"/>
      <c r="CZW16" s="128"/>
      <c r="CZX16" s="128"/>
      <c r="CZY16" s="128"/>
      <c r="CZZ16" s="128"/>
      <c r="DAA16" s="128"/>
      <c r="DAB16" s="128"/>
      <c r="DAC16" s="128"/>
      <c r="DAD16" s="128"/>
      <c r="DAE16" s="128"/>
      <c r="DAF16" s="128"/>
      <c r="DAG16" s="128"/>
      <c r="DAH16" s="128"/>
      <c r="DAI16" s="128"/>
      <c r="DAJ16" s="128"/>
      <c r="DAK16" s="128"/>
      <c r="DAL16" s="128"/>
      <c r="DAM16" s="128"/>
      <c r="DAN16" s="128"/>
      <c r="DAO16" s="128"/>
      <c r="DAP16" s="128"/>
      <c r="DAQ16" s="129"/>
      <c r="DAR16" s="129"/>
      <c r="DAS16" s="129"/>
      <c r="DAT16" s="129"/>
      <c r="DAU16" s="129"/>
      <c r="DAV16" s="129"/>
      <c r="DAW16" s="129"/>
      <c r="DAX16" s="129"/>
      <c r="DAY16" s="129"/>
      <c r="DAZ16" s="129"/>
      <c r="DBA16" s="129"/>
      <c r="DBB16" s="129"/>
      <c r="DBC16" s="129"/>
      <c r="DBD16" s="129"/>
      <c r="DBE16" s="129"/>
      <c r="DBF16" s="129"/>
      <c r="DBG16" s="129"/>
      <c r="DBH16" s="129"/>
      <c r="DBI16" s="129"/>
      <c r="DBJ16" s="129"/>
      <c r="DBK16" s="129"/>
      <c r="DBL16" s="128"/>
      <c r="DBM16" s="128"/>
      <c r="DBN16" s="128"/>
      <c r="DBO16" s="128"/>
      <c r="DBP16" s="128"/>
      <c r="DBQ16" s="128"/>
      <c r="DBR16" s="129"/>
      <c r="DBS16" s="129"/>
      <c r="DBT16" s="129"/>
      <c r="DBU16" s="129"/>
      <c r="DBV16" s="129"/>
      <c r="DBW16" s="129"/>
      <c r="DBX16" s="129"/>
      <c r="DBY16" s="129"/>
      <c r="DBZ16" s="129"/>
      <c r="DCA16" s="129"/>
      <c r="DCB16" s="129"/>
      <c r="DCC16" s="129"/>
      <c r="DCD16" s="129"/>
      <c r="DCE16" s="129"/>
      <c r="DCF16" s="129"/>
      <c r="DCG16" s="129"/>
      <c r="DCH16" s="129"/>
      <c r="DCI16" s="129"/>
      <c r="DCJ16" s="129"/>
      <c r="DCK16" s="129"/>
      <c r="DCL16" s="129"/>
      <c r="DCM16" s="129"/>
      <c r="DCN16" s="129"/>
      <c r="DCO16" s="129"/>
      <c r="DCP16" s="129"/>
      <c r="DCQ16" s="129"/>
      <c r="DCR16" s="129"/>
      <c r="DCS16" s="129"/>
      <c r="DCT16" s="128"/>
      <c r="DCU16" s="128"/>
      <c r="DCV16" s="128"/>
      <c r="DCW16" s="128"/>
      <c r="DCX16" s="128"/>
      <c r="DCY16" s="128"/>
      <c r="DCZ16" s="128"/>
      <c r="DDB16" s="128" t="s">
        <v>525</v>
      </c>
      <c r="DDC16" s="128"/>
      <c r="DDD16" s="128"/>
      <c r="DDE16" s="128"/>
      <c r="DDF16" s="128"/>
      <c r="DDG16" s="128"/>
      <c r="DDH16" s="128"/>
      <c r="DDI16" s="128"/>
      <c r="DDJ16" s="128"/>
      <c r="DDK16" s="128"/>
      <c r="DDL16" s="128"/>
      <c r="DDM16" s="128"/>
      <c r="DDN16" s="128"/>
      <c r="DDO16" s="128"/>
      <c r="DDP16" s="128"/>
      <c r="DDQ16" s="128"/>
      <c r="DDR16" s="128"/>
      <c r="DDS16" s="128"/>
      <c r="DDT16" s="128"/>
      <c r="DDU16" s="128"/>
      <c r="DDV16" s="128"/>
      <c r="DDW16" s="128"/>
      <c r="DDX16" s="128"/>
      <c r="DDY16" s="128"/>
      <c r="DDZ16" s="128"/>
      <c r="DEA16" s="128"/>
      <c r="DEB16" s="128"/>
      <c r="DEC16" s="128"/>
      <c r="DED16" s="128"/>
      <c r="DEE16" s="128"/>
      <c r="DEF16" s="128"/>
      <c r="DEG16" s="129"/>
      <c r="DEH16" s="129"/>
      <c r="DEI16" s="129"/>
      <c r="DEJ16" s="129"/>
      <c r="DEK16" s="129"/>
      <c r="DEL16" s="129"/>
      <c r="DEM16" s="129"/>
      <c r="DEN16" s="129"/>
      <c r="DEO16" s="129"/>
      <c r="DEP16" s="129"/>
      <c r="DEQ16" s="129"/>
      <c r="DER16" s="129"/>
      <c r="DES16" s="129"/>
      <c r="DET16" s="129"/>
      <c r="DEU16" s="129"/>
      <c r="DEV16" s="129"/>
      <c r="DEW16" s="129"/>
      <c r="DEX16" s="129"/>
      <c r="DEY16" s="129"/>
      <c r="DEZ16" s="129"/>
      <c r="DFA16" s="129"/>
      <c r="DFB16" s="128"/>
      <c r="DFC16" s="128"/>
      <c r="DFD16" s="128"/>
      <c r="DFE16" s="128"/>
      <c r="DFF16" s="128"/>
      <c r="DFG16" s="128"/>
      <c r="DFH16" s="129"/>
      <c r="DFI16" s="129"/>
      <c r="DFJ16" s="129"/>
      <c r="DFK16" s="129"/>
      <c r="DFL16" s="129"/>
      <c r="DFM16" s="129"/>
      <c r="DFN16" s="129"/>
      <c r="DFO16" s="129"/>
      <c r="DFP16" s="129"/>
      <c r="DFQ16" s="129"/>
      <c r="DFR16" s="129"/>
      <c r="DFS16" s="129"/>
      <c r="DFT16" s="129"/>
      <c r="DFU16" s="129"/>
      <c r="DFV16" s="129"/>
      <c r="DFW16" s="129"/>
      <c r="DFX16" s="129"/>
      <c r="DFY16" s="129"/>
      <c r="DFZ16" s="129"/>
      <c r="DGA16" s="129"/>
      <c r="DGB16" s="129"/>
      <c r="DGC16" s="129"/>
      <c r="DGD16" s="129"/>
      <c r="DGE16" s="129"/>
      <c r="DGF16" s="129"/>
      <c r="DGG16" s="129"/>
      <c r="DGH16" s="129"/>
      <c r="DGI16" s="129"/>
      <c r="DGJ16" s="128"/>
      <c r="DGK16" s="128"/>
      <c r="DGL16" s="128"/>
      <c r="DGM16" s="128"/>
      <c r="DGN16" s="128"/>
      <c r="DGO16" s="128"/>
      <c r="DGP16" s="128"/>
      <c r="DGR16" s="128" t="s">
        <v>565</v>
      </c>
      <c r="DGS16" s="128"/>
      <c r="DGT16" s="128"/>
      <c r="DGU16" s="128"/>
      <c r="DGV16" s="128"/>
      <c r="DGW16" s="128"/>
      <c r="DGX16" s="128"/>
      <c r="DGY16" s="128"/>
      <c r="DGZ16" s="128"/>
      <c r="DHA16" s="128"/>
      <c r="DHB16" s="128"/>
      <c r="DHC16" s="128"/>
      <c r="DHD16" s="128"/>
      <c r="DHE16" s="128"/>
      <c r="DHF16" s="128"/>
      <c r="DHG16" s="128"/>
      <c r="DHH16" s="128"/>
      <c r="DHI16" s="128"/>
      <c r="DHJ16" s="128"/>
      <c r="DHK16" s="128"/>
      <c r="DHL16" s="128"/>
      <c r="DHM16" s="128"/>
      <c r="DHN16" s="128"/>
      <c r="DHO16" s="128"/>
      <c r="DHP16" s="128"/>
      <c r="DHQ16" s="128"/>
      <c r="DHR16" s="128"/>
      <c r="DHS16" s="128"/>
      <c r="DHT16" s="128"/>
      <c r="DHU16" s="128"/>
      <c r="DHV16" s="128"/>
      <c r="DHW16" s="129"/>
      <c r="DHX16" s="129"/>
      <c r="DHY16" s="129"/>
      <c r="DHZ16" s="129"/>
      <c r="DIA16" s="129"/>
      <c r="DIB16" s="129"/>
      <c r="DIC16" s="129"/>
      <c r="DID16" s="129"/>
      <c r="DIE16" s="129"/>
      <c r="DIF16" s="129"/>
      <c r="DIG16" s="129"/>
      <c r="DIH16" s="129"/>
      <c r="DII16" s="129"/>
      <c r="DIJ16" s="129"/>
      <c r="DIK16" s="129"/>
      <c r="DIL16" s="129"/>
      <c r="DIM16" s="129"/>
      <c r="DIN16" s="129"/>
      <c r="DIO16" s="129"/>
      <c r="DIP16" s="129"/>
      <c r="DIQ16" s="129"/>
      <c r="DIR16" s="128"/>
      <c r="DIS16" s="128"/>
      <c r="DIT16" s="128"/>
      <c r="DIU16" s="128"/>
      <c r="DIV16" s="128"/>
      <c r="DIW16" s="128"/>
      <c r="DIX16" s="129"/>
      <c r="DIY16" s="129"/>
      <c r="DIZ16" s="129"/>
      <c r="DJA16" s="129"/>
      <c r="DJB16" s="129"/>
      <c r="DJC16" s="129"/>
      <c r="DJD16" s="129"/>
      <c r="DJE16" s="129"/>
      <c r="DJF16" s="129"/>
      <c r="DJG16" s="129"/>
      <c r="DJH16" s="129"/>
      <c r="DJI16" s="129"/>
      <c r="DJJ16" s="129"/>
      <c r="DJK16" s="129"/>
      <c r="DJL16" s="129"/>
      <c r="DJM16" s="129"/>
      <c r="DJN16" s="129"/>
      <c r="DJO16" s="129"/>
      <c r="DJP16" s="129"/>
      <c r="DJQ16" s="129"/>
      <c r="DJR16" s="129"/>
      <c r="DJS16" s="129"/>
      <c r="DJT16" s="129"/>
      <c r="DJU16" s="129"/>
      <c r="DJV16" s="129"/>
      <c r="DJW16" s="129"/>
      <c r="DJX16" s="129"/>
      <c r="DJY16" s="129"/>
      <c r="DJZ16" s="128"/>
      <c r="DKA16" s="128"/>
      <c r="DKB16" s="128"/>
      <c r="DKC16" s="128"/>
      <c r="DKD16" s="128"/>
      <c r="DKE16" s="128"/>
      <c r="DKF16" s="128"/>
    </row>
    <row r="17" spans="2:1022 1118:1774 2152:2996" ht="15" customHeight="1" x14ac:dyDescent="0.25">
      <c r="B17" s="188" t="s">
        <v>29</v>
      </c>
      <c r="C17" s="189"/>
      <c r="D17" s="189"/>
      <c r="E17" s="189"/>
      <c r="F17" s="189"/>
      <c r="G17" s="189"/>
      <c r="H17" s="189"/>
      <c r="I17" s="189"/>
      <c r="J17" s="189"/>
      <c r="K17" s="189"/>
      <c r="L17" s="189"/>
      <c r="M17" s="189"/>
      <c r="N17" s="189"/>
      <c r="O17" s="189"/>
      <c r="P17" s="189"/>
      <c r="Q17" s="130">
        <f>'Level-up'!E7</f>
        <v>53</v>
      </c>
      <c r="R17" s="130"/>
      <c r="S17" s="130"/>
      <c r="T17" s="130"/>
      <c r="U17" s="130"/>
      <c r="V17" s="130"/>
      <c r="W17" s="130"/>
      <c r="X17" s="130">
        <f>'Character Creation'!AJ44</f>
        <v>100</v>
      </c>
      <c r="Y17" s="130"/>
      <c r="Z17" s="130"/>
      <c r="AA17" s="130"/>
      <c r="AB17" s="130"/>
      <c r="AC17" s="130"/>
      <c r="AD17" s="130"/>
      <c r="AE17" s="130">
        <f t="shared" si="1"/>
        <v>0</v>
      </c>
      <c r="AF17" s="130"/>
      <c r="AG17" s="130"/>
      <c r="AH17" s="130"/>
      <c r="AI17" s="130"/>
      <c r="AJ17" s="130"/>
      <c r="AK17" s="130"/>
      <c r="AL17" s="130">
        <f>VLOOKUP('Character Creation'!$Z$11,RaceChart,6,FALSE)</f>
        <v>0</v>
      </c>
      <c r="AM17" s="130"/>
      <c r="AN17" s="130"/>
      <c r="AO17" s="130"/>
      <c r="AP17" s="130"/>
      <c r="AQ17" s="130"/>
      <c r="AR17" s="130"/>
      <c r="AS17" s="130">
        <v>0</v>
      </c>
      <c r="AT17" s="130"/>
      <c r="AU17" s="130"/>
      <c r="AV17" s="130"/>
      <c r="AW17" s="130"/>
      <c r="AX17" s="130"/>
      <c r="AY17" s="130"/>
      <c r="AZ17" s="210">
        <f t="shared" si="2"/>
        <v>0</v>
      </c>
      <c r="BA17" s="210"/>
      <c r="BB17" s="210"/>
      <c r="BC17" s="210"/>
      <c r="BD17" s="210"/>
      <c r="BE17" s="210"/>
      <c r="BF17" s="211"/>
      <c r="BH17" s="188" t="s">
        <v>44</v>
      </c>
      <c r="BI17" s="189"/>
      <c r="BJ17" s="189"/>
      <c r="BK17" s="189"/>
      <c r="BL17" s="189"/>
      <c r="BM17" s="189"/>
      <c r="BN17" s="189"/>
      <c r="BO17" s="189"/>
      <c r="BP17" s="189"/>
      <c r="BQ17" s="189"/>
      <c r="BR17" s="189"/>
      <c r="BS17" s="189"/>
      <c r="BT17" s="189"/>
      <c r="BU17" s="189"/>
      <c r="BV17" s="189"/>
      <c r="BW17" s="189"/>
      <c r="BX17" s="189"/>
      <c r="BY17" s="189"/>
      <c r="BZ17" s="189"/>
      <c r="CA17" s="130">
        <f>SD</f>
        <v>-2</v>
      </c>
      <c r="CB17" s="130"/>
      <c r="CC17" s="130"/>
      <c r="CD17" s="130"/>
      <c r="CE17" s="130"/>
      <c r="CF17" s="130"/>
      <c r="CG17" s="130"/>
      <c r="CH17" s="130">
        <f>VLOOKUP('Character Creation'!$Z$11,RaceChart,16,FALSE)</f>
        <v>0</v>
      </c>
      <c r="CI17" s="130"/>
      <c r="CJ17" s="130"/>
      <c r="CK17" s="130"/>
      <c r="CL17" s="130"/>
      <c r="CM17" s="130"/>
      <c r="CN17" s="130"/>
      <c r="CO17" s="130">
        <v>0</v>
      </c>
      <c r="CP17" s="130"/>
      <c r="CQ17" s="130"/>
      <c r="CR17" s="130"/>
      <c r="CS17" s="130"/>
      <c r="CT17" s="130"/>
      <c r="CU17" s="130"/>
      <c r="CV17" s="210">
        <f t="shared" si="3"/>
        <v>-2</v>
      </c>
      <c r="CW17" s="210"/>
      <c r="CX17" s="210"/>
      <c r="CY17" s="210"/>
      <c r="CZ17" s="210"/>
      <c r="DA17" s="210"/>
      <c r="DB17" s="211"/>
      <c r="FB17" s="139"/>
      <c r="FC17" s="140"/>
      <c r="FD17" s="140"/>
      <c r="FE17" s="140"/>
      <c r="FF17" s="140"/>
      <c r="FG17" s="140"/>
      <c r="FH17" s="140"/>
      <c r="FI17" s="140"/>
      <c r="FJ17" s="140"/>
      <c r="FK17" s="140"/>
      <c r="FL17" s="140"/>
      <c r="FM17" s="140"/>
      <c r="FN17" s="140"/>
      <c r="FO17" s="140"/>
      <c r="FP17" s="140"/>
      <c r="FQ17" s="140"/>
      <c r="FR17" s="140"/>
      <c r="FS17" s="140"/>
      <c r="FT17" s="140"/>
      <c r="FU17" s="140"/>
      <c r="FV17" s="140"/>
      <c r="FW17" s="140"/>
      <c r="FX17" s="140"/>
      <c r="FY17" s="140"/>
      <c r="FZ17" s="140"/>
      <c r="GA17" s="140"/>
      <c r="GB17" s="140"/>
      <c r="GC17" s="140"/>
      <c r="GD17" s="140"/>
      <c r="GE17" s="140"/>
      <c r="GF17" s="140"/>
      <c r="GG17" s="140"/>
      <c r="GH17" s="140"/>
      <c r="GI17" s="140"/>
      <c r="GJ17" s="140"/>
      <c r="GK17" s="140"/>
      <c r="GL17" s="140"/>
      <c r="GM17" s="140"/>
      <c r="GN17" s="140"/>
      <c r="GO17" s="140"/>
      <c r="GP17" s="140"/>
      <c r="GQ17" s="140"/>
      <c r="GR17" s="140"/>
      <c r="GS17" s="140"/>
      <c r="GT17" s="141">
        <v>0</v>
      </c>
      <c r="GU17" s="141"/>
      <c r="GV17" s="141"/>
      <c r="GW17" s="141"/>
      <c r="GX17" s="141"/>
      <c r="GY17" s="141"/>
      <c r="GZ17" s="141"/>
      <c r="HA17" s="141"/>
      <c r="HB17" s="142" t="str">
        <f>IFERROR(ROUND(((Calculations!BV17/185)*'Character Creation'!$Z$18)*GT17,2),"")</f>
        <v/>
      </c>
      <c r="HC17" s="142"/>
      <c r="HD17" s="142"/>
      <c r="HE17" s="142"/>
      <c r="HF17" s="142"/>
      <c r="HG17" s="142"/>
      <c r="HH17" s="142"/>
      <c r="HI17" s="142"/>
      <c r="HJ17" s="142">
        <f>IFERROR(Calculations!BS17+IQ17+IX17,"")</f>
        <v>0</v>
      </c>
      <c r="HK17" s="142"/>
      <c r="HL17" s="142"/>
      <c r="HM17" s="142"/>
      <c r="HN17" s="142"/>
      <c r="HO17" s="142"/>
      <c r="HP17" s="142"/>
      <c r="HQ17" s="142"/>
      <c r="HR17" s="142" t="str">
        <f t="shared" si="0"/>
        <v/>
      </c>
      <c r="HS17" s="142"/>
      <c r="HT17" s="142"/>
      <c r="HU17" s="142"/>
      <c r="HV17" s="142"/>
      <c r="HW17" s="142"/>
      <c r="HX17" s="142"/>
      <c r="HY17" s="142"/>
      <c r="HZ17" s="142" t="str">
        <f>IFERROR(Calculations!BX17,"")</f>
        <v/>
      </c>
      <c r="IA17" s="142"/>
      <c r="IB17" s="142"/>
      <c r="IC17" s="142"/>
      <c r="ID17" s="142"/>
      <c r="IE17" s="142"/>
      <c r="IF17" s="142"/>
      <c r="IG17" s="142"/>
      <c r="IH17" s="142"/>
      <c r="II17" s="142"/>
      <c r="IJ17" s="142" t="str">
        <f>IFERROR(Calculations!BR17+IX17,"")</f>
        <v/>
      </c>
      <c r="IK17" s="142"/>
      <c r="IL17" s="142"/>
      <c r="IM17" s="142"/>
      <c r="IN17" s="142"/>
      <c r="IO17" s="142"/>
      <c r="IP17" s="142"/>
      <c r="IQ17" s="141">
        <v>0</v>
      </c>
      <c r="IR17" s="141"/>
      <c r="IS17" s="141"/>
      <c r="IT17" s="141"/>
      <c r="IU17" s="141"/>
      <c r="IV17" s="141"/>
      <c r="IW17" s="141"/>
      <c r="IX17" s="141">
        <v>0</v>
      </c>
      <c r="IY17" s="141"/>
      <c r="IZ17" s="141"/>
      <c r="JA17" s="141"/>
      <c r="JB17" s="141"/>
      <c r="JC17" s="141"/>
      <c r="JD17" s="141"/>
      <c r="JE17" s="141"/>
      <c r="JF17" s="142"/>
      <c r="JG17" s="142"/>
      <c r="JH17" s="142"/>
      <c r="JI17" s="142"/>
      <c r="JJ17" s="142"/>
      <c r="JK17" s="143" t="str">
        <f>Calculations!AS17</f>
        <v/>
      </c>
      <c r="JL17" s="143"/>
      <c r="JM17" s="143"/>
      <c r="JN17" s="143"/>
      <c r="JO17" s="143"/>
      <c r="JP17" s="143"/>
      <c r="JQ17" s="143"/>
      <c r="JR17" s="143"/>
      <c r="JS17" s="143"/>
      <c r="JT17" s="143"/>
      <c r="JU17" s="143"/>
      <c r="JV17" s="143"/>
      <c r="JW17" s="143"/>
      <c r="JX17" s="143"/>
      <c r="JY17" s="143"/>
      <c r="JZ17" s="143"/>
      <c r="KA17" s="143"/>
      <c r="KB17" s="143"/>
      <c r="KC17" s="143" t="str">
        <f>Calculations!AW17</f>
        <v/>
      </c>
      <c r="KD17" s="143"/>
      <c r="KE17" s="143"/>
      <c r="KF17" s="143"/>
      <c r="KG17" s="143"/>
      <c r="KH17" s="143"/>
      <c r="KI17" s="143"/>
      <c r="KJ17" s="143"/>
      <c r="KK17" s="143"/>
      <c r="KL17" s="143"/>
      <c r="KM17" s="143"/>
      <c r="KN17" s="143"/>
      <c r="KO17" s="143"/>
      <c r="KP17" s="143"/>
      <c r="KQ17" s="143"/>
      <c r="KR17" s="143"/>
      <c r="KS17" s="143"/>
      <c r="KT17" s="143"/>
      <c r="KU17" s="144"/>
      <c r="KV17" s="144"/>
      <c r="KW17" s="144"/>
      <c r="KX17" s="144"/>
      <c r="KY17" s="144"/>
      <c r="KZ17" s="144"/>
      <c r="LA17" s="144"/>
      <c r="LB17" s="144"/>
      <c r="LC17" s="144"/>
      <c r="LD17" s="144"/>
      <c r="LE17" s="144"/>
      <c r="LF17" s="144"/>
      <c r="LG17" s="144"/>
      <c r="LH17" s="144"/>
      <c r="LI17" s="144"/>
      <c r="LJ17" s="144"/>
      <c r="LK17" s="144"/>
      <c r="LL17" s="144"/>
      <c r="LM17" s="144"/>
      <c r="LN17" s="144"/>
      <c r="LO17" s="144"/>
      <c r="LP17" s="144"/>
      <c r="LQ17" s="144"/>
      <c r="LR17" s="144"/>
      <c r="LS17" s="144"/>
      <c r="LT17" s="144"/>
      <c r="LU17" s="144"/>
      <c r="LV17" s="144"/>
      <c r="LW17" s="144"/>
      <c r="LX17" s="144"/>
      <c r="LY17" s="144"/>
      <c r="LZ17" s="144"/>
      <c r="MA17" s="144"/>
      <c r="MB17" s="144"/>
      <c r="MC17" s="144"/>
      <c r="MD17" s="144"/>
      <c r="ME17" s="144"/>
      <c r="MF17" s="144"/>
      <c r="MG17" s="144"/>
      <c r="MH17" s="144"/>
      <c r="MI17" s="144"/>
      <c r="MJ17" s="144"/>
      <c r="MK17" s="144"/>
      <c r="ML17" s="144"/>
      <c r="MM17" s="144"/>
      <c r="MN17" s="144"/>
      <c r="MO17" s="144"/>
      <c r="MP17" s="144"/>
      <c r="MQ17" s="144"/>
      <c r="MR17" s="144"/>
      <c r="MS17" s="144"/>
      <c r="MT17" s="144"/>
      <c r="MU17" s="144"/>
      <c r="MV17" s="144"/>
      <c r="MW17" s="144"/>
      <c r="MX17" s="144"/>
      <c r="MY17" s="144"/>
      <c r="MZ17" s="145"/>
      <c r="NB17" s="144" t="s">
        <v>154</v>
      </c>
      <c r="NC17" s="144"/>
      <c r="ND17" s="144"/>
      <c r="NE17" s="144"/>
      <c r="NF17" s="144"/>
      <c r="NG17" s="144"/>
      <c r="NH17" s="144"/>
      <c r="NI17" s="144"/>
      <c r="NJ17" s="144"/>
      <c r="NK17" s="144"/>
      <c r="NL17" s="144"/>
      <c r="NM17" s="144"/>
      <c r="NN17" s="144"/>
      <c r="NO17" s="144"/>
      <c r="NP17" s="144"/>
      <c r="NQ17" s="144"/>
      <c r="NR17" s="144"/>
      <c r="NS17" s="144"/>
      <c r="NT17" s="144"/>
      <c r="NU17" s="144"/>
      <c r="NV17" s="144"/>
      <c r="NW17" s="144"/>
      <c r="NX17" s="144"/>
      <c r="NY17" s="144"/>
      <c r="NZ17" s="144"/>
      <c r="OA17" s="144"/>
      <c r="OB17" s="144"/>
      <c r="OC17" s="144"/>
      <c r="OD17" s="144"/>
      <c r="OE17" s="144"/>
      <c r="OF17" s="144"/>
      <c r="OG17" s="144"/>
      <c r="OH17" s="144"/>
      <c r="OI17" s="144"/>
      <c r="OJ17" s="144"/>
      <c r="OK17" s="144"/>
      <c r="OL17" s="144"/>
      <c r="OM17" s="144"/>
      <c r="ON17" s="144"/>
      <c r="OO17" s="144"/>
      <c r="OP17" s="144"/>
      <c r="OQ17" s="144"/>
      <c r="OR17" s="144"/>
      <c r="OS17" s="144"/>
      <c r="OT17" s="144"/>
      <c r="OU17" s="144"/>
      <c r="OV17" s="144"/>
      <c r="OW17" s="144"/>
      <c r="OX17" s="144"/>
      <c r="OY17" s="144"/>
      <c r="OZ17" s="144"/>
      <c r="PA17" s="144"/>
      <c r="PB17" s="144"/>
      <c r="PC17" s="144"/>
      <c r="PD17" s="144"/>
      <c r="PE17" s="144"/>
      <c r="PF17" s="144"/>
      <c r="PG17" s="144"/>
      <c r="PH17" s="144"/>
      <c r="PI17" s="144"/>
      <c r="PJ17" s="144"/>
      <c r="PK17" s="144"/>
      <c r="PL17" s="144"/>
      <c r="PM17" s="144"/>
      <c r="PN17" s="144"/>
      <c r="PO17" s="144"/>
      <c r="PP17" s="144"/>
      <c r="PQ17" s="144"/>
      <c r="PR17" s="144"/>
      <c r="PS17" s="144"/>
      <c r="PT17" s="144"/>
      <c r="PU17" s="144"/>
      <c r="PV17" s="144"/>
      <c r="PW17" s="144"/>
      <c r="PX17" s="144"/>
      <c r="PY17" s="144"/>
      <c r="PZ17" s="144"/>
      <c r="QA17" s="144"/>
      <c r="QB17" s="144"/>
      <c r="QC17" s="144"/>
      <c r="QD17" s="144"/>
      <c r="QE17" s="144"/>
      <c r="QF17" s="144"/>
      <c r="QG17" s="144"/>
      <c r="QH17" s="144"/>
      <c r="QI17" s="144"/>
      <c r="QJ17" s="144"/>
      <c r="QK17" s="144"/>
      <c r="QL17" s="144"/>
      <c r="QM17" s="144"/>
      <c r="QN17" s="144"/>
      <c r="QO17" s="144"/>
      <c r="QP17" s="144"/>
      <c r="AIT17" s="144" t="s">
        <v>201</v>
      </c>
      <c r="AIU17" s="144"/>
      <c r="AIV17" s="144"/>
      <c r="AIW17" s="144"/>
      <c r="AIX17" s="144"/>
      <c r="AIY17" s="144"/>
      <c r="AIZ17" s="144"/>
      <c r="AJA17" s="144"/>
      <c r="AJB17" s="144"/>
      <c r="AJC17" s="144"/>
      <c r="AJD17" s="144"/>
      <c r="AJE17" s="144"/>
      <c r="AJF17" s="144"/>
      <c r="AJG17" s="144"/>
      <c r="AJH17" s="144"/>
      <c r="AJI17" s="144"/>
      <c r="AJJ17" s="144"/>
      <c r="AJK17" s="144"/>
      <c r="AJL17" s="144"/>
      <c r="AJM17" s="144"/>
      <c r="AJN17" s="144"/>
      <c r="AJO17" s="144"/>
      <c r="AJP17" s="144"/>
      <c r="AJQ17" s="144"/>
      <c r="AJR17" s="144"/>
      <c r="AJS17" s="144"/>
      <c r="AJT17" s="144"/>
      <c r="AJU17" s="144"/>
      <c r="AJV17" s="144"/>
      <c r="AJW17" s="144"/>
      <c r="AJX17" s="144"/>
      <c r="AJY17" s="144"/>
      <c r="AJZ17" s="144"/>
      <c r="AKA17" s="144"/>
      <c r="AKB17" s="144"/>
      <c r="AKC17" s="144"/>
      <c r="AKD17" s="144"/>
      <c r="AKE17" s="144"/>
      <c r="AKF17" s="144"/>
      <c r="AKG17" s="144"/>
      <c r="AKH17" s="144"/>
      <c r="AKI17" s="144"/>
      <c r="AKJ17" s="144"/>
      <c r="AKK17" s="144"/>
      <c r="AKL17" s="144"/>
      <c r="AKM17" s="144"/>
      <c r="AKN17" s="144"/>
      <c r="AKO17" s="144"/>
      <c r="AKP17" s="144"/>
      <c r="AKQ17" s="144"/>
      <c r="AKR17" s="144"/>
      <c r="AKS17" s="144"/>
      <c r="AKT17" s="144"/>
      <c r="AKU17" s="144"/>
      <c r="AKV17" s="144"/>
      <c r="AKW17" s="144"/>
      <c r="AKX17" s="144"/>
      <c r="AKY17" s="144"/>
      <c r="AKZ17" s="144"/>
      <c r="ALA17" s="144"/>
      <c r="ALB17" s="144"/>
      <c r="ALC17" s="144"/>
      <c r="ALD17" s="144"/>
      <c r="ALE17" s="144"/>
      <c r="ALF17" s="144"/>
      <c r="ALG17" s="144"/>
      <c r="ALH17" s="144"/>
      <c r="ALI17" s="144"/>
      <c r="ALJ17" s="144"/>
      <c r="ALK17" s="144"/>
      <c r="ALL17" s="144"/>
      <c r="ALM17" s="144"/>
      <c r="ALN17" s="144"/>
      <c r="ALO17" s="144"/>
      <c r="ALP17" s="144"/>
      <c r="ALQ17" s="144"/>
      <c r="ALR17" s="144"/>
      <c r="ALS17" s="144"/>
      <c r="ALT17" s="144"/>
      <c r="ALU17" s="144"/>
      <c r="ALV17" s="144"/>
      <c r="ALW17" s="144"/>
      <c r="ALX17" s="144"/>
      <c r="ALY17" s="144"/>
      <c r="ALZ17" s="144"/>
      <c r="AMA17" s="144"/>
      <c r="AMB17" s="144"/>
      <c r="AMC17" s="144"/>
      <c r="AMD17" s="144"/>
      <c r="AME17" s="144"/>
      <c r="AMF17" s="144"/>
      <c r="AMG17" s="144"/>
      <c r="AMH17" s="144"/>
      <c r="APZ17" s="128" t="s">
        <v>591</v>
      </c>
      <c r="AQA17" s="128"/>
      <c r="AQB17" s="128"/>
      <c r="AQC17" s="128"/>
      <c r="AQD17" s="128"/>
      <c r="AQE17" s="128"/>
      <c r="AQF17" s="128"/>
      <c r="AQG17" s="128"/>
      <c r="AQH17" s="128"/>
      <c r="AQI17" s="128"/>
      <c r="AQJ17" s="128"/>
      <c r="AQK17" s="128"/>
      <c r="AQL17" s="128"/>
      <c r="AQM17" s="128"/>
      <c r="AQN17" s="128"/>
      <c r="AQO17" s="128"/>
      <c r="AQP17" s="128"/>
      <c r="AQQ17" s="128"/>
      <c r="AQR17" s="128"/>
      <c r="AQS17" s="128"/>
      <c r="AQT17" s="128"/>
      <c r="AQU17" s="128"/>
      <c r="AQV17" s="128"/>
      <c r="AQW17" s="128"/>
      <c r="AQX17" s="128"/>
      <c r="AQY17" s="128"/>
      <c r="AQZ17" s="128"/>
      <c r="ARA17" s="128"/>
      <c r="ARB17" s="128"/>
      <c r="ARC17" s="128"/>
      <c r="ARD17" s="128"/>
      <c r="ARE17" s="129"/>
      <c r="ARF17" s="129"/>
      <c r="ARG17" s="129"/>
      <c r="ARH17" s="129"/>
      <c r="ARI17" s="129"/>
      <c r="ARJ17" s="129"/>
      <c r="ARK17" s="129"/>
      <c r="ARL17" s="129"/>
      <c r="ARM17" s="129"/>
      <c r="ARN17" s="129"/>
      <c r="ARO17" s="129"/>
      <c r="ARP17" s="129"/>
      <c r="ARQ17" s="129"/>
      <c r="ARR17" s="129"/>
      <c r="ARS17" s="129"/>
      <c r="ART17" s="129"/>
      <c r="ARU17" s="129"/>
      <c r="ARV17" s="129"/>
      <c r="ARW17" s="129"/>
      <c r="ARX17" s="129"/>
      <c r="ARY17" s="129"/>
      <c r="ARZ17" s="128"/>
      <c r="ASA17" s="128"/>
      <c r="ASB17" s="128"/>
      <c r="ASC17" s="128"/>
      <c r="ASD17" s="128"/>
      <c r="ASE17" s="128"/>
      <c r="ASF17" s="129"/>
      <c r="ASG17" s="129"/>
      <c r="ASH17" s="129"/>
      <c r="ASI17" s="129"/>
      <c r="ASJ17" s="129"/>
      <c r="ASK17" s="129"/>
      <c r="ASL17" s="129"/>
      <c r="ASM17" s="129"/>
      <c r="ASN17" s="129"/>
      <c r="ASO17" s="129"/>
      <c r="ASP17" s="129"/>
      <c r="ASQ17" s="129"/>
      <c r="ASR17" s="129"/>
      <c r="ASS17" s="129"/>
      <c r="AST17" s="129"/>
      <c r="ASU17" s="129"/>
      <c r="ASV17" s="129"/>
      <c r="ASW17" s="129"/>
      <c r="ASX17" s="129"/>
      <c r="ASY17" s="129"/>
      <c r="ASZ17" s="129"/>
      <c r="ATA17" s="129"/>
      <c r="ATB17" s="129"/>
      <c r="ATC17" s="129"/>
      <c r="ATD17" s="129"/>
      <c r="ATE17" s="129"/>
      <c r="ATF17" s="129"/>
      <c r="ATG17" s="129"/>
      <c r="ATH17" s="128"/>
      <c r="ATI17" s="128"/>
      <c r="ATJ17" s="128"/>
      <c r="ATK17" s="128"/>
      <c r="ATL17" s="128"/>
      <c r="ATM17" s="128"/>
      <c r="ATN17" s="128"/>
      <c r="AXF17" s="128" t="s">
        <v>272</v>
      </c>
      <c r="AXG17" s="128"/>
      <c r="AXH17" s="128"/>
      <c r="AXI17" s="128"/>
      <c r="AXJ17" s="128"/>
      <c r="AXK17" s="128"/>
      <c r="AXL17" s="128"/>
      <c r="AXM17" s="128"/>
      <c r="AXN17" s="128"/>
      <c r="AXO17" s="128"/>
      <c r="AXP17" s="128"/>
      <c r="AXQ17" s="128"/>
      <c r="AXR17" s="128"/>
      <c r="AXS17" s="128"/>
      <c r="AXT17" s="128"/>
      <c r="AXU17" s="128"/>
      <c r="AXV17" s="128"/>
      <c r="AXW17" s="128"/>
      <c r="AXX17" s="128"/>
      <c r="AXY17" s="128"/>
      <c r="AXZ17" s="128"/>
      <c r="AYA17" s="128"/>
      <c r="AYB17" s="128"/>
      <c r="AYC17" s="128"/>
      <c r="AYD17" s="128"/>
      <c r="AYE17" s="128"/>
      <c r="AYF17" s="128"/>
      <c r="AYG17" s="128"/>
      <c r="AYH17" s="128"/>
      <c r="AYI17" s="128"/>
      <c r="AYJ17" s="128"/>
      <c r="AYK17" s="129"/>
      <c r="AYL17" s="129"/>
      <c r="AYM17" s="129"/>
      <c r="AYN17" s="129"/>
      <c r="AYO17" s="129"/>
      <c r="AYP17" s="129"/>
      <c r="AYQ17" s="129"/>
      <c r="AYR17" s="129"/>
      <c r="AYS17" s="129"/>
      <c r="AYT17" s="129"/>
      <c r="AYU17" s="129"/>
      <c r="AYV17" s="129"/>
      <c r="AYW17" s="129"/>
      <c r="AYX17" s="129"/>
      <c r="AYY17" s="129"/>
      <c r="AYZ17" s="129"/>
      <c r="AZA17" s="129"/>
      <c r="AZB17" s="129"/>
      <c r="AZC17" s="129"/>
      <c r="AZD17" s="129"/>
      <c r="AZE17" s="129"/>
      <c r="AZF17" s="128"/>
      <c r="AZG17" s="128"/>
      <c r="AZH17" s="128"/>
      <c r="AZI17" s="128"/>
      <c r="AZJ17" s="128"/>
      <c r="AZK17" s="128"/>
      <c r="AZL17" s="129"/>
      <c r="AZM17" s="129"/>
      <c r="AZN17" s="129"/>
      <c r="AZO17" s="129"/>
      <c r="AZP17" s="129"/>
      <c r="AZQ17" s="129"/>
      <c r="AZR17" s="129"/>
      <c r="AZS17" s="129"/>
      <c r="AZT17" s="129"/>
      <c r="AZU17" s="129"/>
      <c r="AZV17" s="129"/>
      <c r="AZW17" s="129"/>
      <c r="AZX17" s="129"/>
      <c r="AZY17" s="129"/>
      <c r="AZZ17" s="129"/>
      <c r="BAA17" s="129"/>
      <c r="BAB17" s="129"/>
      <c r="BAC17" s="129"/>
      <c r="BAD17" s="129"/>
      <c r="BAE17" s="129"/>
      <c r="BAF17" s="129"/>
      <c r="BAG17" s="129"/>
      <c r="BAH17" s="129"/>
      <c r="BAI17" s="129"/>
      <c r="BAJ17" s="129"/>
      <c r="BAK17" s="129"/>
      <c r="BAL17" s="129"/>
      <c r="BAM17" s="129"/>
      <c r="BAN17" s="128"/>
      <c r="BAO17" s="128"/>
      <c r="BAP17" s="128"/>
      <c r="BAQ17" s="128"/>
      <c r="BAR17" s="128"/>
      <c r="BAS17" s="128"/>
      <c r="BAT17" s="128"/>
      <c r="BAV17" s="128" t="s">
        <v>291</v>
      </c>
      <c r="BAW17" s="128"/>
      <c r="BAX17" s="128"/>
      <c r="BAY17" s="128"/>
      <c r="BAZ17" s="128"/>
      <c r="BBA17" s="128"/>
      <c r="BBB17" s="128"/>
      <c r="BBC17" s="128"/>
      <c r="BBD17" s="128"/>
      <c r="BBE17" s="128"/>
      <c r="BBF17" s="128"/>
      <c r="BBG17" s="128"/>
      <c r="BBH17" s="128"/>
      <c r="BBI17" s="128"/>
      <c r="BBJ17" s="128"/>
      <c r="BBK17" s="128"/>
      <c r="BBL17" s="128"/>
      <c r="BBM17" s="128"/>
      <c r="BBN17" s="128"/>
      <c r="BBO17" s="128"/>
      <c r="BBP17" s="128"/>
      <c r="BBQ17" s="128"/>
      <c r="BBR17" s="128"/>
      <c r="BBS17" s="128"/>
      <c r="BBT17" s="128"/>
      <c r="BBU17" s="128"/>
      <c r="BBV17" s="128"/>
      <c r="BBW17" s="128"/>
      <c r="BBX17" s="128"/>
      <c r="BBY17" s="128"/>
      <c r="BBZ17" s="128"/>
      <c r="BCA17" s="129"/>
      <c r="BCB17" s="129"/>
      <c r="BCC17" s="129"/>
      <c r="BCD17" s="129"/>
      <c r="BCE17" s="129"/>
      <c r="BCF17" s="129"/>
      <c r="BCG17" s="129"/>
      <c r="BCH17" s="129"/>
      <c r="BCI17" s="129"/>
      <c r="BCJ17" s="129"/>
      <c r="BCK17" s="129"/>
      <c r="BCL17" s="129"/>
      <c r="BCM17" s="129"/>
      <c r="BCN17" s="129"/>
      <c r="BCO17" s="129"/>
      <c r="BCP17" s="129"/>
      <c r="BCQ17" s="129"/>
      <c r="BCR17" s="129"/>
      <c r="BCS17" s="129"/>
      <c r="BCT17" s="129"/>
      <c r="BCU17" s="129"/>
      <c r="BCV17" s="128"/>
      <c r="BCW17" s="128"/>
      <c r="BCX17" s="128"/>
      <c r="BCY17" s="128"/>
      <c r="BCZ17" s="128"/>
      <c r="BDA17" s="128"/>
      <c r="BDB17" s="129"/>
      <c r="BDC17" s="129"/>
      <c r="BDD17" s="129"/>
      <c r="BDE17" s="129"/>
      <c r="BDF17" s="129"/>
      <c r="BDG17" s="129"/>
      <c r="BDH17" s="129"/>
      <c r="BDI17" s="129"/>
      <c r="BDJ17" s="129"/>
      <c r="BDK17" s="129"/>
      <c r="BDL17" s="129"/>
      <c r="BDM17" s="129"/>
      <c r="BDN17" s="129"/>
      <c r="BDO17" s="129"/>
      <c r="BDP17" s="129"/>
      <c r="BDQ17" s="129"/>
      <c r="BDR17" s="129"/>
      <c r="BDS17" s="129"/>
      <c r="BDT17" s="129"/>
      <c r="BDU17" s="129"/>
      <c r="BDV17" s="129"/>
      <c r="BDW17" s="129"/>
      <c r="BDX17" s="129"/>
      <c r="BDY17" s="129"/>
      <c r="BDZ17" s="129"/>
      <c r="BEA17" s="129"/>
      <c r="BEB17" s="129"/>
      <c r="BEC17" s="129"/>
      <c r="BED17" s="128"/>
      <c r="BEE17" s="128"/>
      <c r="BEF17" s="128"/>
      <c r="BEG17" s="128"/>
      <c r="BEH17" s="128"/>
      <c r="BEI17" s="128"/>
      <c r="BEJ17" s="128"/>
      <c r="BLR17" s="128" t="s">
        <v>330</v>
      </c>
      <c r="BLS17" s="128"/>
      <c r="BLT17" s="128"/>
      <c r="BLU17" s="128"/>
      <c r="BLV17" s="128"/>
      <c r="BLW17" s="128"/>
      <c r="BLX17" s="128"/>
      <c r="BLY17" s="128"/>
      <c r="BLZ17" s="128"/>
      <c r="BMA17" s="128"/>
      <c r="BMB17" s="128"/>
      <c r="BMC17" s="128"/>
      <c r="BMD17" s="128"/>
      <c r="BME17" s="128"/>
      <c r="BMF17" s="128"/>
      <c r="BMG17" s="128"/>
      <c r="BMH17" s="128"/>
      <c r="BMI17" s="128"/>
      <c r="BMJ17" s="128"/>
      <c r="BMK17" s="128"/>
      <c r="BML17" s="128"/>
      <c r="BMM17" s="128"/>
      <c r="BMN17" s="128"/>
      <c r="BMO17" s="128"/>
      <c r="BMP17" s="128"/>
      <c r="BMQ17" s="128"/>
      <c r="BMR17" s="128"/>
      <c r="BMS17" s="128"/>
      <c r="BMT17" s="128"/>
      <c r="BMU17" s="128"/>
      <c r="BMV17" s="128"/>
      <c r="BMW17" s="129"/>
      <c r="BMX17" s="129"/>
      <c r="BMY17" s="129"/>
      <c r="BMZ17" s="129"/>
      <c r="BNA17" s="129"/>
      <c r="BNB17" s="129"/>
      <c r="BNC17" s="129"/>
      <c r="BND17" s="129"/>
      <c r="BNE17" s="129"/>
      <c r="BNF17" s="129"/>
      <c r="BNG17" s="129"/>
      <c r="BNH17" s="129"/>
      <c r="BNI17" s="129"/>
      <c r="BNJ17" s="129"/>
      <c r="BNK17" s="129"/>
      <c r="BNL17" s="129"/>
      <c r="BNM17" s="129"/>
      <c r="BNN17" s="129"/>
      <c r="BNO17" s="129"/>
      <c r="BNP17" s="129"/>
      <c r="BNQ17" s="129"/>
      <c r="BNR17" s="128"/>
      <c r="BNS17" s="128"/>
      <c r="BNT17" s="128"/>
      <c r="BNU17" s="128"/>
      <c r="BNV17" s="128"/>
      <c r="BNW17" s="128"/>
      <c r="BNX17" s="129"/>
      <c r="BNY17" s="129"/>
      <c r="BNZ17" s="129"/>
      <c r="BOA17" s="129"/>
      <c r="BOB17" s="129"/>
      <c r="BOC17" s="129"/>
      <c r="BOD17" s="129"/>
      <c r="BOE17" s="129"/>
      <c r="BOF17" s="129"/>
      <c r="BOG17" s="129"/>
      <c r="BOH17" s="129"/>
      <c r="BOI17" s="129"/>
      <c r="BOJ17" s="129"/>
      <c r="BOK17" s="129"/>
      <c r="BOL17" s="129"/>
      <c r="BOM17" s="129"/>
      <c r="BON17" s="129"/>
      <c r="BOO17" s="129"/>
      <c r="BOP17" s="129"/>
      <c r="BOQ17" s="129"/>
      <c r="BOR17" s="129"/>
      <c r="BOS17" s="129"/>
      <c r="BOT17" s="129"/>
      <c r="BOU17" s="129"/>
      <c r="BOV17" s="129"/>
      <c r="BOW17" s="129"/>
      <c r="BOX17" s="129"/>
      <c r="BOY17" s="129"/>
      <c r="BOZ17" s="128"/>
      <c r="BPA17" s="128"/>
      <c r="BPB17" s="128"/>
      <c r="BPC17" s="128"/>
      <c r="BPD17" s="128"/>
      <c r="BPE17" s="128"/>
      <c r="BPF17" s="128"/>
      <c r="CDT17" s="144" t="s">
        <v>147</v>
      </c>
      <c r="CDU17" s="144"/>
      <c r="CDV17" s="144"/>
      <c r="CDW17" s="144"/>
      <c r="CDX17" s="144"/>
      <c r="CDY17" s="144"/>
      <c r="CDZ17" s="144"/>
      <c r="CEA17" s="144"/>
      <c r="CEB17" s="144"/>
      <c r="CEC17" s="144"/>
      <c r="CED17" s="144"/>
      <c r="CEE17" s="144"/>
      <c r="CEF17" s="144"/>
      <c r="CEG17" s="144"/>
      <c r="CEH17" s="144"/>
      <c r="CEI17" s="144"/>
      <c r="CEJ17" s="144"/>
      <c r="CEK17" s="144"/>
      <c r="CEL17" s="144"/>
      <c r="CEM17" s="144"/>
      <c r="CEN17" s="144"/>
      <c r="CEO17" s="144"/>
      <c r="CEP17" s="144"/>
      <c r="CEQ17" s="144"/>
      <c r="CER17" s="144"/>
      <c r="CES17" s="144"/>
      <c r="CET17" s="144"/>
      <c r="CEU17" s="144"/>
      <c r="CEV17" s="144"/>
      <c r="CEW17" s="144"/>
      <c r="CEX17" s="144"/>
      <c r="CEY17" s="129" t="s">
        <v>133</v>
      </c>
      <c r="CEZ17" s="129"/>
      <c r="CFA17" s="129"/>
      <c r="CFB17" s="129"/>
      <c r="CFC17" s="129" t="s">
        <v>148</v>
      </c>
      <c r="CFD17" s="129"/>
      <c r="CFE17" s="129"/>
      <c r="CFF17" s="129"/>
      <c r="CFG17" s="129"/>
      <c r="CFH17" s="129" t="s">
        <v>83</v>
      </c>
      <c r="CFI17" s="129"/>
      <c r="CFJ17" s="129"/>
      <c r="CFK17" s="129"/>
      <c r="CFL17" s="129"/>
      <c r="CFM17" s="129"/>
      <c r="CFN17" s="129" t="s">
        <v>37</v>
      </c>
      <c r="CFO17" s="129"/>
      <c r="CFP17" s="129"/>
      <c r="CFQ17" s="129"/>
      <c r="CFR17" s="129"/>
      <c r="CFS17" s="129"/>
      <c r="CFT17" s="129" t="s">
        <v>49</v>
      </c>
      <c r="CFU17" s="129"/>
      <c r="CFV17" s="129"/>
      <c r="CFW17" s="129"/>
      <c r="CFX17" s="129"/>
      <c r="CFY17" s="129"/>
      <c r="CFZ17" s="129" t="s">
        <v>149</v>
      </c>
      <c r="CGA17" s="129"/>
      <c r="CGB17" s="129"/>
      <c r="CGC17" s="129"/>
      <c r="CGD17" s="129"/>
      <c r="CGE17" s="129"/>
      <c r="CGF17" s="129"/>
      <c r="CGG17" s="129" t="s">
        <v>150</v>
      </c>
      <c r="CGH17" s="129"/>
      <c r="CGI17" s="129"/>
      <c r="CGJ17" s="129"/>
      <c r="CGK17" s="129"/>
      <c r="CGL17" s="129"/>
      <c r="CGM17" s="129"/>
      <c r="CGN17" s="129" t="s">
        <v>151</v>
      </c>
      <c r="CGO17" s="129"/>
      <c r="CGP17" s="129"/>
      <c r="CGQ17" s="129"/>
      <c r="CGR17" s="129"/>
      <c r="CGS17" s="129"/>
      <c r="CGT17" s="129"/>
      <c r="CGU17" s="129" t="s">
        <v>37</v>
      </c>
      <c r="CGV17" s="129"/>
      <c r="CGW17" s="129"/>
      <c r="CGX17" s="129"/>
      <c r="CGY17" s="129"/>
      <c r="CGZ17" s="129"/>
      <c r="CHA17" s="129"/>
      <c r="CHB17" s="129" t="s">
        <v>40</v>
      </c>
      <c r="CHC17" s="129"/>
      <c r="CHD17" s="129"/>
      <c r="CHE17" s="129"/>
      <c r="CHF17" s="129"/>
      <c r="CHG17" s="129"/>
      <c r="CHH17" s="129"/>
      <c r="CHJ17" s="128" t="s">
        <v>3484</v>
      </c>
      <c r="CHK17" s="128"/>
      <c r="CHL17" s="128"/>
      <c r="CHM17" s="128"/>
      <c r="CHN17" s="128"/>
      <c r="CHO17" s="128"/>
      <c r="CHP17" s="128"/>
      <c r="CHQ17" s="128"/>
      <c r="CHR17" s="128"/>
      <c r="CHS17" s="128"/>
      <c r="CHT17" s="128"/>
      <c r="CHU17" s="128"/>
      <c r="CHV17" s="128"/>
      <c r="CHW17" s="128"/>
      <c r="CHX17" s="128"/>
      <c r="CHY17" s="128"/>
      <c r="CHZ17" s="128"/>
      <c r="CIA17" s="128"/>
      <c r="CIB17" s="128"/>
      <c r="CIC17" s="128"/>
      <c r="CID17" s="128"/>
      <c r="CIE17" s="128"/>
      <c r="CIF17" s="128"/>
      <c r="CIG17" s="128"/>
      <c r="CIH17" s="128"/>
      <c r="CII17" s="128"/>
      <c r="CIJ17" s="128"/>
      <c r="CIK17" s="128"/>
      <c r="CIL17" s="128"/>
      <c r="CIM17" s="128"/>
      <c r="CIN17" s="128"/>
      <c r="CIO17" s="129"/>
      <c r="CIP17" s="129"/>
      <c r="CIQ17" s="129"/>
      <c r="CIR17" s="129"/>
      <c r="CIS17" s="129"/>
      <c r="CIT17" s="129"/>
      <c r="CIU17" s="129"/>
      <c r="CIV17" s="129"/>
      <c r="CIW17" s="129"/>
      <c r="CIX17" s="129"/>
      <c r="CIY17" s="129"/>
      <c r="CIZ17" s="129"/>
      <c r="CJA17" s="129"/>
      <c r="CJB17" s="129"/>
      <c r="CJC17" s="129"/>
      <c r="CJD17" s="129"/>
      <c r="CJE17" s="129"/>
      <c r="CJF17" s="129"/>
      <c r="CJG17" s="129"/>
      <c r="CJH17" s="129"/>
      <c r="CJI17" s="129"/>
      <c r="CJJ17" s="128"/>
      <c r="CJK17" s="128"/>
      <c r="CJL17" s="128"/>
      <c r="CJM17" s="128"/>
      <c r="CJN17" s="128"/>
      <c r="CJO17" s="128"/>
      <c r="CJP17" s="129"/>
      <c r="CJQ17" s="129"/>
      <c r="CJR17" s="129"/>
      <c r="CJS17" s="129"/>
      <c r="CJT17" s="129"/>
      <c r="CJU17" s="129"/>
      <c r="CJV17" s="129"/>
      <c r="CJW17" s="129"/>
      <c r="CJX17" s="129"/>
      <c r="CJY17" s="129"/>
      <c r="CJZ17" s="129"/>
      <c r="CKA17" s="129"/>
      <c r="CKB17" s="129"/>
      <c r="CKC17" s="129"/>
      <c r="CKD17" s="129"/>
      <c r="CKE17" s="129"/>
      <c r="CKF17" s="129"/>
      <c r="CKG17" s="129"/>
      <c r="CKH17" s="129"/>
      <c r="CKI17" s="129"/>
      <c r="CKJ17" s="129"/>
      <c r="CKK17" s="129"/>
      <c r="CKL17" s="129"/>
      <c r="CKM17" s="129"/>
      <c r="CKN17" s="129"/>
      <c r="CKO17" s="129"/>
      <c r="CKP17" s="129"/>
      <c r="CKQ17" s="129"/>
      <c r="CKR17" s="128"/>
      <c r="CKS17" s="128"/>
      <c r="CKT17" s="128"/>
      <c r="CKU17" s="128"/>
      <c r="CKV17" s="128"/>
      <c r="CKW17" s="128"/>
      <c r="CKX17" s="128"/>
      <c r="COP17" s="128" t="str">
        <f ca="1">VLOOKUP(4,INDIRECT("Open"&amp;'Character Creation'!$Z$14),2,FALSE)</f>
        <v>Essence's Hand</v>
      </c>
      <c r="COQ17" s="128"/>
      <c r="COR17" s="128"/>
      <c r="COS17" s="128"/>
      <c r="COT17" s="128"/>
      <c r="COU17" s="128"/>
      <c r="COV17" s="128"/>
      <c r="COW17" s="128"/>
      <c r="COX17" s="128"/>
      <c r="COY17" s="128"/>
      <c r="COZ17" s="128"/>
      <c r="CPA17" s="128"/>
      <c r="CPB17" s="128"/>
      <c r="CPC17" s="128"/>
      <c r="CPD17" s="128"/>
      <c r="CPE17" s="128"/>
      <c r="CPF17" s="128"/>
      <c r="CPG17" s="128"/>
      <c r="CPH17" s="128"/>
      <c r="CPI17" s="128"/>
      <c r="CPJ17" s="128"/>
      <c r="CPK17" s="128"/>
      <c r="CPL17" s="128"/>
      <c r="CPM17" s="128"/>
      <c r="CPN17" s="128"/>
      <c r="CPO17" s="128"/>
      <c r="CPP17" s="128"/>
      <c r="CPQ17" s="128"/>
      <c r="CPR17" s="128"/>
      <c r="CPS17" s="128"/>
      <c r="CPT17" s="128"/>
      <c r="CPU17" s="129"/>
      <c r="CPV17" s="129"/>
      <c r="CPW17" s="129"/>
      <c r="CPX17" s="129"/>
      <c r="CPY17" s="129"/>
      <c r="CPZ17" s="129"/>
      <c r="CQA17" s="129"/>
      <c r="CQB17" s="129"/>
      <c r="CQC17" s="129"/>
      <c r="CQD17" s="129"/>
      <c r="CQE17" s="129"/>
      <c r="CQF17" s="129"/>
      <c r="CQG17" s="129"/>
      <c r="CQH17" s="129"/>
      <c r="CQI17" s="129"/>
      <c r="CQJ17" s="129"/>
      <c r="CQK17" s="129"/>
      <c r="CQL17" s="129"/>
      <c r="CQM17" s="129"/>
      <c r="CQN17" s="129"/>
      <c r="CQO17" s="129"/>
      <c r="CQP17" s="128"/>
      <c r="CQQ17" s="128"/>
      <c r="CQR17" s="128"/>
      <c r="CQS17" s="128"/>
      <c r="CQT17" s="128"/>
      <c r="CQU17" s="128"/>
      <c r="CQV17" s="129"/>
      <c r="CQW17" s="129"/>
      <c r="CQX17" s="129"/>
      <c r="CQY17" s="129"/>
      <c r="CQZ17" s="129"/>
      <c r="CRA17" s="129"/>
      <c r="CRB17" s="129"/>
      <c r="CRC17" s="129"/>
      <c r="CRD17" s="129"/>
      <c r="CRE17" s="129"/>
      <c r="CRF17" s="129"/>
      <c r="CRG17" s="129"/>
      <c r="CRH17" s="129"/>
      <c r="CRI17" s="129"/>
      <c r="CRJ17" s="129"/>
      <c r="CRK17" s="129"/>
      <c r="CRL17" s="129"/>
      <c r="CRM17" s="129"/>
      <c r="CRN17" s="129"/>
      <c r="CRO17" s="129"/>
      <c r="CRP17" s="129"/>
      <c r="CRQ17" s="129"/>
      <c r="CRR17" s="129"/>
      <c r="CRS17" s="129"/>
      <c r="CRT17" s="129"/>
      <c r="CRU17" s="129"/>
      <c r="CRV17" s="129"/>
      <c r="CRW17" s="129"/>
      <c r="CRX17" s="128"/>
      <c r="CRY17" s="128"/>
      <c r="CRZ17" s="128"/>
      <c r="CSA17" s="128"/>
      <c r="CSB17" s="128"/>
      <c r="CSC17" s="128"/>
      <c r="CSD17" s="128"/>
      <c r="CSF17" s="128" t="s">
        <v>442</v>
      </c>
      <c r="CSG17" s="128"/>
      <c r="CSH17" s="128"/>
      <c r="CSI17" s="128"/>
      <c r="CSJ17" s="128"/>
      <c r="CSK17" s="128"/>
      <c r="CSL17" s="128"/>
      <c r="CSM17" s="128"/>
      <c r="CSN17" s="128"/>
      <c r="CSO17" s="128"/>
      <c r="CSP17" s="128"/>
      <c r="CSQ17" s="128"/>
      <c r="CSR17" s="128"/>
      <c r="CSS17" s="128"/>
      <c r="CST17" s="128"/>
      <c r="CSU17" s="128"/>
      <c r="CSV17" s="128"/>
      <c r="CSW17" s="128"/>
      <c r="CSX17" s="128"/>
      <c r="CSY17" s="128"/>
      <c r="CSZ17" s="128"/>
      <c r="CTA17" s="128"/>
      <c r="CTB17" s="128"/>
      <c r="CTC17" s="128"/>
      <c r="CTD17" s="128"/>
      <c r="CTE17" s="128"/>
      <c r="CTF17" s="128"/>
      <c r="CTG17" s="128"/>
      <c r="CTH17" s="128"/>
      <c r="CTI17" s="128"/>
      <c r="CTJ17" s="128"/>
      <c r="CTK17" s="129"/>
      <c r="CTL17" s="129"/>
      <c r="CTM17" s="129"/>
      <c r="CTN17" s="129"/>
      <c r="CTO17" s="129"/>
      <c r="CTP17" s="129"/>
      <c r="CTQ17" s="129"/>
      <c r="CTR17" s="129"/>
      <c r="CTS17" s="129"/>
      <c r="CTT17" s="129"/>
      <c r="CTU17" s="129"/>
      <c r="CTV17" s="129"/>
      <c r="CTW17" s="129"/>
      <c r="CTX17" s="129"/>
      <c r="CTY17" s="129"/>
      <c r="CTZ17" s="129"/>
      <c r="CUA17" s="129"/>
      <c r="CUB17" s="129"/>
      <c r="CUC17" s="129"/>
      <c r="CUD17" s="129"/>
      <c r="CUE17" s="129"/>
      <c r="CUF17" s="128"/>
      <c r="CUG17" s="128"/>
      <c r="CUH17" s="128"/>
      <c r="CUI17" s="128"/>
      <c r="CUJ17" s="128"/>
      <c r="CUK17" s="128"/>
      <c r="CUL17" s="129"/>
      <c r="CUM17" s="129"/>
      <c r="CUN17" s="129"/>
      <c r="CUO17" s="129"/>
      <c r="CUP17" s="129"/>
      <c r="CUQ17" s="129"/>
      <c r="CUR17" s="129"/>
      <c r="CUS17" s="129"/>
      <c r="CUT17" s="129"/>
      <c r="CUU17" s="129"/>
      <c r="CUV17" s="129"/>
      <c r="CUW17" s="129"/>
      <c r="CUX17" s="129"/>
      <c r="CUY17" s="129"/>
      <c r="CUZ17" s="129"/>
      <c r="CVA17" s="129"/>
      <c r="CVB17" s="129"/>
      <c r="CVC17" s="129"/>
      <c r="CVD17" s="129"/>
      <c r="CVE17" s="129"/>
      <c r="CVF17" s="129"/>
      <c r="CVG17" s="129"/>
      <c r="CVH17" s="129"/>
      <c r="CVI17" s="129"/>
      <c r="CVJ17" s="129"/>
      <c r="CVK17" s="129"/>
      <c r="CVL17" s="129"/>
      <c r="CVM17" s="129"/>
      <c r="CVN17" s="128"/>
      <c r="CVO17" s="128"/>
      <c r="CVP17" s="128"/>
      <c r="CVQ17" s="128"/>
      <c r="CVR17" s="128"/>
      <c r="CVS17" s="128"/>
      <c r="CVT17" s="128"/>
      <c r="CVV17" s="144" t="s">
        <v>147</v>
      </c>
      <c r="CVW17" s="144"/>
      <c r="CVX17" s="144"/>
      <c r="CVY17" s="144"/>
      <c r="CVZ17" s="144"/>
      <c r="CWA17" s="144"/>
      <c r="CWB17" s="144"/>
      <c r="CWC17" s="144"/>
      <c r="CWD17" s="144"/>
      <c r="CWE17" s="144"/>
      <c r="CWF17" s="144"/>
      <c r="CWG17" s="144"/>
      <c r="CWH17" s="144"/>
      <c r="CWI17" s="144"/>
      <c r="CWJ17" s="144"/>
      <c r="CWK17" s="144"/>
      <c r="CWL17" s="144"/>
      <c r="CWM17" s="144"/>
      <c r="CWN17" s="144"/>
      <c r="CWO17" s="144"/>
      <c r="CWP17" s="144"/>
      <c r="CWQ17" s="144"/>
      <c r="CWR17" s="144"/>
      <c r="CWS17" s="144"/>
      <c r="CWT17" s="144"/>
      <c r="CWU17" s="144"/>
      <c r="CWV17" s="144"/>
      <c r="CWW17" s="144"/>
      <c r="CWX17" s="144"/>
      <c r="CWY17" s="144"/>
      <c r="CWZ17" s="144"/>
      <c r="CXA17" s="129" t="s">
        <v>133</v>
      </c>
      <c r="CXB17" s="129"/>
      <c r="CXC17" s="129"/>
      <c r="CXD17" s="129"/>
      <c r="CXE17" s="129" t="s">
        <v>148</v>
      </c>
      <c r="CXF17" s="129"/>
      <c r="CXG17" s="129"/>
      <c r="CXH17" s="129"/>
      <c r="CXI17" s="129"/>
      <c r="CXJ17" s="129" t="s">
        <v>83</v>
      </c>
      <c r="CXK17" s="129"/>
      <c r="CXL17" s="129"/>
      <c r="CXM17" s="129"/>
      <c r="CXN17" s="129"/>
      <c r="CXO17" s="129"/>
      <c r="CXP17" s="129" t="s">
        <v>37</v>
      </c>
      <c r="CXQ17" s="129"/>
      <c r="CXR17" s="129"/>
      <c r="CXS17" s="129"/>
      <c r="CXT17" s="129"/>
      <c r="CXU17" s="129"/>
      <c r="CXV17" s="129" t="s">
        <v>49</v>
      </c>
      <c r="CXW17" s="129"/>
      <c r="CXX17" s="129"/>
      <c r="CXY17" s="129"/>
      <c r="CXZ17" s="129"/>
      <c r="CYA17" s="129"/>
      <c r="CYB17" s="129" t="s">
        <v>149</v>
      </c>
      <c r="CYC17" s="129"/>
      <c r="CYD17" s="129"/>
      <c r="CYE17" s="129"/>
      <c r="CYF17" s="129"/>
      <c r="CYG17" s="129"/>
      <c r="CYH17" s="129"/>
      <c r="CYI17" s="129" t="s">
        <v>150</v>
      </c>
      <c r="CYJ17" s="129"/>
      <c r="CYK17" s="129"/>
      <c r="CYL17" s="129"/>
      <c r="CYM17" s="129"/>
      <c r="CYN17" s="129"/>
      <c r="CYO17" s="129"/>
      <c r="CYP17" s="129" t="s">
        <v>151</v>
      </c>
      <c r="CYQ17" s="129"/>
      <c r="CYR17" s="129"/>
      <c r="CYS17" s="129"/>
      <c r="CYT17" s="129"/>
      <c r="CYU17" s="129"/>
      <c r="CYV17" s="129"/>
      <c r="CYW17" s="129" t="s">
        <v>37</v>
      </c>
      <c r="CYX17" s="129"/>
      <c r="CYY17" s="129"/>
      <c r="CYZ17" s="129"/>
      <c r="CZA17" s="129"/>
      <c r="CZB17" s="129"/>
      <c r="CZC17" s="129"/>
      <c r="CZD17" s="129" t="s">
        <v>40</v>
      </c>
      <c r="CZE17" s="129"/>
      <c r="CZF17" s="129"/>
      <c r="CZG17" s="129"/>
      <c r="CZH17" s="129"/>
      <c r="CZI17" s="129"/>
      <c r="CZJ17" s="129"/>
      <c r="DDB17" s="128" t="s">
        <v>526</v>
      </c>
      <c r="DDC17" s="128"/>
      <c r="DDD17" s="128"/>
      <c r="DDE17" s="128"/>
      <c r="DDF17" s="128"/>
      <c r="DDG17" s="128"/>
      <c r="DDH17" s="128"/>
      <c r="DDI17" s="128"/>
      <c r="DDJ17" s="128"/>
      <c r="DDK17" s="128"/>
      <c r="DDL17" s="128"/>
      <c r="DDM17" s="128"/>
      <c r="DDN17" s="128"/>
      <c r="DDO17" s="128"/>
      <c r="DDP17" s="128"/>
      <c r="DDQ17" s="128"/>
      <c r="DDR17" s="128"/>
      <c r="DDS17" s="128"/>
      <c r="DDT17" s="128"/>
      <c r="DDU17" s="128"/>
      <c r="DDV17" s="128"/>
      <c r="DDW17" s="128"/>
      <c r="DDX17" s="128"/>
      <c r="DDY17" s="128"/>
      <c r="DDZ17" s="128"/>
      <c r="DEA17" s="128"/>
      <c r="DEB17" s="128"/>
      <c r="DEC17" s="128"/>
      <c r="DED17" s="128"/>
      <c r="DEE17" s="128"/>
      <c r="DEF17" s="128"/>
      <c r="DEG17" s="129"/>
      <c r="DEH17" s="129"/>
      <c r="DEI17" s="129"/>
      <c r="DEJ17" s="129"/>
      <c r="DEK17" s="129"/>
      <c r="DEL17" s="129"/>
      <c r="DEM17" s="129"/>
      <c r="DEN17" s="129"/>
      <c r="DEO17" s="129"/>
      <c r="DEP17" s="129"/>
      <c r="DEQ17" s="129"/>
      <c r="DER17" s="129"/>
      <c r="DES17" s="129"/>
      <c r="DET17" s="129"/>
      <c r="DEU17" s="129"/>
      <c r="DEV17" s="129"/>
      <c r="DEW17" s="129"/>
      <c r="DEX17" s="129"/>
      <c r="DEY17" s="129"/>
      <c r="DEZ17" s="129"/>
      <c r="DFA17" s="129"/>
      <c r="DFB17" s="128"/>
      <c r="DFC17" s="128"/>
      <c r="DFD17" s="128"/>
      <c r="DFE17" s="128"/>
      <c r="DFF17" s="128"/>
      <c r="DFG17" s="128"/>
      <c r="DFH17" s="129"/>
      <c r="DFI17" s="129"/>
      <c r="DFJ17" s="129"/>
      <c r="DFK17" s="129"/>
      <c r="DFL17" s="129"/>
      <c r="DFM17" s="129"/>
      <c r="DFN17" s="129"/>
      <c r="DFO17" s="129"/>
      <c r="DFP17" s="129"/>
      <c r="DFQ17" s="129"/>
      <c r="DFR17" s="129"/>
      <c r="DFS17" s="129"/>
      <c r="DFT17" s="129"/>
      <c r="DFU17" s="129"/>
      <c r="DFV17" s="129"/>
      <c r="DFW17" s="129"/>
      <c r="DFX17" s="129"/>
      <c r="DFY17" s="129"/>
      <c r="DFZ17" s="129"/>
      <c r="DGA17" s="129"/>
      <c r="DGB17" s="129"/>
      <c r="DGC17" s="129"/>
      <c r="DGD17" s="129"/>
      <c r="DGE17" s="129"/>
      <c r="DGF17" s="129"/>
      <c r="DGG17" s="129"/>
      <c r="DGH17" s="129"/>
      <c r="DGI17" s="129"/>
      <c r="DGJ17" s="128"/>
      <c r="DGK17" s="128"/>
      <c r="DGL17" s="128"/>
      <c r="DGM17" s="128"/>
      <c r="DGN17" s="128"/>
      <c r="DGO17" s="128"/>
      <c r="DGP17" s="128"/>
      <c r="DGR17" s="128" t="s">
        <v>566</v>
      </c>
      <c r="DGS17" s="128"/>
      <c r="DGT17" s="128"/>
      <c r="DGU17" s="128"/>
      <c r="DGV17" s="128"/>
      <c r="DGW17" s="128"/>
      <c r="DGX17" s="128"/>
      <c r="DGY17" s="128"/>
      <c r="DGZ17" s="128"/>
      <c r="DHA17" s="128"/>
      <c r="DHB17" s="128"/>
      <c r="DHC17" s="128"/>
      <c r="DHD17" s="128"/>
      <c r="DHE17" s="128"/>
      <c r="DHF17" s="128"/>
      <c r="DHG17" s="128"/>
      <c r="DHH17" s="128"/>
      <c r="DHI17" s="128"/>
      <c r="DHJ17" s="128"/>
      <c r="DHK17" s="128"/>
      <c r="DHL17" s="128"/>
      <c r="DHM17" s="128"/>
      <c r="DHN17" s="128"/>
      <c r="DHO17" s="128"/>
      <c r="DHP17" s="128"/>
      <c r="DHQ17" s="128"/>
      <c r="DHR17" s="128"/>
      <c r="DHS17" s="128"/>
      <c r="DHT17" s="128"/>
      <c r="DHU17" s="128"/>
      <c r="DHV17" s="128"/>
      <c r="DHW17" s="129"/>
      <c r="DHX17" s="129"/>
      <c r="DHY17" s="129"/>
      <c r="DHZ17" s="129"/>
      <c r="DIA17" s="129"/>
      <c r="DIB17" s="129"/>
      <c r="DIC17" s="129"/>
      <c r="DID17" s="129"/>
      <c r="DIE17" s="129"/>
      <c r="DIF17" s="129"/>
      <c r="DIG17" s="129"/>
      <c r="DIH17" s="129"/>
      <c r="DII17" s="129"/>
      <c r="DIJ17" s="129"/>
      <c r="DIK17" s="129"/>
      <c r="DIL17" s="129"/>
      <c r="DIM17" s="129"/>
      <c r="DIN17" s="129"/>
      <c r="DIO17" s="129"/>
      <c r="DIP17" s="129"/>
      <c r="DIQ17" s="129"/>
      <c r="DIR17" s="128"/>
      <c r="DIS17" s="128"/>
      <c r="DIT17" s="128"/>
      <c r="DIU17" s="128"/>
      <c r="DIV17" s="128"/>
      <c r="DIW17" s="128"/>
      <c r="DIX17" s="129"/>
      <c r="DIY17" s="129"/>
      <c r="DIZ17" s="129"/>
      <c r="DJA17" s="129"/>
      <c r="DJB17" s="129"/>
      <c r="DJC17" s="129"/>
      <c r="DJD17" s="129"/>
      <c r="DJE17" s="129"/>
      <c r="DJF17" s="129"/>
      <c r="DJG17" s="129"/>
      <c r="DJH17" s="129"/>
      <c r="DJI17" s="129"/>
      <c r="DJJ17" s="129"/>
      <c r="DJK17" s="129"/>
      <c r="DJL17" s="129"/>
      <c r="DJM17" s="129"/>
      <c r="DJN17" s="129"/>
      <c r="DJO17" s="129"/>
      <c r="DJP17" s="129"/>
      <c r="DJQ17" s="129"/>
      <c r="DJR17" s="129"/>
      <c r="DJS17" s="129"/>
      <c r="DJT17" s="129"/>
      <c r="DJU17" s="129"/>
      <c r="DJV17" s="129"/>
      <c r="DJW17" s="129"/>
      <c r="DJX17" s="129"/>
      <c r="DJY17" s="129"/>
      <c r="DJZ17" s="128"/>
      <c r="DKA17" s="128"/>
      <c r="DKB17" s="128"/>
      <c r="DKC17" s="128"/>
      <c r="DKD17" s="128"/>
      <c r="DKE17" s="128"/>
      <c r="DKF17" s="128"/>
    </row>
    <row r="18" spans="2:1022 1118:1774 2152:2996" ht="15" customHeight="1" x14ac:dyDescent="0.25">
      <c r="B18" s="190" t="s">
        <v>30</v>
      </c>
      <c r="C18" s="191"/>
      <c r="D18" s="191"/>
      <c r="E18" s="191"/>
      <c r="F18" s="191"/>
      <c r="G18" s="191"/>
      <c r="H18" s="191"/>
      <c r="I18" s="191"/>
      <c r="J18" s="191"/>
      <c r="K18" s="191"/>
      <c r="L18" s="191"/>
      <c r="M18" s="191"/>
      <c r="N18" s="191"/>
      <c r="O18" s="191"/>
      <c r="P18" s="191"/>
      <c r="Q18" s="131">
        <f>'Level-up'!E8</f>
        <v>35</v>
      </c>
      <c r="R18" s="131"/>
      <c r="S18" s="131"/>
      <c r="T18" s="131"/>
      <c r="U18" s="131"/>
      <c r="V18" s="131"/>
      <c r="W18" s="131"/>
      <c r="X18" s="131">
        <f>'Character Creation'!AJ45</f>
        <v>100</v>
      </c>
      <c r="Y18" s="131"/>
      <c r="Z18" s="131"/>
      <c r="AA18" s="131"/>
      <c r="AB18" s="131"/>
      <c r="AC18" s="131"/>
      <c r="AD18" s="131"/>
      <c r="AE18" s="131">
        <f t="shared" si="1"/>
        <v>-3</v>
      </c>
      <c r="AF18" s="131"/>
      <c r="AG18" s="131"/>
      <c r="AH18" s="131"/>
      <c r="AI18" s="131"/>
      <c r="AJ18" s="131"/>
      <c r="AK18" s="131"/>
      <c r="AL18" s="131">
        <f>VLOOKUP('Character Creation'!$Z$11,RaceChart,7,FALSE)</f>
        <v>0</v>
      </c>
      <c r="AM18" s="131"/>
      <c r="AN18" s="131"/>
      <c r="AO18" s="131"/>
      <c r="AP18" s="131"/>
      <c r="AQ18" s="131"/>
      <c r="AR18" s="131"/>
      <c r="AS18" s="131">
        <v>0</v>
      </c>
      <c r="AT18" s="131"/>
      <c r="AU18" s="131"/>
      <c r="AV18" s="131"/>
      <c r="AW18" s="131"/>
      <c r="AX18" s="131"/>
      <c r="AY18" s="131"/>
      <c r="AZ18" s="226">
        <f t="shared" si="2"/>
        <v>-3</v>
      </c>
      <c r="BA18" s="226"/>
      <c r="BB18" s="226"/>
      <c r="BC18" s="226"/>
      <c r="BD18" s="226"/>
      <c r="BE18" s="226"/>
      <c r="BF18" s="227"/>
      <c r="BH18" s="190" t="s">
        <v>45</v>
      </c>
      <c r="BI18" s="191"/>
      <c r="BJ18" s="191"/>
      <c r="BK18" s="191"/>
      <c r="BL18" s="191"/>
      <c r="BM18" s="191"/>
      <c r="BN18" s="191"/>
      <c r="BO18" s="191"/>
      <c r="BP18" s="191"/>
      <c r="BQ18" s="191"/>
      <c r="BR18" s="191"/>
      <c r="BS18" s="191"/>
      <c r="BT18" s="191"/>
      <c r="BU18" s="191"/>
      <c r="BV18" s="191"/>
      <c r="BW18" s="191"/>
      <c r="BX18" s="191"/>
      <c r="BY18" s="191"/>
      <c r="BZ18" s="191"/>
      <c r="CA18" s="131">
        <v>0</v>
      </c>
      <c r="CB18" s="131"/>
      <c r="CC18" s="131"/>
      <c r="CD18" s="131"/>
      <c r="CE18" s="131"/>
      <c r="CF18" s="131"/>
      <c r="CG18" s="131"/>
      <c r="CH18" s="131">
        <v>0</v>
      </c>
      <c r="CI18" s="131"/>
      <c r="CJ18" s="131"/>
      <c r="CK18" s="131"/>
      <c r="CL18" s="131"/>
      <c r="CM18" s="131"/>
      <c r="CN18" s="131"/>
      <c r="CO18" s="131">
        <v>0</v>
      </c>
      <c r="CP18" s="131"/>
      <c r="CQ18" s="131"/>
      <c r="CR18" s="131"/>
      <c r="CS18" s="131"/>
      <c r="CT18" s="131"/>
      <c r="CU18" s="131"/>
      <c r="CV18" s="226">
        <f>SUM(CA18:CU18)</f>
        <v>0</v>
      </c>
      <c r="CW18" s="226"/>
      <c r="CX18" s="226"/>
      <c r="CY18" s="226"/>
      <c r="CZ18" s="226"/>
      <c r="DA18" s="226"/>
      <c r="DB18" s="227"/>
      <c r="DC18"/>
      <c r="DD18" s="240" t="s">
        <v>3122</v>
      </c>
      <c r="DE18" s="241"/>
      <c r="DF18" s="241"/>
      <c r="DG18" s="241"/>
      <c r="DH18" s="241"/>
      <c r="DI18" s="241"/>
      <c r="DJ18" s="241"/>
      <c r="DK18" s="241"/>
      <c r="DL18" s="241"/>
      <c r="DM18" s="241"/>
      <c r="DN18" s="241"/>
      <c r="DO18" s="241"/>
      <c r="DP18" s="241"/>
      <c r="DQ18" s="241"/>
      <c r="DR18" s="241"/>
      <c r="DS18" s="241"/>
      <c r="DT18" s="241"/>
      <c r="DU18" s="241"/>
      <c r="DV18" s="241"/>
      <c r="DW18" s="241"/>
      <c r="DX18" s="241"/>
      <c r="DY18" s="241"/>
      <c r="DZ18" s="241"/>
      <c r="EA18" s="241"/>
      <c r="EB18" s="241"/>
      <c r="EC18" s="241"/>
      <c r="ED18" s="241"/>
      <c r="EE18" s="241"/>
      <c r="EF18" s="241"/>
      <c r="EG18" s="241"/>
      <c r="EH18" s="241"/>
      <c r="EI18" s="241"/>
      <c r="EJ18" s="241"/>
      <c r="EK18" s="241"/>
      <c r="EL18" s="241"/>
      <c r="EM18" s="241"/>
      <c r="EN18" s="241"/>
      <c r="EO18" s="241"/>
      <c r="EP18" s="241"/>
      <c r="EQ18" s="241"/>
      <c r="ER18" s="241"/>
      <c r="ES18" s="241"/>
      <c r="ET18" s="241"/>
      <c r="EU18" s="241"/>
      <c r="EV18" s="241"/>
      <c r="EW18" s="241"/>
      <c r="EX18" s="241"/>
      <c r="EY18" s="241"/>
      <c r="EZ18" s="242"/>
      <c r="FB18" s="139"/>
      <c r="FC18" s="140"/>
      <c r="FD18" s="140"/>
      <c r="FE18" s="140"/>
      <c r="FF18" s="140"/>
      <c r="FG18" s="140"/>
      <c r="FH18" s="140"/>
      <c r="FI18" s="140"/>
      <c r="FJ18" s="140"/>
      <c r="FK18" s="140"/>
      <c r="FL18" s="140"/>
      <c r="FM18" s="140"/>
      <c r="FN18" s="140"/>
      <c r="FO18" s="140"/>
      <c r="FP18" s="140"/>
      <c r="FQ18" s="140"/>
      <c r="FR18" s="140"/>
      <c r="FS18" s="140"/>
      <c r="FT18" s="140"/>
      <c r="FU18" s="140"/>
      <c r="FV18" s="140"/>
      <c r="FW18" s="140"/>
      <c r="FX18" s="140"/>
      <c r="FY18" s="140"/>
      <c r="FZ18" s="140"/>
      <c r="GA18" s="140"/>
      <c r="GB18" s="140"/>
      <c r="GC18" s="140"/>
      <c r="GD18" s="140"/>
      <c r="GE18" s="140"/>
      <c r="GF18" s="140"/>
      <c r="GG18" s="140"/>
      <c r="GH18" s="140"/>
      <c r="GI18" s="140"/>
      <c r="GJ18" s="140"/>
      <c r="GK18" s="140"/>
      <c r="GL18" s="140"/>
      <c r="GM18" s="140"/>
      <c r="GN18" s="140"/>
      <c r="GO18" s="140"/>
      <c r="GP18" s="140"/>
      <c r="GQ18" s="140"/>
      <c r="GR18" s="140"/>
      <c r="GS18" s="140"/>
      <c r="GT18" s="141">
        <v>0</v>
      </c>
      <c r="GU18" s="141"/>
      <c r="GV18" s="141"/>
      <c r="GW18" s="141"/>
      <c r="GX18" s="141"/>
      <c r="GY18" s="141"/>
      <c r="GZ18" s="141"/>
      <c r="HA18" s="141"/>
      <c r="HB18" s="142" t="str">
        <f>IFERROR(ROUND(((Calculations!BV18/185)*'Character Creation'!$Z$18)*GT18,2),"")</f>
        <v/>
      </c>
      <c r="HC18" s="142"/>
      <c r="HD18" s="142"/>
      <c r="HE18" s="142"/>
      <c r="HF18" s="142"/>
      <c r="HG18" s="142"/>
      <c r="HH18" s="142"/>
      <c r="HI18" s="142"/>
      <c r="HJ18" s="142">
        <f>IFERROR(Calculations!BS18+IQ18+IX18,"")</f>
        <v>0</v>
      </c>
      <c r="HK18" s="142"/>
      <c r="HL18" s="142"/>
      <c r="HM18" s="142"/>
      <c r="HN18" s="142"/>
      <c r="HO18" s="142"/>
      <c r="HP18" s="142"/>
      <c r="HQ18" s="142"/>
      <c r="HR18" s="142" t="str">
        <f t="shared" si="0"/>
        <v/>
      </c>
      <c r="HS18" s="142"/>
      <c r="HT18" s="142"/>
      <c r="HU18" s="142"/>
      <c r="HV18" s="142"/>
      <c r="HW18" s="142"/>
      <c r="HX18" s="142"/>
      <c r="HY18" s="142"/>
      <c r="HZ18" s="142" t="str">
        <f>IFERROR(Calculations!BX18,"")</f>
        <v/>
      </c>
      <c r="IA18" s="142"/>
      <c r="IB18" s="142"/>
      <c r="IC18" s="142"/>
      <c r="ID18" s="142"/>
      <c r="IE18" s="142"/>
      <c r="IF18" s="142"/>
      <c r="IG18" s="142"/>
      <c r="IH18" s="142"/>
      <c r="II18" s="142"/>
      <c r="IJ18" s="142" t="str">
        <f>IFERROR(Calculations!BR18+IX18,"")</f>
        <v/>
      </c>
      <c r="IK18" s="142"/>
      <c r="IL18" s="142"/>
      <c r="IM18" s="142"/>
      <c r="IN18" s="142"/>
      <c r="IO18" s="142"/>
      <c r="IP18" s="142"/>
      <c r="IQ18" s="141">
        <v>0</v>
      </c>
      <c r="IR18" s="141"/>
      <c r="IS18" s="141"/>
      <c r="IT18" s="141"/>
      <c r="IU18" s="141"/>
      <c r="IV18" s="141"/>
      <c r="IW18" s="141"/>
      <c r="IX18" s="141">
        <v>0</v>
      </c>
      <c r="IY18" s="141"/>
      <c r="IZ18" s="141"/>
      <c r="JA18" s="141"/>
      <c r="JB18" s="141"/>
      <c r="JC18" s="141"/>
      <c r="JD18" s="141"/>
      <c r="JE18" s="141"/>
      <c r="JF18" s="142"/>
      <c r="JG18" s="142"/>
      <c r="JH18" s="142"/>
      <c r="JI18" s="142"/>
      <c r="JJ18" s="142"/>
      <c r="JK18" s="143" t="str">
        <f>Calculations!AS18</f>
        <v/>
      </c>
      <c r="JL18" s="143"/>
      <c r="JM18" s="143"/>
      <c r="JN18" s="143"/>
      <c r="JO18" s="143"/>
      <c r="JP18" s="143"/>
      <c r="JQ18" s="143"/>
      <c r="JR18" s="143"/>
      <c r="JS18" s="143"/>
      <c r="JT18" s="143"/>
      <c r="JU18" s="143"/>
      <c r="JV18" s="143"/>
      <c r="JW18" s="143"/>
      <c r="JX18" s="143"/>
      <c r="JY18" s="143"/>
      <c r="JZ18" s="143"/>
      <c r="KA18" s="143"/>
      <c r="KB18" s="143"/>
      <c r="KC18" s="143" t="str">
        <f>Calculations!AW18</f>
        <v/>
      </c>
      <c r="KD18" s="143"/>
      <c r="KE18" s="143"/>
      <c r="KF18" s="143"/>
      <c r="KG18" s="143"/>
      <c r="KH18" s="143"/>
      <c r="KI18" s="143"/>
      <c r="KJ18" s="143"/>
      <c r="KK18" s="143"/>
      <c r="KL18" s="143"/>
      <c r="KM18" s="143"/>
      <c r="KN18" s="143"/>
      <c r="KO18" s="143"/>
      <c r="KP18" s="143"/>
      <c r="KQ18" s="143"/>
      <c r="KR18" s="143"/>
      <c r="KS18" s="143"/>
      <c r="KT18" s="143"/>
      <c r="KU18" s="144"/>
      <c r="KV18" s="144"/>
      <c r="KW18" s="144"/>
      <c r="KX18" s="144"/>
      <c r="KY18" s="144"/>
      <c r="KZ18" s="144"/>
      <c r="LA18" s="144"/>
      <c r="LB18" s="144"/>
      <c r="LC18" s="144"/>
      <c r="LD18" s="144"/>
      <c r="LE18" s="144"/>
      <c r="LF18" s="144"/>
      <c r="LG18" s="144"/>
      <c r="LH18" s="144"/>
      <c r="LI18" s="144"/>
      <c r="LJ18" s="144"/>
      <c r="LK18" s="144"/>
      <c r="LL18" s="144"/>
      <c r="LM18" s="144"/>
      <c r="LN18" s="144"/>
      <c r="LO18" s="144"/>
      <c r="LP18" s="144"/>
      <c r="LQ18" s="144"/>
      <c r="LR18" s="144"/>
      <c r="LS18" s="144"/>
      <c r="LT18" s="144"/>
      <c r="LU18" s="144"/>
      <c r="LV18" s="144"/>
      <c r="LW18" s="144"/>
      <c r="LX18" s="144"/>
      <c r="LY18" s="144"/>
      <c r="LZ18" s="144"/>
      <c r="MA18" s="144"/>
      <c r="MB18" s="144"/>
      <c r="MC18" s="144"/>
      <c r="MD18" s="144"/>
      <c r="ME18" s="144"/>
      <c r="MF18" s="144"/>
      <c r="MG18" s="144"/>
      <c r="MH18" s="144"/>
      <c r="MI18" s="144"/>
      <c r="MJ18" s="144"/>
      <c r="MK18" s="144"/>
      <c r="ML18" s="144"/>
      <c r="MM18" s="144"/>
      <c r="MN18" s="144"/>
      <c r="MO18" s="144"/>
      <c r="MP18" s="144"/>
      <c r="MQ18" s="144"/>
      <c r="MR18" s="144"/>
      <c r="MS18" s="144"/>
      <c r="MT18" s="144"/>
      <c r="MU18" s="144"/>
      <c r="MV18" s="144"/>
      <c r="MW18" s="144"/>
      <c r="MX18" s="144"/>
      <c r="MY18" s="144"/>
      <c r="MZ18" s="145"/>
      <c r="NB18" s="144" t="s">
        <v>147</v>
      </c>
      <c r="NC18" s="144"/>
      <c r="ND18" s="144"/>
      <c r="NE18" s="144"/>
      <c r="NF18" s="144"/>
      <c r="NG18" s="144"/>
      <c r="NH18" s="144"/>
      <c r="NI18" s="144"/>
      <c r="NJ18" s="144"/>
      <c r="NK18" s="144"/>
      <c r="NL18" s="144"/>
      <c r="NM18" s="144"/>
      <c r="NN18" s="144"/>
      <c r="NO18" s="144"/>
      <c r="NP18" s="144"/>
      <c r="NQ18" s="144"/>
      <c r="NR18" s="144"/>
      <c r="NS18" s="144"/>
      <c r="NT18" s="144"/>
      <c r="NU18" s="144"/>
      <c r="NV18" s="144"/>
      <c r="NW18" s="144"/>
      <c r="NX18" s="144"/>
      <c r="NY18" s="144"/>
      <c r="NZ18" s="144"/>
      <c r="OA18" s="144"/>
      <c r="OB18" s="144"/>
      <c r="OC18" s="144"/>
      <c r="OD18" s="144"/>
      <c r="OE18" s="144"/>
      <c r="OF18" s="144"/>
      <c r="OG18" s="129" t="s">
        <v>133</v>
      </c>
      <c r="OH18" s="129"/>
      <c r="OI18" s="129"/>
      <c r="OJ18" s="129"/>
      <c r="OK18" s="129" t="s">
        <v>148</v>
      </c>
      <c r="OL18" s="129"/>
      <c r="OM18" s="129"/>
      <c r="ON18" s="129"/>
      <c r="OO18" s="129"/>
      <c r="OP18" s="129" t="s">
        <v>83</v>
      </c>
      <c r="OQ18" s="129"/>
      <c r="OR18" s="129"/>
      <c r="OS18" s="129"/>
      <c r="OT18" s="129"/>
      <c r="OU18" s="129"/>
      <c r="OV18" s="129" t="s">
        <v>37</v>
      </c>
      <c r="OW18" s="129"/>
      <c r="OX18" s="129"/>
      <c r="OY18" s="129"/>
      <c r="OZ18" s="129"/>
      <c r="PA18" s="129"/>
      <c r="PB18" s="129" t="s">
        <v>49</v>
      </c>
      <c r="PC18" s="129"/>
      <c r="PD18" s="129"/>
      <c r="PE18" s="129"/>
      <c r="PF18" s="129"/>
      <c r="PG18" s="129"/>
      <c r="PH18" s="129" t="s">
        <v>149</v>
      </c>
      <c r="PI18" s="129"/>
      <c r="PJ18" s="129"/>
      <c r="PK18" s="129"/>
      <c r="PL18" s="129"/>
      <c r="PM18" s="129"/>
      <c r="PN18" s="129"/>
      <c r="PO18" s="129" t="s">
        <v>150</v>
      </c>
      <c r="PP18" s="129"/>
      <c r="PQ18" s="129"/>
      <c r="PR18" s="129"/>
      <c r="PS18" s="129"/>
      <c r="PT18" s="129"/>
      <c r="PU18" s="129"/>
      <c r="PV18" s="129" t="s">
        <v>151</v>
      </c>
      <c r="PW18" s="129"/>
      <c r="PX18" s="129"/>
      <c r="PY18" s="129"/>
      <c r="PZ18" s="129"/>
      <c r="QA18" s="129"/>
      <c r="QB18" s="129"/>
      <c r="QC18" s="129" t="s">
        <v>37</v>
      </c>
      <c r="QD18" s="129"/>
      <c r="QE18" s="129"/>
      <c r="QF18" s="129"/>
      <c r="QG18" s="129"/>
      <c r="QH18" s="129"/>
      <c r="QI18" s="129"/>
      <c r="QJ18" s="129" t="s">
        <v>40</v>
      </c>
      <c r="QK18" s="129"/>
      <c r="QL18" s="129"/>
      <c r="QM18" s="129"/>
      <c r="QN18" s="129"/>
      <c r="QO18" s="129"/>
      <c r="QP18" s="129"/>
      <c r="AIT18" s="144" t="s">
        <v>147</v>
      </c>
      <c r="AIU18" s="144"/>
      <c r="AIV18" s="144"/>
      <c r="AIW18" s="144"/>
      <c r="AIX18" s="144"/>
      <c r="AIY18" s="144"/>
      <c r="AIZ18" s="144"/>
      <c r="AJA18" s="144"/>
      <c r="AJB18" s="144"/>
      <c r="AJC18" s="144"/>
      <c r="AJD18" s="144"/>
      <c r="AJE18" s="144"/>
      <c r="AJF18" s="144"/>
      <c r="AJG18" s="144"/>
      <c r="AJH18" s="144"/>
      <c r="AJI18" s="144"/>
      <c r="AJJ18" s="144"/>
      <c r="AJK18" s="144"/>
      <c r="AJL18" s="144"/>
      <c r="AJM18" s="144"/>
      <c r="AJN18" s="144"/>
      <c r="AJO18" s="144"/>
      <c r="AJP18" s="144"/>
      <c r="AJQ18" s="144"/>
      <c r="AJR18" s="144"/>
      <c r="AJS18" s="144"/>
      <c r="AJT18" s="144"/>
      <c r="AJU18" s="144"/>
      <c r="AJV18" s="144"/>
      <c r="AJW18" s="144"/>
      <c r="AJX18" s="144"/>
      <c r="AJY18" s="129" t="s">
        <v>133</v>
      </c>
      <c r="AJZ18" s="129"/>
      <c r="AKA18" s="129"/>
      <c r="AKB18" s="129"/>
      <c r="AKC18" s="129" t="s">
        <v>148</v>
      </c>
      <c r="AKD18" s="129"/>
      <c r="AKE18" s="129"/>
      <c r="AKF18" s="129"/>
      <c r="AKG18" s="129"/>
      <c r="AKH18" s="129" t="s">
        <v>83</v>
      </c>
      <c r="AKI18" s="129"/>
      <c r="AKJ18" s="129"/>
      <c r="AKK18" s="129"/>
      <c r="AKL18" s="129"/>
      <c r="AKM18" s="129"/>
      <c r="AKN18" s="129" t="s">
        <v>37</v>
      </c>
      <c r="AKO18" s="129"/>
      <c r="AKP18" s="129"/>
      <c r="AKQ18" s="129"/>
      <c r="AKR18" s="129"/>
      <c r="AKS18" s="129"/>
      <c r="AKT18" s="129" t="s">
        <v>49</v>
      </c>
      <c r="AKU18" s="129"/>
      <c r="AKV18" s="129"/>
      <c r="AKW18" s="129"/>
      <c r="AKX18" s="129"/>
      <c r="AKY18" s="129"/>
      <c r="AKZ18" s="129" t="s">
        <v>149</v>
      </c>
      <c r="ALA18" s="129"/>
      <c r="ALB18" s="129"/>
      <c r="ALC18" s="129"/>
      <c r="ALD18" s="129"/>
      <c r="ALE18" s="129"/>
      <c r="ALF18" s="129"/>
      <c r="ALG18" s="129" t="s">
        <v>150</v>
      </c>
      <c r="ALH18" s="129"/>
      <c r="ALI18" s="129"/>
      <c r="ALJ18" s="129"/>
      <c r="ALK18" s="129"/>
      <c r="ALL18" s="129"/>
      <c r="ALM18" s="129"/>
      <c r="ALN18" s="129" t="s">
        <v>151</v>
      </c>
      <c r="ALO18" s="129"/>
      <c r="ALP18" s="129"/>
      <c r="ALQ18" s="129"/>
      <c r="ALR18" s="129"/>
      <c r="ALS18" s="129"/>
      <c r="ALT18" s="129"/>
      <c r="ALU18" s="129" t="s">
        <v>37</v>
      </c>
      <c r="ALV18" s="129"/>
      <c r="ALW18" s="129"/>
      <c r="ALX18" s="129"/>
      <c r="ALY18" s="129"/>
      <c r="ALZ18" s="129"/>
      <c r="AMA18" s="129"/>
      <c r="AMB18" s="129" t="s">
        <v>40</v>
      </c>
      <c r="AMC18" s="129"/>
      <c r="AMD18" s="129"/>
      <c r="AME18" s="129"/>
      <c r="AMF18" s="129"/>
      <c r="AMG18" s="129"/>
      <c r="AMH18" s="129"/>
      <c r="APZ18" s="128" t="s">
        <v>233</v>
      </c>
      <c r="AQA18" s="128"/>
      <c r="AQB18" s="128"/>
      <c r="AQC18" s="128"/>
      <c r="AQD18" s="128"/>
      <c r="AQE18" s="128"/>
      <c r="AQF18" s="128"/>
      <c r="AQG18" s="128"/>
      <c r="AQH18" s="128"/>
      <c r="AQI18" s="128"/>
      <c r="AQJ18" s="128"/>
      <c r="AQK18" s="128"/>
      <c r="AQL18" s="128"/>
      <c r="AQM18" s="128"/>
      <c r="AQN18" s="128"/>
      <c r="AQO18" s="128"/>
      <c r="AQP18" s="128"/>
      <c r="AQQ18" s="128"/>
      <c r="AQR18" s="128"/>
      <c r="AQS18" s="128"/>
      <c r="AQT18" s="128"/>
      <c r="AQU18" s="128"/>
      <c r="AQV18" s="128"/>
      <c r="AQW18" s="128"/>
      <c r="AQX18" s="128"/>
      <c r="AQY18" s="128"/>
      <c r="AQZ18" s="128"/>
      <c r="ARA18" s="128"/>
      <c r="ARB18" s="128"/>
      <c r="ARC18" s="128"/>
      <c r="ARD18" s="128"/>
      <c r="ARE18" s="129"/>
      <c r="ARF18" s="129"/>
      <c r="ARG18" s="129"/>
      <c r="ARH18" s="129"/>
      <c r="ARI18" s="129"/>
      <c r="ARJ18" s="129"/>
      <c r="ARK18" s="129"/>
      <c r="ARL18" s="129"/>
      <c r="ARM18" s="129"/>
      <c r="ARN18" s="129"/>
      <c r="ARO18" s="129"/>
      <c r="ARP18" s="129"/>
      <c r="ARQ18" s="129"/>
      <c r="ARR18" s="129"/>
      <c r="ARS18" s="129"/>
      <c r="ART18" s="129"/>
      <c r="ARU18" s="129"/>
      <c r="ARV18" s="129"/>
      <c r="ARW18" s="129"/>
      <c r="ARX18" s="129"/>
      <c r="ARY18" s="129"/>
      <c r="ARZ18" s="128"/>
      <c r="ASA18" s="128"/>
      <c r="ASB18" s="128"/>
      <c r="ASC18" s="128"/>
      <c r="ASD18" s="128"/>
      <c r="ASE18" s="128"/>
      <c r="ASF18" s="129"/>
      <c r="ASG18" s="129"/>
      <c r="ASH18" s="129"/>
      <c r="ASI18" s="129"/>
      <c r="ASJ18" s="129"/>
      <c r="ASK18" s="129"/>
      <c r="ASL18" s="129"/>
      <c r="ASM18" s="129"/>
      <c r="ASN18" s="129"/>
      <c r="ASO18" s="129"/>
      <c r="ASP18" s="129"/>
      <c r="ASQ18" s="129"/>
      <c r="ASR18" s="129"/>
      <c r="ASS18" s="129"/>
      <c r="AST18" s="129"/>
      <c r="ASU18" s="129"/>
      <c r="ASV18" s="129"/>
      <c r="ASW18" s="129"/>
      <c r="ASX18" s="129"/>
      <c r="ASY18" s="129"/>
      <c r="ASZ18" s="129"/>
      <c r="ATA18" s="129"/>
      <c r="ATB18" s="129"/>
      <c r="ATC18" s="129"/>
      <c r="ATD18" s="129"/>
      <c r="ATE18" s="129"/>
      <c r="ATF18" s="129"/>
      <c r="ATG18" s="129"/>
      <c r="ATH18" s="128"/>
      <c r="ATI18" s="128"/>
      <c r="ATJ18" s="128"/>
      <c r="ATK18" s="128"/>
      <c r="ATL18" s="128"/>
      <c r="ATM18" s="128"/>
      <c r="ATN18" s="128"/>
      <c r="AXF18" s="128" t="s">
        <v>273</v>
      </c>
      <c r="AXG18" s="128"/>
      <c r="AXH18" s="128"/>
      <c r="AXI18" s="128"/>
      <c r="AXJ18" s="128"/>
      <c r="AXK18" s="128"/>
      <c r="AXL18" s="128"/>
      <c r="AXM18" s="128"/>
      <c r="AXN18" s="128"/>
      <c r="AXO18" s="128"/>
      <c r="AXP18" s="128"/>
      <c r="AXQ18" s="128"/>
      <c r="AXR18" s="128"/>
      <c r="AXS18" s="128"/>
      <c r="AXT18" s="128"/>
      <c r="AXU18" s="128"/>
      <c r="AXV18" s="128"/>
      <c r="AXW18" s="128"/>
      <c r="AXX18" s="128"/>
      <c r="AXY18" s="128"/>
      <c r="AXZ18" s="128"/>
      <c r="AYA18" s="128"/>
      <c r="AYB18" s="128"/>
      <c r="AYC18" s="128"/>
      <c r="AYD18" s="128"/>
      <c r="AYE18" s="128"/>
      <c r="AYF18" s="128"/>
      <c r="AYG18" s="128"/>
      <c r="AYH18" s="128"/>
      <c r="AYI18" s="128"/>
      <c r="AYJ18" s="128"/>
      <c r="AYK18" s="129"/>
      <c r="AYL18" s="129"/>
      <c r="AYM18" s="129"/>
      <c r="AYN18" s="129"/>
      <c r="AYO18" s="129"/>
      <c r="AYP18" s="129"/>
      <c r="AYQ18" s="129"/>
      <c r="AYR18" s="129"/>
      <c r="AYS18" s="129"/>
      <c r="AYT18" s="129"/>
      <c r="AYU18" s="129"/>
      <c r="AYV18" s="129"/>
      <c r="AYW18" s="129"/>
      <c r="AYX18" s="129"/>
      <c r="AYY18" s="129"/>
      <c r="AYZ18" s="129"/>
      <c r="AZA18" s="129"/>
      <c r="AZB18" s="129"/>
      <c r="AZC18" s="129"/>
      <c r="AZD18" s="129"/>
      <c r="AZE18" s="129"/>
      <c r="AZF18" s="128"/>
      <c r="AZG18" s="128"/>
      <c r="AZH18" s="128"/>
      <c r="AZI18" s="128"/>
      <c r="AZJ18" s="128"/>
      <c r="AZK18" s="128"/>
      <c r="AZL18" s="129"/>
      <c r="AZM18" s="129"/>
      <c r="AZN18" s="129"/>
      <c r="AZO18" s="129"/>
      <c r="AZP18" s="129"/>
      <c r="AZQ18" s="129"/>
      <c r="AZR18" s="129"/>
      <c r="AZS18" s="129"/>
      <c r="AZT18" s="129"/>
      <c r="AZU18" s="129"/>
      <c r="AZV18" s="129"/>
      <c r="AZW18" s="129"/>
      <c r="AZX18" s="129"/>
      <c r="AZY18" s="129"/>
      <c r="AZZ18" s="129"/>
      <c r="BAA18" s="129"/>
      <c r="BAB18" s="129"/>
      <c r="BAC18" s="129"/>
      <c r="BAD18" s="129"/>
      <c r="BAE18" s="129"/>
      <c r="BAF18" s="129"/>
      <c r="BAG18" s="129"/>
      <c r="BAH18" s="129"/>
      <c r="BAI18" s="129"/>
      <c r="BAJ18" s="129"/>
      <c r="BAK18" s="129"/>
      <c r="BAL18" s="129"/>
      <c r="BAM18" s="129"/>
      <c r="BAN18" s="128"/>
      <c r="BAO18" s="128"/>
      <c r="BAP18" s="128"/>
      <c r="BAQ18" s="128"/>
      <c r="BAR18" s="128"/>
      <c r="BAS18" s="128"/>
      <c r="BAT18" s="128"/>
      <c r="BAV18" s="128" t="s">
        <v>580</v>
      </c>
      <c r="BAW18" s="128"/>
      <c r="BAX18" s="128"/>
      <c r="BAY18" s="128"/>
      <c r="BAZ18" s="128"/>
      <c r="BBA18" s="128"/>
      <c r="BBB18" s="128"/>
      <c r="BBC18" s="128"/>
      <c r="BBD18" s="128"/>
      <c r="BBE18" s="128"/>
      <c r="BBF18" s="128"/>
      <c r="BBG18" s="128"/>
      <c r="BBH18" s="128"/>
      <c r="BBI18" s="128"/>
      <c r="BBJ18" s="128"/>
      <c r="BBK18" s="128"/>
      <c r="BBL18" s="128"/>
      <c r="BBM18" s="128"/>
      <c r="BBN18" s="128"/>
      <c r="BBO18" s="128"/>
      <c r="BBP18" s="128"/>
      <c r="BBQ18" s="128"/>
      <c r="BBR18" s="128"/>
      <c r="BBS18" s="128"/>
      <c r="BBT18" s="128"/>
      <c r="BBU18" s="128"/>
      <c r="BBV18" s="128"/>
      <c r="BBW18" s="128"/>
      <c r="BBX18" s="128"/>
      <c r="BBY18" s="128"/>
      <c r="BBZ18" s="128"/>
      <c r="BCA18" s="129"/>
      <c r="BCB18" s="129"/>
      <c r="BCC18" s="129"/>
      <c r="BCD18" s="129"/>
      <c r="BCE18" s="129"/>
      <c r="BCF18" s="129"/>
      <c r="BCG18" s="129"/>
      <c r="BCH18" s="129"/>
      <c r="BCI18" s="129"/>
      <c r="BCJ18" s="129"/>
      <c r="BCK18" s="129"/>
      <c r="BCL18" s="129"/>
      <c r="BCM18" s="129"/>
      <c r="BCN18" s="129"/>
      <c r="BCO18" s="129"/>
      <c r="BCP18" s="129"/>
      <c r="BCQ18" s="129"/>
      <c r="BCR18" s="129"/>
      <c r="BCS18" s="129"/>
      <c r="BCT18" s="129"/>
      <c r="BCU18" s="129"/>
      <c r="BCV18" s="128"/>
      <c r="BCW18" s="128"/>
      <c r="BCX18" s="128"/>
      <c r="BCY18" s="128"/>
      <c r="BCZ18" s="128"/>
      <c r="BDA18" s="128"/>
      <c r="BDB18" s="129"/>
      <c r="BDC18" s="129"/>
      <c r="BDD18" s="129"/>
      <c r="BDE18" s="129"/>
      <c r="BDF18" s="129"/>
      <c r="BDG18" s="129"/>
      <c r="BDH18" s="129"/>
      <c r="BDI18" s="129"/>
      <c r="BDJ18" s="129"/>
      <c r="BDK18" s="129"/>
      <c r="BDL18" s="129"/>
      <c r="BDM18" s="129"/>
      <c r="BDN18" s="129"/>
      <c r="BDO18" s="129"/>
      <c r="BDP18" s="129"/>
      <c r="BDQ18" s="129"/>
      <c r="BDR18" s="129"/>
      <c r="BDS18" s="129"/>
      <c r="BDT18" s="129"/>
      <c r="BDU18" s="129"/>
      <c r="BDV18" s="129"/>
      <c r="BDW18" s="129"/>
      <c r="BDX18" s="129"/>
      <c r="BDY18" s="129"/>
      <c r="BDZ18" s="129"/>
      <c r="BEA18" s="129"/>
      <c r="BEB18" s="129"/>
      <c r="BEC18" s="129"/>
      <c r="BED18" s="128"/>
      <c r="BEE18" s="128"/>
      <c r="BEF18" s="128"/>
      <c r="BEG18" s="128"/>
      <c r="BEH18" s="128"/>
      <c r="BEI18" s="128"/>
      <c r="BEJ18" s="128"/>
      <c r="BLR18" s="128" t="s">
        <v>331</v>
      </c>
      <c r="BLS18" s="128"/>
      <c r="BLT18" s="128"/>
      <c r="BLU18" s="128"/>
      <c r="BLV18" s="128"/>
      <c r="BLW18" s="128"/>
      <c r="BLX18" s="128"/>
      <c r="BLY18" s="128"/>
      <c r="BLZ18" s="128"/>
      <c r="BMA18" s="128"/>
      <c r="BMB18" s="128"/>
      <c r="BMC18" s="128"/>
      <c r="BMD18" s="128"/>
      <c r="BME18" s="128"/>
      <c r="BMF18" s="128"/>
      <c r="BMG18" s="128"/>
      <c r="BMH18" s="128"/>
      <c r="BMI18" s="128"/>
      <c r="BMJ18" s="128"/>
      <c r="BMK18" s="128"/>
      <c r="BML18" s="128"/>
      <c r="BMM18" s="128"/>
      <c r="BMN18" s="128"/>
      <c r="BMO18" s="128"/>
      <c r="BMP18" s="128"/>
      <c r="BMQ18" s="128"/>
      <c r="BMR18" s="128"/>
      <c r="BMS18" s="128"/>
      <c r="BMT18" s="128"/>
      <c r="BMU18" s="128"/>
      <c r="BMV18" s="128"/>
      <c r="BMW18" s="129"/>
      <c r="BMX18" s="129"/>
      <c r="BMY18" s="129"/>
      <c r="BMZ18" s="129"/>
      <c r="BNA18" s="129"/>
      <c r="BNB18" s="129"/>
      <c r="BNC18" s="129"/>
      <c r="BND18" s="129"/>
      <c r="BNE18" s="129"/>
      <c r="BNF18" s="129"/>
      <c r="BNG18" s="129"/>
      <c r="BNH18" s="129"/>
      <c r="BNI18" s="129"/>
      <c r="BNJ18" s="129"/>
      <c r="BNK18" s="129"/>
      <c r="BNL18" s="129"/>
      <c r="BNM18" s="129"/>
      <c r="BNN18" s="129"/>
      <c r="BNO18" s="129"/>
      <c r="BNP18" s="129"/>
      <c r="BNQ18" s="129"/>
      <c r="BNR18" s="128"/>
      <c r="BNS18" s="128"/>
      <c r="BNT18" s="128"/>
      <c r="BNU18" s="128"/>
      <c r="BNV18" s="128"/>
      <c r="BNW18" s="128"/>
      <c r="BNX18" s="129"/>
      <c r="BNY18" s="129"/>
      <c r="BNZ18" s="129"/>
      <c r="BOA18" s="129"/>
      <c r="BOB18" s="129"/>
      <c r="BOC18" s="129"/>
      <c r="BOD18" s="129"/>
      <c r="BOE18" s="129"/>
      <c r="BOF18" s="129"/>
      <c r="BOG18" s="129"/>
      <c r="BOH18" s="129"/>
      <c r="BOI18" s="129"/>
      <c r="BOJ18" s="129"/>
      <c r="BOK18" s="129"/>
      <c r="BOL18" s="129"/>
      <c r="BOM18" s="129"/>
      <c r="BON18" s="129"/>
      <c r="BOO18" s="129"/>
      <c r="BOP18" s="129"/>
      <c r="BOQ18" s="129"/>
      <c r="BOR18" s="129"/>
      <c r="BOS18" s="129"/>
      <c r="BOT18" s="129"/>
      <c r="BOU18" s="129"/>
      <c r="BOV18" s="129"/>
      <c r="BOW18" s="129"/>
      <c r="BOX18" s="129"/>
      <c r="BOY18" s="129"/>
      <c r="BOZ18" s="128"/>
      <c r="BPA18" s="128"/>
      <c r="BPB18" s="128"/>
      <c r="BPC18" s="128"/>
      <c r="BPD18" s="128"/>
      <c r="BPE18" s="128"/>
      <c r="BPF18" s="128"/>
      <c r="CDT18" s="128" t="s">
        <v>399</v>
      </c>
      <c r="CDU18" s="128"/>
      <c r="CDV18" s="128"/>
      <c r="CDW18" s="128"/>
      <c r="CDX18" s="128"/>
      <c r="CDY18" s="128"/>
      <c r="CDZ18" s="128"/>
      <c r="CEA18" s="128"/>
      <c r="CEB18" s="128"/>
      <c r="CEC18" s="128"/>
      <c r="CED18" s="128"/>
      <c r="CEE18" s="128"/>
      <c r="CEF18" s="128"/>
      <c r="CEG18" s="128"/>
      <c r="CEH18" s="128"/>
      <c r="CEI18" s="128"/>
      <c r="CEJ18" s="128"/>
      <c r="CEK18" s="128"/>
      <c r="CEL18" s="128"/>
      <c r="CEM18" s="128"/>
      <c r="CEN18" s="128"/>
      <c r="CEO18" s="128"/>
      <c r="CEP18" s="128"/>
      <c r="CEQ18" s="128"/>
      <c r="CER18" s="128"/>
      <c r="CES18" s="128"/>
      <c r="CET18" s="128"/>
      <c r="CEU18" s="128"/>
      <c r="CEV18" s="128"/>
      <c r="CEW18" s="128"/>
      <c r="CEX18" s="128"/>
      <c r="CEY18" s="129"/>
      <c r="CEZ18" s="129"/>
      <c r="CFA18" s="129"/>
      <c r="CFB18" s="129"/>
      <c r="CFC18" s="129"/>
      <c r="CFD18" s="129"/>
      <c r="CFE18" s="129"/>
      <c r="CFF18" s="129"/>
      <c r="CFG18" s="129"/>
      <c r="CFH18" s="129"/>
      <c r="CFI18" s="129"/>
      <c r="CFJ18" s="129"/>
      <c r="CFK18" s="129"/>
      <c r="CFL18" s="129"/>
      <c r="CFM18" s="129"/>
      <c r="CFN18" s="129"/>
      <c r="CFO18" s="129"/>
      <c r="CFP18" s="129"/>
      <c r="CFQ18" s="129"/>
      <c r="CFR18" s="129"/>
      <c r="CFS18" s="129"/>
      <c r="CFT18" s="128"/>
      <c r="CFU18" s="128"/>
      <c r="CFV18" s="128"/>
      <c r="CFW18" s="128"/>
      <c r="CFX18" s="128"/>
      <c r="CFY18" s="128"/>
      <c r="CFZ18" s="129"/>
      <c r="CGA18" s="129"/>
      <c r="CGB18" s="129"/>
      <c r="CGC18" s="129"/>
      <c r="CGD18" s="129"/>
      <c r="CGE18" s="129"/>
      <c r="CGF18" s="129"/>
      <c r="CGG18" s="129"/>
      <c r="CGH18" s="129"/>
      <c r="CGI18" s="129"/>
      <c r="CGJ18" s="129"/>
      <c r="CGK18" s="129"/>
      <c r="CGL18" s="129"/>
      <c r="CGM18" s="129"/>
      <c r="CGN18" s="129"/>
      <c r="CGO18" s="129"/>
      <c r="CGP18" s="129"/>
      <c r="CGQ18" s="129"/>
      <c r="CGR18" s="129"/>
      <c r="CGS18" s="129"/>
      <c r="CGT18" s="129"/>
      <c r="CGU18" s="129"/>
      <c r="CGV18" s="129"/>
      <c r="CGW18" s="129"/>
      <c r="CGX18" s="129"/>
      <c r="CGY18" s="129"/>
      <c r="CGZ18" s="129"/>
      <c r="CHA18" s="129"/>
      <c r="CHB18" s="128"/>
      <c r="CHC18" s="128"/>
      <c r="CHD18" s="128"/>
      <c r="CHE18" s="128"/>
      <c r="CHF18" s="128"/>
      <c r="CHG18" s="128"/>
      <c r="CHH18" s="128"/>
      <c r="CHJ18" s="128" t="s">
        <v>3485</v>
      </c>
      <c r="CHK18" s="128"/>
      <c r="CHL18" s="128"/>
      <c r="CHM18" s="128"/>
      <c r="CHN18" s="128"/>
      <c r="CHO18" s="128"/>
      <c r="CHP18" s="128"/>
      <c r="CHQ18" s="128"/>
      <c r="CHR18" s="128"/>
      <c r="CHS18" s="128"/>
      <c r="CHT18" s="128"/>
      <c r="CHU18" s="128"/>
      <c r="CHV18" s="128"/>
      <c r="CHW18" s="128"/>
      <c r="CHX18" s="128"/>
      <c r="CHY18" s="128"/>
      <c r="CHZ18" s="128"/>
      <c r="CIA18" s="128"/>
      <c r="CIB18" s="128"/>
      <c r="CIC18" s="128"/>
      <c r="CID18" s="128"/>
      <c r="CIE18" s="128"/>
      <c r="CIF18" s="128"/>
      <c r="CIG18" s="128"/>
      <c r="CIH18" s="128"/>
      <c r="CII18" s="128"/>
      <c r="CIJ18" s="128"/>
      <c r="CIK18" s="128"/>
      <c r="CIL18" s="128"/>
      <c r="CIM18" s="128"/>
      <c r="CIN18" s="128"/>
      <c r="CIO18" s="129"/>
      <c r="CIP18" s="129"/>
      <c r="CIQ18" s="129"/>
      <c r="CIR18" s="129"/>
      <c r="CIS18" s="129"/>
      <c r="CIT18" s="129"/>
      <c r="CIU18" s="129"/>
      <c r="CIV18" s="129"/>
      <c r="CIW18" s="129"/>
      <c r="CIX18" s="129"/>
      <c r="CIY18" s="129"/>
      <c r="CIZ18" s="129"/>
      <c r="CJA18" s="129"/>
      <c r="CJB18" s="129"/>
      <c r="CJC18" s="129"/>
      <c r="CJD18" s="129"/>
      <c r="CJE18" s="129"/>
      <c r="CJF18" s="129"/>
      <c r="CJG18" s="129"/>
      <c r="CJH18" s="129"/>
      <c r="CJI18" s="129"/>
      <c r="CJJ18" s="128"/>
      <c r="CJK18" s="128"/>
      <c r="CJL18" s="128"/>
      <c r="CJM18" s="128"/>
      <c r="CJN18" s="128"/>
      <c r="CJO18" s="128"/>
      <c r="CJP18" s="129"/>
      <c r="CJQ18" s="129"/>
      <c r="CJR18" s="129"/>
      <c r="CJS18" s="129"/>
      <c r="CJT18" s="129"/>
      <c r="CJU18" s="129"/>
      <c r="CJV18" s="129"/>
      <c r="CJW18" s="129"/>
      <c r="CJX18" s="129"/>
      <c r="CJY18" s="129"/>
      <c r="CJZ18" s="129"/>
      <c r="CKA18" s="129"/>
      <c r="CKB18" s="129"/>
      <c r="CKC18" s="129"/>
      <c r="CKD18" s="129"/>
      <c r="CKE18" s="129"/>
      <c r="CKF18" s="129"/>
      <c r="CKG18" s="129"/>
      <c r="CKH18" s="129"/>
      <c r="CKI18" s="129"/>
      <c r="CKJ18" s="129"/>
      <c r="CKK18" s="129"/>
      <c r="CKL18" s="129"/>
      <c r="CKM18" s="129"/>
      <c r="CKN18" s="129"/>
      <c r="CKO18" s="129"/>
      <c r="CKP18" s="129"/>
      <c r="CKQ18" s="129"/>
      <c r="CKR18" s="128"/>
      <c r="CKS18" s="128"/>
      <c r="CKT18" s="128"/>
      <c r="CKU18" s="128"/>
      <c r="CKV18" s="128"/>
      <c r="CKW18" s="128"/>
      <c r="CKX18" s="128"/>
      <c r="COP18" s="128" t="str">
        <f ca="1">VLOOKUP(5,INDIRECT("Open"&amp;'Character Creation'!$Z$14),2,FALSE)</f>
        <v>Essence's Perceptions</v>
      </c>
      <c r="COQ18" s="128"/>
      <c r="COR18" s="128"/>
      <c r="COS18" s="128"/>
      <c r="COT18" s="128"/>
      <c r="COU18" s="128"/>
      <c r="COV18" s="128"/>
      <c r="COW18" s="128"/>
      <c r="COX18" s="128"/>
      <c r="COY18" s="128"/>
      <c r="COZ18" s="128"/>
      <c r="CPA18" s="128"/>
      <c r="CPB18" s="128"/>
      <c r="CPC18" s="128"/>
      <c r="CPD18" s="128"/>
      <c r="CPE18" s="128"/>
      <c r="CPF18" s="128"/>
      <c r="CPG18" s="128"/>
      <c r="CPH18" s="128"/>
      <c r="CPI18" s="128"/>
      <c r="CPJ18" s="128"/>
      <c r="CPK18" s="128"/>
      <c r="CPL18" s="128"/>
      <c r="CPM18" s="128"/>
      <c r="CPN18" s="128"/>
      <c r="CPO18" s="128"/>
      <c r="CPP18" s="128"/>
      <c r="CPQ18" s="128"/>
      <c r="CPR18" s="128"/>
      <c r="CPS18" s="128"/>
      <c r="CPT18" s="128"/>
      <c r="CPU18" s="129"/>
      <c r="CPV18" s="129"/>
      <c r="CPW18" s="129"/>
      <c r="CPX18" s="129"/>
      <c r="CPY18" s="129"/>
      <c r="CPZ18" s="129"/>
      <c r="CQA18" s="129"/>
      <c r="CQB18" s="129"/>
      <c r="CQC18" s="129"/>
      <c r="CQD18" s="129"/>
      <c r="CQE18" s="129"/>
      <c r="CQF18" s="129"/>
      <c r="CQG18" s="129"/>
      <c r="CQH18" s="129"/>
      <c r="CQI18" s="129"/>
      <c r="CQJ18" s="129"/>
      <c r="CQK18" s="129"/>
      <c r="CQL18" s="129"/>
      <c r="CQM18" s="129"/>
      <c r="CQN18" s="129"/>
      <c r="CQO18" s="129"/>
      <c r="CQP18" s="128"/>
      <c r="CQQ18" s="128"/>
      <c r="CQR18" s="128"/>
      <c r="CQS18" s="128"/>
      <c r="CQT18" s="128"/>
      <c r="CQU18" s="128"/>
      <c r="CQV18" s="129"/>
      <c r="CQW18" s="129"/>
      <c r="CQX18" s="129"/>
      <c r="CQY18" s="129"/>
      <c r="CQZ18" s="129"/>
      <c r="CRA18" s="129"/>
      <c r="CRB18" s="129"/>
      <c r="CRC18" s="129"/>
      <c r="CRD18" s="129"/>
      <c r="CRE18" s="129"/>
      <c r="CRF18" s="129"/>
      <c r="CRG18" s="129"/>
      <c r="CRH18" s="129"/>
      <c r="CRI18" s="129"/>
      <c r="CRJ18" s="129"/>
      <c r="CRK18" s="129"/>
      <c r="CRL18" s="129"/>
      <c r="CRM18" s="129"/>
      <c r="CRN18" s="129"/>
      <c r="CRO18" s="129"/>
      <c r="CRP18" s="129"/>
      <c r="CRQ18" s="129"/>
      <c r="CRR18" s="129"/>
      <c r="CRS18" s="129"/>
      <c r="CRT18" s="129"/>
      <c r="CRU18" s="129"/>
      <c r="CRV18" s="129"/>
      <c r="CRW18" s="129"/>
      <c r="CRX18" s="128"/>
      <c r="CRY18" s="128"/>
      <c r="CRZ18" s="128"/>
      <c r="CSA18" s="128"/>
      <c r="CSB18" s="128"/>
      <c r="CSC18" s="128"/>
      <c r="CSD18" s="128"/>
      <c r="CSF18" s="128" t="s">
        <v>443</v>
      </c>
      <c r="CSG18" s="128"/>
      <c r="CSH18" s="128"/>
      <c r="CSI18" s="128"/>
      <c r="CSJ18" s="128"/>
      <c r="CSK18" s="128"/>
      <c r="CSL18" s="128"/>
      <c r="CSM18" s="128"/>
      <c r="CSN18" s="128"/>
      <c r="CSO18" s="128"/>
      <c r="CSP18" s="128"/>
      <c r="CSQ18" s="128"/>
      <c r="CSR18" s="128"/>
      <c r="CSS18" s="128"/>
      <c r="CST18" s="128"/>
      <c r="CSU18" s="128"/>
      <c r="CSV18" s="128"/>
      <c r="CSW18" s="128"/>
      <c r="CSX18" s="128"/>
      <c r="CSY18" s="128"/>
      <c r="CSZ18" s="128"/>
      <c r="CTA18" s="128"/>
      <c r="CTB18" s="128"/>
      <c r="CTC18" s="128"/>
      <c r="CTD18" s="128"/>
      <c r="CTE18" s="128"/>
      <c r="CTF18" s="128"/>
      <c r="CTG18" s="128"/>
      <c r="CTH18" s="128"/>
      <c r="CTI18" s="128"/>
      <c r="CTJ18" s="128"/>
      <c r="CTK18" s="129"/>
      <c r="CTL18" s="129"/>
      <c r="CTM18" s="129"/>
      <c r="CTN18" s="129"/>
      <c r="CTO18" s="129"/>
      <c r="CTP18" s="129"/>
      <c r="CTQ18" s="129"/>
      <c r="CTR18" s="129"/>
      <c r="CTS18" s="129"/>
      <c r="CTT18" s="129"/>
      <c r="CTU18" s="129"/>
      <c r="CTV18" s="129"/>
      <c r="CTW18" s="129"/>
      <c r="CTX18" s="129"/>
      <c r="CTY18" s="129"/>
      <c r="CTZ18" s="129"/>
      <c r="CUA18" s="129"/>
      <c r="CUB18" s="129"/>
      <c r="CUC18" s="129"/>
      <c r="CUD18" s="129"/>
      <c r="CUE18" s="129"/>
      <c r="CUF18" s="128"/>
      <c r="CUG18" s="128"/>
      <c r="CUH18" s="128"/>
      <c r="CUI18" s="128"/>
      <c r="CUJ18" s="128"/>
      <c r="CUK18" s="128"/>
      <c r="CUL18" s="129"/>
      <c r="CUM18" s="129"/>
      <c r="CUN18" s="129"/>
      <c r="CUO18" s="129"/>
      <c r="CUP18" s="129"/>
      <c r="CUQ18" s="129"/>
      <c r="CUR18" s="129"/>
      <c r="CUS18" s="129"/>
      <c r="CUT18" s="129"/>
      <c r="CUU18" s="129"/>
      <c r="CUV18" s="129"/>
      <c r="CUW18" s="129"/>
      <c r="CUX18" s="129"/>
      <c r="CUY18" s="129"/>
      <c r="CUZ18" s="129"/>
      <c r="CVA18" s="129"/>
      <c r="CVB18" s="129"/>
      <c r="CVC18" s="129"/>
      <c r="CVD18" s="129"/>
      <c r="CVE18" s="129"/>
      <c r="CVF18" s="129"/>
      <c r="CVG18" s="129"/>
      <c r="CVH18" s="129"/>
      <c r="CVI18" s="129"/>
      <c r="CVJ18" s="129"/>
      <c r="CVK18" s="129"/>
      <c r="CVL18" s="129"/>
      <c r="CVM18" s="129"/>
      <c r="CVN18" s="128"/>
      <c r="CVO18" s="128"/>
      <c r="CVP18" s="128"/>
      <c r="CVQ18" s="128"/>
      <c r="CVR18" s="128"/>
      <c r="CVS18" s="128"/>
      <c r="CVT18" s="128"/>
      <c r="CVV18" s="128" t="s">
        <v>495</v>
      </c>
      <c r="CVW18" s="128"/>
      <c r="CVX18" s="128"/>
      <c r="CVY18" s="128"/>
      <c r="CVZ18" s="128"/>
      <c r="CWA18" s="128"/>
      <c r="CWB18" s="128"/>
      <c r="CWC18" s="128"/>
      <c r="CWD18" s="128"/>
      <c r="CWE18" s="128"/>
      <c r="CWF18" s="128"/>
      <c r="CWG18" s="128"/>
      <c r="CWH18" s="128"/>
      <c r="CWI18" s="128"/>
      <c r="CWJ18" s="128"/>
      <c r="CWK18" s="128"/>
      <c r="CWL18" s="128"/>
      <c r="CWM18" s="128"/>
      <c r="CWN18" s="128"/>
      <c r="CWO18" s="128"/>
      <c r="CWP18" s="128"/>
      <c r="CWQ18" s="128"/>
      <c r="CWR18" s="128"/>
      <c r="CWS18" s="128"/>
      <c r="CWT18" s="128"/>
      <c r="CWU18" s="128"/>
      <c r="CWV18" s="128"/>
      <c r="CWW18" s="128"/>
      <c r="CWX18" s="128"/>
      <c r="CWY18" s="128"/>
      <c r="CWZ18" s="128"/>
      <c r="CXA18" s="129"/>
      <c r="CXB18" s="129"/>
      <c r="CXC18" s="129"/>
      <c r="CXD18" s="129"/>
      <c r="CXE18" s="129"/>
      <c r="CXF18" s="129"/>
      <c r="CXG18" s="129"/>
      <c r="CXH18" s="129"/>
      <c r="CXI18" s="129"/>
      <c r="CXJ18" s="129"/>
      <c r="CXK18" s="129"/>
      <c r="CXL18" s="129"/>
      <c r="CXM18" s="129"/>
      <c r="CXN18" s="129"/>
      <c r="CXO18" s="129"/>
      <c r="CXP18" s="129"/>
      <c r="CXQ18" s="129"/>
      <c r="CXR18" s="129"/>
      <c r="CXS18" s="129"/>
      <c r="CXT18" s="129"/>
      <c r="CXU18" s="129"/>
      <c r="CXV18" s="128"/>
      <c r="CXW18" s="128"/>
      <c r="CXX18" s="128"/>
      <c r="CXY18" s="128"/>
      <c r="CXZ18" s="128"/>
      <c r="CYA18" s="128"/>
      <c r="CYB18" s="129"/>
      <c r="CYC18" s="129"/>
      <c r="CYD18" s="129"/>
      <c r="CYE18" s="129"/>
      <c r="CYF18" s="129"/>
      <c r="CYG18" s="129"/>
      <c r="CYH18" s="129"/>
      <c r="CYI18" s="129"/>
      <c r="CYJ18" s="129"/>
      <c r="CYK18" s="129"/>
      <c r="CYL18" s="129"/>
      <c r="CYM18" s="129"/>
      <c r="CYN18" s="129"/>
      <c r="CYO18" s="129"/>
      <c r="CYP18" s="129"/>
      <c r="CYQ18" s="129"/>
      <c r="CYR18" s="129"/>
      <c r="CYS18" s="129"/>
      <c r="CYT18" s="129"/>
      <c r="CYU18" s="129"/>
      <c r="CYV18" s="129"/>
      <c r="CYW18" s="129"/>
      <c r="CYX18" s="129"/>
      <c r="CYY18" s="129"/>
      <c r="CYZ18" s="129"/>
      <c r="CZA18" s="129"/>
      <c r="CZB18" s="129"/>
      <c r="CZC18" s="129"/>
      <c r="CZD18" s="128"/>
      <c r="CZE18" s="128"/>
      <c r="CZF18" s="128"/>
      <c r="CZG18" s="128"/>
      <c r="CZH18" s="128"/>
      <c r="CZI18" s="128"/>
      <c r="CZJ18" s="128"/>
      <c r="DDB18" s="128" t="s">
        <v>527</v>
      </c>
      <c r="DDC18" s="128"/>
      <c r="DDD18" s="128"/>
      <c r="DDE18" s="128"/>
      <c r="DDF18" s="128"/>
      <c r="DDG18" s="128"/>
      <c r="DDH18" s="128"/>
      <c r="DDI18" s="128"/>
      <c r="DDJ18" s="128"/>
      <c r="DDK18" s="128"/>
      <c r="DDL18" s="128"/>
      <c r="DDM18" s="128"/>
      <c r="DDN18" s="128"/>
      <c r="DDO18" s="128"/>
      <c r="DDP18" s="128"/>
      <c r="DDQ18" s="128"/>
      <c r="DDR18" s="128"/>
      <c r="DDS18" s="128"/>
      <c r="DDT18" s="128"/>
      <c r="DDU18" s="128"/>
      <c r="DDV18" s="128"/>
      <c r="DDW18" s="128"/>
      <c r="DDX18" s="128"/>
      <c r="DDY18" s="128"/>
      <c r="DDZ18" s="128"/>
      <c r="DEA18" s="128"/>
      <c r="DEB18" s="128"/>
      <c r="DEC18" s="128"/>
      <c r="DED18" s="128"/>
      <c r="DEE18" s="128"/>
      <c r="DEF18" s="128"/>
      <c r="DEG18" s="129"/>
      <c r="DEH18" s="129"/>
      <c r="DEI18" s="129"/>
      <c r="DEJ18" s="129"/>
      <c r="DEK18" s="129"/>
      <c r="DEL18" s="129"/>
      <c r="DEM18" s="129"/>
      <c r="DEN18" s="129"/>
      <c r="DEO18" s="129"/>
      <c r="DEP18" s="129"/>
      <c r="DEQ18" s="129"/>
      <c r="DER18" s="129"/>
      <c r="DES18" s="129"/>
      <c r="DET18" s="129"/>
      <c r="DEU18" s="129"/>
      <c r="DEV18" s="129"/>
      <c r="DEW18" s="129"/>
      <c r="DEX18" s="129"/>
      <c r="DEY18" s="129"/>
      <c r="DEZ18" s="129"/>
      <c r="DFA18" s="129"/>
      <c r="DFB18" s="128"/>
      <c r="DFC18" s="128"/>
      <c r="DFD18" s="128"/>
      <c r="DFE18" s="128"/>
      <c r="DFF18" s="128"/>
      <c r="DFG18" s="128"/>
      <c r="DFH18" s="129"/>
      <c r="DFI18" s="129"/>
      <c r="DFJ18" s="129"/>
      <c r="DFK18" s="129"/>
      <c r="DFL18" s="129"/>
      <c r="DFM18" s="129"/>
      <c r="DFN18" s="129"/>
      <c r="DFO18" s="129"/>
      <c r="DFP18" s="129"/>
      <c r="DFQ18" s="129"/>
      <c r="DFR18" s="129"/>
      <c r="DFS18" s="129"/>
      <c r="DFT18" s="129"/>
      <c r="DFU18" s="129"/>
      <c r="DFV18" s="129"/>
      <c r="DFW18" s="129"/>
      <c r="DFX18" s="129"/>
      <c r="DFY18" s="129"/>
      <c r="DFZ18" s="129"/>
      <c r="DGA18" s="129"/>
      <c r="DGB18" s="129"/>
      <c r="DGC18" s="129"/>
      <c r="DGD18" s="129"/>
      <c r="DGE18" s="129"/>
      <c r="DGF18" s="129"/>
      <c r="DGG18" s="129"/>
      <c r="DGH18" s="129"/>
      <c r="DGI18" s="129"/>
      <c r="DGJ18" s="128"/>
      <c r="DGK18" s="128"/>
      <c r="DGL18" s="128"/>
      <c r="DGM18" s="128"/>
      <c r="DGN18" s="128"/>
      <c r="DGO18" s="128"/>
      <c r="DGP18" s="128"/>
      <c r="DGR18" s="128" t="s">
        <v>567</v>
      </c>
      <c r="DGS18" s="128"/>
      <c r="DGT18" s="128"/>
      <c r="DGU18" s="128"/>
      <c r="DGV18" s="128"/>
      <c r="DGW18" s="128"/>
      <c r="DGX18" s="128"/>
      <c r="DGY18" s="128"/>
      <c r="DGZ18" s="128"/>
      <c r="DHA18" s="128"/>
      <c r="DHB18" s="128"/>
      <c r="DHC18" s="128"/>
      <c r="DHD18" s="128"/>
      <c r="DHE18" s="128"/>
      <c r="DHF18" s="128"/>
      <c r="DHG18" s="128"/>
      <c r="DHH18" s="128"/>
      <c r="DHI18" s="128"/>
      <c r="DHJ18" s="128"/>
      <c r="DHK18" s="128"/>
      <c r="DHL18" s="128"/>
      <c r="DHM18" s="128"/>
      <c r="DHN18" s="128"/>
      <c r="DHO18" s="128"/>
      <c r="DHP18" s="128"/>
      <c r="DHQ18" s="128"/>
      <c r="DHR18" s="128"/>
      <c r="DHS18" s="128"/>
      <c r="DHT18" s="128"/>
      <c r="DHU18" s="128"/>
      <c r="DHV18" s="128"/>
      <c r="DHW18" s="129"/>
      <c r="DHX18" s="129"/>
      <c r="DHY18" s="129"/>
      <c r="DHZ18" s="129"/>
      <c r="DIA18" s="129"/>
      <c r="DIB18" s="129"/>
      <c r="DIC18" s="129"/>
      <c r="DID18" s="129"/>
      <c r="DIE18" s="129"/>
      <c r="DIF18" s="129"/>
      <c r="DIG18" s="129"/>
      <c r="DIH18" s="129"/>
      <c r="DII18" s="129"/>
      <c r="DIJ18" s="129"/>
      <c r="DIK18" s="129"/>
      <c r="DIL18" s="129"/>
      <c r="DIM18" s="129"/>
      <c r="DIN18" s="129"/>
      <c r="DIO18" s="129"/>
      <c r="DIP18" s="129"/>
      <c r="DIQ18" s="129"/>
      <c r="DIR18" s="128"/>
      <c r="DIS18" s="128"/>
      <c r="DIT18" s="128"/>
      <c r="DIU18" s="128"/>
      <c r="DIV18" s="128"/>
      <c r="DIW18" s="128"/>
      <c r="DIX18" s="129"/>
      <c r="DIY18" s="129"/>
      <c r="DIZ18" s="129"/>
      <c r="DJA18" s="129"/>
      <c r="DJB18" s="129"/>
      <c r="DJC18" s="129"/>
      <c r="DJD18" s="129"/>
      <c r="DJE18" s="129"/>
      <c r="DJF18" s="129"/>
      <c r="DJG18" s="129"/>
      <c r="DJH18" s="129"/>
      <c r="DJI18" s="129"/>
      <c r="DJJ18" s="129"/>
      <c r="DJK18" s="129"/>
      <c r="DJL18" s="129"/>
      <c r="DJM18" s="129"/>
      <c r="DJN18" s="129"/>
      <c r="DJO18" s="129"/>
      <c r="DJP18" s="129"/>
      <c r="DJQ18" s="129"/>
      <c r="DJR18" s="129"/>
      <c r="DJS18" s="129"/>
      <c r="DJT18" s="129"/>
      <c r="DJU18" s="129"/>
      <c r="DJV18" s="129"/>
      <c r="DJW18" s="129"/>
      <c r="DJX18" s="129"/>
      <c r="DJY18" s="129"/>
      <c r="DJZ18" s="128"/>
      <c r="DKA18" s="128"/>
      <c r="DKB18" s="128"/>
      <c r="DKC18" s="128"/>
      <c r="DKD18" s="128"/>
      <c r="DKE18" s="128"/>
      <c r="DKF18" s="128"/>
    </row>
    <row r="19" spans="2:1022 1118:1774 2152:2996" ht="15" customHeight="1" x14ac:dyDescent="0.25">
      <c r="B19" s="188" t="s">
        <v>31</v>
      </c>
      <c r="C19" s="189"/>
      <c r="D19" s="189"/>
      <c r="E19" s="189"/>
      <c r="F19" s="189"/>
      <c r="G19" s="189"/>
      <c r="H19" s="189"/>
      <c r="I19" s="189"/>
      <c r="J19" s="189"/>
      <c r="K19" s="189"/>
      <c r="L19" s="189"/>
      <c r="M19" s="189"/>
      <c r="N19" s="189"/>
      <c r="O19" s="189"/>
      <c r="P19" s="189"/>
      <c r="Q19" s="130">
        <f>'Level-up'!E9</f>
        <v>47</v>
      </c>
      <c r="R19" s="130"/>
      <c r="S19" s="130"/>
      <c r="T19" s="130"/>
      <c r="U19" s="130"/>
      <c r="V19" s="130"/>
      <c r="W19" s="130"/>
      <c r="X19" s="130">
        <f>'Character Creation'!AJ46</f>
        <v>100</v>
      </c>
      <c r="Y19" s="130"/>
      <c r="Z19" s="130"/>
      <c r="AA19" s="130"/>
      <c r="AB19" s="130"/>
      <c r="AC19" s="130"/>
      <c r="AD19" s="130"/>
      <c r="AE19" s="130">
        <f t="shared" si="1"/>
        <v>-1</v>
      </c>
      <c r="AF19" s="130"/>
      <c r="AG19" s="130"/>
      <c r="AH19" s="130"/>
      <c r="AI19" s="130"/>
      <c r="AJ19" s="130"/>
      <c r="AK19" s="130"/>
      <c r="AL19" s="130">
        <f>VLOOKUP('Character Creation'!$Z$11,RaceChart,8,FALSE)</f>
        <v>0</v>
      </c>
      <c r="AM19" s="130"/>
      <c r="AN19" s="130"/>
      <c r="AO19" s="130"/>
      <c r="AP19" s="130"/>
      <c r="AQ19" s="130"/>
      <c r="AR19" s="130"/>
      <c r="AS19" s="130">
        <v>0</v>
      </c>
      <c r="AT19" s="130"/>
      <c r="AU19" s="130"/>
      <c r="AV19" s="130"/>
      <c r="AW19" s="130"/>
      <c r="AX19" s="130"/>
      <c r="AY19" s="130"/>
      <c r="AZ19" s="210">
        <f t="shared" si="2"/>
        <v>-1</v>
      </c>
      <c r="BA19" s="210"/>
      <c r="BB19" s="210"/>
      <c r="BC19" s="210"/>
      <c r="BD19" s="210"/>
      <c r="BE19" s="210"/>
      <c r="BF19" s="211"/>
      <c r="BH19" s="188" t="s">
        <v>46</v>
      </c>
      <c r="BI19" s="189"/>
      <c r="BJ19" s="189"/>
      <c r="BK19" s="189"/>
      <c r="BL19" s="189"/>
      <c r="BM19" s="189"/>
      <c r="BN19" s="189"/>
      <c r="BO19" s="189"/>
      <c r="BP19" s="189"/>
      <c r="BQ19" s="189"/>
      <c r="BR19" s="189"/>
      <c r="BS19" s="189"/>
      <c r="BT19" s="189"/>
      <c r="BU19" s="189"/>
      <c r="BV19" s="189"/>
      <c r="BW19" s="189"/>
      <c r="BX19" s="189"/>
      <c r="BY19" s="189"/>
      <c r="BZ19" s="189"/>
      <c r="CA19" s="130">
        <v>0</v>
      </c>
      <c r="CB19" s="130"/>
      <c r="CC19" s="130"/>
      <c r="CD19" s="130"/>
      <c r="CE19" s="130"/>
      <c r="CF19" s="130"/>
      <c r="CG19" s="130"/>
      <c r="CH19" s="130">
        <v>0</v>
      </c>
      <c r="CI19" s="130"/>
      <c r="CJ19" s="130"/>
      <c r="CK19" s="130"/>
      <c r="CL19" s="130"/>
      <c r="CM19" s="130"/>
      <c r="CN19" s="130"/>
      <c r="CO19" s="130">
        <v>0</v>
      </c>
      <c r="CP19" s="130"/>
      <c r="CQ19" s="130"/>
      <c r="CR19" s="130"/>
      <c r="CS19" s="130"/>
      <c r="CT19" s="130"/>
      <c r="CU19" s="130"/>
      <c r="CV19" s="210">
        <f t="shared" ref="CV19:CV20" si="4">SUM(CA19:CU19)</f>
        <v>0</v>
      </c>
      <c r="CW19" s="210"/>
      <c r="CX19" s="210"/>
      <c r="CY19" s="210"/>
      <c r="CZ19" s="210"/>
      <c r="DA19" s="210"/>
      <c r="DB19" s="211"/>
      <c r="DC19"/>
      <c r="DD19" s="232" t="s">
        <v>3235</v>
      </c>
      <c r="DE19" s="233"/>
      <c r="DF19" s="233"/>
      <c r="DG19" s="233"/>
      <c r="DH19" s="233"/>
      <c r="DI19" s="233"/>
      <c r="DJ19" s="233"/>
      <c r="DK19" s="233"/>
      <c r="DL19" s="233"/>
      <c r="DM19" s="233"/>
      <c r="DN19" s="233"/>
      <c r="DO19" s="233"/>
      <c r="DP19" s="233"/>
      <c r="DQ19" s="233"/>
      <c r="DR19" s="233"/>
      <c r="DS19" s="233"/>
      <c r="DT19" s="233"/>
      <c r="DU19" s="233"/>
      <c r="DV19" s="233"/>
      <c r="DW19" s="233"/>
      <c r="DX19" s="233"/>
      <c r="DY19" s="233"/>
      <c r="DZ19" s="233"/>
      <c r="EA19" s="233"/>
      <c r="EB19" s="233"/>
      <c r="EC19" s="233"/>
      <c r="ED19" s="233"/>
      <c r="EE19" s="233"/>
      <c r="EF19" s="233"/>
      <c r="EG19" s="134">
        <f>EG15</f>
        <v>-12</v>
      </c>
      <c r="EH19" s="134"/>
      <c r="EI19" s="134"/>
      <c r="EJ19" s="134"/>
      <c r="EK19" s="134"/>
      <c r="EL19" s="134"/>
      <c r="EM19" s="134"/>
      <c r="EN19" s="134"/>
      <c r="EO19" s="130" t="s">
        <v>117</v>
      </c>
      <c r="EP19" s="130"/>
      <c r="EQ19" s="130"/>
      <c r="ER19" s="130"/>
      <c r="ES19" s="222">
        <f>ES15</f>
        <v>-1</v>
      </c>
      <c r="ET19" s="222"/>
      <c r="EU19" s="222"/>
      <c r="EV19" s="222"/>
      <c r="EW19" s="222"/>
      <c r="EX19" s="222"/>
      <c r="EY19" s="222"/>
      <c r="EZ19" s="223"/>
      <c r="FB19" s="139"/>
      <c r="FC19" s="140"/>
      <c r="FD19" s="140"/>
      <c r="FE19" s="140"/>
      <c r="FF19" s="140"/>
      <c r="FG19" s="140"/>
      <c r="FH19" s="140"/>
      <c r="FI19" s="140"/>
      <c r="FJ19" s="140"/>
      <c r="FK19" s="140"/>
      <c r="FL19" s="140"/>
      <c r="FM19" s="140"/>
      <c r="FN19" s="140"/>
      <c r="FO19" s="140"/>
      <c r="FP19" s="140"/>
      <c r="FQ19" s="140"/>
      <c r="FR19" s="140"/>
      <c r="FS19" s="140"/>
      <c r="FT19" s="140"/>
      <c r="FU19" s="140"/>
      <c r="FV19" s="140"/>
      <c r="FW19" s="140"/>
      <c r="FX19" s="140"/>
      <c r="FY19" s="140"/>
      <c r="FZ19" s="140"/>
      <c r="GA19" s="140"/>
      <c r="GB19" s="140"/>
      <c r="GC19" s="140"/>
      <c r="GD19" s="140"/>
      <c r="GE19" s="140"/>
      <c r="GF19" s="140"/>
      <c r="GG19" s="140"/>
      <c r="GH19" s="140"/>
      <c r="GI19" s="140"/>
      <c r="GJ19" s="140"/>
      <c r="GK19" s="140"/>
      <c r="GL19" s="140"/>
      <c r="GM19" s="140"/>
      <c r="GN19" s="140"/>
      <c r="GO19" s="140"/>
      <c r="GP19" s="140"/>
      <c r="GQ19" s="140"/>
      <c r="GR19" s="140"/>
      <c r="GS19" s="140"/>
      <c r="GT19" s="141">
        <v>0</v>
      </c>
      <c r="GU19" s="141"/>
      <c r="GV19" s="141"/>
      <c r="GW19" s="141"/>
      <c r="GX19" s="141"/>
      <c r="GY19" s="141"/>
      <c r="GZ19" s="141"/>
      <c r="HA19" s="141"/>
      <c r="HB19" s="142" t="str">
        <f>IFERROR(ROUND(((Calculations!BV19/185)*'Character Creation'!$Z$18)*GT19,2),"")</f>
        <v/>
      </c>
      <c r="HC19" s="142"/>
      <c r="HD19" s="142"/>
      <c r="HE19" s="142"/>
      <c r="HF19" s="142"/>
      <c r="HG19" s="142"/>
      <c r="HH19" s="142"/>
      <c r="HI19" s="142"/>
      <c r="HJ19" s="142">
        <f>IFERROR(Calculations!BS19+IQ19+IX19,"")</f>
        <v>0</v>
      </c>
      <c r="HK19" s="142"/>
      <c r="HL19" s="142"/>
      <c r="HM19" s="142"/>
      <c r="HN19" s="142"/>
      <c r="HO19" s="142"/>
      <c r="HP19" s="142"/>
      <c r="HQ19" s="142"/>
      <c r="HR19" s="142" t="str">
        <f t="shared" si="0"/>
        <v/>
      </c>
      <c r="HS19" s="142"/>
      <c r="HT19" s="142"/>
      <c r="HU19" s="142"/>
      <c r="HV19" s="142"/>
      <c r="HW19" s="142"/>
      <c r="HX19" s="142"/>
      <c r="HY19" s="142"/>
      <c r="HZ19" s="142" t="str">
        <f>IFERROR(Calculations!BX19,"")</f>
        <v/>
      </c>
      <c r="IA19" s="142"/>
      <c r="IB19" s="142"/>
      <c r="IC19" s="142"/>
      <c r="ID19" s="142"/>
      <c r="IE19" s="142"/>
      <c r="IF19" s="142"/>
      <c r="IG19" s="142"/>
      <c r="IH19" s="142"/>
      <c r="II19" s="142"/>
      <c r="IJ19" s="186" t="str">
        <f>IFERROR(Calculations!BR19+IX19,"")</f>
        <v/>
      </c>
      <c r="IK19" s="186"/>
      <c r="IL19" s="186"/>
      <c r="IM19" s="186"/>
      <c r="IN19" s="186"/>
      <c r="IO19" s="186"/>
      <c r="IP19" s="186"/>
      <c r="IQ19" s="141">
        <v>0</v>
      </c>
      <c r="IR19" s="141"/>
      <c r="IS19" s="141"/>
      <c r="IT19" s="141"/>
      <c r="IU19" s="141"/>
      <c r="IV19" s="141"/>
      <c r="IW19" s="141"/>
      <c r="IX19" s="141">
        <v>0</v>
      </c>
      <c r="IY19" s="141"/>
      <c r="IZ19" s="141"/>
      <c r="JA19" s="141"/>
      <c r="JB19" s="141"/>
      <c r="JC19" s="141"/>
      <c r="JD19" s="141"/>
      <c r="JE19" s="141"/>
      <c r="JF19" s="142"/>
      <c r="JG19" s="142"/>
      <c r="JH19" s="142"/>
      <c r="JI19" s="142"/>
      <c r="JJ19" s="142"/>
      <c r="JK19" s="143" t="str">
        <f>Calculations!AS19</f>
        <v/>
      </c>
      <c r="JL19" s="143"/>
      <c r="JM19" s="143"/>
      <c r="JN19" s="143"/>
      <c r="JO19" s="143"/>
      <c r="JP19" s="143"/>
      <c r="JQ19" s="143"/>
      <c r="JR19" s="143"/>
      <c r="JS19" s="143"/>
      <c r="JT19" s="143"/>
      <c r="JU19" s="143"/>
      <c r="JV19" s="143"/>
      <c r="JW19" s="143"/>
      <c r="JX19" s="143"/>
      <c r="JY19" s="143"/>
      <c r="JZ19" s="143"/>
      <c r="KA19" s="143"/>
      <c r="KB19" s="143"/>
      <c r="KC19" s="143" t="str">
        <f>Calculations!AW19</f>
        <v/>
      </c>
      <c r="KD19" s="143"/>
      <c r="KE19" s="143"/>
      <c r="KF19" s="143"/>
      <c r="KG19" s="143"/>
      <c r="KH19" s="143"/>
      <c r="KI19" s="143"/>
      <c r="KJ19" s="143"/>
      <c r="KK19" s="143"/>
      <c r="KL19" s="143"/>
      <c r="KM19" s="143"/>
      <c r="KN19" s="143"/>
      <c r="KO19" s="143"/>
      <c r="KP19" s="143"/>
      <c r="KQ19" s="143"/>
      <c r="KR19" s="143"/>
      <c r="KS19" s="143"/>
      <c r="KT19" s="143"/>
      <c r="KU19" s="144"/>
      <c r="KV19" s="144"/>
      <c r="KW19" s="144"/>
      <c r="KX19" s="144"/>
      <c r="KY19" s="144"/>
      <c r="KZ19" s="144"/>
      <c r="LA19" s="144"/>
      <c r="LB19" s="144"/>
      <c r="LC19" s="144"/>
      <c r="LD19" s="144"/>
      <c r="LE19" s="144"/>
      <c r="LF19" s="144"/>
      <c r="LG19" s="144"/>
      <c r="LH19" s="144"/>
      <c r="LI19" s="144"/>
      <c r="LJ19" s="144"/>
      <c r="LK19" s="144"/>
      <c r="LL19" s="144"/>
      <c r="LM19" s="144"/>
      <c r="LN19" s="144"/>
      <c r="LO19" s="144"/>
      <c r="LP19" s="144"/>
      <c r="LQ19" s="144"/>
      <c r="LR19" s="144"/>
      <c r="LS19" s="144"/>
      <c r="LT19" s="144"/>
      <c r="LU19" s="144"/>
      <c r="LV19" s="144"/>
      <c r="LW19" s="144"/>
      <c r="LX19" s="144"/>
      <c r="LY19" s="144"/>
      <c r="LZ19" s="144"/>
      <c r="MA19" s="144"/>
      <c r="MB19" s="144"/>
      <c r="MC19" s="144"/>
      <c r="MD19" s="144"/>
      <c r="ME19" s="144"/>
      <c r="MF19" s="144"/>
      <c r="MG19" s="144"/>
      <c r="MH19" s="144"/>
      <c r="MI19" s="144"/>
      <c r="MJ19" s="144"/>
      <c r="MK19" s="144"/>
      <c r="ML19" s="144"/>
      <c r="MM19" s="144"/>
      <c r="MN19" s="144"/>
      <c r="MO19" s="144"/>
      <c r="MP19" s="144"/>
      <c r="MQ19" s="144"/>
      <c r="MR19" s="144"/>
      <c r="MS19" s="144"/>
      <c r="MT19" s="144"/>
      <c r="MU19" s="144"/>
      <c r="MV19" s="144"/>
      <c r="MW19" s="144"/>
      <c r="MX19" s="144"/>
      <c r="MY19" s="144"/>
      <c r="MZ19" s="145"/>
      <c r="NB19" s="128" t="s">
        <v>3483</v>
      </c>
      <c r="NC19" s="128"/>
      <c r="ND19" s="128"/>
      <c r="NE19" s="128"/>
      <c r="NF19" s="128"/>
      <c r="NG19" s="128"/>
      <c r="NH19" s="128"/>
      <c r="NI19" s="128"/>
      <c r="NJ19" s="128"/>
      <c r="NK19" s="128"/>
      <c r="NL19" s="128"/>
      <c r="NM19" s="128"/>
      <c r="NN19" s="128"/>
      <c r="NO19" s="128"/>
      <c r="NP19" s="128"/>
      <c r="NQ19" s="128"/>
      <c r="NR19" s="128"/>
      <c r="NS19" s="128"/>
      <c r="NT19" s="128"/>
      <c r="NU19" s="128"/>
      <c r="NV19" s="128"/>
      <c r="NW19" s="128"/>
      <c r="NX19" s="128"/>
      <c r="NY19" s="128"/>
      <c r="NZ19" s="128"/>
      <c r="OA19" s="128"/>
      <c r="OB19" s="128"/>
      <c r="OC19" s="128"/>
      <c r="OD19" s="128"/>
      <c r="OE19" s="128"/>
      <c r="OF19" s="128"/>
      <c r="OG19" s="129"/>
      <c r="OH19" s="129"/>
      <c r="OI19" s="129"/>
      <c r="OJ19" s="129"/>
      <c r="OK19" s="129"/>
      <c r="OL19" s="129"/>
      <c r="OM19" s="129"/>
      <c r="ON19" s="129"/>
      <c r="OO19" s="129"/>
      <c r="OP19" s="129"/>
      <c r="OQ19" s="129"/>
      <c r="OR19" s="129"/>
      <c r="OS19" s="129"/>
      <c r="OT19" s="129"/>
      <c r="OU19" s="129"/>
      <c r="OV19" s="129"/>
      <c r="OW19" s="129"/>
      <c r="OX19" s="129"/>
      <c r="OY19" s="129"/>
      <c r="OZ19" s="129"/>
      <c r="PA19" s="129"/>
      <c r="PB19" s="128"/>
      <c r="PC19" s="128"/>
      <c r="PD19" s="128"/>
      <c r="PE19" s="128"/>
      <c r="PF19" s="128"/>
      <c r="PG19" s="128"/>
      <c r="PH19" s="129"/>
      <c r="PI19" s="129"/>
      <c r="PJ19" s="129"/>
      <c r="PK19" s="129"/>
      <c r="PL19" s="129"/>
      <c r="PM19" s="129"/>
      <c r="PN19" s="129"/>
      <c r="PO19" s="129"/>
      <c r="PP19" s="129"/>
      <c r="PQ19" s="129"/>
      <c r="PR19" s="129"/>
      <c r="PS19" s="129"/>
      <c r="PT19" s="129"/>
      <c r="PU19" s="129"/>
      <c r="PV19" s="129"/>
      <c r="PW19" s="129"/>
      <c r="PX19" s="129"/>
      <c r="PY19" s="129"/>
      <c r="PZ19" s="129"/>
      <c r="QA19" s="129"/>
      <c r="QB19" s="129"/>
      <c r="QC19" s="129"/>
      <c r="QD19" s="129"/>
      <c r="QE19" s="129"/>
      <c r="QF19" s="129"/>
      <c r="QG19" s="129"/>
      <c r="QH19" s="129"/>
      <c r="QI19" s="129"/>
      <c r="QJ19" s="128"/>
      <c r="QK19" s="128"/>
      <c r="QL19" s="128"/>
      <c r="QM19" s="128"/>
      <c r="QN19" s="128"/>
      <c r="QO19" s="128"/>
      <c r="QP19" s="128"/>
      <c r="AIT19" s="128" t="s">
        <v>81</v>
      </c>
      <c r="AIU19" s="128"/>
      <c r="AIV19" s="128"/>
      <c r="AIW19" s="128"/>
      <c r="AIX19" s="128"/>
      <c r="AIY19" s="128"/>
      <c r="AIZ19" s="128"/>
      <c r="AJA19" s="128"/>
      <c r="AJB19" s="128"/>
      <c r="AJC19" s="128"/>
      <c r="AJD19" s="128"/>
      <c r="AJE19" s="128"/>
      <c r="AJF19" s="128"/>
      <c r="AJG19" s="128"/>
      <c r="AJH19" s="128"/>
      <c r="AJI19" s="128"/>
      <c r="AJJ19" s="128"/>
      <c r="AJK19" s="128"/>
      <c r="AJL19" s="128"/>
      <c r="AJM19" s="128"/>
      <c r="AJN19" s="128"/>
      <c r="AJO19" s="128"/>
      <c r="AJP19" s="128"/>
      <c r="AJQ19" s="128"/>
      <c r="AJR19" s="128"/>
      <c r="AJS19" s="128"/>
      <c r="AJT19" s="128"/>
      <c r="AJU19" s="128"/>
      <c r="AJV19" s="128"/>
      <c r="AJW19" s="128"/>
      <c r="AJX19" s="128"/>
      <c r="AJY19" s="129"/>
      <c r="AJZ19" s="129"/>
      <c r="AKA19" s="129"/>
      <c r="AKB19" s="129"/>
      <c r="AKC19" s="129"/>
      <c r="AKD19" s="129"/>
      <c r="AKE19" s="129"/>
      <c r="AKF19" s="129"/>
      <c r="AKG19" s="129"/>
      <c r="AKH19" s="129"/>
      <c r="AKI19" s="129"/>
      <c r="AKJ19" s="129"/>
      <c r="AKK19" s="129"/>
      <c r="AKL19" s="129"/>
      <c r="AKM19" s="129"/>
      <c r="AKN19" s="129"/>
      <c r="AKO19" s="129"/>
      <c r="AKP19" s="129"/>
      <c r="AKQ19" s="129"/>
      <c r="AKR19" s="129"/>
      <c r="AKS19" s="129"/>
      <c r="AKT19" s="128"/>
      <c r="AKU19" s="128"/>
      <c r="AKV19" s="128"/>
      <c r="AKW19" s="128"/>
      <c r="AKX19" s="128"/>
      <c r="AKY19" s="128"/>
      <c r="AKZ19" s="129"/>
      <c r="ALA19" s="129"/>
      <c r="ALB19" s="129"/>
      <c r="ALC19" s="129"/>
      <c r="ALD19" s="129"/>
      <c r="ALE19" s="129"/>
      <c r="ALF19" s="129"/>
      <c r="ALG19" s="129"/>
      <c r="ALH19" s="129"/>
      <c r="ALI19" s="129"/>
      <c r="ALJ19" s="129"/>
      <c r="ALK19" s="129"/>
      <c r="ALL19" s="129"/>
      <c r="ALM19" s="129"/>
      <c r="ALN19" s="129"/>
      <c r="ALO19" s="129"/>
      <c r="ALP19" s="129"/>
      <c r="ALQ19" s="129"/>
      <c r="ALR19" s="129"/>
      <c r="ALS19" s="129"/>
      <c r="ALT19" s="129"/>
      <c r="ALU19" s="129"/>
      <c r="ALV19" s="129"/>
      <c r="ALW19" s="129"/>
      <c r="ALX19" s="129"/>
      <c r="ALY19" s="129"/>
      <c r="ALZ19" s="129"/>
      <c r="AMA19" s="129"/>
      <c r="AMB19" s="128"/>
      <c r="AMC19" s="128"/>
      <c r="AMD19" s="128"/>
      <c r="AME19" s="128"/>
      <c r="AMF19" s="128"/>
      <c r="AMG19" s="128"/>
      <c r="AMH19" s="128"/>
      <c r="APZ19" s="128" t="s">
        <v>234</v>
      </c>
      <c r="AQA19" s="128"/>
      <c r="AQB19" s="128"/>
      <c r="AQC19" s="128"/>
      <c r="AQD19" s="128"/>
      <c r="AQE19" s="128"/>
      <c r="AQF19" s="128"/>
      <c r="AQG19" s="128"/>
      <c r="AQH19" s="128"/>
      <c r="AQI19" s="128"/>
      <c r="AQJ19" s="128"/>
      <c r="AQK19" s="128"/>
      <c r="AQL19" s="128"/>
      <c r="AQM19" s="128"/>
      <c r="AQN19" s="128"/>
      <c r="AQO19" s="128"/>
      <c r="AQP19" s="128"/>
      <c r="AQQ19" s="128"/>
      <c r="AQR19" s="128"/>
      <c r="AQS19" s="128"/>
      <c r="AQT19" s="128"/>
      <c r="AQU19" s="128"/>
      <c r="AQV19" s="128"/>
      <c r="AQW19" s="128"/>
      <c r="AQX19" s="128"/>
      <c r="AQY19" s="128"/>
      <c r="AQZ19" s="128"/>
      <c r="ARA19" s="128"/>
      <c r="ARB19" s="128"/>
      <c r="ARC19" s="128"/>
      <c r="ARD19" s="128"/>
      <c r="ARE19" s="129"/>
      <c r="ARF19" s="129"/>
      <c r="ARG19" s="129"/>
      <c r="ARH19" s="129"/>
      <c r="ARI19" s="129"/>
      <c r="ARJ19" s="129"/>
      <c r="ARK19" s="129"/>
      <c r="ARL19" s="129"/>
      <c r="ARM19" s="129"/>
      <c r="ARN19" s="129"/>
      <c r="ARO19" s="129"/>
      <c r="ARP19" s="129"/>
      <c r="ARQ19" s="129"/>
      <c r="ARR19" s="129"/>
      <c r="ARS19" s="129"/>
      <c r="ART19" s="129"/>
      <c r="ARU19" s="129"/>
      <c r="ARV19" s="129"/>
      <c r="ARW19" s="129"/>
      <c r="ARX19" s="129"/>
      <c r="ARY19" s="129"/>
      <c r="ARZ19" s="128"/>
      <c r="ASA19" s="128"/>
      <c r="ASB19" s="128"/>
      <c r="ASC19" s="128"/>
      <c r="ASD19" s="128"/>
      <c r="ASE19" s="128"/>
      <c r="ASF19" s="129"/>
      <c r="ASG19" s="129"/>
      <c r="ASH19" s="129"/>
      <c r="ASI19" s="129"/>
      <c r="ASJ19" s="129"/>
      <c r="ASK19" s="129"/>
      <c r="ASL19" s="129"/>
      <c r="ASM19" s="129"/>
      <c r="ASN19" s="129"/>
      <c r="ASO19" s="129"/>
      <c r="ASP19" s="129"/>
      <c r="ASQ19" s="129"/>
      <c r="ASR19" s="129"/>
      <c r="ASS19" s="129"/>
      <c r="AST19" s="129"/>
      <c r="ASU19" s="129"/>
      <c r="ASV19" s="129"/>
      <c r="ASW19" s="129"/>
      <c r="ASX19" s="129"/>
      <c r="ASY19" s="129"/>
      <c r="ASZ19" s="129"/>
      <c r="ATA19" s="129"/>
      <c r="ATB19" s="129"/>
      <c r="ATC19" s="129"/>
      <c r="ATD19" s="129"/>
      <c r="ATE19" s="129"/>
      <c r="ATF19" s="129"/>
      <c r="ATG19" s="129"/>
      <c r="ATH19" s="128"/>
      <c r="ATI19" s="128"/>
      <c r="ATJ19" s="128"/>
      <c r="ATK19" s="128"/>
      <c r="ATL19" s="128"/>
      <c r="ATM19" s="128"/>
      <c r="ATN19" s="128"/>
      <c r="AXF19" s="128" t="s">
        <v>274</v>
      </c>
      <c r="AXG19" s="128"/>
      <c r="AXH19" s="128"/>
      <c r="AXI19" s="128"/>
      <c r="AXJ19" s="128"/>
      <c r="AXK19" s="128"/>
      <c r="AXL19" s="128"/>
      <c r="AXM19" s="128"/>
      <c r="AXN19" s="128"/>
      <c r="AXO19" s="128"/>
      <c r="AXP19" s="128"/>
      <c r="AXQ19" s="128"/>
      <c r="AXR19" s="128"/>
      <c r="AXS19" s="128"/>
      <c r="AXT19" s="128"/>
      <c r="AXU19" s="128"/>
      <c r="AXV19" s="128"/>
      <c r="AXW19" s="128"/>
      <c r="AXX19" s="128"/>
      <c r="AXY19" s="128"/>
      <c r="AXZ19" s="128"/>
      <c r="AYA19" s="128"/>
      <c r="AYB19" s="128"/>
      <c r="AYC19" s="128"/>
      <c r="AYD19" s="128"/>
      <c r="AYE19" s="128"/>
      <c r="AYF19" s="128"/>
      <c r="AYG19" s="128"/>
      <c r="AYH19" s="128"/>
      <c r="AYI19" s="128"/>
      <c r="AYJ19" s="128"/>
      <c r="AYK19" s="129"/>
      <c r="AYL19" s="129"/>
      <c r="AYM19" s="129"/>
      <c r="AYN19" s="129"/>
      <c r="AYO19" s="129"/>
      <c r="AYP19" s="129"/>
      <c r="AYQ19" s="129"/>
      <c r="AYR19" s="129"/>
      <c r="AYS19" s="129"/>
      <c r="AYT19" s="129"/>
      <c r="AYU19" s="129"/>
      <c r="AYV19" s="129"/>
      <c r="AYW19" s="129"/>
      <c r="AYX19" s="129"/>
      <c r="AYY19" s="129"/>
      <c r="AYZ19" s="129"/>
      <c r="AZA19" s="129"/>
      <c r="AZB19" s="129"/>
      <c r="AZC19" s="129"/>
      <c r="AZD19" s="129"/>
      <c r="AZE19" s="129"/>
      <c r="AZF19" s="128"/>
      <c r="AZG19" s="128"/>
      <c r="AZH19" s="128"/>
      <c r="AZI19" s="128"/>
      <c r="AZJ19" s="128"/>
      <c r="AZK19" s="128"/>
      <c r="AZL19" s="129"/>
      <c r="AZM19" s="129"/>
      <c r="AZN19" s="129"/>
      <c r="AZO19" s="129"/>
      <c r="AZP19" s="129"/>
      <c r="AZQ19" s="129"/>
      <c r="AZR19" s="129"/>
      <c r="AZS19" s="129"/>
      <c r="AZT19" s="129"/>
      <c r="AZU19" s="129"/>
      <c r="AZV19" s="129"/>
      <c r="AZW19" s="129"/>
      <c r="AZX19" s="129"/>
      <c r="AZY19" s="129"/>
      <c r="AZZ19" s="129"/>
      <c r="BAA19" s="129"/>
      <c r="BAB19" s="129"/>
      <c r="BAC19" s="129"/>
      <c r="BAD19" s="129"/>
      <c r="BAE19" s="129"/>
      <c r="BAF19" s="129"/>
      <c r="BAG19" s="129"/>
      <c r="BAH19" s="129"/>
      <c r="BAI19" s="129"/>
      <c r="BAJ19" s="129"/>
      <c r="BAK19" s="129"/>
      <c r="BAL19" s="129"/>
      <c r="BAM19" s="129"/>
      <c r="BAN19" s="128"/>
      <c r="BAO19" s="128"/>
      <c r="BAP19" s="128"/>
      <c r="BAQ19" s="128"/>
      <c r="BAR19" s="128"/>
      <c r="BAS19" s="128"/>
      <c r="BAT19" s="128"/>
      <c r="BLR19" s="128" t="s">
        <v>332</v>
      </c>
      <c r="BLS19" s="128"/>
      <c r="BLT19" s="128"/>
      <c r="BLU19" s="128"/>
      <c r="BLV19" s="128"/>
      <c r="BLW19" s="128"/>
      <c r="BLX19" s="128"/>
      <c r="BLY19" s="128"/>
      <c r="BLZ19" s="128"/>
      <c r="BMA19" s="128"/>
      <c r="BMB19" s="128"/>
      <c r="BMC19" s="128"/>
      <c r="BMD19" s="128"/>
      <c r="BME19" s="128"/>
      <c r="BMF19" s="128"/>
      <c r="BMG19" s="128"/>
      <c r="BMH19" s="128"/>
      <c r="BMI19" s="128"/>
      <c r="BMJ19" s="128"/>
      <c r="BMK19" s="128"/>
      <c r="BML19" s="128"/>
      <c r="BMM19" s="128"/>
      <c r="BMN19" s="128"/>
      <c r="BMO19" s="128"/>
      <c r="BMP19" s="128"/>
      <c r="BMQ19" s="128"/>
      <c r="BMR19" s="128"/>
      <c r="BMS19" s="128"/>
      <c r="BMT19" s="128"/>
      <c r="BMU19" s="128"/>
      <c r="BMV19" s="128"/>
      <c r="BMW19" s="129"/>
      <c r="BMX19" s="129"/>
      <c r="BMY19" s="129"/>
      <c r="BMZ19" s="129"/>
      <c r="BNA19" s="129"/>
      <c r="BNB19" s="129"/>
      <c r="BNC19" s="129"/>
      <c r="BND19" s="129"/>
      <c r="BNE19" s="129"/>
      <c r="BNF19" s="129"/>
      <c r="BNG19" s="129"/>
      <c r="BNH19" s="129"/>
      <c r="BNI19" s="129"/>
      <c r="BNJ19" s="129"/>
      <c r="BNK19" s="129"/>
      <c r="BNL19" s="129"/>
      <c r="BNM19" s="129"/>
      <c r="BNN19" s="129"/>
      <c r="BNO19" s="129"/>
      <c r="BNP19" s="129"/>
      <c r="BNQ19" s="129"/>
      <c r="BNR19" s="128"/>
      <c r="BNS19" s="128"/>
      <c r="BNT19" s="128"/>
      <c r="BNU19" s="128"/>
      <c r="BNV19" s="128"/>
      <c r="BNW19" s="128"/>
      <c r="BNX19" s="129"/>
      <c r="BNY19" s="129"/>
      <c r="BNZ19" s="129"/>
      <c r="BOA19" s="129"/>
      <c r="BOB19" s="129"/>
      <c r="BOC19" s="129"/>
      <c r="BOD19" s="129"/>
      <c r="BOE19" s="129"/>
      <c r="BOF19" s="129"/>
      <c r="BOG19" s="129"/>
      <c r="BOH19" s="129"/>
      <c r="BOI19" s="129"/>
      <c r="BOJ19" s="129"/>
      <c r="BOK19" s="129"/>
      <c r="BOL19" s="129"/>
      <c r="BOM19" s="129"/>
      <c r="BON19" s="129"/>
      <c r="BOO19" s="129"/>
      <c r="BOP19" s="129"/>
      <c r="BOQ19" s="129"/>
      <c r="BOR19" s="129"/>
      <c r="BOS19" s="129"/>
      <c r="BOT19" s="129"/>
      <c r="BOU19" s="129"/>
      <c r="BOV19" s="129"/>
      <c r="BOW19" s="129"/>
      <c r="BOX19" s="129"/>
      <c r="BOY19" s="129"/>
      <c r="BOZ19" s="128"/>
      <c r="BPA19" s="128"/>
      <c r="BPB19" s="128"/>
      <c r="BPC19" s="128"/>
      <c r="BPD19" s="128"/>
      <c r="BPE19" s="128"/>
      <c r="BPF19" s="128"/>
      <c r="CDT19" s="128" t="s">
        <v>400</v>
      </c>
      <c r="CDU19" s="128"/>
      <c r="CDV19" s="128"/>
      <c r="CDW19" s="128"/>
      <c r="CDX19" s="128"/>
      <c r="CDY19" s="128"/>
      <c r="CDZ19" s="128"/>
      <c r="CEA19" s="128"/>
      <c r="CEB19" s="128"/>
      <c r="CEC19" s="128"/>
      <c r="CED19" s="128"/>
      <c r="CEE19" s="128"/>
      <c r="CEF19" s="128"/>
      <c r="CEG19" s="128"/>
      <c r="CEH19" s="128"/>
      <c r="CEI19" s="128"/>
      <c r="CEJ19" s="128"/>
      <c r="CEK19" s="128"/>
      <c r="CEL19" s="128"/>
      <c r="CEM19" s="128"/>
      <c r="CEN19" s="128"/>
      <c r="CEO19" s="128"/>
      <c r="CEP19" s="128"/>
      <c r="CEQ19" s="128"/>
      <c r="CER19" s="128"/>
      <c r="CES19" s="128"/>
      <c r="CET19" s="128"/>
      <c r="CEU19" s="128"/>
      <c r="CEV19" s="128"/>
      <c r="CEW19" s="128"/>
      <c r="CEX19" s="128"/>
      <c r="CEY19" s="129"/>
      <c r="CEZ19" s="129"/>
      <c r="CFA19" s="129"/>
      <c r="CFB19" s="129"/>
      <c r="CFC19" s="129"/>
      <c r="CFD19" s="129"/>
      <c r="CFE19" s="129"/>
      <c r="CFF19" s="129"/>
      <c r="CFG19" s="129"/>
      <c r="CFH19" s="129"/>
      <c r="CFI19" s="129"/>
      <c r="CFJ19" s="129"/>
      <c r="CFK19" s="129"/>
      <c r="CFL19" s="129"/>
      <c r="CFM19" s="129"/>
      <c r="CFN19" s="129"/>
      <c r="CFO19" s="129"/>
      <c r="CFP19" s="129"/>
      <c r="CFQ19" s="129"/>
      <c r="CFR19" s="129"/>
      <c r="CFS19" s="129"/>
      <c r="CFT19" s="128"/>
      <c r="CFU19" s="128"/>
      <c r="CFV19" s="128"/>
      <c r="CFW19" s="128"/>
      <c r="CFX19" s="128"/>
      <c r="CFY19" s="128"/>
      <c r="CFZ19" s="129"/>
      <c r="CGA19" s="129"/>
      <c r="CGB19" s="129"/>
      <c r="CGC19" s="129"/>
      <c r="CGD19" s="129"/>
      <c r="CGE19" s="129"/>
      <c r="CGF19" s="129"/>
      <c r="CGG19" s="129"/>
      <c r="CGH19" s="129"/>
      <c r="CGI19" s="129"/>
      <c r="CGJ19" s="129"/>
      <c r="CGK19" s="129"/>
      <c r="CGL19" s="129"/>
      <c r="CGM19" s="129"/>
      <c r="CGN19" s="129"/>
      <c r="CGO19" s="129"/>
      <c r="CGP19" s="129"/>
      <c r="CGQ19" s="129"/>
      <c r="CGR19" s="129"/>
      <c r="CGS19" s="129"/>
      <c r="CGT19" s="129"/>
      <c r="CGU19" s="129"/>
      <c r="CGV19" s="129"/>
      <c r="CGW19" s="129"/>
      <c r="CGX19" s="129"/>
      <c r="CGY19" s="129"/>
      <c r="CGZ19" s="129"/>
      <c r="CHA19" s="129"/>
      <c r="CHB19" s="128"/>
      <c r="CHC19" s="128"/>
      <c r="CHD19" s="128"/>
      <c r="CHE19" s="128"/>
      <c r="CHF19" s="128"/>
      <c r="CHG19" s="128"/>
      <c r="CHH19" s="128"/>
      <c r="CHJ19" s="128" t="s">
        <v>3486</v>
      </c>
      <c r="CHK19" s="128"/>
      <c r="CHL19" s="128"/>
      <c r="CHM19" s="128"/>
      <c r="CHN19" s="128"/>
      <c r="CHO19" s="128"/>
      <c r="CHP19" s="128"/>
      <c r="CHQ19" s="128"/>
      <c r="CHR19" s="128"/>
      <c r="CHS19" s="128"/>
      <c r="CHT19" s="128"/>
      <c r="CHU19" s="128"/>
      <c r="CHV19" s="128"/>
      <c r="CHW19" s="128"/>
      <c r="CHX19" s="128"/>
      <c r="CHY19" s="128"/>
      <c r="CHZ19" s="128"/>
      <c r="CIA19" s="128"/>
      <c r="CIB19" s="128"/>
      <c r="CIC19" s="128"/>
      <c r="CID19" s="128"/>
      <c r="CIE19" s="128"/>
      <c r="CIF19" s="128"/>
      <c r="CIG19" s="128"/>
      <c r="CIH19" s="128"/>
      <c r="CII19" s="128"/>
      <c r="CIJ19" s="128"/>
      <c r="CIK19" s="128"/>
      <c r="CIL19" s="128"/>
      <c r="CIM19" s="128"/>
      <c r="CIN19" s="128"/>
      <c r="CIO19" s="129"/>
      <c r="CIP19" s="129"/>
      <c r="CIQ19" s="129"/>
      <c r="CIR19" s="129"/>
      <c r="CIS19" s="129"/>
      <c r="CIT19" s="129"/>
      <c r="CIU19" s="129"/>
      <c r="CIV19" s="129"/>
      <c r="CIW19" s="129"/>
      <c r="CIX19" s="129"/>
      <c r="CIY19" s="129"/>
      <c r="CIZ19" s="129"/>
      <c r="CJA19" s="129"/>
      <c r="CJB19" s="129"/>
      <c r="CJC19" s="129"/>
      <c r="CJD19" s="129"/>
      <c r="CJE19" s="129"/>
      <c r="CJF19" s="129"/>
      <c r="CJG19" s="129"/>
      <c r="CJH19" s="129"/>
      <c r="CJI19" s="129"/>
      <c r="CJJ19" s="128"/>
      <c r="CJK19" s="128"/>
      <c r="CJL19" s="128"/>
      <c r="CJM19" s="128"/>
      <c r="CJN19" s="128"/>
      <c r="CJO19" s="128"/>
      <c r="CJP19" s="129"/>
      <c r="CJQ19" s="129"/>
      <c r="CJR19" s="129"/>
      <c r="CJS19" s="129"/>
      <c r="CJT19" s="129"/>
      <c r="CJU19" s="129"/>
      <c r="CJV19" s="129"/>
      <c r="CJW19" s="129"/>
      <c r="CJX19" s="129"/>
      <c r="CJY19" s="129"/>
      <c r="CJZ19" s="129"/>
      <c r="CKA19" s="129"/>
      <c r="CKB19" s="129"/>
      <c r="CKC19" s="129"/>
      <c r="CKD19" s="129"/>
      <c r="CKE19" s="129"/>
      <c r="CKF19" s="129"/>
      <c r="CKG19" s="129"/>
      <c r="CKH19" s="129"/>
      <c r="CKI19" s="129"/>
      <c r="CKJ19" s="129"/>
      <c r="CKK19" s="129"/>
      <c r="CKL19" s="129"/>
      <c r="CKM19" s="129"/>
      <c r="CKN19" s="129"/>
      <c r="CKO19" s="129"/>
      <c r="CKP19" s="129"/>
      <c r="CKQ19" s="129"/>
      <c r="CKR19" s="128"/>
      <c r="CKS19" s="128"/>
      <c r="CKT19" s="128"/>
      <c r="CKU19" s="128"/>
      <c r="CKV19" s="128"/>
      <c r="CKW19" s="128"/>
      <c r="CKX19" s="128"/>
      <c r="COP19" s="128" t="str">
        <f ca="1">VLOOKUP(6,INDIRECT("Open"&amp;'Character Creation'!$Z$14),2,FALSE)</f>
        <v>Lesser Illusions</v>
      </c>
      <c r="COQ19" s="128"/>
      <c r="COR19" s="128"/>
      <c r="COS19" s="128"/>
      <c r="COT19" s="128"/>
      <c r="COU19" s="128"/>
      <c r="COV19" s="128"/>
      <c r="COW19" s="128"/>
      <c r="COX19" s="128"/>
      <c r="COY19" s="128"/>
      <c r="COZ19" s="128"/>
      <c r="CPA19" s="128"/>
      <c r="CPB19" s="128"/>
      <c r="CPC19" s="128"/>
      <c r="CPD19" s="128"/>
      <c r="CPE19" s="128"/>
      <c r="CPF19" s="128"/>
      <c r="CPG19" s="128"/>
      <c r="CPH19" s="128"/>
      <c r="CPI19" s="128"/>
      <c r="CPJ19" s="128"/>
      <c r="CPK19" s="128"/>
      <c r="CPL19" s="128"/>
      <c r="CPM19" s="128"/>
      <c r="CPN19" s="128"/>
      <c r="CPO19" s="128"/>
      <c r="CPP19" s="128"/>
      <c r="CPQ19" s="128"/>
      <c r="CPR19" s="128"/>
      <c r="CPS19" s="128"/>
      <c r="CPT19" s="128"/>
      <c r="CPU19" s="129"/>
      <c r="CPV19" s="129"/>
      <c r="CPW19" s="129"/>
      <c r="CPX19" s="129"/>
      <c r="CPY19" s="129"/>
      <c r="CPZ19" s="129"/>
      <c r="CQA19" s="129"/>
      <c r="CQB19" s="129"/>
      <c r="CQC19" s="129"/>
      <c r="CQD19" s="129"/>
      <c r="CQE19" s="129"/>
      <c r="CQF19" s="129"/>
      <c r="CQG19" s="129"/>
      <c r="CQH19" s="129"/>
      <c r="CQI19" s="129"/>
      <c r="CQJ19" s="129"/>
      <c r="CQK19" s="129"/>
      <c r="CQL19" s="129"/>
      <c r="CQM19" s="129"/>
      <c r="CQN19" s="129"/>
      <c r="CQO19" s="129"/>
      <c r="CQP19" s="128"/>
      <c r="CQQ19" s="128"/>
      <c r="CQR19" s="128"/>
      <c r="CQS19" s="128"/>
      <c r="CQT19" s="128"/>
      <c r="CQU19" s="128"/>
      <c r="CQV19" s="129"/>
      <c r="CQW19" s="129"/>
      <c r="CQX19" s="129"/>
      <c r="CQY19" s="129"/>
      <c r="CQZ19" s="129"/>
      <c r="CRA19" s="129"/>
      <c r="CRB19" s="129"/>
      <c r="CRC19" s="129"/>
      <c r="CRD19" s="129"/>
      <c r="CRE19" s="129"/>
      <c r="CRF19" s="129"/>
      <c r="CRG19" s="129"/>
      <c r="CRH19" s="129"/>
      <c r="CRI19" s="129"/>
      <c r="CRJ19" s="129"/>
      <c r="CRK19" s="129"/>
      <c r="CRL19" s="129"/>
      <c r="CRM19" s="129"/>
      <c r="CRN19" s="129"/>
      <c r="CRO19" s="129"/>
      <c r="CRP19" s="129"/>
      <c r="CRQ19" s="129"/>
      <c r="CRR19" s="129"/>
      <c r="CRS19" s="129"/>
      <c r="CRT19" s="129"/>
      <c r="CRU19" s="129"/>
      <c r="CRV19" s="129"/>
      <c r="CRW19" s="129"/>
      <c r="CRX19" s="128"/>
      <c r="CRY19" s="128"/>
      <c r="CRZ19" s="128"/>
      <c r="CSA19" s="128"/>
      <c r="CSB19" s="128"/>
      <c r="CSC19" s="128"/>
      <c r="CSD19" s="128"/>
      <c r="CSF19" s="128" t="s">
        <v>444</v>
      </c>
      <c r="CSG19" s="128"/>
      <c r="CSH19" s="128"/>
      <c r="CSI19" s="128"/>
      <c r="CSJ19" s="128"/>
      <c r="CSK19" s="128"/>
      <c r="CSL19" s="128"/>
      <c r="CSM19" s="128"/>
      <c r="CSN19" s="128"/>
      <c r="CSO19" s="128"/>
      <c r="CSP19" s="128"/>
      <c r="CSQ19" s="128"/>
      <c r="CSR19" s="128"/>
      <c r="CSS19" s="128"/>
      <c r="CST19" s="128"/>
      <c r="CSU19" s="128"/>
      <c r="CSV19" s="128"/>
      <c r="CSW19" s="128"/>
      <c r="CSX19" s="128"/>
      <c r="CSY19" s="128"/>
      <c r="CSZ19" s="128"/>
      <c r="CTA19" s="128"/>
      <c r="CTB19" s="128"/>
      <c r="CTC19" s="128"/>
      <c r="CTD19" s="128"/>
      <c r="CTE19" s="128"/>
      <c r="CTF19" s="128"/>
      <c r="CTG19" s="128"/>
      <c r="CTH19" s="128"/>
      <c r="CTI19" s="128"/>
      <c r="CTJ19" s="128"/>
      <c r="CTK19" s="129"/>
      <c r="CTL19" s="129"/>
      <c r="CTM19" s="129"/>
      <c r="CTN19" s="129"/>
      <c r="CTO19" s="129"/>
      <c r="CTP19" s="129"/>
      <c r="CTQ19" s="129"/>
      <c r="CTR19" s="129"/>
      <c r="CTS19" s="129"/>
      <c r="CTT19" s="129"/>
      <c r="CTU19" s="129"/>
      <c r="CTV19" s="129"/>
      <c r="CTW19" s="129"/>
      <c r="CTX19" s="129"/>
      <c r="CTY19" s="129"/>
      <c r="CTZ19" s="129"/>
      <c r="CUA19" s="129"/>
      <c r="CUB19" s="129"/>
      <c r="CUC19" s="129"/>
      <c r="CUD19" s="129"/>
      <c r="CUE19" s="129"/>
      <c r="CUF19" s="128"/>
      <c r="CUG19" s="128"/>
      <c r="CUH19" s="128"/>
      <c r="CUI19" s="128"/>
      <c r="CUJ19" s="128"/>
      <c r="CUK19" s="128"/>
      <c r="CUL19" s="129"/>
      <c r="CUM19" s="129"/>
      <c r="CUN19" s="129"/>
      <c r="CUO19" s="129"/>
      <c r="CUP19" s="129"/>
      <c r="CUQ19" s="129"/>
      <c r="CUR19" s="129"/>
      <c r="CUS19" s="129"/>
      <c r="CUT19" s="129"/>
      <c r="CUU19" s="129"/>
      <c r="CUV19" s="129"/>
      <c r="CUW19" s="129"/>
      <c r="CUX19" s="129"/>
      <c r="CUY19" s="129"/>
      <c r="CUZ19" s="129"/>
      <c r="CVA19" s="129"/>
      <c r="CVB19" s="129"/>
      <c r="CVC19" s="129"/>
      <c r="CVD19" s="129"/>
      <c r="CVE19" s="129"/>
      <c r="CVF19" s="129"/>
      <c r="CVG19" s="129"/>
      <c r="CVH19" s="129"/>
      <c r="CVI19" s="129"/>
      <c r="CVJ19" s="129"/>
      <c r="CVK19" s="129"/>
      <c r="CVL19" s="129"/>
      <c r="CVM19" s="129"/>
      <c r="CVN19" s="128"/>
      <c r="CVO19" s="128"/>
      <c r="CVP19" s="128"/>
      <c r="CVQ19" s="128"/>
      <c r="CVR19" s="128"/>
      <c r="CVS19" s="128"/>
      <c r="CVT19" s="128"/>
      <c r="CVV19" s="128" t="s">
        <v>496</v>
      </c>
      <c r="CVW19" s="128"/>
      <c r="CVX19" s="128"/>
      <c r="CVY19" s="128"/>
      <c r="CVZ19" s="128"/>
      <c r="CWA19" s="128"/>
      <c r="CWB19" s="128"/>
      <c r="CWC19" s="128"/>
      <c r="CWD19" s="128"/>
      <c r="CWE19" s="128"/>
      <c r="CWF19" s="128"/>
      <c r="CWG19" s="128"/>
      <c r="CWH19" s="128"/>
      <c r="CWI19" s="128"/>
      <c r="CWJ19" s="128"/>
      <c r="CWK19" s="128"/>
      <c r="CWL19" s="128"/>
      <c r="CWM19" s="128"/>
      <c r="CWN19" s="128"/>
      <c r="CWO19" s="128"/>
      <c r="CWP19" s="128"/>
      <c r="CWQ19" s="128"/>
      <c r="CWR19" s="128"/>
      <c r="CWS19" s="128"/>
      <c r="CWT19" s="128"/>
      <c r="CWU19" s="128"/>
      <c r="CWV19" s="128"/>
      <c r="CWW19" s="128"/>
      <c r="CWX19" s="128"/>
      <c r="CWY19" s="128"/>
      <c r="CWZ19" s="128"/>
      <c r="CXA19" s="129"/>
      <c r="CXB19" s="129"/>
      <c r="CXC19" s="129"/>
      <c r="CXD19" s="129"/>
      <c r="CXE19" s="129"/>
      <c r="CXF19" s="129"/>
      <c r="CXG19" s="129"/>
      <c r="CXH19" s="129"/>
      <c r="CXI19" s="129"/>
      <c r="CXJ19" s="129"/>
      <c r="CXK19" s="129"/>
      <c r="CXL19" s="129"/>
      <c r="CXM19" s="129"/>
      <c r="CXN19" s="129"/>
      <c r="CXO19" s="129"/>
      <c r="CXP19" s="129"/>
      <c r="CXQ19" s="129"/>
      <c r="CXR19" s="129"/>
      <c r="CXS19" s="129"/>
      <c r="CXT19" s="129"/>
      <c r="CXU19" s="129"/>
      <c r="CXV19" s="128"/>
      <c r="CXW19" s="128"/>
      <c r="CXX19" s="128"/>
      <c r="CXY19" s="128"/>
      <c r="CXZ19" s="128"/>
      <c r="CYA19" s="128"/>
      <c r="CYB19" s="129"/>
      <c r="CYC19" s="129"/>
      <c r="CYD19" s="129"/>
      <c r="CYE19" s="129"/>
      <c r="CYF19" s="129"/>
      <c r="CYG19" s="129"/>
      <c r="CYH19" s="129"/>
      <c r="CYI19" s="129"/>
      <c r="CYJ19" s="129"/>
      <c r="CYK19" s="129"/>
      <c r="CYL19" s="129"/>
      <c r="CYM19" s="129"/>
      <c r="CYN19" s="129"/>
      <c r="CYO19" s="129"/>
      <c r="CYP19" s="129"/>
      <c r="CYQ19" s="129"/>
      <c r="CYR19" s="129"/>
      <c r="CYS19" s="129"/>
      <c r="CYT19" s="129"/>
      <c r="CYU19" s="129"/>
      <c r="CYV19" s="129"/>
      <c r="CYW19" s="129"/>
      <c r="CYX19" s="129"/>
      <c r="CYY19" s="129"/>
      <c r="CYZ19" s="129"/>
      <c r="CZA19" s="129"/>
      <c r="CZB19" s="129"/>
      <c r="CZC19" s="129"/>
      <c r="CZD19" s="128"/>
      <c r="CZE19" s="128"/>
      <c r="CZF19" s="128"/>
      <c r="CZG19" s="128"/>
      <c r="CZH19" s="128"/>
      <c r="CZI19" s="128"/>
      <c r="CZJ19" s="128"/>
      <c r="DDB19" s="128" t="s">
        <v>528</v>
      </c>
      <c r="DDC19" s="128"/>
      <c r="DDD19" s="128"/>
      <c r="DDE19" s="128"/>
      <c r="DDF19" s="128"/>
      <c r="DDG19" s="128"/>
      <c r="DDH19" s="128"/>
      <c r="DDI19" s="128"/>
      <c r="DDJ19" s="128"/>
      <c r="DDK19" s="128"/>
      <c r="DDL19" s="128"/>
      <c r="DDM19" s="128"/>
      <c r="DDN19" s="128"/>
      <c r="DDO19" s="128"/>
      <c r="DDP19" s="128"/>
      <c r="DDQ19" s="128"/>
      <c r="DDR19" s="128"/>
      <c r="DDS19" s="128"/>
      <c r="DDT19" s="128"/>
      <c r="DDU19" s="128"/>
      <c r="DDV19" s="128"/>
      <c r="DDW19" s="128"/>
      <c r="DDX19" s="128"/>
      <c r="DDY19" s="128"/>
      <c r="DDZ19" s="128"/>
      <c r="DEA19" s="128"/>
      <c r="DEB19" s="128"/>
      <c r="DEC19" s="128"/>
      <c r="DED19" s="128"/>
      <c r="DEE19" s="128"/>
      <c r="DEF19" s="128"/>
      <c r="DEG19" s="129"/>
      <c r="DEH19" s="129"/>
      <c r="DEI19" s="129"/>
      <c r="DEJ19" s="129"/>
      <c r="DEK19" s="129"/>
      <c r="DEL19" s="129"/>
      <c r="DEM19" s="129"/>
      <c r="DEN19" s="129"/>
      <c r="DEO19" s="129"/>
      <c r="DEP19" s="129"/>
      <c r="DEQ19" s="129"/>
      <c r="DER19" s="129"/>
      <c r="DES19" s="129"/>
      <c r="DET19" s="129"/>
      <c r="DEU19" s="129"/>
      <c r="DEV19" s="129"/>
      <c r="DEW19" s="129"/>
      <c r="DEX19" s="129"/>
      <c r="DEY19" s="129"/>
      <c r="DEZ19" s="129"/>
      <c r="DFA19" s="129"/>
      <c r="DFB19" s="128"/>
      <c r="DFC19" s="128"/>
      <c r="DFD19" s="128"/>
      <c r="DFE19" s="128"/>
      <c r="DFF19" s="128"/>
      <c r="DFG19" s="128"/>
      <c r="DFH19" s="129"/>
      <c r="DFI19" s="129"/>
      <c r="DFJ19" s="129"/>
      <c r="DFK19" s="129"/>
      <c r="DFL19" s="129"/>
      <c r="DFM19" s="129"/>
      <c r="DFN19" s="129"/>
      <c r="DFO19" s="129"/>
      <c r="DFP19" s="129"/>
      <c r="DFQ19" s="129"/>
      <c r="DFR19" s="129"/>
      <c r="DFS19" s="129"/>
      <c r="DFT19" s="129"/>
      <c r="DFU19" s="129"/>
      <c r="DFV19" s="129"/>
      <c r="DFW19" s="129"/>
      <c r="DFX19" s="129"/>
      <c r="DFY19" s="129"/>
      <c r="DFZ19" s="129"/>
      <c r="DGA19" s="129"/>
      <c r="DGB19" s="129"/>
      <c r="DGC19" s="129"/>
      <c r="DGD19" s="129"/>
      <c r="DGE19" s="129"/>
      <c r="DGF19" s="129"/>
      <c r="DGG19" s="129"/>
      <c r="DGH19" s="129"/>
      <c r="DGI19" s="129"/>
      <c r="DGJ19" s="128"/>
      <c r="DGK19" s="128"/>
      <c r="DGL19" s="128"/>
      <c r="DGM19" s="128"/>
      <c r="DGN19" s="128"/>
      <c r="DGO19" s="128"/>
      <c r="DGP19" s="128"/>
      <c r="DGR19" s="128" t="s">
        <v>568</v>
      </c>
      <c r="DGS19" s="128"/>
      <c r="DGT19" s="128"/>
      <c r="DGU19" s="128"/>
      <c r="DGV19" s="128"/>
      <c r="DGW19" s="128"/>
      <c r="DGX19" s="128"/>
      <c r="DGY19" s="128"/>
      <c r="DGZ19" s="128"/>
      <c r="DHA19" s="128"/>
      <c r="DHB19" s="128"/>
      <c r="DHC19" s="128"/>
      <c r="DHD19" s="128"/>
      <c r="DHE19" s="128"/>
      <c r="DHF19" s="128"/>
      <c r="DHG19" s="128"/>
      <c r="DHH19" s="128"/>
      <c r="DHI19" s="128"/>
      <c r="DHJ19" s="128"/>
      <c r="DHK19" s="128"/>
      <c r="DHL19" s="128"/>
      <c r="DHM19" s="128"/>
      <c r="DHN19" s="128"/>
      <c r="DHO19" s="128"/>
      <c r="DHP19" s="128"/>
      <c r="DHQ19" s="128"/>
      <c r="DHR19" s="128"/>
      <c r="DHS19" s="128"/>
      <c r="DHT19" s="128"/>
      <c r="DHU19" s="128"/>
      <c r="DHV19" s="128"/>
      <c r="DHW19" s="129"/>
      <c r="DHX19" s="129"/>
      <c r="DHY19" s="129"/>
      <c r="DHZ19" s="129"/>
      <c r="DIA19" s="129"/>
      <c r="DIB19" s="129"/>
      <c r="DIC19" s="129"/>
      <c r="DID19" s="129"/>
      <c r="DIE19" s="129"/>
      <c r="DIF19" s="129"/>
      <c r="DIG19" s="129"/>
      <c r="DIH19" s="129"/>
      <c r="DII19" s="129"/>
      <c r="DIJ19" s="129"/>
      <c r="DIK19" s="129"/>
      <c r="DIL19" s="129"/>
      <c r="DIM19" s="129"/>
      <c r="DIN19" s="129"/>
      <c r="DIO19" s="129"/>
      <c r="DIP19" s="129"/>
      <c r="DIQ19" s="129"/>
      <c r="DIR19" s="128"/>
      <c r="DIS19" s="128"/>
      <c r="DIT19" s="128"/>
      <c r="DIU19" s="128"/>
      <c r="DIV19" s="128"/>
      <c r="DIW19" s="128"/>
      <c r="DIX19" s="129"/>
      <c r="DIY19" s="129"/>
      <c r="DIZ19" s="129"/>
      <c r="DJA19" s="129"/>
      <c r="DJB19" s="129"/>
      <c r="DJC19" s="129"/>
      <c r="DJD19" s="129"/>
      <c r="DJE19" s="129"/>
      <c r="DJF19" s="129"/>
      <c r="DJG19" s="129"/>
      <c r="DJH19" s="129"/>
      <c r="DJI19" s="129"/>
      <c r="DJJ19" s="129"/>
      <c r="DJK19" s="129"/>
      <c r="DJL19" s="129"/>
      <c r="DJM19" s="129"/>
      <c r="DJN19" s="129"/>
      <c r="DJO19" s="129"/>
      <c r="DJP19" s="129"/>
      <c r="DJQ19" s="129"/>
      <c r="DJR19" s="129"/>
      <c r="DJS19" s="129"/>
      <c r="DJT19" s="129"/>
      <c r="DJU19" s="129"/>
      <c r="DJV19" s="129"/>
      <c r="DJW19" s="129"/>
      <c r="DJX19" s="129"/>
      <c r="DJY19" s="129"/>
      <c r="DJZ19" s="128"/>
      <c r="DKA19" s="128"/>
      <c r="DKB19" s="128"/>
      <c r="DKC19" s="128"/>
      <c r="DKD19" s="128"/>
      <c r="DKE19" s="128"/>
      <c r="DKF19" s="128"/>
    </row>
    <row r="20" spans="2:1022 1118:1774 2152:2996" ht="15" customHeight="1" x14ac:dyDescent="0.25">
      <c r="B20" s="190" t="s">
        <v>32</v>
      </c>
      <c r="C20" s="191"/>
      <c r="D20" s="191"/>
      <c r="E20" s="191"/>
      <c r="F20" s="191"/>
      <c r="G20" s="191"/>
      <c r="H20" s="191"/>
      <c r="I20" s="191"/>
      <c r="J20" s="191"/>
      <c r="K20" s="191"/>
      <c r="L20" s="191"/>
      <c r="M20" s="191"/>
      <c r="N20" s="191"/>
      <c r="O20" s="191"/>
      <c r="P20" s="191"/>
      <c r="Q20" s="131">
        <f>'Level-up'!E10</f>
        <v>59</v>
      </c>
      <c r="R20" s="131"/>
      <c r="S20" s="131"/>
      <c r="T20" s="131"/>
      <c r="U20" s="131"/>
      <c r="V20" s="131"/>
      <c r="W20" s="131"/>
      <c r="X20" s="131">
        <f>'Character Creation'!AJ47</f>
        <v>100</v>
      </c>
      <c r="Y20" s="131"/>
      <c r="Z20" s="131"/>
      <c r="AA20" s="131"/>
      <c r="AB20" s="131"/>
      <c r="AC20" s="131"/>
      <c r="AD20" s="131"/>
      <c r="AE20" s="131">
        <f t="shared" si="1"/>
        <v>1</v>
      </c>
      <c r="AF20" s="131"/>
      <c r="AG20" s="131"/>
      <c r="AH20" s="131"/>
      <c r="AI20" s="131"/>
      <c r="AJ20" s="131"/>
      <c r="AK20" s="131"/>
      <c r="AL20" s="131">
        <f>VLOOKUP('Character Creation'!$Z$11,RaceChart,9,FALSE)</f>
        <v>2</v>
      </c>
      <c r="AM20" s="131"/>
      <c r="AN20" s="131"/>
      <c r="AO20" s="131"/>
      <c r="AP20" s="131"/>
      <c r="AQ20" s="131"/>
      <c r="AR20" s="131"/>
      <c r="AS20" s="131">
        <v>0</v>
      </c>
      <c r="AT20" s="131"/>
      <c r="AU20" s="131"/>
      <c r="AV20" s="131"/>
      <c r="AW20" s="131"/>
      <c r="AX20" s="131"/>
      <c r="AY20" s="131"/>
      <c r="AZ20" s="226">
        <f t="shared" si="2"/>
        <v>3</v>
      </c>
      <c r="BA20" s="226"/>
      <c r="BB20" s="226"/>
      <c r="BC20" s="226"/>
      <c r="BD20" s="226"/>
      <c r="BE20" s="226"/>
      <c r="BF20" s="227"/>
      <c r="BH20" s="190" t="s">
        <v>47</v>
      </c>
      <c r="BI20" s="191"/>
      <c r="BJ20" s="191"/>
      <c r="BK20" s="191"/>
      <c r="BL20" s="191"/>
      <c r="BM20" s="191"/>
      <c r="BN20" s="191"/>
      <c r="BO20" s="191"/>
      <c r="BP20" s="191"/>
      <c r="BQ20" s="191"/>
      <c r="BR20" s="191"/>
      <c r="BS20" s="191"/>
      <c r="BT20" s="191"/>
      <c r="BU20" s="191"/>
      <c r="BV20" s="191"/>
      <c r="BW20" s="191"/>
      <c r="BX20" s="191"/>
      <c r="BY20" s="191"/>
      <c r="BZ20" s="191"/>
      <c r="CA20" s="131">
        <v>0</v>
      </c>
      <c r="CB20" s="131"/>
      <c r="CC20" s="131"/>
      <c r="CD20" s="131"/>
      <c r="CE20" s="131"/>
      <c r="CF20" s="131"/>
      <c r="CG20" s="131"/>
      <c r="CH20" s="131">
        <v>0</v>
      </c>
      <c r="CI20" s="131"/>
      <c r="CJ20" s="131"/>
      <c r="CK20" s="131"/>
      <c r="CL20" s="131"/>
      <c r="CM20" s="131"/>
      <c r="CN20" s="131"/>
      <c r="CO20" s="131">
        <v>0</v>
      </c>
      <c r="CP20" s="131"/>
      <c r="CQ20" s="131"/>
      <c r="CR20" s="131"/>
      <c r="CS20" s="131"/>
      <c r="CT20" s="131"/>
      <c r="CU20" s="131"/>
      <c r="CV20" s="226">
        <f t="shared" si="4"/>
        <v>0</v>
      </c>
      <c r="CW20" s="226"/>
      <c r="CX20" s="226"/>
      <c r="CY20" s="226"/>
      <c r="CZ20" s="226"/>
      <c r="DA20" s="226"/>
      <c r="DB20" s="227"/>
      <c r="DC20"/>
      <c r="DD20" s="190" t="s">
        <v>114</v>
      </c>
      <c r="DE20" s="191"/>
      <c r="DF20" s="191"/>
      <c r="DG20" s="191"/>
      <c r="DH20" s="191"/>
      <c r="DI20" s="191"/>
      <c r="DJ20" s="191"/>
      <c r="DK20" s="191"/>
      <c r="DL20" s="191"/>
      <c r="DM20" s="191"/>
      <c r="DN20" s="191"/>
      <c r="DO20" s="191"/>
      <c r="DP20" s="191"/>
      <c r="DQ20" s="191"/>
      <c r="DR20" s="191"/>
      <c r="DS20" s="191"/>
      <c r="DT20" s="191"/>
      <c r="DU20" s="191"/>
      <c r="DV20" s="191"/>
      <c r="DW20" s="191"/>
      <c r="DX20" s="191"/>
      <c r="DY20" s="191"/>
      <c r="DZ20" s="191"/>
      <c r="EA20" s="191"/>
      <c r="EB20" s="191"/>
      <c r="EC20" s="191"/>
      <c r="ED20" s="191"/>
      <c r="EE20" s="191"/>
      <c r="EF20" s="191"/>
      <c r="EG20" s="136">
        <f ca="1">ES11</f>
        <v>-25</v>
      </c>
      <c r="EH20" s="136"/>
      <c r="EI20" s="136"/>
      <c r="EJ20" s="136"/>
      <c r="EK20" s="136"/>
      <c r="EL20" s="136"/>
      <c r="EM20" s="136"/>
      <c r="EN20" s="136"/>
      <c r="EO20" s="131" t="s">
        <v>117</v>
      </c>
      <c r="EP20" s="131"/>
      <c r="EQ20" s="131"/>
      <c r="ER20" s="131"/>
      <c r="ES20" s="349">
        <v>0</v>
      </c>
      <c r="ET20" s="349"/>
      <c r="EU20" s="349"/>
      <c r="EV20" s="349"/>
      <c r="EW20" s="349"/>
      <c r="EX20" s="349"/>
      <c r="EY20" s="349"/>
      <c r="EZ20" s="350"/>
      <c r="FB20" s="301" t="s">
        <v>52</v>
      </c>
      <c r="FC20" s="302"/>
      <c r="FD20" s="302"/>
      <c r="FE20" s="302"/>
      <c r="FF20" s="302"/>
      <c r="FG20" s="302"/>
      <c r="FH20" s="302"/>
      <c r="FI20" s="302"/>
      <c r="FJ20" s="302"/>
      <c r="FK20" s="302"/>
      <c r="FL20" s="302"/>
      <c r="FM20" s="302"/>
      <c r="FN20" s="302"/>
      <c r="FO20" s="302"/>
      <c r="FP20" s="302"/>
      <c r="FQ20" s="302"/>
      <c r="FR20" s="302"/>
      <c r="FS20" s="302"/>
      <c r="FT20" s="302"/>
      <c r="FU20" s="302"/>
      <c r="FV20" s="302"/>
      <c r="FW20" s="302"/>
      <c r="FX20" s="302"/>
      <c r="FY20" s="302"/>
      <c r="FZ20" s="302"/>
      <c r="GA20" s="302"/>
      <c r="GB20" s="302"/>
      <c r="GC20" s="302"/>
      <c r="GD20" s="302"/>
      <c r="GE20" s="302"/>
      <c r="GF20" s="302"/>
      <c r="GG20" s="302"/>
      <c r="GH20" s="302"/>
      <c r="GI20" s="302"/>
      <c r="GJ20" s="302"/>
      <c r="GK20" s="302"/>
      <c r="GL20" s="302"/>
      <c r="GM20" s="302"/>
      <c r="GN20" s="302"/>
      <c r="GO20" s="302"/>
      <c r="GP20" s="302"/>
      <c r="GQ20" s="302"/>
      <c r="GR20" s="302"/>
      <c r="GS20" s="302"/>
      <c r="GT20" s="300" t="s">
        <v>136</v>
      </c>
      <c r="GU20" s="300"/>
      <c r="GV20" s="300"/>
      <c r="GW20" s="300"/>
      <c r="GX20" s="300"/>
      <c r="GY20" s="300"/>
      <c r="GZ20" s="300"/>
      <c r="HA20" s="300"/>
      <c r="HB20" s="300" t="s">
        <v>72</v>
      </c>
      <c r="HC20" s="300"/>
      <c r="HD20" s="300"/>
      <c r="HE20" s="300"/>
      <c r="HF20" s="300"/>
      <c r="HG20" s="300"/>
      <c r="HH20" s="300"/>
      <c r="HI20" s="300"/>
      <c r="HJ20" s="300" t="s">
        <v>61</v>
      </c>
      <c r="HK20" s="300"/>
      <c r="HL20" s="300"/>
      <c r="HM20" s="300"/>
      <c r="HN20" s="300"/>
      <c r="HO20" s="300"/>
      <c r="HP20" s="300"/>
      <c r="HQ20" s="300"/>
      <c r="HR20" s="300" t="s">
        <v>134</v>
      </c>
      <c r="HS20" s="300"/>
      <c r="HT20" s="300"/>
      <c r="HU20" s="300"/>
      <c r="HV20" s="300"/>
      <c r="HW20" s="300"/>
      <c r="HX20" s="300"/>
      <c r="HY20" s="300"/>
      <c r="HZ20" s="300" t="s">
        <v>135</v>
      </c>
      <c r="IA20" s="300"/>
      <c r="IB20" s="300"/>
      <c r="IC20" s="300"/>
      <c r="ID20" s="300"/>
      <c r="IE20" s="300"/>
      <c r="IF20" s="300"/>
      <c r="IG20" s="300"/>
      <c r="IH20" s="300"/>
      <c r="II20" s="300"/>
      <c r="IJ20" s="321" t="s">
        <v>37</v>
      </c>
      <c r="IK20" s="321"/>
      <c r="IL20" s="321"/>
      <c r="IM20" s="321"/>
      <c r="IN20" s="321"/>
      <c r="IO20" s="321"/>
      <c r="IP20" s="321"/>
      <c r="IQ20" s="300" t="s">
        <v>55</v>
      </c>
      <c r="IR20" s="300"/>
      <c r="IS20" s="300"/>
      <c r="IT20" s="300"/>
      <c r="IU20" s="300"/>
      <c r="IV20" s="300"/>
      <c r="IW20" s="300"/>
      <c r="IX20" s="300" t="s">
        <v>60</v>
      </c>
      <c r="IY20" s="300"/>
      <c r="IZ20" s="300"/>
      <c r="JA20" s="300"/>
      <c r="JB20" s="300"/>
      <c r="JC20" s="300"/>
      <c r="JD20" s="300"/>
      <c r="JE20" s="300"/>
      <c r="JF20" s="300" t="s">
        <v>133</v>
      </c>
      <c r="JG20" s="300"/>
      <c r="JH20" s="300"/>
      <c r="JI20" s="300"/>
      <c r="JJ20" s="300"/>
      <c r="JK20" s="300" t="s">
        <v>137</v>
      </c>
      <c r="JL20" s="300"/>
      <c r="JM20" s="300"/>
      <c r="JN20" s="300"/>
      <c r="JO20" s="300"/>
      <c r="JP20" s="300"/>
      <c r="JQ20" s="300"/>
      <c r="JR20" s="300"/>
      <c r="JS20" s="300"/>
      <c r="JT20" s="300"/>
      <c r="JU20" s="300"/>
      <c r="JV20" s="300"/>
      <c r="JW20" s="300"/>
      <c r="JX20" s="300"/>
      <c r="JY20" s="300"/>
      <c r="JZ20" s="300"/>
      <c r="KA20" s="300"/>
      <c r="KB20" s="300"/>
      <c r="KC20" s="300" t="s">
        <v>138</v>
      </c>
      <c r="KD20" s="300"/>
      <c r="KE20" s="300"/>
      <c r="KF20" s="300"/>
      <c r="KG20" s="300"/>
      <c r="KH20" s="300"/>
      <c r="KI20" s="300"/>
      <c r="KJ20" s="300"/>
      <c r="KK20" s="300"/>
      <c r="KL20" s="300"/>
      <c r="KM20" s="300"/>
      <c r="KN20" s="300"/>
      <c r="KO20" s="300"/>
      <c r="KP20" s="300"/>
      <c r="KQ20" s="300"/>
      <c r="KR20" s="300"/>
      <c r="KS20" s="300"/>
      <c r="KT20" s="300"/>
      <c r="KU20" s="298" t="s">
        <v>128</v>
      </c>
      <c r="KV20" s="298"/>
      <c r="KW20" s="298"/>
      <c r="KX20" s="298"/>
      <c r="KY20" s="298"/>
      <c r="KZ20" s="298"/>
      <c r="LA20" s="298"/>
      <c r="LB20" s="298"/>
      <c r="LC20" s="298"/>
      <c r="LD20" s="298"/>
      <c r="LE20" s="298"/>
      <c r="LF20" s="298"/>
      <c r="LG20" s="298"/>
      <c r="LH20" s="298"/>
      <c r="LI20" s="298"/>
      <c r="LJ20" s="298"/>
      <c r="LK20" s="298"/>
      <c r="LL20" s="298"/>
      <c r="LM20" s="298"/>
      <c r="LN20" s="298"/>
      <c r="LO20" s="298"/>
      <c r="LP20" s="298"/>
      <c r="LQ20" s="298"/>
      <c r="LR20" s="298"/>
      <c r="LS20" s="298"/>
      <c r="LT20" s="298"/>
      <c r="LU20" s="298"/>
      <c r="LV20" s="298"/>
      <c r="LW20" s="298"/>
      <c r="LX20" s="298"/>
      <c r="LY20" s="298"/>
      <c r="LZ20" s="298"/>
      <c r="MA20" s="298"/>
      <c r="MB20" s="298"/>
      <c r="MC20" s="298"/>
      <c r="MD20" s="298"/>
      <c r="ME20" s="298"/>
      <c r="MF20" s="298"/>
      <c r="MG20" s="298"/>
      <c r="MH20" s="298"/>
      <c r="MI20" s="298"/>
      <c r="MJ20" s="298"/>
      <c r="MK20" s="298"/>
      <c r="ML20" s="298"/>
      <c r="MM20" s="298"/>
      <c r="MN20" s="298"/>
      <c r="MO20" s="298"/>
      <c r="MP20" s="298"/>
      <c r="MQ20" s="298"/>
      <c r="MR20" s="298"/>
      <c r="MS20" s="298"/>
      <c r="MT20" s="298"/>
      <c r="MU20" s="298"/>
      <c r="MV20" s="298"/>
      <c r="MW20" s="298"/>
      <c r="MX20" s="298"/>
      <c r="MY20" s="298"/>
      <c r="MZ20" s="299"/>
      <c r="NB20" s="128" t="s">
        <v>2001</v>
      </c>
      <c r="NC20" s="128"/>
      <c r="ND20" s="128"/>
      <c r="NE20" s="128"/>
      <c r="NF20" s="128"/>
      <c r="NG20" s="128"/>
      <c r="NH20" s="128"/>
      <c r="NI20" s="128"/>
      <c r="NJ20" s="128"/>
      <c r="NK20" s="128"/>
      <c r="NL20" s="128"/>
      <c r="NM20" s="128"/>
      <c r="NN20" s="128"/>
      <c r="NO20" s="128"/>
      <c r="NP20" s="128"/>
      <c r="NQ20" s="128"/>
      <c r="NR20" s="128"/>
      <c r="NS20" s="128"/>
      <c r="NT20" s="128"/>
      <c r="NU20" s="128"/>
      <c r="NV20" s="128"/>
      <c r="NW20" s="128"/>
      <c r="NX20" s="128"/>
      <c r="NY20" s="128"/>
      <c r="NZ20" s="128"/>
      <c r="OA20" s="128"/>
      <c r="OB20" s="128"/>
      <c r="OC20" s="128"/>
      <c r="OD20" s="128"/>
      <c r="OE20" s="128"/>
      <c r="OF20" s="128"/>
      <c r="OG20" s="129"/>
      <c r="OH20" s="129"/>
      <c r="OI20" s="129"/>
      <c r="OJ20" s="129"/>
      <c r="OK20" s="129"/>
      <c r="OL20" s="129"/>
      <c r="OM20" s="129"/>
      <c r="ON20" s="129"/>
      <c r="OO20" s="129"/>
      <c r="OP20" s="129"/>
      <c r="OQ20" s="129"/>
      <c r="OR20" s="129"/>
      <c r="OS20" s="129"/>
      <c r="OT20" s="129"/>
      <c r="OU20" s="129"/>
      <c r="OV20" s="129"/>
      <c r="OW20" s="129"/>
      <c r="OX20" s="129"/>
      <c r="OY20" s="129"/>
      <c r="OZ20" s="129"/>
      <c r="PA20" s="129"/>
      <c r="PB20" s="128"/>
      <c r="PC20" s="128"/>
      <c r="PD20" s="128"/>
      <c r="PE20" s="128"/>
      <c r="PF20" s="128"/>
      <c r="PG20" s="128"/>
      <c r="PH20" s="129"/>
      <c r="PI20" s="129"/>
      <c r="PJ20" s="129"/>
      <c r="PK20" s="129"/>
      <c r="PL20" s="129"/>
      <c r="PM20" s="129"/>
      <c r="PN20" s="129"/>
      <c r="PO20" s="129"/>
      <c r="PP20" s="129"/>
      <c r="PQ20" s="129"/>
      <c r="PR20" s="129"/>
      <c r="PS20" s="129"/>
      <c r="PT20" s="129"/>
      <c r="PU20" s="129"/>
      <c r="PV20" s="129"/>
      <c r="PW20" s="129"/>
      <c r="PX20" s="129"/>
      <c r="PY20" s="129"/>
      <c r="PZ20" s="129"/>
      <c r="QA20" s="129"/>
      <c r="QB20" s="129"/>
      <c r="QC20" s="129"/>
      <c r="QD20" s="129"/>
      <c r="QE20" s="129"/>
      <c r="QF20" s="129"/>
      <c r="QG20" s="129"/>
      <c r="QH20" s="129"/>
      <c r="QI20" s="129"/>
      <c r="QJ20" s="128"/>
      <c r="QK20" s="128"/>
      <c r="QL20" s="128"/>
      <c r="QM20" s="128"/>
      <c r="QN20" s="128"/>
      <c r="QO20" s="128"/>
      <c r="QP20" s="128"/>
      <c r="APZ20" s="128" t="s">
        <v>257</v>
      </c>
      <c r="AQA20" s="128"/>
      <c r="AQB20" s="128"/>
      <c r="AQC20" s="128"/>
      <c r="AQD20" s="128"/>
      <c r="AQE20" s="128"/>
      <c r="AQF20" s="128"/>
      <c r="AQG20" s="128"/>
      <c r="AQH20" s="128"/>
      <c r="AQI20" s="128"/>
      <c r="AQJ20" s="128"/>
      <c r="AQK20" s="128"/>
      <c r="AQL20" s="128"/>
      <c r="AQM20" s="128"/>
      <c r="AQN20" s="128"/>
      <c r="AQO20" s="128"/>
      <c r="AQP20" s="128"/>
      <c r="AQQ20" s="128"/>
      <c r="AQR20" s="128"/>
      <c r="AQS20" s="128"/>
      <c r="AQT20" s="128"/>
      <c r="AQU20" s="128"/>
      <c r="AQV20" s="128"/>
      <c r="AQW20" s="128"/>
      <c r="AQX20" s="128"/>
      <c r="AQY20" s="128"/>
      <c r="AQZ20" s="128"/>
      <c r="ARA20" s="128"/>
      <c r="ARB20" s="128"/>
      <c r="ARC20" s="128"/>
      <c r="ARD20" s="128"/>
      <c r="ARE20" s="129"/>
      <c r="ARF20" s="129"/>
      <c r="ARG20" s="129"/>
      <c r="ARH20" s="129"/>
      <c r="ARI20" s="129"/>
      <c r="ARJ20" s="129"/>
      <c r="ARK20" s="129"/>
      <c r="ARL20" s="129"/>
      <c r="ARM20" s="129"/>
      <c r="ARN20" s="129"/>
      <c r="ARO20" s="129"/>
      <c r="ARP20" s="129"/>
      <c r="ARQ20" s="129"/>
      <c r="ARR20" s="129"/>
      <c r="ARS20" s="129"/>
      <c r="ART20" s="129"/>
      <c r="ARU20" s="129"/>
      <c r="ARV20" s="129"/>
      <c r="ARW20" s="129"/>
      <c r="ARX20" s="129"/>
      <c r="ARY20" s="129"/>
      <c r="ARZ20" s="128"/>
      <c r="ASA20" s="128"/>
      <c r="ASB20" s="128"/>
      <c r="ASC20" s="128"/>
      <c r="ASD20" s="128"/>
      <c r="ASE20" s="128"/>
      <c r="ASF20" s="129"/>
      <c r="ASG20" s="129"/>
      <c r="ASH20" s="129"/>
      <c r="ASI20" s="129"/>
      <c r="ASJ20" s="129"/>
      <c r="ASK20" s="129"/>
      <c r="ASL20" s="129"/>
      <c r="ASM20" s="129"/>
      <c r="ASN20" s="129"/>
      <c r="ASO20" s="129"/>
      <c r="ASP20" s="129"/>
      <c r="ASQ20" s="129"/>
      <c r="ASR20" s="129"/>
      <c r="ASS20" s="129"/>
      <c r="AST20" s="129"/>
      <c r="ASU20" s="129"/>
      <c r="ASV20" s="129"/>
      <c r="ASW20" s="129"/>
      <c r="ASX20" s="129"/>
      <c r="ASY20" s="129"/>
      <c r="ASZ20" s="129"/>
      <c r="ATA20" s="129"/>
      <c r="ATB20" s="129"/>
      <c r="ATC20" s="129"/>
      <c r="ATD20" s="129"/>
      <c r="ATE20" s="129"/>
      <c r="ATF20" s="129"/>
      <c r="ATG20" s="129"/>
      <c r="ATH20" s="128"/>
      <c r="ATI20" s="128"/>
      <c r="ATJ20" s="128"/>
      <c r="ATK20" s="128"/>
      <c r="ATL20" s="128"/>
      <c r="ATM20" s="128"/>
      <c r="ATN20" s="128"/>
      <c r="BAV20" s="144" t="s">
        <v>292</v>
      </c>
      <c r="BAW20" s="144"/>
      <c r="BAX20" s="144"/>
      <c r="BAY20" s="144"/>
      <c r="BAZ20" s="144"/>
      <c r="BBA20" s="144"/>
      <c r="BBB20" s="144"/>
      <c r="BBC20" s="144"/>
      <c r="BBD20" s="144"/>
      <c r="BBE20" s="144"/>
      <c r="BBF20" s="144"/>
      <c r="BBG20" s="144"/>
      <c r="BBH20" s="144"/>
      <c r="BBI20" s="144"/>
      <c r="BBJ20" s="144"/>
      <c r="BBK20" s="144"/>
      <c r="BBL20" s="144"/>
      <c r="BBM20" s="144"/>
      <c r="BBN20" s="144"/>
      <c r="BBO20" s="144"/>
      <c r="BBP20" s="144"/>
      <c r="BBQ20" s="144"/>
      <c r="BBR20" s="144"/>
      <c r="BBS20" s="144"/>
      <c r="BBT20" s="144"/>
      <c r="BBU20" s="144"/>
      <c r="BBV20" s="144"/>
      <c r="BBW20" s="144"/>
      <c r="BBX20" s="144"/>
      <c r="BBY20" s="144"/>
      <c r="BBZ20" s="144"/>
      <c r="BCA20" s="144"/>
      <c r="BCB20" s="144"/>
      <c r="BCC20" s="144"/>
      <c r="BCD20" s="144"/>
      <c r="BCE20" s="144"/>
      <c r="BCF20" s="144"/>
      <c r="BCG20" s="144"/>
      <c r="BCH20" s="144"/>
      <c r="BCI20" s="144"/>
      <c r="BCJ20" s="144"/>
      <c r="BCK20" s="144"/>
      <c r="BCL20" s="144"/>
      <c r="BCM20" s="144"/>
      <c r="BCN20" s="144"/>
      <c r="BCO20" s="144"/>
      <c r="BCP20" s="144"/>
      <c r="BCQ20" s="144"/>
      <c r="BCR20" s="144"/>
      <c r="BCS20" s="144"/>
      <c r="BCT20" s="144"/>
      <c r="BCU20" s="144"/>
      <c r="BCV20" s="144"/>
      <c r="BCW20" s="144"/>
      <c r="BCX20" s="144"/>
      <c r="BCY20" s="144"/>
      <c r="BCZ20" s="144"/>
      <c r="BDA20" s="144"/>
      <c r="BDB20" s="144"/>
      <c r="BDC20" s="144"/>
      <c r="BDD20" s="144"/>
      <c r="BDE20" s="144"/>
      <c r="BDF20" s="144"/>
      <c r="BDG20" s="144"/>
      <c r="BDH20" s="144"/>
      <c r="BDI20" s="144"/>
      <c r="BDJ20" s="144"/>
      <c r="BDK20" s="144"/>
      <c r="BDL20" s="144"/>
      <c r="BDM20" s="144"/>
      <c r="BDN20" s="144"/>
      <c r="BDO20" s="144"/>
      <c r="BDP20" s="144"/>
      <c r="BDQ20" s="144"/>
      <c r="BDR20" s="144"/>
      <c r="BDS20" s="144"/>
      <c r="BDT20" s="144"/>
      <c r="BDU20" s="144"/>
      <c r="BDV20" s="144"/>
      <c r="BDW20" s="144"/>
      <c r="BDX20" s="144"/>
      <c r="BDY20" s="144"/>
      <c r="BDZ20" s="144"/>
      <c r="BEA20" s="144"/>
      <c r="BEB20" s="144"/>
      <c r="BEC20" s="144"/>
      <c r="BED20" s="144"/>
      <c r="BEE20" s="144"/>
      <c r="BEF20" s="144"/>
      <c r="BEG20" s="144"/>
      <c r="BEH20" s="144"/>
      <c r="BEI20" s="144"/>
      <c r="BEJ20" s="144"/>
      <c r="CDT20" s="128" t="s">
        <v>401</v>
      </c>
      <c r="CDU20" s="128"/>
      <c r="CDV20" s="128"/>
      <c r="CDW20" s="128"/>
      <c r="CDX20" s="128"/>
      <c r="CDY20" s="128"/>
      <c r="CDZ20" s="128"/>
      <c r="CEA20" s="128"/>
      <c r="CEB20" s="128"/>
      <c r="CEC20" s="128"/>
      <c r="CED20" s="128"/>
      <c r="CEE20" s="128"/>
      <c r="CEF20" s="128"/>
      <c r="CEG20" s="128"/>
      <c r="CEH20" s="128"/>
      <c r="CEI20" s="128"/>
      <c r="CEJ20" s="128"/>
      <c r="CEK20" s="128"/>
      <c r="CEL20" s="128"/>
      <c r="CEM20" s="128"/>
      <c r="CEN20" s="128"/>
      <c r="CEO20" s="128"/>
      <c r="CEP20" s="128"/>
      <c r="CEQ20" s="128"/>
      <c r="CER20" s="128"/>
      <c r="CES20" s="128"/>
      <c r="CET20" s="128"/>
      <c r="CEU20" s="128"/>
      <c r="CEV20" s="128"/>
      <c r="CEW20" s="128"/>
      <c r="CEX20" s="128"/>
      <c r="CEY20" s="129"/>
      <c r="CEZ20" s="129"/>
      <c r="CFA20" s="129"/>
      <c r="CFB20" s="129"/>
      <c r="CFC20" s="129"/>
      <c r="CFD20" s="129"/>
      <c r="CFE20" s="129"/>
      <c r="CFF20" s="129"/>
      <c r="CFG20" s="129"/>
      <c r="CFH20" s="129"/>
      <c r="CFI20" s="129"/>
      <c r="CFJ20" s="129"/>
      <c r="CFK20" s="129"/>
      <c r="CFL20" s="129"/>
      <c r="CFM20" s="129"/>
      <c r="CFN20" s="129"/>
      <c r="CFO20" s="129"/>
      <c r="CFP20" s="129"/>
      <c r="CFQ20" s="129"/>
      <c r="CFR20" s="129"/>
      <c r="CFS20" s="129"/>
      <c r="CFT20" s="128"/>
      <c r="CFU20" s="128"/>
      <c r="CFV20" s="128"/>
      <c r="CFW20" s="128"/>
      <c r="CFX20" s="128"/>
      <c r="CFY20" s="128"/>
      <c r="CFZ20" s="129"/>
      <c r="CGA20" s="129"/>
      <c r="CGB20" s="129"/>
      <c r="CGC20" s="129"/>
      <c r="CGD20" s="129"/>
      <c r="CGE20" s="129"/>
      <c r="CGF20" s="129"/>
      <c r="CGG20" s="129"/>
      <c r="CGH20" s="129"/>
      <c r="CGI20" s="129"/>
      <c r="CGJ20" s="129"/>
      <c r="CGK20" s="129"/>
      <c r="CGL20" s="129"/>
      <c r="CGM20" s="129"/>
      <c r="CGN20" s="129"/>
      <c r="CGO20" s="129"/>
      <c r="CGP20" s="129"/>
      <c r="CGQ20" s="129"/>
      <c r="CGR20" s="129"/>
      <c r="CGS20" s="129"/>
      <c r="CGT20" s="129"/>
      <c r="CGU20" s="129"/>
      <c r="CGV20" s="129"/>
      <c r="CGW20" s="129"/>
      <c r="CGX20" s="129"/>
      <c r="CGY20" s="129"/>
      <c r="CGZ20" s="129"/>
      <c r="CHA20" s="129"/>
      <c r="CHB20" s="128"/>
      <c r="CHC20" s="128"/>
      <c r="CHD20" s="128"/>
      <c r="CHE20" s="128"/>
      <c r="CHF20" s="128"/>
      <c r="CHG20" s="128"/>
      <c r="CHH20" s="128"/>
      <c r="CHJ20" s="128"/>
      <c r="CHK20" s="128"/>
      <c r="CHL20" s="128"/>
      <c r="CHM20" s="128"/>
      <c r="CHN20" s="128"/>
      <c r="CHO20" s="128"/>
      <c r="CHP20" s="128"/>
      <c r="CHQ20" s="128"/>
      <c r="CHR20" s="128"/>
      <c r="CHS20" s="128"/>
      <c r="CHT20" s="128"/>
      <c r="CHU20" s="128"/>
      <c r="CHV20" s="128"/>
      <c r="CHW20" s="128"/>
      <c r="CHX20" s="128"/>
      <c r="CHY20" s="128"/>
      <c r="CHZ20" s="128"/>
      <c r="CIA20" s="128"/>
      <c r="CIB20" s="128"/>
      <c r="CIC20" s="128"/>
      <c r="CID20" s="128"/>
      <c r="CIE20" s="128"/>
      <c r="CIF20" s="128"/>
      <c r="CIG20" s="128"/>
      <c r="CIH20" s="128"/>
      <c r="CII20" s="128"/>
      <c r="CIJ20" s="128"/>
      <c r="CIK20" s="128"/>
      <c r="CIL20" s="128"/>
      <c r="CIM20" s="128"/>
      <c r="CIN20" s="128"/>
      <c r="CIO20" s="129"/>
      <c r="CIP20" s="129"/>
      <c r="CIQ20" s="129"/>
      <c r="CIR20" s="129"/>
      <c r="CIS20" s="129"/>
      <c r="CIT20" s="129"/>
      <c r="CIU20" s="129"/>
      <c r="CIV20" s="129"/>
      <c r="CIW20" s="129"/>
      <c r="CIX20" s="129"/>
      <c r="CIY20" s="129"/>
      <c r="CIZ20" s="129"/>
      <c r="CJA20" s="129"/>
      <c r="CJB20" s="129"/>
      <c r="CJC20" s="129"/>
      <c r="CJD20" s="129"/>
      <c r="CJE20" s="129"/>
      <c r="CJF20" s="129"/>
      <c r="CJG20" s="129"/>
      <c r="CJH20" s="129"/>
      <c r="CJI20" s="129"/>
      <c r="CJJ20" s="128"/>
      <c r="CJK20" s="128"/>
      <c r="CJL20" s="128"/>
      <c r="CJM20" s="128"/>
      <c r="CJN20" s="128"/>
      <c r="CJO20" s="128"/>
      <c r="CJP20" s="129"/>
      <c r="CJQ20" s="129"/>
      <c r="CJR20" s="129"/>
      <c r="CJS20" s="129"/>
      <c r="CJT20" s="129"/>
      <c r="CJU20" s="129"/>
      <c r="CJV20" s="129"/>
      <c r="CJW20" s="129"/>
      <c r="CJX20" s="129"/>
      <c r="CJY20" s="129"/>
      <c r="CJZ20" s="129"/>
      <c r="CKA20" s="129"/>
      <c r="CKB20" s="129"/>
      <c r="CKC20" s="129"/>
      <c r="CKD20" s="129"/>
      <c r="CKE20" s="129"/>
      <c r="CKF20" s="129"/>
      <c r="CKG20" s="129"/>
      <c r="CKH20" s="129"/>
      <c r="CKI20" s="129"/>
      <c r="CKJ20" s="129"/>
      <c r="CKK20" s="129"/>
      <c r="CKL20" s="129"/>
      <c r="CKM20" s="129"/>
      <c r="CKN20" s="129"/>
      <c r="CKO20" s="129"/>
      <c r="CKP20" s="129"/>
      <c r="CKQ20" s="129"/>
      <c r="CKR20" s="128"/>
      <c r="CKS20" s="128"/>
      <c r="CKT20" s="128"/>
      <c r="CKU20" s="128"/>
      <c r="CKV20" s="128"/>
      <c r="CKW20" s="128"/>
      <c r="CKX20" s="128"/>
      <c r="COP20" s="128" t="str">
        <f ca="1">VLOOKUP(7,INDIRECT("Open"&amp;'Character Creation'!$Z$14),2,FALSE)</f>
        <v>Physical Enhancement</v>
      </c>
      <c r="COQ20" s="128"/>
      <c r="COR20" s="128"/>
      <c r="COS20" s="128"/>
      <c r="COT20" s="128"/>
      <c r="COU20" s="128"/>
      <c r="COV20" s="128"/>
      <c r="COW20" s="128"/>
      <c r="COX20" s="128"/>
      <c r="COY20" s="128"/>
      <c r="COZ20" s="128"/>
      <c r="CPA20" s="128"/>
      <c r="CPB20" s="128"/>
      <c r="CPC20" s="128"/>
      <c r="CPD20" s="128"/>
      <c r="CPE20" s="128"/>
      <c r="CPF20" s="128"/>
      <c r="CPG20" s="128"/>
      <c r="CPH20" s="128"/>
      <c r="CPI20" s="128"/>
      <c r="CPJ20" s="128"/>
      <c r="CPK20" s="128"/>
      <c r="CPL20" s="128"/>
      <c r="CPM20" s="128"/>
      <c r="CPN20" s="128"/>
      <c r="CPO20" s="128"/>
      <c r="CPP20" s="128"/>
      <c r="CPQ20" s="128"/>
      <c r="CPR20" s="128"/>
      <c r="CPS20" s="128"/>
      <c r="CPT20" s="128"/>
      <c r="CPU20" s="129"/>
      <c r="CPV20" s="129"/>
      <c r="CPW20" s="129"/>
      <c r="CPX20" s="129"/>
      <c r="CPY20" s="129"/>
      <c r="CPZ20" s="129"/>
      <c r="CQA20" s="129"/>
      <c r="CQB20" s="129"/>
      <c r="CQC20" s="129"/>
      <c r="CQD20" s="129"/>
      <c r="CQE20" s="129"/>
      <c r="CQF20" s="129"/>
      <c r="CQG20" s="129"/>
      <c r="CQH20" s="129"/>
      <c r="CQI20" s="129"/>
      <c r="CQJ20" s="129"/>
      <c r="CQK20" s="129"/>
      <c r="CQL20" s="129"/>
      <c r="CQM20" s="129"/>
      <c r="CQN20" s="129"/>
      <c r="CQO20" s="129"/>
      <c r="CQP20" s="128"/>
      <c r="CQQ20" s="128"/>
      <c r="CQR20" s="128"/>
      <c r="CQS20" s="128"/>
      <c r="CQT20" s="128"/>
      <c r="CQU20" s="128"/>
      <c r="CQV20" s="129"/>
      <c r="CQW20" s="129"/>
      <c r="CQX20" s="129"/>
      <c r="CQY20" s="129"/>
      <c r="CQZ20" s="129"/>
      <c r="CRA20" s="129"/>
      <c r="CRB20" s="129"/>
      <c r="CRC20" s="129"/>
      <c r="CRD20" s="129"/>
      <c r="CRE20" s="129"/>
      <c r="CRF20" s="129"/>
      <c r="CRG20" s="129"/>
      <c r="CRH20" s="129"/>
      <c r="CRI20" s="129"/>
      <c r="CRJ20" s="129"/>
      <c r="CRK20" s="129"/>
      <c r="CRL20" s="129"/>
      <c r="CRM20" s="129"/>
      <c r="CRN20" s="129"/>
      <c r="CRO20" s="129"/>
      <c r="CRP20" s="129"/>
      <c r="CRQ20" s="129"/>
      <c r="CRR20" s="129"/>
      <c r="CRS20" s="129"/>
      <c r="CRT20" s="129"/>
      <c r="CRU20" s="129"/>
      <c r="CRV20" s="129"/>
      <c r="CRW20" s="129"/>
      <c r="CRX20" s="128"/>
      <c r="CRY20" s="128"/>
      <c r="CRZ20" s="128"/>
      <c r="CSA20" s="128"/>
      <c r="CSB20" s="128"/>
      <c r="CSC20" s="128"/>
      <c r="CSD20" s="128"/>
      <c r="CSF20" s="128" t="s">
        <v>445</v>
      </c>
      <c r="CSG20" s="128"/>
      <c r="CSH20" s="128"/>
      <c r="CSI20" s="128"/>
      <c r="CSJ20" s="128"/>
      <c r="CSK20" s="128"/>
      <c r="CSL20" s="128"/>
      <c r="CSM20" s="128"/>
      <c r="CSN20" s="128"/>
      <c r="CSO20" s="128"/>
      <c r="CSP20" s="128"/>
      <c r="CSQ20" s="128"/>
      <c r="CSR20" s="128"/>
      <c r="CSS20" s="128"/>
      <c r="CST20" s="128"/>
      <c r="CSU20" s="128"/>
      <c r="CSV20" s="128"/>
      <c r="CSW20" s="128"/>
      <c r="CSX20" s="128"/>
      <c r="CSY20" s="128"/>
      <c r="CSZ20" s="128"/>
      <c r="CTA20" s="128"/>
      <c r="CTB20" s="128"/>
      <c r="CTC20" s="128"/>
      <c r="CTD20" s="128"/>
      <c r="CTE20" s="128"/>
      <c r="CTF20" s="128"/>
      <c r="CTG20" s="128"/>
      <c r="CTH20" s="128"/>
      <c r="CTI20" s="128"/>
      <c r="CTJ20" s="128"/>
      <c r="CTK20" s="129"/>
      <c r="CTL20" s="129"/>
      <c r="CTM20" s="129"/>
      <c r="CTN20" s="129"/>
      <c r="CTO20" s="129"/>
      <c r="CTP20" s="129"/>
      <c r="CTQ20" s="129"/>
      <c r="CTR20" s="129"/>
      <c r="CTS20" s="129"/>
      <c r="CTT20" s="129"/>
      <c r="CTU20" s="129"/>
      <c r="CTV20" s="129"/>
      <c r="CTW20" s="129"/>
      <c r="CTX20" s="129"/>
      <c r="CTY20" s="129"/>
      <c r="CTZ20" s="129"/>
      <c r="CUA20" s="129"/>
      <c r="CUB20" s="129"/>
      <c r="CUC20" s="129"/>
      <c r="CUD20" s="129"/>
      <c r="CUE20" s="129"/>
      <c r="CUF20" s="128"/>
      <c r="CUG20" s="128"/>
      <c r="CUH20" s="128"/>
      <c r="CUI20" s="128"/>
      <c r="CUJ20" s="128"/>
      <c r="CUK20" s="128"/>
      <c r="CUL20" s="129"/>
      <c r="CUM20" s="129"/>
      <c r="CUN20" s="129"/>
      <c r="CUO20" s="129"/>
      <c r="CUP20" s="129"/>
      <c r="CUQ20" s="129"/>
      <c r="CUR20" s="129"/>
      <c r="CUS20" s="129"/>
      <c r="CUT20" s="129"/>
      <c r="CUU20" s="129"/>
      <c r="CUV20" s="129"/>
      <c r="CUW20" s="129"/>
      <c r="CUX20" s="129"/>
      <c r="CUY20" s="129"/>
      <c r="CUZ20" s="129"/>
      <c r="CVA20" s="129"/>
      <c r="CVB20" s="129"/>
      <c r="CVC20" s="129"/>
      <c r="CVD20" s="129"/>
      <c r="CVE20" s="129"/>
      <c r="CVF20" s="129"/>
      <c r="CVG20" s="129"/>
      <c r="CVH20" s="129"/>
      <c r="CVI20" s="129"/>
      <c r="CVJ20" s="129"/>
      <c r="CVK20" s="129"/>
      <c r="CVL20" s="129"/>
      <c r="CVM20" s="129"/>
      <c r="CVN20" s="128"/>
      <c r="CVO20" s="128"/>
      <c r="CVP20" s="128"/>
      <c r="CVQ20" s="128"/>
      <c r="CVR20" s="128"/>
      <c r="CVS20" s="128"/>
      <c r="CVT20" s="128"/>
      <c r="CVV20" s="128" t="s">
        <v>497</v>
      </c>
      <c r="CVW20" s="128"/>
      <c r="CVX20" s="128"/>
      <c r="CVY20" s="128"/>
      <c r="CVZ20" s="128"/>
      <c r="CWA20" s="128"/>
      <c r="CWB20" s="128"/>
      <c r="CWC20" s="128"/>
      <c r="CWD20" s="128"/>
      <c r="CWE20" s="128"/>
      <c r="CWF20" s="128"/>
      <c r="CWG20" s="128"/>
      <c r="CWH20" s="128"/>
      <c r="CWI20" s="128"/>
      <c r="CWJ20" s="128"/>
      <c r="CWK20" s="128"/>
      <c r="CWL20" s="128"/>
      <c r="CWM20" s="128"/>
      <c r="CWN20" s="128"/>
      <c r="CWO20" s="128"/>
      <c r="CWP20" s="128"/>
      <c r="CWQ20" s="128"/>
      <c r="CWR20" s="128"/>
      <c r="CWS20" s="128"/>
      <c r="CWT20" s="128"/>
      <c r="CWU20" s="128"/>
      <c r="CWV20" s="128"/>
      <c r="CWW20" s="128"/>
      <c r="CWX20" s="128"/>
      <c r="CWY20" s="128"/>
      <c r="CWZ20" s="128"/>
      <c r="CXA20" s="129"/>
      <c r="CXB20" s="129"/>
      <c r="CXC20" s="129"/>
      <c r="CXD20" s="129"/>
      <c r="CXE20" s="129"/>
      <c r="CXF20" s="129"/>
      <c r="CXG20" s="129"/>
      <c r="CXH20" s="129"/>
      <c r="CXI20" s="129"/>
      <c r="CXJ20" s="129"/>
      <c r="CXK20" s="129"/>
      <c r="CXL20" s="129"/>
      <c r="CXM20" s="129"/>
      <c r="CXN20" s="129"/>
      <c r="CXO20" s="129"/>
      <c r="CXP20" s="129"/>
      <c r="CXQ20" s="129"/>
      <c r="CXR20" s="129"/>
      <c r="CXS20" s="129"/>
      <c r="CXT20" s="129"/>
      <c r="CXU20" s="129"/>
      <c r="CXV20" s="128"/>
      <c r="CXW20" s="128"/>
      <c r="CXX20" s="128"/>
      <c r="CXY20" s="128"/>
      <c r="CXZ20" s="128"/>
      <c r="CYA20" s="128"/>
      <c r="CYB20" s="129"/>
      <c r="CYC20" s="129"/>
      <c r="CYD20" s="129"/>
      <c r="CYE20" s="129"/>
      <c r="CYF20" s="129"/>
      <c r="CYG20" s="129"/>
      <c r="CYH20" s="129"/>
      <c r="CYI20" s="129"/>
      <c r="CYJ20" s="129"/>
      <c r="CYK20" s="129"/>
      <c r="CYL20" s="129"/>
      <c r="CYM20" s="129"/>
      <c r="CYN20" s="129"/>
      <c r="CYO20" s="129"/>
      <c r="CYP20" s="129"/>
      <c r="CYQ20" s="129"/>
      <c r="CYR20" s="129"/>
      <c r="CYS20" s="129"/>
      <c r="CYT20" s="129"/>
      <c r="CYU20" s="129"/>
      <c r="CYV20" s="129"/>
      <c r="CYW20" s="129"/>
      <c r="CYX20" s="129"/>
      <c r="CYY20" s="129"/>
      <c r="CYZ20" s="129"/>
      <c r="CZA20" s="129"/>
      <c r="CZB20" s="129"/>
      <c r="CZC20" s="129"/>
      <c r="CZD20" s="128"/>
      <c r="CZE20" s="128"/>
      <c r="CZF20" s="128"/>
      <c r="CZG20" s="128"/>
      <c r="CZH20" s="128"/>
      <c r="CZI20" s="128"/>
      <c r="CZJ20" s="128"/>
      <c r="DDB20" s="128" t="s">
        <v>529</v>
      </c>
      <c r="DDC20" s="128"/>
      <c r="DDD20" s="128"/>
      <c r="DDE20" s="128"/>
      <c r="DDF20" s="128"/>
      <c r="DDG20" s="128"/>
      <c r="DDH20" s="128"/>
      <c r="DDI20" s="128"/>
      <c r="DDJ20" s="128"/>
      <c r="DDK20" s="128"/>
      <c r="DDL20" s="128"/>
      <c r="DDM20" s="128"/>
      <c r="DDN20" s="128"/>
      <c r="DDO20" s="128"/>
      <c r="DDP20" s="128"/>
      <c r="DDQ20" s="128"/>
      <c r="DDR20" s="128"/>
      <c r="DDS20" s="128"/>
      <c r="DDT20" s="128"/>
      <c r="DDU20" s="128"/>
      <c r="DDV20" s="128"/>
      <c r="DDW20" s="128"/>
      <c r="DDX20" s="128"/>
      <c r="DDY20" s="128"/>
      <c r="DDZ20" s="128"/>
      <c r="DEA20" s="128"/>
      <c r="DEB20" s="128"/>
      <c r="DEC20" s="128"/>
      <c r="DED20" s="128"/>
      <c r="DEE20" s="128"/>
      <c r="DEF20" s="128"/>
      <c r="DEG20" s="129"/>
      <c r="DEH20" s="129"/>
      <c r="DEI20" s="129"/>
      <c r="DEJ20" s="129"/>
      <c r="DEK20" s="129"/>
      <c r="DEL20" s="129"/>
      <c r="DEM20" s="129"/>
      <c r="DEN20" s="129"/>
      <c r="DEO20" s="129"/>
      <c r="DEP20" s="129"/>
      <c r="DEQ20" s="129"/>
      <c r="DER20" s="129"/>
      <c r="DES20" s="129"/>
      <c r="DET20" s="129"/>
      <c r="DEU20" s="129"/>
      <c r="DEV20" s="129"/>
      <c r="DEW20" s="129"/>
      <c r="DEX20" s="129"/>
      <c r="DEY20" s="129"/>
      <c r="DEZ20" s="129"/>
      <c r="DFA20" s="129"/>
      <c r="DFB20" s="128"/>
      <c r="DFC20" s="128"/>
      <c r="DFD20" s="128"/>
      <c r="DFE20" s="128"/>
      <c r="DFF20" s="128"/>
      <c r="DFG20" s="128"/>
      <c r="DFH20" s="129"/>
      <c r="DFI20" s="129"/>
      <c r="DFJ20" s="129"/>
      <c r="DFK20" s="129"/>
      <c r="DFL20" s="129"/>
      <c r="DFM20" s="129"/>
      <c r="DFN20" s="129"/>
      <c r="DFO20" s="129"/>
      <c r="DFP20" s="129"/>
      <c r="DFQ20" s="129"/>
      <c r="DFR20" s="129"/>
      <c r="DFS20" s="129"/>
      <c r="DFT20" s="129"/>
      <c r="DFU20" s="129"/>
      <c r="DFV20" s="129"/>
      <c r="DFW20" s="129"/>
      <c r="DFX20" s="129"/>
      <c r="DFY20" s="129"/>
      <c r="DFZ20" s="129"/>
      <c r="DGA20" s="129"/>
      <c r="DGB20" s="129"/>
      <c r="DGC20" s="129"/>
      <c r="DGD20" s="129"/>
      <c r="DGE20" s="129"/>
      <c r="DGF20" s="129"/>
      <c r="DGG20" s="129"/>
      <c r="DGH20" s="129"/>
      <c r="DGI20" s="129"/>
      <c r="DGJ20" s="128"/>
      <c r="DGK20" s="128"/>
      <c r="DGL20" s="128"/>
      <c r="DGM20" s="128"/>
      <c r="DGN20" s="128"/>
      <c r="DGO20" s="128"/>
      <c r="DGP20" s="128"/>
      <c r="DGR20" s="128" t="s">
        <v>569</v>
      </c>
      <c r="DGS20" s="128"/>
      <c r="DGT20" s="128"/>
      <c r="DGU20" s="128"/>
      <c r="DGV20" s="128"/>
      <c r="DGW20" s="128"/>
      <c r="DGX20" s="128"/>
      <c r="DGY20" s="128"/>
      <c r="DGZ20" s="128"/>
      <c r="DHA20" s="128"/>
      <c r="DHB20" s="128"/>
      <c r="DHC20" s="128"/>
      <c r="DHD20" s="128"/>
      <c r="DHE20" s="128"/>
      <c r="DHF20" s="128"/>
      <c r="DHG20" s="128"/>
      <c r="DHH20" s="128"/>
      <c r="DHI20" s="128"/>
      <c r="DHJ20" s="128"/>
      <c r="DHK20" s="128"/>
      <c r="DHL20" s="128"/>
      <c r="DHM20" s="128"/>
      <c r="DHN20" s="128"/>
      <c r="DHO20" s="128"/>
      <c r="DHP20" s="128"/>
      <c r="DHQ20" s="128"/>
      <c r="DHR20" s="128"/>
      <c r="DHS20" s="128"/>
      <c r="DHT20" s="128"/>
      <c r="DHU20" s="128"/>
      <c r="DHV20" s="128"/>
      <c r="DHW20" s="129"/>
      <c r="DHX20" s="129"/>
      <c r="DHY20" s="129"/>
      <c r="DHZ20" s="129"/>
      <c r="DIA20" s="129"/>
      <c r="DIB20" s="129"/>
      <c r="DIC20" s="129"/>
      <c r="DID20" s="129"/>
      <c r="DIE20" s="129"/>
      <c r="DIF20" s="129"/>
      <c r="DIG20" s="129"/>
      <c r="DIH20" s="129"/>
      <c r="DII20" s="129"/>
      <c r="DIJ20" s="129"/>
      <c r="DIK20" s="129"/>
      <c r="DIL20" s="129"/>
      <c r="DIM20" s="129"/>
      <c r="DIN20" s="129"/>
      <c r="DIO20" s="129"/>
      <c r="DIP20" s="129"/>
      <c r="DIQ20" s="129"/>
      <c r="DIR20" s="128"/>
      <c r="DIS20" s="128"/>
      <c r="DIT20" s="128"/>
      <c r="DIU20" s="128"/>
      <c r="DIV20" s="128"/>
      <c r="DIW20" s="128"/>
      <c r="DIX20" s="129"/>
      <c r="DIY20" s="129"/>
      <c r="DIZ20" s="129"/>
      <c r="DJA20" s="129"/>
      <c r="DJB20" s="129"/>
      <c r="DJC20" s="129"/>
      <c r="DJD20" s="129"/>
      <c r="DJE20" s="129"/>
      <c r="DJF20" s="129"/>
      <c r="DJG20" s="129"/>
      <c r="DJH20" s="129"/>
      <c r="DJI20" s="129"/>
      <c r="DJJ20" s="129"/>
      <c r="DJK20" s="129"/>
      <c r="DJL20" s="129"/>
      <c r="DJM20" s="129"/>
      <c r="DJN20" s="129"/>
      <c r="DJO20" s="129"/>
      <c r="DJP20" s="129"/>
      <c r="DJQ20" s="129"/>
      <c r="DJR20" s="129"/>
      <c r="DJS20" s="129"/>
      <c r="DJT20" s="129"/>
      <c r="DJU20" s="129"/>
      <c r="DJV20" s="129"/>
      <c r="DJW20" s="129"/>
      <c r="DJX20" s="129"/>
      <c r="DJY20" s="129"/>
      <c r="DJZ20" s="128"/>
      <c r="DKA20" s="128"/>
      <c r="DKB20" s="128"/>
      <c r="DKC20" s="128"/>
      <c r="DKD20" s="128"/>
      <c r="DKE20" s="128"/>
      <c r="DKF20" s="128"/>
    </row>
    <row r="21" spans="2:1022 1118:1774 2152:2996" ht="15" customHeight="1" x14ac:dyDescent="0.25">
      <c r="B21" s="188" t="s">
        <v>33</v>
      </c>
      <c r="C21" s="189"/>
      <c r="D21" s="189"/>
      <c r="E21" s="189"/>
      <c r="F21" s="189"/>
      <c r="G21" s="189"/>
      <c r="H21" s="189"/>
      <c r="I21" s="189"/>
      <c r="J21" s="189"/>
      <c r="K21" s="189"/>
      <c r="L21" s="189"/>
      <c r="M21" s="189"/>
      <c r="N21" s="189"/>
      <c r="O21" s="189"/>
      <c r="P21" s="189"/>
      <c r="Q21" s="130">
        <f>'Level-up'!E11</f>
        <v>35</v>
      </c>
      <c r="R21" s="130"/>
      <c r="S21" s="130"/>
      <c r="T21" s="130"/>
      <c r="U21" s="130"/>
      <c r="V21" s="130"/>
      <c r="W21" s="130"/>
      <c r="X21" s="130">
        <f>'Character Creation'!AJ48</f>
        <v>100</v>
      </c>
      <c r="Y21" s="130"/>
      <c r="Z21" s="130"/>
      <c r="AA21" s="130"/>
      <c r="AB21" s="130"/>
      <c r="AC21" s="130"/>
      <c r="AD21" s="130"/>
      <c r="AE21" s="130">
        <f t="shared" si="1"/>
        <v>-3</v>
      </c>
      <c r="AF21" s="130"/>
      <c r="AG21" s="130"/>
      <c r="AH21" s="130"/>
      <c r="AI21" s="130"/>
      <c r="AJ21" s="130"/>
      <c r="AK21" s="130"/>
      <c r="AL21" s="130">
        <f>VLOOKUP('Character Creation'!$Z$11,RaceChart,10,FALSE)</f>
        <v>1</v>
      </c>
      <c r="AM21" s="130"/>
      <c r="AN21" s="130"/>
      <c r="AO21" s="130"/>
      <c r="AP21" s="130"/>
      <c r="AQ21" s="130"/>
      <c r="AR21" s="130"/>
      <c r="AS21" s="130">
        <v>0</v>
      </c>
      <c r="AT21" s="130"/>
      <c r="AU21" s="130"/>
      <c r="AV21" s="130"/>
      <c r="AW21" s="130"/>
      <c r="AX21" s="130"/>
      <c r="AY21" s="130"/>
      <c r="AZ21" s="210">
        <f t="shared" si="2"/>
        <v>-2</v>
      </c>
      <c r="BA21" s="210"/>
      <c r="BB21" s="210"/>
      <c r="BC21" s="210"/>
      <c r="BD21" s="210"/>
      <c r="BE21" s="210"/>
      <c r="BF21" s="211"/>
      <c r="BH21" s="230" t="s">
        <v>48</v>
      </c>
      <c r="BI21" s="207"/>
      <c r="BJ21" s="207"/>
      <c r="BK21" s="207"/>
      <c r="BL21" s="207"/>
      <c r="BM21" s="207"/>
      <c r="BN21" s="207"/>
      <c r="BO21" s="207"/>
      <c r="BP21" s="207"/>
      <c r="BQ21" s="207"/>
      <c r="BR21" s="207"/>
      <c r="BS21" s="207"/>
      <c r="BT21" s="207"/>
      <c r="BU21" s="207"/>
      <c r="BV21" s="207"/>
      <c r="BW21" s="207"/>
      <c r="BX21" s="207"/>
      <c r="BY21" s="207"/>
      <c r="BZ21" s="207"/>
      <c r="CA21" s="245">
        <v>0</v>
      </c>
      <c r="CB21" s="245"/>
      <c r="CC21" s="245"/>
      <c r="CD21" s="245"/>
      <c r="CE21" s="245"/>
      <c r="CF21" s="245"/>
      <c r="CG21" s="245"/>
      <c r="CH21" s="245">
        <v>0</v>
      </c>
      <c r="CI21" s="245"/>
      <c r="CJ21" s="245"/>
      <c r="CK21" s="245"/>
      <c r="CL21" s="245"/>
      <c r="CM21" s="245"/>
      <c r="CN21" s="245"/>
      <c r="CO21" s="245">
        <v>0</v>
      </c>
      <c r="CP21" s="245"/>
      <c r="CQ21" s="245"/>
      <c r="CR21" s="245"/>
      <c r="CS21" s="245"/>
      <c r="CT21" s="245"/>
      <c r="CU21" s="245"/>
      <c r="CV21" s="325">
        <f t="shared" ref="CV21" si="5">SUM(CA21:CU21)</f>
        <v>0</v>
      </c>
      <c r="CW21" s="325"/>
      <c r="CX21" s="325"/>
      <c r="CY21" s="325"/>
      <c r="CZ21" s="325"/>
      <c r="DA21" s="325"/>
      <c r="DB21" s="347"/>
      <c r="DC21"/>
      <c r="DD21" s="188" t="s">
        <v>115</v>
      </c>
      <c r="DE21" s="189"/>
      <c r="DF21" s="189"/>
      <c r="DG21" s="189"/>
      <c r="DH21" s="189"/>
      <c r="DI21" s="189"/>
      <c r="DJ21" s="189"/>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34">
        <f>VLOOKUP('Character Creation'!$Z$11,RaceChart,17,FALSE)</f>
        <v>5</v>
      </c>
      <c r="EH21" s="134"/>
      <c r="EI21" s="134"/>
      <c r="EJ21" s="134"/>
      <c r="EK21" s="134"/>
      <c r="EL21" s="134"/>
      <c r="EM21" s="134"/>
      <c r="EN21" s="134"/>
      <c r="EO21" s="130" t="s">
        <v>117</v>
      </c>
      <c r="EP21" s="130"/>
      <c r="EQ21" s="130"/>
      <c r="ER21" s="130"/>
      <c r="ES21" s="222" t="str">
        <f ca="1">Skills!AF53</f>
        <v>9</v>
      </c>
      <c r="ET21" s="222"/>
      <c r="EU21" s="222"/>
      <c r="EV21" s="222"/>
      <c r="EW21" s="222"/>
      <c r="EX21" s="222"/>
      <c r="EY21" s="222"/>
      <c r="EZ21" s="223"/>
      <c r="FB21" s="139" t="s">
        <v>3002</v>
      </c>
      <c r="FC21" s="140"/>
      <c r="FD21" s="140"/>
      <c r="FE21" s="140"/>
      <c r="FF21" s="140"/>
      <c r="FG21" s="140"/>
      <c r="FH21" s="140"/>
      <c r="FI21" s="140"/>
      <c r="FJ21" s="140"/>
      <c r="FK21" s="140"/>
      <c r="FL21" s="140"/>
      <c r="FM21" s="140"/>
      <c r="FN21" s="140"/>
      <c r="FO21" s="140"/>
      <c r="FP21" s="140"/>
      <c r="FQ21" s="140"/>
      <c r="FR21" s="140"/>
      <c r="FS21" s="140"/>
      <c r="FT21" s="140"/>
      <c r="FU21" s="140"/>
      <c r="FV21" s="140"/>
      <c r="FW21" s="140"/>
      <c r="FX21" s="140"/>
      <c r="FY21" s="140"/>
      <c r="FZ21" s="140"/>
      <c r="GA21" s="140"/>
      <c r="GB21" s="140"/>
      <c r="GC21" s="140"/>
      <c r="GD21" s="140"/>
      <c r="GE21" s="140"/>
      <c r="GF21" s="140"/>
      <c r="GG21" s="140"/>
      <c r="GH21" s="140"/>
      <c r="GI21" s="140"/>
      <c r="GJ21" s="140"/>
      <c r="GK21" s="140"/>
      <c r="GL21" s="140"/>
      <c r="GM21" s="140"/>
      <c r="GN21" s="140"/>
      <c r="GO21" s="140"/>
      <c r="GP21" s="140"/>
      <c r="GQ21" s="140"/>
      <c r="GR21" s="140"/>
      <c r="GS21" s="140"/>
      <c r="GT21" s="141">
        <v>1</v>
      </c>
      <c r="GU21" s="141"/>
      <c r="GV21" s="141"/>
      <c r="GW21" s="141"/>
      <c r="GX21" s="141"/>
      <c r="GY21" s="141"/>
      <c r="GZ21" s="141"/>
      <c r="HA21" s="141"/>
      <c r="HB21" s="142">
        <f>IFERROR(ROUND(Calculations!BV21*GT21,2),"")</f>
        <v>0.86</v>
      </c>
      <c r="HC21" s="142"/>
      <c r="HD21" s="142"/>
      <c r="HE21" s="142"/>
      <c r="HF21" s="142"/>
      <c r="HG21" s="142"/>
      <c r="HH21" s="142"/>
      <c r="HI21" s="142"/>
      <c r="HJ21" s="142">
        <f>IFERROR(Calculations!BS21+IQ21+IX21,"")</f>
        <v>80</v>
      </c>
      <c r="HK21" s="142"/>
      <c r="HL21" s="142"/>
      <c r="HM21" s="142"/>
      <c r="HN21" s="142"/>
      <c r="HO21" s="142"/>
      <c r="HP21" s="142"/>
      <c r="HQ21" s="142"/>
      <c r="HR21" s="142">
        <f t="shared" ref="HR21:HR24" si="6">IFERROR(VLOOKUP(FB21,ItemChart,4,FALSE),"")</f>
        <v>0</v>
      </c>
      <c r="HS21" s="142"/>
      <c r="HT21" s="142"/>
      <c r="HU21" s="142"/>
      <c r="HV21" s="142"/>
      <c r="HW21" s="142"/>
      <c r="HX21" s="142"/>
      <c r="HY21" s="142"/>
      <c r="HZ21" s="142" t="str">
        <f>IFERROR(Calculations!BX21,"")</f>
        <v>$3.85</v>
      </c>
      <c r="IA21" s="142"/>
      <c r="IB21" s="142"/>
      <c r="IC21" s="142"/>
      <c r="ID21" s="142"/>
      <c r="IE21" s="142"/>
      <c r="IF21" s="142"/>
      <c r="IG21" s="142"/>
      <c r="IH21" s="142"/>
      <c r="II21" s="142"/>
      <c r="IJ21" s="142">
        <f>IFERROR(Calculations!BR21+IX21,"")</f>
        <v>0</v>
      </c>
      <c r="IK21" s="142"/>
      <c r="IL21" s="142"/>
      <c r="IM21" s="142"/>
      <c r="IN21" s="142"/>
      <c r="IO21" s="142"/>
      <c r="IP21" s="142"/>
      <c r="IQ21" s="141">
        <v>0</v>
      </c>
      <c r="IR21" s="141"/>
      <c r="IS21" s="141"/>
      <c r="IT21" s="141"/>
      <c r="IU21" s="141"/>
      <c r="IV21" s="141"/>
      <c r="IW21" s="141"/>
      <c r="IX21" s="141">
        <v>0</v>
      </c>
      <c r="IY21" s="141"/>
      <c r="IZ21" s="141"/>
      <c r="JA21" s="141"/>
      <c r="JB21" s="141"/>
      <c r="JC21" s="141"/>
      <c r="JD21" s="141"/>
      <c r="JE21" s="141"/>
      <c r="JF21" s="142"/>
      <c r="JG21" s="142"/>
      <c r="JH21" s="142"/>
      <c r="JI21" s="142"/>
      <c r="JJ21" s="142"/>
      <c r="JK21" s="143" t="str">
        <f>Calculations!AS21</f>
        <v>Low Steel</v>
      </c>
      <c r="JL21" s="143"/>
      <c r="JM21" s="143"/>
      <c r="JN21" s="143"/>
      <c r="JO21" s="143"/>
      <c r="JP21" s="143"/>
      <c r="JQ21" s="143"/>
      <c r="JR21" s="143"/>
      <c r="JS21" s="143"/>
      <c r="JT21" s="143"/>
      <c r="JU21" s="143"/>
      <c r="JV21" s="143"/>
      <c r="JW21" s="143"/>
      <c r="JX21" s="143"/>
      <c r="JY21" s="143"/>
      <c r="JZ21" s="143"/>
      <c r="KA21" s="143"/>
      <c r="KB21" s="143"/>
      <c r="KC21" s="143" t="str">
        <f>Calculations!AW21</f>
        <v>Low Steel</v>
      </c>
      <c r="KD21" s="143"/>
      <c r="KE21" s="143"/>
      <c r="KF21" s="143"/>
      <c r="KG21" s="143"/>
      <c r="KH21" s="143"/>
      <c r="KI21" s="143"/>
      <c r="KJ21" s="143"/>
      <c r="KK21" s="143"/>
      <c r="KL21" s="143"/>
      <c r="KM21" s="143"/>
      <c r="KN21" s="143"/>
      <c r="KO21" s="143"/>
      <c r="KP21" s="143"/>
      <c r="KQ21" s="143"/>
      <c r="KR21" s="143"/>
      <c r="KS21" s="143"/>
      <c r="KT21" s="143"/>
      <c r="KU21" s="144" t="str">
        <f t="shared" ref="KU21:KU35" si="7">IFERROR(VLOOKUP(FB21,ItemChart,9,FALSE),"")</f>
        <v>Short Dagger</v>
      </c>
      <c r="KV21" s="144"/>
      <c r="KW21" s="144"/>
      <c r="KX21" s="144"/>
      <c r="KY21" s="144"/>
      <c r="KZ21" s="144"/>
      <c r="LA21" s="144"/>
      <c r="LB21" s="144"/>
      <c r="LC21" s="144"/>
      <c r="LD21" s="144"/>
      <c r="LE21" s="144"/>
      <c r="LF21" s="144"/>
      <c r="LG21" s="144"/>
      <c r="LH21" s="144"/>
      <c r="LI21" s="144"/>
      <c r="LJ21" s="144"/>
      <c r="LK21" s="144"/>
      <c r="LL21" s="144"/>
      <c r="LM21" s="144"/>
      <c r="LN21" s="144"/>
      <c r="LO21" s="144"/>
      <c r="LP21" s="144"/>
      <c r="LQ21" s="144"/>
      <c r="LR21" s="144"/>
      <c r="LS21" s="144"/>
      <c r="LT21" s="144"/>
      <c r="LU21" s="144"/>
      <c r="LV21" s="144"/>
      <c r="LW21" s="144"/>
      <c r="LX21" s="144"/>
      <c r="LY21" s="144"/>
      <c r="LZ21" s="144"/>
      <c r="MA21" s="144"/>
      <c r="MB21" s="144"/>
      <c r="MC21" s="144"/>
      <c r="MD21" s="144"/>
      <c r="ME21" s="144"/>
      <c r="MF21" s="144"/>
      <c r="MG21" s="144"/>
      <c r="MH21" s="144"/>
      <c r="MI21" s="144"/>
      <c r="MJ21" s="144"/>
      <c r="MK21" s="144"/>
      <c r="ML21" s="144"/>
      <c r="MM21" s="144"/>
      <c r="MN21" s="144"/>
      <c r="MO21" s="144"/>
      <c r="MP21" s="144"/>
      <c r="MQ21" s="144"/>
      <c r="MR21" s="144"/>
      <c r="MS21" s="144"/>
      <c r="MT21" s="144"/>
      <c r="MU21" s="144"/>
      <c r="MV21" s="144"/>
      <c r="MW21" s="144"/>
      <c r="MX21" s="144"/>
      <c r="MY21" s="144"/>
      <c r="MZ21" s="145"/>
      <c r="NB21" s="128"/>
      <c r="NC21" s="128"/>
      <c r="ND21" s="128"/>
      <c r="NE21" s="128"/>
      <c r="NF21" s="128"/>
      <c r="NG21" s="128"/>
      <c r="NH21" s="128"/>
      <c r="NI21" s="128"/>
      <c r="NJ21" s="128"/>
      <c r="NK21" s="128"/>
      <c r="NL21" s="128"/>
      <c r="NM21" s="128"/>
      <c r="NN21" s="128"/>
      <c r="NO21" s="128"/>
      <c r="NP21" s="128"/>
      <c r="NQ21" s="128"/>
      <c r="NR21" s="128"/>
      <c r="NS21" s="128"/>
      <c r="NT21" s="128"/>
      <c r="NU21" s="128"/>
      <c r="NV21" s="128"/>
      <c r="NW21" s="128"/>
      <c r="NX21" s="128"/>
      <c r="NY21" s="128"/>
      <c r="NZ21" s="128"/>
      <c r="OA21" s="128"/>
      <c r="OB21" s="128"/>
      <c r="OC21" s="128"/>
      <c r="OD21" s="128"/>
      <c r="OE21" s="128"/>
      <c r="OF21" s="128"/>
      <c r="OG21" s="129"/>
      <c r="OH21" s="129"/>
      <c r="OI21" s="129"/>
      <c r="OJ21" s="129"/>
      <c r="OK21" s="129"/>
      <c r="OL21" s="129"/>
      <c r="OM21" s="129"/>
      <c r="ON21" s="129"/>
      <c r="OO21" s="129"/>
      <c r="OP21" s="129"/>
      <c r="OQ21" s="129"/>
      <c r="OR21" s="129"/>
      <c r="OS21" s="129"/>
      <c r="OT21" s="129"/>
      <c r="OU21" s="129"/>
      <c r="OV21" s="129"/>
      <c r="OW21" s="129"/>
      <c r="OX21" s="129"/>
      <c r="OY21" s="129"/>
      <c r="OZ21" s="129"/>
      <c r="PA21" s="129"/>
      <c r="PB21" s="128"/>
      <c r="PC21" s="128"/>
      <c r="PD21" s="128"/>
      <c r="PE21" s="128"/>
      <c r="PF21" s="128"/>
      <c r="PG21" s="128"/>
      <c r="PH21" s="129"/>
      <c r="PI21" s="129"/>
      <c r="PJ21" s="129"/>
      <c r="PK21" s="129"/>
      <c r="PL21" s="129"/>
      <c r="PM21" s="129"/>
      <c r="PN21" s="129"/>
      <c r="PO21" s="129"/>
      <c r="PP21" s="129"/>
      <c r="PQ21" s="129"/>
      <c r="PR21" s="129"/>
      <c r="PS21" s="129"/>
      <c r="PT21" s="129"/>
      <c r="PU21" s="129"/>
      <c r="PV21" s="129"/>
      <c r="PW21" s="129"/>
      <c r="PX21" s="129"/>
      <c r="PY21" s="129"/>
      <c r="PZ21" s="129"/>
      <c r="QA21" s="129"/>
      <c r="QB21" s="129"/>
      <c r="QC21" s="129"/>
      <c r="QD21" s="129"/>
      <c r="QE21" s="129"/>
      <c r="QF21" s="129"/>
      <c r="QG21" s="129"/>
      <c r="QH21" s="129"/>
      <c r="QI21" s="129"/>
      <c r="QJ21" s="128"/>
      <c r="QK21" s="128"/>
      <c r="QL21" s="128"/>
      <c r="QM21" s="128"/>
      <c r="QN21" s="128"/>
      <c r="QO21" s="128"/>
      <c r="QP21" s="128"/>
      <c r="AIT21" s="144" t="s">
        <v>202</v>
      </c>
      <c r="AIU21" s="144"/>
      <c r="AIV21" s="144"/>
      <c r="AIW21" s="144"/>
      <c r="AIX21" s="144"/>
      <c r="AIY21" s="144"/>
      <c r="AIZ21" s="144"/>
      <c r="AJA21" s="144"/>
      <c r="AJB21" s="144"/>
      <c r="AJC21" s="144"/>
      <c r="AJD21" s="144"/>
      <c r="AJE21" s="144"/>
      <c r="AJF21" s="144"/>
      <c r="AJG21" s="144"/>
      <c r="AJH21" s="144"/>
      <c r="AJI21" s="144"/>
      <c r="AJJ21" s="144"/>
      <c r="AJK21" s="144"/>
      <c r="AJL21" s="144"/>
      <c r="AJM21" s="144"/>
      <c r="AJN21" s="144"/>
      <c r="AJO21" s="144"/>
      <c r="AJP21" s="144"/>
      <c r="AJQ21" s="144"/>
      <c r="AJR21" s="144"/>
      <c r="AJS21" s="144"/>
      <c r="AJT21" s="144"/>
      <c r="AJU21" s="144"/>
      <c r="AJV21" s="144"/>
      <c r="AJW21" s="144"/>
      <c r="AJX21" s="144"/>
      <c r="AJY21" s="144"/>
      <c r="AJZ21" s="144"/>
      <c r="AKA21" s="144"/>
      <c r="AKB21" s="144"/>
      <c r="AKC21" s="144"/>
      <c r="AKD21" s="144"/>
      <c r="AKE21" s="144"/>
      <c r="AKF21" s="144"/>
      <c r="AKG21" s="144"/>
      <c r="AKH21" s="144"/>
      <c r="AKI21" s="144"/>
      <c r="AKJ21" s="144"/>
      <c r="AKK21" s="144"/>
      <c r="AKL21" s="144"/>
      <c r="AKM21" s="144"/>
      <c r="AKN21" s="144"/>
      <c r="AKO21" s="144"/>
      <c r="AKP21" s="144"/>
      <c r="AKQ21" s="144"/>
      <c r="AKR21" s="144"/>
      <c r="AKS21" s="144"/>
      <c r="AKT21" s="144"/>
      <c r="AKU21" s="144"/>
      <c r="AKV21" s="144"/>
      <c r="AKW21" s="144"/>
      <c r="AKX21" s="144"/>
      <c r="AKY21" s="144"/>
      <c r="AKZ21" s="144"/>
      <c r="ALA21" s="144"/>
      <c r="ALB21" s="144"/>
      <c r="ALC21" s="144"/>
      <c r="ALD21" s="144"/>
      <c r="ALE21" s="144"/>
      <c r="ALF21" s="144"/>
      <c r="ALG21" s="144"/>
      <c r="ALH21" s="144"/>
      <c r="ALI21" s="144"/>
      <c r="ALJ21" s="144"/>
      <c r="ALK21" s="144"/>
      <c r="ALL21" s="144"/>
      <c r="ALM21" s="144"/>
      <c r="ALN21" s="144"/>
      <c r="ALO21" s="144"/>
      <c r="ALP21" s="144"/>
      <c r="ALQ21" s="144"/>
      <c r="ALR21" s="144"/>
      <c r="ALS21" s="144"/>
      <c r="ALT21" s="144"/>
      <c r="ALU21" s="144"/>
      <c r="ALV21" s="144"/>
      <c r="ALW21" s="144"/>
      <c r="ALX21" s="144"/>
      <c r="ALY21" s="144"/>
      <c r="ALZ21" s="144"/>
      <c r="AMA21" s="144"/>
      <c r="AMB21" s="144"/>
      <c r="AMC21" s="144"/>
      <c r="AMD21" s="144"/>
      <c r="AME21" s="144"/>
      <c r="AMF21" s="144"/>
      <c r="AMG21" s="144"/>
      <c r="AMH21" s="144"/>
      <c r="APZ21" s="128" t="s">
        <v>235</v>
      </c>
      <c r="AQA21" s="128"/>
      <c r="AQB21" s="128"/>
      <c r="AQC21" s="128"/>
      <c r="AQD21" s="128"/>
      <c r="AQE21" s="128"/>
      <c r="AQF21" s="128"/>
      <c r="AQG21" s="128"/>
      <c r="AQH21" s="128"/>
      <c r="AQI21" s="128"/>
      <c r="AQJ21" s="128"/>
      <c r="AQK21" s="128"/>
      <c r="AQL21" s="128"/>
      <c r="AQM21" s="128"/>
      <c r="AQN21" s="128"/>
      <c r="AQO21" s="128"/>
      <c r="AQP21" s="128"/>
      <c r="AQQ21" s="128"/>
      <c r="AQR21" s="128"/>
      <c r="AQS21" s="128"/>
      <c r="AQT21" s="128"/>
      <c r="AQU21" s="128"/>
      <c r="AQV21" s="128"/>
      <c r="AQW21" s="128"/>
      <c r="AQX21" s="128"/>
      <c r="AQY21" s="128"/>
      <c r="AQZ21" s="128"/>
      <c r="ARA21" s="128"/>
      <c r="ARB21" s="128"/>
      <c r="ARC21" s="128"/>
      <c r="ARD21" s="128"/>
      <c r="ARE21" s="129"/>
      <c r="ARF21" s="129"/>
      <c r="ARG21" s="129"/>
      <c r="ARH21" s="129"/>
      <c r="ARI21" s="129"/>
      <c r="ARJ21" s="129"/>
      <c r="ARK21" s="129"/>
      <c r="ARL21" s="129"/>
      <c r="ARM21" s="129"/>
      <c r="ARN21" s="129"/>
      <c r="ARO21" s="129"/>
      <c r="ARP21" s="129"/>
      <c r="ARQ21" s="129"/>
      <c r="ARR21" s="129"/>
      <c r="ARS21" s="129"/>
      <c r="ART21" s="129"/>
      <c r="ARU21" s="129"/>
      <c r="ARV21" s="129"/>
      <c r="ARW21" s="129"/>
      <c r="ARX21" s="129"/>
      <c r="ARY21" s="129"/>
      <c r="ARZ21" s="128"/>
      <c r="ASA21" s="128"/>
      <c r="ASB21" s="128"/>
      <c r="ASC21" s="128"/>
      <c r="ASD21" s="128"/>
      <c r="ASE21" s="128"/>
      <c r="ASF21" s="129"/>
      <c r="ASG21" s="129"/>
      <c r="ASH21" s="129"/>
      <c r="ASI21" s="129"/>
      <c r="ASJ21" s="129"/>
      <c r="ASK21" s="129"/>
      <c r="ASL21" s="129"/>
      <c r="ASM21" s="129"/>
      <c r="ASN21" s="129"/>
      <c r="ASO21" s="129"/>
      <c r="ASP21" s="129"/>
      <c r="ASQ21" s="129"/>
      <c r="ASR21" s="129"/>
      <c r="ASS21" s="129"/>
      <c r="AST21" s="129"/>
      <c r="ASU21" s="129"/>
      <c r="ASV21" s="129"/>
      <c r="ASW21" s="129"/>
      <c r="ASX21" s="129"/>
      <c r="ASY21" s="129"/>
      <c r="ASZ21" s="129"/>
      <c r="ATA21" s="129"/>
      <c r="ATB21" s="129"/>
      <c r="ATC21" s="129"/>
      <c r="ATD21" s="129"/>
      <c r="ATE21" s="129"/>
      <c r="ATF21" s="129"/>
      <c r="ATG21" s="129"/>
      <c r="ATH21" s="128"/>
      <c r="ATI21" s="128"/>
      <c r="ATJ21" s="128"/>
      <c r="ATK21" s="128"/>
      <c r="ATL21" s="128"/>
      <c r="ATM21" s="128"/>
      <c r="ATN21" s="128"/>
      <c r="AXF21" s="144" t="s">
        <v>275</v>
      </c>
      <c r="AXG21" s="144"/>
      <c r="AXH21" s="144"/>
      <c r="AXI21" s="144"/>
      <c r="AXJ21" s="144"/>
      <c r="AXK21" s="144"/>
      <c r="AXL21" s="144"/>
      <c r="AXM21" s="144"/>
      <c r="AXN21" s="144"/>
      <c r="AXO21" s="144"/>
      <c r="AXP21" s="144"/>
      <c r="AXQ21" s="144"/>
      <c r="AXR21" s="144"/>
      <c r="AXS21" s="144"/>
      <c r="AXT21" s="144"/>
      <c r="AXU21" s="144"/>
      <c r="AXV21" s="144"/>
      <c r="AXW21" s="144"/>
      <c r="AXX21" s="144"/>
      <c r="AXY21" s="144"/>
      <c r="AXZ21" s="144"/>
      <c r="AYA21" s="144"/>
      <c r="AYB21" s="144"/>
      <c r="AYC21" s="144"/>
      <c r="AYD21" s="144"/>
      <c r="AYE21" s="144"/>
      <c r="AYF21" s="144"/>
      <c r="AYG21" s="144"/>
      <c r="AYH21" s="144"/>
      <c r="AYI21" s="144"/>
      <c r="AYJ21" s="144"/>
      <c r="AYK21" s="144"/>
      <c r="AYL21" s="144"/>
      <c r="AYM21" s="144"/>
      <c r="AYN21" s="144"/>
      <c r="AYO21" s="144"/>
      <c r="AYP21" s="144"/>
      <c r="AYQ21" s="144"/>
      <c r="AYR21" s="144"/>
      <c r="AYS21" s="144"/>
      <c r="AYT21" s="144"/>
      <c r="AYU21" s="144"/>
      <c r="AYV21" s="144"/>
      <c r="AYW21" s="144"/>
      <c r="AYX21" s="144"/>
      <c r="AYY21" s="144"/>
      <c r="AYZ21" s="144"/>
      <c r="AZA21" s="144"/>
      <c r="AZB21" s="144"/>
      <c r="AZC21" s="144"/>
      <c r="AZD21" s="144"/>
      <c r="AZE21" s="144"/>
      <c r="AZF21" s="144"/>
      <c r="AZG21" s="144"/>
      <c r="AZH21" s="144"/>
      <c r="AZI21" s="144"/>
      <c r="AZJ21" s="144"/>
      <c r="AZK21" s="144"/>
      <c r="AZL21" s="144"/>
      <c r="AZM21" s="144"/>
      <c r="AZN21" s="144"/>
      <c r="AZO21" s="144"/>
      <c r="AZP21" s="144"/>
      <c r="AZQ21" s="144"/>
      <c r="AZR21" s="144"/>
      <c r="AZS21" s="144"/>
      <c r="AZT21" s="144"/>
      <c r="AZU21" s="144"/>
      <c r="AZV21" s="144"/>
      <c r="AZW21" s="144"/>
      <c r="AZX21" s="144"/>
      <c r="AZY21" s="144"/>
      <c r="AZZ21" s="144"/>
      <c r="BAA21" s="144"/>
      <c r="BAB21" s="144"/>
      <c r="BAC21" s="144"/>
      <c r="BAD21" s="144"/>
      <c r="BAE21" s="144"/>
      <c r="BAF21" s="144"/>
      <c r="BAG21" s="144"/>
      <c r="BAH21" s="144"/>
      <c r="BAI21" s="144"/>
      <c r="BAJ21" s="144"/>
      <c r="BAK21" s="144"/>
      <c r="BAL21" s="144"/>
      <c r="BAM21" s="144"/>
      <c r="BAN21" s="144"/>
      <c r="BAO21" s="144"/>
      <c r="BAP21" s="144"/>
      <c r="BAQ21" s="144"/>
      <c r="BAR21" s="144"/>
      <c r="BAS21" s="144"/>
      <c r="BAT21" s="144"/>
      <c r="BAV21" s="144" t="s">
        <v>147</v>
      </c>
      <c r="BAW21" s="144"/>
      <c r="BAX21" s="144"/>
      <c r="BAY21" s="144"/>
      <c r="BAZ21" s="144"/>
      <c r="BBA21" s="144"/>
      <c r="BBB21" s="144"/>
      <c r="BBC21" s="144"/>
      <c r="BBD21" s="144"/>
      <c r="BBE21" s="144"/>
      <c r="BBF21" s="144"/>
      <c r="BBG21" s="144"/>
      <c r="BBH21" s="144"/>
      <c r="BBI21" s="144"/>
      <c r="BBJ21" s="144"/>
      <c r="BBK21" s="144"/>
      <c r="BBL21" s="144"/>
      <c r="BBM21" s="144"/>
      <c r="BBN21" s="144"/>
      <c r="BBO21" s="144"/>
      <c r="BBP21" s="144"/>
      <c r="BBQ21" s="144"/>
      <c r="BBR21" s="144"/>
      <c r="BBS21" s="144"/>
      <c r="BBT21" s="144"/>
      <c r="BBU21" s="144"/>
      <c r="BBV21" s="144"/>
      <c r="BBW21" s="144"/>
      <c r="BBX21" s="144"/>
      <c r="BBY21" s="144"/>
      <c r="BBZ21" s="144"/>
      <c r="BCA21" s="129" t="s">
        <v>133</v>
      </c>
      <c r="BCB21" s="129"/>
      <c r="BCC21" s="129"/>
      <c r="BCD21" s="129"/>
      <c r="BCE21" s="129" t="s">
        <v>148</v>
      </c>
      <c r="BCF21" s="129"/>
      <c r="BCG21" s="129"/>
      <c r="BCH21" s="129"/>
      <c r="BCI21" s="129"/>
      <c r="BCJ21" s="129" t="s">
        <v>83</v>
      </c>
      <c r="BCK21" s="129"/>
      <c r="BCL21" s="129"/>
      <c r="BCM21" s="129"/>
      <c r="BCN21" s="129"/>
      <c r="BCO21" s="129"/>
      <c r="BCP21" s="129" t="s">
        <v>37</v>
      </c>
      <c r="BCQ21" s="129"/>
      <c r="BCR21" s="129"/>
      <c r="BCS21" s="129"/>
      <c r="BCT21" s="129"/>
      <c r="BCU21" s="129"/>
      <c r="BCV21" s="129" t="s">
        <v>49</v>
      </c>
      <c r="BCW21" s="129"/>
      <c r="BCX21" s="129"/>
      <c r="BCY21" s="129"/>
      <c r="BCZ21" s="129"/>
      <c r="BDA21" s="129"/>
      <c r="BDB21" s="129" t="s">
        <v>149</v>
      </c>
      <c r="BDC21" s="129"/>
      <c r="BDD21" s="129"/>
      <c r="BDE21" s="129"/>
      <c r="BDF21" s="129"/>
      <c r="BDG21" s="129"/>
      <c r="BDH21" s="129"/>
      <c r="BDI21" s="129" t="s">
        <v>150</v>
      </c>
      <c r="BDJ21" s="129"/>
      <c r="BDK21" s="129"/>
      <c r="BDL21" s="129"/>
      <c r="BDM21" s="129"/>
      <c r="BDN21" s="129"/>
      <c r="BDO21" s="129"/>
      <c r="BDP21" s="129" t="s">
        <v>151</v>
      </c>
      <c r="BDQ21" s="129"/>
      <c r="BDR21" s="129"/>
      <c r="BDS21" s="129"/>
      <c r="BDT21" s="129"/>
      <c r="BDU21" s="129"/>
      <c r="BDV21" s="129"/>
      <c r="BDW21" s="129" t="s">
        <v>37</v>
      </c>
      <c r="BDX21" s="129"/>
      <c r="BDY21" s="129"/>
      <c r="BDZ21" s="129"/>
      <c r="BEA21" s="129"/>
      <c r="BEB21" s="129"/>
      <c r="BEC21" s="129"/>
      <c r="BED21" s="129" t="s">
        <v>40</v>
      </c>
      <c r="BEE21" s="129"/>
      <c r="BEF21" s="129"/>
      <c r="BEG21" s="129"/>
      <c r="BEH21" s="129"/>
      <c r="BEI21" s="129"/>
      <c r="BEJ21" s="129"/>
      <c r="BLR21" s="144" t="s">
        <v>325</v>
      </c>
      <c r="BLS21" s="144"/>
      <c r="BLT21" s="144"/>
      <c r="BLU21" s="144"/>
      <c r="BLV21" s="144"/>
      <c r="BLW21" s="144"/>
      <c r="BLX21" s="144"/>
      <c r="BLY21" s="144"/>
      <c r="BLZ21" s="144"/>
      <c r="BMA21" s="144"/>
      <c r="BMB21" s="144"/>
      <c r="BMC21" s="144"/>
      <c r="BMD21" s="144"/>
      <c r="BME21" s="144"/>
      <c r="BMF21" s="144"/>
      <c r="BMG21" s="144"/>
      <c r="BMH21" s="144"/>
      <c r="BMI21" s="144"/>
      <c r="BMJ21" s="144"/>
      <c r="BMK21" s="144"/>
      <c r="BML21" s="144"/>
      <c r="BMM21" s="144"/>
      <c r="BMN21" s="144"/>
      <c r="BMO21" s="144"/>
      <c r="BMP21" s="144"/>
      <c r="BMQ21" s="144"/>
      <c r="BMR21" s="144"/>
      <c r="BMS21" s="144"/>
      <c r="BMT21" s="144"/>
      <c r="BMU21" s="144"/>
      <c r="BMV21" s="144"/>
      <c r="BMW21" s="144"/>
      <c r="BMX21" s="144"/>
      <c r="BMY21" s="144"/>
      <c r="BMZ21" s="144"/>
      <c r="BNA21" s="144"/>
      <c r="BNB21" s="144"/>
      <c r="BNC21" s="144"/>
      <c r="BND21" s="144"/>
      <c r="BNE21" s="144"/>
      <c r="BNF21" s="144"/>
      <c r="BNG21" s="144"/>
      <c r="BNH21" s="144"/>
      <c r="BNI21" s="144"/>
      <c r="BNJ21" s="144"/>
      <c r="BNK21" s="144"/>
      <c r="BNL21" s="144"/>
      <c r="BNM21" s="144"/>
      <c r="BNN21" s="144"/>
      <c r="BNO21" s="144"/>
      <c r="BNP21" s="144"/>
      <c r="BNQ21" s="144"/>
      <c r="BNR21" s="144"/>
      <c r="BNS21" s="144"/>
      <c r="BNT21" s="144"/>
      <c r="BNU21" s="144"/>
      <c r="BNV21" s="144"/>
      <c r="BNW21" s="144"/>
      <c r="BNX21" s="144"/>
      <c r="BNY21" s="144"/>
      <c r="BNZ21" s="144"/>
      <c r="BOA21" s="144"/>
      <c r="BOB21" s="144"/>
      <c r="BOC21" s="144"/>
      <c r="BOD21" s="144"/>
      <c r="BOE21" s="144"/>
      <c r="BOF21" s="144"/>
      <c r="BOG21" s="144"/>
      <c r="BOH21" s="144"/>
      <c r="BOI21" s="144"/>
      <c r="BOJ21" s="144"/>
      <c r="BOK21" s="144"/>
      <c r="BOL21" s="144"/>
      <c r="BOM21" s="144"/>
      <c r="BON21" s="144"/>
      <c r="BOO21" s="144"/>
      <c r="BOP21" s="144"/>
      <c r="BOQ21" s="144"/>
      <c r="BOR21" s="144"/>
      <c r="BOS21" s="144"/>
      <c r="BOT21" s="144"/>
      <c r="BOU21" s="144"/>
      <c r="BOV21" s="144"/>
      <c r="BOW21" s="144"/>
      <c r="BOX21" s="144"/>
      <c r="BOY21" s="144"/>
      <c r="BOZ21" s="144"/>
      <c r="BPA21" s="144"/>
      <c r="BPB21" s="144"/>
      <c r="BPC21" s="144"/>
      <c r="BPD21" s="144"/>
      <c r="BPE21" s="144"/>
      <c r="BPF21" s="144"/>
      <c r="CHJ21" s="128"/>
      <c r="CHK21" s="128"/>
      <c r="CHL21" s="128"/>
      <c r="CHM21" s="128"/>
      <c r="CHN21" s="128"/>
      <c r="CHO21" s="128"/>
      <c r="CHP21" s="128"/>
      <c r="CHQ21" s="128"/>
      <c r="CHR21" s="128"/>
      <c r="CHS21" s="128"/>
      <c r="CHT21" s="128"/>
      <c r="CHU21" s="128"/>
      <c r="CHV21" s="128"/>
      <c r="CHW21" s="128"/>
      <c r="CHX21" s="128"/>
      <c r="CHY21" s="128"/>
      <c r="CHZ21" s="128"/>
      <c r="CIA21" s="128"/>
      <c r="CIB21" s="128"/>
      <c r="CIC21" s="128"/>
      <c r="CID21" s="128"/>
      <c r="CIE21" s="128"/>
      <c r="CIF21" s="128"/>
      <c r="CIG21" s="128"/>
      <c r="CIH21" s="128"/>
      <c r="CII21" s="128"/>
      <c r="CIJ21" s="128"/>
      <c r="CIK21" s="128"/>
      <c r="CIL21" s="128"/>
      <c r="CIM21" s="128"/>
      <c r="CIN21" s="128"/>
      <c r="CIO21" s="129"/>
      <c r="CIP21" s="129"/>
      <c r="CIQ21" s="129"/>
      <c r="CIR21" s="129"/>
      <c r="CIS21" s="129"/>
      <c r="CIT21" s="129"/>
      <c r="CIU21" s="129"/>
      <c r="CIV21" s="129"/>
      <c r="CIW21" s="129"/>
      <c r="CIX21" s="129"/>
      <c r="CIY21" s="129"/>
      <c r="CIZ21" s="129"/>
      <c r="CJA21" s="129"/>
      <c r="CJB21" s="129"/>
      <c r="CJC21" s="129"/>
      <c r="CJD21" s="129"/>
      <c r="CJE21" s="129"/>
      <c r="CJF21" s="129"/>
      <c r="CJG21" s="129"/>
      <c r="CJH21" s="129"/>
      <c r="CJI21" s="129"/>
      <c r="CJJ21" s="128"/>
      <c r="CJK21" s="128"/>
      <c r="CJL21" s="128"/>
      <c r="CJM21" s="128"/>
      <c r="CJN21" s="128"/>
      <c r="CJO21" s="128"/>
      <c r="CJP21" s="129"/>
      <c r="CJQ21" s="129"/>
      <c r="CJR21" s="129"/>
      <c r="CJS21" s="129"/>
      <c r="CJT21" s="129"/>
      <c r="CJU21" s="129"/>
      <c r="CJV21" s="129"/>
      <c r="CJW21" s="129"/>
      <c r="CJX21" s="129"/>
      <c r="CJY21" s="129"/>
      <c r="CJZ21" s="129"/>
      <c r="CKA21" s="129"/>
      <c r="CKB21" s="129"/>
      <c r="CKC21" s="129"/>
      <c r="CKD21" s="129"/>
      <c r="CKE21" s="129"/>
      <c r="CKF21" s="129"/>
      <c r="CKG21" s="129"/>
      <c r="CKH21" s="129"/>
      <c r="CKI21" s="129"/>
      <c r="CKJ21" s="129"/>
      <c r="CKK21" s="129"/>
      <c r="CKL21" s="129"/>
      <c r="CKM21" s="129"/>
      <c r="CKN21" s="129"/>
      <c r="CKO21" s="129"/>
      <c r="CKP21" s="129"/>
      <c r="CKQ21" s="129"/>
      <c r="CKR21" s="128"/>
      <c r="CKS21" s="128"/>
      <c r="CKT21" s="128"/>
      <c r="CKU21" s="128"/>
      <c r="CKV21" s="128"/>
      <c r="CKW21" s="128"/>
      <c r="CKX21" s="128"/>
      <c r="COP21" s="128" t="str">
        <f ca="1">VLOOKUP(8,INDIRECT("Open"&amp;'Character Creation'!$Z$14),2,FALSE)</f>
        <v>Rune Mastery</v>
      </c>
      <c r="COQ21" s="128"/>
      <c r="COR21" s="128"/>
      <c r="COS21" s="128"/>
      <c r="COT21" s="128"/>
      <c r="COU21" s="128"/>
      <c r="COV21" s="128"/>
      <c r="COW21" s="128"/>
      <c r="COX21" s="128"/>
      <c r="COY21" s="128"/>
      <c r="COZ21" s="128"/>
      <c r="CPA21" s="128"/>
      <c r="CPB21" s="128"/>
      <c r="CPC21" s="128"/>
      <c r="CPD21" s="128"/>
      <c r="CPE21" s="128"/>
      <c r="CPF21" s="128"/>
      <c r="CPG21" s="128"/>
      <c r="CPH21" s="128"/>
      <c r="CPI21" s="128"/>
      <c r="CPJ21" s="128"/>
      <c r="CPK21" s="128"/>
      <c r="CPL21" s="128"/>
      <c r="CPM21" s="128"/>
      <c r="CPN21" s="128"/>
      <c r="CPO21" s="128"/>
      <c r="CPP21" s="128"/>
      <c r="CPQ21" s="128"/>
      <c r="CPR21" s="128"/>
      <c r="CPS21" s="128"/>
      <c r="CPT21" s="128"/>
      <c r="CPU21" s="129"/>
      <c r="CPV21" s="129"/>
      <c r="CPW21" s="129"/>
      <c r="CPX21" s="129"/>
      <c r="CPY21" s="129"/>
      <c r="CPZ21" s="129"/>
      <c r="CQA21" s="129"/>
      <c r="CQB21" s="129"/>
      <c r="CQC21" s="129"/>
      <c r="CQD21" s="129"/>
      <c r="CQE21" s="129"/>
      <c r="CQF21" s="129"/>
      <c r="CQG21" s="129"/>
      <c r="CQH21" s="129"/>
      <c r="CQI21" s="129"/>
      <c r="CQJ21" s="129"/>
      <c r="CQK21" s="129"/>
      <c r="CQL21" s="129"/>
      <c r="CQM21" s="129"/>
      <c r="CQN21" s="129"/>
      <c r="CQO21" s="129"/>
      <c r="CQP21" s="128"/>
      <c r="CQQ21" s="128"/>
      <c r="CQR21" s="128"/>
      <c r="CQS21" s="128"/>
      <c r="CQT21" s="128"/>
      <c r="CQU21" s="128"/>
      <c r="CQV21" s="129"/>
      <c r="CQW21" s="129"/>
      <c r="CQX21" s="129"/>
      <c r="CQY21" s="129"/>
      <c r="CQZ21" s="129"/>
      <c r="CRA21" s="129"/>
      <c r="CRB21" s="129"/>
      <c r="CRC21" s="129"/>
      <c r="CRD21" s="129"/>
      <c r="CRE21" s="129"/>
      <c r="CRF21" s="129"/>
      <c r="CRG21" s="129"/>
      <c r="CRH21" s="129"/>
      <c r="CRI21" s="129"/>
      <c r="CRJ21" s="129"/>
      <c r="CRK21" s="129"/>
      <c r="CRL21" s="129"/>
      <c r="CRM21" s="129"/>
      <c r="CRN21" s="129"/>
      <c r="CRO21" s="129"/>
      <c r="CRP21" s="129"/>
      <c r="CRQ21" s="129"/>
      <c r="CRR21" s="129"/>
      <c r="CRS21" s="129"/>
      <c r="CRT21" s="129"/>
      <c r="CRU21" s="129"/>
      <c r="CRV21" s="129"/>
      <c r="CRW21" s="129"/>
      <c r="CRX21" s="128"/>
      <c r="CRY21" s="128"/>
      <c r="CRZ21" s="128"/>
      <c r="CSA21" s="128"/>
      <c r="CSB21" s="128"/>
      <c r="CSC21" s="128"/>
      <c r="CSD21" s="128"/>
      <c r="CSF21" s="128" t="s">
        <v>446</v>
      </c>
      <c r="CSG21" s="128"/>
      <c r="CSH21" s="128"/>
      <c r="CSI21" s="128"/>
      <c r="CSJ21" s="128"/>
      <c r="CSK21" s="128"/>
      <c r="CSL21" s="128"/>
      <c r="CSM21" s="128"/>
      <c r="CSN21" s="128"/>
      <c r="CSO21" s="128"/>
      <c r="CSP21" s="128"/>
      <c r="CSQ21" s="128"/>
      <c r="CSR21" s="128"/>
      <c r="CSS21" s="128"/>
      <c r="CST21" s="128"/>
      <c r="CSU21" s="128"/>
      <c r="CSV21" s="128"/>
      <c r="CSW21" s="128"/>
      <c r="CSX21" s="128"/>
      <c r="CSY21" s="128"/>
      <c r="CSZ21" s="128"/>
      <c r="CTA21" s="128"/>
      <c r="CTB21" s="128"/>
      <c r="CTC21" s="128"/>
      <c r="CTD21" s="128"/>
      <c r="CTE21" s="128"/>
      <c r="CTF21" s="128"/>
      <c r="CTG21" s="128"/>
      <c r="CTH21" s="128"/>
      <c r="CTI21" s="128"/>
      <c r="CTJ21" s="128"/>
      <c r="CTK21" s="129"/>
      <c r="CTL21" s="129"/>
      <c r="CTM21" s="129"/>
      <c r="CTN21" s="129"/>
      <c r="CTO21" s="129"/>
      <c r="CTP21" s="129"/>
      <c r="CTQ21" s="129"/>
      <c r="CTR21" s="129"/>
      <c r="CTS21" s="129"/>
      <c r="CTT21" s="129"/>
      <c r="CTU21" s="129"/>
      <c r="CTV21" s="129"/>
      <c r="CTW21" s="129"/>
      <c r="CTX21" s="129"/>
      <c r="CTY21" s="129"/>
      <c r="CTZ21" s="129"/>
      <c r="CUA21" s="129"/>
      <c r="CUB21" s="129"/>
      <c r="CUC21" s="129"/>
      <c r="CUD21" s="129"/>
      <c r="CUE21" s="129"/>
      <c r="CUF21" s="128"/>
      <c r="CUG21" s="128"/>
      <c r="CUH21" s="128"/>
      <c r="CUI21" s="128"/>
      <c r="CUJ21" s="128"/>
      <c r="CUK21" s="128"/>
      <c r="CUL21" s="129"/>
      <c r="CUM21" s="129"/>
      <c r="CUN21" s="129"/>
      <c r="CUO21" s="129"/>
      <c r="CUP21" s="129"/>
      <c r="CUQ21" s="129"/>
      <c r="CUR21" s="129"/>
      <c r="CUS21" s="129"/>
      <c r="CUT21" s="129"/>
      <c r="CUU21" s="129"/>
      <c r="CUV21" s="129"/>
      <c r="CUW21" s="129"/>
      <c r="CUX21" s="129"/>
      <c r="CUY21" s="129"/>
      <c r="CUZ21" s="129"/>
      <c r="CVA21" s="129"/>
      <c r="CVB21" s="129"/>
      <c r="CVC21" s="129"/>
      <c r="CVD21" s="129"/>
      <c r="CVE21" s="129"/>
      <c r="CVF21" s="129"/>
      <c r="CVG21" s="129"/>
      <c r="CVH21" s="129"/>
      <c r="CVI21" s="129"/>
      <c r="CVJ21" s="129"/>
      <c r="CVK21" s="129"/>
      <c r="CVL21" s="129"/>
      <c r="CVM21" s="129"/>
      <c r="CVN21" s="128"/>
      <c r="CVO21" s="128"/>
      <c r="CVP21" s="128"/>
      <c r="CVQ21" s="128"/>
      <c r="CVR21" s="128"/>
      <c r="CVS21" s="128"/>
      <c r="CVT21" s="128"/>
      <c r="CVV21" s="128" t="s">
        <v>498</v>
      </c>
      <c r="CVW21" s="128"/>
      <c r="CVX21" s="128"/>
      <c r="CVY21" s="128"/>
      <c r="CVZ21" s="128"/>
      <c r="CWA21" s="128"/>
      <c r="CWB21" s="128"/>
      <c r="CWC21" s="128"/>
      <c r="CWD21" s="128"/>
      <c r="CWE21" s="128"/>
      <c r="CWF21" s="128"/>
      <c r="CWG21" s="128"/>
      <c r="CWH21" s="128"/>
      <c r="CWI21" s="128"/>
      <c r="CWJ21" s="128"/>
      <c r="CWK21" s="128"/>
      <c r="CWL21" s="128"/>
      <c r="CWM21" s="128"/>
      <c r="CWN21" s="128"/>
      <c r="CWO21" s="128"/>
      <c r="CWP21" s="128"/>
      <c r="CWQ21" s="128"/>
      <c r="CWR21" s="128"/>
      <c r="CWS21" s="128"/>
      <c r="CWT21" s="128"/>
      <c r="CWU21" s="128"/>
      <c r="CWV21" s="128"/>
      <c r="CWW21" s="128"/>
      <c r="CWX21" s="128"/>
      <c r="CWY21" s="128"/>
      <c r="CWZ21" s="128"/>
      <c r="CXA21" s="129"/>
      <c r="CXB21" s="129"/>
      <c r="CXC21" s="129"/>
      <c r="CXD21" s="129"/>
      <c r="CXE21" s="129"/>
      <c r="CXF21" s="129"/>
      <c r="CXG21" s="129"/>
      <c r="CXH21" s="129"/>
      <c r="CXI21" s="129"/>
      <c r="CXJ21" s="129"/>
      <c r="CXK21" s="129"/>
      <c r="CXL21" s="129"/>
      <c r="CXM21" s="129"/>
      <c r="CXN21" s="129"/>
      <c r="CXO21" s="129"/>
      <c r="CXP21" s="129"/>
      <c r="CXQ21" s="129"/>
      <c r="CXR21" s="129"/>
      <c r="CXS21" s="129"/>
      <c r="CXT21" s="129"/>
      <c r="CXU21" s="129"/>
      <c r="CXV21" s="128"/>
      <c r="CXW21" s="128"/>
      <c r="CXX21" s="128"/>
      <c r="CXY21" s="128"/>
      <c r="CXZ21" s="128"/>
      <c r="CYA21" s="128"/>
      <c r="CYB21" s="129"/>
      <c r="CYC21" s="129"/>
      <c r="CYD21" s="129"/>
      <c r="CYE21" s="129"/>
      <c r="CYF21" s="129"/>
      <c r="CYG21" s="129"/>
      <c r="CYH21" s="129"/>
      <c r="CYI21" s="129"/>
      <c r="CYJ21" s="129"/>
      <c r="CYK21" s="129"/>
      <c r="CYL21" s="129"/>
      <c r="CYM21" s="129"/>
      <c r="CYN21" s="129"/>
      <c r="CYO21" s="129"/>
      <c r="CYP21" s="129"/>
      <c r="CYQ21" s="129"/>
      <c r="CYR21" s="129"/>
      <c r="CYS21" s="129"/>
      <c r="CYT21" s="129"/>
      <c r="CYU21" s="129"/>
      <c r="CYV21" s="129"/>
      <c r="CYW21" s="129"/>
      <c r="CYX21" s="129"/>
      <c r="CYY21" s="129"/>
      <c r="CYZ21" s="129"/>
      <c r="CZA21" s="129"/>
      <c r="CZB21" s="129"/>
      <c r="CZC21" s="129"/>
      <c r="CZD21" s="128"/>
      <c r="CZE21" s="128"/>
      <c r="CZF21" s="128"/>
      <c r="CZG21" s="128"/>
      <c r="CZH21" s="128"/>
      <c r="CZI21" s="128"/>
      <c r="CZJ21" s="128"/>
      <c r="DDB21" s="128" t="s">
        <v>530</v>
      </c>
      <c r="DDC21" s="128"/>
      <c r="DDD21" s="128"/>
      <c r="DDE21" s="128"/>
      <c r="DDF21" s="128"/>
      <c r="DDG21" s="128"/>
      <c r="DDH21" s="128"/>
      <c r="DDI21" s="128"/>
      <c r="DDJ21" s="128"/>
      <c r="DDK21" s="128"/>
      <c r="DDL21" s="128"/>
      <c r="DDM21" s="128"/>
      <c r="DDN21" s="128"/>
      <c r="DDO21" s="128"/>
      <c r="DDP21" s="128"/>
      <c r="DDQ21" s="128"/>
      <c r="DDR21" s="128"/>
      <c r="DDS21" s="128"/>
      <c r="DDT21" s="128"/>
      <c r="DDU21" s="128"/>
      <c r="DDV21" s="128"/>
      <c r="DDW21" s="128"/>
      <c r="DDX21" s="128"/>
      <c r="DDY21" s="128"/>
      <c r="DDZ21" s="128"/>
      <c r="DEA21" s="128"/>
      <c r="DEB21" s="128"/>
      <c r="DEC21" s="128"/>
      <c r="DED21" s="128"/>
      <c r="DEE21" s="128"/>
      <c r="DEF21" s="128"/>
      <c r="DEG21" s="129"/>
      <c r="DEH21" s="129"/>
      <c r="DEI21" s="129"/>
      <c r="DEJ21" s="129"/>
      <c r="DEK21" s="129"/>
      <c r="DEL21" s="129"/>
      <c r="DEM21" s="129"/>
      <c r="DEN21" s="129"/>
      <c r="DEO21" s="129"/>
      <c r="DEP21" s="129"/>
      <c r="DEQ21" s="129"/>
      <c r="DER21" s="129"/>
      <c r="DES21" s="129"/>
      <c r="DET21" s="129"/>
      <c r="DEU21" s="129"/>
      <c r="DEV21" s="129"/>
      <c r="DEW21" s="129"/>
      <c r="DEX21" s="129"/>
      <c r="DEY21" s="129"/>
      <c r="DEZ21" s="129"/>
      <c r="DFA21" s="129"/>
      <c r="DFB21" s="128"/>
      <c r="DFC21" s="128"/>
      <c r="DFD21" s="128"/>
      <c r="DFE21" s="128"/>
      <c r="DFF21" s="128"/>
      <c r="DFG21" s="128"/>
      <c r="DFH21" s="129"/>
      <c r="DFI21" s="129"/>
      <c r="DFJ21" s="129"/>
      <c r="DFK21" s="129"/>
      <c r="DFL21" s="129"/>
      <c r="DFM21" s="129"/>
      <c r="DFN21" s="129"/>
      <c r="DFO21" s="129"/>
      <c r="DFP21" s="129"/>
      <c r="DFQ21" s="129"/>
      <c r="DFR21" s="129"/>
      <c r="DFS21" s="129"/>
      <c r="DFT21" s="129"/>
      <c r="DFU21" s="129"/>
      <c r="DFV21" s="129"/>
      <c r="DFW21" s="129"/>
      <c r="DFX21" s="129"/>
      <c r="DFY21" s="129"/>
      <c r="DFZ21" s="129"/>
      <c r="DGA21" s="129"/>
      <c r="DGB21" s="129"/>
      <c r="DGC21" s="129"/>
      <c r="DGD21" s="129"/>
      <c r="DGE21" s="129"/>
      <c r="DGF21" s="129"/>
      <c r="DGG21" s="129"/>
      <c r="DGH21" s="129"/>
      <c r="DGI21" s="129"/>
      <c r="DGJ21" s="128"/>
      <c r="DGK21" s="128"/>
      <c r="DGL21" s="128"/>
      <c r="DGM21" s="128"/>
      <c r="DGN21" s="128"/>
      <c r="DGO21" s="128"/>
      <c r="DGP21" s="128"/>
      <c r="DGR21" s="128" t="s">
        <v>570</v>
      </c>
      <c r="DGS21" s="128"/>
      <c r="DGT21" s="128"/>
      <c r="DGU21" s="128"/>
      <c r="DGV21" s="128"/>
      <c r="DGW21" s="128"/>
      <c r="DGX21" s="128"/>
      <c r="DGY21" s="128"/>
      <c r="DGZ21" s="128"/>
      <c r="DHA21" s="128"/>
      <c r="DHB21" s="128"/>
      <c r="DHC21" s="128"/>
      <c r="DHD21" s="128"/>
      <c r="DHE21" s="128"/>
      <c r="DHF21" s="128"/>
      <c r="DHG21" s="128"/>
      <c r="DHH21" s="128"/>
      <c r="DHI21" s="128"/>
      <c r="DHJ21" s="128"/>
      <c r="DHK21" s="128"/>
      <c r="DHL21" s="128"/>
      <c r="DHM21" s="128"/>
      <c r="DHN21" s="128"/>
      <c r="DHO21" s="128"/>
      <c r="DHP21" s="128"/>
      <c r="DHQ21" s="128"/>
      <c r="DHR21" s="128"/>
      <c r="DHS21" s="128"/>
      <c r="DHT21" s="128"/>
      <c r="DHU21" s="128"/>
      <c r="DHV21" s="128"/>
      <c r="DHW21" s="129"/>
      <c r="DHX21" s="129"/>
      <c r="DHY21" s="129"/>
      <c r="DHZ21" s="129"/>
      <c r="DIA21" s="129"/>
      <c r="DIB21" s="129"/>
      <c r="DIC21" s="129"/>
      <c r="DID21" s="129"/>
      <c r="DIE21" s="129"/>
      <c r="DIF21" s="129"/>
      <c r="DIG21" s="129"/>
      <c r="DIH21" s="129"/>
      <c r="DII21" s="129"/>
      <c r="DIJ21" s="129"/>
      <c r="DIK21" s="129"/>
      <c r="DIL21" s="129"/>
      <c r="DIM21" s="129"/>
      <c r="DIN21" s="129"/>
      <c r="DIO21" s="129"/>
      <c r="DIP21" s="129"/>
      <c r="DIQ21" s="129"/>
      <c r="DIR21" s="128"/>
      <c r="DIS21" s="128"/>
      <c r="DIT21" s="128"/>
      <c r="DIU21" s="128"/>
      <c r="DIV21" s="128"/>
      <c r="DIW21" s="128"/>
      <c r="DIX21" s="129"/>
      <c r="DIY21" s="129"/>
      <c r="DIZ21" s="129"/>
      <c r="DJA21" s="129"/>
      <c r="DJB21" s="129"/>
      <c r="DJC21" s="129"/>
      <c r="DJD21" s="129"/>
      <c r="DJE21" s="129"/>
      <c r="DJF21" s="129"/>
      <c r="DJG21" s="129"/>
      <c r="DJH21" s="129"/>
      <c r="DJI21" s="129"/>
      <c r="DJJ21" s="129"/>
      <c r="DJK21" s="129"/>
      <c r="DJL21" s="129"/>
      <c r="DJM21" s="129"/>
      <c r="DJN21" s="129"/>
      <c r="DJO21" s="129"/>
      <c r="DJP21" s="129"/>
      <c r="DJQ21" s="129"/>
      <c r="DJR21" s="129"/>
      <c r="DJS21" s="129"/>
      <c r="DJT21" s="129"/>
      <c r="DJU21" s="129"/>
      <c r="DJV21" s="129"/>
      <c r="DJW21" s="129"/>
      <c r="DJX21" s="129"/>
      <c r="DJY21" s="129"/>
      <c r="DJZ21" s="128"/>
      <c r="DKA21" s="128"/>
      <c r="DKB21" s="128"/>
      <c r="DKC21" s="128"/>
      <c r="DKD21" s="128"/>
      <c r="DKE21" s="128"/>
      <c r="DKF21" s="128"/>
    </row>
    <row r="22" spans="2:1022 1118:1774 2152:2996" ht="15" customHeight="1" x14ac:dyDescent="0.25">
      <c r="B22" s="269" t="s">
        <v>34</v>
      </c>
      <c r="C22" s="270"/>
      <c r="D22" s="270"/>
      <c r="E22" s="270"/>
      <c r="F22" s="270"/>
      <c r="G22" s="270"/>
      <c r="H22" s="270"/>
      <c r="I22" s="270"/>
      <c r="J22" s="270"/>
      <c r="K22" s="270"/>
      <c r="L22" s="270"/>
      <c r="M22" s="270"/>
      <c r="N22" s="270"/>
      <c r="O22" s="270"/>
      <c r="P22" s="270"/>
      <c r="Q22" s="132">
        <f>'Level-up'!E12</f>
        <v>68</v>
      </c>
      <c r="R22" s="132"/>
      <c r="S22" s="132"/>
      <c r="T22" s="132"/>
      <c r="U22" s="132"/>
      <c r="V22" s="132"/>
      <c r="W22" s="132"/>
      <c r="X22" s="132">
        <f>'Character Creation'!AJ49</f>
        <v>100</v>
      </c>
      <c r="Y22" s="132"/>
      <c r="Z22" s="132"/>
      <c r="AA22" s="132"/>
      <c r="AB22" s="132"/>
      <c r="AC22" s="132"/>
      <c r="AD22" s="132"/>
      <c r="AE22" s="132">
        <f t="shared" si="1"/>
        <v>3</v>
      </c>
      <c r="AF22" s="132"/>
      <c r="AG22" s="132"/>
      <c r="AH22" s="132"/>
      <c r="AI22" s="132"/>
      <c r="AJ22" s="132"/>
      <c r="AK22" s="132"/>
      <c r="AL22" s="132">
        <f>VLOOKUP('Character Creation'!$Z$11,RaceChart,11,FALSE)</f>
        <v>0</v>
      </c>
      <c r="AM22" s="132"/>
      <c r="AN22" s="132"/>
      <c r="AO22" s="132"/>
      <c r="AP22" s="132"/>
      <c r="AQ22" s="132"/>
      <c r="AR22" s="132"/>
      <c r="AS22" s="132">
        <v>0</v>
      </c>
      <c r="AT22" s="132"/>
      <c r="AU22" s="132"/>
      <c r="AV22" s="132"/>
      <c r="AW22" s="132"/>
      <c r="AX22" s="132"/>
      <c r="AY22" s="132"/>
      <c r="AZ22" s="234">
        <f t="shared" si="2"/>
        <v>3</v>
      </c>
      <c r="BA22" s="234"/>
      <c r="BB22" s="234"/>
      <c r="BC22" s="234"/>
      <c r="BD22" s="234"/>
      <c r="BE22" s="234"/>
      <c r="BF22" s="235"/>
      <c r="DC22"/>
      <c r="DD22" s="269" t="s">
        <v>116</v>
      </c>
      <c r="DE22" s="270"/>
      <c r="DF22" s="270"/>
      <c r="DG22" s="270"/>
      <c r="DH22" s="270"/>
      <c r="DI22" s="270"/>
      <c r="DJ22" s="270"/>
      <c r="DK22" s="270"/>
      <c r="DL22" s="270"/>
      <c r="DM22" s="270"/>
      <c r="DN22" s="270"/>
      <c r="DO22" s="270"/>
      <c r="DP22" s="270"/>
      <c r="DQ22" s="270"/>
      <c r="DR22" s="270"/>
      <c r="DS22" s="270"/>
      <c r="DT22" s="270"/>
      <c r="DU22" s="270"/>
      <c r="DV22" s="270"/>
      <c r="DW22" s="270"/>
      <c r="DX22" s="270"/>
      <c r="DY22" s="270"/>
      <c r="DZ22" s="270"/>
      <c r="EA22" s="270"/>
      <c r="EB22" s="270"/>
      <c r="EC22" s="270"/>
      <c r="ED22" s="270"/>
      <c r="EE22" s="270"/>
      <c r="EF22" s="270"/>
      <c r="EG22" s="348">
        <f ca="1">ROUND(EG19+EG20+EG21+ES21,0)</f>
        <v>-23</v>
      </c>
      <c r="EH22" s="348"/>
      <c r="EI22" s="348"/>
      <c r="EJ22" s="348"/>
      <c r="EK22" s="348"/>
      <c r="EL22" s="348"/>
      <c r="EM22" s="348"/>
      <c r="EN22" s="348"/>
      <c r="EO22" s="234" t="s">
        <v>117</v>
      </c>
      <c r="EP22" s="234"/>
      <c r="EQ22" s="234"/>
      <c r="ER22" s="234"/>
      <c r="ES22" s="351">
        <f ca="1">ROUND(ES19+EG20+EG21+ES21,0)</f>
        <v>-12</v>
      </c>
      <c r="ET22" s="351"/>
      <c r="EU22" s="351"/>
      <c r="EV22" s="351"/>
      <c r="EW22" s="351"/>
      <c r="EX22" s="351"/>
      <c r="EY22" s="351"/>
      <c r="EZ22" s="352"/>
      <c r="FB22" s="139" t="s">
        <v>3696</v>
      </c>
      <c r="FC22" s="140"/>
      <c r="FD22" s="140"/>
      <c r="FE22" s="140"/>
      <c r="FF22" s="140"/>
      <c r="FG22" s="140"/>
      <c r="FH22" s="140"/>
      <c r="FI22" s="140"/>
      <c r="FJ22" s="140"/>
      <c r="FK22" s="140"/>
      <c r="FL22" s="140"/>
      <c r="FM22" s="140"/>
      <c r="FN22" s="140"/>
      <c r="FO22" s="140"/>
      <c r="FP22" s="140"/>
      <c r="FQ22" s="140"/>
      <c r="FR22" s="140"/>
      <c r="FS22" s="140"/>
      <c r="FT22" s="140"/>
      <c r="FU22" s="140"/>
      <c r="FV22" s="140"/>
      <c r="FW22" s="140"/>
      <c r="FX22" s="140"/>
      <c r="FY22" s="140"/>
      <c r="FZ22" s="140"/>
      <c r="GA22" s="140"/>
      <c r="GB22" s="140"/>
      <c r="GC22" s="140"/>
      <c r="GD22" s="140"/>
      <c r="GE22" s="140"/>
      <c r="GF22" s="140"/>
      <c r="GG22" s="140"/>
      <c r="GH22" s="140"/>
      <c r="GI22" s="140"/>
      <c r="GJ22" s="140"/>
      <c r="GK22" s="140"/>
      <c r="GL22" s="140"/>
      <c r="GM22" s="140"/>
      <c r="GN22" s="140"/>
      <c r="GO22" s="140"/>
      <c r="GP22" s="140"/>
      <c r="GQ22" s="140"/>
      <c r="GR22" s="140"/>
      <c r="GS22" s="140"/>
      <c r="GT22" s="141">
        <v>1</v>
      </c>
      <c r="GU22" s="141"/>
      <c r="GV22" s="141"/>
      <c r="GW22" s="141"/>
      <c r="GX22" s="141"/>
      <c r="GY22" s="141"/>
      <c r="GZ22" s="141"/>
      <c r="HA22" s="141"/>
      <c r="HB22" s="142">
        <f>IFERROR(ROUND(Calculations!BV22*GT22,2),"")</f>
        <v>2</v>
      </c>
      <c r="HC22" s="142"/>
      <c r="HD22" s="142"/>
      <c r="HE22" s="142"/>
      <c r="HF22" s="142"/>
      <c r="HG22" s="142"/>
      <c r="HH22" s="142"/>
      <c r="HI22" s="142"/>
      <c r="HJ22" s="142">
        <f>IFERROR(Calculations!BS22+IQ22+IX22,"")</f>
        <v>60</v>
      </c>
      <c r="HK22" s="142"/>
      <c r="HL22" s="142"/>
      <c r="HM22" s="142"/>
      <c r="HN22" s="142"/>
      <c r="HO22" s="142"/>
      <c r="HP22" s="142"/>
      <c r="HQ22" s="142"/>
      <c r="HR22" s="142">
        <f t="shared" si="6"/>
        <v>14</v>
      </c>
      <c r="HS22" s="142"/>
      <c r="HT22" s="142"/>
      <c r="HU22" s="142"/>
      <c r="HV22" s="142"/>
      <c r="HW22" s="142"/>
      <c r="HX22" s="142"/>
      <c r="HY22" s="142"/>
      <c r="HZ22" s="142" t="str">
        <f>IFERROR(Calculations!BX22,"")</f>
        <v>$17.6</v>
      </c>
      <c r="IA22" s="142"/>
      <c r="IB22" s="142"/>
      <c r="IC22" s="142"/>
      <c r="ID22" s="142"/>
      <c r="IE22" s="142"/>
      <c r="IF22" s="142"/>
      <c r="IG22" s="142"/>
      <c r="IH22" s="142"/>
      <c r="II22" s="142"/>
      <c r="IJ22" s="142">
        <f>IFERROR(Calculations!BR22+IX22,"")</f>
        <v>0</v>
      </c>
      <c r="IK22" s="142"/>
      <c r="IL22" s="142"/>
      <c r="IM22" s="142"/>
      <c r="IN22" s="142"/>
      <c r="IO22" s="142"/>
      <c r="IP22" s="142"/>
      <c r="IQ22" s="141">
        <v>0</v>
      </c>
      <c r="IR22" s="141"/>
      <c r="IS22" s="141"/>
      <c r="IT22" s="141"/>
      <c r="IU22" s="141"/>
      <c r="IV22" s="141"/>
      <c r="IW22" s="141"/>
      <c r="IX22" s="141">
        <v>0</v>
      </c>
      <c r="IY22" s="141"/>
      <c r="IZ22" s="141"/>
      <c r="JA22" s="141"/>
      <c r="JB22" s="141"/>
      <c r="JC22" s="141"/>
      <c r="JD22" s="141"/>
      <c r="JE22" s="141"/>
      <c r="JF22" s="142"/>
      <c r="JG22" s="142"/>
      <c r="JH22" s="142"/>
      <c r="JI22" s="142"/>
      <c r="JJ22" s="142"/>
      <c r="JK22" s="143" t="str">
        <f>Calculations!AS22</f>
        <v>Low Steel</v>
      </c>
      <c r="JL22" s="143"/>
      <c r="JM22" s="143"/>
      <c r="JN22" s="143"/>
      <c r="JO22" s="143"/>
      <c r="JP22" s="143"/>
      <c r="JQ22" s="143"/>
      <c r="JR22" s="143"/>
      <c r="JS22" s="143"/>
      <c r="JT22" s="143"/>
      <c r="JU22" s="143"/>
      <c r="JV22" s="143"/>
      <c r="JW22" s="143"/>
      <c r="JX22" s="143"/>
      <c r="JY22" s="143"/>
      <c r="JZ22" s="143"/>
      <c r="KA22" s="143"/>
      <c r="KB22" s="143"/>
      <c r="KC22" s="143" t="str">
        <f>Calculations!AW22</f>
        <v>Brass</v>
      </c>
      <c r="KD22" s="143"/>
      <c r="KE22" s="143"/>
      <c r="KF22" s="143"/>
      <c r="KG22" s="143"/>
      <c r="KH22" s="143"/>
      <c r="KI22" s="143"/>
      <c r="KJ22" s="143"/>
      <c r="KK22" s="143"/>
      <c r="KL22" s="143"/>
      <c r="KM22" s="143"/>
      <c r="KN22" s="143"/>
      <c r="KO22" s="143"/>
      <c r="KP22" s="143"/>
      <c r="KQ22" s="143"/>
      <c r="KR22" s="143"/>
      <c r="KS22" s="143"/>
      <c r="KT22" s="143"/>
      <c r="KU22" s="144" t="str">
        <f t="shared" si="7"/>
        <v>.44 Single-action 6 Shot Revolver, 1860-1873</v>
      </c>
      <c r="KV22" s="144"/>
      <c r="KW22" s="144"/>
      <c r="KX22" s="144"/>
      <c r="KY22" s="144"/>
      <c r="KZ22" s="144"/>
      <c r="LA22" s="144"/>
      <c r="LB22" s="144"/>
      <c r="LC22" s="144"/>
      <c r="LD22" s="144"/>
      <c r="LE22" s="144"/>
      <c r="LF22" s="144"/>
      <c r="LG22" s="144"/>
      <c r="LH22" s="144"/>
      <c r="LI22" s="144"/>
      <c r="LJ22" s="144"/>
      <c r="LK22" s="144"/>
      <c r="LL22" s="144"/>
      <c r="LM22" s="144"/>
      <c r="LN22" s="144"/>
      <c r="LO22" s="144"/>
      <c r="LP22" s="144"/>
      <c r="LQ22" s="144"/>
      <c r="LR22" s="144"/>
      <c r="LS22" s="144"/>
      <c r="LT22" s="144"/>
      <c r="LU22" s="144"/>
      <c r="LV22" s="144"/>
      <c r="LW22" s="144"/>
      <c r="LX22" s="144"/>
      <c r="LY22" s="144"/>
      <c r="LZ22" s="144"/>
      <c r="MA22" s="144"/>
      <c r="MB22" s="144"/>
      <c r="MC22" s="144"/>
      <c r="MD22" s="144"/>
      <c r="ME22" s="144"/>
      <c r="MF22" s="144"/>
      <c r="MG22" s="144"/>
      <c r="MH22" s="144"/>
      <c r="MI22" s="144"/>
      <c r="MJ22" s="144"/>
      <c r="MK22" s="144"/>
      <c r="ML22" s="144"/>
      <c r="MM22" s="144"/>
      <c r="MN22" s="144"/>
      <c r="MO22" s="144"/>
      <c r="MP22" s="144"/>
      <c r="MQ22" s="144"/>
      <c r="MR22" s="144"/>
      <c r="MS22" s="144"/>
      <c r="MT22" s="144"/>
      <c r="MU22" s="144"/>
      <c r="MV22" s="144"/>
      <c r="MW22" s="144"/>
      <c r="MX22" s="144"/>
      <c r="MY22" s="144"/>
      <c r="MZ22" s="145"/>
      <c r="NB22" s="128"/>
      <c r="NC22" s="128"/>
      <c r="ND22" s="128"/>
      <c r="NE22" s="128"/>
      <c r="NF22" s="128"/>
      <c r="NG22" s="128"/>
      <c r="NH22" s="128"/>
      <c r="NI22" s="128"/>
      <c r="NJ22" s="128"/>
      <c r="NK22" s="128"/>
      <c r="NL22" s="128"/>
      <c r="NM22" s="128"/>
      <c r="NN22" s="128"/>
      <c r="NO22" s="128"/>
      <c r="NP22" s="128"/>
      <c r="NQ22" s="128"/>
      <c r="NR22" s="128"/>
      <c r="NS22" s="128"/>
      <c r="NT22" s="128"/>
      <c r="NU22" s="128"/>
      <c r="NV22" s="128"/>
      <c r="NW22" s="128"/>
      <c r="NX22" s="128"/>
      <c r="NY22" s="128"/>
      <c r="NZ22" s="128"/>
      <c r="OA22" s="128"/>
      <c r="OB22" s="128"/>
      <c r="OC22" s="128"/>
      <c r="OD22" s="128"/>
      <c r="OE22" s="128"/>
      <c r="OF22" s="128"/>
      <c r="OG22" s="129"/>
      <c r="OH22" s="129"/>
      <c r="OI22" s="129"/>
      <c r="OJ22" s="129"/>
      <c r="OK22" s="129"/>
      <c r="OL22" s="129"/>
      <c r="OM22" s="129"/>
      <c r="ON22" s="129"/>
      <c r="OO22" s="129"/>
      <c r="OP22" s="129"/>
      <c r="OQ22" s="129"/>
      <c r="OR22" s="129"/>
      <c r="OS22" s="129"/>
      <c r="OT22" s="129"/>
      <c r="OU22" s="129"/>
      <c r="OV22" s="129"/>
      <c r="OW22" s="129"/>
      <c r="OX22" s="129"/>
      <c r="OY22" s="129"/>
      <c r="OZ22" s="129"/>
      <c r="PA22" s="129"/>
      <c r="PB22" s="128"/>
      <c r="PC22" s="128"/>
      <c r="PD22" s="128"/>
      <c r="PE22" s="128"/>
      <c r="PF22" s="128"/>
      <c r="PG22" s="128"/>
      <c r="PH22" s="129"/>
      <c r="PI22" s="129"/>
      <c r="PJ22" s="129"/>
      <c r="PK22" s="129"/>
      <c r="PL22" s="129"/>
      <c r="PM22" s="129"/>
      <c r="PN22" s="129"/>
      <c r="PO22" s="129"/>
      <c r="PP22" s="129"/>
      <c r="PQ22" s="129"/>
      <c r="PR22" s="129"/>
      <c r="PS22" s="129"/>
      <c r="PT22" s="129"/>
      <c r="PU22" s="129"/>
      <c r="PV22" s="129"/>
      <c r="PW22" s="129"/>
      <c r="PX22" s="129"/>
      <c r="PY22" s="129"/>
      <c r="PZ22" s="129"/>
      <c r="QA22" s="129"/>
      <c r="QB22" s="129"/>
      <c r="QC22" s="129"/>
      <c r="QD22" s="129"/>
      <c r="QE22" s="129"/>
      <c r="QF22" s="129"/>
      <c r="QG22" s="129"/>
      <c r="QH22" s="129"/>
      <c r="QI22" s="129"/>
      <c r="QJ22" s="128"/>
      <c r="QK22" s="128"/>
      <c r="QL22" s="128"/>
      <c r="QM22" s="128"/>
      <c r="QN22" s="128"/>
      <c r="QO22" s="128"/>
      <c r="QP22" s="128"/>
      <c r="AIT22" s="144" t="s">
        <v>147</v>
      </c>
      <c r="AIU22" s="144"/>
      <c r="AIV22" s="144"/>
      <c r="AIW22" s="144"/>
      <c r="AIX22" s="144"/>
      <c r="AIY22" s="144"/>
      <c r="AIZ22" s="144"/>
      <c r="AJA22" s="144"/>
      <c r="AJB22" s="144"/>
      <c r="AJC22" s="144"/>
      <c r="AJD22" s="144"/>
      <c r="AJE22" s="144"/>
      <c r="AJF22" s="144"/>
      <c r="AJG22" s="144"/>
      <c r="AJH22" s="144"/>
      <c r="AJI22" s="144"/>
      <c r="AJJ22" s="144"/>
      <c r="AJK22" s="144"/>
      <c r="AJL22" s="144"/>
      <c r="AJM22" s="144"/>
      <c r="AJN22" s="144"/>
      <c r="AJO22" s="144"/>
      <c r="AJP22" s="144"/>
      <c r="AJQ22" s="144"/>
      <c r="AJR22" s="144"/>
      <c r="AJS22" s="144"/>
      <c r="AJT22" s="144"/>
      <c r="AJU22" s="144"/>
      <c r="AJV22" s="144"/>
      <c r="AJW22" s="144"/>
      <c r="AJX22" s="144"/>
      <c r="AJY22" s="129" t="s">
        <v>133</v>
      </c>
      <c r="AJZ22" s="129"/>
      <c r="AKA22" s="129"/>
      <c r="AKB22" s="129"/>
      <c r="AKC22" s="129" t="s">
        <v>148</v>
      </c>
      <c r="AKD22" s="129"/>
      <c r="AKE22" s="129"/>
      <c r="AKF22" s="129"/>
      <c r="AKG22" s="129"/>
      <c r="AKH22" s="129" t="s">
        <v>83</v>
      </c>
      <c r="AKI22" s="129"/>
      <c r="AKJ22" s="129"/>
      <c r="AKK22" s="129"/>
      <c r="AKL22" s="129"/>
      <c r="AKM22" s="129"/>
      <c r="AKN22" s="129" t="s">
        <v>37</v>
      </c>
      <c r="AKO22" s="129"/>
      <c r="AKP22" s="129"/>
      <c r="AKQ22" s="129"/>
      <c r="AKR22" s="129"/>
      <c r="AKS22" s="129"/>
      <c r="AKT22" s="129" t="s">
        <v>49</v>
      </c>
      <c r="AKU22" s="129"/>
      <c r="AKV22" s="129"/>
      <c r="AKW22" s="129"/>
      <c r="AKX22" s="129"/>
      <c r="AKY22" s="129"/>
      <c r="AKZ22" s="129" t="s">
        <v>149</v>
      </c>
      <c r="ALA22" s="129"/>
      <c r="ALB22" s="129"/>
      <c r="ALC22" s="129"/>
      <c r="ALD22" s="129"/>
      <c r="ALE22" s="129"/>
      <c r="ALF22" s="129"/>
      <c r="ALG22" s="129" t="s">
        <v>150</v>
      </c>
      <c r="ALH22" s="129"/>
      <c r="ALI22" s="129"/>
      <c r="ALJ22" s="129"/>
      <c r="ALK22" s="129"/>
      <c r="ALL22" s="129"/>
      <c r="ALM22" s="129"/>
      <c r="ALN22" s="129" t="s">
        <v>151</v>
      </c>
      <c r="ALO22" s="129"/>
      <c r="ALP22" s="129"/>
      <c r="ALQ22" s="129"/>
      <c r="ALR22" s="129"/>
      <c r="ALS22" s="129"/>
      <c r="ALT22" s="129"/>
      <c r="ALU22" s="129" t="s">
        <v>37</v>
      </c>
      <c r="ALV22" s="129"/>
      <c r="ALW22" s="129"/>
      <c r="ALX22" s="129"/>
      <c r="ALY22" s="129"/>
      <c r="ALZ22" s="129"/>
      <c r="AMA22" s="129"/>
      <c r="AMB22" s="129" t="s">
        <v>40</v>
      </c>
      <c r="AMC22" s="129"/>
      <c r="AMD22" s="129"/>
      <c r="AME22" s="129"/>
      <c r="AMF22" s="129"/>
      <c r="AMG22" s="129"/>
      <c r="AMH22" s="129"/>
      <c r="APZ22" s="128" t="s">
        <v>236</v>
      </c>
      <c r="AQA22" s="128"/>
      <c r="AQB22" s="128"/>
      <c r="AQC22" s="128"/>
      <c r="AQD22" s="128"/>
      <c r="AQE22" s="128"/>
      <c r="AQF22" s="128"/>
      <c r="AQG22" s="128"/>
      <c r="AQH22" s="128"/>
      <c r="AQI22" s="128"/>
      <c r="AQJ22" s="128"/>
      <c r="AQK22" s="128"/>
      <c r="AQL22" s="128"/>
      <c r="AQM22" s="128"/>
      <c r="AQN22" s="128"/>
      <c r="AQO22" s="128"/>
      <c r="AQP22" s="128"/>
      <c r="AQQ22" s="128"/>
      <c r="AQR22" s="128"/>
      <c r="AQS22" s="128"/>
      <c r="AQT22" s="128"/>
      <c r="AQU22" s="128"/>
      <c r="AQV22" s="128"/>
      <c r="AQW22" s="128"/>
      <c r="AQX22" s="128"/>
      <c r="AQY22" s="128"/>
      <c r="AQZ22" s="128"/>
      <c r="ARA22" s="128"/>
      <c r="ARB22" s="128"/>
      <c r="ARC22" s="128"/>
      <c r="ARD22" s="128"/>
      <c r="ARE22" s="129"/>
      <c r="ARF22" s="129"/>
      <c r="ARG22" s="129"/>
      <c r="ARH22" s="129"/>
      <c r="ARI22" s="129"/>
      <c r="ARJ22" s="129"/>
      <c r="ARK22" s="129"/>
      <c r="ARL22" s="129"/>
      <c r="ARM22" s="129"/>
      <c r="ARN22" s="129"/>
      <c r="ARO22" s="129"/>
      <c r="ARP22" s="129"/>
      <c r="ARQ22" s="129"/>
      <c r="ARR22" s="129"/>
      <c r="ARS22" s="129"/>
      <c r="ART22" s="129"/>
      <c r="ARU22" s="129"/>
      <c r="ARV22" s="129"/>
      <c r="ARW22" s="129"/>
      <c r="ARX22" s="129"/>
      <c r="ARY22" s="129"/>
      <c r="ARZ22" s="128"/>
      <c r="ASA22" s="128"/>
      <c r="ASB22" s="128"/>
      <c r="ASC22" s="128"/>
      <c r="ASD22" s="128"/>
      <c r="ASE22" s="128"/>
      <c r="ASF22" s="129"/>
      <c r="ASG22" s="129"/>
      <c r="ASH22" s="129"/>
      <c r="ASI22" s="129"/>
      <c r="ASJ22" s="129"/>
      <c r="ASK22" s="129"/>
      <c r="ASL22" s="129"/>
      <c r="ASM22" s="129"/>
      <c r="ASN22" s="129"/>
      <c r="ASO22" s="129"/>
      <c r="ASP22" s="129"/>
      <c r="ASQ22" s="129"/>
      <c r="ASR22" s="129"/>
      <c r="ASS22" s="129"/>
      <c r="AST22" s="129"/>
      <c r="ASU22" s="129"/>
      <c r="ASV22" s="129"/>
      <c r="ASW22" s="129"/>
      <c r="ASX22" s="129"/>
      <c r="ASY22" s="129"/>
      <c r="ASZ22" s="129"/>
      <c r="ATA22" s="129"/>
      <c r="ATB22" s="129"/>
      <c r="ATC22" s="129"/>
      <c r="ATD22" s="129"/>
      <c r="ATE22" s="129"/>
      <c r="ATF22" s="129"/>
      <c r="ATG22" s="129"/>
      <c r="ATH22" s="128"/>
      <c r="ATI22" s="128"/>
      <c r="ATJ22" s="128"/>
      <c r="ATK22" s="128"/>
      <c r="ATL22" s="128"/>
      <c r="ATM22" s="128"/>
      <c r="ATN22" s="128"/>
      <c r="AXF22" s="144" t="s">
        <v>147</v>
      </c>
      <c r="AXG22" s="144"/>
      <c r="AXH22" s="144"/>
      <c r="AXI22" s="144"/>
      <c r="AXJ22" s="144"/>
      <c r="AXK22" s="144"/>
      <c r="AXL22" s="144"/>
      <c r="AXM22" s="144"/>
      <c r="AXN22" s="144"/>
      <c r="AXO22" s="144"/>
      <c r="AXP22" s="144"/>
      <c r="AXQ22" s="144"/>
      <c r="AXR22" s="144"/>
      <c r="AXS22" s="144"/>
      <c r="AXT22" s="144"/>
      <c r="AXU22" s="144"/>
      <c r="AXV22" s="144"/>
      <c r="AXW22" s="144"/>
      <c r="AXX22" s="144"/>
      <c r="AXY22" s="144"/>
      <c r="AXZ22" s="144"/>
      <c r="AYA22" s="144"/>
      <c r="AYB22" s="144"/>
      <c r="AYC22" s="144"/>
      <c r="AYD22" s="144"/>
      <c r="AYE22" s="144"/>
      <c r="AYF22" s="144"/>
      <c r="AYG22" s="144"/>
      <c r="AYH22" s="144"/>
      <c r="AYI22" s="144"/>
      <c r="AYJ22" s="144"/>
      <c r="AYK22" s="129" t="s">
        <v>133</v>
      </c>
      <c r="AYL22" s="129"/>
      <c r="AYM22" s="129"/>
      <c r="AYN22" s="129"/>
      <c r="AYO22" s="129" t="s">
        <v>148</v>
      </c>
      <c r="AYP22" s="129"/>
      <c r="AYQ22" s="129"/>
      <c r="AYR22" s="129"/>
      <c r="AYS22" s="129"/>
      <c r="AYT22" s="129" t="s">
        <v>83</v>
      </c>
      <c r="AYU22" s="129"/>
      <c r="AYV22" s="129"/>
      <c r="AYW22" s="129"/>
      <c r="AYX22" s="129"/>
      <c r="AYY22" s="129"/>
      <c r="AYZ22" s="129" t="s">
        <v>37</v>
      </c>
      <c r="AZA22" s="129"/>
      <c r="AZB22" s="129"/>
      <c r="AZC22" s="129"/>
      <c r="AZD22" s="129"/>
      <c r="AZE22" s="129"/>
      <c r="AZF22" s="129" t="s">
        <v>49</v>
      </c>
      <c r="AZG22" s="129"/>
      <c r="AZH22" s="129"/>
      <c r="AZI22" s="129"/>
      <c r="AZJ22" s="129"/>
      <c r="AZK22" s="129"/>
      <c r="AZL22" s="129" t="s">
        <v>149</v>
      </c>
      <c r="AZM22" s="129"/>
      <c r="AZN22" s="129"/>
      <c r="AZO22" s="129"/>
      <c r="AZP22" s="129"/>
      <c r="AZQ22" s="129"/>
      <c r="AZR22" s="129"/>
      <c r="AZS22" s="129" t="s">
        <v>150</v>
      </c>
      <c r="AZT22" s="129"/>
      <c r="AZU22" s="129"/>
      <c r="AZV22" s="129"/>
      <c r="AZW22" s="129"/>
      <c r="AZX22" s="129"/>
      <c r="AZY22" s="129"/>
      <c r="AZZ22" s="129" t="s">
        <v>151</v>
      </c>
      <c r="BAA22" s="129"/>
      <c r="BAB22" s="129"/>
      <c r="BAC22" s="129"/>
      <c r="BAD22" s="129"/>
      <c r="BAE22" s="129"/>
      <c r="BAF22" s="129"/>
      <c r="BAG22" s="129" t="s">
        <v>37</v>
      </c>
      <c r="BAH22" s="129"/>
      <c r="BAI22" s="129"/>
      <c r="BAJ22" s="129"/>
      <c r="BAK22" s="129"/>
      <c r="BAL22" s="129"/>
      <c r="BAM22" s="129"/>
      <c r="BAN22" s="129" t="s">
        <v>40</v>
      </c>
      <c r="BAO22" s="129"/>
      <c r="BAP22" s="129"/>
      <c r="BAQ22" s="129"/>
      <c r="BAR22" s="129"/>
      <c r="BAS22" s="129"/>
      <c r="BAT22" s="129"/>
      <c r="BAV22" s="128" t="s">
        <v>293</v>
      </c>
      <c r="BAW22" s="128"/>
      <c r="BAX22" s="128"/>
      <c r="BAY22" s="128"/>
      <c r="BAZ22" s="128"/>
      <c r="BBA22" s="128"/>
      <c r="BBB22" s="128"/>
      <c r="BBC22" s="128"/>
      <c r="BBD22" s="128"/>
      <c r="BBE22" s="128"/>
      <c r="BBF22" s="128"/>
      <c r="BBG22" s="128"/>
      <c r="BBH22" s="128"/>
      <c r="BBI22" s="128"/>
      <c r="BBJ22" s="128"/>
      <c r="BBK22" s="128"/>
      <c r="BBL22" s="128"/>
      <c r="BBM22" s="128"/>
      <c r="BBN22" s="128"/>
      <c r="BBO22" s="128"/>
      <c r="BBP22" s="128"/>
      <c r="BBQ22" s="128"/>
      <c r="BBR22" s="128"/>
      <c r="BBS22" s="128"/>
      <c r="BBT22" s="128"/>
      <c r="BBU22" s="128"/>
      <c r="BBV22" s="128"/>
      <c r="BBW22" s="128"/>
      <c r="BBX22" s="128"/>
      <c r="BBY22" s="128"/>
      <c r="BBZ22" s="128"/>
      <c r="BCA22" s="129"/>
      <c r="BCB22" s="129"/>
      <c r="BCC22" s="129"/>
      <c r="BCD22" s="129"/>
      <c r="BCE22" s="129"/>
      <c r="BCF22" s="129"/>
      <c r="BCG22" s="129"/>
      <c r="BCH22" s="129"/>
      <c r="BCI22" s="129"/>
      <c r="BCJ22" s="129"/>
      <c r="BCK22" s="129"/>
      <c r="BCL22" s="129"/>
      <c r="BCM22" s="129"/>
      <c r="BCN22" s="129"/>
      <c r="BCO22" s="129"/>
      <c r="BCP22" s="129"/>
      <c r="BCQ22" s="129"/>
      <c r="BCR22" s="129"/>
      <c r="BCS22" s="129"/>
      <c r="BCT22" s="129"/>
      <c r="BCU22" s="129"/>
      <c r="BCV22" s="128"/>
      <c r="BCW22" s="128"/>
      <c r="BCX22" s="128"/>
      <c r="BCY22" s="128"/>
      <c r="BCZ22" s="128"/>
      <c r="BDA22" s="128"/>
      <c r="BDB22" s="129"/>
      <c r="BDC22" s="129"/>
      <c r="BDD22" s="129"/>
      <c r="BDE22" s="129"/>
      <c r="BDF22" s="129"/>
      <c r="BDG22" s="129"/>
      <c r="BDH22" s="129"/>
      <c r="BDI22" s="129"/>
      <c r="BDJ22" s="129"/>
      <c r="BDK22" s="129"/>
      <c r="BDL22" s="129"/>
      <c r="BDM22" s="129"/>
      <c r="BDN22" s="129"/>
      <c r="BDO22" s="129"/>
      <c r="BDP22" s="129"/>
      <c r="BDQ22" s="129"/>
      <c r="BDR22" s="129"/>
      <c r="BDS22" s="129"/>
      <c r="BDT22" s="129"/>
      <c r="BDU22" s="129"/>
      <c r="BDV22" s="129"/>
      <c r="BDW22" s="129"/>
      <c r="BDX22" s="129"/>
      <c r="BDY22" s="129"/>
      <c r="BDZ22" s="129"/>
      <c r="BEA22" s="129"/>
      <c r="BEB22" s="129"/>
      <c r="BEC22" s="129"/>
      <c r="BED22" s="128"/>
      <c r="BEE22" s="128"/>
      <c r="BEF22" s="128"/>
      <c r="BEG22" s="128"/>
      <c r="BEH22" s="128"/>
      <c r="BEI22" s="128"/>
      <c r="BEJ22" s="128"/>
      <c r="BLR22" s="144" t="s">
        <v>147</v>
      </c>
      <c r="BLS22" s="144"/>
      <c r="BLT22" s="144"/>
      <c r="BLU22" s="144"/>
      <c r="BLV22" s="144"/>
      <c r="BLW22" s="144"/>
      <c r="BLX22" s="144"/>
      <c r="BLY22" s="144"/>
      <c r="BLZ22" s="144"/>
      <c r="BMA22" s="144"/>
      <c r="BMB22" s="144"/>
      <c r="BMC22" s="144"/>
      <c r="BMD22" s="144"/>
      <c r="BME22" s="144"/>
      <c r="BMF22" s="144"/>
      <c r="BMG22" s="144"/>
      <c r="BMH22" s="144"/>
      <c r="BMI22" s="144"/>
      <c r="BMJ22" s="144"/>
      <c r="BMK22" s="144"/>
      <c r="BML22" s="144"/>
      <c r="BMM22" s="144"/>
      <c r="BMN22" s="144"/>
      <c r="BMO22" s="144"/>
      <c r="BMP22" s="144"/>
      <c r="BMQ22" s="144"/>
      <c r="BMR22" s="144"/>
      <c r="BMS22" s="144"/>
      <c r="BMT22" s="144"/>
      <c r="BMU22" s="144"/>
      <c r="BMV22" s="144"/>
      <c r="BMW22" s="129" t="s">
        <v>133</v>
      </c>
      <c r="BMX22" s="129"/>
      <c r="BMY22" s="129"/>
      <c r="BMZ22" s="129"/>
      <c r="BNA22" s="129" t="s">
        <v>148</v>
      </c>
      <c r="BNB22" s="129"/>
      <c r="BNC22" s="129"/>
      <c r="BND22" s="129"/>
      <c r="BNE22" s="129"/>
      <c r="BNF22" s="129" t="s">
        <v>83</v>
      </c>
      <c r="BNG22" s="129"/>
      <c r="BNH22" s="129"/>
      <c r="BNI22" s="129"/>
      <c r="BNJ22" s="129"/>
      <c r="BNK22" s="129"/>
      <c r="BNL22" s="129" t="s">
        <v>37</v>
      </c>
      <c r="BNM22" s="129"/>
      <c r="BNN22" s="129"/>
      <c r="BNO22" s="129"/>
      <c r="BNP22" s="129"/>
      <c r="BNQ22" s="129"/>
      <c r="BNR22" s="129" t="s">
        <v>49</v>
      </c>
      <c r="BNS22" s="129"/>
      <c r="BNT22" s="129"/>
      <c r="BNU22" s="129"/>
      <c r="BNV22" s="129"/>
      <c r="BNW22" s="129"/>
      <c r="BNX22" s="129" t="s">
        <v>149</v>
      </c>
      <c r="BNY22" s="129"/>
      <c r="BNZ22" s="129"/>
      <c r="BOA22" s="129"/>
      <c r="BOB22" s="129"/>
      <c r="BOC22" s="129"/>
      <c r="BOD22" s="129"/>
      <c r="BOE22" s="129" t="s">
        <v>150</v>
      </c>
      <c r="BOF22" s="129"/>
      <c r="BOG22" s="129"/>
      <c r="BOH22" s="129"/>
      <c r="BOI22" s="129"/>
      <c r="BOJ22" s="129"/>
      <c r="BOK22" s="129"/>
      <c r="BOL22" s="129" t="s">
        <v>151</v>
      </c>
      <c r="BOM22" s="129"/>
      <c r="BON22" s="129"/>
      <c r="BOO22" s="129"/>
      <c r="BOP22" s="129"/>
      <c r="BOQ22" s="129"/>
      <c r="BOR22" s="129"/>
      <c r="BOS22" s="129" t="s">
        <v>37</v>
      </c>
      <c r="BOT22" s="129"/>
      <c r="BOU22" s="129"/>
      <c r="BOV22" s="129"/>
      <c r="BOW22" s="129"/>
      <c r="BOX22" s="129"/>
      <c r="BOY22" s="129"/>
      <c r="BOZ22" s="129" t="s">
        <v>40</v>
      </c>
      <c r="BPA22" s="129"/>
      <c r="BPB22" s="129"/>
      <c r="BPC22" s="129"/>
      <c r="BPD22" s="129"/>
      <c r="BPE22" s="129"/>
      <c r="BPF22" s="129"/>
      <c r="COP22" s="128" t="str">
        <f ca="1">VLOOKUP(9,INDIRECT("Open"&amp;'Character Creation'!$Z$14),2,FALSE)</f>
        <v>Spell Wall</v>
      </c>
      <c r="COQ22" s="128"/>
      <c r="COR22" s="128"/>
      <c r="COS22" s="128"/>
      <c r="COT22" s="128"/>
      <c r="COU22" s="128"/>
      <c r="COV22" s="128"/>
      <c r="COW22" s="128"/>
      <c r="COX22" s="128"/>
      <c r="COY22" s="128"/>
      <c r="COZ22" s="128"/>
      <c r="CPA22" s="128"/>
      <c r="CPB22" s="128"/>
      <c r="CPC22" s="128"/>
      <c r="CPD22" s="128"/>
      <c r="CPE22" s="128"/>
      <c r="CPF22" s="128"/>
      <c r="CPG22" s="128"/>
      <c r="CPH22" s="128"/>
      <c r="CPI22" s="128"/>
      <c r="CPJ22" s="128"/>
      <c r="CPK22" s="128"/>
      <c r="CPL22" s="128"/>
      <c r="CPM22" s="128"/>
      <c r="CPN22" s="128"/>
      <c r="CPO22" s="128"/>
      <c r="CPP22" s="128"/>
      <c r="CPQ22" s="128"/>
      <c r="CPR22" s="128"/>
      <c r="CPS22" s="128"/>
      <c r="CPT22" s="128"/>
      <c r="CPU22" s="129"/>
      <c r="CPV22" s="129"/>
      <c r="CPW22" s="129"/>
      <c r="CPX22" s="129"/>
      <c r="CPY22" s="129"/>
      <c r="CPZ22" s="129"/>
      <c r="CQA22" s="129"/>
      <c r="CQB22" s="129"/>
      <c r="CQC22" s="129"/>
      <c r="CQD22" s="129"/>
      <c r="CQE22" s="129"/>
      <c r="CQF22" s="129"/>
      <c r="CQG22" s="129"/>
      <c r="CQH22" s="129"/>
      <c r="CQI22" s="129"/>
      <c r="CQJ22" s="129"/>
      <c r="CQK22" s="129"/>
      <c r="CQL22" s="129"/>
      <c r="CQM22" s="129"/>
      <c r="CQN22" s="129"/>
      <c r="CQO22" s="129"/>
      <c r="CQP22" s="128"/>
      <c r="CQQ22" s="128"/>
      <c r="CQR22" s="128"/>
      <c r="CQS22" s="128"/>
      <c r="CQT22" s="128"/>
      <c r="CQU22" s="128"/>
      <c r="CQV22" s="129"/>
      <c r="CQW22" s="129"/>
      <c r="CQX22" s="129"/>
      <c r="CQY22" s="129"/>
      <c r="CQZ22" s="129"/>
      <c r="CRA22" s="129"/>
      <c r="CRB22" s="129"/>
      <c r="CRC22" s="129"/>
      <c r="CRD22" s="129"/>
      <c r="CRE22" s="129"/>
      <c r="CRF22" s="129"/>
      <c r="CRG22" s="129"/>
      <c r="CRH22" s="129"/>
      <c r="CRI22" s="129"/>
      <c r="CRJ22" s="129"/>
      <c r="CRK22" s="129"/>
      <c r="CRL22" s="129"/>
      <c r="CRM22" s="129"/>
      <c r="CRN22" s="129"/>
      <c r="CRO22" s="129"/>
      <c r="CRP22" s="129"/>
      <c r="CRQ22" s="129"/>
      <c r="CRR22" s="129"/>
      <c r="CRS22" s="129"/>
      <c r="CRT22" s="129"/>
      <c r="CRU22" s="129"/>
      <c r="CRV22" s="129"/>
      <c r="CRW22" s="129"/>
      <c r="CRX22" s="128"/>
      <c r="CRY22" s="128"/>
      <c r="CRZ22" s="128"/>
      <c r="CSA22" s="128"/>
      <c r="CSB22" s="128"/>
      <c r="CSC22" s="128"/>
      <c r="CSD22" s="128"/>
      <c r="CSF22" s="128" t="s">
        <v>447</v>
      </c>
      <c r="CSG22" s="128"/>
      <c r="CSH22" s="128"/>
      <c r="CSI22" s="128"/>
      <c r="CSJ22" s="128"/>
      <c r="CSK22" s="128"/>
      <c r="CSL22" s="128"/>
      <c r="CSM22" s="128"/>
      <c r="CSN22" s="128"/>
      <c r="CSO22" s="128"/>
      <c r="CSP22" s="128"/>
      <c r="CSQ22" s="128"/>
      <c r="CSR22" s="128"/>
      <c r="CSS22" s="128"/>
      <c r="CST22" s="128"/>
      <c r="CSU22" s="128"/>
      <c r="CSV22" s="128"/>
      <c r="CSW22" s="128"/>
      <c r="CSX22" s="128"/>
      <c r="CSY22" s="128"/>
      <c r="CSZ22" s="128"/>
      <c r="CTA22" s="128"/>
      <c r="CTB22" s="128"/>
      <c r="CTC22" s="128"/>
      <c r="CTD22" s="128"/>
      <c r="CTE22" s="128"/>
      <c r="CTF22" s="128"/>
      <c r="CTG22" s="128"/>
      <c r="CTH22" s="128"/>
      <c r="CTI22" s="128"/>
      <c r="CTJ22" s="128"/>
      <c r="CTK22" s="129"/>
      <c r="CTL22" s="129"/>
      <c r="CTM22" s="129"/>
      <c r="CTN22" s="129"/>
      <c r="CTO22" s="129"/>
      <c r="CTP22" s="129"/>
      <c r="CTQ22" s="129"/>
      <c r="CTR22" s="129"/>
      <c r="CTS22" s="129"/>
      <c r="CTT22" s="129"/>
      <c r="CTU22" s="129"/>
      <c r="CTV22" s="129"/>
      <c r="CTW22" s="129"/>
      <c r="CTX22" s="129"/>
      <c r="CTY22" s="129"/>
      <c r="CTZ22" s="129"/>
      <c r="CUA22" s="129"/>
      <c r="CUB22" s="129"/>
      <c r="CUC22" s="129"/>
      <c r="CUD22" s="129"/>
      <c r="CUE22" s="129"/>
      <c r="CUF22" s="128"/>
      <c r="CUG22" s="128"/>
      <c r="CUH22" s="128"/>
      <c r="CUI22" s="128"/>
      <c r="CUJ22" s="128"/>
      <c r="CUK22" s="128"/>
      <c r="CUL22" s="129"/>
      <c r="CUM22" s="129"/>
      <c r="CUN22" s="129"/>
      <c r="CUO22" s="129"/>
      <c r="CUP22" s="129"/>
      <c r="CUQ22" s="129"/>
      <c r="CUR22" s="129"/>
      <c r="CUS22" s="129"/>
      <c r="CUT22" s="129"/>
      <c r="CUU22" s="129"/>
      <c r="CUV22" s="129"/>
      <c r="CUW22" s="129"/>
      <c r="CUX22" s="129"/>
      <c r="CUY22" s="129"/>
      <c r="CUZ22" s="129"/>
      <c r="CVA22" s="129"/>
      <c r="CVB22" s="129"/>
      <c r="CVC22" s="129"/>
      <c r="CVD22" s="129"/>
      <c r="CVE22" s="129"/>
      <c r="CVF22" s="129"/>
      <c r="CVG22" s="129"/>
      <c r="CVH22" s="129"/>
      <c r="CVI22" s="129"/>
      <c r="CVJ22" s="129"/>
      <c r="CVK22" s="129"/>
      <c r="CVL22" s="129"/>
      <c r="CVM22" s="129"/>
      <c r="CVN22" s="128"/>
      <c r="CVO22" s="128"/>
      <c r="CVP22" s="128"/>
      <c r="CVQ22" s="128"/>
      <c r="CVR22" s="128"/>
      <c r="CVS22" s="128"/>
      <c r="CVT22" s="128"/>
      <c r="CVV22" s="128" t="s">
        <v>499</v>
      </c>
      <c r="CVW22" s="128"/>
      <c r="CVX22" s="128"/>
      <c r="CVY22" s="128"/>
      <c r="CVZ22" s="128"/>
      <c r="CWA22" s="128"/>
      <c r="CWB22" s="128"/>
      <c r="CWC22" s="128"/>
      <c r="CWD22" s="128"/>
      <c r="CWE22" s="128"/>
      <c r="CWF22" s="128"/>
      <c r="CWG22" s="128"/>
      <c r="CWH22" s="128"/>
      <c r="CWI22" s="128"/>
      <c r="CWJ22" s="128"/>
      <c r="CWK22" s="128"/>
      <c r="CWL22" s="128"/>
      <c r="CWM22" s="128"/>
      <c r="CWN22" s="128"/>
      <c r="CWO22" s="128"/>
      <c r="CWP22" s="128"/>
      <c r="CWQ22" s="128"/>
      <c r="CWR22" s="128"/>
      <c r="CWS22" s="128"/>
      <c r="CWT22" s="128"/>
      <c r="CWU22" s="128"/>
      <c r="CWV22" s="128"/>
      <c r="CWW22" s="128"/>
      <c r="CWX22" s="128"/>
      <c r="CWY22" s="128"/>
      <c r="CWZ22" s="128"/>
      <c r="CXA22" s="129"/>
      <c r="CXB22" s="129"/>
      <c r="CXC22" s="129"/>
      <c r="CXD22" s="129"/>
      <c r="CXE22" s="129"/>
      <c r="CXF22" s="129"/>
      <c r="CXG22" s="129"/>
      <c r="CXH22" s="129"/>
      <c r="CXI22" s="129"/>
      <c r="CXJ22" s="129"/>
      <c r="CXK22" s="129"/>
      <c r="CXL22" s="129"/>
      <c r="CXM22" s="129"/>
      <c r="CXN22" s="129"/>
      <c r="CXO22" s="129"/>
      <c r="CXP22" s="129"/>
      <c r="CXQ22" s="129"/>
      <c r="CXR22" s="129"/>
      <c r="CXS22" s="129"/>
      <c r="CXT22" s="129"/>
      <c r="CXU22" s="129"/>
      <c r="CXV22" s="128"/>
      <c r="CXW22" s="128"/>
      <c r="CXX22" s="128"/>
      <c r="CXY22" s="128"/>
      <c r="CXZ22" s="128"/>
      <c r="CYA22" s="128"/>
      <c r="CYB22" s="129"/>
      <c r="CYC22" s="129"/>
      <c r="CYD22" s="129"/>
      <c r="CYE22" s="129"/>
      <c r="CYF22" s="129"/>
      <c r="CYG22" s="129"/>
      <c r="CYH22" s="129"/>
      <c r="CYI22" s="129"/>
      <c r="CYJ22" s="129"/>
      <c r="CYK22" s="129"/>
      <c r="CYL22" s="129"/>
      <c r="CYM22" s="129"/>
      <c r="CYN22" s="129"/>
      <c r="CYO22" s="129"/>
      <c r="CYP22" s="129"/>
      <c r="CYQ22" s="129"/>
      <c r="CYR22" s="129"/>
      <c r="CYS22" s="129"/>
      <c r="CYT22" s="129"/>
      <c r="CYU22" s="129"/>
      <c r="CYV22" s="129"/>
      <c r="CYW22" s="129"/>
      <c r="CYX22" s="129"/>
      <c r="CYY22" s="129"/>
      <c r="CYZ22" s="129"/>
      <c r="CZA22" s="129"/>
      <c r="CZB22" s="129"/>
      <c r="CZC22" s="129"/>
      <c r="CZD22" s="128"/>
      <c r="CZE22" s="128"/>
      <c r="CZF22" s="128"/>
      <c r="CZG22" s="128"/>
      <c r="CZH22" s="128"/>
      <c r="CZI22" s="128"/>
      <c r="CZJ22" s="128"/>
      <c r="DGR22" s="128" t="s">
        <v>571</v>
      </c>
      <c r="DGS22" s="128"/>
      <c r="DGT22" s="128"/>
      <c r="DGU22" s="128"/>
      <c r="DGV22" s="128"/>
      <c r="DGW22" s="128"/>
      <c r="DGX22" s="128"/>
      <c r="DGY22" s="128"/>
      <c r="DGZ22" s="128"/>
      <c r="DHA22" s="128"/>
      <c r="DHB22" s="128"/>
      <c r="DHC22" s="128"/>
      <c r="DHD22" s="128"/>
      <c r="DHE22" s="128"/>
      <c r="DHF22" s="128"/>
      <c r="DHG22" s="128"/>
      <c r="DHH22" s="128"/>
      <c r="DHI22" s="128"/>
      <c r="DHJ22" s="128"/>
      <c r="DHK22" s="128"/>
      <c r="DHL22" s="128"/>
      <c r="DHM22" s="128"/>
      <c r="DHN22" s="128"/>
      <c r="DHO22" s="128"/>
      <c r="DHP22" s="128"/>
      <c r="DHQ22" s="128"/>
      <c r="DHR22" s="128"/>
      <c r="DHS22" s="128"/>
      <c r="DHT22" s="128"/>
      <c r="DHU22" s="128"/>
      <c r="DHV22" s="128"/>
      <c r="DHW22" s="129"/>
      <c r="DHX22" s="129"/>
      <c r="DHY22" s="129"/>
      <c r="DHZ22" s="129"/>
      <c r="DIA22" s="129"/>
      <c r="DIB22" s="129"/>
      <c r="DIC22" s="129"/>
      <c r="DID22" s="129"/>
      <c r="DIE22" s="129"/>
      <c r="DIF22" s="129"/>
      <c r="DIG22" s="129"/>
      <c r="DIH22" s="129"/>
      <c r="DII22" s="129"/>
      <c r="DIJ22" s="129"/>
      <c r="DIK22" s="129"/>
      <c r="DIL22" s="129"/>
      <c r="DIM22" s="129"/>
      <c r="DIN22" s="129"/>
      <c r="DIO22" s="129"/>
      <c r="DIP22" s="129"/>
      <c r="DIQ22" s="129"/>
      <c r="DIR22" s="128"/>
      <c r="DIS22" s="128"/>
      <c r="DIT22" s="128"/>
      <c r="DIU22" s="128"/>
      <c r="DIV22" s="128"/>
      <c r="DIW22" s="128"/>
      <c r="DIX22" s="129"/>
      <c r="DIY22" s="129"/>
      <c r="DIZ22" s="129"/>
      <c r="DJA22" s="129"/>
      <c r="DJB22" s="129"/>
      <c r="DJC22" s="129"/>
      <c r="DJD22" s="129"/>
      <c r="DJE22" s="129"/>
      <c r="DJF22" s="129"/>
      <c r="DJG22" s="129"/>
      <c r="DJH22" s="129"/>
      <c r="DJI22" s="129"/>
      <c r="DJJ22" s="129"/>
      <c r="DJK22" s="129"/>
      <c r="DJL22" s="129"/>
      <c r="DJM22" s="129"/>
      <c r="DJN22" s="129"/>
      <c r="DJO22" s="129"/>
      <c r="DJP22" s="129"/>
      <c r="DJQ22" s="129"/>
      <c r="DJR22" s="129"/>
      <c r="DJS22" s="129"/>
      <c r="DJT22" s="129"/>
      <c r="DJU22" s="129"/>
      <c r="DJV22" s="129"/>
      <c r="DJW22" s="129"/>
      <c r="DJX22" s="129"/>
      <c r="DJY22" s="129"/>
      <c r="DJZ22" s="128"/>
      <c r="DKA22" s="128"/>
      <c r="DKB22" s="128"/>
      <c r="DKC22" s="128"/>
      <c r="DKD22" s="128"/>
      <c r="DKE22" s="128"/>
      <c r="DKF22" s="128"/>
    </row>
    <row r="23" spans="2:1022 1118:1774 2152:2996" ht="15" customHeight="1" x14ac:dyDescent="0.25">
      <c r="FB23" s="139" t="s">
        <v>3781</v>
      </c>
      <c r="FC23" s="140"/>
      <c r="FD23" s="140"/>
      <c r="FE23" s="140"/>
      <c r="FF23" s="140"/>
      <c r="FG23" s="140"/>
      <c r="FH23" s="140"/>
      <c r="FI23" s="140"/>
      <c r="FJ23" s="140"/>
      <c r="FK23" s="140"/>
      <c r="FL23" s="140"/>
      <c r="FM23" s="140"/>
      <c r="FN23" s="140"/>
      <c r="FO23" s="140"/>
      <c r="FP23" s="140"/>
      <c r="FQ23" s="140"/>
      <c r="FR23" s="140"/>
      <c r="FS23" s="140"/>
      <c r="FT23" s="140"/>
      <c r="FU23" s="140"/>
      <c r="FV23" s="140"/>
      <c r="FW23" s="140"/>
      <c r="FX23" s="140"/>
      <c r="FY23" s="140"/>
      <c r="FZ23" s="140"/>
      <c r="GA23" s="140"/>
      <c r="GB23" s="140"/>
      <c r="GC23" s="140"/>
      <c r="GD23" s="140"/>
      <c r="GE23" s="140"/>
      <c r="GF23" s="140"/>
      <c r="GG23" s="140"/>
      <c r="GH23" s="140"/>
      <c r="GI23" s="140"/>
      <c r="GJ23" s="140"/>
      <c r="GK23" s="140"/>
      <c r="GL23" s="140"/>
      <c r="GM23" s="140"/>
      <c r="GN23" s="140"/>
      <c r="GO23" s="140"/>
      <c r="GP23" s="140"/>
      <c r="GQ23" s="140"/>
      <c r="GR23" s="140"/>
      <c r="GS23" s="140"/>
      <c r="GT23" s="141">
        <v>14</v>
      </c>
      <c r="GU23" s="141"/>
      <c r="GV23" s="141"/>
      <c r="GW23" s="141"/>
      <c r="GX23" s="141"/>
      <c r="GY23" s="141"/>
      <c r="GZ23" s="141"/>
      <c r="HA23" s="141"/>
      <c r="HB23" s="142" t="str">
        <f>IFERROR(ROUND(Calculations!BV23*GT23,2),"")</f>
        <v/>
      </c>
      <c r="HC23" s="142"/>
      <c r="HD23" s="142"/>
      <c r="HE23" s="142"/>
      <c r="HF23" s="142"/>
      <c r="HG23" s="142"/>
      <c r="HH23" s="142"/>
      <c r="HI23" s="142"/>
      <c r="HJ23" s="142">
        <f>IFERROR(Calculations!BS23+IQ23+IX23,"")</f>
        <v>0</v>
      </c>
      <c r="HK23" s="142"/>
      <c r="HL23" s="142"/>
      <c r="HM23" s="142"/>
      <c r="HN23" s="142"/>
      <c r="HO23" s="142"/>
      <c r="HP23" s="142"/>
      <c r="HQ23" s="142"/>
      <c r="HR23" s="142" t="str">
        <f t="shared" ref="HR23" si="8">IFERROR(VLOOKUP(FB23,ItemChart,4,FALSE),"")</f>
        <v/>
      </c>
      <c r="HS23" s="142"/>
      <c r="HT23" s="142"/>
      <c r="HU23" s="142"/>
      <c r="HV23" s="142"/>
      <c r="HW23" s="142"/>
      <c r="HX23" s="142"/>
      <c r="HY23" s="142"/>
      <c r="HZ23" s="142" t="str">
        <f>IFERROR(Calculations!BX23,"")</f>
        <v/>
      </c>
      <c r="IA23" s="142"/>
      <c r="IB23" s="142"/>
      <c r="IC23" s="142"/>
      <c r="ID23" s="142"/>
      <c r="IE23" s="142"/>
      <c r="IF23" s="142"/>
      <c r="IG23" s="142"/>
      <c r="IH23" s="142"/>
      <c r="II23" s="142"/>
      <c r="IJ23" s="142" t="str">
        <f>IFERROR(Calculations!BR23+IX23,"")</f>
        <v/>
      </c>
      <c r="IK23" s="142"/>
      <c r="IL23" s="142"/>
      <c r="IM23" s="142"/>
      <c r="IN23" s="142"/>
      <c r="IO23" s="142"/>
      <c r="IP23" s="142"/>
      <c r="IQ23" s="141">
        <v>0</v>
      </c>
      <c r="IR23" s="141"/>
      <c r="IS23" s="141"/>
      <c r="IT23" s="141"/>
      <c r="IU23" s="141"/>
      <c r="IV23" s="141"/>
      <c r="IW23" s="141"/>
      <c r="IX23" s="141">
        <v>0</v>
      </c>
      <c r="IY23" s="141"/>
      <c r="IZ23" s="141"/>
      <c r="JA23" s="141"/>
      <c r="JB23" s="141"/>
      <c r="JC23" s="141"/>
      <c r="JD23" s="141"/>
      <c r="JE23" s="141"/>
      <c r="JF23" s="142"/>
      <c r="JG23" s="142"/>
      <c r="JH23" s="142"/>
      <c r="JI23" s="142"/>
      <c r="JJ23" s="142"/>
      <c r="JK23" s="143" t="str">
        <f>Calculations!AS23</f>
        <v/>
      </c>
      <c r="JL23" s="143"/>
      <c r="JM23" s="143"/>
      <c r="JN23" s="143"/>
      <c r="JO23" s="143"/>
      <c r="JP23" s="143"/>
      <c r="JQ23" s="143"/>
      <c r="JR23" s="143"/>
      <c r="JS23" s="143"/>
      <c r="JT23" s="143"/>
      <c r="JU23" s="143"/>
      <c r="JV23" s="143"/>
      <c r="JW23" s="143"/>
      <c r="JX23" s="143"/>
      <c r="JY23" s="143"/>
      <c r="JZ23" s="143"/>
      <c r="KA23" s="143"/>
      <c r="KB23" s="143"/>
      <c r="KC23" s="143" t="str">
        <f>Calculations!AW23</f>
        <v/>
      </c>
      <c r="KD23" s="143"/>
      <c r="KE23" s="143"/>
      <c r="KF23" s="143"/>
      <c r="KG23" s="143"/>
      <c r="KH23" s="143"/>
      <c r="KI23" s="143"/>
      <c r="KJ23" s="143"/>
      <c r="KK23" s="143"/>
      <c r="KL23" s="143"/>
      <c r="KM23" s="143"/>
      <c r="KN23" s="143"/>
      <c r="KO23" s="143"/>
      <c r="KP23" s="143"/>
      <c r="KQ23" s="143"/>
      <c r="KR23" s="143"/>
      <c r="KS23" s="143"/>
      <c r="KT23" s="143"/>
      <c r="KU23" s="144" t="str">
        <f t="shared" si="7"/>
        <v/>
      </c>
      <c r="KV23" s="144"/>
      <c r="KW23" s="144"/>
      <c r="KX23" s="144"/>
      <c r="KY23" s="144"/>
      <c r="KZ23" s="144"/>
      <c r="LA23" s="144"/>
      <c r="LB23" s="144"/>
      <c r="LC23" s="144"/>
      <c r="LD23" s="144"/>
      <c r="LE23" s="144"/>
      <c r="LF23" s="144"/>
      <c r="LG23" s="144"/>
      <c r="LH23" s="144"/>
      <c r="LI23" s="144"/>
      <c r="LJ23" s="144"/>
      <c r="LK23" s="144"/>
      <c r="LL23" s="144"/>
      <c r="LM23" s="144"/>
      <c r="LN23" s="144"/>
      <c r="LO23" s="144"/>
      <c r="LP23" s="144"/>
      <c r="LQ23" s="144"/>
      <c r="LR23" s="144"/>
      <c r="LS23" s="144"/>
      <c r="LT23" s="144"/>
      <c r="LU23" s="144"/>
      <c r="LV23" s="144"/>
      <c r="LW23" s="144"/>
      <c r="LX23" s="144"/>
      <c r="LY23" s="144"/>
      <c r="LZ23" s="144"/>
      <c r="MA23" s="144"/>
      <c r="MB23" s="144"/>
      <c r="MC23" s="144"/>
      <c r="MD23" s="144"/>
      <c r="ME23" s="144"/>
      <c r="MF23" s="144"/>
      <c r="MG23" s="144"/>
      <c r="MH23" s="144"/>
      <c r="MI23" s="144"/>
      <c r="MJ23" s="144"/>
      <c r="MK23" s="144"/>
      <c r="ML23" s="144"/>
      <c r="MM23" s="144"/>
      <c r="MN23" s="144"/>
      <c r="MO23" s="144"/>
      <c r="MP23" s="144"/>
      <c r="MQ23" s="144"/>
      <c r="MR23" s="144"/>
      <c r="MS23" s="144"/>
      <c r="MT23" s="144"/>
      <c r="MU23" s="144"/>
      <c r="MV23" s="144"/>
      <c r="MW23" s="144"/>
      <c r="MX23" s="144"/>
      <c r="MY23" s="144"/>
      <c r="MZ23" s="145"/>
      <c r="AIT23" s="128" t="s">
        <v>203</v>
      </c>
      <c r="AIU23" s="128"/>
      <c r="AIV23" s="128"/>
      <c r="AIW23" s="128"/>
      <c r="AIX23" s="128"/>
      <c r="AIY23" s="128"/>
      <c r="AIZ23" s="128"/>
      <c r="AJA23" s="128"/>
      <c r="AJB23" s="128"/>
      <c r="AJC23" s="128"/>
      <c r="AJD23" s="128"/>
      <c r="AJE23" s="128"/>
      <c r="AJF23" s="128"/>
      <c r="AJG23" s="128"/>
      <c r="AJH23" s="128"/>
      <c r="AJI23" s="128"/>
      <c r="AJJ23" s="128"/>
      <c r="AJK23" s="128"/>
      <c r="AJL23" s="128"/>
      <c r="AJM23" s="128"/>
      <c r="AJN23" s="128"/>
      <c r="AJO23" s="128"/>
      <c r="AJP23" s="128"/>
      <c r="AJQ23" s="128"/>
      <c r="AJR23" s="128"/>
      <c r="AJS23" s="128"/>
      <c r="AJT23" s="128"/>
      <c r="AJU23" s="128"/>
      <c r="AJV23" s="128"/>
      <c r="AJW23" s="128"/>
      <c r="AJX23" s="128"/>
      <c r="AJY23" s="129"/>
      <c r="AJZ23" s="129"/>
      <c r="AKA23" s="129"/>
      <c r="AKB23" s="129"/>
      <c r="AKC23" s="129"/>
      <c r="AKD23" s="129"/>
      <c r="AKE23" s="129"/>
      <c r="AKF23" s="129"/>
      <c r="AKG23" s="129"/>
      <c r="AKH23" s="129"/>
      <c r="AKI23" s="129"/>
      <c r="AKJ23" s="129"/>
      <c r="AKK23" s="129"/>
      <c r="AKL23" s="129"/>
      <c r="AKM23" s="129"/>
      <c r="AKN23" s="129"/>
      <c r="AKO23" s="129"/>
      <c r="AKP23" s="129"/>
      <c r="AKQ23" s="129"/>
      <c r="AKR23" s="129"/>
      <c r="AKS23" s="129"/>
      <c r="AKT23" s="128"/>
      <c r="AKU23" s="128"/>
      <c r="AKV23" s="128"/>
      <c r="AKW23" s="128"/>
      <c r="AKX23" s="128"/>
      <c r="AKY23" s="128"/>
      <c r="AKZ23" s="129"/>
      <c r="ALA23" s="129"/>
      <c r="ALB23" s="129"/>
      <c r="ALC23" s="129"/>
      <c r="ALD23" s="129"/>
      <c r="ALE23" s="129"/>
      <c r="ALF23" s="129"/>
      <c r="ALG23" s="129"/>
      <c r="ALH23" s="129"/>
      <c r="ALI23" s="129"/>
      <c r="ALJ23" s="129"/>
      <c r="ALK23" s="129"/>
      <c r="ALL23" s="129"/>
      <c r="ALM23" s="129"/>
      <c r="ALN23" s="129"/>
      <c r="ALO23" s="129"/>
      <c r="ALP23" s="129"/>
      <c r="ALQ23" s="129"/>
      <c r="ALR23" s="129"/>
      <c r="ALS23" s="129"/>
      <c r="ALT23" s="129"/>
      <c r="ALU23" s="129"/>
      <c r="ALV23" s="129"/>
      <c r="ALW23" s="129"/>
      <c r="ALX23" s="129"/>
      <c r="ALY23" s="129"/>
      <c r="ALZ23" s="129"/>
      <c r="AMA23" s="129"/>
      <c r="AMB23" s="128"/>
      <c r="AMC23" s="128"/>
      <c r="AMD23" s="128"/>
      <c r="AME23" s="128"/>
      <c r="AMF23" s="128"/>
      <c r="AMG23" s="128"/>
      <c r="AMH23" s="128"/>
      <c r="APZ23" s="128" t="s">
        <v>596</v>
      </c>
      <c r="AQA23" s="128"/>
      <c r="AQB23" s="128"/>
      <c r="AQC23" s="128"/>
      <c r="AQD23" s="128"/>
      <c r="AQE23" s="128"/>
      <c r="AQF23" s="128"/>
      <c r="AQG23" s="128"/>
      <c r="AQH23" s="128"/>
      <c r="AQI23" s="128"/>
      <c r="AQJ23" s="128"/>
      <c r="AQK23" s="128"/>
      <c r="AQL23" s="128"/>
      <c r="AQM23" s="128"/>
      <c r="AQN23" s="128"/>
      <c r="AQO23" s="128"/>
      <c r="AQP23" s="128"/>
      <c r="AQQ23" s="128"/>
      <c r="AQR23" s="128"/>
      <c r="AQS23" s="128"/>
      <c r="AQT23" s="128"/>
      <c r="AQU23" s="128"/>
      <c r="AQV23" s="128"/>
      <c r="AQW23" s="128"/>
      <c r="AQX23" s="128"/>
      <c r="AQY23" s="128"/>
      <c r="AQZ23" s="128"/>
      <c r="ARA23" s="128"/>
      <c r="ARB23" s="128"/>
      <c r="ARC23" s="128"/>
      <c r="ARD23" s="128"/>
      <c r="ARE23" s="129"/>
      <c r="ARF23" s="129"/>
      <c r="ARG23" s="129"/>
      <c r="ARH23" s="129"/>
      <c r="ARI23" s="129"/>
      <c r="ARJ23" s="129"/>
      <c r="ARK23" s="129"/>
      <c r="ARL23" s="129"/>
      <c r="ARM23" s="129"/>
      <c r="ARN23" s="129"/>
      <c r="ARO23" s="129"/>
      <c r="ARP23" s="129"/>
      <c r="ARQ23" s="129"/>
      <c r="ARR23" s="129"/>
      <c r="ARS23" s="129"/>
      <c r="ART23" s="129"/>
      <c r="ARU23" s="129"/>
      <c r="ARV23" s="129"/>
      <c r="ARW23" s="129"/>
      <c r="ARX23" s="129"/>
      <c r="ARY23" s="129"/>
      <c r="ARZ23" s="128"/>
      <c r="ASA23" s="128"/>
      <c r="ASB23" s="128"/>
      <c r="ASC23" s="128"/>
      <c r="ASD23" s="128"/>
      <c r="ASE23" s="128"/>
      <c r="ASF23" s="129"/>
      <c r="ASG23" s="129"/>
      <c r="ASH23" s="129"/>
      <c r="ASI23" s="129"/>
      <c r="ASJ23" s="129"/>
      <c r="ASK23" s="129"/>
      <c r="ASL23" s="129"/>
      <c r="ASM23" s="129"/>
      <c r="ASN23" s="129"/>
      <c r="ASO23" s="129"/>
      <c r="ASP23" s="129"/>
      <c r="ASQ23" s="129"/>
      <c r="ASR23" s="129"/>
      <c r="ASS23" s="129"/>
      <c r="AST23" s="129"/>
      <c r="ASU23" s="129"/>
      <c r="ASV23" s="129"/>
      <c r="ASW23" s="129"/>
      <c r="ASX23" s="129"/>
      <c r="ASY23" s="129"/>
      <c r="ASZ23" s="129"/>
      <c r="ATA23" s="129"/>
      <c r="ATB23" s="129"/>
      <c r="ATC23" s="129"/>
      <c r="ATD23" s="129"/>
      <c r="ATE23" s="129"/>
      <c r="ATF23" s="129"/>
      <c r="ATG23" s="129"/>
      <c r="ATH23" s="128"/>
      <c r="ATI23" s="128"/>
      <c r="ATJ23" s="128"/>
      <c r="ATK23" s="128"/>
      <c r="ATL23" s="128"/>
      <c r="ATM23" s="128"/>
      <c r="ATN23" s="128"/>
      <c r="AXF23" s="128" t="s">
        <v>276</v>
      </c>
      <c r="AXG23" s="128"/>
      <c r="AXH23" s="128"/>
      <c r="AXI23" s="128"/>
      <c r="AXJ23" s="128"/>
      <c r="AXK23" s="128"/>
      <c r="AXL23" s="128"/>
      <c r="AXM23" s="128"/>
      <c r="AXN23" s="128"/>
      <c r="AXO23" s="128"/>
      <c r="AXP23" s="128"/>
      <c r="AXQ23" s="128"/>
      <c r="AXR23" s="128"/>
      <c r="AXS23" s="128"/>
      <c r="AXT23" s="128"/>
      <c r="AXU23" s="128"/>
      <c r="AXV23" s="128"/>
      <c r="AXW23" s="128"/>
      <c r="AXX23" s="128"/>
      <c r="AXY23" s="128"/>
      <c r="AXZ23" s="128"/>
      <c r="AYA23" s="128"/>
      <c r="AYB23" s="128"/>
      <c r="AYC23" s="128"/>
      <c r="AYD23" s="128"/>
      <c r="AYE23" s="128"/>
      <c r="AYF23" s="128"/>
      <c r="AYG23" s="128"/>
      <c r="AYH23" s="128"/>
      <c r="AYI23" s="128"/>
      <c r="AYJ23" s="128"/>
      <c r="AYK23" s="129"/>
      <c r="AYL23" s="129"/>
      <c r="AYM23" s="129"/>
      <c r="AYN23" s="129"/>
      <c r="AYO23" s="129"/>
      <c r="AYP23" s="129"/>
      <c r="AYQ23" s="129"/>
      <c r="AYR23" s="129"/>
      <c r="AYS23" s="129"/>
      <c r="AYT23" s="129"/>
      <c r="AYU23" s="129"/>
      <c r="AYV23" s="129"/>
      <c r="AYW23" s="129"/>
      <c r="AYX23" s="129"/>
      <c r="AYY23" s="129"/>
      <c r="AYZ23" s="129"/>
      <c r="AZA23" s="129"/>
      <c r="AZB23" s="129"/>
      <c r="AZC23" s="129"/>
      <c r="AZD23" s="129"/>
      <c r="AZE23" s="129"/>
      <c r="AZF23" s="128"/>
      <c r="AZG23" s="128"/>
      <c r="AZH23" s="128"/>
      <c r="AZI23" s="128"/>
      <c r="AZJ23" s="128"/>
      <c r="AZK23" s="128"/>
      <c r="AZL23" s="129"/>
      <c r="AZM23" s="129"/>
      <c r="AZN23" s="129"/>
      <c r="AZO23" s="129"/>
      <c r="AZP23" s="129"/>
      <c r="AZQ23" s="129"/>
      <c r="AZR23" s="129"/>
      <c r="AZS23" s="129"/>
      <c r="AZT23" s="129"/>
      <c r="AZU23" s="129"/>
      <c r="AZV23" s="129"/>
      <c r="AZW23" s="129"/>
      <c r="AZX23" s="129"/>
      <c r="AZY23" s="129"/>
      <c r="AZZ23" s="129"/>
      <c r="BAA23" s="129"/>
      <c r="BAB23" s="129"/>
      <c r="BAC23" s="129"/>
      <c r="BAD23" s="129"/>
      <c r="BAE23" s="129"/>
      <c r="BAF23" s="129"/>
      <c r="BAG23" s="129"/>
      <c r="BAH23" s="129"/>
      <c r="BAI23" s="129"/>
      <c r="BAJ23" s="129"/>
      <c r="BAK23" s="129"/>
      <c r="BAL23" s="129"/>
      <c r="BAM23" s="129"/>
      <c r="BAN23" s="128"/>
      <c r="BAO23" s="128"/>
      <c r="BAP23" s="128"/>
      <c r="BAQ23" s="128"/>
      <c r="BAR23" s="128"/>
      <c r="BAS23" s="128"/>
      <c r="BAT23" s="128"/>
      <c r="BAV23" s="128" t="s">
        <v>294</v>
      </c>
      <c r="BAW23" s="128"/>
      <c r="BAX23" s="128"/>
      <c r="BAY23" s="128"/>
      <c r="BAZ23" s="128"/>
      <c r="BBA23" s="128"/>
      <c r="BBB23" s="128"/>
      <c r="BBC23" s="128"/>
      <c r="BBD23" s="128"/>
      <c r="BBE23" s="128"/>
      <c r="BBF23" s="128"/>
      <c r="BBG23" s="128"/>
      <c r="BBH23" s="128"/>
      <c r="BBI23" s="128"/>
      <c r="BBJ23" s="128"/>
      <c r="BBK23" s="128"/>
      <c r="BBL23" s="128"/>
      <c r="BBM23" s="128"/>
      <c r="BBN23" s="128"/>
      <c r="BBO23" s="128"/>
      <c r="BBP23" s="128"/>
      <c r="BBQ23" s="128"/>
      <c r="BBR23" s="128"/>
      <c r="BBS23" s="128"/>
      <c r="BBT23" s="128"/>
      <c r="BBU23" s="128"/>
      <c r="BBV23" s="128"/>
      <c r="BBW23" s="128"/>
      <c r="BBX23" s="128"/>
      <c r="BBY23" s="128"/>
      <c r="BBZ23" s="128"/>
      <c r="BCA23" s="129"/>
      <c r="BCB23" s="129"/>
      <c r="BCC23" s="129"/>
      <c r="BCD23" s="129"/>
      <c r="BCE23" s="129"/>
      <c r="BCF23" s="129"/>
      <c r="BCG23" s="129"/>
      <c r="BCH23" s="129"/>
      <c r="BCI23" s="129"/>
      <c r="BCJ23" s="129"/>
      <c r="BCK23" s="129"/>
      <c r="BCL23" s="129"/>
      <c r="BCM23" s="129"/>
      <c r="BCN23" s="129"/>
      <c r="BCO23" s="129"/>
      <c r="BCP23" s="129"/>
      <c r="BCQ23" s="129"/>
      <c r="BCR23" s="129"/>
      <c r="BCS23" s="129"/>
      <c r="BCT23" s="129"/>
      <c r="BCU23" s="129"/>
      <c r="BCV23" s="128"/>
      <c r="BCW23" s="128"/>
      <c r="BCX23" s="128"/>
      <c r="BCY23" s="128"/>
      <c r="BCZ23" s="128"/>
      <c r="BDA23" s="128"/>
      <c r="BDB23" s="129"/>
      <c r="BDC23" s="129"/>
      <c r="BDD23" s="129"/>
      <c r="BDE23" s="129"/>
      <c r="BDF23" s="129"/>
      <c r="BDG23" s="129"/>
      <c r="BDH23" s="129"/>
      <c r="BDI23" s="129"/>
      <c r="BDJ23" s="129"/>
      <c r="BDK23" s="129"/>
      <c r="BDL23" s="129"/>
      <c r="BDM23" s="129"/>
      <c r="BDN23" s="129"/>
      <c r="BDO23" s="129"/>
      <c r="BDP23" s="129"/>
      <c r="BDQ23" s="129"/>
      <c r="BDR23" s="129"/>
      <c r="BDS23" s="129"/>
      <c r="BDT23" s="129"/>
      <c r="BDU23" s="129"/>
      <c r="BDV23" s="129"/>
      <c r="BDW23" s="129"/>
      <c r="BDX23" s="129"/>
      <c r="BDY23" s="129"/>
      <c r="BDZ23" s="129"/>
      <c r="BEA23" s="129"/>
      <c r="BEB23" s="129"/>
      <c r="BEC23" s="129"/>
      <c r="BED23" s="128"/>
      <c r="BEE23" s="128"/>
      <c r="BEF23" s="128"/>
      <c r="BEG23" s="128"/>
      <c r="BEH23" s="128"/>
      <c r="BEI23" s="128"/>
      <c r="BEJ23" s="128"/>
      <c r="BLR23" s="128"/>
      <c r="BLS23" s="128"/>
      <c r="BLT23" s="128"/>
      <c r="BLU23" s="128"/>
      <c r="BLV23" s="128"/>
      <c r="BLW23" s="128"/>
      <c r="BLX23" s="128"/>
      <c r="BLY23" s="128"/>
      <c r="BLZ23" s="128"/>
      <c r="BMA23" s="128"/>
      <c r="BMB23" s="128"/>
      <c r="BMC23" s="128"/>
      <c r="BMD23" s="128"/>
      <c r="BME23" s="128"/>
      <c r="BMF23" s="128"/>
      <c r="BMG23" s="128"/>
      <c r="BMH23" s="128"/>
      <c r="BMI23" s="128"/>
      <c r="BMJ23" s="128"/>
      <c r="BMK23" s="128"/>
      <c r="BML23" s="128"/>
      <c r="BMM23" s="128"/>
      <c r="BMN23" s="128"/>
      <c r="BMO23" s="128"/>
      <c r="BMP23" s="128"/>
      <c r="BMQ23" s="128"/>
      <c r="BMR23" s="128"/>
      <c r="BMS23" s="128"/>
      <c r="BMT23" s="128"/>
      <c r="BMU23" s="128"/>
      <c r="BMV23" s="128"/>
      <c r="BMW23" s="129"/>
      <c r="BMX23" s="129"/>
      <c r="BMY23" s="129"/>
      <c r="BMZ23" s="129"/>
      <c r="BNA23" s="129"/>
      <c r="BNB23" s="129"/>
      <c r="BNC23" s="129"/>
      <c r="BND23" s="129"/>
      <c r="BNE23" s="129"/>
      <c r="BNF23" s="129"/>
      <c r="BNG23" s="129"/>
      <c r="BNH23" s="129"/>
      <c r="BNI23" s="129"/>
      <c r="BNJ23" s="129"/>
      <c r="BNK23" s="129"/>
      <c r="BNL23" s="129"/>
      <c r="BNM23" s="129"/>
      <c r="BNN23" s="129"/>
      <c r="BNO23" s="129"/>
      <c r="BNP23" s="129"/>
      <c r="BNQ23" s="129"/>
      <c r="BNR23" s="128"/>
      <c r="BNS23" s="128"/>
      <c r="BNT23" s="128"/>
      <c r="BNU23" s="128"/>
      <c r="BNV23" s="128"/>
      <c r="BNW23" s="128"/>
      <c r="BNX23" s="129"/>
      <c r="BNY23" s="129"/>
      <c r="BNZ23" s="129"/>
      <c r="BOA23" s="129"/>
      <c r="BOB23" s="129"/>
      <c r="BOC23" s="129"/>
      <c r="BOD23" s="129"/>
      <c r="BOE23" s="129"/>
      <c r="BOF23" s="129"/>
      <c r="BOG23" s="129"/>
      <c r="BOH23" s="129"/>
      <c r="BOI23" s="129"/>
      <c r="BOJ23" s="129"/>
      <c r="BOK23" s="129"/>
      <c r="BOL23" s="129"/>
      <c r="BOM23" s="129"/>
      <c r="BON23" s="129"/>
      <c r="BOO23" s="129"/>
      <c r="BOP23" s="129"/>
      <c r="BOQ23" s="129"/>
      <c r="BOR23" s="129"/>
      <c r="BOS23" s="129"/>
      <c r="BOT23" s="129"/>
      <c r="BOU23" s="129"/>
      <c r="BOV23" s="129"/>
      <c r="BOW23" s="129"/>
      <c r="BOX23" s="129"/>
      <c r="BOY23" s="129"/>
      <c r="BOZ23" s="128"/>
      <c r="BPA23" s="128"/>
      <c r="BPB23" s="128"/>
      <c r="BPC23" s="128"/>
      <c r="BPD23" s="128"/>
      <c r="BPE23" s="128"/>
      <c r="BPF23" s="128"/>
      <c r="COP23" s="128" t="str">
        <f ca="1">VLOOKUP(10,INDIRECT("Open"&amp;'Character Creation'!$Z$14),2,FALSE)</f>
        <v>Unbarring Ways</v>
      </c>
      <c r="COQ23" s="128"/>
      <c r="COR23" s="128"/>
      <c r="COS23" s="128"/>
      <c r="COT23" s="128"/>
      <c r="COU23" s="128"/>
      <c r="COV23" s="128"/>
      <c r="COW23" s="128"/>
      <c r="COX23" s="128"/>
      <c r="COY23" s="128"/>
      <c r="COZ23" s="128"/>
      <c r="CPA23" s="128"/>
      <c r="CPB23" s="128"/>
      <c r="CPC23" s="128"/>
      <c r="CPD23" s="128"/>
      <c r="CPE23" s="128"/>
      <c r="CPF23" s="128"/>
      <c r="CPG23" s="128"/>
      <c r="CPH23" s="128"/>
      <c r="CPI23" s="128"/>
      <c r="CPJ23" s="128"/>
      <c r="CPK23" s="128"/>
      <c r="CPL23" s="128"/>
      <c r="CPM23" s="128"/>
      <c r="CPN23" s="128"/>
      <c r="CPO23" s="128"/>
      <c r="CPP23" s="128"/>
      <c r="CPQ23" s="128"/>
      <c r="CPR23" s="128"/>
      <c r="CPS23" s="128"/>
      <c r="CPT23" s="128"/>
      <c r="CPU23" s="129"/>
      <c r="CPV23" s="129"/>
      <c r="CPW23" s="129"/>
      <c r="CPX23" s="129"/>
      <c r="CPY23" s="129"/>
      <c r="CPZ23" s="129"/>
      <c r="CQA23" s="129"/>
      <c r="CQB23" s="129"/>
      <c r="CQC23" s="129"/>
      <c r="CQD23" s="129"/>
      <c r="CQE23" s="129"/>
      <c r="CQF23" s="129"/>
      <c r="CQG23" s="129"/>
      <c r="CQH23" s="129"/>
      <c r="CQI23" s="129"/>
      <c r="CQJ23" s="129"/>
      <c r="CQK23" s="129"/>
      <c r="CQL23" s="129"/>
      <c r="CQM23" s="129"/>
      <c r="CQN23" s="129"/>
      <c r="CQO23" s="129"/>
      <c r="CQP23" s="128"/>
      <c r="CQQ23" s="128"/>
      <c r="CQR23" s="128"/>
      <c r="CQS23" s="128"/>
      <c r="CQT23" s="128"/>
      <c r="CQU23" s="128"/>
      <c r="CQV23" s="129"/>
      <c r="CQW23" s="129"/>
      <c r="CQX23" s="129"/>
      <c r="CQY23" s="129"/>
      <c r="CQZ23" s="129"/>
      <c r="CRA23" s="129"/>
      <c r="CRB23" s="129"/>
      <c r="CRC23" s="129"/>
      <c r="CRD23" s="129"/>
      <c r="CRE23" s="129"/>
      <c r="CRF23" s="129"/>
      <c r="CRG23" s="129"/>
      <c r="CRH23" s="129"/>
      <c r="CRI23" s="129"/>
      <c r="CRJ23" s="129"/>
      <c r="CRK23" s="129"/>
      <c r="CRL23" s="129"/>
      <c r="CRM23" s="129"/>
      <c r="CRN23" s="129"/>
      <c r="CRO23" s="129"/>
      <c r="CRP23" s="129"/>
      <c r="CRQ23" s="129"/>
      <c r="CRR23" s="129"/>
      <c r="CRS23" s="129"/>
      <c r="CRT23" s="129"/>
      <c r="CRU23" s="129"/>
      <c r="CRV23" s="129"/>
      <c r="CRW23" s="129"/>
      <c r="CRX23" s="128"/>
      <c r="CRY23" s="128"/>
      <c r="CRZ23" s="128"/>
      <c r="CSA23" s="128"/>
      <c r="CSB23" s="128"/>
      <c r="CSC23" s="128"/>
      <c r="CSD23" s="128"/>
      <c r="CSF23" s="128" t="s">
        <v>448</v>
      </c>
      <c r="CSG23" s="128"/>
      <c r="CSH23" s="128"/>
      <c r="CSI23" s="128"/>
      <c r="CSJ23" s="128"/>
      <c r="CSK23" s="128"/>
      <c r="CSL23" s="128"/>
      <c r="CSM23" s="128"/>
      <c r="CSN23" s="128"/>
      <c r="CSO23" s="128"/>
      <c r="CSP23" s="128"/>
      <c r="CSQ23" s="128"/>
      <c r="CSR23" s="128"/>
      <c r="CSS23" s="128"/>
      <c r="CST23" s="128"/>
      <c r="CSU23" s="128"/>
      <c r="CSV23" s="128"/>
      <c r="CSW23" s="128"/>
      <c r="CSX23" s="128"/>
      <c r="CSY23" s="128"/>
      <c r="CSZ23" s="128"/>
      <c r="CTA23" s="128"/>
      <c r="CTB23" s="128"/>
      <c r="CTC23" s="128"/>
      <c r="CTD23" s="128"/>
      <c r="CTE23" s="128"/>
      <c r="CTF23" s="128"/>
      <c r="CTG23" s="128"/>
      <c r="CTH23" s="128"/>
      <c r="CTI23" s="128"/>
      <c r="CTJ23" s="128"/>
      <c r="CTK23" s="129"/>
      <c r="CTL23" s="129"/>
      <c r="CTM23" s="129"/>
      <c r="CTN23" s="129"/>
      <c r="CTO23" s="129"/>
      <c r="CTP23" s="129"/>
      <c r="CTQ23" s="129"/>
      <c r="CTR23" s="129"/>
      <c r="CTS23" s="129"/>
      <c r="CTT23" s="129"/>
      <c r="CTU23" s="129"/>
      <c r="CTV23" s="129"/>
      <c r="CTW23" s="129"/>
      <c r="CTX23" s="129"/>
      <c r="CTY23" s="129"/>
      <c r="CTZ23" s="129"/>
      <c r="CUA23" s="129"/>
      <c r="CUB23" s="129"/>
      <c r="CUC23" s="129"/>
      <c r="CUD23" s="129"/>
      <c r="CUE23" s="129"/>
      <c r="CUF23" s="128"/>
      <c r="CUG23" s="128"/>
      <c r="CUH23" s="128"/>
      <c r="CUI23" s="128"/>
      <c r="CUJ23" s="128"/>
      <c r="CUK23" s="128"/>
      <c r="CUL23" s="129"/>
      <c r="CUM23" s="129"/>
      <c r="CUN23" s="129"/>
      <c r="CUO23" s="129"/>
      <c r="CUP23" s="129"/>
      <c r="CUQ23" s="129"/>
      <c r="CUR23" s="129"/>
      <c r="CUS23" s="129"/>
      <c r="CUT23" s="129"/>
      <c r="CUU23" s="129"/>
      <c r="CUV23" s="129"/>
      <c r="CUW23" s="129"/>
      <c r="CUX23" s="129"/>
      <c r="CUY23" s="129"/>
      <c r="CUZ23" s="129"/>
      <c r="CVA23" s="129"/>
      <c r="CVB23" s="129"/>
      <c r="CVC23" s="129"/>
      <c r="CVD23" s="129"/>
      <c r="CVE23" s="129"/>
      <c r="CVF23" s="129"/>
      <c r="CVG23" s="129"/>
      <c r="CVH23" s="129"/>
      <c r="CVI23" s="129"/>
      <c r="CVJ23" s="129"/>
      <c r="CVK23" s="129"/>
      <c r="CVL23" s="129"/>
      <c r="CVM23" s="129"/>
      <c r="CVN23" s="128"/>
      <c r="CVO23" s="128"/>
      <c r="CVP23" s="128"/>
      <c r="CVQ23" s="128"/>
      <c r="CVR23" s="128"/>
      <c r="CVS23" s="128"/>
      <c r="CVT23" s="128"/>
      <c r="CVV23" s="128" t="s">
        <v>500</v>
      </c>
      <c r="CVW23" s="128"/>
      <c r="CVX23" s="128"/>
      <c r="CVY23" s="128"/>
      <c r="CVZ23" s="128"/>
      <c r="CWA23" s="128"/>
      <c r="CWB23" s="128"/>
      <c r="CWC23" s="128"/>
      <c r="CWD23" s="128"/>
      <c r="CWE23" s="128"/>
      <c r="CWF23" s="128"/>
      <c r="CWG23" s="128"/>
      <c r="CWH23" s="128"/>
      <c r="CWI23" s="128"/>
      <c r="CWJ23" s="128"/>
      <c r="CWK23" s="128"/>
      <c r="CWL23" s="128"/>
      <c r="CWM23" s="128"/>
      <c r="CWN23" s="128"/>
      <c r="CWO23" s="128"/>
      <c r="CWP23" s="128"/>
      <c r="CWQ23" s="128"/>
      <c r="CWR23" s="128"/>
      <c r="CWS23" s="128"/>
      <c r="CWT23" s="128"/>
      <c r="CWU23" s="128"/>
      <c r="CWV23" s="128"/>
      <c r="CWW23" s="128"/>
      <c r="CWX23" s="128"/>
      <c r="CWY23" s="128"/>
      <c r="CWZ23" s="128"/>
      <c r="CXA23" s="129"/>
      <c r="CXB23" s="129"/>
      <c r="CXC23" s="129"/>
      <c r="CXD23" s="129"/>
      <c r="CXE23" s="129"/>
      <c r="CXF23" s="129"/>
      <c r="CXG23" s="129"/>
      <c r="CXH23" s="129"/>
      <c r="CXI23" s="129"/>
      <c r="CXJ23" s="129"/>
      <c r="CXK23" s="129"/>
      <c r="CXL23" s="129"/>
      <c r="CXM23" s="129"/>
      <c r="CXN23" s="129"/>
      <c r="CXO23" s="129"/>
      <c r="CXP23" s="129"/>
      <c r="CXQ23" s="129"/>
      <c r="CXR23" s="129"/>
      <c r="CXS23" s="129"/>
      <c r="CXT23" s="129"/>
      <c r="CXU23" s="129"/>
      <c r="CXV23" s="128"/>
      <c r="CXW23" s="128"/>
      <c r="CXX23" s="128"/>
      <c r="CXY23" s="128"/>
      <c r="CXZ23" s="128"/>
      <c r="CYA23" s="128"/>
      <c r="CYB23" s="129"/>
      <c r="CYC23" s="129"/>
      <c r="CYD23" s="129"/>
      <c r="CYE23" s="129"/>
      <c r="CYF23" s="129"/>
      <c r="CYG23" s="129"/>
      <c r="CYH23" s="129"/>
      <c r="CYI23" s="129"/>
      <c r="CYJ23" s="129"/>
      <c r="CYK23" s="129"/>
      <c r="CYL23" s="129"/>
      <c r="CYM23" s="129"/>
      <c r="CYN23" s="129"/>
      <c r="CYO23" s="129"/>
      <c r="CYP23" s="129"/>
      <c r="CYQ23" s="129"/>
      <c r="CYR23" s="129"/>
      <c r="CYS23" s="129"/>
      <c r="CYT23" s="129"/>
      <c r="CYU23" s="129"/>
      <c r="CYV23" s="129"/>
      <c r="CYW23" s="129"/>
      <c r="CYX23" s="129"/>
      <c r="CYY23" s="129"/>
      <c r="CYZ23" s="129"/>
      <c r="CZA23" s="129"/>
      <c r="CZB23" s="129"/>
      <c r="CZC23" s="129"/>
      <c r="CZD23" s="128"/>
      <c r="CZE23" s="128"/>
      <c r="CZF23" s="128"/>
      <c r="CZG23" s="128"/>
      <c r="CZH23" s="128"/>
      <c r="CZI23" s="128"/>
      <c r="CZJ23" s="128"/>
      <c r="DDB23" s="144" t="s">
        <v>531</v>
      </c>
      <c r="DDC23" s="144"/>
      <c r="DDD23" s="144"/>
      <c r="DDE23" s="144"/>
      <c r="DDF23" s="144"/>
      <c r="DDG23" s="144"/>
      <c r="DDH23" s="144"/>
      <c r="DDI23" s="144"/>
      <c r="DDJ23" s="144"/>
      <c r="DDK23" s="144"/>
      <c r="DDL23" s="144"/>
      <c r="DDM23" s="144"/>
      <c r="DDN23" s="144"/>
      <c r="DDO23" s="144"/>
      <c r="DDP23" s="144"/>
      <c r="DDQ23" s="144"/>
      <c r="DDR23" s="144"/>
      <c r="DDS23" s="144"/>
      <c r="DDT23" s="144"/>
      <c r="DDU23" s="144"/>
      <c r="DDV23" s="144"/>
      <c r="DDW23" s="144"/>
      <c r="DDX23" s="144"/>
      <c r="DDY23" s="144"/>
      <c r="DDZ23" s="144"/>
      <c r="DEA23" s="144"/>
      <c r="DEB23" s="144"/>
      <c r="DEC23" s="144"/>
      <c r="DED23" s="144"/>
      <c r="DEE23" s="144"/>
      <c r="DEF23" s="144"/>
      <c r="DEG23" s="144"/>
      <c r="DEH23" s="144"/>
      <c r="DEI23" s="144"/>
      <c r="DEJ23" s="144"/>
      <c r="DEK23" s="144"/>
      <c r="DEL23" s="144"/>
      <c r="DEM23" s="144"/>
      <c r="DEN23" s="144"/>
      <c r="DEO23" s="144"/>
      <c r="DEP23" s="144"/>
      <c r="DEQ23" s="144"/>
      <c r="DER23" s="144"/>
      <c r="DES23" s="144"/>
      <c r="DET23" s="144"/>
      <c r="DEU23" s="144"/>
      <c r="DEV23" s="144"/>
      <c r="DEW23" s="144"/>
      <c r="DEX23" s="144"/>
      <c r="DEY23" s="144"/>
      <c r="DEZ23" s="144"/>
      <c r="DFA23" s="144"/>
      <c r="DFB23" s="144"/>
      <c r="DFC23" s="144"/>
      <c r="DFD23" s="144"/>
      <c r="DFE23" s="144"/>
      <c r="DFF23" s="144"/>
      <c r="DFG23" s="144"/>
      <c r="DFH23" s="144"/>
      <c r="DFI23" s="144"/>
      <c r="DFJ23" s="144"/>
      <c r="DFK23" s="144"/>
      <c r="DFL23" s="144"/>
      <c r="DFM23" s="144"/>
      <c r="DFN23" s="144"/>
      <c r="DFO23" s="144"/>
      <c r="DFP23" s="144"/>
      <c r="DFQ23" s="144"/>
      <c r="DFR23" s="144"/>
      <c r="DFS23" s="144"/>
      <c r="DFT23" s="144"/>
      <c r="DFU23" s="144"/>
      <c r="DFV23" s="144"/>
      <c r="DFW23" s="144"/>
      <c r="DFX23" s="144"/>
      <c r="DFY23" s="144"/>
      <c r="DFZ23" s="144"/>
      <c r="DGA23" s="144"/>
      <c r="DGB23" s="144"/>
      <c r="DGC23" s="144"/>
      <c r="DGD23" s="144"/>
      <c r="DGE23" s="144"/>
      <c r="DGF23" s="144"/>
      <c r="DGG23" s="144"/>
      <c r="DGH23" s="144"/>
      <c r="DGI23" s="144"/>
      <c r="DGJ23" s="144"/>
      <c r="DGK23" s="144"/>
      <c r="DGL23" s="144"/>
      <c r="DGM23" s="144"/>
      <c r="DGN23" s="144"/>
      <c r="DGO23" s="144"/>
      <c r="DGP23" s="144"/>
      <c r="DGR23" s="128" t="s">
        <v>572</v>
      </c>
      <c r="DGS23" s="128"/>
      <c r="DGT23" s="128"/>
      <c r="DGU23" s="128"/>
      <c r="DGV23" s="128"/>
      <c r="DGW23" s="128"/>
      <c r="DGX23" s="128"/>
      <c r="DGY23" s="128"/>
      <c r="DGZ23" s="128"/>
      <c r="DHA23" s="128"/>
      <c r="DHB23" s="128"/>
      <c r="DHC23" s="128"/>
      <c r="DHD23" s="128"/>
      <c r="DHE23" s="128"/>
      <c r="DHF23" s="128"/>
      <c r="DHG23" s="128"/>
      <c r="DHH23" s="128"/>
      <c r="DHI23" s="128"/>
      <c r="DHJ23" s="128"/>
      <c r="DHK23" s="128"/>
      <c r="DHL23" s="128"/>
      <c r="DHM23" s="128"/>
      <c r="DHN23" s="128"/>
      <c r="DHO23" s="128"/>
      <c r="DHP23" s="128"/>
      <c r="DHQ23" s="128"/>
      <c r="DHR23" s="128"/>
      <c r="DHS23" s="128"/>
      <c r="DHT23" s="128"/>
      <c r="DHU23" s="128"/>
      <c r="DHV23" s="128"/>
      <c r="DHW23" s="129"/>
      <c r="DHX23" s="129"/>
      <c r="DHY23" s="129"/>
      <c r="DHZ23" s="129"/>
      <c r="DIA23" s="129"/>
      <c r="DIB23" s="129"/>
      <c r="DIC23" s="129"/>
      <c r="DID23" s="129"/>
      <c r="DIE23" s="129"/>
      <c r="DIF23" s="129"/>
      <c r="DIG23" s="129"/>
      <c r="DIH23" s="129"/>
      <c r="DII23" s="129"/>
      <c r="DIJ23" s="129"/>
      <c r="DIK23" s="129"/>
      <c r="DIL23" s="129"/>
      <c r="DIM23" s="129"/>
      <c r="DIN23" s="129"/>
      <c r="DIO23" s="129"/>
      <c r="DIP23" s="129"/>
      <c r="DIQ23" s="129"/>
      <c r="DIR23" s="128"/>
      <c r="DIS23" s="128"/>
      <c r="DIT23" s="128"/>
      <c r="DIU23" s="128"/>
      <c r="DIV23" s="128"/>
      <c r="DIW23" s="128"/>
      <c r="DIX23" s="129"/>
      <c r="DIY23" s="129"/>
      <c r="DIZ23" s="129"/>
      <c r="DJA23" s="129"/>
      <c r="DJB23" s="129"/>
      <c r="DJC23" s="129"/>
      <c r="DJD23" s="129"/>
      <c r="DJE23" s="129"/>
      <c r="DJF23" s="129"/>
      <c r="DJG23" s="129"/>
      <c r="DJH23" s="129"/>
      <c r="DJI23" s="129"/>
      <c r="DJJ23" s="129"/>
      <c r="DJK23" s="129"/>
      <c r="DJL23" s="129"/>
      <c r="DJM23" s="129"/>
      <c r="DJN23" s="129"/>
      <c r="DJO23" s="129"/>
      <c r="DJP23" s="129"/>
      <c r="DJQ23" s="129"/>
      <c r="DJR23" s="129"/>
      <c r="DJS23" s="129"/>
      <c r="DJT23" s="129"/>
      <c r="DJU23" s="129"/>
      <c r="DJV23" s="129"/>
      <c r="DJW23" s="129"/>
      <c r="DJX23" s="129"/>
      <c r="DJY23" s="129"/>
      <c r="DJZ23" s="128"/>
      <c r="DKA23" s="128"/>
      <c r="DKB23" s="128"/>
      <c r="DKC23" s="128"/>
      <c r="DKD23" s="128"/>
      <c r="DKE23" s="128"/>
      <c r="DKF23" s="128"/>
    </row>
    <row r="24" spans="2:1022 1118:1774 2152:2996" ht="15" customHeight="1" x14ac:dyDescent="0.25">
      <c r="B24" s="327" t="s">
        <v>52</v>
      </c>
      <c r="C24" s="328"/>
      <c r="D24" s="328"/>
      <c r="E24" s="328"/>
      <c r="F24" s="328"/>
      <c r="G24" s="328"/>
      <c r="H24" s="328"/>
      <c r="I24" s="328"/>
      <c r="J24" s="328"/>
      <c r="K24" s="328"/>
      <c r="L24" s="328"/>
      <c r="M24" s="328"/>
      <c r="N24" s="328"/>
      <c r="O24" s="328"/>
      <c r="P24" s="328"/>
      <c r="Q24" s="328"/>
      <c r="R24" s="328"/>
      <c r="S24" s="328"/>
      <c r="T24" s="328"/>
      <c r="U24" s="328"/>
      <c r="V24" s="328"/>
      <c r="W24" s="328"/>
      <c r="X24" s="328"/>
      <c r="Y24" s="328"/>
      <c r="Z24" s="328"/>
      <c r="AA24" s="328"/>
      <c r="AB24" s="328"/>
      <c r="AC24" s="328"/>
      <c r="AD24" s="328"/>
      <c r="AE24" s="328"/>
      <c r="AF24" s="328"/>
      <c r="AG24" s="328"/>
      <c r="AH24" s="328"/>
      <c r="AI24" s="328"/>
      <c r="AJ24" s="328"/>
      <c r="AK24" s="328"/>
      <c r="AL24" s="328"/>
      <c r="AM24" s="328"/>
      <c r="AN24" s="328"/>
      <c r="AO24" s="328"/>
      <c r="AP24" s="328"/>
      <c r="AQ24" s="328"/>
      <c r="AR24" s="328"/>
      <c r="AS24" s="328"/>
      <c r="AT24" s="328"/>
      <c r="AU24" s="328"/>
      <c r="AV24" s="328"/>
      <c r="AW24" s="328"/>
      <c r="AX24" s="328"/>
      <c r="AY24" s="328"/>
      <c r="AZ24" s="328"/>
      <c r="BA24" s="328"/>
      <c r="BB24" s="328"/>
      <c r="BC24" s="328"/>
      <c r="BD24" s="328"/>
      <c r="BE24" s="328"/>
      <c r="BF24" s="328"/>
      <c r="BG24" s="328"/>
      <c r="BH24" s="328"/>
      <c r="BI24" s="328"/>
      <c r="BJ24" s="328"/>
      <c r="BK24" s="328"/>
      <c r="BL24" s="328"/>
      <c r="BM24" s="328"/>
      <c r="BN24" s="328"/>
      <c r="BO24" s="328"/>
      <c r="BP24" s="328"/>
      <c r="BQ24" s="328"/>
      <c r="BR24" s="328"/>
      <c r="BS24" s="328"/>
      <c r="BT24" s="328"/>
      <c r="BU24" s="328"/>
      <c r="BV24" s="328"/>
      <c r="BW24" s="328"/>
      <c r="BX24" s="328"/>
      <c r="BY24" s="328"/>
      <c r="BZ24" s="328"/>
      <c r="CA24" s="328"/>
      <c r="CB24" s="328"/>
      <c r="CC24" s="328"/>
      <c r="CD24" s="328"/>
      <c r="CE24" s="328"/>
      <c r="CF24" s="328"/>
      <c r="CG24" s="328"/>
      <c r="CH24" s="328"/>
      <c r="CI24" s="328"/>
      <c r="CJ24" s="328"/>
      <c r="CK24" s="328"/>
      <c r="CL24" s="328"/>
      <c r="CM24" s="328"/>
      <c r="CN24" s="328"/>
      <c r="CO24" s="328"/>
      <c r="CP24" s="328"/>
      <c r="CQ24" s="328"/>
      <c r="CR24" s="328"/>
      <c r="CS24" s="328"/>
      <c r="CT24" s="328"/>
      <c r="CU24" s="328"/>
      <c r="CV24" s="328"/>
      <c r="CW24" s="328"/>
      <c r="CX24" s="328"/>
      <c r="CY24" s="328"/>
      <c r="CZ24" s="328"/>
      <c r="DA24" s="328"/>
      <c r="DB24" s="328"/>
      <c r="DC24" s="328"/>
      <c r="DD24" s="328"/>
      <c r="DE24" s="328"/>
      <c r="DF24" s="328"/>
      <c r="DG24" s="328"/>
      <c r="DH24" s="328"/>
      <c r="DI24" s="328"/>
      <c r="DJ24" s="328"/>
      <c r="DK24" s="328"/>
      <c r="DL24" s="328"/>
      <c r="DM24" s="328"/>
      <c r="DN24" s="328"/>
      <c r="DO24" s="328"/>
      <c r="DP24" s="328"/>
      <c r="DQ24" s="328"/>
      <c r="DR24" s="328"/>
      <c r="DS24" s="328"/>
      <c r="DT24" s="328"/>
      <c r="DU24" s="328"/>
      <c r="DV24" s="328"/>
      <c r="DW24" s="328"/>
      <c r="DX24" s="328"/>
      <c r="DY24" s="328"/>
      <c r="DZ24" s="328"/>
      <c r="EA24" s="328"/>
      <c r="EB24" s="328"/>
      <c r="EC24" s="328"/>
      <c r="ED24" s="328"/>
      <c r="EE24" s="328"/>
      <c r="EF24" s="328"/>
      <c r="EG24" s="328"/>
      <c r="EH24" s="328"/>
      <c r="EI24" s="328"/>
      <c r="EJ24" s="328"/>
      <c r="EK24" s="328"/>
      <c r="EL24" s="328"/>
      <c r="EM24" s="328"/>
      <c r="EN24" s="328"/>
      <c r="EO24" s="328"/>
      <c r="EP24" s="328"/>
      <c r="EQ24" s="328"/>
      <c r="ER24" s="328"/>
      <c r="ES24" s="328"/>
      <c r="ET24" s="328"/>
      <c r="EU24" s="328"/>
      <c r="EV24" s="328"/>
      <c r="EW24" s="328"/>
      <c r="EX24" s="328"/>
      <c r="EY24" s="328"/>
      <c r="EZ24" s="329"/>
      <c r="FB24" s="139"/>
      <c r="FC24" s="140"/>
      <c r="FD24" s="140"/>
      <c r="FE24" s="140"/>
      <c r="FF24" s="140"/>
      <c r="FG24" s="140"/>
      <c r="FH24" s="140"/>
      <c r="FI24" s="140"/>
      <c r="FJ24" s="140"/>
      <c r="FK24" s="140"/>
      <c r="FL24" s="140"/>
      <c r="FM24" s="140"/>
      <c r="FN24" s="140"/>
      <c r="FO24" s="140"/>
      <c r="FP24" s="140"/>
      <c r="FQ24" s="140"/>
      <c r="FR24" s="140"/>
      <c r="FS24" s="140"/>
      <c r="FT24" s="140"/>
      <c r="FU24" s="140"/>
      <c r="FV24" s="140"/>
      <c r="FW24" s="140"/>
      <c r="FX24" s="140"/>
      <c r="FY24" s="140"/>
      <c r="FZ24" s="140"/>
      <c r="GA24" s="140"/>
      <c r="GB24" s="140"/>
      <c r="GC24" s="140"/>
      <c r="GD24" s="140"/>
      <c r="GE24" s="140"/>
      <c r="GF24" s="140"/>
      <c r="GG24" s="140"/>
      <c r="GH24" s="140"/>
      <c r="GI24" s="140"/>
      <c r="GJ24" s="140"/>
      <c r="GK24" s="140"/>
      <c r="GL24" s="140"/>
      <c r="GM24" s="140"/>
      <c r="GN24" s="140"/>
      <c r="GO24" s="140"/>
      <c r="GP24" s="140"/>
      <c r="GQ24" s="140"/>
      <c r="GR24" s="140"/>
      <c r="GS24" s="140"/>
      <c r="GT24" s="141">
        <v>0</v>
      </c>
      <c r="GU24" s="141"/>
      <c r="GV24" s="141"/>
      <c r="GW24" s="141"/>
      <c r="GX24" s="141"/>
      <c r="GY24" s="141"/>
      <c r="GZ24" s="141"/>
      <c r="HA24" s="141"/>
      <c r="HB24" s="142" t="str">
        <f>IFERROR(ROUND(Calculations!BV24*GT24,2),"")</f>
        <v/>
      </c>
      <c r="HC24" s="142"/>
      <c r="HD24" s="142"/>
      <c r="HE24" s="142"/>
      <c r="HF24" s="142"/>
      <c r="HG24" s="142"/>
      <c r="HH24" s="142"/>
      <c r="HI24" s="142"/>
      <c r="HJ24" s="142">
        <f>IFERROR(Calculations!BS24+IQ24+IX24,"")</f>
        <v>0</v>
      </c>
      <c r="HK24" s="142"/>
      <c r="HL24" s="142"/>
      <c r="HM24" s="142"/>
      <c r="HN24" s="142"/>
      <c r="HO24" s="142"/>
      <c r="HP24" s="142"/>
      <c r="HQ24" s="142"/>
      <c r="HR24" s="142" t="str">
        <f t="shared" si="6"/>
        <v/>
      </c>
      <c r="HS24" s="142"/>
      <c r="HT24" s="142"/>
      <c r="HU24" s="142"/>
      <c r="HV24" s="142"/>
      <c r="HW24" s="142"/>
      <c r="HX24" s="142"/>
      <c r="HY24" s="142"/>
      <c r="HZ24" s="142" t="str">
        <f>IFERROR(Calculations!BX24,"")</f>
        <v/>
      </c>
      <c r="IA24" s="142"/>
      <c r="IB24" s="142"/>
      <c r="IC24" s="142"/>
      <c r="ID24" s="142"/>
      <c r="IE24" s="142"/>
      <c r="IF24" s="142"/>
      <c r="IG24" s="142"/>
      <c r="IH24" s="142"/>
      <c r="II24" s="142"/>
      <c r="IJ24" s="142" t="str">
        <f>IFERROR(Calculations!BR24+IX24,"")</f>
        <v/>
      </c>
      <c r="IK24" s="142"/>
      <c r="IL24" s="142"/>
      <c r="IM24" s="142"/>
      <c r="IN24" s="142"/>
      <c r="IO24" s="142"/>
      <c r="IP24" s="142"/>
      <c r="IQ24" s="141">
        <v>0</v>
      </c>
      <c r="IR24" s="141"/>
      <c r="IS24" s="141"/>
      <c r="IT24" s="141"/>
      <c r="IU24" s="141"/>
      <c r="IV24" s="141"/>
      <c r="IW24" s="141"/>
      <c r="IX24" s="141">
        <v>0</v>
      </c>
      <c r="IY24" s="141"/>
      <c r="IZ24" s="141"/>
      <c r="JA24" s="141"/>
      <c r="JB24" s="141"/>
      <c r="JC24" s="141"/>
      <c r="JD24" s="141"/>
      <c r="JE24" s="141"/>
      <c r="JF24" s="142"/>
      <c r="JG24" s="142"/>
      <c r="JH24" s="142"/>
      <c r="JI24" s="142"/>
      <c r="JJ24" s="142"/>
      <c r="JK24" s="143" t="str">
        <f>Calculations!AS24</f>
        <v/>
      </c>
      <c r="JL24" s="143"/>
      <c r="JM24" s="143"/>
      <c r="JN24" s="143"/>
      <c r="JO24" s="143"/>
      <c r="JP24" s="143"/>
      <c r="JQ24" s="143"/>
      <c r="JR24" s="143"/>
      <c r="JS24" s="143"/>
      <c r="JT24" s="143"/>
      <c r="JU24" s="143"/>
      <c r="JV24" s="143"/>
      <c r="JW24" s="143"/>
      <c r="JX24" s="143"/>
      <c r="JY24" s="143"/>
      <c r="JZ24" s="143"/>
      <c r="KA24" s="143"/>
      <c r="KB24" s="143"/>
      <c r="KC24" s="143" t="str">
        <f>Calculations!AW24</f>
        <v/>
      </c>
      <c r="KD24" s="143"/>
      <c r="KE24" s="143"/>
      <c r="KF24" s="143"/>
      <c r="KG24" s="143"/>
      <c r="KH24" s="143"/>
      <c r="KI24" s="143"/>
      <c r="KJ24" s="143"/>
      <c r="KK24" s="143"/>
      <c r="KL24" s="143"/>
      <c r="KM24" s="143"/>
      <c r="KN24" s="143"/>
      <c r="KO24" s="143"/>
      <c r="KP24" s="143"/>
      <c r="KQ24" s="143"/>
      <c r="KR24" s="143"/>
      <c r="KS24" s="143"/>
      <c r="KT24" s="143"/>
      <c r="KU24" s="144" t="str">
        <f t="shared" si="7"/>
        <v/>
      </c>
      <c r="KV24" s="144"/>
      <c r="KW24" s="144"/>
      <c r="KX24" s="144"/>
      <c r="KY24" s="144"/>
      <c r="KZ24" s="144"/>
      <c r="LA24" s="144"/>
      <c r="LB24" s="144"/>
      <c r="LC24" s="144"/>
      <c r="LD24" s="144"/>
      <c r="LE24" s="144"/>
      <c r="LF24" s="144"/>
      <c r="LG24" s="144"/>
      <c r="LH24" s="144"/>
      <c r="LI24" s="144"/>
      <c r="LJ24" s="144"/>
      <c r="LK24" s="144"/>
      <c r="LL24" s="144"/>
      <c r="LM24" s="144"/>
      <c r="LN24" s="144"/>
      <c r="LO24" s="144"/>
      <c r="LP24" s="144"/>
      <c r="LQ24" s="144"/>
      <c r="LR24" s="144"/>
      <c r="LS24" s="144"/>
      <c r="LT24" s="144"/>
      <c r="LU24" s="144"/>
      <c r="LV24" s="144"/>
      <c r="LW24" s="144"/>
      <c r="LX24" s="144"/>
      <c r="LY24" s="144"/>
      <c r="LZ24" s="144"/>
      <c r="MA24" s="144"/>
      <c r="MB24" s="144"/>
      <c r="MC24" s="144"/>
      <c r="MD24" s="144"/>
      <c r="ME24" s="144"/>
      <c r="MF24" s="144"/>
      <c r="MG24" s="144"/>
      <c r="MH24" s="144"/>
      <c r="MI24" s="144"/>
      <c r="MJ24" s="144"/>
      <c r="MK24" s="144"/>
      <c r="ML24" s="144"/>
      <c r="MM24" s="144"/>
      <c r="MN24" s="144"/>
      <c r="MO24" s="144"/>
      <c r="MP24" s="144"/>
      <c r="MQ24" s="144"/>
      <c r="MR24" s="144"/>
      <c r="MS24" s="144"/>
      <c r="MT24" s="144"/>
      <c r="MU24" s="144"/>
      <c r="MV24" s="144"/>
      <c r="MW24" s="144"/>
      <c r="MX24" s="144"/>
      <c r="MY24" s="144"/>
      <c r="MZ24" s="145"/>
      <c r="NB24" s="144" t="s">
        <v>585</v>
      </c>
      <c r="NC24" s="144"/>
      <c r="ND24" s="144"/>
      <c r="NE24" s="144"/>
      <c r="NF24" s="144"/>
      <c r="NG24" s="144"/>
      <c r="NH24" s="144"/>
      <c r="NI24" s="144"/>
      <c r="NJ24" s="144"/>
      <c r="NK24" s="144"/>
      <c r="NL24" s="144"/>
      <c r="NM24" s="144"/>
      <c r="NN24" s="144"/>
      <c r="NO24" s="144"/>
      <c r="NP24" s="144"/>
      <c r="NQ24" s="144"/>
      <c r="NR24" s="144"/>
      <c r="NS24" s="144"/>
      <c r="NT24" s="144"/>
      <c r="NU24" s="144"/>
      <c r="NV24" s="144"/>
      <c r="NW24" s="144"/>
      <c r="NX24" s="144"/>
      <c r="NY24" s="144"/>
      <c r="NZ24" s="144"/>
      <c r="OA24" s="144"/>
      <c r="OB24" s="144"/>
      <c r="OC24" s="144"/>
      <c r="OD24" s="144"/>
      <c r="OE24" s="144"/>
      <c r="OF24" s="144"/>
      <c r="OG24" s="144"/>
      <c r="OH24" s="144"/>
      <c r="OI24" s="144"/>
      <c r="OJ24" s="144"/>
      <c r="OK24" s="144"/>
      <c r="OL24" s="144"/>
      <c r="OM24" s="144"/>
      <c r="ON24" s="144"/>
      <c r="OO24" s="144"/>
      <c r="OP24" s="144"/>
      <c r="OQ24" s="144"/>
      <c r="OR24" s="144"/>
      <c r="OS24" s="144"/>
      <c r="OT24" s="144"/>
      <c r="OU24" s="144"/>
      <c r="OV24" s="144"/>
      <c r="OW24" s="144"/>
      <c r="OX24" s="144"/>
      <c r="OY24" s="144"/>
      <c r="OZ24" s="144"/>
      <c r="PA24" s="144"/>
      <c r="PB24" s="144"/>
      <c r="PC24" s="144"/>
      <c r="PD24" s="144"/>
      <c r="PE24" s="144"/>
      <c r="PF24" s="144"/>
      <c r="PG24" s="144"/>
      <c r="PH24" s="144"/>
      <c r="PI24" s="144"/>
      <c r="PJ24" s="144"/>
      <c r="PK24" s="144"/>
      <c r="PL24" s="144"/>
      <c r="PM24" s="144"/>
      <c r="PN24" s="144"/>
      <c r="PO24" s="144"/>
      <c r="PP24" s="144"/>
      <c r="PQ24" s="144"/>
      <c r="PR24" s="144"/>
      <c r="PS24" s="144"/>
      <c r="PT24" s="144"/>
      <c r="PU24" s="144"/>
      <c r="PV24" s="144"/>
      <c r="PW24" s="144"/>
      <c r="PX24" s="144"/>
      <c r="PY24" s="144"/>
      <c r="PZ24" s="144"/>
      <c r="QA24" s="144"/>
      <c r="QB24" s="144"/>
      <c r="QC24" s="144"/>
      <c r="QD24" s="144"/>
      <c r="QE24" s="144"/>
      <c r="QF24" s="144"/>
      <c r="QG24" s="144"/>
      <c r="QH24" s="144"/>
      <c r="QI24" s="144"/>
      <c r="QJ24" s="144"/>
      <c r="QK24" s="144"/>
      <c r="QL24" s="144"/>
      <c r="QM24" s="144"/>
      <c r="QN24" s="144"/>
      <c r="QO24" s="144"/>
      <c r="QP24" s="144"/>
      <c r="AIT24" s="128" t="s">
        <v>204</v>
      </c>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9"/>
      <c r="AJZ24" s="129"/>
      <c r="AKA24" s="129"/>
      <c r="AKB24" s="129"/>
      <c r="AKC24" s="129"/>
      <c r="AKD24" s="129"/>
      <c r="AKE24" s="129"/>
      <c r="AKF24" s="129"/>
      <c r="AKG24" s="129"/>
      <c r="AKH24" s="129"/>
      <c r="AKI24" s="129"/>
      <c r="AKJ24" s="129"/>
      <c r="AKK24" s="129"/>
      <c r="AKL24" s="129"/>
      <c r="AKM24" s="129"/>
      <c r="AKN24" s="129"/>
      <c r="AKO24" s="129"/>
      <c r="AKP24" s="129"/>
      <c r="AKQ24" s="129"/>
      <c r="AKR24" s="129"/>
      <c r="AKS24" s="129"/>
      <c r="AKT24" s="128"/>
      <c r="AKU24" s="128"/>
      <c r="AKV24" s="128"/>
      <c r="AKW24" s="128"/>
      <c r="AKX24" s="128"/>
      <c r="AKY24" s="128"/>
      <c r="AKZ24" s="129"/>
      <c r="ALA24" s="129"/>
      <c r="ALB24" s="129"/>
      <c r="ALC24" s="129"/>
      <c r="ALD24" s="129"/>
      <c r="ALE24" s="129"/>
      <c r="ALF24" s="129"/>
      <c r="ALG24" s="129"/>
      <c r="ALH24" s="129"/>
      <c r="ALI24" s="129"/>
      <c r="ALJ24" s="129"/>
      <c r="ALK24" s="129"/>
      <c r="ALL24" s="129"/>
      <c r="ALM24" s="129"/>
      <c r="ALN24" s="129"/>
      <c r="ALO24" s="129"/>
      <c r="ALP24" s="129"/>
      <c r="ALQ24" s="129"/>
      <c r="ALR24" s="129"/>
      <c r="ALS24" s="129"/>
      <c r="ALT24" s="129"/>
      <c r="ALU24" s="129"/>
      <c r="ALV24" s="129"/>
      <c r="ALW24" s="129"/>
      <c r="ALX24" s="129"/>
      <c r="ALY24" s="129"/>
      <c r="ALZ24" s="129"/>
      <c r="AMA24" s="129"/>
      <c r="AMB24" s="128"/>
      <c r="AMC24" s="128"/>
      <c r="AMD24" s="128"/>
      <c r="AME24" s="128"/>
      <c r="AMF24" s="128"/>
      <c r="AMG24" s="128"/>
      <c r="AMH24" s="128"/>
      <c r="APZ24" s="128" t="s">
        <v>245</v>
      </c>
      <c r="AQA24" s="128"/>
      <c r="AQB24" s="128"/>
      <c r="AQC24" s="128"/>
      <c r="AQD24" s="128"/>
      <c r="AQE24" s="128"/>
      <c r="AQF24" s="128"/>
      <c r="AQG24" s="128"/>
      <c r="AQH24" s="128"/>
      <c r="AQI24" s="128"/>
      <c r="AQJ24" s="128"/>
      <c r="AQK24" s="128"/>
      <c r="AQL24" s="128"/>
      <c r="AQM24" s="128"/>
      <c r="AQN24" s="128"/>
      <c r="AQO24" s="128"/>
      <c r="AQP24" s="128"/>
      <c r="AQQ24" s="128"/>
      <c r="AQR24" s="128"/>
      <c r="AQS24" s="128"/>
      <c r="AQT24" s="128"/>
      <c r="AQU24" s="128"/>
      <c r="AQV24" s="128"/>
      <c r="AQW24" s="128"/>
      <c r="AQX24" s="128"/>
      <c r="AQY24" s="128"/>
      <c r="AQZ24" s="128"/>
      <c r="ARA24" s="128"/>
      <c r="ARB24" s="128"/>
      <c r="ARC24" s="128"/>
      <c r="ARD24" s="128"/>
      <c r="ARE24" s="129"/>
      <c r="ARF24" s="129"/>
      <c r="ARG24" s="129"/>
      <c r="ARH24" s="129"/>
      <c r="ARI24" s="129"/>
      <c r="ARJ24" s="129"/>
      <c r="ARK24" s="129"/>
      <c r="ARL24" s="129"/>
      <c r="ARM24" s="129"/>
      <c r="ARN24" s="129"/>
      <c r="ARO24" s="129"/>
      <c r="ARP24" s="129"/>
      <c r="ARQ24" s="129"/>
      <c r="ARR24" s="129"/>
      <c r="ARS24" s="129"/>
      <c r="ART24" s="129"/>
      <c r="ARU24" s="129"/>
      <c r="ARV24" s="129"/>
      <c r="ARW24" s="129"/>
      <c r="ARX24" s="129"/>
      <c r="ARY24" s="129"/>
      <c r="ARZ24" s="128"/>
      <c r="ASA24" s="128"/>
      <c r="ASB24" s="128"/>
      <c r="ASC24" s="128"/>
      <c r="ASD24" s="128"/>
      <c r="ASE24" s="128"/>
      <c r="ASF24" s="129"/>
      <c r="ASG24" s="129"/>
      <c r="ASH24" s="129"/>
      <c r="ASI24" s="129"/>
      <c r="ASJ24" s="129"/>
      <c r="ASK24" s="129"/>
      <c r="ASL24" s="129"/>
      <c r="ASM24" s="129"/>
      <c r="ASN24" s="129"/>
      <c r="ASO24" s="129"/>
      <c r="ASP24" s="129"/>
      <c r="ASQ24" s="129"/>
      <c r="ASR24" s="129"/>
      <c r="ASS24" s="129"/>
      <c r="AST24" s="129"/>
      <c r="ASU24" s="129"/>
      <c r="ASV24" s="129"/>
      <c r="ASW24" s="129"/>
      <c r="ASX24" s="129"/>
      <c r="ASY24" s="129"/>
      <c r="ASZ24" s="129"/>
      <c r="ATA24" s="129"/>
      <c r="ATB24" s="129"/>
      <c r="ATC24" s="129"/>
      <c r="ATD24" s="129"/>
      <c r="ATE24" s="129"/>
      <c r="ATF24" s="129"/>
      <c r="ATG24" s="129"/>
      <c r="ATH24" s="128"/>
      <c r="ATI24" s="128"/>
      <c r="ATJ24" s="128"/>
      <c r="ATK24" s="128"/>
      <c r="ATL24" s="128"/>
      <c r="ATM24" s="128"/>
      <c r="ATN24" s="128"/>
      <c r="AXF24" s="128" t="s">
        <v>277</v>
      </c>
      <c r="AXG24" s="128"/>
      <c r="AXH24" s="128"/>
      <c r="AXI24" s="128"/>
      <c r="AXJ24" s="128"/>
      <c r="AXK24" s="128"/>
      <c r="AXL24" s="128"/>
      <c r="AXM24" s="128"/>
      <c r="AXN24" s="128"/>
      <c r="AXO24" s="128"/>
      <c r="AXP24" s="128"/>
      <c r="AXQ24" s="128"/>
      <c r="AXR24" s="128"/>
      <c r="AXS24" s="128"/>
      <c r="AXT24" s="128"/>
      <c r="AXU24" s="128"/>
      <c r="AXV24" s="128"/>
      <c r="AXW24" s="128"/>
      <c r="AXX24" s="128"/>
      <c r="AXY24" s="128"/>
      <c r="AXZ24" s="128"/>
      <c r="AYA24" s="128"/>
      <c r="AYB24" s="128"/>
      <c r="AYC24" s="128"/>
      <c r="AYD24" s="128"/>
      <c r="AYE24" s="128"/>
      <c r="AYF24" s="128"/>
      <c r="AYG24" s="128"/>
      <c r="AYH24" s="128"/>
      <c r="AYI24" s="128"/>
      <c r="AYJ24" s="128"/>
      <c r="AYK24" s="129"/>
      <c r="AYL24" s="129"/>
      <c r="AYM24" s="129"/>
      <c r="AYN24" s="129"/>
      <c r="AYO24" s="129"/>
      <c r="AYP24" s="129"/>
      <c r="AYQ24" s="129"/>
      <c r="AYR24" s="129"/>
      <c r="AYS24" s="129"/>
      <c r="AYT24" s="129"/>
      <c r="AYU24" s="129"/>
      <c r="AYV24" s="129"/>
      <c r="AYW24" s="129"/>
      <c r="AYX24" s="129"/>
      <c r="AYY24" s="129"/>
      <c r="AYZ24" s="129"/>
      <c r="AZA24" s="129"/>
      <c r="AZB24" s="129"/>
      <c r="AZC24" s="129"/>
      <c r="AZD24" s="129"/>
      <c r="AZE24" s="129"/>
      <c r="AZF24" s="128"/>
      <c r="AZG24" s="128"/>
      <c r="AZH24" s="128"/>
      <c r="AZI24" s="128"/>
      <c r="AZJ24" s="128"/>
      <c r="AZK24" s="128"/>
      <c r="AZL24" s="129"/>
      <c r="AZM24" s="129"/>
      <c r="AZN24" s="129"/>
      <c r="AZO24" s="129"/>
      <c r="AZP24" s="129"/>
      <c r="AZQ24" s="129"/>
      <c r="AZR24" s="129"/>
      <c r="AZS24" s="129"/>
      <c r="AZT24" s="129"/>
      <c r="AZU24" s="129"/>
      <c r="AZV24" s="129"/>
      <c r="AZW24" s="129"/>
      <c r="AZX24" s="129"/>
      <c r="AZY24" s="129"/>
      <c r="AZZ24" s="129"/>
      <c r="BAA24" s="129"/>
      <c r="BAB24" s="129"/>
      <c r="BAC24" s="129"/>
      <c r="BAD24" s="129"/>
      <c r="BAE24" s="129"/>
      <c r="BAF24" s="129"/>
      <c r="BAG24" s="129"/>
      <c r="BAH24" s="129"/>
      <c r="BAI24" s="129"/>
      <c r="BAJ24" s="129"/>
      <c r="BAK24" s="129"/>
      <c r="BAL24" s="129"/>
      <c r="BAM24" s="129"/>
      <c r="BAN24" s="128"/>
      <c r="BAO24" s="128"/>
      <c r="BAP24" s="128"/>
      <c r="BAQ24" s="128"/>
      <c r="BAR24" s="128"/>
      <c r="BAS24" s="128"/>
      <c r="BAT24" s="128"/>
      <c r="BAV24" s="128" t="s">
        <v>295</v>
      </c>
      <c r="BAW24" s="128"/>
      <c r="BAX24" s="128"/>
      <c r="BAY24" s="128"/>
      <c r="BAZ24" s="128"/>
      <c r="BBA24" s="128"/>
      <c r="BBB24" s="128"/>
      <c r="BBC24" s="128"/>
      <c r="BBD24" s="128"/>
      <c r="BBE24" s="128"/>
      <c r="BBF24" s="128"/>
      <c r="BBG24" s="128"/>
      <c r="BBH24" s="128"/>
      <c r="BBI24" s="128"/>
      <c r="BBJ24" s="128"/>
      <c r="BBK24" s="128"/>
      <c r="BBL24" s="128"/>
      <c r="BBM24" s="128"/>
      <c r="BBN24" s="128"/>
      <c r="BBO24" s="128"/>
      <c r="BBP24" s="128"/>
      <c r="BBQ24" s="128"/>
      <c r="BBR24" s="128"/>
      <c r="BBS24" s="128"/>
      <c r="BBT24" s="128"/>
      <c r="BBU24" s="128"/>
      <c r="BBV24" s="128"/>
      <c r="BBW24" s="128"/>
      <c r="BBX24" s="128"/>
      <c r="BBY24" s="128"/>
      <c r="BBZ24" s="128"/>
      <c r="BCA24" s="129"/>
      <c r="BCB24" s="129"/>
      <c r="BCC24" s="129"/>
      <c r="BCD24" s="129"/>
      <c r="BCE24" s="129"/>
      <c r="BCF24" s="129"/>
      <c r="BCG24" s="129"/>
      <c r="BCH24" s="129"/>
      <c r="BCI24" s="129"/>
      <c r="BCJ24" s="129"/>
      <c r="BCK24" s="129"/>
      <c r="BCL24" s="129"/>
      <c r="BCM24" s="129"/>
      <c r="BCN24" s="129"/>
      <c r="BCO24" s="129"/>
      <c r="BCP24" s="129"/>
      <c r="BCQ24" s="129"/>
      <c r="BCR24" s="129"/>
      <c r="BCS24" s="129"/>
      <c r="BCT24" s="129"/>
      <c r="BCU24" s="129"/>
      <c r="BCV24" s="128"/>
      <c r="BCW24" s="128"/>
      <c r="BCX24" s="128"/>
      <c r="BCY24" s="128"/>
      <c r="BCZ24" s="128"/>
      <c r="BDA24" s="128"/>
      <c r="BDB24" s="129"/>
      <c r="BDC24" s="129"/>
      <c r="BDD24" s="129"/>
      <c r="BDE24" s="129"/>
      <c r="BDF24" s="129"/>
      <c r="BDG24" s="129"/>
      <c r="BDH24" s="129"/>
      <c r="BDI24" s="129"/>
      <c r="BDJ24" s="129"/>
      <c r="BDK24" s="129"/>
      <c r="BDL24" s="129"/>
      <c r="BDM24" s="129"/>
      <c r="BDN24" s="129"/>
      <c r="BDO24" s="129"/>
      <c r="BDP24" s="129"/>
      <c r="BDQ24" s="129"/>
      <c r="BDR24" s="129"/>
      <c r="BDS24" s="129"/>
      <c r="BDT24" s="129"/>
      <c r="BDU24" s="129"/>
      <c r="BDV24" s="129"/>
      <c r="BDW24" s="129"/>
      <c r="BDX24" s="129"/>
      <c r="BDY24" s="129"/>
      <c r="BDZ24" s="129"/>
      <c r="BEA24" s="129"/>
      <c r="BEB24" s="129"/>
      <c r="BEC24" s="129"/>
      <c r="BED24" s="128"/>
      <c r="BEE24" s="128"/>
      <c r="BEF24" s="128"/>
      <c r="BEG24" s="128"/>
      <c r="BEH24" s="128"/>
      <c r="BEI24" s="128"/>
      <c r="BEJ24" s="128"/>
      <c r="BLR24" s="128"/>
      <c r="BLS24" s="128"/>
      <c r="BLT24" s="128"/>
      <c r="BLU24" s="128"/>
      <c r="BLV24" s="128"/>
      <c r="BLW24" s="128"/>
      <c r="BLX24" s="128"/>
      <c r="BLY24" s="128"/>
      <c r="BLZ24" s="128"/>
      <c r="BMA24" s="128"/>
      <c r="BMB24" s="128"/>
      <c r="BMC24" s="128"/>
      <c r="BMD24" s="128"/>
      <c r="BME24" s="128"/>
      <c r="BMF24" s="128"/>
      <c r="BMG24" s="128"/>
      <c r="BMH24" s="128"/>
      <c r="BMI24" s="128"/>
      <c r="BMJ24" s="128"/>
      <c r="BMK24" s="128"/>
      <c r="BML24" s="128"/>
      <c r="BMM24" s="128"/>
      <c r="BMN24" s="128"/>
      <c r="BMO24" s="128"/>
      <c r="BMP24" s="128"/>
      <c r="BMQ24" s="128"/>
      <c r="BMR24" s="128"/>
      <c r="BMS24" s="128"/>
      <c r="BMT24" s="128"/>
      <c r="BMU24" s="128"/>
      <c r="BMV24" s="128"/>
      <c r="BMW24" s="129"/>
      <c r="BMX24" s="129"/>
      <c r="BMY24" s="129"/>
      <c r="BMZ24" s="129"/>
      <c r="BNA24" s="129"/>
      <c r="BNB24" s="129"/>
      <c r="BNC24" s="129"/>
      <c r="BND24" s="129"/>
      <c r="BNE24" s="129"/>
      <c r="BNF24" s="129"/>
      <c r="BNG24" s="129"/>
      <c r="BNH24" s="129"/>
      <c r="BNI24" s="129"/>
      <c r="BNJ24" s="129"/>
      <c r="BNK24" s="129"/>
      <c r="BNL24" s="129"/>
      <c r="BNM24" s="129"/>
      <c r="BNN24" s="129"/>
      <c r="BNO24" s="129"/>
      <c r="BNP24" s="129"/>
      <c r="BNQ24" s="129"/>
      <c r="BNR24" s="128"/>
      <c r="BNS24" s="128"/>
      <c r="BNT24" s="128"/>
      <c r="BNU24" s="128"/>
      <c r="BNV24" s="128"/>
      <c r="BNW24" s="128"/>
      <c r="BNX24" s="129"/>
      <c r="BNY24" s="129"/>
      <c r="BNZ24" s="129"/>
      <c r="BOA24" s="129"/>
      <c r="BOB24" s="129"/>
      <c r="BOC24" s="129"/>
      <c r="BOD24" s="129"/>
      <c r="BOE24" s="129"/>
      <c r="BOF24" s="129"/>
      <c r="BOG24" s="129"/>
      <c r="BOH24" s="129"/>
      <c r="BOI24" s="129"/>
      <c r="BOJ24" s="129"/>
      <c r="BOK24" s="129"/>
      <c r="BOL24" s="129"/>
      <c r="BOM24" s="129"/>
      <c r="BON24" s="129"/>
      <c r="BOO24" s="129"/>
      <c r="BOP24" s="129"/>
      <c r="BOQ24" s="129"/>
      <c r="BOR24" s="129"/>
      <c r="BOS24" s="129"/>
      <c r="BOT24" s="129"/>
      <c r="BOU24" s="129"/>
      <c r="BOV24" s="129"/>
      <c r="BOW24" s="129"/>
      <c r="BOX24" s="129"/>
      <c r="BOY24" s="129"/>
      <c r="BOZ24" s="128"/>
      <c r="BPA24" s="128"/>
      <c r="BPB24" s="128"/>
      <c r="BPC24" s="128"/>
      <c r="BPD24" s="128"/>
      <c r="BPE24" s="128"/>
      <c r="BPF24" s="128"/>
      <c r="CSF24" s="128" t="s">
        <v>449</v>
      </c>
      <c r="CSG24" s="128"/>
      <c r="CSH24" s="128"/>
      <c r="CSI24" s="128"/>
      <c r="CSJ24" s="128"/>
      <c r="CSK24" s="128"/>
      <c r="CSL24" s="128"/>
      <c r="CSM24" s="128"/>
      <c r="CSN24" s="128"/>
      <c r="CSO24" s="128"/>
      <c r="CSP24" s="128"/>
      <c r="CSQ24" s="128"/>
      <c r="CSR24" s="128"/>
      <c r="CSS24" s="128"/>
      <c r="CST24" s="128"/>
      <c r="CSU24" s="128"/>
      <c r="CSV24" s="128"/>
      <c r="CSW24" s="128"/>
      <c r="CSX24" s="128"/>
      <c r="CSY24" s="128"/>
      <c r="CSZ24" s="128"/>
      <c r="CTA24" s="128"/>
      <c r="CTB24" s="128"/>
      <c r="CTC24" s="128"/>
      <c r="CTD24" s="128"/>
      <c r="CTE24" s="128"/>
      <c r="CTF24" s="128"/>
      <c r="CTG24" s="128"/>
      <c r="CTH24" s="128"/>
      <c r="CTI24" s="128"/>
      <c r="CTJ24" s="128"/>
      <c r="CTK24" s="129"/>
      <c r="CTL24" s="129"/>
      <c r="CTM24" s="129"/>
      <c r="CTN24" s="129"/>
      <c r="CTO24" s="129"/>
      <c r="CTP24" s="129"/>
      <c r="CTQ24" s="129"/>
      <c r="CTR24" s="129"/>
      <c r="CTS24" s="129"/>
      <c r="CTT24" s="129"/>
      <c r="CTU24" s="129"/>
      <c r="CTV24" s="129"/>
      <c r="CTW24" s="129"/>
      <c r="CTX24" s="129"/>
      <c r="CTY24" s="129"/>
      <c r="CTZ24" s="129"/>
      <c r="CUA24" s="129"/>
      <c r="CUB24" s="129"/>
      <c r="CUC24" s="129"/>
      <c r="CUD24" s="129"/>
      <c r="CUE24" s="129"/>
      <c r="CUF24" s="128"/>
      <c r="CUG24" s="128"/>
      <c r="CUH24" s="128"/>
      <c r="CUI24" s="128"/>
      <c r="CUJ24" s="128"/>
      <c r="CUK24" s="128"/>
      <c r="CUL24" s="129"/>
      <c r="CUM24" s="129"/>
      <c r="CUN24" s="129"/>
      <c r="CUO24" s="129"/>
      <c r="CUP24" s="129"/>
      <c r="CUQ24" s="129"/>
      <c r="CUR24" s="129"/>
      <c r="CUS24" s="129"/>
      <c r="CUT24" s="129"/>
      <c r="CUU24" s="129"/>
      <c r="CUV24" s="129"/>
      <c r="CUW24" s="129"/>
      <c r="CUX24" s="129"/>
      <c r="CUY24" s="129"/>
      <c r="CUZ24" s="129"/>
      <c r="CVA24" s="129"/>
      <c r="CVB24" s="129"/>
      <c r="CVC24" s="129"/>
      <c r="CVD24" s="129"/>
      <c r="CVE24" s="129"/>
      <c r="CVF24" s="129"/>
      <c r="CVG24" s="129"/>
      <c r="CVH24" s="129"/>
      <c r="CVI24" s="129"/>
      <c r="CVJ24" s="129"/>
      <c r="CVK24" s="129"/>
      <c r="CVL24" s="129"/>
      <c r="CVM24" s="129"/>
      <c r="CVN24" s="128"/>
      <c r="CVO24" s="128"/>
      <c r="CVP24" s="128"/>
      <c r="CVQ24" s="128"/>
      <c r="CVR24" s="128"/>
      <c r="CVS24" s="128"/>
      <c r="CVT24" s="128"/>
      <c r="DDB24" s="144" t="s">
        <v>147</v>
      </c>
      <c r="DDC24" s="144"/>
      <c r="DDD24" s="144"/>
      <c r="DDE24" s="144"/>
      <c r="DDF24" s="144"/>
      <c r="DDG24" s="144"/>
      <c r="DDH24" s="144"/>
      <c r="DDI24" s="144"/>
      <c r="DDJ24" s="144"/>
      <c r="DDK24" s="144"/>
      <c r="DDL24" s="144"/>
      <c r="DDM24" s="144"/>
      <c r="DDN24" s="144"/>
      <c r="DDO24" s="144"/>
      <c r="DDP24" s="144"/>
      <c r="DDQ24" s="144"/>
      <c r="DDR24" s="144"/>
      <c r="DDS24" s="144"/>
      <c r="DDT24" s="144"/>
      <c r="DDU24" s="144"/>
      <c r="DDV24" s="144"/>
      <c r="DDW24" s="144"/>
      <c r="DDX24" s="144"/>
      <c r="DDY24" s="144"/>
      <c r="DDZ24" s="144"/>
      <c r="DEA24" s="144"/>
      <c r="DEB24" s="144"/>
      <c r="DEC24" s="144"/>
      <c r="DED24" s="144"/>
      <c r="DEE24" s="144"/>
      <c r="DEF24" s="144"/>
      <c r="DEG24" s="129" t="s">
        <v>133</v>
      </c>
      <c r="DEH24" s="129"/>
      <c r="DEI24" s="129"/>
      <c r="DEJ24" s="129"/>
      <c r="DEK24" s="129" t="s">
        <v>148</v>
      </c>
      <c r="DEL24" s="129"/>
      <c r="DEM24" s="129"/>
      <c r="DEN24" s="129"/>
      <c r="DEO24" s="129"/>
      <c r="DEP24" s="129" t="s">
        <v>83</v>
      </c>
      <c r="DEQ24" s="129"/>
      <c r="DER24" s="129"/>
      <c r="DES24" s="129"/>
      <c r="DET24" s="129"/>
      <c r="DEU24" s="129"/>
      <c r="DEV24" s="129" t="s">
        <v>37</v>
      </c>
      <c r="DEW24" s="129"/>
      <c r="DEX24" s="129"/>
      <c r="DEY24" s="129"/>
      <c r="DEZ24" s="129"/>
      <c r="DFA24" s="129"/>
      <c r="DFB24" s="129" t="s">
        <v>49</v>
      </c>
      <c r="DFC24" s="129"/>
      <c r="DFD24" s="129"/>
      <c r="DFE24" s="129"/>
      <c r="DFF24" s="129"/>
      <c r="DFG24" s="129"/>
      <c r="DFH24" s="129" t="s">
        <v>149</v>
      </c>
      <c r="DFI24" s="129"/>
      <c r="DFJ24" s="129"/>
      <c r="DFK24" s="129"/>
      <c r="DFL24" s="129"/>
      <c r="DFM24" s="129"/>
      <c r="DFN24" s="129"/>
      <c r="DFO24" s="129" t="s">
        <v>150</v>
      </c>
      <c r="DFP24" s="129"/>
      <c r="DFQ24" s="129"/>
      <c r="DFR24" s="129"/>
      <c r="DFS24" s="129"/>
      <c r="DFT24" s="129"/>
      <c r="DFU24" s="129"/>
      <c r="DFV24" s="129" t="s">
        <v>151</v>
      </c>
      <c r="DFW24" s="129"/>
      <c r="DFX24" s="129"/>
      <c r="DFY24" s="129"/>
      <c r="DFZ24" s="129"/>
      <c r="DGA24" s="129"/>
      <c r="DGB24" s="129"/>
      <c r="DGC24" s="129" t="s">
        <v>37</v>
      </c>
      <c r="DGD24" s="129"/>
      <c r="DGE24" s="129"/>
      <c r="DGF24" s="129"/>
      <c r="DGG24" s="129"/>
      <c r="DGH24" s="129"/>
      <c r="DGI24" s="129"/>
      <c r="DGJ24" s="129" t="s">
        <v>40</v>
      </c>
      <c r="DGK24" s="129"/>
      <c r="DGL24" s="129"/>
      <c r="DGM24" s="129"/>
      <c r="DGN24" s="129"/>
      <c r="DGO24" s="129"/>
      <c r="DGP24" s="129"/>
      <c r="DGR24" s="128" t="s">
        <v>573</v>
      </c>
      <c r="DGS24" s="128"/>
      <c r="DGT24" s="128"/>
      <c r="DGU24" s="128"/>
      <c r="DGV24" s="128"/>
      <c r="DGW24" s="128"/>
      <c r="DGX24" s="128"/>
      <c r="DGY24" s="128"/>
      <c r="DGZ24" s="128"/>
      <c r="DHA24" s="128"/>
      <c r="DHB24" s="128"/>
      <c r="DHC24" s="128"/>
      <c r="DHD24" s="128"/>
      <c r="DHE24" s="128"/>
      <c r="DHF24" s="128"/>
      <c r="DHG24" s="128"/>
      <c r="DHH24" s="128"/>
      <c r="DHI24" s="128"/>
      <c r="DHJ24" s="128"/>
      <c r="DHK24" s="128"/>
      <c r="DHL24" s="128"/>
      <c r="DHM24" s="128"/>
      <c r="DHN24" s="128"/>
      <c r="DHO24" s="128"/>
      <c r="DHP24" s="128"/>
      <c r="DHQ24" s="128"/>
      <c r="DHR24" s="128"/>
      <c r="DHS24" s="128"/>
      <c r="DHT24" s="128"/>
      <c r="DHU24" s="128"/>
      <c r="DHV24" s="128"/>
      <c r="DHW24" s="129"/>
      <c r="DHX24" s="129"/>
      <c r="DHY24" s="129"/>
      <c r="DHZ24" s="129"/>
      <c r="DIA24" s="129"/>
      <c r="DIB24" s="129"/>
      <c r="DIC24" s="129"/>
      <c r="DID24" s="129"/>
      <c r="DIE24" s="129"/>
      <c r="DIF24" s="129"/>
      <c r="DIG24" s="129"/>
      <c r="DIH24" s="129"/>
      <c r="DII24" s="129"/>
      <c r="DIJ24" s="129"/>
      <c r="DIK24" s="129"/>
      <c r="DIL24" s="129"/>
      <c r="DIM24" s="129"/>
      <c r="DIN24" s="129"/>
      <c r="DIO24" s="129"/>
      <c r="DIP24" s="129"/>
      <c r="DIQ24" s="129"/>
      <c r="DIR24" s="128"/>
      <c r="DIS24" s="128"/>
      <c r="DIT24" s="128"/>
      <c r="DIU24" s="128"/>
      <c r="DIV24" s="128"/>
      <c r="DIW24" s="128"/>
      <c r="DIX24" s="129"/>
      <c r="DIY24" s="129"/>
      <c r="DIZ24" s="129"/>
      <c r="DJA24" s="129"/>
      <c r="DJB24" s="129"/>
      <c r="DJC24" s="129"/>
      <c r="DJD24" s="129"/>
      <c r="DJE24" s="129"/>
      <c r="DJF24" s="129"/>
      <c r="DJG24" s="129"/>
      <c r="DJH24" s="129"/>
      <c r="DJI24" s="129"/>
      <c r="DJJ24" s="129"/>
      <c r="DJK24" s="129"/>
      <c r="DJL24" s="129"/>
      <c r="DJM24" s="129"/>
      <c r="DJN24" s="129"/>
      <c r="DJO24" s="129"/>
      <c r="DJP24" s="129"/>
      <c r="DJQ24" s="129"/>
      <c r="DJR24" s="129"/>
      <c r="DJS24" s="129"/>
      <c r="DJT24" s="129"/>
      <c r="DJU24" s="129"/>
      <c r="DJV24" s="129"/>
      <c r="DJW24" s="129"/>
      <c r="DJX24" s="129"/>
      <c r="DJY24" s="129"/>
      <c r="DJZ24" s="128"/>
      <c r="DKA24" s="128"/>
      <c r="DKB24" s="128"/>
      <c r="DKC24" s="128"/>
      <c r="DKD24" s="128"/>
      <c r="DKE24" s="128"/>
      <c r="DKF24" s="128"/>
    </row>
    <row r="25" spans="2:1022 1118:1774 2152:2996" ht="15" customHeight="1" x14ac:dyDescent="0.25">
      <c r="B25" s="243"/>
      <c r="C25" s="203"/>
      <c r="D25" s="203"/>
      <c r="E25" s="236" t="s">
        <v>53</v>
      </c>
      <c r="F25" s="236"/>
      <c r="G25" s="236"/>
      <c r="H25" s="236"/>
      <c r="I25" s="236"/>
      <c r="J25" s="236"/>
      <c r="K25" s="236"/>
      <c r="L25" s="236"/>
      <c r="M25" s="236"/>
      <c r="N25" s="236"/>
      <c r="O25" s="236"/>
      <c r="P25" s="236"/>
      <c r="Q25" s="236"/>
      <c r="R25" s="236"/>
      <c r="S25" s="236"/>
      <c r="T25" s="236"/>
      <c r="U25" s="236"/>
      <c r="V25" s="236"/>
      <c r="W25" s="236"/>
      <c r="X25" s="236"/>
      <c r="Y25" s="236"/>
      <c r="Z25" s="236"/>
      <c r="AA25" s="236"/>
      <c r="AB25" s="236"/>
      <c r="AC25" s="236"/>
      <c r="AD25" s="236"/>
      <c r="AE25" s="236"/>
      <c r="AF25" s="236"/>
      <c r="AG25" s="202" t="s">
        <v>54</v>
      </c>
      <c r="AH25" s="203"/>
      <c r="AI25" s="203"/>
      <c r="AJ25" s="203"/>
      <c r="AK25" s="203"/>
      <c r="AL25" s="203"/>
      <c r="AM25" s="203"/>
      <c r="AN25" s="203"/>
      <c r="AO25" s="203"/>
      <c r="AP25" s="203"/>
      <c r="AQ25" s="203"/>
      <c r="AR25" s="203"/>
      <c r="AS25" s="203"/>
      <c r="AT25" s="203"/>
      <c r="AU25" s="203"/>
      <c r="AV25" s="203"/>
      <c r="AW25" s="203"/>
      <c r="AX25" s="203"/>
      <c r="AY25" s="203"/>
      <c r="AZ25" s="203"/>
      <c r="BA25" s="204"/>
      <c r="BB25" s="203" t="s">
        <v>56</v>
      </c>
      <c r="BC25" s="203"/>
      <c r="BD25" s="203"/>
      <c r="BE25" s="203"/>
      <c r="BF25" s="203"/>
      <c r="BG25" s="203"/>
      <c r="BH25" s="203"/>
      <c r="BI25" s="203" t="s">
        <v>57</v>
      </c>
      <c r="BJ25" s="203"/>
      <c r="BK25" s="203"/>
      <c r="BL25" s="203"/>
      <c r="BM25" s="203"/>
      <c r="BN25" s="203"/>
      <c r="BO25" s="203"/>
      <c r="BP25" s="203"/>
      <c r="BQ25" s="203" t="s">
        <v>58</v>
      </c>
      <c r="BR25" s="203"/>
      <c r="BS25" s="203"/>
      <c r="BT25" s="203"/>
      <c r="BU25" s="203"/>
      <c r="BV25" s="203"/>
      <c r="BW25" s="203"/>
      <c r="BX25" s="203"/>
      <c r="BY25" s="203" t="s">
        <v>59</v>
      </c>
      <c r="BZ25" s="203"/>
      <c r="CA25" s="203"/>
      <c r="CB25" s="203"/>
      <c r="CC25" s="203"/>
      <c r="CD25" s="203"/>
      <c r="CE25" s="203"/>
      <c r="CF25" s="203"/>
      <c r="CG25" s="203" t="s">
        <v>55</v>
      </c>
      <c r="CH25" s="203"/>
      <c r="CI25" s="203"/>
      <c r="CJ25" s="203"/>
      <c r="CK25" s="203"/>
      <c r="CL25" s="203"/>
      <c r="CM25" s="203"/>
      <c r="CN25" s="203"/>
      <c r="CO25" s="203" t="s">
        <v>60</v>
      </c>
      <c r="CP25" s="203"/>
      <c r="CQ25" s="203"/>
      <c r="CR25" s="203"/>
      <c r="CS25" s="203"/>
      <c r="CT25" s="203"/>
      <c r="CU25" s="203"/>
      <c r="CV25" s="203"/>
      <c r="CW25" s="203" t="s">
        <v>61</v>
      </c>
      <c r="CX25" s="203"/>
      <c r="CY25" s="203"/>
      <c r="CZ25" s="203"/>
      <c r="DA25" s="203"/>
      <c r="DB25" s="203"/>
      <c r="DC25" s="203"/>
      <c r="DD25" s="203"/>
      <c r="DE25" s="205" t="s">
        <v>62</v>
      </c>
      <c r="DF25" s="206"/>
      <c r="DG25" s="206"/>
      <c r="DH25" s="206"/>
      <c r="DI25" s="206"/>
      <c r="DJ25" s="206"/>
      <c r="DK25" s="206"/>
      <c r="DL25" s="206"/>
      <c r="DM25" s="205" t="s">
        <v>63</v>
      </c>
      <c r="DN25" s="206"/>
      <c r="DO25" s="206"/>
      <c r="DP25" s="206"/>
      <c r="DQ25" s="206"/>
      <c r="DR25" s="206"/>
      <c r="DS25" s="206"/>
      <c r="DT25" s="206"/>
      <c r="DU25" s="206">
        <v>-10</v>
      </c>
      <c r="DV25" s="206"/>
      <c r="DW25" s="206"/>
      <c r="DX25" s="206"/>
      <c r="DY25" s="206"/>
      <c r="DZ25" s="206"/>
      <c r="EA25" s="206"/>
      <c r="EB25" s="206"/>
      <c r="EC25" s="206">
        <v>-25</v>
      </c>
      <c r="ED25" s="206"/>
      <c r="EE25" s="206"/>
      <c r="EF25" s="206"/>
      <c r="EG25" s="206"/>
      <c r="EH25" s="206"/>
      <c r="EI25" s="206"/>
      <c r="EJ25" s="206"/>
      <c r="EK25" s="206">
        <v>-50</v>
      </c>
      <c r="EL25" s="206"/>
      <c r="EM25" s="206"/>
      <c r="EN25" s="206"/>
      <c r="EO25" s="206"/>
      <c r="EP25" s="206"/>
      <c r="EQ25" s="206"/>
      <c r="ER25" s="206"/>
      <c r="ES25" s="206">
        <v>-100</v>
      </c>
      <c r="ET25" s="206"/>
      <c r="EU25" s="206"/>
      <c r="EV25" s="206"/>
      <c r="EW25" s="206"/>
      <c r="EX25" s="206"/>
      <c r="EY25" s="206"/>
      <c r="EZ25" s="237"/>
      <c r="FB25" s="139"/>
      <c r="FC25" s="140"/>
      <c r="FD25" s="140"/>
      <c r="FE25" s="140"/>
      <c r="FF25" s="140"/>
      <c r="FG25" s="140"/>
      <c r="FH25" s="140"/>
      <c r="FI25" s="140"/>
      <c r="FJ25" s="140"/>
      <c r="FK25" s="140"/>
      <c r="FL25" s="140"/>
      <c r="FM25" s="140"/>
      <c r="FN25" s="140"/>
      <c r="FO25" s="140"/>
      <c r="FP25" s="140"/>
      <c r="FQ25" s="140"/>
      <c r="FR25" s="140"/>
      <c r="FS25" s="140"/>
      <c r="FT25" s="140"/>
      <c r="FU25" s="140"/>
      <c r="FV25" s="140"/>
      <c r="FW25" s="140"/>
      <c r="FX25" s="140"/>
      <c r="FY25" s="140"/>
      <c r="FZ25" s="140"/>
      <c r="GA25" s="140"/>
      <c r="GB25" s="140"/>
      <c r="GC25" s="140"/>
      <c r="GD25" s="140"/>
      <c r="GE25" s="140"/>
      <c r="GF25" s="140"/>
      <c r="GG25" s="140"/>
      <c r="GH25" s="140"/>
      <c r="GI25" s="140"/>
      <c r="GJ25" s="140"/>
      <c r="GK25" s="140"/>
      <c r="GL25" s="140"/>
      <c r="GM25" s="140"/>
      <c r="GN25" s="140"/>
      <c r="GO25" s="140"/>
      <c r="GP25" s="140"/>
      <c r="GQ25" s="140"/>
      <c r="GR25" s="140"/>
      <c r="GS25" s="140"/>
      <c r="GT25" s="141">
        <v>0</v>
      </c>
      <c r="GU25" s="141"/>
      <c r="GV25" s="141"/>
      <c r="GW25" s="141"/>
      <c r="GX25" s="141"/>
      <c r="GY25" s="141"/>
      <c r="GZ25" s="141"/>
      <c r="HA25" s="141"/>
      <c r="HB25" s="142" t="str">
        <f>IFERROR(ROUND(Calculations!BV25*GT25,2),"")</f>
        <v/>
      </c>
      <c r="HC25" s="142"/>
      <c r="HD25" s="142"/>
      <c r="HE25" s="142"/>
      <c r="HF25" s="142"/>
      <c r="HG25" s="142"/>
      <c r="HH25" s="142"/>
      <c r="HI25" s="142"/>
      <c r="HJ25" s="142">
        <f>IFERROR(Calculations!BS25+IQ25+IX25,"")</f>
        <v>0</v>
      </c>
      <c r="HK25" s="142"/>
      <c r="HL25" s="142"/>
      <c r="HM25" s="142"/>
      <c r="HN25" s="142"/>
      <c r="HO25" s="142"/>
      <c r="HP25" s="142"/>
      <c r="HQ25" s="142"/>
      <c r="HR25" s="142" t="str">
        <f t="shared" ref="HR25:HR87" si="9">IFERROR(VLOOKUP(FB25,ItemChart,4,FALSE),"")</f>
        <v/>
      </c>
      <c r="HS25" s="142"/>
      <c r="HT25" s="142"/>
      <c r="HU25" s="142"/>
      <c r="HV25" s="142"/>
      <c r="HW25" s="142"/>
      <c r="HX25" s="142"/>
      <c r="HY25" s="142"/>
      <c r="HZ25" s="142" t="str">
        <f>IFERROR(Calculations!BX25,"")</f>
        <v/>
      </c>
      <c r="IA25" s="142"/>
      <c r="IB25" s="142"/>
      <c r="IC25" s="142"/>
      <c r="ID25" s="142"/>
      <c r="IE25" s="142"/>
      <c r="IF25" s="142"/>
      <c r="IG25" s="142"/>
      <c r="IH25" s="142"/>
      <c r="II25" s="142"/>
      <c r="IJ25" s="142" t="str">
        <f>IFERROR(Calculations!BR25+IX25,"")</f>
        <v/>
      </c>
      <c r="IK25" s="142"/>
      <c r="IL25" s="142"/>
      <c r="IM25" s="142"/>
      <c r="IN25" s="142"/>
      <c r="IO25" s="142"/>
      <c r="IP25" s="142"/>
      <c r="IQ25" s="141">
        <v>0</v>
      </c>
      <c r="IR25" s="141"/>
      <c r="IS25" s="141"/>
      <c r="IT25" s="141"/>
      <c r="IU25" s="141"/>
      <c r="IV25" s="141"/>
      <c r="IW25" s="141"/>
      <c r="IX25" s="141">
        <v>0</v>
      </c>
      <c r="IY25" s="141"/>
      <c r="IZ25" s="141"/>
      <c r="JA25" s="141"/>
      <c r="JB25" s="141"/>
      <c r="JC25" s="141"/>
      <c r="JD25" s="141"/>
      <c r="JE25" s="141"/>
      <c r="JF25" s="142"/>
      <c r="JG25" s="142"/>
      <c r="JH25" s="142"/>
      <c r="JI25" s="142"/>
      <c r="JJ25" s="142"/>
      <c r="JK25" s="143" t="str">
        <f>Calculations!AS25</f>
        <v/>
      </c>
      <c r="JL25" s="143"/>
      <c r="JM25" s="143"/>
      <c r="JN25" s="143"/>
      <c r="JO25" s="143"/>
      <c r="JP25" s="143"/>
      <c r="JQ25" s="143"/>
      <c r="JR25" s="143"/>
      <c r="JS25" s="143"/>
      <c r="JT25" s="143"/>
      <c r="JU25" s="143"/>
      <c r="JV25" s="143"/>
      <c r="JW25" s="143"/>
      <c r="JX25" s="143"/>
      <c r="JY25" s="143"/>
      <c r="JZ25" s="143"/>
      <c r="KA25" s="143"/>
      <c r="KB25" s="143"/>
      <c r="KC25" s="143" t="str">
        <f>Calculations!AW25</f>
        <v/>
      </c>
      <c r="KD25" s="143"/>
      <c r="KE25" s="143"/>
      <c r="KF25" s="143"/>
      <c r="KG25" s="143"/>
      <c r="KH25" s="143"/>
      <c r="KI25" s="143"/>
      <c r="KJ25" s="143"/>
      <c r="KK25" s="143"/>
      <c r="KL25" s="143"/>
      <c r="KM25" s="143"/>
      <c r="KN25" s="143"/>
      <c r="KO25" s="143"/>
      <c r="KP25" s="143"/>
      <c r="KQ25" s="143"/>
      <c r="KR25" s="143"/>
      <c r="KS25" s="143"/>
      <c r="KT25" s="143"/>
      <c r="KU25" s="144" t="str">
        <f t="shared" si="7"/>
        <v/>
      </c>
      <c r="KV25" s="144"/>
      <c r="KW25" s="144"/>
      <c r="KX25" s="144"/>
      <c r="KY25" s="144"/>
      <c r="KZ25" s="144"/>
      <c r="LA25" s="144"/>
      <c r="LB25" s="144"/>
      <c r="LC25" s="144"/>
      <c r="LD25" s="144"/>
      <c r="LE25" s="144"/>
      <c r="LF25" s="144"/>
      <c r="LG25" s="144"/>
      <c r="LH25" s="144"/>
      <c r="LI25" s="144"/>
      <c r="LJ25" s="144"/>
      <c r="LK25" s="144"/>
      <c r="LL25" s="144"/>
      <c r="LM25" s="144"/>
      <c r="LN25" s="144"/>
      <c r="LO25" s="144"/>
      <c r="LP25" s="144"/>
      <c r="LQ25" s="144"/>
      <c r="LR25" s="144"/>
      <c r="LS25" s="144"/>
      <c r="LT25" s="144"/>
      <c r="LU25" s="144"/>
      <c r="LV25" s="144"/>
      <c r="LW25" s="144"/>
      <c r="LX25" s="144"/>
      <c r="LY25" s="144"/>
      <c r="LZ25" s="144"/>
      <c r="MA25" s="144"/>
      <c r="MB25" s="144"/>
      <c r="MC25" s="144"/>
      <c r="MD25" s="144"/>
      <c r="ME25" s="144"/>
      <c r="MF25" s="144"/>
      <c r="MG25" s="144"/>
      <c r="MH25" s="144"/>
      <c r="MI25" s="144"/>
      <c r="MJ25" s="144"/>
      <c r="MK25" s="144"/>
      <c r="ML25" s="144"/>
      <c r="MM25" s="144"/>
      <c r="MN25" s="144"/>
      <c r="MO25" s="144"/>
      <c r="MP25" s="144"/>
      <c r="MQ25" s="144"/>
      <c r="MR25" s="144"/>
      <c r="MS25" s="144"/>
      <c r="MT25" s="144"/>
      <c r="MU25" s="144"/>
      <c r="MV25" s="144"/>
      <c r="MW25" s="144"/>
      <c r="MX25" s="144"/>
      <c r="MY25" s="144"/>
      <c r="MZ25" s="145"/>
      <c r="NB25" s="144" t="s">
        <v>147</v>
      </c>
      <c r="NC25" s="144"/>
      <c r="ND25" s="144"/>
      <c r="NE25" s="144"/>
      <c r="NF25" s="144"/>
      <c r="NG25" s="144"/>
      <c r="NH25" s="144"/>
      <c r="NI25" s="144"/>
      <c r="NJ25" s="144"/>
      <c r="NK25" s="144"/>
      <c r="NL25" s="144"/>
      <c r="NM25" s="144"/>
      <c r="NN25" s="144"/>
      <c r="NO25" s="144"/>
      <c r="NP25" s="144"/>
      <c r="NQ25" s="144"/>
      <c r="NR25" s="144"/>
      <c r="NS25" s="144"/>
      <c r="NT25" s="144"/>
      <c r="NU25" s="144"/>
      <c r="NV25" s="144"/>
      <c r="NW25" s="144"/>
      <c r="NX25" s="144"/>
      <c r="NY25" s="144"/>
      <c r="NZ25" s="144"/>
      <c r="OA25" s="144"/>
      <c r="OB25" s="144"/>
      <c r="OC25" s="144"/>
      <c r="OD25" s="144"/>
      <c r="OE25" s="144"/>
      <c r="OF25" s="144"/>
      <c r="OG25" s="129" t="s">
        <v>133</v>
      </c>
      <c r="OH25" s="129"/>
      <c r="OI25" s="129"/>
      <c r="OJ25" s="129"/>
      <c r="OK25" s="129" t="s">
        <v>148</v>
      </c>
      <c r="OL25" s="129"/>
      <c r="OM25" s="129"/>
      <c r="ON25" s="129"/>
      <c r="OO25" s="129"/>
      <c r="OP25" s="129" t="s">
        <v>83</v>
      </c>
      <c r="OQ25" s="129"/>
      <c r="OR25" s="129"/>
      <c r="OS25" s="129"/>
      <c r="OT25" s="129"/>
      <c r="OU25" s="129"/>
      <c r="OV25" s="129" t="s">
        <v>37</v>
      </c>
      <c r="OW25" s="129"/>
      <c r="OX25" s="129"/>
      <c r="OY25" s="129"/>
      <c r="OZ25" s="129"/>
      <c r="PA25" s="129"/>
      <c r="PB25" s="129" t="s">
        <v>49</v>
      </c>
      <c r="PC25" s="129"/>
      <c r="PD25" s="129"/>
      <c r="PE25" s="129"/>
      <c r="PF25" s="129"/>
      <c r="PG25" s="129"/>
      <c r="PH25" s="129" t="s">
        <v>149</v>
      </c>
      <c r="PI25" s="129"/>
      <c r="PJ25" s="129"/>
      <c r="PK25" s="129"/>
      <c r="PL25" s="129"/>
      <c r="PM25" s="129"/>
      <c r="PN25" s="129"/>
      <c r="PO25" s="129" t="s">
        <v>150</v>
      </c>
      <c r="PP25" s="129"/>
      <c r="PQ25" s="129"/>
      <c r="PR25" s="129"/>
      <c r="PS25" s="129"/>
      <c r="PT25" s="129"/>
      <c r="PU25" s="129"/>
      <c r="PV25" s="129" t="s">
        <v>151</v>
      </c>
      <c r="PW25" s="129"/>
      <c r="PX25" s="129"/>
      <c r="PY25" s="129"/>
      <c r="PZ25" s="129"/>
      <c r="QA25" s="129"/>
      <c r="QB25" s="129"/>
      <c r="QC25" s="129" t="s">
        <v>37</v>
      </c>
      <c r="QD25" s="129"/>
      <c r="QE25" s="129"/>
      <c r="QF25" s="129"/>
      <c r="QG25" s="129"/>
      <c r="QH25" s="129"/>
      <c r="QI25" s="129"/>
      <c r="QJ25" s="129" t="s">
        <v>40</v>
      </c>
      <c r="QK25" s="129"/>
      <c r="QL25" s="129"/>
      <c r="QM25" s="129"/>
      <c r="QN25" s="129"/>
      <c r="QO25" s="129"/>
      <c r="QP25" s="129"/>
      <c r="AIT25" s="128" t="s">
        <v>205</v>
      </c>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9"/>
      <c r="AJZ25" s="129"/>
      <c r="AKA25" s="129"/>
      <c r="AKB25" s="129"/>
      <c r="AKC25" s="129"/>
      <c r="AKD25" s="129"/>
      <c r="AKE25" s="129"/>
      <c r="AKF25" s="129"/>
      <c r="AKG25" s="129"/>
      <c r="AKH25" s="129"/>
      <c r="AKI25" s="129"/>
      <c r="AKJ25" s="129"/>
      <c r="AKK25" s="129"/>
      <c r="AKL25" s="129"/>
      <c r="AKM25" s="129"/>
      <c r="AKN25" s="129"/>
      <c r="AKO25" s="129"/>
      <c r="AKP25" s="129"/>
      <c r="AKQ25" s="129"/>
      <c r="AKR25" s="129"/>
      <c r="AKS25" s="129"/>
      <c r="AKT25" s="128"/>
      <c r="AKU25" s="128"/>
      <c r="AKV25" s="128"/>
      <c r="AKW25" s="128"/>
      <c r="AKX25" s="128"/>
      <c r="AKY25" s="128"/>
      <c r="AKZ25" s="129"/>
      <c r="ALA25" s="129"/>
      <c r="ALB25" s="129"/>
      <c r="ALC25" s="129"/>
      <c r="ALD25" s="129"/>
      <c r="ALE25" s="129"/>
      <c r="ALF25" s="129"/>
      <c r="ALG25" s="129"/>
      <c r="ALH25" s="129"/>
      <c r="ALI25" s="129"/>
      <c r="ALJ25" s="129"/>
      <c r="ALK25" s="129"/>
      <c r="ALL25" s="129"/>
      <c r="ALM25" s="129"/>
      <c r="ALN25" s="129"/>
      <c r="ALO25" s="129"/>
      <c r="ALP25" s="129"/>
      <c r="ALQ25" s="129"/>
      <c r="ALR25" s="129"/>
      <c r="ALS25" s="129"/>
      <c r="ALT25" s="129"/>
      <c r="ALU25" s="129"/>
      <c r="ALV25" s="129"/>
      <c r="ALW25" s="129"/>
      <c r="ALX25" s="129"/>
      <c r="ALY25" s="129"/>
      <c r="ALZ25" s="129"/>
      <c r="AMA25" s="129"/>
      <c r="AMB25" s="128"/>
      <c r="AMC25" s="128"/>
      <c r="AMD25" s="128"/>
      <c r="AME25" s="128"/>
      <c r="AMF25" s="128"/>
      <c r="AMG25" s="128"/>
      <c r="AMH25" s="128"/>
      <c r="APZ25" s="128" t="s">
        <v>237</v>
      </c>
      <c r="AQA25" s="128"/>
      <c r="AQB25" s="128"/>
      <c r="AQC25" s="128"/>
      <c r="AQD25" s="128"/>
      <c r="AQE25" s="128"/>
      <c r="AQF25" s="128"/>
      <c r="AQG25" s="128"/>
      <c r="AQH25" s="128"/>
      <c r="AQI25" s="128"/>
      <c r="AQJ25" s="128"/>
      <c r="AQK25" s="128"/>
      <c r="AQL25" s="128"/>
      <c r="AQM25" s="128"/>
      <c r="AQN25" s="128"/>
      <c r="AQO25" s="128"/>
      <c r="AQP25" s="128"/>
      <c r="AQQ25" s="128"/>
      <c r="AQR25" s="128"/>
      <c r="AQS25" s="128"/>
      <c r="AQT25" s="128"/>
      <c r="AQU25" s="128"/>
      <c r="AQV25" s="128"/>
      <c r="AQW25" s="128"/>
      <c r="AQX25" s="128"/>
      <c r="AQY25" s="128"/>
      <c r="AQZ25" s="128"/>
      <c r="ARA25" s="128"/>
      <c r="ARB25" s="128"/>
      <c r="ARC25" s="128"/>
      <c r="ARD25" s="128"/>
      <c r="ARE25" s="129"/>
      <c r="ARF25" s="129"/>
      <c r="ARG25" s="129"/>
      <c r="ARH25" s="129"/>
      <c r="ARI25" s="129"/>
      <c r="ARJ25" s="129"/>
      <c r="ARK25" s="129"/>
      <c r="ARL25" s="129"/>
      <c r="ARM25" s="129"/>
      <c r="ARN25" s="129"/>
      <c r="ARO25" s="129"/>
      <c r="ARP25" s="129"/>
      <c r="ARQ25" s="129"/>
      <c r="ARR25" s="129"/>
      <c r="ARS25" s="129"/>
      <c r="ART25" s="129"/>
      <c r="ARU25" s="129"/>
      <c r="ARV25" s="129"/>
      <c r="ARW25" s="129"/>
      <c r="ARX25" s="129"/>
      <c r="ARY25" s="129"/>
      <c r="ARZ25" s="128"/>
      <c r="ASA25" s="128"/>
      <c r="ASB25" s="128"/>
      <c r="ASC25" s="128"/>
      <c r="ASD25" s="128"/>
      <c r="ASE25" s="128"/>
      <c r="ASF25" s="129"/>
      <c r="ASG25" s="129"/>
      <c r="ASH25" s="129"/>
      <c r="ASI25" s="129"/>
      <c r="ASJ25" s="129"/>
      <c r="ASK25" s="129"/>
      <c r="ASL25" s="129"/>
      <c r="ASM25" s="129"/>
      <c r="ASN25" s="129"/>
      <c r="ASO25" s="129"/>
      <c r="ASP25" s="129"/>
      <c r="ASQ25" s="129"/>
      <c r="ASR25" s="129"/>
      <c r="ASS25" s="129"/>
      <c r="AST25" s="129"/>
      <c r="ASU25" s="129"/>
      <c r="ASV25" s="129"/>
      <c r="ASW25" s="129"/>
      <c r="ASX25" s="129"/>
      <c r="ASY25" s="129"/>
      <c r="ASZ25" s="129"/>
      <c r="ATA25" s="129"/>
      <c r="ATB25" s="129"/>
      <c r="ATC25" s="129"/>
      <c r="ATD25" s="129"/>
      <c r="ATE25" s="129"/>
      <c r="ATF25" s="129"/>
      <c r="ATG25" s="129"/>
      <c r="ATH25" s="128"/>
      <c r="ATI25" s="128"/>
      <c r="ATJ25" s="128"/>
      <c r="ATK25" s="128"/>
      <c r="ATL25" s="128"/>
      <c r="ATM25" s="128"/>
      <c r="ATN25" s="128"/>
      <c r="BAV25" s="128" t="s">
        <v>296</v>
      </c>
      <c r="BAW25" s="128"/>
      <c r="BAX25" s="128"/>
      <c r="BAY25" s="128"/>
      <c r="BAZ25" s="128"/>
      <c r="BBA25" s="128"/>
      <c r="BBB25" s="128"/>
      <c r="BBC25" s="128"/>
      <c r="BBD25" s="128"/>
      <c r="BBE25" s="128"/>
      <c r="BBF25" s="128"/>
      <c r="BBG25" s="128"/>
      <c r="BBH25" s="128"/>
      <c r="BBI25" s="128"/>
      <c r="BBJ25" s="128"/>
      <c r="BBK25" s="128"/>
      <c r="BBL25" s="128"/>
      <c r="BBM25" s="128"/>
      <c r="BBN25" s="128"/>
      <c r="BBO25" s="128"/>
      <c r="BBP25" s="128"/>
      <c r="BBQ25" s="128"/>
      <c r="BBR25" s="128"/>
      <c r="BBS25" s="128"/>
      <c r="BBT25" s="128"/>
      <c r="BBU25" s="128"/>
      <c r="BBV25" s="128"/>
      <c r="BBW25" s="128"/>
      <c r="BBX25" s="128"/>
      <c r="BBY25" s="128"/>
      <c r="BBZ25" s="128"/>
      <c r="BCA25" s="129"/>
      <c r="BCB25" s="129"/>
      <c r="BCC25" s="129"/>
      <c r="BCD25" s="129"/>
      <c r="BCE25" s="129"/>
      <c r="BCF25" s="129"/>
      <c r="BCG25" s="129"/>
      <c r="BCH25" s="129"/>
      <c r="BCI25" s="129"/>
      <c r="BCJ25" s="129"/>
      <c r="BCK25" s="129"/>
      <c r="BCL25" s="129"/>
      <c r="BCM25" s="129"/>
      <c r="BCN25" s="129"/>
      <c r="BCO25" s="129"/>
      <c r="BCP25" s="129"/>
      <c r="BCQ25" s="129"/>
      <c r="BCR25" s="129"/>
      <c r="BCS25" s="129"/>
      <c r="BCT25" s="129"/>
      <c r="BCU25" s="129"/>
      <c r="BCV25" s="128"/>
      <c r="BCW25" s="128"/>
      <c r="BCX25" s="128"/>
      <c r="BCY25" s="128"/>
      <c r="BCZ25" s="128"/>
      <c r="BDA25" s="128"/>
      <c r="BDB25" s="129"/>
      <c r="BDC25" s="129"/>
      <c r="BDD25" s="129"/>
      <c r="BDE25" s="129"/>
      <c r="BDF25" s="129"/>
      <c r="BDG25" s="129"/>
      <c r="BDH25" s="129"/>
      <c r="BDI25" s="129"/>
      <c r="BDJ25" s="129"/>
      <c r="BDK25" s="129"/>
      <c r="BDL25" s="129"/>
      <c r="BDM25" s="129"/>
      <c r="BDN25" s="129"/>
      <c r="BDO25" s="129"/>
      <c r="BDP25" s="129"/>
      <c r="BDQ25" s="129"/>
      <c r="BDR25" s="129"/>
      <c r="BDS25" s="129"/>
      <c r="BDT25" s="129"/>
      <c r="BDU25" s="129"/>
      <c r="BDV25" s="129"/>
      <c r="BDW25" s="129"/>
      <c r="BDX25" s="129"/>
      <c r="BDY25" s="129"/>
      <c r="BDZ25" s="129"/>
      <c r="BEA25" s="129"/>
      <c r="BEB25" s="129"/>
      <c r="BEC25" s="129"/>
      <c r="BED25" s="128"/>
      <c r="BEE25" s="128"/>
      <c r="BEF25" s="128"/>
      <c r="BEG25" s="128"/>
      <c r="BEH25" s="128"/>
      <c r="BEI25" s="128"/>
      <c r="BEJ25" s="128"/>
      <c r="BLR25" s="128"/>
      <c r="BLS25" s="128"/>
      <c r="BLT25" s="128"/>
      <c r="BLU25" s="128"/>
      <c r="BLV25" s="128"/>
      <c r="BLW25" s="128"/>
      <c r="BLX25" s="128"/>
      <c r="BLY25" s="128"/>
      <c r="BLZ25" s="128"/>
      <c r="BMA25" s="128"/>
      <c r="BMB25" s="128"/>
      <c r="BMC25" s="128"/>
      <c r="BMD25" s="128"/>
      <c r="BME25" s="128"/>
      <c r="BMF25" s="128"/>
      <c r="BMG25" s="128"/>
      <c r="BMH25" s="128"/>
      <c r="BMI25" s="128"/>
      <c r="BMJ25" s="128"/>
      <c r="BMK25" s="128"/>
      <c r="BML25" s="128"/>
      <c r="BMM25" s="128"/>
      <c r="BMN25" s="128"/>
      <c r="BMO25" s="128"/>
      <c r="BMP25" s="128"/>
      <c r="BMQ25" s="128"/>
      <c r="BMR25" s="128"/>
      <c r="BMS25" s="128"/>
      <c r="BMT25" s="128"/>
      <c r="BMU25" s="128"/>
      <c r="BMV25" s="128"/>
      <c r="BMW25" s="129"/>
      <c r="BMX25" s="129"/>
      <c r="BMY25" s="129"/>
      <c r="BMZ25" s="129"/>
      <c r="BNA25" s="129"/>
      <c r="BNB25" s="129"/>
      <c r="BNC25" s="129"/>
      <c r="BND25" s="129"/>
      <c r="BNE25" s="129"/>
      <c r="BNF25" s="129"/>
      <c r="BNG25" s="129"/>
      <c r="BNH25" s="129"/>
      <c r="BNI25" s="129"/>
      <c r="BNJ25" s="129"/>
      <c r="BNK25" s="129"/>
      <c r="BNL25" s="129"/>
      <c r="BNM25" s="129"/>
      <c r="BNN25" s="129"/>
      <c r="BNO25" s="129"/>
      <c r="BNP25" s="129"/>
      <c r="BNQ25" s="129"/>
      <c r="BNR25" s="128"/>
      <c r="BNS25" s="128"/>
      <c r="BNT25" s="128"/>
      <c r="BNU25" s="128"/>
      <c r="BNV25" s="128"/>
      <c r="BNW25" s="128"/>
      <c r="BNX25" s="129"/>
      <c r="BNY25" s="129"/>
      <c r="BNZ25" s="129"/>
      <c r="BOA25" s="129"/>
      <c r="BOB25" s="129"/>
      <c r="BOC25" s="129"/>
      <c r="BOD25" s="129"/>
      <c r="BOE25" s="129"/>
      <c r="BOF25" s="129"/>
      <c r="BOG25" s="129"/>
      <c r="BOH25" s="129"/>
      <c r="BOI25" s="129"/>
      <c r="BOJ25" s="129"/>
      <c r="BOK25" s="129"/>
      <c r="BOL25" s="129"/>
      <c r="BOM25" s="129"/>
      <c r="BON25" s="129"/>
      <c r="BOO25" s="129"/>
      <c r="BOP25" s="129"/>
      <c r="BOQ25" s="129"/>
      <c r="BOR25" s="129"/>
      <c r="BOS25" s="129"/>
      <c r="BOT25" s="129"/>
      <c r="BOU25" s="129"/>
      <c r="BOV25" s="129"/>
      <c r="BOW25" s="129"/>
      <c r="BOX25" s="129"/>
      <c r="BOY25" s="129"/>
      <c r="BOZ25" s="128"/>
      <c r="BPA25" s="128"/>
      <c r="BPB25" s="128"/>
      <c r="BPC25" s="128"/>
      <c r="BPD25" s="128"/>
      <c r="BPE25" s="128"/>
      <c r="BPF25" s="128"/>
      <c r="COP25" s="144" t="s">
        <v>417</v>
      </c>
      <c r="COQ25" s="144"/>
      <c r="COR25" s="144"/>
      <c r="COS25" s="144"/>
      <c r="COT25" s="144"/>
      <c r="COU25" s="144"/>
      <c r="COV25" s="144"/>
      <c r="COW25" s="144"/>
      <c r="COX25" s="144"/>
      <c r="COY25" s="144"/>
      <c r="COZ25" s="144"/>
      <c r="CPA25" s="144"/>
      <c r="CPB25" s="144"/>
      <c r="CPC25" s="144"/>
      <c r="CPD25" s="144"/>
      <c r="CPE25" s="144"/>
      <c r="CPF25" s="144"/>
      <c r="CPG25" s="144"/>
      <c r="CPH25" s="144"/>
      <c r="CPI25" s="144"/>
      <c r="CPJ25" s="144"/>
      <c r="CPK25" s="144"/>
      <c r="CPL25" s="144"/>
      <c r="CPM25" s="144"/>
      <c r="CPN25" s="144"/>
      <c r="CPO25" s="144"/>
      <c r="CPP25" s="144"/>
      <c r="CPQ25" s="144"/>
      <c r="CPR25" s="144"/>
      <c r="CPS25" s="144"/>
      <c r="CPT25" s="144"/>
      <c r="CPU25" s="144"/>
      <c r="CPV25" s="144"/>
      <c r="CPW25" s="144"/>
      <c r="CPX25" s="144"/>
      <c r="CPY25" s="144"/>
      <c r="CPZ25" s="144"/>
      <c r="CQA25" s="144"/>
      <c r="CQB25" s="144"/>
      <c r="CQC25" s="144"/>
      <c r="CQD25" s="144"/>
      <c r="CQE25" s="144"/>
      <c r="CQF25" s="144"/>
      <c r="CQG25" s="144"/>
      <c r="CQH25" s="144"/>
      <c r="CQI25" s="144"/>
      <c r="CQJ25" s="144"/>
      <c r="CQK25" s="144"/>
      <c r="CQL25" s="144"/>
      <c r="CQM25" s="144"/>
      <c r="CQN25" s="144"/>
      <c r="CQO25" s="144"/>
      <c r="CQP25" s="144"/>
      <c r="CQQ25" s="144"/>
      <c r="CQR25" s="144"/>
      <c r="CQS25" s="144"/>
      <c r="CQT25" s="144"/>
      <c r="CQU25" s="144"/>
      <c r="CQV25" s="144"/>
      <c r="CQW25" s="144"/>
      <c r="CQX25" s="144"/>
      <c r="CQY25" s="144"/>
      <c r="CQZ25" s="144"/>
      <c r="CRA25" s="144"/>
      <c r="CRB25" s="144"/>
      <c r="CRC25" s="144"/>
      <c r="CRD25" s="144"/>
      <c r="CRE25" s="144"/>
      <c r="CRF25" s="144"/>
      <c r="CRG25" s="144"/>
      <c r="CRH25" s="144"/>
      <c r="CRI25" s="144"/>
      <c r="CRJ25" s="144"/>
      <c r="CRK25" s="144"/>
      <c r="CRL25" s="144"/>
      <c r="CRM25" s="144"/>
      <c r="CRN25" s="144"/>
      <c r="CRO25" s="144"/>
      <c r="CRP25" s="144"/>
      <c r="CRQ25" s="144"/>
      <c r="CRR25" s="144"/>
      <c r="CRS25" s="144"/>
      <c r="CRT25" s="144"/>
      <c r="CRU25" s="144"/>
      <c r="CRV25" s="144"/>
      <c r="CRW25" s="144"/>
      <c r="CRX25" s="144"/>
      <c r="CRY25" s="144"/>
      <c r="CRZ25" s="144"/>
      <c r="CSA25" s="144"/>
      <c r="CSB25" s="144"/>
      <c r="CSC25" s="144"/>
      <c r="CSD25" s="144"/>
      <c r="CSF25" s="128" t="s">
        <v>450</v>
      </c>
      <c r="CSG25" s="128"/>
      <c r="CSH25" s="128"/>
      <c r="CSI25" s="128"/>
      <c r="CSJ25" s="128"/>
      <c r="CSK25" s="128"/>
      <c r="CSL25" s="128"/>
      <c r="CSM25" s="128"/>
      <c r="CSN25" s="128"/>
      <c r="CSO25" s="128"/>
      <c r="CSP25" s="128"/>
      <c r="CSQ25" s="128"/>
      <c r="CSR25" s="128"/>
      <c r="CSS25" s="128"/>
      <c r="CST25" s="128"/>
      <c r="CSU25" s="128"/>
      <c r="CSV25" s="128"/>
      <c r="CSW25" s="128"/>
      <c r="CSX25" s="128"/>
      <c r="CSY25" s="128"/>
      <c r="CSZ25" s="128"/>
      <c r="CTA25" s="128"/>
      <c r="CTB25" s="128"/>
      <c r="CTC25" s="128"/>
      <c r="CTD25" s="128"/>
      <c r="CTE25" s="128"/>
      <c r="CTF25" s="128"/>
      <c r="CTG25" s="128"/>
      <c r="CTH25" s="128"/>
      <c r="CTI25" s="128"/>
      <c r="CTJ25" s="128"/>
      <c r="CTK25" s="129"/>
      <c r="CTL25" s="129"/>
      <c r="CTM25" s="129"/>
      <c r="CTN25" s="129"/>
      <c r="CTO25" s="129"/>
      <c r="CTP25" s="129"/>
      <c r="CTQ25" s="129"/>
      <c r="CTR25" s="129"/>
      <c r="CTS25" s="129"/>
      <c r="CTT25" s="129"/>
      <c r="CTU25" s="129"/>
      <c r="CTV25" s="129"/>
      <c r="CTW25" s="129"/>
      <c r="CTX25" s="129"/>
      <c r="CTY25" s="129"/>
      <c r="CTZ25" s="129"/>
      <c r="CUA25" s="129"/>
      <c r="CUB25" s="129"/>
      <c r="CUC25" s="129"/>
      <c r="CUD25" s="129"/>
      <c r="CUE25" s="129"/>
      <c r="CUF25" s="128"/>
      <c r="CUG25" s="128"/>
      <c r="CUH25" s="128"/>
      <c r="CUI25" s="128"/>
      <c r="CUJ25" s="128"/>
      <c r="CUK25" s="128"/>
      <c r="CUL25" s="129"/>
      <c r="CUM25" s="129"/>
      <c r="CUN25" s="129"/>
      <c r="CUO25" s="129"/>
      <c r="CUP25" s="129"/>
      <c r="CUQ25" s="129"/>
      <c r="CUR25" s="129"/>
      <c r="CUS25" s="129"/>
      <c r="CUT25" s="129"/>
      <c r="CUU25" s="129"/>
      <c r="CUV25" s="129"/>
      <c r="CUW25" s="129"/>
      <c r="CUX25" s="129"/>
      <c r="CUY25" s="129"/>
      <c r="CUZ25" s="129"/>
      <c r="CVA25" s="129"/>
      <c r="CVB25" s="129"/>
      <c r="CVC25" s="129"/>
      <c r="CVD25" s="129"/>
      <c r="CVE25" s="129"/>
      <c r="CVF25" s="129"/>
      <c r="CVG25" s="129"/>
      <c r="CVH25" s="129"/>
      <c r="CVI25" s="129"/>
      <c r="CVJ25" s="129"/>
      <c r="CVK25" s="129"/>
      <c r="CVL25" s="129"/>
      <c r="CVM25" s="129"/>
      <c r="CVN25" s="128"/>
      <c r="CVO25" s="128"/>
      <c r="CVP25" s="128"/>
      <c r="CVQ25" s="128"/>
      <c r="CVR25" s="128"/>
      <c r="CVS25" s="128"/>
      <c r="CVT25" s="128"/>
      <c r="DDB25" s="128" t="s">
        <v>532</v>
      </c>
      <c r="DDC25" s="128"/>
      <c r="DDD25" s="128"/>
      <c r="DDE25" s="128"/>
      <c r="DDF25" s="128"/>
      <c r="DDG25" s="128"/>
      <c r="DDH25" s="128"/>
      <c r="DDI25" s="128"/>
      <c r="DDJ25" s="128"/>
      <c r="DDK25" s="128"/>
      <c r="DDL25" s="128"/>
      <c r="DDM25" s="128"/>
      <c r="DDN25" s="128"/>
      <c r="DDO25" s="128"/>
      <c r="DDP25" s="128"/>
      <c r="DDQ25" s="128"/>
      <c r="DDR25" s="128"/>
      <c r="DDS25" s="128"/>
      <c r="DDT25" s="128"/>
      <c r="DDU25" s="128"/>
      <c r="DDV25" s="128"/>
      <c r="DDW25" s="128"/>
      <c r="DDX25" s="128"/>
      <c r="DDY25" s="128"/>
      <c r="DDZ25" s="128"/>
      <c r="DEA25" s="128"/>
      <c r="DEB25" s="128"/>
      <c r="DEC25" s="128"/>
      <c r="DED25" s="128"/>
      <c r="DEE25" s="128"/>
      <c r="DEF25" s="128"/>
      <c r="DEG25" s="129"/>
      <c r="DEH25" s="129"/>
      <c r="DEI25" s="129"/>
      <c r="DEJ25" s="129"/>
      <c r="DEK25" s="129"/>
      <c r="DEL25" s="129"/>
      <c r="DEM25" s="129"/>
      <c r="DEN25" s="129"/>
      <c r="DEO25" s="129"/>
      <c r="DEP25" s="129"/>
      <c r="DEQ25" s="129"/>
      <c r="DER25" s="129"/>
      <c r="DES25" s="129"/>
      <c r="DET25" s="129"/>
      <c r="DEU25" s="129"/>
      <c r="DEV25" s="129"/>
      <c r="DEW25" s="129"/>
      <c r="DEX25" s="129"/>
      <c r="DEY25" s="129"/>
      <c r="DEZ25" s="129"/>
      <c r="DFA25" s="129"/>
      <c r="DFB25" s="128"/>
      <c r="DFC25" s="128"/>
      <c r="DFD25" s="128"/>
      <c r="DFE25" s="128"/>
      <c r="DFF25" s="128"/>
      <c r="DFG25" s="128"/>
      <c r="DFH25" s="129"/>
      <c r="DFI25" s="129"/>
      <c r="DFJ25" s="129"/>
      <c r="DFK25" s="129"/>
      <c r="DFL25" s="129"/>
      <c r="DFM25" s="129"/>
      <c r="DFN25" s="129"/>
      <c r="DFO25" s="129"/>
      <c r="DFP25" s="129"/>
      <c r="DFQ25" s="129"/>
      <c r="DFR25" s="129"/>
      <c r="DFS25" s="129"/>
      <c r="DFT25" s="129"/>
      <c r="DFU25" s="129"/>
      <c r="DFV25" s="129"/>
      <c r="DFW25" s="129"/>
      <c r="DFX25" s="129"/>
      <c r="DFY25" s="129"/>
      <c r="DFZ25" s="129"/>
      <c r="DGA25" s="129"/>
      <c r="DGB25" s="129"/>
      <c r="DGC25" s="129"/>
      <c r="DGD25" s="129"/>
      <c r="DGE25" s="129"/>
      <c r="DGF25" s="129"/>
      <c r="DGG25" s="129"/>
      <c r="DGH25" s="129"/>
      <c r="DGI25" s="129"/>
      <c r="DGJ25" s="128"/>
      <c r="DGK25" s="128"/>
      <c r="DGL25" s="128"/>
      <c r="DGM25" s="128"/>
      <c r="DGN25" s="128"/>
      <c r="DGO25" s="128"/>
      <c r="DGP25" s="128"/>
      <c r="DGR25" s="128" t="s">
        <v>574</v>
      </c>
      <c r="DGS25" s="128"/>
      <c r="DGT25" s="128"/>
      <c r="DGU25" s="128"/>
      <c r="DGV25" s="128"/>
      <c r="DGW25" s="128"/>
      <c r="DGX25" s="128"/>
      <c r="DGY25" s="128"/>
      <c r="DGZ25" s="128"/>
      <c r="DHA25" s="128"/>
      <c r="DHB25" s="128"/>
      <c r="DHC25" s="128"/>
      <c r="DHD25" s="128"/>
      <c r="DHE25" s="128"/>
      <c r="DHF25" s="128"/>
      <c r="DHG25" s="128"/>
      <c r="DHH25" s="128"/>
      <c r="DHI25" s="128"/>
      <c r="DHJ25" s="128"/>
      <c r="DHK25" s="128"/>
      <c r="DHL25" s="128"/>
      <c r="DHM25" s="128"/>
      <c r="DHN25" s="128"/>
      <c r="DHO25" s="128"/>
      <c r="DHP25" s="128"/>
      <c r="DHQ25" s="128"/>
      <c r="DHR25" s="128"/>
      <c r="DHS25" s="128"/>
      <c r="DHT25" s="128"/>
      <c r="DHU25" s="128"/>
      <c r="DHV25" s="128"/>
      <c r="DHW25" s="129"/>
      <c r="DHX25" s="129"/>
      <c r="DHY25" s="129"/>
      <c r="DHZ25" s="129"/>
      <c r="DIA25" s="129"/>
      <c r="DIB25" s="129"/>
      <c r="DIC25" s="129"/>
      <c r="DID25" s="129"/>
      <c r="DIE25" s="129"/>
      <c r="DIF25" s="129"/>
      <c r="DIG25" s="129"/>
      <c r="DIH25" s="129"/>
      <c r="DII25" s="129"/>
      <c r="DIJ25" s="129"/>
      <c r="DIK25" s="129"/>
      <c r="DIL25" s="129"/>
      <c r="DIM25" s="129"/>
      <c r="DIN25" s="129"/>
      <c r="DIO25" s="129"/>
      <c r="DIP25" s="129"/>
      <c r="DIQ25" s="129"/>
      <c r="DIR25" s="128"/>
      <c r="DIS25" s="128"/>
      <c r="DIT25" s="128"/>
      <c r="DIU25" s="128"/>
      <c r="DIV25" s="128"/>
      <c r="DIW25" s="128"/>
      <c r="DIX25" s="129"/>
      <c r="DIY25" s="129"/>
      <c r="DIZ25" s="129"/>
      <c r="DJA25" s="129"/>
      <c r="DJB25" s="129"/>
      <c r="DJC25" s="129"/>
      <c r="DJD25" s="129"/>
      <c r="DJE25" s="129"/>
      <c r="DJF25" s="129"/>
      <c r="DJG25" s="129"/>
      <c r="DJH25" s="129"/>
      <c r="DJI25" s="129"/>
      <c r="DJJ25" s="129"/>
      <c r="DJK25" s="129"/>
      <c r="DJL25" s="129"/>
      <c r="DJM25" s="129"/>
      <c r="DJN25" s="129"/>
      <c r="DJO25" s="129"/>
      <c r="DJP25" s="129"/>
      <c r="DJQ25" s="129"/>
      <c r="DJR25" s="129"/>
      <c r="DJS25" s="129"/>
      <c r="DJT25" s="129"/>
      <c r="DJU25" s="129"/>
      <c r="DJV25" s="129"/>
      <c r="DJW25" s="129"/>
      <c r="DJX25" s="129"/>
      <c r="DJY25" s="129"/>
      <c r="DJZ25" s="128"/>
      <c r="DKA25" s="128"/>
      <c r="DKB25" s="128"/>
      <c r="DKC25" s="128"/>
      <c r="DKD25" s="128"/>
      <c r="DKE25" s="128"/>
      <c r="DKF25" s="128"/>
    </row>
    <row r="26" spans="2:1022 1118:1774 2152:2996" ht="15" customHeight="1" x14ac:dyDescent="0.25">
      <c r="B26" s="135">
        <v>1</v>
      </c>
      <c r="C26" s="136"/>
      <c r="D26" s="136"/>
      <c r="E26" s="136" t="str">
        <f>IFERROR(VLOOKUP(B26,Calculations!$DH$3:$DJ$127,3,FALSE),"")</f>
        <v/>
      </c>
      <c r="F26" s="136"/>
      <c r="G26" s="136"/>
      <c r="H26" s="136"/>
      <c r="I26" s="136"/>
      <c r="J26" s="136"/>
      <c r="K26" s="136"/>
      <c r="L26" s="136"/>
      <c r="M26" s="136"/>
      <c r="N26" s="136"/>
      <c r="O26" s="136"/>
      <c r="P26" s="136"/>
      <c r="Q26" s="136"/>
      <c r="R26" s="136"/>
      <c r="S26" s="136"/>
      <c r="T26" s="136"/>
      <c r="U26" s="136"/>
      <c r="V26" s="136"/>
      <c r="W26" s="136"/>
      <c r="X26" s="136"/>
      <c r="Y26" s="136"/>
      <c r="Z26" s="136"/>
      <c r="AA26" s="136"/>
      <c r="AB26" s="136"/>
      <c r="AC26" s="136"/>
      <c r="AD26" s="136"/>
      <c r="AE26" s="136"/>
      <c r="AF26" s="136"/>
      <c r="AG26" s="200" t="str">
        <f>IFERROR(VLOOKUP(B26,Calculations!$DH$3:$DX$200,17,FALSE),"")</f>
        <v/>
      </c>
      <c r="AH26" s="131"/>
      <c r="AI26" s="131"/>
      <c r="AJ26" s="131"/>
      <c r="AK26" s="131"/>
      <c r="AL26" s="131"/>
      <c r="AM26" s="131"/>
      <c r="AN26" s="131"/>
      <c r="AO26" s="131"/>
      <c r="AP26" s="131"/>
      <c r="AQ26" s="131"/>
      <c r="AR26" s="131"/>
      <c r="AS26" s="131"/>
      <c r="AT26" s="131"/>
      <c r="AU26" s="131"/>
      <c r="AV26" s="131"/>
      <c r="AW26" s="131"/>
      <c r="AX26" s="131"/>
      <c r="AY26" s="131"/>
      <c r="AZ26" s="131"/>
      <c r="BA26" s="201"/>
      <c r="BB26" s="226" t="str">
        <f>IFERROR(IFERROR((VLOOKUP(E26,Calculations!$DR$3:$EJ$200,19,FALSE)),0)+VLOOKUP(B26,Calculations!$DH$3:$DN$200,7,FALSE)+CG26+CO26+IFERROR(VLOOKUP((LEFT(E26,FIND("(",E26)-2)),Calculations!$DJ$3:$EJ$200,26,FALSE),0),"")</f>
        <v/>
      </c>
      <c r="BC26" s="226"/>
      <c r="BD26" s="226"/>
      <c r="BE26" s="226"/>
      <c r="BF26" s="226"/>
      <c r="BG26" s="226"/>
      <c r="BH26" s="226"/>
      <c r="BI26" s="131" t="str">
        <f>IFERROR("x "&amp;VLOOKUP(B26,Calculations!$DH$3:$DY$200,18,FALSE),"")</f>
        <v/>
      </c>
      <c r="BJ26" s="131"/>
      <c r="BK26" s="131"/>
      <c r="BL26" s="131"/>
      <c r="BM26" s="131"/>
      <c r="BN26" s="131"/>
      <c r="BO26" s="131"/>
      <c r="BP26" s="131"/>
      <c r="BQ26" s="131" t="str">
        <f>IFERROR(VLOOKUP(B26,Calculations!$DH$3:$EE$200,22,FALSE),"")</f>
        <v/>
      </c>
      <c r="BR26" s="131"/>
      <c r="BS26" s="131"/>
      <c r="BT26" s="131"/>
      <c r="BU26" s="131"/>
      <c r="BV26" s="131"/>
      <c r="BW26" s="131"/>
      <c r="BX26" s="131"/>
      <c r="BY26" s="131" t="str">
        <f>IFERROR(VLOOKUP(B26,Calculations!$DH$3:$EA$200,19,FALSE)-ROUNDDOWN((CO26/5),0),"")</f>
        <v/>
      </c>
      <c r="BZ26" s="131"/>
      <c r="CA26" s="131"/>
      <c r="CB26" s="131"/>
      <c r="CC26" s="131"/>
      <c r="CD26" s="131"/>
      <c r="CE26" s="131"/>
      <c r="CF26" s="131"/>
      <c r="CG26" s="194">
        <v>0</v>
      </c>
      <c r="CH26" s="194"/>
      <c r="CI26" s="194"/>
      <c r="CJ26" s="194"/>
      <c r="CK26" s="194"/>
      <c r="CL26" s="194"/>
      <c r="CM26" s="194"/>
      <c r="CN26" s="194"/>
      <c r="CO26" s="194">
        <v>0</v>
      </c>
      <c r="CP26" s="194"/>
      <c r="CQ26" s="194"/>
      <c r="CR26" s="194"/>
      <c r="CS26" s="194"/>
      <c r="CT26" s="194"/>
      <c r="CU26" s="194"/>
      <c r="CV26" s="194"/>
      <c r="CW26" s="131" t="str">
        <f>IF(E26="","",IFERROR(VLOOKUP(B26,Calculations!$DH$3:$ED$200,23,FALSE)+CO26+CG26,"- -"))</f>
        <v/>
      </c>
      <c r="CX26" s="131"/>
      <c r="CY26" s="131"/>
      <c r="CZ26" s="131"/>
      <c r="DA26" s="131"/>
      <c r="DB26" s="131"/>
      <c r="DC26" s="131"/>
      <c r="DD26" s="131"/>
      <c r="DE26" s="199" t="str">
        <f>IF(E26="","",IFERROR(VLOOKUP(B26,Calculations!$DH$3:$EE$200,24,FALSE),"- -"))</f>
        <v/>
      </c>
      <c r="DF26" s="131"/>
      <c r="DG26" s="131"/>
      <c r="DH26" s="131"/>
      <c r="DI26" s="131"/>
      <c r="DJ26" s="131"/>
      <c r="DK26" s="131"/>
      <c r="DL26" s="131"/>
      <c r="DM26" s="199" t="str">
        <f>IF(E26="","",IFERROR(VLOOKUP(B26,Calculations!$DH$3:$EJ$200,25,FALSE),"- -"))</f>
        <v/>
      </c>
      <c r="DN26" s="131"/>
      <c r="DO26" s="131"/>
      <c r="DP26" s="131"/>
      <c r="DQ26" s="131"/>
      <c r="DR26" s="131"/>
      <c r="DS26" s="131"/>
      <c r="DT26" s="131"/>
      <c r="DU26" s="131" t="str">
        <f t="shared" ref="DU26:DU36" si="10">IF(E26="","",IF(DM26="- -","- -",DM26*2))</f>
        <v/>
      </c>
      <c r="DV26" s="131"/>
      <c r="DW26" s="131"/>
      <c r="DX26" s="131"/>
      <c r="DY26" s="131"/>
      <c r="DZ26" s="131"/>
      <c r="EA26" s="131"/>
      <c r="EB26" s="131"/>
      <c r="EC26" s="131" t="str">
        <f t="shared" ref="EC26:EC36" si="11">IF(E26="","",IF(DM26="- -","- -",DM26*3))</f>
        <v/>
      </c>
      <c r="ED26" s="131"/>
      <c r="EE26" s="131"/>
      <c r="EF26" s="131"/>
      <c r="EG26" s="131"/>
      <c r="EH26" s="131"/>
      <c r="EI26" s="131"/>
      <c r="EJ26" s="131"/>
      <c r="EK26" s="131" t="str">
        <f t="shared" ref="EK26:EK36" si="12">IF(E26="","",IF(DM26="- -","- -",DM26*4))</f>
        <v/>
      </c>
      <c r="EL26" s="131"/>
      <c r="EM26" s="131"/>
      <c r="EN26" s="131"/>
      <c r="EO26" s="131"/>
      <c r="EP26" s="131"/>
      <c r="EQ26" s="131"/>
      <c r="ER26" s="131"/>
      <c r="ES26" s="131" t="str">
        <f t="shared" ref="ES26:ES36" si="13">IF(E26="","",IF(DM26="- -","- -",DM26*5))</f>
        <v/>
      </c>
      <c r="ET26" s="131"/>
      <c r="EU26" s="131"/>
      <c r="EV26" s="131"/>
      <c r="EW26" s="131"/>
      <c r="EX26" s="131"/>
      <c r="EY26" s="131"/>
      <c r="EZ26" s="239"/>
      <c r="FB26" s="139"/>
      <c r="FC26" s="140"/>
      <c r="FD26" s="140"/>
      <c r="FE26" s="140"/>
      <c r="FF26" s="140"/>
      <c r="FG26" s="140"/>
      <c r="FH26" s="140"/>
      <c r="FI26" s="140"/>
      <c r="FJ26" s="140"/>
      <c r="FK26" s="140"/>
      <c r="FL26" s="140"/>
      <c r="FM26" s="140"/>
      <c r="FN26" s="140"/>
      <c r="FO26" s="140"/>
      <c r="FP26" s="140"/>
      <c r="FQ26" s="140"/>
      <c r="FR26" s="140"/>
      <c r="FS26" s="140"/>
      <c r="FT26" s="140"/>
      <c r="FU26" s="140"/>
      <c r="FV26" s="140"/>
      <c r="FW26" s="140"/>
      <c r="FX26" s="140"/>
      <c r="FY26" s="140"/>
      <c r="FZ26" s="140"/>
      <c r="GA26" s="140"/>
      <c r="GB26" s="140"/>
      <c r="GC26" s="140"/>
      <c r="GD26" s="140"/>
      <c r="GE26" s="140"/>
      <c r="GF26" s="140"/>
      <c r="GG26" s="140"/>
      <c r="GH26" s="140"/>
      <c r="GI26" s="140"/>
      <c r="GJ26" s="140"/>
      <c r="GK26" s="140"/>
      <c r="GL26" s="140"/>
      <c r="GM26" s="140"/>
      <c r="GN26" s="140"/>
      <c r="GO26" s="140"/>
      <c r="GP26" s="140"/>
      <c r="GQ26" s="140"/>
      <c r="GR26" s="140"/>
      <c r="GS26" s="140"/>
      <c r="GT26" s="141">
        <v>0</v>
      </c>
      <c r="GU26" s="141"/>
      <c r="GV26" s="141"/>
      <c r="GW26" s="141"/>
      <c r="GX26" s="141"/>
      <c r="GY26" s="141"/>
      <c r="GZ26" s="141"/>
      <c r="HA26" s="141"/>
      <c r="HB26" s="142" t="str">
        <f>IFERROR(ROUND(Calculations!BV26*GT26,2),"")</f>
        <v/>
      </c>
      <c r="HC26" s="142"/>
      <c r="HD26" s="142"/>
      <c r="HE26" s="142"/>
      <c r="HF26" s="142"/>
      <c r="HG26" s="142"/>
      <c r="HH26" s="142"/>
      <c r="HI26" s="142"/>
      <c r="HJ26" s="142">
        <f>IFERROR(Calculations!BS26+IQ26+IX26,"")</f>
        <v>0</v>
      </c>
      <c r="HK26" s="142"/>
      <c r="HL26" s="142"/>
      <c r="HM26" s="142"/>
      <c r="HN26" s="142"/>
      <c r="HO26" s="142"/>
      <c r="HP26" s="142"/>
      <c r="HQ26" s="142"/>
      <c r="HR26" s="142" t="str">
        <f t="shared" si="9"/>
        <v/>
      </c>
      <c r="HS26" s="142"/>
      <c r="HT26" s="142"/>
      <c r="HU26" s="142"/>
      <c r="HV26" s="142"/>
      <c r="HW26" s="142"/>
      <c r="HX26" s="142"/>
      <c r="HY26" s="142"/>
      <c r="HZ26" s="142" t="str">
        <f>IFERROR(Calculations!BX26,"")</f>
        <v/>
      </c>
      <c r="IA26" s="142"/>
      <c r="IB26" s="142"/>
      <c r="IC26" s="142"/>
      <c r="ID26" s="142"/>
      <c r="IE26" s="142"/>
      <c r="IF26" s="142"/>
      <c r="IG26" s="142"/>
      <c r="IH26" s="142"/>
      <c r="II26" s="142"/>
      <c r="IJ26" s="142" t="str">
        <f>IFERROR(Calculations!BR26+IX26,"")</f>
        <v/>
      </c>
      <c r="IK26" s="142"/>
      <c r="IL26" s="142"/>
      <c r="IM26" s="142"/>
      <c r="IN26" s="142"/>
      <c r="IO26" s="142"/>
      <c r="IP26" s="142"/>
      <c r="IQ26" s="141">
        <v>0</v>
      </c>
      <c r="IR26" s="141"/>
      <c r="IS26" s="141"/>
      <c r="IT26" s="141"/>
      <c r="IU26" s="141"/>
      <c r="IV26" s="141"/>
      <c r="IW26" s="141"/>
      <c r="IX26" s="141">
        <v>0</v>
      </c>
      <c r="IY26" s="141"/>
      <c r="IZ26" s="141"/>
      <c r="JA26" s="141"/>
      <c r="JB26" s="141"/>
      <c r="JC26" s="141"/>
      <c r="JD26" s="141"/>
      <c r="JE26" s="141"/>
      <c r="JF26" s="142"/>
      <c r="JG26" s="142"/>
      <c r="JH26" s="142"/>
      <c r="JI26" s="142"/>
      <c r="JJ26" s="142"/>
      <c r="JK26" s="143" t="str">
        <f>Calculations!AS26</f>
        <v/>
      </c>
      <c r="JL26" s="143"/>
      <c r="JM26" s="143"/>
      <c r="JN26" s="143"/>
      <c r="JO26" s="143"/>
      <c r="JP26" s="143"/>
      <c r="JQ26" s="143"/>
      <c r="JR26" s="143"/>
      <c r="JS26" s="143"/>
      <c r="JT26" s="143"/>
      <c r="JU26" s="143"/>
      <c r="JV26" s="143"/>
      <c r="JW26" s="143"/>
      <c r="JX26" s="143"/>
      <c r="JY26" s="143"/>
      <c r="JZ26" s="143"/>
      <c r="KA26" s="143"/>
      <c r="KB26" s="143"/>
      <c r="KC26" s="143" t="str">
        <f>Calculations!AW26</f>
        <v/>
      </c>
      <c r="KD26" s="143"/>
      <c r="KE26" s="143"/>
      <c r="KF26" s="143"/>
      <c r="KG26" s="143"/>
      <c r="KH26" s="143"/>
      <c r="KI26" s="143"/>
      <c r="KJ26" s="143"/>
      <c r="KK26" s="143"/>
      <c r="KL26" s="143"/>
      <c r="KM26" s="143"/>
      <c r="KN26" s="143"/>
      <c r="KO26" s="143"/>
      <c r="KP26" s="143"/>
      <c r="KQ26" s="143"/>
      <c r="KR26" s="143"/>
      <c r="KS26" s="143"/>
      <c r="KT26" s="143"/>
      <c r="KU26" s="144" t="str">
        <f t="shared" si="7"/>
        <v/>
      </c>
      <c r="KV26" s="144"/>
      <c r="KW26" s="144"/>
      <c r="KX26" s="144"/>
      <c r="KY26" s="144"/>
      <c r="KZ26" s="144"/>
      <c r="LA26" s="144"/>
      <c r="LB26" s="144"/>
      <c r="LC26" s="144"/>
      <c r="LD26" s="144"/>
      <c r="LE26" s="144"/>
      <c r="LF26" s="144"/>
      <c r="LG26" s="144"/>
      <c r="LH26" s="144"/>
      <c r="LI26" s="144"/>
      <c r="LJ26" s="144"/>
      <c r="LK26" s="144"/>
      <c r="LL26" s="144"/>
      <c r="LM26" s="144"/>
      <c r="LN26" s="144"/>
      <c r="LO26" s="144"/>
      <c r="LP26" s="144"/>
      <c r="LQ26" s="144"/>
      <c r="LR26" s="144"/>
      <c r="LS26" s="144"/>
      <c r="LT26" s="144"/>
      <c r="LU26" s="144"/>
      <c r="LV26" s="144"/>
      <c r="LW26" s="144"/>
      <c r="LX26" s="144"/>
      <c r="LY26" s="144"/>
      <c r="LZ26" s="144"/>
      <c r="MA26" s="144"/>
      <c r="MB26" s="144"/>
      <c r="MC26" s="144"/>
      <c r="MD26" s="144"/>
      <c r="ME26" s="144"/>
      <c r="MF26" s="144"/>
      <c r="MG26" s="144"/>
      <c r="MH26" s="144"/>
      <c r="MI26" s="144"/>
      <c r="MJ26" s="144"/>
      <c r="MK26" s="144"/>
      <c r="ML26" s="144"/>
      <c r="MM26" s="144"/>
      <c r="MN26" s="144"/>
      <c r="MO26" s="144"/>
      <c r="MP26" s="144"/>
      <c r="MQ26" s="144"/>
      <c r="MR26" s="144"/>
      <c r="MS26" s="144"/>
      <c r="MT26" s="144"/>
      <c r="MU26" s="144"/>
      <c r="MV26" s="144"/>
      <c r="MW26" s="144"/>
      <c r="MX26" s="144"/>
      <c r="MY26" s="144"/>
      <c r="MZ26" s="145"/>
      <c r="NB26" s="128" t="s">
        <v>3483</v>
      </c>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9"/>
      <c r="OH26" s="129"/>
      <c r="OI26" s="129"/>
      <c r="OJ26" s="129"/>
      <c r="OK26" s="129"/>
      <c r="OL26" s="129"/>
      <c r="OM26" s="129"/>
      <c r="ON26" s="129"/>
      <c r="OO26" s="129"/>
      <c r="OP26" s="129"/>
      <c r="OQ26" s="129"/>
      <c r="OR26" s="129"/>
      <c r="OS26" s="129"/>
      <c r="OT26" s="129"/>
      <c r="OU26" s="129"/>
      <c r="OV26" s="129"/>
      <c r="OW26" s="129"/>
      <c r="OX26" s="129"/>
      <c r="OY26" s="129"/>
      <c r="OZ26" s="129"/>
      <c r="PA26" s="129"/>
      <c r="PB26" s="128"/>
      <c r="PC26" s="128"/>
      <c r="PD26" s="128"/>
      <c r="PE26" s="128"/>
      <c r="PF26" s="128"/>
      <c r="PG26" s="128"/>
      <c r="PH26" s="129"/>
      <c r="PI26" s="129"/>
      <c r="PJ26" s="129"/>
      <c r="PK26" s="129"/>
      <c r="PL26" s="129"/>
      <c r="PM26" s="129"/>
      <c r="PN26" s="129"/>
      <c r="PO26" s="129"/>
      <c r="PP26" s="129"/>
      <c r="PQ26" s="129"/>
      <c r="PR26" s="129"/>
      <c r="PS26" s="129"/>
      <c r="PT26" s="129"/>
      <c r="PU26" s="129"/>
      <c r="PV26" s="129"/>
      <c r="PW26" s="129"/>
      <c r="PX26" s="129"/>
      <c r="PY26" s="129"/>
      <c r="PZ26" s="129"/>
      <c r="QA26" s="129"/>
      <c r="QB26" s="129"/>
      <c r="QC26" s="129"/>
      <c r="QD26" s="129"/>
      <c r="QE26" s="129"/>
      <c r="QF26" s="129"/>
      <c r="QG26" s="129"/>
      <c r="QH26" s="129"/>
      <c r="QI26" s="129"/>
      <c r="QJ26" s="128"/>
      <c r="QK26" s="128"/>
      <c r="QL26" s="128"/>
      <c r="QM26" s="128"/>
      <c r="QN26" s="128"/>
      <c r="QO26" s="128"/>
      <c r="QP26" s="128"/>
      <c r="AIT26" s="128" t="s">
        <v>206</v>
      </c>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9"/>
      <c r="AJZ26" s="129"/>
      <c r="AKA26" s="129"/>
      <c r="AKB26" s="129"/>
      <c r="AKC26" s="129"/>
      <c r="AKD26" s="129"/>
      <c r="AKE26" s="129"/>
      <c r="AKF26" s="129"/>
      <c r="AKG26" s="129"/>
      <c r="AKH26" s="129"/>
      <c r="AKI26" s="129"/>
      <c r="AKJ26" s="129"/>
      <c r="AKK26" s="129"/>
      <c r="AKL26" s="129"/>
      <c r="AKM26" s="129"/>
      <c r="AKN26" s="129"/>
      <c r="AKO26" s="129"/>
      <c r="AKP26" s="129"/>
      <c r="AKQ26" s="129"/>
      <c r="AKR26" s="129"/>
      <c r="AKS26" s="129"/>
      <c r="AKT26" s="128"/>
      <c r="AKU26" s="128"/>
      <c r="AKV26" s="128"/>
      <c r="AKW26" s="128"/>
      <c r="AKX26" s="128"/>
      <c r="AKY26" s="128"/>
      <c r="AKZ26" s="129"/>
      <c r="ALA26" s="129"/>
      <c r="ALB26" s="129"/>
      <c r="ALC26" s="129"/>
      <c r="ALD26" s="129"/>
      <c r="ALE26" s="129"/>
      <c r="ALF26" s="129"/>
      <c r="ALG26" s="129"/>
      <c r="ALH26" s="129"/>
      <c r="ALI26" s="129"/>
      <c r="ALJ26" s="129"/>
      <c r="ALK26" s="129"/>
      <c r="ALL26" s="129"/>
      <c r="ALM26" s="129"/>
      <c r="ALN26" s="129"/>
      <c r="ALO26" s="129"/>
      <c r="ALP26" s="129"/>
      <c r="ALQ26" s="129"/>
      <c r="ALR26" s="129"/>
      <c r="ALS26" s="129"/>
      <c r="ALT26" s="129"/>
      <c r="ALU26" s="129"/>
      <c r="ALV26" s="129"/>
      <c r="ALW26" s="129"/>
      <c r="ALX26" s="129"/>
      <c r="ALY26" s="129"/>
      <c r="ALZ26" s="129"/>
      <c r="AMA26" s="129"/>
      <c r="AMB26" s="128"/>
      <c r="AMC26" s="128"/>
      <c r="AMD26" s="128"/>
      <c r="AME26" s="128"/>
      <c r="AMF26" s="128"/>
      <c r="AMG26" s="128"/>
      <c r="AMH26" s="128"/>
      <c r="APZ26" s="128" t="s">
        <v>592</v>
      </c>
      <c r="AQA26" s="128"/>
      <c r="AQB26" s="128"/>
      <c r="AQC26" s="128"/>
      <c r="AQD26" s="128"/>
      <c r="AQE26" s="128"/>
      <c r="AQF26" s="128"/>
      <c r="AQG26" s="128"/>
      <c r="AQH26" s="128"/>
      <c r="AQI26" s="128"/>
      <c r="AQJ26" s="128"/>
      <c r="AQK26" s="128"/>
      <c r="AQL26" s="128"/>
      <c r="AQM26" s="128"/>
      <c r="AQN26" s="128"/>
      <c r="AQO26" s="128"/>
      <c r="AQP26" s="128"/>
      <c r="AQQ26" s="128"/>
      <c r="AQR26" s="128"/>
      <c r="AQS26" s="128"/>
      <c r="AQT26" s="128"/>
      <c r="AQU26" s="128"/>
      <c r="AQV26" s="128"/>
      <c r="AQW26" s="128"/>
      <c r="AQX26" s="128"/>
      <c r="AQY26" s="128"/>
      <c r="AQZ26" s="128"/>
      <c r="ARA26" s="128"/>
      <c r="ARB26" s="128"/>
      <c r="ARC26" s="128"/>
      <c r="ARD26" s="128"/>
      <c r="ARE26" s="129"/>
      <c r="ARF26" s="129"/>
      <c r="ARG26" s="129"/>
      <c r="ARH26" s="129"/>
      <c r="ARI26" s="129"/>
      <c r="ARJ26" s="129"/>
      <c r="ARK26" s="129"/>
      <c r="ARL26" s="129"/>
      <c r="ARM26" s="129"/>
      <c r="ARN26" s="129"/>
      <c r="ARO26" s="129"/>
      <c r="ARP26" s="129"/>
      <c r="ARQ26" s="129"/>
      <c r="ARR26" s="129"/>
      <c r="ARS26" s="129"/>
      <c r="ART26" s="129"/>
      <c r="ARU26" s="129"/>
      <c r="ARV26" s="129"/>
      <c r="ARW26" s="129"/>
      <c r="ARX26" s="129"/>
      <c r="ARY26" s="129"/>
      <c r="ARZ26" s="128"/>
      <c r="ASA26" s="128"/>
      <c r="ASB26" s="128"/>
      <c r="ASC26" s="128"/>
      <c r="ASD26" s="128"/>
      <c r="ASE26" s="128"/>
      <c r="ASF26" s="129"/>
      <c r="ASG26" s="129"/>
      <c r="ASH26" s="129"/>
      <c r="ASI26" s="129"/>
      <c r="ASJ26" s="129"/>
      <c r="ASK26" s="129"/>
      <c r="ASL26" s="129"/>
      <c r="ASM26" s="129"/>
      <c r="ASN26" s="129"/>
      <c r="ASO26" s="129"/>
      <c r="ASP26" s="129"/>
      <c r="ASQ26" s="129"/>
      <c r="ASR26" s="129"/>
      <c r="ASS26" s="129"/>
      <c r="AST26" s="129"/>
      <c r="ASU26" s="129"/>
      <c r="ASV26" s="129"/>
      <c r="ASW26" s="129"/>
      <c r="ASX26" s="129"/>
      <c r="ASY26" s="129"/>
      <c r="ASZ26" s="129"/>
      <c r="ATA26" s="129"/>
      <c r="ATB26" s="129"/>
      <c r="ATC26" s="129"/>
      <c r="ATD26" s="129"/>
      <c r="ATE26" s="129"/>
      <c r="ATF26" s="129"/>
      <c r="ATG26" s="129"/>
      <c r="ATH26" s="128"/>
      <c r="ATI26" s="128"/>
      <c r="ATJ26" s="128"/>
      <c r="ATK26" s="128"/>
      <c r="ATL26" s="128"/>
      <c r="ATM26" s="128"/>
      <c r="ATN26" s="128"/>
      <c r="AXF26" s="144" t="s">
        <v>278</v>
      </c>
      <c r="AXG26" s="144"/>
      <c r="AXH26" s="144"/>
      <c r="AXI26" s="144"/>
      <c r="AXJ26" s="144"/>
      <c r="AXK26" s="144"/>
      <c r="AXL26" s="144"/>
      <c r="AXM26" s="144"/>
      <c r="AXN26" s="144"/>
      <c r="AXO26" s="144"/>
      <c r="AXP26" s="144"/>
      <c r="AXQ26" s="144"/>
      <c r="AXR26" s="144"/>
      <c r="AXS26" s="144"/>
      <c r="AXT26" s="144"/>
      <c r="AXU26" s="144"/>
      <c r="AXV26" s="144"/>
      <c r="AXW26" s="144"/>
      <c r="AXX26" s="144"/>
      <c r="AXY26" s="144"/>
      <c r="AXZ26" s="144"/>
      <c r="AYA26" s="144"/>
      <c r="AYB26" s="144"/>
      <c r="AYC26" s="144"/>
      <c r="AYD26" s="144"/>
      <c r="AYE26" s="144"/>
      <c r="AYF26" s="144"/>
      <c r="AYG26" s="144"/>
      <c r="AYH26" s="144"/>
      <c r="AYI26" s="144"/>
      <c r="AYJ26" s="144"/>
      <c r="AYK26" s="144"/>
      <c r="AYL26" s="144"/>
      <c r="AYM26" s="144"/>
      <c r="AYN26" s="144"/>
      <c r="AYO26" s="144"/>
      <c r="AYP26" s="144"/>
      <c r="AYQ26" s="144"/>
      <c r="AYR26" s="144"/>
      <c r="AYS26" s="144"/>
      <c r="AYT26" s="144"/>
      <c r="AYU26" s="144"/>
      <c r="AYV26" s="144"/>
      <c r="AYW26" s="144"/>
      <c r="AYX26" s="144"/>
      <c r="AYY26" s="144"/>
      <c r="AYZ26" s="144"/>
      <c r="AZA26" s="144"/>
      <c r="AZB26" s="144"/>
      <c r="AZC26" s="144"/>
      <c r="AZD26" s="144"/>
      <c r="AZE26" s="144"/>
      <c r="AZF26" s="144"/>
      <c r="AZG26" s="144"/>
      <c r="AZH26" s="144"/>
      <c r="AZI26" s="144"/>
      <c r="AZJ26" s="144"/>
      <c r="AZK26" s="144"/>
      <c r="AZL26" s="144"/>
      <c r="AZM26" s="144"/>
      <c r="AZN26" s="144"/>
      <c r="AZO26" s="144"/>
      <c r="AZP26" s="144"/>
      <c r="AZQ26" s="144"/>
      <c r="AZR26" s="144"/>
      <c r="AZS26" s="144"/>
      <c r="AZT26" s="144"/>
      <c r="AZU26" s="144"/>
      <c r="AZV26" s="144"/>
      <c r="AZW26" s="144"/>
      <c r="AZX26" s="144"/>
      <c r="AZY26" s="144"/>
      <c r="AZZ26" s="144"/>
      <c r="BAA26" s="144"/>
      <c r="BAB26" s="144"/>
      <c r="BAC26" s="144"/>
      <c r="BAD26" s="144"/>
      <c r="BAE26" s="144"/>
      <c r="BAF26" s="144"/>
      <c r="BAG26" s="144"/>
      <c r="BAH26" s="144"/>
      <c r="BAI26" s="144"/>
      <c r="BAJ26" s="144"/>
      <c r="BAK26" s="144"/>
      <c r="BAL26" s="144"/>
      <c r="BAM26" s="144"/>
      <c r="BAN26" s="144"/>
      <c r="BAO26" s="144"/>
      <c r="BAP26" s="144"/>
      <c r="BAQ26" s="144"/>
      <c r="BAR26" s="144"/>
      <c r="BAS26" s="144"/>
      <c r="BAT26" s="144"/>
      <c r="BAV26" s="128" t="s">
        <v>297</v>
      </c>
      <c r="BAW26" s="128"/>
      <c r="BAX26" s="128"/>
      <c r="BAY26" s="128"/>
      <c r="BAZ26" s="128"/>
      <c r="BBA26" s="128"/>
      <c r="BBB26" s="128"/>
      <c r="BBC26" s="128"/>
      <c r="BBD26" s="128"/>
      <c r="BBE26" s="128"/>
      <c r="BBF26" s="128"/>
      <c r="BBG26" s="128"/>
      <c r="BBH26" s="128"/>
      <c r="BBI26" s="128"/>
      <c r="BBJ26" s="128"/>
      <c r="BBK26" s="128"/>
      <c r="BBL26" s="128"/>
      <c r="BBM26" s="128"/>
      <c r="BBN26" s="128"/>
      <c r="BBO26" s="128"/>
      <c r="BBP26" s="128"/>
      <c r="BBQ26" s="128"/>
      <c r="BBR26" s="128"/>
      <c r="BBS26" s="128"/>
      <c r="BBT26" s="128"/>
      <c r="BBU26" s="128"/>
      <c r="BBV26" s="128"/>
      <c r="BBW26" s="128"/>
      <c r="BBX26" s="128"/>
      <c r="BBY26" s="128"/>
      <c r="BBZ26" s="128"/>
      <c r="BCA26" s="129"/>
      <c r="BCB26" s="129"/>
      <c r="BCC26" s="129"/>
      <c r="BCD26" s="129"/>
      <c r="BCE26" s="129"/>
      <c r="BCF26" s="129"/>
      <c r="BCG26" s="129"/>
      <c r="BCH26" s="129"/>
      <c r="BCI26" s="129"/>
      <c r="BCJ26" s="129"/>
      <c r="BCK26" s="129"/>
      <c r="BCL26" s="129"/>
      <c r="BCM26" s="129"/>
      <c r="BCN26" s="129"/>
      <c r="BCO26" s="129"/>
      <c r="BCP26" s="129"/>
      <c r="BCQ26" s="129"/>
      <c r="BCR26" s="129"/>
      <c r="BCS26" s="129"/>
      <c r="BCT26" s="129"/>
      <c r="BCU26" s="129"/>
      <c r="BCV26" s="128"/>
      <c r="BCW26" s="128"/>
      <c r="BCX26" s="128"/>
      <c r="BCY26" s="128"/>
      <c r="BCZ26" s="128"/>
      <c r="BDA26" s="128"/>
      <c r="BDB26" s="129"/>
      <c r="BDC26" s="129"/>
      <c r="BDD26" s="129"/>
      <c r="BDE26" s="129"/>
      <c r="BDF26" s="129"/>
      <c r="BDG26" s="129"/>
      <c r="BDH26" s="129"/>
      <c r="BDI26" s="129"/>
      <c r="BDJ26" s="129"/>
      <c r="BDK26" s="129"/>
      <c r="BDL26" s="129"/>
      <c r="BDM26" s="129"/>
      <c r="BDN26" s="129"/>
      <c r="BDO26" s="129"/>
      <c r="BDP26" s="129"/>
      <c r="BDQ26" s="129"/>
      <c r="BDR26" s="129"/>
      <c r="BDS26" s="129"/>
      <c r="BDT26" s="129"/>
      <c r="BDU26" s="129"/>
      <c r="BDV26" s="129"/>
      <c r="BDW26" s="129"/>
      <c r="BDX26" s="129"/>
      <c r="BDY26" s="129"/>
      <c r="BDZ26" s="129"/>
      <c r="BEA26" s="129"/>
      <c r="BEB26" s="129"/>
      <c r="BEC26" s="129"/>
      <c r="BED26" s="128"/>
      <c r="BEE26" s="128"/>
      <c r="BEF26" s="128"/>
      <c r="BEG26" s="128"/>
      <c r="BEH26" s="128"/>
      <c r="BEI26" s="128"/>
      <c r="BEJ26" s="128"/>
      <c r="COP26" s="144" t="s">
        <v>147</v>
      </c>
      <c r="COQ26" s="144"/>
      <c r="COR26" s="144"/>
      <c r="COS26" s="144"/>
      <c r="COT26" s="144"/>
      <c r="COU26" s="144"/>
      <c r="COV26" s="144"/>
      <c r="COW26" s="144"/>
      <c r="COX26" s="144"/>
      <c r="COY26" s="144"/>
      <c r="COZ26" s="144"/>
      <c r="CPA26" s="144"/>
      <c r="CPB26" s="144"/>
      <c r="CPC26" s="144"/>
      <c r="CPD26" s="144"/>
      <c r="CPE26" s="144"/>
      <c r="CPF26" s="144"/>
      <c r="CPG26" s="144"/>
      <c r="CPH26" s="144"/>
      <c r="CPI26" s="144"/>
      <c r="CPJ26" s="144"/>
      <c r="CPK26" s="144"/>
      <c r="CPL26" s="144"/>
      <c r="CPM26" s="144"/>
      <c r="CPN26" s="144"/>
      <c r="CPO26" s="144"/>
      <c r="CPP26" s="144"/>
      <c r="CPQ26" s="144"/>
      <c r="CPR26" s="144"/>
      <c r="CPS26" s="144"/>
      <c r="CPT26" s="144"/>
      <c r="CPU26" s="129" t="s">
        <v>133</v>
      </c>
      <c r="CPV26" s="129"/>
      <c r="CPW26" s="129"/>
      <c r="CPX26" s="129"/>
      <c r="CPY26" s="129" t="s">
        <v>148</v>
      </c>
      <c r="CPZ26" s="129"/>
      <c r="CQA26" s="129"/>
      <c r="CQB26" s="129"/>
      <c r="CQC26" s="129"/>
      <c r="CQD26" s="129" t="s">
        <v>83</v>
      </c>
      <c r="CQE26" s="129"/>
      <c r="CQF26" s="129"/>
      <c r="CQG26" s="129"/>
      <c r="CQH26" s="129"/>
      <c r="CQI26" s="129"/>
      <c r="CQJ26" s="129" t="s">
        <v>37</v>
      </c>
      <c r="CQK26" s="129"/>
      <c r="CQL26" s="129"/>
      <c r="CQM26" s="129"/>
      <c r="CQN26" s="129"/>
      <c r="CQO26" s="129"/>
      <c r="CQP26" s="129" t="s">
        <v>49</v>
      </c>
      <c r="CQQ26" s="129"/>
      <c r="CQR26" s="129"/>
      <c r="CQS26" s="129"/>
      <c r="CQT26" s="129"/>
      <c r="CQU26" s="129"/>
      <c r="CQV26" s="129" t="s">
        <v>149</v>
      </c>
      <c r="CQW26" s="129"/>
      <c r="CQX26" s="129"/>
      <c r="CQY26" s="129"/>
      <c r="CQZ26" s="129"/>
      <c r="CRA26" s="129"/>
      <c r="CRB26" s="129"/>
      <c r="CRC26" s="129" t="s">
        <v>150</v>
      </c>
      <c r="CRD26" s="129"/>
      <c r="CRE26" s="129"/>
      <c r="CRF26" s="129"/>
      <c r="CRG26" s="129"/>
      <c r="CRH26" s="129"/>
      <c r="CRI26" s="129"/>
      <c r="CRJ26" s="129" t="s">
        <v>151</v>
      </c>
      <c r="CRK26" s="129"/>
      <c r="CRL26" s="129"/>
      <c r="CRM26" s="129"/>
      <c r="CRN26" s="129"/>
      <c r="CRO26" s="129"/>
      <c r="CRP26" s="129"/>
      <c r="CRQ26" s="129" t="s">
        <v>37</v>
      </c>
      <c r="CRR26" s="129"/>
      <c r="CRS26" s="129"/>
      <c r="CRT26" s="129"/>
      <c r="CRU26" s="129"/>
      <c r="CRV26" s="129"/>
      <c r="CRW26" s="129"/>
      <c r="CRX26" s="129" t="s">
        <v>40</v>
      </c>
      <c r="CRY26" s="129"/>
      <c r="CRZ26" s="129"/>
      <c r="CSA26" s="129"/>
      <c r="CSB26" s="129"/>
      <c r="CSC26" s="129"/>
      <c r="CSD26" s="129"/>
      <c r="CSF26" s="128" t="s">
        <v>451</v>
      </c>
      <c r="CSG26" s="128"/>
      <c r="CSH26" s="128"/>
      <c r="CSI26" s="128"/>
      <c r="CSJ26" s="128"/>
      <c r="CSK26" s="128"/>
      <c r="CSL26" s="128"/>
      <c r="CSM26" s="128"/>
      <c r="CSN26" s="128"/>
      <c r="CSO26" s="128"/>
      <c r="CSP26" s="128"/>
      <c r="CSQ26" s="128"/>
      <c r="CSR26" s="128"/>
      <c r="CSS26" s="128"/>
      <c r="CST26" s="128"/>
      <c r="CSU26" s="128"/>
      <c r="CSV26" s="128"/>
      <c r="CSW26" s="128"/>
      <c r="CSX26" s="128"/>
      <c r="CSY26" s="128"/>
      <c r="CSZ26" s="128"/>
      <c r="CTA26" s="128"/>
      <c r="CTB26" s="128"/>
      <c r="CTC26" s="128"/>
      <c r="CTD26" s="128"/>
      <c r="CTE26" s="128"/>
      <c r="CTF26" s="128"/>
      <c r="CTG26" s="128"/>
      <c r="CTH26" s="128"/>
      <c r="CTI26" s="128"/>
      <c r="CTJ26" s="128"/>
      <c r="CTK26" s="129"/>
      <c r="CTL26" s="129"/>
      <c r="CTM26" s="129"/>
      <c r="CTN26" s="129"/>
      <c r="CTO26" s="129"/>
      <c r="CTP26" s="129"/>
      <c r="CTQ26" s="129"/>
      <c r="CTR26" s="129"/>
      <c r="CTS26" s="129"/>
      <c r="CTT26" s="129"/>
      <c r="CTU26" s="129"/>
      <c r="CTV26" s="129"/>
      <c r="CTW26" s="129"/>
      <c r="CTX26" s="129"/>
      <c r="CTY26" s="129"/>
      <c r="CTZ26" s="129"/>
      <c r="CUA26" s="129"/>
      <c r="CUB26" s="129"/>
      <c r="CUC26" s="129"/>
      <c r="CUD26" s="129"/>
      <c r="CUE26" s="129"/>
      <c r="CUF26" s="128"/>
      <c r="CUG26" s="128"/>
      <c r="CUH26" s="128"/>
      <c r="CUI26" s="128"/>
      <c r="CUJ26" s="128"/>
      <c r="CUK26" s="128"/>
      <c r="CUL26" s="129"/>
      <c r="CUM26" s="129"/>
      <c r="CUN26" s="129"/>
      <c r="CUO26" s="129"/>
      <c r="CUP26" s="129"/>
      <c r="CUQ26" s="129"/>
      <c r="CUR26" s="129"/>
      <c r="CUS26" s="129"/>
      <c r="CUT26" s="129"/>
      <c r="CUU26" s="129"/>
      <c r="CUV26" s="129"/>
      <c r="CUW26" s="129"/>
      <c r="CUX26" s="129"/>
      <c r="CUY26" s="129"/>
      <c r="CUZ26" s="129"/>
      <c r="CVA26" s="129"/>
      <c r="CVB26" s="129"/>
      <c r="CVC26" s="129"/>
      <c r="CVD26" s="129"/>
      <c r="CVE26" s="129"/>
      <c r="CVF26" s="129"/>
      <c r="CVG26" s="129"/>
      <c r="CVH26" s="129"/>
      <c r="CVI26" s="129"/>
      <c r="CVJ26" s="129"/>
      <c r="CVK26" s="129"/>
      <c r="CVL26" s="129"/>
      <c r="CVM26" s="129"/>
      <c r="CVN26" s="128"/>
      <c r="CVO26" s="128"/>
      <c r="CVP26" s="128"/>
      <c r="CVQ26" s="128"/>
      <c r="CVR26" s="128"/>
      <c r="CVS26" s="128"/>
      <c r="CVT26" s="128"/>
      <c r="DDB26" s="128" t="s">
        <v>533</v>
      </c>
      <c r="DDC26" s="128"/>
      <c r="DDD26" s="128"/>
      <c r="DDE26" s="128"/>
      <c r="DDF26" s="128"/>
      <c r="DDG26" s="128"/>
      <c r="DDH26" s="128"/>
      <c r="DDI26" s="128"/>
      <c r="DDJ26" s="128"/>
      <c r="DDK26" s="128"/>
      <c r="DDL26" s="128"/>
      <c r="DDM26" s="128"/>
      <c r="DDN26" s="128"/>
      <c r="DDO26" s="128"/>
      <c r="DDP26" s="128"/>
      <c r="DDQ26" s="128"/>
      <c r="DDR26" s="128"/>
      <c r="DDS26" s="128"/>
      <c r="DDT26" s="128"/>
      <c r="DDU26" s="128"/>
      <c r="DDV26" s="128"/>
      <c r="DDW26" s="128"/>
      <c r="DDX26" s="128"/>
      <c r="DDY26" s="128"/>
      <c r="DDZ26" s="128"/>
      <c r="DEA26" s="128"/>
      <c r="DEB26" s="128"/>
      <c r="DEC26" s="128"/>
      <c r="DED26" s="128"/>
      <c r="DEE26" s="128"/>
      <c r="DEF26" s="128"/>
      <c r="DEG26" s="129"/>
      <c r="DEH26" s="129"/>
      <c r="DEI26" s="129"/>
      <c r="DEJ26" s="129"/>
      <c r="DEK26" s="129"/>
      <c r="DEL26" s="129"/>
      <c r="DEM26" s="129"/>
      <c r="DEN26" s="129"/>
      <c r="DEO26" s="129"/>
      <c r="DEP26" s="129"/>
      <c r="DEQ26" s="129"/>
      <c r="DER26" s="129"/>
      <c r="DES26" s="129"/>
      <c r="DET26" s="129"/>
      <c r="DEU26" s="129"/>
      <c r="DEV26" s="129"/>
      <c r="DEW26" s="129"/>
      <c r="DEX26" s="129"/>
      <c r="DEY26" s="129"/>
      <c r="DEZ26" s="129"/>
      <c r="DFA26" s="129"/>
      <c r="DFB26" s="128"/>
      <c r="DFC26" s="128"/>
      <c r="DFD26" s="128"/>
      <c r="DFE26" s="128"/>
      <c r="DFF26" s="128"/>
      <c r="DFG26" s="128"/>
      <c r="DFH26" s="129"/>
      <c r="DFI26" s="129"/>
      <c r="DFJ26" s="129"/>
      <c r="DFK26" s="129"/>
      <c r="DFL26" s="129"/>
      <c r="DFM26" s="129"/>
      <c r="DFN26" s="129"/>
      <c r="DFO26" s="129"/>
      <c r="DFP26" s="129"/>
      <c r="DFQ26" s="129"/>
      <c r="DFR26" s="129"/>
      <c r="DFS26" s="129"/>
      <c r="DFT26" s="129"/>
      <c r="DFU26" s="129"/>
      <c r="DFV26" s="129"/>
      <c r="DFW26" s="129"/>
      <c r="DFX26" s="129"/>
      <c r="DFY26" s="129"/>
      <c r="DFZ26" s="129"/>
      <c r="DGA26" s="129"/>
      <c r="DGB26" s="129"/>
      <c r="DGC26" s="129"/>
      <c r="DGD26" s="129"/>
      <c r="DGE26" s="129"/>
      <c r="DGF26" s="129"/>
      <c r="DGG26" s="129"/>
      <c r="DGH26" s="129"/>
      <c r="DGI26" s="129"/>
      <c r="DGJ26" s="128"/>
      <c r="DGK26" s="128"/>
      <c r="DGL26" s="128"/>
      <c r="DGM26" s="128"/>
      <c r="DGN26" s="128"/>
      <c r="DGO26" s="128"/>
      <c r="DGP26" s="128"/>
    </row>
    <row r="27" spans="2:1022 1118:1774 2152:2996" ht="15" customHeight="1" x14ac:dyDescent="0.25">
      <c r="B27" s="133">
        <v>2</v>
      </c>
      <c r="C27" s="134"/>
      <c r="D27" s="134"/>
      <c r="E27" s="134" t="str">
        <f>IFERROR(VLOOKUP(B27,Calculations!$DH$3:$DJ$127,3,FALSE),"")</f>
        <v/>
      </c>
      <c r="F27" s="134"/>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96" t="str">
        <f>IFERROR(VLOOKUP(B27,Calculations!$DH$3:$DX$200,17,FALSE),"")</f>
        <v/>
      </c>
      <c r="AH27" s="130"/>
      <c r="AI27" s="130"/>
      <c r="AJ27" s="130"/>
      <c r="AK27" s="130"/>
      <c r="AL27" s="130"/>
      <c r="AM27" s="130"/>
      <c r="AN27" s="130"/>
      <c r="AO27" s="130"/>
      <c r="AP27" s="130"/>
      <c r="AQ27" s="130"/>
      <c r="AR27" s="130"/>
      <c r="AS27" s="130"/>
      <c r="AT27" s="130"/>
      <c r="AU27" s="130"/>
      <c r="AV27" s="130"/>
      <c r="AW27" s="130"/>
      <c r="AX27" s="130"/>
      <c r="AY27" s="130"/>
      <c r="AZ27" s="130"/>
      <c r="BA27" s="197"/>
      <c r="BB27" s="210" t="str">
        <f>IFERROR(IFERROR((VLOOKUP(E27,Calculations!$DR$3:$EJ$200,19,FALSE)),0)+VLOOKUP(B27,Calculations!$DH$3:$DN$200,7,FALSE)+CG27+CO27+IFERROR(VLOOKUP((LEFT(E27,FIND("(",E27)-2)),Calculations!$DJ$3:$EJ$200,26,FALSE),0),"")</f>
        <v/>
      </c>
      <c r="BC27" s="210"/>
      <c r="BD27" s="210"/>
      <c r="BE27" s="210"/>
      <c r="BF27" s="210"/>
      <c r="BG27" s="210"/>
      <c r="BH27" s="210"/>
      <c r="BI27" s="130" t="str">
        <f>IFERROR("x "&amp;VLOOKUP(B27,Calculations!$DH$3:$DY$200,18,FALSE),"")</f>
        <v/>
      </c>
      <c r="BJ27" s="130"/>
      <c r="BK27" s="130"/>
      <c r="BL27" s="130"/>
      <c r="BM27" s="130"/>
      <c r="BN27" s="130"/>
      <c r="BO27" s="130"/>
      <c r="BP27" s="130"/>
      <c r="BQ27" s="130" t="str">
        <f>IFERROR(VLOOKUP(B27,Calculations!$DH$3:$EE$200,22,FALSE),"")</f>
        <v/>
      </c>
      <c r="BR27" s="130"/>
      <c r="BS27" s="130"/>
      <c r="BT27" s="130"/>
      <c r="BU27" s="130"/>
      <c r="BV27" s="130"/>
      <c r="BW27" s="130"/>
      <c r="BX27" s="130"/>
      <c r="BY27" s="130" t="str">
        <f>IFERROR(VLOOKUP(B27,Calculations!$DH$3:$EA$200,19,FALSE)-ROUNDDOWN((CO27/5),0),"")</f>
        <v/>
      </c>
      <c r="BZ27" s="130"/>
      <c r="CA27" s="130"/>
      <c r="CB27" s="130"/>
      <c r="CC27" s="130"/>
      <c r="CD27" s="130"/>
      <c r="CE27" s="130"/>
      <c r="CF27" s="130"/>
      <c r="CG27" s="195">
        <v>0</v>
      </c>
      <c r="CH27" s="195"/>
      <c r="CI27" s="195"/>
      <c r="CJ27" s="195"/>
      <c r="CK27" s="195"/>
      <c r="CL27" s="195"/>
      <c r="CM27" s="195"/>
      <c r="CN27" s="195"/>
      <c r="CO27" s="195">
        <v>0</v>
      </c>
      <c r="CP27" s="195"/>
      <c r="CQ27" s="195"/>
      <c r="CR27" s="195"/>
      <c r="CS27" s="195"/>
      <c r="CT27" s="195"/>
      <c r="CU27" s="195"/>
      <c r="CV27" s="195"/>
      <c r="CW27" s="130" t="str">
        <f>IF(E27="","",IFERROR(VLOOKUP(B27,Calculations!$DH$3:$ED$200,23,FALSE)+CO27+CG27,"- -"))</f>
        <v/>
      </c>
      <c r="CX27" s="130"/>
      <c r="CY27" s="130"/>
      <c r="CZ27" s="130"/>
      <c r="DA27" s="130"/>
      <c r="DB27" s="130"/>
      <c r="DC27" s="130"/>
      <c r="DD27" s="130"/>
      <c r="DE27" s="198" t="str">
        <f>IF(E27="","",IFERROR(VLOOKUP(B27,Calculations!$DH$3:$EE$200,24,FALSE),"- -"))</f>
        <v/>
      </c>
      <c r="DF27" s="130"/>
      <c r="DG27" s="130"/>
      <c r="DH27" s="130"/>
      <c r="DI27" s="130"/>
      <c r="DJ27" s="130"/>
      <c r="DK27" s="130"/>
      <c r="DL27" s="130"/>
      <c r="DM27" s="198" t="str">
        <f>IF(E27="","",IFERROR(VLOOKUP(B27,Calculations!$DH$3:$EJ$200,25,FALSE),"- -"))</f>
        <v/>
      </c>
      <c r="DN27" s="130"/>
      <c r="DO27" s="130"/>
      <c r="DP27" s="130"/>
      <c r="DQ27" s="130"/>
      <c r="DR27" s="130"/>
      <c r="DS27" s="130"/>
      <c r="DT27" s="130"/>
      <c r="DU27" s="130" t="str">
        <f t="shared" si="10"/>
        <v/>
      </c>
      <c r="DV27" s="130"/>
      <c r="DW27" s="130"/>
      <c r="DX27" s="130"/>
      <c r="DY27" s="130"/>
      <c r="DZ27" s="130"/>
      <c r="EA27" s="130"/>
      <c r="EB27" s="130"/>
      <c r="EC27" s="130" t="str">
        <f t="shared" si="11"/>
        <v/>
      </c>
      <c r="ED27" s="130"/>
      <c r="EE27" s="130"/>
      <c r="EF27" s="130"/>
      <c r="EG27" s="130"/>
      <c r="EH27" s="130"/>
      <c r="EI27" s="130"/>
      <c r="EJ27" s="130"/>
      <c r="EK27" s="130" t="str">
        <f t="shared" si="12"/>
        <v/>
      </c>
      <c r="EL27" s="130"/>
      <c r="EM27" s="130"/>
      <c r="EN27" s="130"/>
      <c r="EO27" s="130"/>
      <c r="EP27" s="130"/>
      <c r="EQ27" s="130"/>
      <c r="ER27" s="130"/>
      <c r="ES27" s="130" t="str">
        <f t="shared" si="13"/>
        <v/>
      </c>
      <c r="ET27" s="130"/>
      <c r="EU27" s="130"/>
      <c r="EV27" s="130"/>
      <c r="EW27" s="130"/>
      <c r="EX27" s="130"/>
      <c r="EY27" s="130"/>
      <c r="EZ27" s="238"/>
      <c r="FB27" s="139"/>
      <c r="FC27" s="140"/>
      <c r="FD27" s="140"/>
      <c r="FE27" s="140"/>
      <c r="FF27" s="140"/>
      <c r="FG27" s="140"/>
      <c r="FH27" s="140"/>
      <c r="FI27" s="140"/>
      <c r="FJ27" s="140"/>
      <c r="FK27" s="140"/>
      <c r="FL27" s="140"/>
      <c r="FM27" s="140"/>
      <c r="FN27" s="140"/>
      <c r="FO27" s="140"/>
      <c r="FP27" s="140"/>
      <c r="FQ27" s="140"/>
      <c r="FR27" s="140"/>
      <c r="FS27" s="140"/>
      <c r="FT27" s="140"/>
      <c r="FU27" s="140"/>
      <c r="FV27" s="140"/>
      <c r="FW27" s="140"/>
      <c r="FX27" s="140"/>
      <c r="FY27" s="140"/>
      <c r="FZ27" s="140"/>
      <c r="GA27" s="140"/>
      <c r="GB27" s="140"/>
      <c r="GC27" s="140"/>
      <c r="GD27" s="140"/>
      <c r="GE27" s="140"/>
      <c r="GF27" s="140"/>
      <c r="GG27" s="140"/>
      <c r="GH27" s="140"/>
      <c r="GI27" s="140"/>
      <c r="GJ27" s="140"/>
      <c r="GK27" s="140"/>
      <c r="GL27" s="140"/>
      <c r="GM27" s="140"/>
      <c r="GN27" s="140"/>
      <c r="GO27" s="140"/>
      <c r="GP27" s="140"/>
      <c r="GQ27" s="140"/>
      <c r="GR27" s="140"/>
      <c r="GS27" s="140"/>
      <c r="GT27" s="141">
        <v>0</v>
      </c>
      <c r="GU27" s="141"/>
      <c r="GV27" s="141"/>
      <c r="GW27" s="141"/>
      <c r="GX27" s="141"/>
      <c r="GY27" s="141"/>
      <c r="GZ27" s="141"/>
      <c r="HA27" s="141"/>
      <c r="HB27" s="142" t="str">
        <f>IFERROR(ROUND(Calculations!BV27*GT27,2),"")</f>
        <v/>
      </c>
      <c r="HC27" s="142"/>
      <c r="HD27" s="142"/>
      <c r="HE27" s="142"/>
      <c r="HF27" s="142"/>
      <c r="HG27" s="142"/>
      <c r="HH27" s="142"/>
      <c r="HI27" s="142"/>
      <c r="HJ27" s="142">
        <f>IFERROR(Calculations!BS27+IQ27+IX27,"")</f>
        <v>0</v>
      </c>
      <c r="HK27" s="142"/>
      <c r="HL27" s="142"/>
      <c r="HM27" s="142"/>
      <c r="HN27" s="142"/>
      <c r="HO27" s="142"/>
      <c r="HP27" s="142"/>
      <c r="HQ27" s="142"/>
      <c r="HR27" s="142" t="str">
        <f t="shared" si="9"/>
        <v/>
      </c>
      <c r="HS27" s="142"/>
      <c r="HT27" s="142"/>
      <c r="HU27" s="142"/>
      <c r="HV27" s="142"/>
      <c r="HW27" s="142"/>
      <c r="HX27" s="142"/>
      <c r="HY27" s="142"/>
      <c r="HZ27" s="142" t="str">
        <f>IFERROR(Calculations!BX27,"")</f>
        <v/>
      </c>
      <c r="IA27" s="142"/>
      <c r="IB27" s="142"/>
      <c r="IC27" s="142"/>
      <c r="ID27" s="142"/>
      <c r="IE27" s="142"/>
      <c r="IF27" s="142"/>
      <c r="IG27" s="142"/>
      <c r="IH27" s="142"/>
      <c r="II27" s="142"/>
      <c r="IJ27" s="142" t="str">
        <f>IFERROR(Calculations!BR27+IX27,"")</f>
        <v/>
      </c>
      <c r="IK27" s="142"/>
      <c r="IL27" s="142"/>
      <c r="IM27" s="142"/>
      <c r="IN27" s="142"/>
      <c r="IO27" s="142"/>
      <c r="IP27" s="142"/>
      <c r="IQ27" s="141">
        <v>0</v>
      </c>
      <c r="IR27" s="141"/>
      <c r="IS27" s="141"/>
      <c r="IT27" s="141"/>
      <c r="IU27" s="141"/>
      <c r="IV27" s="141"/>
      <c r="IW27" s="141"/>
      <c r="IX27" s="141">
        <v>0</v>
      </c>
      <c r="IY27" s="141"/>
      <c r="IZ27" s="141"/>
      <c r="JA27" s="141"/>
      <c r="JB27" s="141"/>
      <c r="JC27" s="141"/>
      <c r="JD27" s="141"/>
      <c r="JE27" s="141"/>
      <c r="JF27" s="142"/>
      <c r="JG27" s="142"/>
      <c r="JH27" s="142"/>
      <c r="JI27" s="142"/>
      <c r="JJ27" s="142"/>
      <c r="JK27" s="143" t="str">
        <f>Calculations!AS27</f>
        <v/>
      </c>
      <c r="JL27" s="143"/>
      <c r="JM27" s="143"/>
      <c r="JN27" s="143"/>
      <c r="JO27" s="143"/>
      <c r="JP27" s="143"/>
      <c r="JQ27" s="143"/>
      <c r="JR27" s="143"/>
      <c r="JS27" s="143"/>
      <c r="JT27" s="143"/>
      <c r="JU27" s="143"/>
      <c r="JV27" s="143"/>
      <c r="JW27" s="143"/>
      <c r="JX27" s="143"/>
      <c r="JY27" s="143"/>
      <c r="JZ27" s="143"/>
      <c r="KA27" s="143"/>
      <c r="KB27" s="143"/>
      <c r="KC27" s="143" t="str">
        <f>Calculations!AW27</f>
        <v/>
      </c>
      <c r="KD27" s="143"/>
      <c r="KE27" s="143"/>
      <c r="KF27" s="143"/>
      <c r="KG27" s="143"/>
      <c r="KH27" s="143"/>
      <c r="KI27" s="143"/>
      <c r="KJ27" s="143"/>
      <c r="KK27" s="143"/>
      <c r="KL27" s="143"/>
      <c r="KM27" s="143"/>
      <c r="KN27" s="143"/>
      <c r="KO27" s="143"/>
      <c r="KP27" s="143"/>
      <c r="KQ27" s="143"/>
      <c r="KR27" s="143"/>
      <c r="KS27" s="143"/>
      <c r="KT27" s="143"/>
      <c r="KU27" s="144" t="str">
        <f t="shared" si="7"/>
        <v/>
      </c>
      <c r="KV27" s="144"/>
      <c r="KW27" s="144"/>
      <c r="KX27" s="144"/>
      <c r="KY27" s="144"/>
      <c r="KZ27" s="144"/>
      <c r="LA27" s="144"/>
      <c r="LB27" s="144"/>
      <c r="LC27" s="144"/>
      <c r="LD27" s="144"/>
      <c r="LE27" s="144"/>
      <c r="LF27" s="144"/>
      <c r="LG27" s="144"/>
      <c r="LH27" s="144"/>
      <c r="LI27" s="144"/>
      <c r="LJ27" s="144"/>
      <c r="LK27" s="144"/>
      <c r="LL27" s="144"/>
      <c r="LM27" s="144"/>
      <c r="LN27" s="144"/>
      <c r="LO27" s="144"/>
      <c r="LP27" s="144"/>
      <c r="LQ27" s="144"/>
      <c r="LR27" s="144"/>
      <c r="LS27" s="144"/>
      <c r="LT27" s="144"/>
      <c r="LU27" s="144"/>
      <c r="LV27" s="144"/>
      <c r="LW27" s="144"/>
      <c r="LX27" s="144"/>
      <c r="LY27" s="144"/>
      <c r="LZ27" s="144"/>
      <c r="MA27" s="144"/>
      <c r="MB27" s="144"/>
      <c r="MC27" s="144"/>
      <c r="MD27" s="144"/>
      <c r="ME27" s="144"/>
      <c r="MF27" s="144"/>
      <c r="MG27" s="144"/>
      <c r="MH27" s="144"/>
      <c r="MI27" s="144"/>
      <c r="MJ27" s="144"/>
      <c r="MK27" s="144"/>
      <c r="ML27" s="144"/>
      <c r="MM27" s="144"/>
      <c r="MN27" s="144"/>
      <c r="MO27" s="144"/>
      <c r="MP27" s="144"/>
      <c r="MQ27" s="144"/>
      <c r="MR27" s="144"/>
      <c r="MS27" s="144"/>
      <c r="MT27" s="144"/>
      <c r="MU27" s="144"/>
      <c r="MV27" s="144"/>
      <c r="MW27" s="144"/>
      <c r="MX27" s="144"/>
      <c r="MY27" s="144"/>
      <c r="MZ27" s="145"/>
      <c r="NB27" s="128" t="s">
        <v>2001</v>
      </c>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9"/>
      <c r="OH27" s="129"/>
      <c r="OI27" s="129"/>
      <c r="OJ27" s="129"/>
      <c r="OK27" s="129"/>
      <c r="OL27" s="129"/>
      <c r="OM27" s="129"/>
      <c r="ON27" s="129"/>
      <c r="OO27" s="129"/>
      <c r="OP27" s="129"/>
      <c r="OQ27" s="129"/>
      <c r="OR27" s="129"/>
      <c r="OS27" s="129"/>
      <c r="OT27" s="129"/>
      <c r="OU27" s="129"/>
      <c r="OV27" s="129"/>
      <c r="OW27" s="129"/>
      <c r="OX27" s="129"/>
      <c r="OY27" s="129"/>
      <c r="OZ27" s="129"/>
      <c r="PA27" s="129"/>
      <c r="PB27" s="128"/>
      <c r="PC27" s="128"/>
      <c r="PD27" s="128"/>
      <c r="PE27" s="128"/>
      <c r="PF27" s="128"/>
      <c r="PG27" s="128"/>
      <c r="PH27" s="129"/>
      <c r="PI27" s="129"/>
      <c r="PJ27" s="129"/>
      <c r="PK27" s="129"/>
      <c r="PL27" s="129"/>
      <c r="PM27" s="129"/>
      <c r="PN27" s="129"/>
      <c r="PO27" s="129"/>
      <c r="PP27" s="129"/>
      <c r="PQ27" s="129"/>
      <c r="PR27" s="129"/>
      <c r="PS27" s="129"/>
      <c r="PT27" s="129"/>
      <c r="PU27" s="129"/>
      <c r="PV27" s="129"/>
      <c r="PW27" s="129"/>
      <c r="PX27" s="129"/>
      <c r="PY27" s="129"/>
      <c r="PZ27" s="129"/>
      <c r="QA27" s="129"/>
      <c r="QB27" s="129"/>
      <c r="QC27" s="129"/>
      <c r="QD27" s="129"/>
      <c r="QE27" s="129"/>
      <c r="QF27" s="129"/>
      <c r="QG27" s="129"/>
      <c r="QH27" s="129"/>
      <c r="QI27" s="129"/>
      <c r="QJ27" s="128"/>
      <c r="QK27" s="128"/>
      <c r="QL27" s="128"/>
      <c r="QM27" s="128"/>
      <c r="QN27" s="128"/>
      <c r="QO27" s="128"/>
      <c r="QP27" s="128"/>
      <c r="AIT27" s="128" t="s">
        <v>207</v>
      </c>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9"/>
      <c r="AJZ27" s="129"/>
      <c r="AKA27" s="129"/>
      <c r="AKB27" s="129"/>
      <c r="AKC27" s="129"/>
      <c r="AKD27" s="129"/>
      <c r="AKE27" s="129"/>
      <c r="AKF27" s="129"/>
      <c r="AKG27" s="129"/>
      <c r="AKH27" s="129"/>
      <c r="AKI27" s="129"/>
      <c r="AKJ27" s="129"/>
      <c r="AKK27" s="129"/>
      <c r="AKL27" s="129"/>
      <c r="AKM27" s="129"/>
      <c r="AKN27" s="129"/>
      <c r="AKO27" s="129"/>
      <c r="AKP27" s="129"/>
      <c r="AKQ27" s="129"/>
      <c r="AKR27" s="129"/>
      <c r="AKS27" s="129"/>
      <c r="AKT27" s="128"/>
      <c r="AKU27" s="128"/>
      <c r="AKV27" s="128"/>
      <c r="AKW27" s="128"/>
      <c r="AKX27" s="128"/>
      <c r="AKY27" s="128"/>
      <c r="AKZ27" s="129"/>
      <c r="ALA27" s="129"/>
      <c r="ALB27" s="129"/>
      <c r="ALC27" s="129"/>
      <c r="ALD27" s="129"/>
      <c r="ALE27" s="129"/>
      <c r="ALF27" s="129"/>
      <c r="ALG27" s="129"/>
      <c r="ALH27" s="129"/>
      <c r="ALI27" s="129"/>
      <c r="ALJ27" s="129"/>
      <c r="ALK27" s="129"/>
      <c r="ALL27" s="129"/>
      <c r="ALM27" s="129"/>
      <c r="ALN27" s="129"/>
      <c r="ALO27" s="129"/>
      <c r="ALP27" s="129"/>
      <c r="ALQ27" s="129"/>
      <c r="ALR27" s="129"/>
      <c r="ALS27" s="129"/>
      <c r="ALT27" s="129"/>
      <c r="ALU27" s="129"/>
      <c r="ALV27" s="129"/>
      <c r="ALW27" s="129"/>
      <c r="ALX27" s="129"/>
      <c r="ALY27" s="129"/>
      <c r="ALZ27" s="129"/>
      <c r="AMA27" s="129"/>
      <c r="AMB27" s="128"/>
      <c r="AMC27" s="128"/>
      <c r="AMD27" s="128"/>
      <c r="AME27" s="128"/>
      <c r="AMF27" s="128"/>
      <c r="AMG27" s="128"/>
      <c r="AMH27" s="128"/>
      <c r="APZ27" s="128" t="s">
        <v>238</v>
      </c>
      <c r="AQA27" s="128"/>
      <c r="AQB27" s="128"/>
      <c r="AQC27" s="128"/>
      <c r="AQD27" s="128"/>
      <c r="AQE27" s="128"/>
      <c r="AQF27" s="128"/>
      <c r="AQG27" s="128"/>
      <c r="AQH27" s="128"/>
      <c r="AQI27" s="128"/>
      <c r="AQJ27" s="128"/>
      <c r="AQK27" s="128"/>
      <c r="AQL27" s="128"/>
      <c r="AQM27" s="128"/>
      <c r="AQN27" s="128"/>
      <c r="AQO27" s="128"/>
      <c r="AQP27" s="128"/>
      <c r="AQQ27" s="128"/>
      <c r="AQR27" s="128"/>
      <c r="AQS27" s="128"/>
      <c r="AQT27" s="128"/>
      <c r="AQU27" s="128"/>
      <c r="AQV27" s="128"/>
      <c r="AQW27" s="128"/>
      <c r="AQX27" s="128"/>
      <c r="AQY27" s="128"/>
      <c r="AQZ27" s="128"/>
      <c r="ARA27" s="128"/>
      <c r="ARB27" s="128"/>
      <c r="ARC27" s="128"/>
      <c r="ARD27" s="128"/>
      <c r="ARE27" s="129"/>
      <c r="ARF27" s="129"/>
      <c r="ARG27" s="129"/>
      <c r="ARH27" s="129"/>
      <c r="ARI27" s="129"/>
      <c r="ARJ27" s="129"/>
      <c r="ARK27" s="129"/>
      <c r="ARL27" s="129"/>
      <c r="ARM27" s="129"/>
      <c r="ARN27" s="129"/>
      <c r="ARO27" s="129"/>
      <c r="ARP27" s="129"/>
      <c r="ARQ27" s="129"/>
      <c r="ARR27" s="129"/>
      <c r="ARS27" s="129"/>
      <c r="ART27" s="129"/>
      <c r="ARU27" s="129"/>
      <c r="ARV27" s="129"/>
      <c r="ARW27" s="129"/>
      <c r="ARX27" s="129"/>
      <c r="ARY27" s="129"/>
      <c r="ARZ27" s="128"/>
      <c r="ASA27" s="128"/>
      <c r="ASB27" s="128"/>
      <c r="ASC27" s="128"/>
      <c r="ASD27" s="128"/>
      <c r="ASE27" s="128"/>
      <c r="ASF27" s="129"/>
      <c r="ASG27" s="129"/>
      <c r="ASH27" s="129"/>
      <c r="ASI27" s="129"/>
      <c r="ASJ27" s="129"/>
      <c r="ASK27" s="129"/>
      <c r="ASL27" s="129"/>
      <c r="ASM27" s="129"/>
      <c r="ASN27" s="129"/>
      <c r="ASO27" s="129"/>
      <c r="ASP27" s="129"/>
      <c r="ASQ27" s="129"/>
      <c r="ASR27" s="129"/>
      <c r="ASS27" s="129"/>
      <c r="AST27" s="129"/>
      <c r="ASU27" s="129"/>
      <c r="ASV27" s="129"/>
      <c r="ASW27" s="129"/>
      <c r="ASX27" s="129"/>
      <c r="ASY27" s="129"/>
      <c r="ASZ27" s="129"/>
      <c r="ATA27" s="129"/>
      <c r="ATB27" s="129"/>
      <c r="ATC27" s="129"/>
      <c r="ATD27" s="129"/>
      <c r="ATE27" s="129"/>
      <c r="ATF27" s="129"/>
      <c r="ATG27" s="129"/>
      <c r="ATH27" s="128"/>
      <c r="ATI27" s="128"/>
      <c r="ATJ27" s="128"/>
      <c r="ATK27" s="128"/>
      <c r="ATL27" s="128"/>
      <c r="ATM27" s="128"/>
      <c r="ATN27" s="128"/>
      <c r="AXF27" s="144" t="s">
        <v>147</v>
      </c>
      <c r="AXG27" s="144"/>
      <c r="AXH27" s="144"/>
      <c r="AXI27" s="144"/>
      <c r="AXJ27" s="144"/>
      <c r="AXK27" s="144"/>
      <c r="AXL27" s="144"/>
      <c r="AXM27" s="144"/>
      <c r="AXN27" s="144"/>
      <c r="AXO27" s="144"/>
      <c r="AXP27" s="144"/>
      <c r="AXQ27" s="144"/>
      <c r="AXR27" s="144"/>
      <c r="AXS27" s="144"/>
      <c r="AXT27" s="144"/>
      <c r="AXU27" s="144"/>
      <c r="AXV27" s="144"/>
      <c r="AXW27" s="144"/>
      <c r="AXX27" s="144"/>
      <c r="AXY27" s="144"/>
      <c r="AXZ27" s="144"/>
      <c r="AYA27" s="144"/>
      <c r="AYB27" s="144"/>
      <c r="AYC27" s="144"/>
      <c r="AYD27" s="144"/>
      <c r="AYE27" s="144"/>
      <c r="AYF27" s="144"/>
      <c r="AYG27" s="144"/>
      <c r="AYH27" s="144"/>
      <c r="AYI27" s="144"/>
      <c r="AYJ27" s="144"/>
      <c r="AYK27" s="129" t="s">
        <v>133</v>
      </c>
      <c r="AYL27" s="129"/>
      <c r="AYM27" s="129"/>
      <c r="AYN27" s="129"/>
      <c r="AYO27" s="129" t="s">
        <v>148</v>
      </c>
      <c r="AYP27" s="129"/>
      <c r="AYQ27" s="129"/>
      <c r="AYR27" s="129"/>
      <c r="AYS27" s="129"/>
      <c r="AYT27" s="129" t="s">
        <v>83</v>
      </c>
      <c r="AYU27" s="129"/>
      <c r="AYV27" s="129"/>
      <c r="AYW27" s="129"/>
      <c r="AYX27" s="129"/>
      <c r="AYY27" s="129"/>
      <c r="AYZ27" s="129" t="s">
        <v>37</v>
      </c>
      <c r="AZA27" s="129"/>
      <c r="AZB27" s="129"/>
      <c r="AZC27" s="129"/>
      <c r="AZD27" s="129"/>
      <c r="AZE27" s="129"/>
      <c r="AZF27" s="129" t="s">
        <v>49</v>
      </c>
      <c r="AZG27" s="129"/>
      <c r="AZH27" s="129"/>
      <c r="AZI27" s="129"/>
      <c r="AZJ27" s="129"/>
      <c r="AZK27" s="129"/>
      <c r="AZL27" s="129" t="s">
        <v>149</v>
      </c>
      <c r="AZM27" s="129"/>
      <c r="AZN27" s="129"/>
      <c r="AZO27" s="129"/>
      <c r="AZP27" s="129"/>
      <c r="AZQ27" s="129"/>
      <c r="AZR27" s="129"/>
      <c r="AZS27" s="129" t="s">
        <v>150</v>
      </c>
      <c r="AZT27" s="129"/>
      <c r="AZU27" s="129"/>
      <c r="AZV27" s="129"/>
      <c r="AZW27" s="129"/>
      <c r="AZX27" s="129"/>
      <c r="AZY27" s="129"/>
      <c r="AZZ27" s="129" t="s">
        <v>151</v>
      </c>
      <c r="BAA27" s="129"/>
      <c r="BAB27" s="129"/>
      <c r="BAC27" s="129"/>
      <c r="BAD27" s="129"/>
      <c r="BAE27" s="129"/>
      <c r="BAF27" s="129"/>
      <c r="BAG27" s="129" t="s">
        <v>37</v>
      </c>
      <c r="BAH27" s="129"/>
      <c r="BAI27" s="129"/>
      <c r="BAJ27" s="129"/>
      <c r="BAK27" s="129"/>
      <c r="BAL27" s="129"/>
      <c r="BAM27" s="129"/>
      <c r="BAN27" s="129" t="s">
        <v>40</v>
      </c>
      <c r="BAO27" s="129"/>
      <c r="BAP27" s="129"/>
      <c r="BAQ27" s="129"/>
      <c r="BAR27" s="129"/>
      <c r="BAS27" s="129"/>
      <c r="BAT27" s="129"/>
      <c r="BAV27" s="128" t="s">
        <v>298</v>
      </c>
      <c r="BAW27" s="128"/>
      <c r="BAX27" s="128"/>
      <c r="BAY27" s="128"/>
      <c r="BAZ27" s="128"/>
      <c r="BBA27" s="128"/>
      <c r="BBB27" s="128"/>
      <c r="BBC27" s="128"/>
      <c r="BBD27" s="128"/>
      <c r="BBE27" s="128"/>
      <c r="BBF27" s="128"/>
      <c r="BBG27" s="128"/>
      <c r="BBH27" s="128"/>
      <c r="BBI27" s="128"/>
      <c r="BBJ27" s="128"/>
      <c r="BBK27" s="128"/>
      <c r="BBL27" s="128"/>
      <c r="BBM27" s="128"/>
      <c r="BBN27" s="128"/>
      <c r="BBO27" s="128"/>
      <c r="BBP27" s="128"/>
      <c r="BBQ27" s="128"/>
      <c r="BBR27" s="128"/>
      <c r="BBS27" s="128"/>
      <c r="BBT27" s="128"/>
      <c r="BBU27" s="128"/>
      <c r="BBV27" s="128"/>
      <c r="BBW27" s="128"/>
      <c r="BBX27" s="128"/>
      <c r="BBY27" s="128"/>
      <c r="BBZ27" s="128"/>
      <c r="BCA27" s="129"/>
      <c r="BCB27" s="129"/>
      <c r="BCC27" s="129"/>
      <c r="BCD27" s="129"/>
      <c r="BCE27" s="129"/>
      <c r="BCF27" s="129"/>
      <c r="BCG27" s="129"/>
      <c r="BCH27" s="129"/>
      <c r="BCI27" s="129"/>
      <c r="BCJ27" s="129"/>
      <c r="BCK27" s="129"/>
      <c r="BCL27" s="129"/>
      <c r="BCM27" s="129"/>
      <c r="BCN27" s="129"/>
      <c r="BCO27" s="129"/>
      <c r="BCP27" s="129"/>
      <c r="BCQ27" s="129"/>
      <c r="BCR27" s="129"/>
      <c r="BCS27" s="129"/>
      <c r="BCT27" s="129"/>
      <c r="BCU27" s="129"/>
      <c r="BCV27" s="128"/>
      <c r="BCW27" s="128"/>
      <c r="BCX27" s="128"/>
      <c r="BCY27" s="128"/>
      <c r="BCZ27" s="128"/>
      <c r="BDA27" s="128"/>
      <c r="BDB27" s="129"/>
      <c r="BDC27" s="129"/>
      <c r="BDD27" s="129"/>
      <c r="BDE27" s="129"/>
      <c r="BDF27" s="129"/>
      <c r="BDG27" s="129"/>
      <c r="BDH27" s="129"/>
      <c r="BDI27" s="129"/>
      <c r="BDJ27" s="129"/>
      <c r="BDK27" s="129"/>
      <c r="BDL27" s="129"/>
      <c r="BDM27" s="129"/>
      <c r="BDN27" s="129"/>
      <c r="BDO27" s="129"/>
      <c r="BDP27" s="129"/>
      <c r="BDQ27" s="129"/>
      <c r="BDR27" s="129"/>
      <c r="BDS27" s="129"/>
      <c r="BDT27" s="129"/>
      <c r="BDU27" s="129"/>
      <c r="BDV27" s="129"/>
      <c r="BDW27" s="129"/>
      <c r="BDX27" s="129"/>
      <c r="BDY27" s="129"/>
      <c r="BDZ27" s="129"/>
      <c r="BEA27" s="129"/>
      <c r="BEB27" s="129"/>
      <c r="BEC27" s="129"/>
      <c r="BED27" s="128"/>
      <c r="BEE27" s="128"/>
      <c r="BEF27" s="128"/>
      <c r="BEG27" s="128"/>
      <c r="BEH27" s="128"/>
      <c r="BEI27" s="128"/>
      <c r="BEJ27" s="128"/>
      <c r="BLR27" s="144" t="s">
        <v>333</v>
      </c>
      <c r="BLS27" s="144"/>
      <c r="BLT27" s="144"/>
      <c r="BLU27" s="144"/>
      <c r="BLV27" s="144"/>
      <c r="BLW27" s="144"/>
      <c r="BLX27" s="144"/>
      <c r="BLY27" s="144"/>
      <c r="BLZ27" s="144"/>
      <c r="BMA27" s="144"/>
      <c r="BMB27" s="144"/>
      <c r="BMC27" s="144"/>
      <c r="BMD27" s="144"/>
      <c r="BME27" s="144"/>
      <c r="BMF27" s="144"/>
      <c r="BMG27" s="144"/>
      <c r="BMH27" s="144"/>
      <c r="BMI27" s="144"/>
      <c r="BMJ27" s="144"/>
      <c r="BMK27" s="144"/>
      <c r="BML27" s="144"/>
      <c r="BMM27" s="144"/>
      <c r="BMN27" s="144"/>
      <c r="BMO27" s="144"/>
      <c r="BMP27" s="144"/>
      <c r="BMQ27" s="144"/>
      <c r="BMR27" s="144"/>
      <c r="BMS27" s="144"/>
      <c r="BMT27" s="144"/>
      <c r="BMU27" s="144"/>
      <c r="BMV27" s="144"/>
      <c r="BMW27" s="144"/>
      <c r="BMX27" s="144"/>
      <c r="BMY27" s="144"/>
      <c r="BMZ27" s="144"/>
      <c r="BNA27" s="144"/>
      <c r="BNB27" s="144"/>
      <c r="BNC27" s="144"/>
      <c r="BND27" s="144"/>
      <c r="BNE27" s="144"/>
      <c r="BNF27" s="144"/>
      <c r="BNG27" s="144"/>
      <c r="BNH27" s="144"/>
      <c r="BNI27" s="144"/>
      <c r="BNJ27" s="144"/>
      <c r="BNK27" s="144"/>
      <c r="BNL27" s="144"/>
      <c r="BNM27" s="144"/>
      <c r="BNN27" s="144"/>
      <c r="BNO27" s="144"/>
      <c r="BNP27" s="144"/>
      <c r="BNQ27" s="144"/>
      <c r="BNR27" s="144"/>
      <c r="BNS27" s="144"/>
      <c r="BNT27" s="144"/>
      <c r="BNU27" s="144"/>
      <c r="BNV27" s="144"/>
      <c r="BNW27" s="144"/>
      <c r="BNX27" s="144"/>
      <c r="BNY27" s="144"/>
      <c r="BNZ27" s="144"/>
      <c r="BOA27" s="144"/>
      <c r="BOB27" s="144"/>
      <c r="BOC27" s="144"/>
      <c r="BOD27" s="144"/>
      <c r="BOE27" s="144"/>
      <c r="BOF27" s="144"/>
      <c r="BOG27" s="144"/>
      <c r="BOH27" s="144"/>
      <c r="BOI27" s="144"/>
      <c r="BOJ27" s="144"/>
      <c r="BOK27" s="144"/>
      <c r="BOL27" s="144"/>
      <c r="BOM27" s="144"/>
      <c r="BON27" s="144"/>
      <c r="BOO27" s="144"/>
      <c r="BOP27" s="144"/>
      <c r="BOQ27" s="144"/>
      <c r="BOR27" s="144"/>
      <c r="BOS27" s="144"/>
      <c r="BOT27" s="144"/>
      <c r="BOU27" s="144"/>
      <c r="BOV27" s="144"/>
      <c r="BOW27" s="144"/>
      <c r="BOX27" s="144"/>
      <c r="BOY27" s="144"/>
      <c r="BOZ27" s="144"/>
      <c r="BPA27" s="144"/>
      <c r="BPB27" s="144"/>
      <c r="BPC27" s="144"/>
      <c r="BPD27" s="144"/>
      <c r="BPE27" s="144"/>
      <c r="BPF27" s="144"/>
      <c r="COP27" s="128" t="str">
        <f ca="1">VLOOKUP(1,INDIRECT("Closed"&amp;'Character Creation'!$Z$14),2,FALSE)</f>
        <v>Dispelling Ways</v>
      </c>
      <c r="COQ27" s="128"/>
      <c r="COR27" s="128"/>
      <c r="COS27" s="128"/>
      <c r="COT27" s="128"/>
      <c r="COU27" s="128"/>
      <c r="COV27" s="128"/>
      <c r="COW27" s="128"/>
      <c r="COX27" s="128"/>
      <c r="COY27" s="128"/>
      <c r="COZ27" s="128"/>
      <c r="CPA27" s="128"/>
      <c r="CPB27" s="128"/>
      <c r="CPC27" s="128"/>
      <c r="CPD27" s="128"/>
      <c r="CPE27" s="128"/>
      <c r="CPF27" s="128"/>
      <c r="CPG27" s="128"/>
      <c r="CPH27" s="128"/>
      <c r="CPI27" s="128"/>
      <c r="CPJ27" s="128"/>
      <c r="CPK27" s="128"/>
      <c r="CPL27" s="128"/>
      <c r="CPM27" s="128"/>
      <c r="CPN27" s="128"/>
      <c r="CPO27" s="128"/>
      <c r="CPP27" s="128"/>
      <c r="CPQ27" s="128"/>
      <c r="CPR27" s="128"/>
      <c r="CPS27" s="128"/>
      <c r="CPT27" s="128"/>
      <c r="CPU27" s="129"/>
      <c r="CPV27" s="129"/>
      <c r="CPW27" s="129"/>
      <c r="CPX27" s="129"/>
      <c r="CPY27" s="129"/>
      <c r="CPZ27" s="129"/>
      <c r="CQA27" s="129"/>
      <c r="CQB27" s="129"/>
      <c r="CQC27" s="129"/>
      <c r="CQD27" s="129"/>
      <c r="CQE27" s="129"/>
      <c r="CQF27" s="129"/>
      <c r="CQG27" s="129"/>
      <c r="CQH27" s="129"/>
      <c r="CQI27" s="129"/>
      <c r="CQJ27" s="129"/>
      <c r="CQK27" s="129"/>
      <c r="CQL27" s="129"/>
      <c r="CQM27" s="129"/>
      <c r="CQN27" s="129"/>
      <c r="CQO27" s="129"/>
      <c r="CQP27" s="128"/>
      <c r="CQQ27" s="128"/>
      <c r="CQR27" s="128"/>
      <c r="CQS27" s="128"/>
      <c r="CQT27" s="128"/>
      <c r="CQU27" s="128"/>
      <c r="CQV27" s="129"/>
      <c r="CQW27" s="129"/>
      <c r="CQX27" s="129"/>
      <c r="CQY27" s="129"/>
      <c r="CQZ27" s="129"/>
      <c r="CRA27" s="129"/>
      <c r="CRB27" s="129"/>
      <c r="CRC27" s="129"/>
      <c r="CRD27" s="129"/>
      <c r="CRE27" s="129"/>
      <c r="CRF27" s="129"/>
      <c r="CRG27" s="129"/>
      <c r="CRH27" s="129"/>
      <c r="CRI27" s="129"/>
      <c r="CRJ27" s="129"/>
      <c r="CRK27" s="129"/>
      <c r="CRL27" s="129"/>
      <c r="CRM27" s="129"/>
      <c r="CRN27" s="129"/>
      <c r="CRO27" s="129"/>
      <c r="CRP27" s="129"/>
      <c r="CRQ27" s="129"/>
      <c r="CRR27" s="129"/>
      <c r="CRS27" s="129"/>
      <c r="CRT27" s="129"/>
      <c r="CRU27" s="129"/>
      <c r="CRV27" s="129"/>
      <c r="CRW27" s="129"/>
      <c r="CRX27" s="128"/>
      <c r="CRY27" s="128"/>
      <c r="CRZ27" s="128"/>
      <c r="CSA27" s="128"/>
      <c r="CSB27" s="128"/>
      <c r="CSC27" s="128"/>
      <c r="CSD27" s="128"/>
      <c r="CSF27" s="128" t="s">
        <v>452</v>
      </c>
      <c r="CSG27" s="128"/>
      <c r="CSH27" s="128"/>
      <c r="CSI27" s="128"/>
      <c r="CSJ27" s="128"/>
      <c r="CSK27" s="128"/>
      <c r="CSL27" s="128"/>
      <c r="CSM27" s="128"/>
      <c r="CSN27" s="128"/>
      <c r="CSO27" s="128"/>
      <c r="CSP27" s="128"/>
      <c r="CSQ27" s="128"/>
      <c r="CSR27" s="128"/>
      <c r="CSS27" s="128"/>
      <c r="CST27" s="128"/>
      <c r="CSU27" s="128"/>
      <c r="CSV27" s="128"/>
      <c r="CSW27" s="128"/>
      <c r="CSX27" s="128"/>
      <c r="CSY27" s="128"/>
      <c r="CSZ27" s="128"/>
      <c r="CTA27" s="128"/>
      <c r="CTB27" s="128"/>
      <c r="CTC27" s="128"/>
      <c r="CTD27" s="128"/>
      <c r="CTE27" s="128"/>
      <c r="CTF27" s="128"/>
      <c r="CTG27" s="128"/>
      <c r="CTH27" s="128"/>
      <c r="CTI27" s="128"/>
      <c r="CTJ27" s="128"/>
      <c r="CTK27" s="129"/>
      <c r="CTL27" s="129"/>
      <c r="CTM27" s="129"/>
      <c r="CTN27" s="129"/>
      <c r="CTO27" s="129"/>
      <c r="CTP27" s="129"/>
      <c r="CTQ27" s="129"/>
      <c r="CTR27" s="129"/>
      <c r="CTS27" s="129"/>
      <c r="CTT27" s="129"/>
      <c r="CTU27" s="129"/>
      <c r="CTV27" s="129"/>
      <c r="CTW27" s="129"/>
      <c r="CTX27" s="129"/>
      <c r="CTY27" s="129"/>
      <c r="CTZ27" s="129"/>
      <c r="CUA27" s="129"/>
      <c r="CUB27" s="129"/>
      <c r="CUC27" s="129"/>
      <c r="CUD27" s="129"/>
      <c r="CUE27" s="129"/>
      <c r="CUF27" s="128"/>
      <c r="CUG27" s="128"/>
      <c r="CUH27" s="128"/>
      <c r="CUI27" s="128"/>
      <c r="CUJ27" s="128"/>
      <c r="CUK27" s="128"/>
      <c r="CUL27" s="129"/>
      <c r="CUM27" s="129"/>
      <c r="CUN27" s="129"/>
      <c r="CUO27" s="129"/>
      <c r="CUP27" s="129"/>
      <c r="CUQ27" s="129"/>
      <c r="CUR27" s="129"/>
      <c r="CUS27" s="129"/>
      <c r="CUT27" s="129"/>
      <c r="CUU27" s="129"/>
      <c r="CUV27" s="129"/>
      <c r="CUW27" s="129"/>
      <c r="CUX27" s="129"/>
      <c r="CUY27" s="129"/>
      <c r="CUZ27" s="129"/>
      <c r="CVA27" s="129"/>
      <c r="CVB27" s="129"/>
      <c r="CVC27" s="129"/>
      <c r="CVD27" s="129"/>
      <c r="CVE27" s="129"/>
      <c r="CVF27" s="129"/>
      <c r="CVG27" s="129"/>
      <c r="CVH27" s="129"/>
      <c r="CVI27" s="129"/>
      <c r="CVJ27" s="129"/>
      <c r="CVK27" s="129"/>
      <c r="CVL27" s="129"/>
      <c r="CVM27" s="129"/>
      <c r="CVN27" s="128"/>
      <c r="CVO27" s="128"/>
      <c r="CVP27" s="128"/>
      <c r="CVQ27" s="128"/>
      <c r="CVR27" s="128"/>
      <c r="CVS27" s="128"/>
      <c r="CVT27" s="128"/>
      <c r="DGR27" s="144" t="s">
        <v>575</v>
      </c>
      <c r="DGS27" s="144"/>
      <c r="DGT27" s="144"/>
      <c r="DGU27" s="144"/>
      <c r="DGV27" s="144"/>
      <c r="DGW27" s="144"/>
      <c r="DGX27" s="144"/>
      <c r="DGY27" s="144"/>
      <c r="DGZ27" s="144"/>
      <c r="DHA27" s="144"/>
      <c r="DHB27" s="144"/>
      <c r="DHC27" s="144"/>
      <c r="DHD27" s="144"/>
      <c r="DHE27" s="144"/>
      <c r="DHF27" s="144"/>
      <c r="DHG27" s="144"/>
      <c r="DHH27" s="144"/>
      <c r="DHI27" s="144"/>
      <c r="DHJ27" s="144"/>
      <c r="DHK27" s="144"/>
      <c r="DHL27" s="144"/>
      <c r="DHM27" s="144"/>
      <c r="DHN27" s="144"/>
      <c r="DHO27" s="144"/>
      <c r="DHP27" s="144"/>
      <c r="DHQ27" s="144"/>
      <c r="DHR27" s="144"/>
      <c r="DHS27" s="144"/>
      <c r="DHT27" s="144"/>
      <c r="DHU27" s="144"/>
      <c r="DHV27" s="144"/>
      <c r="DHW27" s="144"/>
      <c r="DHX27" s="144"/>
      <c r="DHY27" s="144"/>
      <c r="DHZ27" s="144"/>
      <c r="DIA27" s="144"/>
      <c r="DIB27" s="144"/>
      <c r="DIC27" s="144"/>
      <c r="DID27" s="144"/>
      <c r="DIE27" s="144"/>
      <c r="DIF27" s="144"/>
      <c r="DIG27" s="144"/>
      <c r="DIH27" s="144"/>
      <c r="DII27" s="144"/>
      <c r="DIJ27" s="144"/>
      <c r="DIK27" s="144"/>
      <c r="DIL27" s="144"/>
      <c r="DIM27" s="144"/>
      <c r="DIN27" s="144"/>
      <c r="DIO27" s="144"/>
      <c r="DIP27" s="144"/>
      <c r="DIQ27" s="144"/>
      <c r="DIR27" s="144"/>
      <c r="DIS27" s="144"/>
      <c r="DIT27" s="144"/>
      <c r="DIU27" s="144"/>
      <c r="DIV27" s="144"/>
      <c r="DIW27" s="144"/>
      <c r="DIX27" s="144"/>
      <c r="DIY27" s="144"/>
      <c r="DIZ27" s="144"/>
      <c r="DJA27" s="144"/>
      <c r="DJB27" s="144"/>
      <c r="DJC27" s="144"/>
      <c r="DJD27" s="144"/>
      <c r="DJE27" s="144"/>
      <c r="DJF27" s="144"/>
      <c r="DJG27" s="144"/>
      <c r="DJH27" s="144"/>
      <c r="DJI27" s="144"/>
      <c r="DJJ27" s="144"/>
      <c r="DJK27" s="144"/>
      <c r="DJL27" s="144"/>
      <c r="DJM27" s="144"/>
      <c r="DJN27" s="144"/>
      <c r="DJO27" s="144"/>
      <c r="DJP27" s="144"/>
      <c r="DJQ27" s="144"/>
      <c r="DJR27" s="144"/>
      <c r="DJS27" s="144"/>
      <c r="DJT27" s="144"/>
      <c r="DJU27" s="144"/>
      <c r="DJV27" s="144"/>
      <c r="DJW27" s="144"/>
      <c r="DJX27" s="144"/>
      <c r="DJY27" s="144"/>
      <c r="DJZ27" s="144"/>
      <c r="DKA27" s="144"/>
      <c r="DKB27" s="144"/>
      <c r="DKC27" s="144"/>
      <c r="DKD27" s="144"/>
      <c r="DKE27" s="144"/>
      <c r="DKF27" s="144"/>
    </row>
    <row r="28" spans="2:1022 1118:1774 2152:2996" ht="15" customHeight="1" x14ac:dyDescent="0.25">
      <c r="B28" s="135">
        <v>3</v>
      </c>
      <c r="C28" s="136"/>
      <c r="D28" s="136"/>
      <c r="E28" s="136" t="str">
        <f>IFERROR(VLOOKUP(B28,Calculations!$DH$3:$DJ$127,3,FALSE),"")</f>
        <v/>
      </c>
      <c r="F28" s="136"/>
      <c r="G28" s="136"/>
      <c r="H28" s="136"/>
      <c r="I28" s="136"/>
      <c r="J28" s="136"/>
      <c r="K28" s="136"/>
      <c r="L28" s="136"/>
      <c r="M28" s="136"/>
      <c r="N28" s="136"/>
      <c r="O28" s="136"/>
      <c r="P28" s="136"/>
      <c r="Q28" s="136"/>
      <c r="R28" s="136"/>
      <c r="S28" s="136"/>
      <c r="T28" s="136"/>
      <c r="U28" s="136"/>
      <c r="V28" s="136"/>
      <c r="W28" s="136"/>
      <c r="X28" s="136"/>
      <c r="Y28" s="136"/>
      <c r="Z28" s="136"/>
      <c r="AA28" s="136"/>
      <c r="AB28" s="136"/>
      <c r="AC28" s="136"/>
      <c r="AD28" s="136"/>
      <c r="AE28" s="136"/>
      <c r="AF28" s="136"/>
      <c r="AG28" s="200" t="str">
        <f>IFERROR(VLOOKUP(B28,Calculations!$DH$3:$DX$200,17,FALSE),"")</f>
        <v/>
      </c>
      <c r="AH28" s="131"/>
      <c r="AI28" s="131"/>
      <c r="AJ28" s="131"/>
      <c r="AK28" s="131"/>
      <c r="AL28" s="131"/>
      <c r="AM28" s="131"/>
      <c r="AN28" s="131"/>
      <c r="AO28" s="131"/>
      <c r="AP28" s="131"/>
      <c r="AQ28" s="131"/>
      <c r="AR28" s="131"/>
      <c r="AS28" s="131"/>
      <c r="AT28" s="131"/>
      <c r="AU28" s="131"/>
      <c r="AV28" s="131"/>
      <c r="AW28" s="131"/>
      <c r="AX28" s="131"/>
      <c r="AY28" s="131"/>
      <c r="AZ28" s="131"/>
      <c r="BA28" s="201"/>
      <c r="BB28" s="226" t="str">
        <f>IFERROR(IFERROR((VLOOKUP(E28,Calculations!$DR$3:$EJ$200,19,FALSE)),0)+VLOOKUP(B28,Calculations!$DH$3:$DN$200,7,FALSE)+CG28+CO28+IFERROR(VLOOKUP((LEFT(E28,FIND("(",E28)-2)),Calculations!$DJ$3:$EJ$200,26,FALSE),0),"")</f>
        <v/>
      </c>
      <c r="BC28" s="226"/>
      <c r="BD28" s="226"/>
      <c r="BE28" s="226"/>
      <c r="BF28" s="226"/>
      <c r="BG28" s="226"/>
      <c r="BH28" s="226"/>
      <c r="BI28" s="131" t="str">
        <f>IFERROR("x "&amp;VLOOKUP(B28,Calculations!$DH$3:$DY$200,18,FALSE),"")</f>
        <v/>
      </c>
      <c r="BJ28" s="131"/>
      <c r="BK28" s="131"/>
      <c r="BL28" s="131"/>
      <c r="BM28" s="131"/>
      <c r="BN28" s="131"/>
      <c r="BO28" s="131"/>
      <c r="BP28" s="131"/>
      <c r="BQ28" s="131" t="str">
        <f>IFERROR(VLOOKUP(B28,Calculations!$DH$3:$EE$200,22,FALSE),"")</f>
        <v/>
      </c>
      <c r="BR28" s="131"/>
      <c r="BS28" s="131"/>
      <c r="BT28" s="131"/>
      <c r="BU28" s="131"/>
      <c r="BV28" s="131"/>
      <c r="BW28" s="131"/>
      <c r="BX28" s="131"/>
      <c r="BY28" s="131" t="str">
        <f>IFERROR(VLOOKUP(B28,Calculations!$DH$3:$EA$200,19,FALSE)-ROUNDDOWN((CO28/5),0),"")</f>
        <v/>
      </c>
      <c r="BZ28" s="131"/>
      <c r="CA28" s="131"/>
      <c r="CB28" s="131"/>
      <c r="CC28" s="131"/>
      <c r="CD28" s="131"/>
      <c r="CE28" s="131"/>
      <c r="CF28" s="131"/>
      <c r="CG28" s="194">
        <v>0</v>
      </c>
      <c r="CH28" s="194"/>
      <c r="CI28" s="194"/>
      <c r="CJ28" s="194"/>
      <c r="CK28" s="194"/>
      <c r="CL28" s="194"/>
      <c r="CM28" s="194"/>
      <c r="CN28" s="194"/>
      <c r="CO28" s="194">
        <v>0</v>
      </c>
      <c r="CP28" s="194"/>
      <c r="CQ28" s="194"/>
      <c r="CR28" s="194"/>
      <c r="CS28" s="194"/>
      <c r="CT28" s="194"/>
      <c r="CU28" s="194"/>
      <c r="CV28" s="194"/>
      <c r="CW28" s="131" t="str">
        <f>IF(E28="","",IFERROR(VLOOKUP(B28,Calculations!$DH$3:$ED$200,23,FALSE)+CO28+CG28,"- -"))</f>
        <v/>
      </c>
      <c r="CX28" s="131"/>
      <c r="CY28" s="131"/>
      <c r="CZ28" s="131"/>
      <c r="DA28" s="131"/>
      <c r="DB28" s="131"/>
      <c r="DC28" s="131"/>
      <c r="DD28" s="131"/>
      <c r="DE28" s="199" t="str">
        <f>IF(E28="","",IFERROR(VLOOKUP(B28,Calculations!$DH$3:$EE$200,24,FALSE),"- -"))</f>
        <v/>
      </c>
      <c r="DF28" s="131"/>
      <c r="DG28" s="131"/>
      <c r="DH28" s="131"/>
      <c r="DI28" s="131"/>
      <c r="DJ28" s="131"/>
      <c r="DK28" s="131"/>
      <c r="DL28" s="131"/>
      <c r="DM28" s="199" t="str">
        <f>IF(E28="","",IFERROR(VLOOKUP(B28,Calculations!$DH$3:$EJ$200,25,FALSE),"- -"))</f>
        <v/>
      </c>
      <c r="DN28" s="131"/>
      <c r="DO28" s="131"/>
      <c r="DP28" s="131"/>
      <c r="DQ28" s="131"/>
      <c r="DR28" s="131"/>
      <c r="DS28" s="131"/>
      <c r="DT28" s="131"/>
      <c r="DU28" s="131" t="str">
        <f t="shared" si="10"/>
        <v/>
      </c>
      <c r="DV28" s="131"/>
      <c r="DW28" s="131"/>
      <c r="DX28" s="131"/>
      <c r="DY28" s="131"/>
      <c r="DZ28" s="131"/>
      <c r="EA28" s="131"/>
      <c r="EB28" s="131"/>
      <c r="EC28" s="131" t="str">
        <f t="shared" si="11"/>
        <v/>
      </c>
      <c r="ED28" s="131"/>
      <c r="EE28" s="131"/>
      <c r="EF28" s="131"/>
      <c r="EG28" s="131"/>
      <c r="EH28" s="131"/>
      <c r="EI28" s="131"/>
      <c r="EJ28" s="131"/>
      <c r="EK28" s="131" t="str">
        <f t="shared" si="12"/>
        <v/>
      </c>
      <c r="EL28" s="131"/>
      <c r="EM28" s="131"/>
      <c r="EN28" s="131"/>
      <c r="EO28" s="131"/>
      <c r="EP28" s="131"/>
      <c r="EQ28" s="131"/>
      <c r="ER28" s="131"/>
      <c r="ES28" s="131" t="str">
        <f t="shared" si="13"/>
        <v/>
      </c>
      <c r="ET28" s="131"/>
      <c r="EU28" s="131"/>
      <c r="EV28" s="131"/>
      <c r="EW28" s="131"/>
      <c r="EX28" s="131"/>
      <c r="EY28" s="131"/>
      <c r="EZ28" s="239"/>
      <c r="FB28" s="139"/>
      <c r="FC28" s="140"/>
      <c r="FD28" s="140"/>
      <c r="FE28" s="140"/>
      <c r="FF28" s="140"/>
      <c r="FG28" s="140"/>
      <c r="FH28" s="140"/>
      <c r="FI28" s="140"/>
      <c r="FJ28" s="140"/>
      <c r="FK28" s="140"/>
      <c r="FL28" s="140"/>
      <c r="FM28" s="140"/>
      <c r="FN28" s="140"/>
      <c r="FO28" s="140"/>
      <c r="FP28" s="140"/>
      <c r="FQ28" s="140"/>
      <c r="FR28" s="140"/>
      <c r="FS28" s="140"/>
      <c r="FT28" s="140"/>
      <c r="FU28" s="140"/>
      <c r="FV28" s="140"/>
      <c r="FW28" s="140"/>
      <c r="FX28" s="140"/>
      <c r="FY28" s="140"/>
      <c r="FZ28" s="140"/>
      <c r="GA28" s="140"/>
      <c r="GB28" s="140"/>
      <c r="GC28" s="140"/>
      <c r="GD28" s="140"/>
      <c r="GE28" s="140"/>
      <c r="GF28" s="140"/>
      <c r="GG28" s="140"/>
      <c r="GH28" s="140"/>
      <c r="GI28" s="140"/>
      <c r="GJ28" s="140"/>
      <c r="GK28" s="140"/>
      <c r="GL28" s="140"/>
      <c r="GM28" s="140"/>
      <c r="GN28" s="140"/>
      <c r="GO28" s="140"/>
      <c r="GP28" s="140"/>
      <c r="GQ28" s="140"/>
      <c r="GR28" s="140"/>
      <c r="GS28" s="140"/>
      <c r="GT28" s="141">
        <v>0</v>
      </c>
      <c r="GU28" s="141"/>
      <c r="GV28" s="141"/>
      <c r="GW28" s="141"/>
      <c r="GX28" s="141"/>
      <c r="GY28" s="141"/>
      <c r="GZ28" s="141"/>
      <c r="HA28" s="141"/>
      <c r="HB28" s="142" t="str">
        <f>IFERROR(ROUND(Calculations!BV28*GT28,2),"")</f>
        <v/>
      </c>
      <c r="HC28" s="142"/>
      <c r="HD28" s="142"/>
      <c r="HE28" s="142"/>
      <c r="HF28" s="142"/>
      <c r="HG28" s="142"/>
      <c r="HH28" s="142"/>
      <c r="HI28" s="142"/>
      <c r="HJ28" s="142">
        <f>IFERROR(Calculations!BS28+IQ28+IX28,"")</f>
        <v>0</v>
      </c>
      <c r="HK28" s="142"/>
      <c r="HL28" s="142"/>
      <c r="HM28" s="142"/>
      <c r="HN28" s="142"/>
      <c r="HO28" s="142"/>
      <c r="HP28" s="142"/>
      <c r="HQ28" s="142"/>
      <c r="HR28" s="142" t="str">
        <f t="shared" si="9"/>
        <v/>
      </c>
      <c r="HS28" s="142"/>
      <c r="HT28" s="142"/>
      <c r="HU28" s="142"/>
      <c r="HV28" s="142"/>
      <c r="HW28" s="142"/>
      <c r="HX28" s="142"/>
      <c r="HY28" s="142"/>
      <c r="HZ28" s="142" t="str">
        <f>IFERROR(Calculations!BX28,"")</f>
        <v/>
      </c>
      <c r="IA28" s="142"/>
      <c r="IB28" s="142"/>
      <c r="IC28" s="142"/>
      <c r="ID28" s="142"/>
      <c r="IE28" s="142"/>
      <c r="IF28" s="142"/>
      <c r="IG28" s="142"/>
      <c r="IH28" s="142"/>
      <c r="II28" s="142"/>
      <c r="IJ28" s="142" t="str">
        <f>IFERROR(Calculations!BR28+IX28,"")</f>
        <v/>
      </c>
      <c r="IK28" s="142"/>
      <c r="IL28" s="142"/>
      <c r="IM28" s="142"/>
      <c r="IN28" s="142"/>
      <c r="IO28" s="142"/>
      <c r="IP28" s="142"/>
      <c r="IQ28" s="141">
        <v>0</v>
      </c>
      <c r="IR28" s="141"/>
      <c r="IS28" s="141"/>
      <c r="IT28" s="141"/>
      <c r="IU28" s="141"/>
      <c r="IV28" s="141"/>
      <c r="IW28" s="141"/>
      <c r="IX28" s="141">
        <v>0</v>
      </c>
      <c r="IY28" s="141"/>
      <c r="IZ28" s="141"/>
      <c r="JA28" s="141"/>
      <c r="JB28" s="141"/>
      <c r="JC28" s="141"/>
      <c r="JD28" s="141"/>
      <c r="JE28" s="141"/>
      <c r="JF28" s="142"/>
      <c r="JG28" s="142"/>
      <c r="JH28" s="142"/>
      <c r="JI28" s="142"/>
      <c r="JJ28" s="142"/>
      <c r="JK28" s="143" t="str">
        <f>Calculations!AS28</f>
        <v/>
      </c>
      <c r="JL28" s="143"/>
      <c r="JM28" s="143"/>
      <c r="JN28" s="143"/>
      <c r="JO28" s="143"/>
      <c r="JP28" s="143"/>
      <c r="JQ28" s="143"/>
      <c r="JR28" s="143"/>
      <c r="JS28" s="143"/>
      <c r="JT28" s="143"/>
      <c r="JU28" s="143"/>
      <c r="JV28" s="143"/>
      <c r="JW28" s="143"/>
      <c r="JX28" s="143"/>
      <c r="JY28" s="143"/>
      <c r="JZ28" s="143"/>
      <c r="KA28" s="143"/>
      <c r="KB28" s="143"/>
      <c r="KC28" s="143" t="str">
        <f>Calculations!AW28</f>
        <v/>
      </c>
      <c r="KD28" s="143"/>
      <c r="KE28" s="143"/>
      <c r="KF28" s="143"/>
      <c r="KG28" s="143"/>
      <c r="KH28" s="143"/>
      <c r="KI28" s="143"/>
      <c r="KJ28" s="143"/>
      <c r="KK28" s="143"/>
      <c r="KL28" s="143"/>
      <c r="KM28" s="143"/>
      <c r="KN28" s="143"/>
      <c r="KO28" s="143"/>
      <c r="KP28" s="143"/>
      <c r="KQ28" s="143"/>
      <c r="KR28" s="143"/>
      <c r="KS28" s="143"/>
      <c r="KT28" s="143"/>
      <c r="KU28" s="144" t="str">
        <f t="shared" si="7"/>
        <v/>
      </c>
      <c r="KV28" s="144"/>
      <c r="KW28" s="144"/>
      <c r="KX28" s="144"/>
      <c r="KY28" s="144"/>
      <c r="KZ28" s="144"/>
      <c r="LA28" s="144"/>
      <c r="LB28" s="144"/>
      <c r="LC28" s="144"/>
      <c r="LD28" s="144"/>
      <c r="LE28" s="144"/>
      <c r="LF28" s="144"/>
      <c r="LG28" s="144"/>
      <c r="LH28" s="144"/>
      <c r="LI28" s="144"/>
      <c r="LJ28" s="144"/>
      <c r="LK28" s="144"/>
      <c r="LL28" s="144"/>
      <c r="LM28" s="144"/>
      <c r="LN28" s="144"/>
      <c r="LO28" s="144"/>
      <c r="LP28" s="144"/>
      <c r="LQ28" s="144"/>
      <c r="LR28" s="144"/>
      <c r="LS28" s="144"/>
      <c r="LT28" s="144"/>
      <c r="LU28" s="144"/>
      <c r="LV28" s="144"/>
      <c r="LW28" s="144"/>
      <c r="LX28" s="144"/>
      <c r="LY28" s="144"/>
      <c r="LZ28" s="144"/>
      <c r="MA28" s="144"/>
      <c r="MB28" s="144"/>
      <c r="MC28" s="144"/>
      <c r="MD28" s="144"/>
      <c r="ME28" s="144"/>
      <c r="MF28" s="144"/>
      <c r="MG28" s="144"/>
      <c r="MH28" s="144"/>
      <c r="MI28" s="144"/>
      <c r="MJ28" s="144"/>
      <c r="MK28" s="144"/>
      <c r="ML28" s="144"/>
      <c r="MM28" s="144"/>
      <c r="MN28" s="144"/>
      <c r="MO28" s="144"/>
      <c r="MP28" s="144"/>
      <c r="MQ28" s="144"/>
      <c r="MR28" s="144"/>
      <c r="MS28" s="144"/>
      <c r="MT28" s="144"/>
      <c r="MU28" s="144"/>
      <c r="MV28" s="144"/>
      <c r="MW28" s="144"/>
      <c r="MX28" s="144"/>
      <c r="MY28" s="144"/>
      <c r="MZ28" s="145"/>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9"/>
      <c r="OH28" s="129"/>
      <c r="OI28" s="129"/>
      <c r="OJ28" s="129"/>
      <c r="OK28" s="129"/>
      <c r="OL28" s="129"/>
      <c r="OM28" s="129"/>
      <c r="ON28" s="129"/>
      <c r="OO28" s="129"/>
      <c r="OP28" s="129"/>
      <c r="OQ28" s="129"/>
      <c r="OR28" s="129"/>
      <c r="OS28" s="129"/>
      <c r="OT28" s="129"/>
      <c r="OU28" s="129"/>
      <c r="OV28" s="129"/>
      <c r="OW28" s="129"/>
      <c r="OX28" s="129"/>
      <c r="OY28" s="129"/>
      <c r="OZ28" s="129"/>
      <c r="PA28" s="129"/>
      <c r="PB28" s="128"/>
      <c r="PC28" s="128"/>
      <c r="PD28" s="128"/>
      <c r="PE28" s="128"/>
      <c r="PF28" s="128"/>
      <c r="PG28" s="128"/>
      <c r="PH28" s="129"/>
      <c r="PI28" s="129"/>
      <c r="PJ28" s="129"/>
      <c r="PK28" s="129"/>
      <c r="PL28" s="129"/>
      <c r="PM28" s="129"/>
      <c r="PN28" s="129"/>
      <c r="PO28" s="129"/>
      <c r="PP28" s="129"/>
      <c r="PQ28" s="129"/>
      <c r="PR28" s="129"/>
      <c r="PS28" s="129"/>
      <c r="PT28" s="129"/>
      <c r="PU28" s="129"/>
      <c r="PV28" s="129"/>
      <c r="PW28" s="129"/>
      <c r="PX28" s="129"/>
      <c r="PY28" s="129"/>
      <c r="PZ28" s="129"/>
      <c r="QA28" s="129"/>
      <c r="QB28" s="129"/>
      <c r="QC28" s="129"/>
      <c r="QD28" s="129"/>
      <c r="QE28" s="129"/>
      <c r="QF28" s="129"/>
      <c r="QG28" s="129"/>
      <c r="QH28" s="129"/>
      <c r="QI28" s="129"/>
      <c r="QJ28" s="128"/>
      <c r="QK28" s="128"/>
      <c r="QL28" s="128"/>
      <c r="QM28" s="128"/>
      <c r="QN28" s="128"/>
      <c r="QO28" s="128"/>
      <c r="QP28" s="128"/>
      <c r="AIT28" s="128" t="s">
        <v>208</v>
      </c>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9"/>
      <c r="AJZ28" s="129"/>
      <c r="AKA28" s="129"/>
      <c r="AKB28" s="129"/>
      <c r="AKC28" s="129"/>
      <c r="AKD28" s="129"/>
      <c r="AKE28" s="129"/>
      <c r="AKF28" s="129"/>
      <c r="AKG28" s="129"/>
      <c r="AKH28" s="129"/>
      <c r="AKI28" s="129"/>
      <c r="AKJ28" s="129"/>
      <c r="AKK28" s="129"/>
      <c r="AKL28" s="129"/>
      <c r="AKM28" s="129"/>
      <c r="AKN28" s="129"/>
      <c r="AKO28" s="129"/>
      <c r="AKP28" s="129"/>
      <c r="AKQ28" s="129"/>
      <c r="AKR28" s="129"/>
      <c r="AKS28" s="129"/>
      <c r="AKT28" s="128"/>
      <c r="AKU28" s="128"/>
      <c r="AKV28" s="128"/>
      <c r="AKW28" s="128"/>
      <c r="AKX28" s="128"/>
      <c r="AKY28" s="128"/>
      <c r="AKZ28" s="129"/>
      <c r="ALA28" s="129"/>
      <c r="ALB28" s="129"/>
      <c r="ALC28" s="129"/>
      <c r="ALD28" s="129"/>
      <c r="ALE28" s="129"/>
      <c r="ALF28" s="129"/>
      <c r="ALG28" s="129"/>
      <c r="ALH28" s="129"/>
      <c r="ALI28" s="129"/>
      <c r="ALJ28" s="129"/>
      <c r="ALK28" s="129"/>
      <c r="ALL28" s="129"/>
      <c r="ALM28" s="129"/>
      <c r="ALN28" s="129"/>
      <c r="ALO28" s="129"/>
      <c r="ALP28" s="129"/>
      <c r="ALQ28" s="129"/>
      <c r="ALR28" s="129"/>
      <c r="ALS28" s="129"/>
      <c r="ALT28" s="129"/>
      <c r="ALU28" s="129"/>
      <c r="ALV28" s="129"/>
      <c r="ALW28" s="129"/>
      <c r="ALX28" s="129"/>
      <c r="ALY28" s="129"/>
      <c r="ALZ28" s="129"/>
      <c r="AMA28" s="129"/>
      <c r="AMB28" s="128"/>
      <c r="AMC28" s="128"/>
      <c r="AMD28" s="128"/>
      <c r="AME28" s="128"/>
      <c r="AMF28" s="128"/>
      <c r="AMG28" s="128"/>
      <c r="AMH28" s="128"/>
      <c r="APZ28" s="128" t="s">
        <v>239</v>
      </c>
      <c r="AQA28" s="128"/>
      <c r="AQB28" s="128"/>
      <c r="AQC28" s="128"/>
      <c r="AQD28" s="128"/>
      <c r="AQE28" s="128"/>
      <c r="AQF28" s="128"/>
      <c r="AQG28" s="128"/>
      <c r="AQH28" s="128"/>
      <c r="AQI28" s="128"/>
      <c r="AQJ28" s="128"/>
      <c r="AQK28" s="128"/>
      <c r="AQL28" s="128"/>
      <c r="AQM28" s="128"/>
      <c r="AQN28" s="128"/>
      <c r="AQO28" s="128"/>
      <c r="AQP28" s="128"/>
      <c r="AQQ28" s="128"/>
      <c r="AQR28" s="128"/>
      <c r="AQS28" s="128"/>
      <c r="AQT28" s="128"/>
      <c r="AQU28" s="128"/>
      <c r="AQV28" s="128"/>
      <c r="AQW28" s="128"/>
      <c r="AQX28" s="128"/>
      <c r="AQY28" s="128"/>
      <c r="AQZ28" s="128"/>
      <c r="ARA28" s="128"/>
      <c r="ARB28" s="128"/>
      <c r="ARC28" s="128"/>
      <c r="ARD28" s="128"/>
      <c r="ARE28" s="129"/>
      <c r="ARF28" s="129"/>
      <c r="ARG28" s="129"/>
      <c r="ARH28" s="129"/>
      <c r="ARI28" s="129"/>
      <c r="ARJ28" s="129"/>
      <c r="ARK28" s="129"/>
      <c r="ARL28" s="129"/>
      <c r="ARM28" s="129"/>
      <c r="ARN28" s="129"/>
      <c r="ARO28" s="129"/>
      <c r="ARP28" s="129"/>
      <c r="ARQ28" s="129"/>
      <c r="ARR28" s="129"/>
      <c r="ARS28" s="129"/>
      <c r="ART28" s="129"/>
      <c r="ARU28" s="129"/>
      <c r="ARV28" s="129"/>
      <c r="ARW28" s="129"/>
      <c r="ARX28" s="129"/>
      <c r="ARY28" s="129"/>
      <c r="ARZ28" s="128"/>
      <c r="ASA28" s="128"/>
      <c r="ASB28" s="128"/>
      <c r="ASC28" s="128"/>
      <c r="ASD28" s="128"/>
      <c r="ASE28" s="128"/>
      <c r="ASF28" s="129"/>
      <c r="ASG28" s="129"/>
      <c r="ASH28" s="129"/>
      <c r="ASI28" s="129"/>
      <c r="ASJ28" s="129"/>
      <c r="ASK28" s="129"/>
      <c r="ASL28" s="129"/>
      <c r="ASM28" s="129"/>
      <c r="ASN28" s="129"/>
      <c r="ASO28" s="129"/>
      <c r="ASP28" s="129"/>
      <c r="ASQ28" s="129"/>
      <c r="ASR28" s="129"/>
      <c r="ASS28" s="129"/>
      <c r="AST28" s="129"/>
      <c r="ASU28" s="129"/>
      <c r="ASV28" s="129"/>
      <c r="ASW28" s="129"/>
      <c r="ASX28" s="129"/>
      <c r="ASY28" s="129"/>
      <c r="ASZ28" s="129"/>
      <c r="ATA28" s="129"/>
      <c r="ATB28" s="129"/>
      <c r="ATC28" s="129"/>
      <c r="ATD28" s="129"/>
      <c r="ATE28" s="129"/>
      <c r="ATF28" s="129"/>
      <c r="ATG28" s="129"/>
      <c r="ATH28" s="128"/>
      <c r="ATI28" s="128"/>
      <c r="ATJ28" s="128"/>
      <c r="ATK28" s="128"/>
      <c r="ATL28" s="128"/>
      <c r="ATM28" s="128"/>
      <c r="ATN28" s="128"/>
      <c r="AXF28" s="128" t="s">
        <v>279</v>
      </c>
      <c r="AXG28" s="128"/>
      <c r="AXH28" s="128"/>
      <c r="AXI28" s="128"/>
      <c r="AXJ28" s="128"/>
      <c r="AXK28" s="128"/>
      <c r="AXL28" s="128"/>
      <c r="AXM28" s="128"/>
      <c r="AXN28" s="128"/>
      <c r="AXO28" s="128"/>
      <c r="AXP28" s="128"/>
      <c r="AXQ28" s="128"/>
      <c r="AXR28" s="128"/>
      <c r="AXS28" s="128"/>
      <c r="AXT28" s="128"/>
      <c r="AXU28" s="128"/>
      <c r="AXV28" s="128"/>
      <c r="AXW28" s="128"/>
      <c r="AXX28" s="128"/>
      <c r="AXY28" s="128"/>
      <c r="AXZ28" s="128"/>
      <c r="AYA28" s="128"/>
      <c r="AYB28" s="128"/>
      <c r="AYC28" s="128"/>
      <c r="AYD28" s="128"/>
      <c r="AYE28" s="128"/>
      <c r="AYF28" s="128"/>
      <c r="AYG28" s="128"/>
      <c r="AYH28" s="128"/>
      <c r="AYI28" s="128"/>
      <c r="AYJ28" s="128"/>
      <c r="AYK28" s="129"/>
      <c r="AYL28" s="129"/>
      <c r="AYM28" s="129"/>
      <c r="AYN28" s="129"/>
      <c r="AYO28" s="129"/>
      <c r="AYP28" s="129"/>
      <c r="AYQ28" s="129"/>
      <c r="AYR28" s="129"/>
      <c r="AYS28" s="129"/>
      <c r="AYT28" s="129"/>
      <c r="AYU28" s="129"/>
      <c r="AYV28" s="129"/>
      <c r="AYW28" s="129"/>
      <c r="AYX28" s="129"/>
      <c r="AYY28" s="129"/>
      <c r="AYZ28" s="129"/>
      <c r="AZA28" s="129"/>
      <c r="AZB28" s="129"/>
      <c r="AZC28" s="129"/>
      <c r="AZD28" s="129"/>
      <c r="AZE28" s="129"/>
      <c r="AZF28" s="128"/>
      <c r="AZG28" s="128"/>
      <c r="AZH28" s="128"/>
      <c r="AZI28" s="128"/>
      <c r="AZJ28" s="128"/>
      <c r="AZK28" s="128"/>
      <c r="AZL28" s="129"/>
      <c r="AZM28" s="129"/>
      <c r="AZN28" s="129"/>
      <c r="AZO28" s="129"/>
      <c r="AZP28" s="129"/>
      <c r="AZQ28" s="129"/>
      <c r="AZR28" s="129"/>
      <c r="AZS28" s="129"/>
      <c r="AZT28" s="129"/>
      <c r="AZU28" s="129"/>
      <c r="AZV28" s="129"/>
      <c r="AZW28" s="129"/>
      <c r="AZX28" s="129"/>
      <c r="AZY28" s="129"/>
      <c r="AZZ28" s="129"/>
      <c r="BAA28" s="129"/>
      <c r="BAB28" s="129"/>
      <c r="BAC28" s="129"/>
      <c r="BAD28" s="129"/>
      <c r="BAE28" s="129"/>
      <c r="BAF28" s="129"/>
      <c r="BAG28" s="129"/>
      <c r="BAH28" s="129"/>
      <c r="BAI28" s="129"/>
      <c r="BAJ28" s="129"/>
      <c r="BAK28" s="129"/>
      <c r="BAL28" s="129"/>
      <c r="BAM28" s="129"/>
      <c r="BAN28" s="128"/>
      <c r="BAO28" s="128"/>
      <c r="BAP28" s="128"/>
      <c r="BAQ28" s="128"/>
      <c r="BAR28" s="128"/>
      <c r="BAS28" s="128"/>
      <c r="BAT28" s="128"/>
      <c r="BAV28" s="128" t="s">
        <v>299</v>
      </c>
      <c r="BAW28" s="128"/>
      <c r="BAX28" s="128"/>
      <c r="BAY28" s="128"/>
      <c r="BAZ28" s="128"/>
      <c r="BBA28" s="128"/>
      <c r="BBB28" s="128"/>
      <c r="BBC28" s="128"/>
      <c r="BBD28" s="128"/>
      <c r="BBE28" s="128"/>
      <c r="BBF28" s="128"/>
      <c r="BBG28" s="128"/>
      <c r="BBH28" s="128"/>
      <c r="BBI28" s="128"/>
      <c r="BBJ28" s="128"/>
      <c r="BBK28" s="128"/>
      <c r="BBL28" s="128"/>
      <c r="BBM28" s="128"/>
      <c r="BBN28" s="128"/>
      <c r="BBO28" s="128"/>
      <c r="BBP28" s="128"/>
      <c r="BBQ28" s="128"/>
      <c r="BBR28" s="128"/>
      <c r="BBS28" s="128"/>
      <c r="BBT28" s="128"/>
      <c r="BBU28" s="128"/>
      <c r="BBV28" s="128"/>
      <c r="BBW28" s="128"/>
      <c r="BBX28" s="128"/>
      <c r="BBY28" s="128"/>
      <c r="BBZ28" s="128"/>
      <c r="BCA28" s="129"/>
      <c r="BCB28" s="129"/>
      <c r="BCC28" s="129"/>
      <c r="BCD28" s="129"/>
      <c r="BCE28" s="129"/>
      <c r="BCF28" s="129"/>
      <c r="BCG28" s="129"/>
      <c r="BCH28" s="129"/>
      <c r="BCI28" s="129"/>
      <c r="BCJ28" s="129"/>
      <c r="BCK28" s="129"/>
      <c r="BCL28" s="129"/>
      <c r="BCM28" s="129"/>
      <c r="BCN28" s="129"/>
      <c r="BCO28" s="129"/>
      <c r="BCP28" s="129"/>
      <c r="BCQ28" s="129"/>
      <c r="BCR28" s="129"/>
      <c r="BCS28" s="129"/>
      <c r="BCT28" s="129"/>
      <c r="BCU28" s="129"/>
      <c r="BCV28" s="128"/>
      <c r="BCW28" s="128"/>
      <c r="BCX28" s="128"/>
      <c r="BCY28" s="128"/>
      <c r="BCZ28" s="128"/>
      <c r="BDA28" s="128"/>
      <c r="BDB28" s="129"/>
      <c r="BDC28" s="129"/>
      <c r="BDD28" s="129"/>
      <c r="BDE28" s="129"/>
      <c r="BDF28" s="129"/>
      <c r="BDG28" s="129"/>
      <c r="BDH28" s="129"/>
      <c r="BDI28" s="129"/>
      <c r="BDJ28" s="129"/>
      <c r="BDK28" s="129"/>
      <c r="BDL28" s="129"/>
      <c r="BDM28" s="129"/>
      <c r="BDN28" s="129"/>
      <c r="BDO28" s="129"/>
      <c r="BDP28" s="129"/>
      <c r="BDQ28" s="129"/>
      <c r="BDR28" s="129"/>
      <c r="BDS28" s="129"/>
      <c r="BDT28" s="129"/>
      <c r="BDU28" s="129"/>
      <c r="BDV28" s="129"/>
      <c r="BDW28" s="129"/>
      <c r="BDX28" s="129"/>
      <c r="BDY28" s="129"/>
      <c r="BDZ28" s="129"/>
      <c r="BEA28" s="129"/>
      <c r="BEB28" s="129"/>
      <c r="BEC28" s="129"/>
      <c r="BED28" s="128"/>
      <c r="BEE28" s="128"/>
      <c r="BEF28" s="128"/>
      <c r="BEG28" s="128"/>
      <c r="BEH28" s="128"/>
      <c r="BEI28" s="128"/>
      <c r="BEJ28" s="128"/>
      <c r="BLR28" s="144" t="s">
        <v>147</v>
      </c>
      <c r="BLS28" s="144"/>
      <c r="BLT28" s="144"/>
      <c r="BLU28" s="144"/>
      <c r="BLV28" s="144"/>
      <c r="BLW28" s="144"/>
      <c r="BLX28" s="144"/>
      <c r="BLY28" s="144"/>
      <c r="BLZ28" s="144"/>
      <c r="BMA28" s="144"/>
      <c r="BMB28" s="144"/>
      <c r="BMC28" s="144"/>
      <c r="BMD28" s="144"/>
      <c r="BME28" s="144"/>
      <c r="BMF28" s="144"/>
      <c r="BMG28" s="144"/>
      <c r="BMH28" s="144"/>
      <c r="BMI28" s="144"/>
      <c r="BMJ28" s="144"/>
      <c r="BMK28" s="144"/>
      <c r="BML28" s="144"/>
      <c r="BMM28" s="144"/>
      <c r="BMN28" s="144"/>
      <c r="BMO28" s="144"/>
      <c r="BMP28" s="144"/>
      <c r="BMQ28" s="144"/>
      <c r="BMR28" s="144"/>
      <c r="BMS28" s="144"/>
      <c r="BMT28" s="144"/>
      <c r="BMU28" s="144"/>
      <c r="BMV28" s="144"/>
      <c r="BMW28" s="129" t="s">
        <v>133</v>
      </c>
      <c r="BMX28" s="129"/>
      <c r="BMY28" s="129"/>
      <c r="BMZ28" s="129"/>
      <c r="BNA28" s="129" t="s">
        <v>148</v>
      </c>
      <c r="BNB28" s="129"/>
      <c r="BNC28" s="129"/>
      <c r="BND28" s="129"/>
      <c r="BNE28" s="129"/>
      <c r="BNF28" s="129" t="s">
        <v>83</v>
      </c>
      <c r="BNG28" s="129"/>
      <c r="BNH28" s="129"/>
      <c r="BNI28" s="129"/>
      <c r="BNJ28" s="129"/>
      <c r="BNK28" s="129"/>
      <c r="BNL28" s="129" t="s">
        <v>37</v>
      </c>
      <c r="BNM28" s="129"/>
      <c r="BNN28" s="129"/>
      <c r="BNO28" s="129"/>
      <c r="BNP28" s="129"/>
      <c r="BNQ28" s="129"/>
      <c r="BNR28" s="129" t="s">
        <v>49</v>
      </c>
      <c r="BNS28" s="129"/>
      <c r="BNT28" s="129"/>
      <c r="BNU28" s="129"/>
      <c r="BNV28" s="129"/>
      <c r="BNW28" s="129"/>
      <c r="BNX28" s="129" t="s">
        <v>149</v>
      </c>
      <c r="BNY28" s="129"/>
      <c r="BNZ28" s="129"/>
      <c r="BOA28" s="129"/>
      <c r="BOB28" s="129"/>
      <c r="BOC28" s="129"/>
      <c r="BOD28" s="129"/>
      <c r="BOE28" s="129" t="s">
        <v>150</v>
      </c>
      <c r="BOF28" s="129"/>
      <c r="BOG28" s="129"/>
      <c r="BOH28" s="129"/>
      <c r="BOI28" s="129"/>
      <c r="BOJ28" s="129"/>
      <c r="BOK28" s="129"/>
      <c r="BOL28" s="129" t="s">
        <v>151</v>
      </c>
      <c r="BOM28" s="129"/>
      <c r="BON28" s="129"/>
      <c r="BOO28" s="129"/>
      <c r="BOP28" s="129"/>
      <c r="BOQ28" s="129"/>
      <c r="BOR28" s="129"/>
      <c r="BOS28" s="129" t="s">
        <v>37</v>
      </c>
      <c r="BOT28" s="129"/>
      <c r="BOU28" s="129"/>
      <c r="BOV28" s="129"/>
      <c r="BOW28" s="129"/>
      <c r="BOX28" s="129"/>
      <c r="BOY28" s="129"/>
      <c r="BOZ28" s="129" t="s">
        <v>40</v>
      </c>
      <c r="BPA28" s="129"/>
      <c r="BPB28" s="129"/>
      <c r="BPC28" s="129"/>
      <c r="BPD28" s="129"/>
      <c r="BPE28" s="129"/>
      <c r="BPF28" s="129"/>
      <c r="COP28" s="128" t="str">
        <f ca="1">VLOOKUP(2,INDIRECT("Closed"&amp;'Character Creation'!$Z$14),2,FALSE)</f>
        <v>Fluid Elements</v>
      </c>
      <c r="COQ28" s="128"/>
      <c r="COR28" s="128"/>
      <c r="COS28" s="128"/>
      <c r="COT28" s="128"/>
      <c r="COU28" s="128"/>
      <c r="COV28" s="128"/>
      <c r="COW28" s="128"/>
      <c r="COX28" s="128"/>
      <c r="COY28" s="128"/>
      <c r="COZ28" s="128"/>
      <c r="CPA28" s="128"/>
      <c r="CPB28" s="128"/>
      <c r="CPC28" s="128"/>
      <c r="CPD28" s="128"/>
      <c r="CPE28" s="128"/>
      <c r="CPF28" s="128"/>
      <c r="CPG28" s="128"/>
      <c r="CPH28" s="128"/>
      <c r="CPI28" s="128"/>
      <c r="CPJ28" s="128"/>
      <c r="CPK28" s="128"/>
      <c r="CPL28" s="128"/>
      <c r="CPM28" s="128"/>
      <c r="CPN28" s="128"/>
      <c r="CPO28" s="128"/>
      <c r="CPP28" s="128"/>
      <c r="CPQ28" s="128"/>
      <c r="CPR28" s="128"/>
      <c r="CPS28" s="128"/>
      <c r="CPT28" s="128"/>
      <c r="CPU28" s="129"/>
      <c r="CPV28" s="129"/>
      <c r="CPW28" s="129"/>
      <c r="CPX28" s="129"/>
      <c r="CPY28" s="129"/>
      <c r="CPZ28" s="129"/>
      <c r="CQA28" s="129"/>
      <c r="CQB28" s="129"/>
      <c r="CQC28" s="129"/>
      <c r="CQD28" s="129"/>
      <c r="CQE28" s="129"/>
      <c r="CQF28" s="129"/>
      <c r="CQG28" s="129"/>
      <c r="CQH28" s="129"/>
      <c r="CQI28" s="129"/>
      <c r="CQJ28" s="129"/>
      <c r="CQK28" s="129"/>
      <c r="CQL28" s="129"/>
      <c r="CQM28" s="129"/>
      <c r="CQN28" s="129"/>
      <c r="CQO28" s="129"/>
      <c r="CQP28" s="128"/>
      <c r="CQQ28" s="128"/>
      <c r="CQR28" s="128"/>
      <c r="CQS28" s="128"/>
      <c r="CQT28" s="128"/>
      <c r="CQU28" s="128"/>
      <c r="CQV28" s="129"/>
      <c r="CQW28" s="129"/>
      <c r="CQX28" s="129"/>
      <c r="CQY28" s="129"/>
      <c r="CQZ28" s="129"/>
      <c r="CRA28" s="129"/>
      <c r="CRB28" s="129"/>
      <c r="CRC28" s="129"/>
      <c r="CRD28" s="129"/>
      <c r="CRE28" s="129"/>
      <c r="CRF28" s="129"/>
      <c r="CRG28" s="129"/>
      <c r="CRH28" s="129"/>
      <c r="CRI28" s="129"/>
      <c r="CRJ28" s="129"/>
      <c r="CRK28" s="129"/>
      <c r="CRL28" s="129"/>
      <c r="CRM28" s="129"/>
      <c r="CRN28" s="129"/>
      <c r="CRO28" s="129"/>
      <c r="CRP28" s="129"/>
      <c r="CRQ28" s="129"/>
      <c r="CRR28" s="129"/>
      <c r="CRS28" s="129"/>
      <c r="CRT28" s="129"/>
      <c r="CRU28" s="129"/>
      <c r="CRV28" s="129"/>
      <c r="CRW28" s="129"/>
      <c r="CRX28" s="128"/>
      <c r="CRY28" s="128"/>
      <c r="CRZ28" s="128"/>
      <c r="CSA28" s="128"/>
      <c r="CSB28" s="128"/>
      <c r="CSC28" s="128"/>
      <c r="CSD28" s="128"/>
      <c r="CSF28" s="128" t="s">
        <v>453</v>
      </c>
      <c r="CSG28" s="128"/>
      <c r="CSH28" s="128"/>
      <c r="CSI28" s="128"/>
      <c r="CSJ28" s="128"/>
      <c r="CSK28" s="128"/>
      <c r="CSL28" s="128"/>
      <c r="CSM28" s="128"/>
      <c r="CSN28" s="128"/>
      <c r="CSO28" s="128"/>
      <c r="CSP28" s="128"/>
      <c r="CSQ28" s="128"/>
      <c r="CSR28" s="128"/>
      <c r="CSS28" s="128"/>
      <c r="CST28" s="128"/>
      <c r="CSU28" s="128"/>
      <c r="CSV28" s="128"/>
      <c r="CSW28" s="128"/>
      <c r="CSX28" s="128"/>
      <c r="CSY28" s="128"/>
      <c r="CSZ28" s="128"/>
      <c r="CTA28" s="128"/>
      <c r="CTB28" s="128"/>
      <c r="CTC28" s="128"/>
      <c r="CTD28" s="128"/>
      <c r="CTE28" s="128"/>
      <c r="CTF28" s="128"/>
      <c r="CTG28" s="128"/>
      <c r="CTH28" s="128"/>
      <c r="CTI28" s="128"/>
      <c r="CTJ28" s="128"/>
      <c r="CTK28" s="129"/>
      <c r="CTL28" s="129"/>
      <c r="CTM28" s="129"/>
      <c r="CTN28" s="129"/>
      <c r="CTO28" s="129"/>
      <c r="CTP28" s="129"/>
      <c r="CTQ28" s="129"/>
      <c r="CTR28" s="129"/>
      <c r="CTS28" s="129"/>
      <c r="CTT28" s="129"/>
      <c r="CTU28" s="129"/>
      <c r="CTV28" s="129"/>
      <c r="CTW28" s="129"/>
      <c r="CTX28" s="129"/>
      <c r="CTY28" s="129"/>
      <c r="CTZ28" s="129"/>
      <c r="CUA28" s="129"/>
      <c r="CUB28" s="129"/>
      <c r="CUC28" s="129"/>
      <c r="CUD28" s="129"/>
      <c r="CUE28" s="129"/>
      <c r="CUF28" s="128"/>
      <c r="CUG28" s="128"/>
      <c r="CUH28" s="128"/>
      <c r="CUI28" s="128"/>
      <c r="CUJ28" s="128"/>
      <c r="CUK28" s="128"/>
      <c r="CUL28" s="129"/>
      <c r="CUM28" s="129"/>
      <c r="CUN28" s="129"/>
      <c r="CUO28" s="129"/>
      <c r="CUP28" s="129"/>
      <c r="CUQ28" s="129"/>
      <c r="CUR28" s="129"/>
      <c r="CUS28" s="129"/>
      <c r="CUT28" s="129"/>
      <c r="CUU28" s="129"/>
      <c r="CUV28" s="129"/>
      <c r="CUW28" s="129"/>
      <c r="CUX28" s="129"/>
      <c r="CUY28" s="129"/>
      <c r="CUZ28" s="129"/>
      <c r="CVA28" s="129"/>
      <c r="CVB28" s="129"/>
      <c r="CVC28" s="129"/>
      <c r="CVD28" s="129"/>
      <c r="CVE28" s="129"/>
      <c r="CVF28" s="129"/>
      <c r="CVG28" s="129"/>
      <c r="CVH28" s="129"/>
      <c r="CVI28" s="129"/>
      <c r="CVJ28" s="129"/>
      <c r="CVK28" s="129"/>
      <c r="CVL28" s="129"/>
      <c r="CVM28" s="129"/>
      <c r="CVN28" s="128"/>
      <c r="CVO28" s="128"/>
      <c r="CVP28" s="128"/>
      <c r="CVQ28" s="128"/>
      <c r="CVR28" s="128"/>
      <c r="CVS28" s="128"/>
      <c r="CVT28" s="128"/>
      <c r="DDB28" s="144" t="s">
        <v>534</v>
      </c>
      <c r="DDC28" s="144"/>
      <c r="DDD28" s="144"/>
      <c r="DDE28" s="144"/>
      <c r="DDF28" s="144"/>
      <c r="DDG28" s="144"/>
      <c r="DDH28" s="144"/>
      <c r="DDI28" s="144"/>
      <c r="DDJ28" s="144"/>
      <c r="DDK28" s="144"/>
      <c r="DDL28" s="144"/>
      <c r="DDM28" s="144"/>
      <c r="DDN28" s="144"/>
      <c r="DDO28" s="144"/>
      <c r="DDP28" s="144"/>
      <c r="DDQ28" s="144"/>
      <c r="DDR28" s="144"/>
      <c r="DDS28" s="144"/>
      <c r="DDT28" s="144"/>
      <c r="DDU28" s="144"/>
      <c r="DDV28" s="144"/>
      <c r="DDW28" s="144"/>
      <c r="DDX28" s="144"/>
      <c r="DDY28" s="144"/>
      <c r="DDZ28" s="144"/>
      <c r="DEA28" s="144"/>
      <c r="DEB28" s="144"/>
      <c r="DEC28" s="144"/>
      <c r="DED28" s="144"/>
      <c r="DEE28" s="144"/>
      <c r="DEF28" s="144"/>
      <c r="DEG28" s="144"/>
      <c r="DEH28" s="144"/>
      <c r="DEI28" s="144"/>
      <c r="DEJ28" s="144"/>
      <c r="DEK28" s="144"/>
      <c r="DEL28" s="144"/>
      <c r="DEM28" s="144"/>
      <c r="DEN28" s="144"/>
      <c r="DEO28" s="144"/>
      <c r="DEP28" s="144"/>
      <c r="DEQ28" s="144"/>
      <c r="DER28" s="144"/>
      <c r="DES28" s="144"/>
      <c r="DET28" s="144"/>
      <c r="DEU28" s="144"/>
      <c r="DEV28" s="144"/>
      <c r="DEW28" s="144"/>
      <c r="DEX28" s="144"/>
      <c r="DEY28" s="144"/>
      <c r="DEZ28" s="144"/>
      <c r="DFA28" s="144"/>
      <c r="DFB28" s="144"/>
      <c r="DFC28" s="144"/>
      <c r="DFD28" s="144"/>
      <c r="DFE28" s="144"/>
      <c r="DFF28" s="144"/>
      <c r="DFG28" s="144"/>
      <c r="DFH28" s="144"/>
      <c r="DFI28" s="144"/>
      <c r="DFJ28" s="144"/>
      <c r="DFK28" s="144"/>
      <c r="DFL28" s="144"/>
      <c r="DFM28" s="144"/>
      <c r="DFN28" s="144"/>
      <c r="DFO28" s="144"/>
      <c r="DFP28" s="144"/>
      <c r="DFQ28" s="144"/>
      <c r="DFR28" s="144"/>
      <c r="DFS28" s="144"/>
      <c r="DFT28" s="144"/>
      <c r="DFU28" s="144"/>
      <c r="DFV28" s="144"/>
      <c r="DFW28" s="144"/>
      <c r="DFX28" s="144"/>
      <c r="DFY28" s="144"/>
      <c r="DFZ28" s="144"/>
      <c r="DGA28" s="144"/>
      <c r="DGB28" s="144"/>
      <c r="DGC28" s="144"/>
      <c r="DGD28" s="144"/>
      <c r="DGE28" s="144"/>
      <c r="DGF28" s="144"/>
      <c r="DGG28" s="144"/>
      <c r="DGH28" s="144"/>
      <c r="DGI28" s="144"/>
      <c r="DGJ28" s="144"/>
      <c r="DGK28" s="144"/>
      <c r="DGL28" s="144"/>
      <c r="DGM28" s="144"/>
      <c r="DGN28" s="144"/>
      <c r="DGO28" s="144"/>
      <c r="DGP28" s="144"/>
      <c r="DGR28" s="144" t="s">
        <v>147</v>
      </c>
      <c r="DGS28" s="144"/>
      <c r="DGT28" s="144"/>
      <c r="DGU28" s="144"/>
      <c r="DGV28" s="144"/>
      <c r="DGW28" s="144"/>
      <c r="DGX28" s="144"/>
      <c r="DGY28" s="144"/>
      <c r="DGZ28" s="144"/>
      <c r="DHA28" s="144"/>
      <c r="DHB28" s="144"/>
      <c r="DHC28" s="144"/>
      <c r="DHD28" s="144"/>
      <c r="DHE28" s="144"/>
      <c r="DHF28" s="144"/>
      <c r="DHG28" s="144"/>
      <c r="DHH28" s="144"/>
      <c r="DHI28" s="144"/>
      <c r="DHJ28" s="144"/>
      <c r="DHK28" s="144"/>
      <c r="DHL28" s="144"/>
      <c r="DHM28" s="144"/>
      <c r="DHN28" s="144"/>
      <c r="DHO28" s="144"/>
      <c r="DHP28" s="144"/>
      <c r="DHQ28" s="144"/>
      <c r="DHR28" s="144"/>
      <c r="DHS28" s="144"/>
      <c r="DHT28" s="144"/>
      <c r="DHU28" s="144"/>
      <c r="DHV28" s="144"/>
      <c r="DHW28" s="129" t="s">
        <v>133</v>
      </c>
      <c r="DHX28" s="129"/>
      <c r="DHY28" s="129"/>
      <c r="DHZ28" s="129"/>
      <c r="DIA28" s="129" t="s">
        <v>148</v>
      </c>
      <c r="DIB28" s="129"/>
      <c r="DIC28" s="129"/>
      <c r="DID28" s="129"/>
      <c r="DIE28" s="129"/>
      <c r="DIF28" s="129" t="s">
        <v>83</v>
      </c>
      <c r="DIG28" s="129"/>
      <c r="DIH28" s="129"/>
      <c r="DII28" s="129"/>
      <c r="DIJ28" s="129"/>
      <c r="DIK28" s="129"/>
      <c r="DIL28" s="129" t="s">
        <v>37</v>
      </c>
      <c r="DIM28" s="129"/>
      <c r="DIN28" s="129"/>
      <c r="DIO28" s="129"/>
      <c r="DIP28" s="129"/>
      <c r="DIQ28" s="129"/>
      <c r="DIR28" s="129" t="s">
        <v>49</v>
      </c>
      <c r="DIS28" s="129"/>
      <c r="DIT28" s="129"/>
      <c r="DIU28" s="129"/>
      <c r="DIV28" s="129"/>
      <c r="DIW28" s="129"/>
      <c r="DIX28" s="129" t="s">
        <v>149</v>
      </c>
      <c r="DIY28" s="129"/>
      <c r="DIZ28" s="129"/>
      <c r="DJA28" s="129"/>
      <c r="DJB28" s="129"/>
      <c r="DJC28" s="129"/>
      <c r="DJD28" s="129"/>
      <c r="DJE28" s="129" t="s">
        <v>150</v>
      </c>
      <c r="DJF28" s="129"/>
      <c r="DJG28" s="129"/>
      <c r="DJH28" s="129"/>
      <c r="DJI28" s="129"/>
      <c r="DJJ28" s="129"/>
      <c r="DJK28" s="129"/>
      <c r="DJL28" s="129" t="s">
        <v>151</v>
      </c>
      <c r="DJM28" s="129"/>
      <c r="DJN28" s="129"/>
      <c r="DJO28" s="129"/>
      <c r="DJP28" s="129"/>
      <c r="DJQ28" s="129"/>
      <c r="DJR28" s="129"/>
      <c r="DJS28" s="129" t="s">
        <v>37</v>
      </c>
      <c r="DJT28" s="129"/>
      <c r="DJU28" s="129"/>
      <c r="DJV28" s="129"/>
      <c r="DJW28" s="129"/>
      <c r="DJX28" s="129"/>
      <c r="DJY28" s="129"/>
      <c r="DJZ28" s="129" t="s">
        <v>40</v>
      </c>
      <c r="DKA28" s="129"/>
      <c r="DKB28" s="129"/>
      <c r="DKC28" s="129"/>
      <c r="DKD28" s="129"/>
      <c r="DKE28" s="129"/>
      <c r="DKF28" s="129"/>
    </row>
    <row r="29" spans="2:1022 1118:1774 2152:2996" ht="15" customHeight="1" x14ac:dyDescent="0.25">
      <c r="B29" s="133">
        <v>4</v>
      </c>
      <c r="C29" s="134"/>
      <c r="D29" s="134"/>
      <c r="E29" s="134" t="str">
        <f>IFERROR(VLOOKUP(B29,Calculations!$DH$3:$DJ$127,3,FALSE),"")</f>
        <v/>
      </c>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96" t="str">
        <f>IFERROR(VLOOKUP(B29,Calculations!$DH$3:$DX$200,17,FALSE),"")</f>
        <v/>
      </c>
      <c r="AH29" s="130"/>
      <c r="AI29" s="130"/>
      <c r="AJ29" s="130"/>
      <c r="AK29" s="130"/>
      <c r="AL29" s="130"/>
      <c r="AM29" s="130"/>
      <c r="AN29" s="130"/>
      <c r="AO29" s="130"/>
      <c r="AP29" s="130"/>
      <c r="AQ29" s="130"/>
      <c r="AR29" s="130"/>
      <c r="AS29" s="130"/>
      <c r="AT29" s="130"/>
      <c r="AU29" s="130"/>
      <c r="AV29" s="130"/>
      <c r="AW29" s="130"/>
      <c r="AX29" s="130"/>
      <c r="AY29" s="130"/>
      <c r="AZ29" s="130"/>
      <c r="BA29" s="197"/>
      <c r="BB29" s="210" t="str">
        <f>IFERROR(IFERROR((VLOOKUP(E29,Calculations!$DR$3:$EJ$200,19,FALSE)),0)+VLOOKUP(B29,Calculations!$DH$3:$DN$200,7,FALSE)+CG29+CO29+IFERROR(VLOOKUP((LEFT(E29,FIND("(",E29)-2)),Calculations!$DJ$3:$EJ$200,26,FALSE),0),"")</f>
        <v/>
      </c>
      <c r="BC29" s="210"/>
      <c r="BD29" s="210"/>
      <c r="BE29" s="210"/>
      <c r="BF29" s="210"/>
      <c r="BG29" s="210"/>
      <c r="BH29" s="210"/>
      <c r="BI29" s="130" t="str">
        <f>IFERROR("x "&amp;VLOOKUP(B29,Calculations!$DH$3:$DY$200,18,FALSE),"")</f>
        <v/>
      </c>
      <c r="BJ29" s="130"/>
      <c r="BK29" s="130"/>
      <c r="BL29" s="130"/>
      <c r="BM29" s="130"/>
      <c r="BN29" s="130"/>
      <c r="BO29" s="130"/>
      <c r="BP29" s="130"/>
      <c r="BQ29" s="130" t="str">
        <f>IFERROR(VLOOKUP(B29,Calculations!$DH$3:$EE$200,22,FALSE),"")</f>
        <v/>
      </c>
      <c r="BR29" s="130"/>
      <c r="BS29" s="130"/>
      <c r="BT29" s="130"/>
      <c r="BU29" s="130"/>
      <c r="BV29" s="130"/>
      <c r="BW29" s="130"/>
      <c r="BX29" s="130"/>
      <c r="BY29" s="130" t="str">
        <f>IFERROR(VLOOKUP(B29,Calculations!$DH$3:$EA$200,19,FALSE)-ROUNDDOWN((CO29/5),0),"")</f>
        <v/>
      </c>
      <c r="BZ29" s="130"/>
      <c r="CA29" s="130"/>
      <c r="CB29" s="130"/>
      <c r="CC29" s="130"/>
      <c r="CD29" s="130"/>
      <c r="CE29" s="130"/>
      <c r="CF29" s="130"/>
      <c r="CG29" s="195">
        <v>0</v>
      </c>
      <c r="CH29" s="195"/>
      <c r="CI29" s="195"/>
      <c r="CJ29" s="195"/>
      <c r="CK29" s="195"/>
      <c r="CL29" s="195"/>
      <c r="CM29" s="195"/>
      <c r="CN29" s="195"/>
      <c r="CO29" s="195">
        <v>0</v>
      </c>
      <c r="CP29" s="195"/>
      <c r="CQ29" s="195"/>
      <c r="CR29" s="195"/>
      <c r="CS29" s="195"/>
      <c r="CT29" s="195"/>
      <c r="CU29" s="195"/>
      <c r="CV29" s="195"/>
      <c r="CW29" s="130" t="str">
        <f>IF(E29="","",IFERROR(VLOOKUP(B29,Calculations!$DH$3:$ED$200,23,FALSE)+CO29+CG29,"- -"))</f>
        <v/>
      </c>
      <c r="CX29" s="130"/>
      <c r="CY29" s="130"/>
      <c r="CZ29" s="130"/>
      <c r="DA29" s="130"/>
      <c r="DB29" s="130"/>
      <c r="DC29" s="130"/>
      <c r="DD29" s="130"/>
      <c r="DE29" s="198" t="str">
        <f>IF(E29="","",IFERROR(VLOOKUP(B29,Calculations!$DH$3:$EE$200,24,FALSE),"- -"))</f>
        <v/>
      </c>
      <c r="DF29" s="130"/>
      <c r="DG29" s="130"/>
      <c r="DH29" s="130"/>
      <c r="DI29" s="130"/>
      <c r="DJ29" s="130"/>
      <c r="DK29" s="130"/>
      <c r="DL29" s="130"/>
      <c r="DM29" s="198" t="str">
        <f>IF(E29="","",IFERROR(VLOOKUP(B29,Calculations!$DH$3:$EJ$200,25,FALSE),"- -"))</f>
        <v/>
      </c>
      <c r="DN29" s="130"/>
      <c r="DO29" s="130"/>
      <c r="DP29" s="130"/>
      <c r="DQ29" s="130"/>
      <c r="DR29" s="130"/>
      <c r="DS29" s="130"/>
      <c r="DT29" s="130"/>
      <c r="DU29" s="130" t="str">
        <f t="shared" si="10"/>
        <v/>
      </c>
      <c r="DV29" s="130"/>
      <c r="DW29" s="130"/>
      <c r="DX29" s="130"/>
      <c r="DY29" s="130"/>
      <c r="DZ29" s="130"/>
      <c r="EA29" s="130"/>
      <c r="EB29" s="130"/>
      <c r="EC29" s="130" t="str">
        <f t="shared" si="11"/>
        <v/>
      </c>
      <c r="ED29" s="130"/>
      <c r="EE29" s="130"/>
      <c r="EF29" s="130"/>
      <c r="EG29" s="130"/>
      <c r="EH29" s="130"/>
      <c r="EI29" s="130"/>
      <c r="EJ29" s="130"/>
      <c r="EK29" s="130" t="str">
        <f t="shared" si="12"/>
        <v/>
      </c>
      <c r="EL29" s="130"/>
      <c r="EM29" s="130"/>
      <c r="EN29" s="130"/>
      <c r="EO29" s="130"/>
      <c r="EP29" s="130"/>
      <c r="EQ29" s="130"/>
      <c r="ER29" s="130"/>
      <c r="ES29" s="130" t="str">
        <f t="shared" si="13"/>
        <v/>
      </c>
      <c r="ET29" s="130"/>
      <c r="EU29" s="130"/>
      <c r="EV29" s="130"/>
      <c r="EW29" s="130"/>
      <c r="EX29" s="130"/>
      <c r="EY29" s="130"/>
      <c r="EZ29" s="238"/>
      <c r="FB29" s="139"/>
      <c r="FC29" s="140"/>
      <c r="FD29" s="140"/>
      <c r="FE29" s="140"/>
      <c r="FF29" s="140"/>
      <c r="FG29" s="140"/>
      <c r="FH29" s="140"/>
      <c r="FI29" s="140"/>
      <c r="FJ29" s="140"/>
      <c r="FK29" s="140"/>
      <c r="FL29" s="140"/>
      <c r="FM29" s="140"/>
      <c r="FN29" s="140"/>
      <c r="FO29" s="140"/>
      <c r="FP29" s="140"/>
      <c r="FQ29" s="140"/>
      <c r="FR29" s="140"/>
      <c r="FS29" s="140"/>
      <c r="FT29" s="140"/>
      <c r="FU29" s="140"/>
      <c r="FV29" s="140"/>
      <c r="FW29" s="140"/>
      <c r="FX29" s="140"/>
      <c r="FY29" s="140"/>
      <c r="FZ29" s="140"/>
      <c r="GA29" s="140"/>
      <c r="GB29" s="140"/>
      <c r="GC29" s="140"/>
      <c r="GD29" s="140"/>
      <c r="GE29" s="140"/>
      <c r="GF29" s="140"/>
      <c r="GG29" s="140"/>
      <c r="GH29" s="140"/>
      <c r="GI29" s="140"/>
      <c r="GJ29" s="140"/>
      <c r="GK29" s="140"/>
      <c r="GL29" s="140"/>
      <c r="GM29" s="140"/>
      <c r="GN29" s="140"/>
      <c r="GO29" s="140"/>
      <c r="GP29" s="140"/>
      <c r="GQ29" s="140"/>
      <c r="GR29" s="140"/>
      <c r="GS29" s="140"/>
      <c r="GT29" s="141">
        <v>0</v>
      </c>
      <c r="GU29" s="141"/>
      <c r="GV29" s="141"/>
      <c r="GW29" s="141"/>
      <c r="GX29" s="141"/>
      <c r="GY29" s="141"/>
      <c r="GZ29" s="141"/>
      <c r="HA29" s="141"/>
      <c r="HB29" s="142" t="str">
        <f>IFERROR(ROUND(Calculations!BV30*GT29,2),"")</f>
        <v/>
      </c>
      <c r="HC29" s="142"/>
      <c r="HD29" s="142"/>
      <c r="HE29" s="142"/>
      <c r="HF29" s="142"/>
      <c r="HG29" s="142"/>
      <c r="HH29" s="142"/>
      <c r="HI29" s="142"/>
      <c r="HJ29" s="142">
        <f>IFERROR(Calculations!BS30+IQ29+IX29,"")</f>
        <v>0</v>
      </c>
      <c r="HK29" s="142"/>
      <c r="HL29" s="142"/>
      <c r="HM29" s="142"/>
      <c r="HN29" s="142"/>
      <c r="HO29" s="142"/>
      <c r="HP29" s="142"/>
      <c r="HQ29" s="142"/>
      <c r="HR29" s="142" t="str">
        <f t="shared" si="9"/>
        <v/>
      </c>
      <c r="HS29" s="142"/>
      <c r="HT29" s="142"/>
      <c r="HU29" s="142"/>
      <c r="HV29" s="142"/>
      <c r="HW29" s="142"/>
      <c r="HX29" s="142"/>
      <c r="HY29" s="142"/>
      <c r="HZ29" s="142" t="str">
        <f>IFERROR(Calculations!BX30,"")</f>
        <v/>
      </c>
      <c r="IA29" s="142"/>
      <c r="IB29" s="142"/>
      <c r="IC29" s="142"/>
      <c r="ID29" s="142"/>
      <c r="IE29" s="142"/>
      <c r="IF29" s="142"/>
      <c r="IG29" s="142"/>
      <c r="IH29" s="142"/>
      <c r="II29" s="142"/>
      <c r="IJ29" s="142" t="str">
        <f>IFERROR(Calculations!BR30+IX29,"")</f>
        <v/>
      </c>
      <c r="IK29" s="142"/>
      <c r="IL29" s="142"/>
      <c r="IM29" s="142"/>
      <c r="IN29" s="142"/>
      <c r="IO29" s="142"/>
      <c r="IP29" s="142"/>
      <c r="IQ29" s="141">
        <v>0</v>
      </c>
      <c r="IR29" s="141"/>
      <c r="IS29" s="141"/>
      <c r="IT29" s="141"/>
      <c r="IU29" s="141"/>
      <c r="IV29" s="141"/>
      <c r="IW29" s="141"/>
      <c r="IX29" s="141">
        <v>0</v>
      </c>
      <c r="IY29" s="141"/>
      <c r="IZ29" s="141"/>
      <c r="JA29" s="141"/>
      <c r="JB29" s="141"/>
      <c r="JC29" s="141"/>
      <c r="JD29" s="141"/>
      <c r="JE29" s="141"/>
      <c r="JF29" s="142"/>
      <c r="JG29" s="142"/>
      <c r="JH29" s="142"/>
      <c r="JI29" s="142"/>
      <c r="JJ29" s="142"/>
      <c r="JK29" s="143" t="str">
        <f>Calculations!AS30</f>
        <v/>
      </c>
      <c r="JL29" s="143"/>
      <c r="JM29" s="143"/>
      <c r="JN29" s="143"/>
      <c r="JO29" s="143"/>
      <c r="JP29" s="143"/>
      <c r="JQ29" s="143"/>
      <c r="JR29" s="143"/>
      <c r="JS29" s="143"/>
      <c r="JT29" s="143"/>
      <c r="JU29" s="143"/>
      <c r="JV29" s="143"/>
      <c r="JW29" s="143"/>
      <c r="JX29" s="143"/>
      <c r="JY29" s="143"/>
      <c r="JZ29" s="143"/>
      <c r="KA29" s="143"/>
      <c r="KB29" s="143"/>
      <c r="KC29" s="143" t="str">
        <f>Calculations!AW30</f>
        <v/>
      </c>
      <c r="KD29" s="143"/>
      <c r="KE29" s="143"/>
      <c r="KF29" s="143"/>
      <c r="KG29" s="143"/>
      <c r="KH29" s="143"/>
      <c r="KI29" s="143"/>
      <c r="KJ29" s="143"/>
      <c r="KK29" s="143"/>
      <c r="KL29" s="143"/>
      <c r="KM29" s="143"/>
      <c r="KN29" s="143"/>
      <c r="KO29" s="143"/>
      <c r="KP29" s="143"/>
      <c r="KQ29" s="143"/>
      <c r="KR29" s="143"/>
      <c r="KS29" s="143"/>
      <c r="KT29" s="143"/>
      <c r="KU29" s="144" t="str">
        <f t="shared" si="7"/>
        <v/>
      </c>
      <c r="KV29" s="144"/>
      <c r="KW29" s="144"/>
      <c r="KX29" s="144"/>
      <c r="KY29" s="144"/>
      <c r="KZ29" s="144"/>
      <c r="LA29" s="144"/>
      <c r="LB29" s="144"/>
      <c r="LC29" s="144"/>
      <c r="LD29" s="144"/>
      <c r="LE29" s="144"/>
      <c r="LF29" s="144"/>
      <c r="LG29" s="144"/>
      <c r="LH29" s="144"/>
      <c r="LI29" s="144"/>
      <c r="LJ29" s="144"/>
      <c r="LK29" s="144"/>
      <c r="LL29" s="144"/>
      <c r="LM29" s="144"/>
      <c r="LN29" s="144"/>
      <c r="LO29" s="144"/>
      <c r="LP29" s="144"/>
      <c r="LQ29" s="144"/>
      <c r="LR29" s="144"/>
      <c r="LS29" s="144"/>
      <c r="LT29" s="144"/>
      <c r="LU29" s="144"/>
      <c r="LV29" s="144"/>
      <c r="LW29" s="144"/>
      <c r="LX29" s="144"/>
      <c r="LY29" s="144"/>
      <c r="LZ29" s="144"/>
      <c r="MA29" s="144"/>
      <c r="MB29" s="144"/>
      <c r="MC29" s="144"/>
      <c r="MD29" s="144"/>
      <c r="ME29" s="144"/>
      <c r="MF29" s="144"/>
      <c r="MG29" s="144"/>
      <c r="MH29" s="144"/>
      <c r="MI29" s="144"/>
      <c r="MJ29" s="144"/>
      <c r="MK29" s="144"/>
      <c r="ML29" s="144"/>
      <c r="MM29" s="144"/>
      <c r="MN29" s="144"/>
      <c r="MO29" s="144"/>
      <c r="MP29" s="144"/>
      <c r="MQ29" s="144"/>
      <c r="MR29" s="144"/>
      <c r="MS29" s="144"/>
      <c r="MT29" s="144"/>
      <c r="MU29" s="144"/>
      <c r="MV29" s="144"/>
      <c r="MW29" s="144"/>
      <c r="MX29" s="144"/>
      <c r="MY29" s="144"/>
      <c r="MZ29" s="145"/>
      <c r="NB29" s="128"/>
      <c r="NC29" s="128"/>
      <c r="ND29" s="128"/>
      <c r="NE29" s="128"/>
      <c r="NF29" s="128"/>
      <c r="NG29" s="128"/>
      <c r="NH29" s="128"/>
      <c r="NI29" s="128"/>
      <c r="NJ29" s="128"/>
      <c r="NK29" s="128"/>
      <c r="NL29" s="128"/>
      <c r="NM29" s="128"/>
      <c r="NN29" s="128"/>
      <c r="NO29" s="128"/>
      <c r="NP29" s="128"/>
      <c r="NQ29" s="128"/>
      <c r="NR29" s="128"/>
      <c r="NS29" s="128"/>
      <c r="NT29" s="128"/>
      <c r="NU29" s="128"/>
      <c r="NV29" s="128"/>
      <c r="NW29" s="128"/>
      <c r="NX29" s="128"/>
      <c r="NY29" s="128"/>
      <c r="NZ29" s="128"/>
      <c r="OA29" s="128"/>
      <c r="OB29" s="128"/>
      <c r="OC29" s="128"/>
      <c r="OD29" s="128"/>
      <c r="OE29" s="128"/>
      <c r="OF29" s="128"/>
      <c r="OG29" s="129"/>
      <c r="OH29" s="129"/>
      <c r="OI29" s="129"/>
      <c r="OJ29" s="129"/>
      <c r="OK29" s="129"/>
      <c r="OL29" s="129"/>
      <c r="OM29" s="129"/>
      <c r="ON29" s="129"/>
      <c r="OO29" s="129"/>
      <c r="OP29" s="129"/>
      <c r="OQ29" s="129"/>
      <c r="OR29" s="129"/>
      <c r="OS29" s="129"/>
      <c r="OT29" s="129"/>
      <c r="OU29" s="129"/>
      <c r="OV29" s="129"/>
      <c r="OW29" s="129"/>
      <c r="OX29" s="129"/>
      <c r="OY29" s="129"/>
      <c r="OZ29" s="129"/>
      <c r="PA29" s="129"/>
      <c r="PB29" s="128"/>
      <c r="PC29" s="128"/>
      <c r="PD29" s="128"/>
      <c r="PE29" s="128"/>
      <c r="PF29" s="128"/>
      <c r="PG29" s="128"/>
      <c r="PH29" s="129"/>
      <c r="PI29" s="129"/>
      <c r="PJ29" s="129"/>
      <c r="PK29" s="129"/>
      <c r="PL29" s="129"/>
      <c r="PM29" s="129"/>
      <c r="PN29" s="129"/>
      <c r="PO29" s="129"/>
      <c r="PP29" s="129"/>
      <c r="PQ29" s="129"/>
      <c r="PR29" s="129"/>
      <c r="PS29" s="129"/>
      <c r="PT29" s="129"/>
      <c r="PU29" s="129"/>
      <c r="PV29" s="129"/>
      <c r="PW29" s="129"/>
      <c r="PX29" s="129"/>
      <c r="PY29" s="129"/>
      <c r="PZ29" s="129"/>
      <c r="QA29" s="129"/>
      <c r="QB29" s="129"/>
      <c r="QC29" s="129"/>
      <c r="QD29" s="129"/>
      <c r="QE29" s="129"/>
      <c r="QF29" s="129"/>
      <c r="QG29" s="129"/>
      <c r="QH29" s="129"/>
      <c r="QI29" s="129"/>
      <c r="QJ29" s="128"/>
      <c r="QK29" s="128"/>
      <c r="QL29" s="128"/>
      <c r="QM29" s="128"/>
      <c r="QN29" s="128"/>
      <c r="QO29" s="128"/>
      <c r="QP29" s="128"/>
      <c r="AIT29" s="128" t="s">
        <v>209</v>
      </c>
      <c r="AIU29" s="128"/>
      <c r="AIV29" s="128"/>
      <c r="AIW29" s="128"/>
      <c r="AIX29" s="128"/>
      <c r="AIY29" s="128"/>
      <c r="AIZ29" s="128"/>
      <c r="AJA29" s="128"/>
      <c r="AJB29" s="128"/>
      <c r="AJC29" s="128"/>
      <c r="AJD29" s="128"/>
      <c r="AJE29" s="128"/>
      <c r="AJF29" s="128"/>
      <c r="AJG29" s="128"/>
      <c r="AJH29" s="128"/>
      <c r="AJI29" s="128"/>
      <c r="AJJ29" s="128"/>
      <c r="AJK29" s="128"/>
      <c r="AJL29" s="128"/>
      <c r="AJM29" s="128"/>
      <c r="AJN29" s="128"/>
      <c r="AJO29" s="128"/>
      <c r="AJP29" s="128"/>
      <c r="AJQ29" s="128"/>
      <c r="AJR29" s="128"/>
      <c r="AJS29" s="128"/>
      <c r="AJT29" s="128"/>
      <c r="AJU29" s="128"/>
      <c r="AJV29" s="128"/>
      <c r="AJW29" s="128"/>
      <c r="AJX29" s="128"/>
      <c r="AJY29" s="129"/>
      <c r="AJZ29" s="129"/>
      <c r="AKA29" s="129"/>
      <c r="AKB29" s="129"/>
      <c r="AKC29" s="129"/>
      <c r="AKD29" s="129"/>
      <c r="AKE29" s="129"/>
      <c r="AKF29" s="129"/>
      <c r="AKG29" s="129"/>
      <c r="AKH29" s="129"/>
      <c r="AKI29" s="129"/>
      <c r="AKJ29" s="129"/>
      <c r="AKK29" s="129"/>
      <c r="AKL29" s="129"/>
      <c r="AKM29" s="129"/>
      <c r="AKN29" s="129"/>
      <c r="AKO29" s="129"/>
      <c r="AKP29" s="129"/>
      <c r="AKQ29" s="129"/>
      <c r="AKR29" s="129"/>
      <c r="AKS29" s="129"/>
      <c r="AKT29" s="128"/>
      <c r="AKU29" s="128"/>
      <c r="AKV29" s="128"/>
      <c r="AKW29" s="128"/>
      <c r="AKX29" s="128"/>
      <c r="AKY29" s="128"/>
      <c r="AKZ29" s="129"/>
      <c r="ALA29" s="129"/>
      <c r="ALB29" s="129"/>
      <c r="ALC29" s="129"/>
      <c r="ALD29" s="129"/>
      <c r="ALE29" s="129"/>
      <c r="ALF29" s="129"/>
      <c r="ALG29" s="129"/>
      <c r="ALH29" s="129"/>
      <c r="ALI29" s="129"/>
      <c r="ALJ29" s="129"/>
      <c r="ALK29" s="129"/>
      <c r="ALL29" s="129"/>
      <c r="ALM29" s="129"/>
      <c r="ALN29" s="129"/>
      <c r="ALO29" s="129"/>
      <c r="ALP29" s="129"/>
      <c r="ALQ29" s="129"/>
      <c r="ALR29" s="129"/>
      <c r="ALS29" s="129"/>
      <c r="ALT29" s="129"/>
      <c r="ALU29" s="129"/>
      <c r="ALV29" s="129"/>
      <c r="ALW29" s="129"/>
      <c r="ALX29" s="129"/>
      <c r="ALY29" s="129"/>
      <c r="ALZ29" s="129"/>
      <c r="AMA29" s="129"/>
      <c r="AMB29" s="128"/>
      <c r="AMC29" s="128"/>
      <c r="AMD29" s="128"/>
      <c r="AME29" s="128"/>
      <c r="AMF29" s="128"/>
      <c r="AMG29" s="128"/>
      <c r="AMH29" s="128"/>
      <c r="APZ29" s="128" t="s">
        <v>246</v>
      </c>
      <c r="AQA29" s="128"/>
      <c r="AQB29" s="128"/>
      <c r="AQC29" s="128"/>
      <c r="AQD29" s="128"/>
      <c r="AQE29" s="128"/>
      <c r="AQF29" s="128"/>
      <c r="AQG29" s="128"/>
      <c r="AQH29" s="128"/>
      <c r="AQI29" s="128"/>
      <c r="AQJ29" s="128"/>
      <c r="AQK29" s="128"/>
      <c r="AQL29" s="128"/>
      <c r="AQM29" s="128"/>
      <c r="AQN29" s="128"/>
      <c r="AQO29" s="128"/>
      <c r="AQP29" s="128"/>
      <c r="AQQ29" s="128"/>
      <c r="AQR29" s="128"/>
      <c r="AQS29" s="128"/>
      <c r="AQT29" s="128"/>
      <c r="AQU29" s="128"/>
      <c r="AQV29" s="128"/>
      <c r="AQW29" s="128"/>
      <c r="AQX29" s="128"/>
      <c r="AQY29" s="128"/>
      <c r="AQZ29" s="128"/>
      <c r="ARA29" s="128"/>
      <c r="ARB29" s="128"/>
      <c r="ARC29" s="128"/>
      <c r="ARD29" s="128"/>
      <c r="ARE29" s="129"/>
      <c r="ARF29" s="129"/>
      <c r="ARG29" s="129"/>
      <c r="ARH29" s="129"/>
      <c r="ARI29" s="129"/>
      <c r="ARJ29" s="129"/>
      <c r="ARK29" s="129"/>
      <c r="ARL29" s="129"/>
      <c r="ARM29" s="129"/>
      <c r="ARN29" s="129"/>
      <c r="ARO29" s="129"/>
      <c r="ARP29" s="129"/>
      <c r="ARQ29" s="129"/>
      <c r="ARR29" s="129"/>
      <c r="ARS29" s="129"/>
      <c r="ART29" s="129"/>
      <c r="ARU29" s="129"/>
      <c r="ARV29" s="129"/>
      <c r="ARW29" s="129"/>
      <c r="ARX29" s="129"/>
      <c r="ARY29" s="129"/>
      <c r="ARZ29" s="128"/>
      <c r="ASA29" s="128"/>
      <c r="ASB29" s="128"/>
      <c r="ASC29" s="128"/>
      <c r="ASD29" s="128"/>
      <c r="ASE29" s="128"/>
      <c r="ASF29" s="129"/>
      <c r="ASG29" s="129"/>
      <c r="ASH29" s="129"/>
      <c r="ASI29" s="129"/>
      <c r="ASJ29" s="129"/>
      <c r="ASK29" s="129"/>
      <c r="ASL29" s="129"/>
      <c r="ASM29" s="129"/>
      <c r="ASN29" s="129"/>
      <c r="ASO29" s="129"/>
      <c r="ASP29" s="129"/>
      <c r="ASQ29" s="129"/>
      <c r="ASR29" s="129"/>
      <c r="ASS29" s="129"/>
      <c r="AST29" s="129"/>
      <c r="ASU29" s="129"/>
      <c r="ASV29" s="129"/>
      <c r="ASW29" s="129"/>
      <c r="ASX29" s="129"/>
      <c r="ASY29" s="129"/>
      <c r="ASZ29" s="129"/>
      <c r="ATA29" s="129"/>
      <c r="ATB29" s="129"/>
      <c r="ATC29" s="129"/>
      <c r="ATD29" s="129"/>
      <c r="ATE29" s="129"/>
      <c r="ATF29" s="129"/>
      <c r="ATG29" s="129"/>
      <c r="ATH29" s="128"/>
      <c r="ATI29" s="128"/>
      <c r="ATJ29" s="128"/>
      <c r="ATK29" s="128"/>
      <c r="ATL29" s="128"/>
      <c r="ATM29" s="128"/>
      <c r="ATN29" s="128"/>
      <c r="BAV29" s="128" t="s">
        <v>300</v>
      </c>
      <c r="BAW29" s="128"/>
      <c r="BAX29" s="128"/>
      <c r="BAY29" s="128"/>
      <c r="BAZ29" s="128"/>
      <c r="BBA29" s="128"/>
      <c r="BBB29" s="128"/>
      <c r="BBC29" s="128"/>
      <c r="BBD29" s="128"/>
      <c r="BBE29" s="128"/>
      <c r="BBF29" s="128"/>
      <c r="BBG29" s="128"/>
      <c r="BBH29" s="128"/>
      <c r="BBI29" s="128"/>
      <c r="BBJ29" s="128"/>
      <c r="BBK29" s="128"/>
      <c r="BBL29" s="128"/>
      <c r="BBM29" s="128"/>
      <c r="BBN29" s="128"/>
      <c r="BBO29" s="128"/>
      <c r="BBP29" s="128"/>
      <c r="BBQ29" s="128"/>
      <c r="BBR29" s="128"/>
      <c r="BBS29" s="128"/>
      <c r="BBT29" s="128"/>
      <c r="BBU29" s="128"/>
      <c r="BBV29" s="128"/>
      <c r="BBW29" s="128"/>
      <c r="BBX29" s="128"/>
      <c r="BBY29" s="128"/>
      <c r="BBZ29" s="128"/>
      <c r="BCA29" s="129"/>
      <c r="BCB29" s="129"/>
      <c r="BCC29" s="129"/>
      <c r="BCD29" s="129"/>
      <c r="BCE29" s="129"/>
      <c r="BCF29" s="129"/>
      <c r="BCG29" s="129"/>
      <c r="BCH29" s="129"/>
      <c r="BCI29" s="129"/>
      <c r="BCJ29" s="129"/>
      <c r="BCK29" s="129"/>
      <c r="BCL29" s="129"/>
      <c r="BCM29" s="129"/>
      <c r="BCN29" s="129"/>
      <c r="BCO29" s="129"/>
      <c r="BCP29" s="129"/>
      <c r="BCQ29" s="129"/>
      <c r="BCR29" s="129"/>
      <c r="BCS29" s="129"/>
      <c r="BCT29" s="129"/>
      <c r="BCU29" s="129"/>
      <c r="BCV29" s="128"/>
      <c r="BCW29" s="128"/>
      <c r="BCX29" s="128"/>
      <c r="BCY29" s="128"/>
      <c r="BCZ29" s="128"/>
      <c r="BDA29" s="128"/>
      <c r="BDB29" s="129"/>
      <c r="BDC29" s="129"/>
      <c r="BDD29" s="129"/>
      <c r="BDE29" s="129"/>
      <c r="BDF29" s="129"/>
      <c r="BDG29" s="129"/>
      <c r="BDH29" s="129"/>
      <c r="BDI29" s="129"/>
      <c r="BDJ29" s="129"/>
      <c r="BDK29" s="129"/>
      <c r="BDL29" s="129"/>
      <c r="BDM29" s="129"/>
      <c r="BDN29" s="129"/>
      <c r="BDO29" s="129"/>
      <c r="BDP29" s="129"/>
      <c r="BDQ29" s="129"/>
      <c r="BDR29" s="129"/>
      <c r="BDS29" s="129"/>
      <c r="BDT29" s="129"/>
      <c r="BDU29" s="129"/>
      <c r="BDV29" s="129"/>
      <c r="BDW29" s="129"/>
      <c r="BDX29" s="129"/>
      <c r="BDY29" s="129"/>
      <c r="BDZ29" s="129"/>
      <c r="BEA29" s="129"/>
      <c r="BEB29" s="129"/>
      <c r="BEC29" s="129"/>
      <c r="BED29" s="128"/>
      <c r="BEE29" s="128"/>
      <c r="BEF29" s="128"/>
      <c r="BEG29" s="128"/>
      <c r="BEH29" s="128"/>
      <c r="BEI29" s="128"/>
      <c r="BEJ29" s="128"/>
      <c r="BLR29" s="128" t="s">
        <v>334</v>
      </c>
      <c r="BLS29" s="128"/>
      <c r="BLT29" s="128"/>
      <c r="BLU29" s="128"/>
      <c r="BLV29" s="128"/>
      <c r="BLW29" s="128"/>
      <c r="BLX29" s="128"/>
      <c r="BLY29" s="128"/>
      <c r="BLZ29" s="128"/>
      <c r="BMA29" s="128"/>
      <c r="BMB29" s="128"/>
      <c r="BMC29" s="128"/>
      <c r="BMD29" s="128"/>
      <c r="BME29" s="128"/>
      <c r="BMF29" s="128"/>
      <c r="BMG29" s="128"/>
      <c r="BMH29" s="128"/>
      <c r="BMI29" s="128"/>
      <c r="BMJ29" s="128"/>
      <c r="BMK29" s="128"/>
      <c r="BML29" s="128"/>
      <c r="BMM29" s="128"/>
      <c r="BMN29" s="128"/>
      <c r="BMO29" s="128"/>
      <c r="BMP29" s="128"/>
      <c r="BMQ29" s="128"/>
      <c r="BMR29" s="128"/>
      <c r="BMS29" s="128"/>
      <c r="BMT29" s="128"/>
      <c r="BMU29" s="128"/>
      <c r="BMV29" s="128"/>
      <c r="BMW29" s="129"/>
      <c r="BMX29" s="129"/>
      <c r="BMY29" s="129"/>
      <c r="BMZ29" s="129"/>
      <c r="BNA29" s="129"/>
      <c r="BNB29" s="129"/>
      <c r="BNC29" s="129"/>
      <c r="BND29" s="129"/>
      <c r="BNE29" s="129"/>
      <c r="BNF29" s="129"/>
      <c r="BNG29" s="129"/>
      <c r="BNH29" s="129"/>
      <c r="BNI29" s="129"/>
      <c r="BNJ29" s="129"/>
      <c r="BNK29" s="129"/>
      <c r="BNL29" s="129"/>
      <c r="BNM29" s="129"/>
      <c r="BNN29" s="129"/>
      <c r="BNO29" s="129"/>
      <c r="BNP29" s="129"/>
      <c r="BNQ29" s="129"/>
      <c r="BNR29" s="128"/>
      <c r="BNS29" s="128"/>
      <c r="BNT29" s="128"/>
      <c r="BNU29" s="128"/>
      <c r="BNV29" s="128"/>
      <c r="BNW29" s="128"/>
      <c r="BNX29" s="129"/>
      <c r="BNY29" s="129"/>
      <c r="BNZ29" s="129"/>
      <c r="BOA29" s="129"/>
      <c r="BOB29" s="129"/>
      <c r="BOC29" s="129"/>
      <c r="BOD29" s="129"/>
      <c r="BOE29" s="129"/>
      <c r="BOF29" s="129"/>
      <c r="BOG29" s="129"/>
      <c r="BOH29" s="129"/>
      <c r="BOI29" s="129"/>
      <c r="BOJ29" s="129"/>
      <c r="BOK29" s="129"/>
      <c r="BOL29" s="129"/>
      <c r="BOM29" s="129"/>
      <c r="BON29" s="129"/>
      <c r="BOO29" s="129"/>
      <c r="BOP29" s="129"/>
      <c r="BOQ29" s="129"/>
      <c r="BOR29" s="129"/>
      <c r="BOS29" s="129"/>
      <c r="BOT29" s="129"/>
      <c r="BOU29" s="129"/>
      <c r="BOV29" s="129"/>
      <c r="BOW29" s="129"/>
      <c r="BOX29" s="129"/>
      <c r="BOY29" s="129"/>
      <c r="BOZ29" s="128"/>
      <c r="BPA29" s="128"/>
      <c r="BPB29" s="128"/>
      <c r="BPC29" s="128"/>
      <c r="BPD29" s="128"/>
      <c r="BPE29" s="128"/>
      <c r="BPF29" s="128"/>
      <c r="COP29" s="128" t="str">
        <f ca="1">VLOOKUP(3,INDIRECT("Closed"&amp;'Character Creation'!$Z$14),2,FALSE)</f>
        <v>Gate Mastery</v>
      </c>
      <c r="COQ29" s="128"/>
      <c r="COR29" s="128"/>
      <c r="COS29" s="128"/>
      <c r="COT29" s="128"/>
      <c r="COU29" s="128"/>
      <c r="COV29" s="128"/>
      <c r="COW29" s="128"/>
      <c r="COX29" s="128"/>
      <c r="COY29" s="128"/>
      <c r="COZ29" s="128"/>
      <c r="CPA29" s="128"/>
      <c r="CPB29" s="128"/>
      <c r="CPC29" s="128"/>
      <c r="CPD29" s="128"/>
      <c r="CPE29" s="128"/>
      <c r="CPF29" s="128"/>
      <c r="CPG29" s="128"/>
      <c r="CPH29" s="128"/>
      <c r="CPI29" s="128"/>
      <c r="CPJ29" s="128"/>
      <c r="CPK29" s="128"/>
      <c r="CPL29" s="128"/>
      <c r="CPM29" s="128"/>
      <c r="CPN29" s="128"/>
      <c r="CPO29" s="128"/>
      <c r="CPP29" s="128"/>
      <c r="CPQ29" s="128"/>
      <c r="CPR29" s="128"/>
      <c r="CPS29" s="128"/>
      <c r="CPT29" s="128"/>
      <c r="CPU29" s="129"/>
      <c r="CPV29" s="129"/>
      <c r="CPW29" s="129"/>
      <c r="CPX29" s="129"/>
      <c r="CPY29" s="129"/>
      <c r="CPZ29" s="129"/>
      <c r="CQA29" s="129"/>
      <c r="CQB29" s="129"/>
      <c r="CQC29" s="129"/>
      <c r="CQD29" s="129"/>
      <c r="CQE29" s="129"/>
      <c r="CQF29" s="129"/>
      <c r="CQG29" s="129"/>
      <c r="CQH29" s="129"/>
      <c r="CQI29" s="129"/>
      <c r="CQJ29" s="129"/>
      <c r="CQK29" s="129"/>
      <c r="CQL29" s="129"/>
      <c r="CQM29" s="129"/>
      <c r="CQN29" s="129"/>
      <c r="CQO29" s="129"/>
      <c r="CQP29" s="128"/>
      <c r="CQQ29" s="128"/>
      <c r="CQR29" s="128"/>
      <c r="CQS29" s="128"/>
      <c r="CQT29" s="128"/>
      <c r="CQU29" s="128"/>
      <c r="CQV29" s="129"/>
      <c r="CQW29" s="129"/>
      <c r="CQX29" s="129"/>
      <c r="CQY29" s="129"/>
      <c r="CQZ29" s="129"/>
      <c r="CRA29" s="129"/>
      <c r="CRB29" s="129"/>
      <c r="CRC29" s="129"/>
      <c r="CRD29" s="129"/>
      <c r="CRE29" s="129"/>
      <c r="CRF29" s="129"/>
      <c r="CRG29" s="129"/>
      <c r="CRH29" s="129"/>
      <c r="CRI29" s="129"/>
      <c r="CRJ29" s="129"/>
      <c r="CRK29" s="129"/>
      <c r="CRL29" s="129"/>
      <c r="CRM29" s="129"/>
      <c r="CRN29" s="129"/>
      <c r="CRO29" s="129"/>
      <c r="CRP29" s="129"/>
      <c r="CRQ29" s="129"/>
      <c r="CRR29" s="129"/>
      <c r="CRS29" s="129"/>
      <c r="CRT29" s="129"/>
      <c r="CRU29" s="129"/>
      <c r="CRV29" s="129"/>
      <c r="CRW29" s="129"/>
      <c r="CRX29" s="128"/>
      <c r="CRY29" s="128"/>
      <c r="CRZ29" s="128"/>
      <c r="CSA29" s="128"/>
      <c r="CSB29" s="128"/>
      <c r="CSC29" s="128"/>
      <c r="CSD29" s="128"/>
      <c r="CSF29" s="128" t="s">
        <v>454</v>
      </c>
      <c r="CSG29" s="128"/>
      <c r="CSH29" s="128"/>
      <c r="CSI29" s="128"/>
      <c r="CSJ29" s="128"/>
      <c r="CSK29" s="128"/>
      <c r="CSL29" s="128"/>
      <c r="CSM29" s="128"/>
      <c r="CSN29" s="128"/>
      <c r="CSO29" s="128"/>
      <c r="CSP29" s="128"/>
      <c r="CSQ29" s="128"/>
      <c r="CSR29" s="128"/>
      <c r="CSS29" s="128"/>
      <c r="CST29" s="128"/>
      <c r="CSU29" s="128"/>
      <c r="CSV29" s="128"/>
      <c r="CSW29" s="128"/>
      <c r="CSX29" s="128"/>
      <c r="CSY29" s="128"/>
      <c r="CSZ29" s="128"/>
      <c r="CTA29" s="128"/>
      <c r="CTB29" s="128"/>
      <c r="CTC29" s="128"/>
      <c r="CTD29" s="128"/>
      <c r="CTE29" s="128"/>
      <c r="CTF29" s="128"/>
      <c r="CTG29" s="128"/>
      <c r="CTH29" s="128"/>
      <c r="CTI29" s="128"/>
      <c r="CTJ29" s="128"/>
      <c r="CTK29" s="129"/>
      <c r="CTL29" s="129"/>
      <c r="CTM29" s="129"/>
      <c r="CTN29" s="129"/>
      <c r="CTO29" s="129"/>
      <c r="CTP29" s="129"/>
      <c r="CTQ29" s="129"/>
      <c r="CTR29" s="129"/>
      <c r="CTS29" s="129"/>
      <c r="CTT29" s="129"/>
      <c r="CTU29" s="129"/>
      <c r="CTV29" s="129"/>
      <c r="CTW29" s="129"/>
      <c r="CTX29" s="129"/>
      <c r="CTY29" s="129"/>
      <c r="CTZ29" s="129"/>
      <c r="CUA29" s="129"/>
      <c r="CUB29" s="129"/>
      <c r="CUC29" s="129"/>
      <c r="CUD29" s="129"/>
      <c r="CUE29" s="129"/>
      <c r="CUF29" s="128"/>
      <c r="CUG29" s="128"/>
      <c r="CUH29" s="128"/>
      <c r="CUI29" s="128"/>
      <c r="CUJ29" s="128"/>
      <c r="CUK29" s="128"/>
      <c r="CUL29" s="129"/>
      <c r="CUM29" s="129"/>
      <c r="CUN29" s="129"/>
      <c r="CUO29" s="129"/>
      <c r="CUP29" s="129"/>
      <c r="CUQ29" s="129"/>
      <c r="CUR29" s="129"/>
      <c r="CUS29" s="129"/>
      <c r="CUT29" s="129"/>
      <c r="CUU29" s="129"/>
      <c r="CUV29" s="129"/>
      <c r="CUW29" s="129"/>
      <c r="CUX29" s="129"/>
      <c r="CUY29" s="129"/>
      <c r="CUZ29" s="129"/>
      <c r="CVA29" s="129"/>
      <c r="CVB29" s="129"/>
      <c r="CVC29" s="129"/>
      <c r="CVD29" s="129"/>
      <c r="CVE29" s="129"/>
      <c r="CVF29" s="129"/>
      <c r="CVG29" s="129"/>
      <c r="CVH29" s="129"/>
      <c r="CVI29" s="129"/>
      <c r="CVJ29" s="129"/>
      <c r="CVK29" s="129"/>
      <c r="CVL29" s="129"/>
      <c r="CVM29" s="129"/>
      <c r="CVN29" s="128"/>
      <c r="CVO29" s="128"/>
      <c r="CVP29" s="128"/>
      <c r="CVQ29" s="128"/>
      <c r="CVR29" s="128"/>
      <c r="CVS29" s="128"/>
      <c r="CVT29" s="128"/>
      <c r="DDB29" s="144" t="s">
        <v>147</v>
      </c>
      <c r="DDC29" s="144"/>
      <c r="DDD29" s="144"/>
      <c r="DDE29" s="144"/>
      <c r="DDF29" s="144"/>
      <c r="DDG29" s="144"/>
      <c r="DDH29" s="144"/>
      <c r="DDI29" s="144"/>
      <c r="DDJ29" s="144"/>
      <c r="DDK29" s="144"/>
      <c r="DDL29" s="144"/>
      <c r="DDM29" s="144"/>
      <c r="DDN29" s="144"/>
      <c r="DDO29" s="144"/>
      <c r="DDP29" s="144"/>
      <c r="DDQ29" s="144"/>
      <c r="DDR29" s="144"/>
      <c r="DDS29" s="144"/>
      <c r="DDT29" s="144"/>
      <c r="DDU29" s="144"/>
      <c r="DDV29" s="144"/>
      <c r="DDW29" s="144"/>
      <c r="DDX29" s="144"/>
      <c r="DDY29" s="144"/>
      <c r="DDZ29" s="144"/>
      <c r="DEA29" s="144"/>
      <c r="DEB29" s="144"/>
      <c r="DEC29" s="144"/>
      <c r="DED29" s="144"/>
      <c r="DEE29" s="144"/>
      <c r="DEF29" s="144"/>
      <c r="DEG29" s="129" t="s">
        <v>133</v>
      </c>
      <c r="DEH29" s="129"/>
      <c r="DEI29" s="129"/>
      <c r="DEJ29" s="129"/>
      <c r="DEK29" s="129" t="s">
        <v>148</v>
      </c>
      <c r="DEL29" s="129"/>
      <c r="DEM29" s="129"/>
      <c r="DEN29" s="129"/>
      <c r="DEO29" s="129"/>
      <c r="DEP29" s="129" t="s">
        <v>83</v>
      </c>
      <c r="DEQ29" s="129"/>
      <c r="DER29" s="129"/>
      <c r="DES29" s="129"/>
      <c r="DET29" s="129"/>
      <c r="DEU29" s="129"/>
      <c r="DEV29" s="129" t="s">
        <v>37</v>
      </c>
      <c r="DEW29" s="129"/>
      <c r="DEX29" s="129"/>
      <c r="DEY29" s="129"/>
      <c r="DEZ29" s="129"/>
      <c r="DFA29" s="129"/>
      <c r="DFB29" s="129" t="s">
        <v>49</v>
      </c>
      <c r="DFC29" s="129"/>
      <c r="DFD29" s="129"/>
      <c r="DFE29" s="129"/>
      <c r="DFF29" s="129"/>
      <c r="DFG29" s="129"/>
      <c r="DFH29" s="129" t="s">
        <v>149</v>
      </c>
      <c r="DFI29" s="129"/>
      <c r="DFJ29" s="129"/>
      <c r="DFK29" s="129"/>
      <c r="DFL29" s="129"/>
      <c r="DFM29" s="129"/>
      <c r="DFN29" s="129"/>
      <c r="DFO29" s="129" t="s">
        <v>150</v>
      </c>
      <c r="DFP29" s="129"/>
      <c r="DFQ29" s="129"/>
      <c r="DFR29" s="129"/>
      <c r="DFS29" s="129"/>
      <c r="DFT29" s="129"/>
      <c r="DFU29" s="129"/>
      <c r="DFV29" s="129" t="s">
        <v>151</v>
      </c>
      <c r="DFW29" s="129"/>
      <c r="DFX29" s="129"/>
      <c r="DFY29" s="129"/>
      <c r="DFZ29" s="129"/>
      <c r="DGA29" s="129"/>
      <c r="DGB29" s="129"/>
      <c r="DGC29" s="129" t="s">
        <v>37</v>
      </c>
      <c r="DGD29" s="129"/>
      <c r="DGE29" s="129"/>
      <c r="DGF29" s="129"/>
      <c r="DGG29" s="129"/>
      <c r="DGH29" s="129"/>
      <c r="DGI29" s="129"/>
      <c r="DGJ29" s="129" t="s">
        <v>40</v>
      </c>
      <c r="DGK29" s="129"/>
      <c r="DGL29" s="129"/>
      <c r="DGM29" s="129"/>
      <c r="DGN29" s="129"/>
      <c r="DGO29" s="129"/>
      <c r="DGP29" s="129"/>
      <c r="DGR29" s="128" t="s">
        <v>3896</v>
      </c>
      <c r="DGS29" s="128"/>
      <c r="DGT29" s="128"/>
      <c r="DGU29" s="128"/>
      <c r="DGV29" s="128"/>
      <c r="DGW29" s="128"/>
      <c r="DGX29" s="128"/>
      <c r="DGY29" s="128"/>
      <c r="DGZ29" s="128"/>
      <c r="DHA29" s="128"/>
      <c r="DHB29" s="128"/>
      <c r="DHC29" s="128"/>
      <c r="DHD29" s="128"/>
      <c r="DHE29" s="128"/>
      <c r="DHF29" s="128"/>
      <c r="DHG29" s="128"/>
      <c r="DHH29" s="128"/>
      <c r="DHI29" s="128"/>
      <c r="DHJ29" s="128"/>
      <c r="DHK29" s="128"/>
      <c r="DHL29" s="128"/>
      <c r="DHM29" s="128"/>
      <c r="DHN29" s="128"/>
      <c r="DHO29" s="128"/>
      <c r="DHP29" s="128"/>
      <c r="DHQ29" s="128"/>
      <c r="DHR29" s="128"/>
      <c r="DHS29" s="128"/>
      <c r="DHT29" s="128"/>
      <c r="DHU29" s="128"/>
      <c r="DHV29" s="128"/>
      <c r="DHW29" s="129"/>
      <c r="DHX29" s="129"/>
      <c r="DHY29" s="129"/>
      <c r="DHZ29" s="129"/>
      <c r="DIA29" s="129"/>
      <c r="DIB29" s="129"/>
      <c r="DIC29" s="129"/>
      <c r="DID29" s="129"/>
      <c r="DIE29" s="129"/>
      <c r="DIF29" s="129"/>
      <c r="DIG29" s="129"/>
      <c r="DIH29" s="129"/>
      <c r="DII29" s="129"/>
      <c r="DIJ29" s="129"/>
      <c r="DIK29" s="129"/>
      <c r="DIL29" s="129"/>
      <c r="DIM29" s="129"/>
      <c r="DIN29" s="129"/>
      <c r="DIO29" s="129"/>
      <c r="DIP29" s="129"/>
      <c r="DIQ29" s="129"/>
      <c r="DIR29" s="128"/>
      <c r="DIS29" s="128"/>
      <c r="DIT29" s="128"/>
      <c r="DIU29" s="128"/>
      <c r="DIV29" s="128"/>
      <c r="DIW29" s="128"/>
      <c r="DIX29" s="129"/>
      <c r="DIY29" s="129"/>
      <c r="DIZ29" s="129"/>
      <c r="DJA29" s="129"/>
      <c r="DJB29" s="129"/>
      <c r="DJC29" s="129"/>
      <c r="DJD29" s="129"/>
      <c r="DJE29" s="129"/>
      <c r="DJF29" s="129"/>
      <c r="DJG29" s="129"/>
      <c r="DJH29" s="129"/>
      <c r="DJI29" s="129"/>
      <c r="DJJ29" s="129"/>
      <c r="DJK29" s="129"/>
      <c r="DJL29" s="129"/>
      <c r="DJM29" s="129"/>
      <c r="DJN29" s="129"/>
      <c r="DJO29" s="129"/>
      <c r="DJP29" s="129"/>
      <c r="DJQ29" s="129"/>
      <c r="DJR29" s="129"/>
      <c r="DJS29" s="129"/>
      <c r="DJT29" s="129"/>
      <c r="DJU29" s="129"/>
      <c r="DJV29" s="129"/>
      <c r="DJW29" s="129"/>
      <c r="DJX29" s="129"/>
      <c r="DJY29" s="129"/>
      <c r="DJZ29" s="128"/>
      <c r="DKA29" s="128"/>
      <c r="DKB29" s="128"/>
      <c r="DKC29" s="128"/>
      <c r="DKD29" s="128"/>
      <c r="DKE29" s="128"/>
      <c r="DKF29" s="128"/>
    </row>
    <row r="30" spans="2:1022 1118:1774 2152:2996" ht="15" customHeight="1" x14ac:dyDescent="0.25">
      <c r="B30" s="135">
        <v>5</v>
      </c>
      <c r="C30" s="136"/>
      <c r="D30" s="136"/>
      <c r="E30" s="136" t="str">
        <f>IFERROR(VLOOKUP(B30,Calculations!$DH$3:$DJ$127,3,FALSE),"")</f>
        <v/>
      </c>
      <c r="F30" s="136"/>
      <c r="G30" s="136"/>
      <c r="H30" s="136"/>
      <c r="I30" s="136"/>
      <c r="J30" s="136"/>
      <c r="K30" s="136"/>
      <c r="L30" s="136"/>
      <c r="M30" s="136"/>
      <c r="N30" s="136"/>
      <c r="O30" s="136"/>
      <c r="P30" s="136"/>
      <c r="Q30" s="136"/>
      <c r="R30" s="136"/>
      <c r="S30" s="136"/>
      <c r="T30" s="136"/>
      <c r="U30" s="136"/>
      <c r="V30" s="136"/>
      <c r="W30" s="136"/>
      <c r="X30" s="136"/>
      <c r="Y30" s="136"/>
      <c r="Z30" s="136"/>
      <c r="AA30" s="136"/>
      <c r="AB30" s="136"/>
      <c r="AC30" s="136"/>
      <c r="AD30" s="136"/>
      <c r="AE30" s="136"/>
      <c r="AF30" s="136"/>
      <c r="AG30" s="200" t="str">
        <f>IFERROR(VLOOKUP(B30,Calculations!$DH$3:$DX$200,17,FALSE),"")</f>
        <v/>
      </c>
      <c r="AH30" s="131"/>
      <c r="AI30" s="131"/>
      <c r="AJ30" s="131"/>
      <c r="AK30" s="131"/>
      <c r="AL30" s="131"/>
      <c r="AM30" s="131"/>
      <c r="AN30" s="131"/>
      <c r="AO30" s="131"/>
      <c r="AP30" s="131"/>
      <c r="AQ30" s="131"/>
      <c r="AR30" s="131"/>
      <c r="AS30" s="131"/>
      <c r="AT30" s="131"/>
      <c r="AU30" s="131"/>
      <c r="AV30" s="131"/>
      <c r="AW30" s="131"/>
      <c r="AX30" s="131"/>
      <c r="AY30" s="131"/>
      <c r="AZ30" s="131"/>
      <c r="BA30" s="201"/>
      <c r="BB30" s="226" t="str">
        <f>IFERROR(IFERROR((VLOOKUP(E30,Calculations!$DR$3:$EJ$200,19,FALSE)),0)+VLOOKUP(B30,Calculations!$DH$3:$DN$200,7,FALSE)+CG30+CO30+IFERROR(VLOOKUP((LEFT(E30,FIND("(",E30)-2)),Calculations!$DJ$3:$EJ$200,26,FALSE),0),"")</f>
        <v/>
      </c>
      <c r="BC30" s="226"/>
      <c r="BD30" s="226"/>
      <c r="BE30" s="226"/>
      <c r="BF30" s="226"/>
      <c r="BG30" s="226"/>
      <c r="BH30" s="226"/>
      <c r="BI30" s="131" t="str">
        <f>IFERROR("x "&amp;VLOOKUP(B30,Calculations!$DH$3:$DY$200,18,FALSE),"")</f>
        <v/>
      </c>
      <c r="BJ30" s="131"/>
      <c r="BK30" s="131"/>
      <c r="BL30" s="131"/>
      <c r="BM30" s="131"/>
      <c r="BN30" s="131"/>
      <c r="BO30" s="131"/>
      <c r="BP30" s="131"/>
      <c r="BQ30" s="131" t="str">
        <f>IFERROR(VLOOKUP(B30,Calculations!$DH$3:$EE$200,22,FALSE),"")</f>
        <v/>
      </c>
      <c r="BR30" s="131"/>
      <c r="BS30" s="131"/>
      <c r="BT30" s="131"/>
      <c r="BU30" s="131"/>
      <c r="BV30" s="131"/>
      <c r="BW30" s="131"/>
      <c r="BX30" s="131"/>
      <c r="BY30" s="131" t="str">
        <f>IFERROR(VLOOKUP(B30,Calculations!$DH$3:$EA$200,19,FALSE)-ROUNDDOWN((CO30/5),0),"")</f>
        <v/>
      </c>
      <c r="BZ30" s="131"/>
      <c r="CA30" s="131"/>
      <c r="CB30" s="131"/>
      <c r="CC30" s="131"/>
      <c r="CD30" s="131"/>
      <c r="CE30" s="131"/>
      <c r="CF30" s="131"/>
      <c r="CG30" s="194">
        <v>0</v>
      </c>
      <c r="CH30" s="194"/>
      <c r="CI30" s="194"/>
      <c r="CJ30" s="194"/>
      <c r="CK30" s="194"/>
      <c r="CL30" s="194"/>
      <c r="CM30" s="194"/>
      <c r="CN30" s="194"/>
      <c r="CO30" s="194">
        <v>0</v>
      </c>
      <c r="CP30" s="194"/>
      <c r="CQ30" s="194"/>
      <c r="CR30" s="194"/>
      <c r="CS30" s="194"/>
      <c r="CT30" s="194"/>
      <c r="CU30" s="194"/>
      <c r="CV30" s="194"/>
      <c r="CW30" s="131" t="str">
        <f>IF(E30="","",IFERROR(VLOOKUP(B30,Calculations!$DH$3:$ED$200,23,FALSE)+CO30+CG30,"- -"))</f>
        <v/>
      </c>
      <c r="CX30" s="131"/>
      <c r="CY30" s="131"/>
      <c r="CZ30" s="131"/>
      <c r="DA30" s="131"/>
      <c r="DB30" s="131"/>
      <c r="DC30" s="131"/>
      <c r="DD30" s="131"/>
      <c r="DE30" s="199" t="str">
        <f>IF(E30="","",IFERROR(VLOOKUP(B30,Calculations!$DH$3:$EE$200,24,FALSE),"- -"))</f>
        <v/>
      </c>
      <c r="DF30" s="131"/>
      <c r="DG30" s="131"/>
      <c r="DH30" s="131"/>
      <c r="DI30" s="131"/>
      <c r="DJ30" s="131"/>
      <c r="DK30" s="131"/>
      <c r="DL30" s="131"/>
      <c r="DM30" s="199" t="str">
        <f>IF(E30="","",IFERROR(VLOOKUP(B30,Calculations!$DH$3:$EJ$200,25,FALSE),"- -"))</f>
        <v/>
      </c>
      <c r="DN30" s="131"/>
      <c r="DO30" s="131"/>
      <c r="DP30" s="131"/>
      <c r="DQ30" s="131"/>
      <c r="DR30" s="131"/>
      <c r="DS30" s="131"/>
      <c r="DT30" s="131"/>
      <c r="DU30" s="131" t="str">
        <f t="shared" si="10"/>
        <v/>
      </c>
      <c r="DV30" s="131"/>
      <c r="DW30" s="131"/>
      <c r="DX30" s="131"/>
      <c r="DY30" s="131"/>
      <c r="DZ30" s="131"/>
      <c r="EA30" s="131"/>
      <c r="EB30" s="131"/>
      <c r="EC30" s="131" t="str">
        <f t="shared" si="11"/>
        <v/>
      </c>
      <c r="ED30" s="131"/>
      <c r="EE30" s="131"/>
      <c r="EF30" s="131"/>
      <c r="EG30" s="131"/>
      <c r="EH30" s="131"/>
      <c r="EI30" s="131"/>
      <c r="EJ30" s="131"/>
      <c r="EK30" s="131" t="str">
        <f t="shared" si="12"/>
        <v/>
      </c>
      <c r="EL30" s="131"/>
      <c r="EM30" s="131"/>
      <c r="EN30" s="131"/>
      <c r="EO30" s="131"/>
      <c r="EP30" s="131"/>
      <c r="EQ30" s="131"/>
      <c r="ER30" s="131"/>
      <c r="ES30" s="131" t="str">
        <f t="shared" si="13"/>
        <v/>
      </c>
      <c r="ET30" s="131"/>
      <c r="EU30" s="131"/>
      <c r="EV30" s="131"/>
      <c r="EW30" s="131"/>
      <c r="EX30" s="131"/>
      <c r="EY30" s="131"/>
      <c r="EZ30" s="239"/>
      <c r="FB30" s="139"/>
      <c r="FC30" s="140"/>
      <c r="FD30" s="140"/>
      <c r="FE30" s="140"/>
      <c r="FF30" s="140"/>
      <c r="FG30" s="140"/>
      <c r="FH30" s="140"/>
      <c r="FI30" s="140"/>
      <c r="FJ30" s="140"/>
      <c r="FK30" s="140"/>
      <c r="FL30" s="140"/>
      <c r="FM30" s="140"/>
      <c r="FN30" s="140"/>
      <c r="FO30" s="140"/>
      <c r="FP30" s="140"/>
      <c r="FQ30" s="140"/>
      <c r="FR30" s="140"/>
      <c r="FS30" s="140"/>
      <c r="FT30" s="140"/>
      <c r="FU30" s="140"/>
      <c r="FV30" s="140"/>
      <c r="FW30" s="140"/>
      <c r="FX30" s="140"/>
      <c r="FY30" s="140"/>
      <c r="FZ30" s="140"/>
      <c r="GA30" s="140"/>
      <c r="GB30" s="140"/>
      <c r="GC30" s="140"/>
      <c r="GD30" s="140"/>
      <c r="GE30" s="140"/>
      <c r="GF30" s="140"/>
      <c r="GG30" s="140"/>
      <c r="GH30" s="140"/>
      <c r="GI30" s="140"/>
      <c r="GJ30" s="140"/>
      <c r="GK30" s="140"/>
      <c r="GL30" s="140"/>
      <c r="GM30" s="140"/>
      <c r="GN30" s="140"/>
      <c r="GO30" s="140"/>
      <c r="GP30" s="140"/>
      <c r="GQ30" s="140"/>
      <c r="GR30" s="140"/>
      <c r="GS30" s="140"/>
      <c r="GT30" s="141">
        <v>0</v>
      </c>
      <c r="GU30" s="141"/>
      <c r="GV30" s="141"/>
      <c r="GW30" s="141"/>
      <c r="GX30" s="141"/>
      <c r="GY30" s="141"/>
      <c r="GZ30" s="141"/>
      <c r="HA30" s="141"/>
      <c r="HB30" s="142" t="str">
        <f>IFERROR(ROUND(Calculations!BV31*GT30,2),"")</f>
        <v/>
      </c>
      <c r="HC30" s="142"/>
      <c r="HD30" s="142"/>
      <c r="HE30" s="142"/>
      <c r="HF30" s="142"/>
      <c r="HG30" s="142"/>
      <c r="HH30" s="142"/>
      <c r="HI30" s="142"/>
      <c r="HJ30" s="142">
        <f>IFERROR(Calculations!BS31+IQ30+IX30,"")</f>
        <v>0</v>
      </c>
      <c r="HK30" s="142"/>
      <c r="HL30" s="142"/>
      <c r="HM30" s="142"/>
      <c r="HN30" s="142"/>
      <c r="HO30" s="142"/>
      <c r="HP30" s="142"/>
      <c r="HQ30" s="142"/>
      <c r="HR30" s="142" t="str">
        <f t="shared" si="9"/>
        <v/>
      </c>
      <c r="HS30" s="142"/>
      <c r="HT30" s="142"/>
      <c r="HU30" s="142"/>
      <c r="HV30" s="142"/>
      <c r="HW30" s="142"/>
      <c r="HX30" s="142"/>
      <c r="HY30" s="142"/>
      <c r="HZ30" s="142" t="str">
        <f>IFERROR(Calculations!BX31,"")</f>
        <v/>
      </c>
      <c r="IA30" s="142"/>
      <c r="IB30" s="142"/>
      <c r="IC30" s="142"/>
      <c r="ID30" s="142"/>
      <c r="IE30" s="142"/>
      <c r="IF30" s="142"/>
      <c r="IG30" s="142"/>
      <c r="IH30" s="142"/>
      <c r="II30" s="142"/>
      <c r="IJ30" s="142" t="str">
        <f>IFERROR(Calculations!BR31+IX30,"")</f>
        <v/>
      </c>
      <c r="IK30" s="142"/>
      <c r="IL30" s="142"/>
      <c r="IM30" s="142"/>
      <c r="IN30" s="142"/>
      <c r="IO30" s="142"/>
      <c r="IP30" s="142"/>
      <c r="IQ30" s="141">
        <v>0</v>
      </c>
      <c r="IR30" s="141"/>
      <c r="IS30" s="141"/>
      <c r="IT30" s="141"/>
      <c r="IU30" s="141"/>
      <c r="IV30" s="141"/>
      <c r="IW30" s="141"/>
      <c r="IX30" s="141">
        <v>0</v>
      </c>
      <c r="IY30" s="141"/>
      <c r="IZ30" s="141"/>
      <c r="JA30" s="141"/>
      <c r="JB30" s="141"/>
      <c r="JC30" s="141"/>
      <c r="JD30" s="141"/>
      <c r="JE30" s="141"/>
      <c r="JF30" s="142"/>
      <c r="JG30" s="142"/>
      <c r="JH30" s="142"/>
      <c r="JI30" s="142"/>
      <c r="JJ30" s="142"/>
      <c r="JK30" s="143" t="str">
        <f>Calculations!AS31</f>
        <v/>
      </c>
      <c r="JL30" s="143"/>
      <c r="JM30" s="143"/>
      <c r="JN30" s="143"/>
      <c r="JO30" s="143"/>
      <c r="JP30" s="143"/>
      <c r="JQ30" s="143"/>
      <c r="JR30" s="143"/>
      <c r="JS30" s="143"/>
      <c r="JT30" s="143"/>
      <c r="JU30" s="143"/>
      <c r="JV30" s="143"/>
      <c r="JW30" s="143"/>
      <c r="JX30" s="143"/>
      <c r="JY30" s="143"/>
      <c r="JZ30" s="143"/>
      <c r="KA30" s="143"/>
      <c r="KB30" s="143"/>
      <c r="KC30" s="143" t="str">
        <f>Calculations!AW31</f>
        <v/>
      </c>
      <c r="KD30" s="143"/>
      <c r="KE30" s="143"/>
      <c r="KF30" s="143"/>
      <c r="KG30" s="143"/>
      <c r="KH30" s="143"/>
      <c r="KI30" s="143"/>
      <c r="KJ30" s="143"/>
      <c r="KK30" s="143"/>
      <c r="KL30" s="143"/>
      <c r="KM30" s="143"/>
      <c r="KN30" s="143"/>
      <c r="KO30" s="143"/>
      <c r="KP30" s="143"/>
      <c r="KQ30" s="143"/>
      <c r="KR30" s="143"/>
      <c r="KS30" s="143"/>
      <c r="KT30" s="143"/>
      <c r="KU30" s="144" t="str">
        <f t="shared" si="7"/>
        <v/>
      </c>
      <c r="KV30" s="144"/>
      <c r="KW30" s="144"/>
      <c r="KX30" s="144"/>
      <c r="KY30" s="144"/>
      <c r="KZ30" s="144"/>
      <c r="LA30" s="144"/>
      <c r="LB30" s="144"/>
      <c r="LC30" s="144"/>
      <c r="LD30" s="144"/>
      <c r="LE30" s="144"/>
      <c r="LF30" s="144"/>
      <c r="LG30" s="144"/>
      <c r="LH30" s="144"/>
      <c r="LI30" s="144"/>
      <c r="LJ30" s="144"/>
      <c r="LK30" s="144"/>
      <c r="LL30" s="144"/>
      <c r="LM30" s="144"/>
      <c r="LN30" s="144"/>
      <c r="LO30" s="144"/>
      <c r="LP30" s="144"/>
      <c r="LQ30" s="144"/>
      <c r="LR30" s="144"/>
      <c r="LS30" s="144"/>
      <c r="LT30" s="144"/>
      <c r="LU30" s="144"/>
      <c r="LV30" s="144"/>
      <c r="LW30" s="144"/>
      <c r="LX30" s="144"/>
      <c r="LY30" s="144"/>
      <c r="LZ30" s="144"/>
      <c r="MA30" s="144"/>
      <c r="MB30" s="144"/>
      <c r="MC30" s="144"/>
      <c r="MD30" s="144"/>
      <c r="ME30" s="144"/>
      <c r="MF30" s="144"/>
      <c r="MG30" s="144"/>
      <c r="MH30" s="144"/>
      <c r="MI30" s="144"/>
      <c r="MJ30" s="144"/>
      <c r="MK30" s="144"/>
      <c r="ML30" s="144"/>
      <c r="MM30" s="144"/>
      <c r="MN30" s="144"/>
      <c r="MO30" s="144"/>
      <c r="MP30" s="144"/>
      <c r="MQ30" s="144"/>
      <c r="MR30" s="144"/>
      <c r="MS30" s="144"/>
      <c r="MT30" s="144"/>
      <c r="MU30" s="144"/>
      <c r="MV30" s="144"/>
      <c r="MW30" s="144"/>
      <c r="MX30" s="144"/>
      <c r="MY30" s="144"/>
      <c r="MZ30" s="145"/>
      <c r="AIT30" s="128" t="s">
        <v>210</v>
      </c>
      <c r="AIU30" s="128"/>
      <c r="AIV30" s="128"/>
      <c r="AIW30" s="128"/>
      <c r="AIX30" s="128"/>
      <c r="AIY30" s="128"/>
      <c r="AIZ30" s="128"/>
      <c r="AJA30" s="128"/>
      <c r="AJB30" s="128"/>
      <c r="AJC30" s="128"/>
      <c r="AJD30" s="128"/>
      <c r="AJE30" s="128"/>
      <c r="AJF30" s="128"/>
      <c r="AJG30" s="128"/>
      <c r="AJH30" s="128"/>
      <c r="AJI30" s="128"/>
      <c r="AJJ30" s="128"/>
      <c r="AJK30" s="128"/>
      <c r="AJL30" s="128"/>
      <c r="AJM30" s="128"/>
      <c r="AJN30" s="128"/>
      <c r="AJO30" s="128"/>
      <c r="AJP30" s="128"/>
      <c r="AJQ30" s="128"/>
      <c r="AJR30" s="128"/>
      <c r="AJS30" s="128"/>
      <c r="AJT30" s="128"/>
      <c r="AJU30" s="128"/>
      <c r="AJV30" s="128"/>
      <c r="AJW30" s="128"/>
      <c r="AJX30" s="128"/>
      <c r="AJY30" s="129"/>
      <c r="AJZ30" s="129"/>
      <c r="AKA30" s="129"/>
      <c r="AKB30" s="129"/>
      <c r="AKC30" s="129"/>
      <c r="AKD30" s="129"/>
      <c r="AKE30" s="129"/>
      <c r="AKF30" s="129"/>
      <c r="AKG30" s="129"/>
      <c r="AKH30" s="129"/>
      <c r="AKI30" s="129"/>
      <c r="AKJ30" s="129"/>
      <c r="AKK30" s="129"/>
      <c r="AKL30" s="129"/>
      <c r="AKM30" s="129"/>
      <c r="AKN30" s="129"/>
      <c r="AKO30" s="129"/>
      <c r="AKP30" s="129"/>
      <c r="AKQ30" s="129"/>
      <c r="AKR30" s="129"/>
      <c r="AKS30" s="129"/>
      <c r="AKT30" s="128"/>
      <c r="AKU30" s="128"/>
      <c r="AKV30" s="128"/>
      <c r="AKW30" s="128"/>
      <c r="AKX30" s="128"/>
      <c r="AKY30" s="128"/>
      <c r="AKZ30" s="129"/>
      <c r="ALA30" s="129"/>
      <c r="ALB30" s="129"/>
      <c r="ALC30" s="129"/>
      <c r="ALD30" s="129"/>
      <c r="ALE30" s="129"/>
      <c r="ALF30" s="129"/>
      <c r="ALG30" s="129"/>
      <c r="ALH30" s="129"/>
      <c r="ALI30" s="129"/>
      <c r="ALJ30" s="129"/>
      <c r="ALK30" s="129"/>
      <c r="ALL30" s="129"/>
      <c r="ALM30" s="129"/>
      <c r="ALN30" s="129"/>
      <c r="ALO30" s="129"/>
      <c r="ALP30" s="129"/>
      <c r="ALQ30" s="129"/>
      <c r="ALR30" s="129"/>
      <c r="ALS30" s="129"/>
      <c r="ALT30" s="129"/>
      <c r="ALU30" s="129"/>
      <c r="ALV30" s="129"/>
      <c r="ALW30" s="129"/>
      <c r="ALX30" s="129"/>
      <c r="ALY30" s="129"/>
      <c r="ALZ30" s="129"/>
      <c r="AMA30" s="129"/>
      <c r="AMB30" s="128"/>
      <c r="AMC30" s="128"/>
      <c r="AMD30" s="128"/>
      <c r="AME30" s="128"/>
      <c r="AMF30" s="128"/>
      <c r="AMG30" s="128"/>
      <c r="AMH30" s="128"/>
      <c r="APZ30" s="128" t="s">
        <v>248</v>
      </c>
      <c r="AQA30" s="128"/>
      <c r="AQB30" s="128"/>
      <c r="AQC30" s="128"/>
      <c r="AQD30" s="128"/>
      <c r="AQE30" s="128"/>
      <c r="AQF30" s="128"/>
      <c r="AQG30" s="128"/>
      <c r="AQH30" s="128"/>
      <c r="AQI30" s="128"/>
      <c r="AQJ30" s="128"/>
      <c r="AQK30" s="128"/>
      <c r="AQL30" s="128"/>
      <c r="AQM30" s="128"/>
      <c r="AQN30" s="128"/>
      <c r="AQO30" s="128"/>
      <c r="AQP30" s="128"/>
      <c r="AQQ30" s="128"/>
      <c r="AQR30" s="128"/>
      <c r="AQS30" s="128"/>
      <c r="AQT30" s="128"/>
      <c r="AQU30" s="128"/>
      <c r="AQV30" s="128"/>
      <c r="AQW30" s="128"/>
      <c r="AQX30" s="128"/>
      <c r="AQY30" s="128"/>
      <c r="AQZ30" s="128"/>
      <c r="ARA30" s="128"/>
      <c r="ARB30" s="128"/>
      <c r="ARC30" s="128"/>
      <c r="ARD30" s="128"/>
      <c r="ARE30" s="129"/>
      <c r="ARF30" s="129"/>
      <c r="ARG30" s="129"/>
      <c r="ARH30" s="129"/>
      <c r="ARI30" s="129"/>
      <c r="ARJ30" s="129"/>
      <c r="ARK30" s="129"/>
      <c r="ARL30" s="129"/>
      <c r="ARM30" s="129"/>
      <c r="ARN30" s="129"/>
      <c r="ARO30" s="129"/>
      <c r="ARP30" s="129"/>
      <c r="ARQ30" s="129"/>
      <c r="ARR30" s="129"/>
      <c r="ARS30" s="129"/>
      <c r="ART30" s="129"/>
      <c r="ARU30" s="129"/>
      <c r="ARV30" s="129"/>
      <c r="ARW30" s="129"/>
      <c r="ARX30" s="129"/>
      <c r="ARY30" s="129"/>
      <c r="ARZ30" s="128"/>
      <c r="ASA30" s="128"/>
      <c r="ASB30" s="128"/>
      <c r="ASC30" s="128"/>
      <c r="ASD30" s="128"/>
      <c r="ASE30" s="128"/>
      <c r="ASF30" s="129"/>
      <c r="ASG30" s="129"/>
      <c r="ASH30" s="129"/>
      <c r="ASI30" s="129"/>
      <c r="ASJ30" s="129"/>
      <c r="ASK30" s="129"/>
      <c r="ASL30" s="129"/>
      <c r="ASM30" s="129"/>
      <c r="ASN30" s="129"/>
      <c r="ASO30" s="129"/>
      <c r="ASP30" s="129"/>
      <c r="ASQ30" s="129"/>
      <c r="ASR30" s="129"/>
      <c r="ASS30" s="129"/>
      <c r="AST30" s="129"/>
      <c r="ASU30" s="129"/>
      <c r="ASV30" s="129"/>
      <c r="ASW30" s="129"/>
      <c r="ASX30" s="129"/>
      <c r="ASY30" s="129"/>
      <c r="ASZ30" s="129"/>
      <c r="ATA30" s="129"/>
      <c r="ATB30" s="129"/>
      <c r="ATC30" s="129"/>
      <c r="ATD30" s="129"/>
      <c r="ATE30" s="129"/>
      <c r="ATF30" s="129"/>
      <c r="ATG30" s="129"/>
      <c r="ATH30" s="128"/>
      <c r="ATI30" s="128"/>
      <c r="ATJ30" s="128"/>
      <c r="ATK30" s="128"/>
      <c r="ATL30" s="128"/>
      <c r="ATM30" s="128"/>
      <c r="ATN30" s="128"/>
      <c r="AXF30" s="144" t="s">
        <v>280</v>
      </c>
      <c r="AXG30" s="144"/>
      <c r="AXH30" s="144"/>
      <c r="AXI30" s="144"/>
      <c r="AXJ30" s="144"/>
      <c r="AXK30" s="144"/>
      <c r="AXL30" s="144"/>
      <c r="AXM30" s="144"/>
      <c r="AXN30" s="144"/>
      <c r="AXO30" s="144"/>
      <c r="AXP30" s="144"/>
      <c r="AXQ30" s="144"/>
      <c r="AXR30" s="144"/>
      <c r="AXS30" s="144"/>
      <c r="AXT30" s="144"/>
      <c r="AXU30" s="144"/>
      <c r="AXV30" s="144"/>
      <c r="AXW30" s="144"/>
      <c r="AXX30" s="144"/>
      <c r="AXY30" s="144"/>
      <c r="AXZ30" s="144"/>
      <c r="AYA30" s="144"/>
      <c r="AYB30" s="144"/>
      <c r="AYC30" s="144"/>
      <c r="AYD30" s="144"/>
      <c r="AYE30" s="144"/>
      <c r="AYF30" s="144"/>
      <c r="AYG30" s="144"/>
      <c r="AYH30" s="144"/>
      <c r="AYI30" s="144"/>
      <c r="AYJ30" s="144"/>
      <c r="AYK30" s="144"/>
      <c r="AYL30" s="144"/>
      <c r="AYM30" s="144"/>
      <c r="AYN30" s="144"/>
      <c r="AYO30" s="144"/>
      <c r="AYP30" s="144"/>
      <c r="AYQ30" s="144"/>
      <c r="AYR30" s="144"/>
      <c r="AYS30" s="144"/>
      <c r="AYT30" s="144"/>
      <c r="AYU30" s="144"/>
      <c r="AYV30" s="144"/>
      <c r="AYW30" s="144"/>
      <c r="AYX30" s="144"/>
      <c r="AYY30" s="144"/>
      <c r="AYZ30" s="144"/>
      <c r="AZA30" s="144"/>
      <c r="AZB30" s="144"/>
      <c r="AZC30" s="144"/>
      <c r="AZD30" s="144"/>
      <c r="AZE30" s="144"/>
      <c r="AZF30" s="144"/>
      <c r="AZG30" s="144"/>
      <c r="AZH30" s="144"/>
      <c r="AZI30" s="144"/>
      <c r="AZJ30" s="144"/>
      <c r="AZK30" s="144"/>
      <c r="AZL30" s="144"/>
      <c r="AZM30" s="144"/>
      <c r="AZN30" s="144"/>
      <c r="AZO30" s="144"/>
      <c r="AZP30" s="144"/>
      <c r="AZQ30" s="144"/>
      <c r="AZR30" s="144"/>
      <c r="AZS30" s="144"/>
      <c r="AZT30" s="144"/>
      <c r="AZU30" s="144"/>
      <c r="AZV30" s="144"/>
      <c r="AZW30" s="144"/>
      <c r="AZX30" s="144"/>
      <c r="AZY30" s="144"/>
      <c r="AZZ30" s="144"/>
      <c r="BAA30" s="144"/>
      <c r="BAB30" s="144"/>
      <c r="BAC30" s="144"/>
      <c r="BAD30" s="144"/>
      <c r="BAE30" s="144"/>
      <c r="BAF30" s="144"/>
      <c r="BAG30" s="144"/>
      <c r="BAH30" s="144"/>
      <c r="BAI30" s="144"/>
      <c r="BAJ30" s="144"/>
      <c r="BAK30" s="144"/>
      <c r="BAL30" s="144"/>
      <c r="BAM30" s="144"/>
      <c r="BAN30" s="144"/>
      <c r="BAO30" s="144"/>
      <c r="BAP30" s="144"/>
      <c r="BAQ30" s="144"/>
      <c r="BAR30" s="144"/>
      <c r="BAS30" s="144"/>
      <c r="BAT30" s="144"/>
      <c r="BAV30" s="128" t="s">
        <v>301</v>
      </c>
      <c r="BAW30" s="128"/>
      <c r="BAX30" s="128"/>
      <c r="BAY30" s="128"/>
      <c r="BAZ30" s="128"/>
      <c r="BBA30" s="128"/>
      <c r="BBB30" s="128"/>
      <c r="BBC30" s="128"/>
      <c r="BBD30" s="128"/>
      <c r="BBE30" s="128"/>
      <c r="BBF30" s="128"/>
      <c r="BBG30" s="128"/>
      <c r="BBH30" s="128"/>
      <c r="BBI30" s="128"/>
      <c r="BBJ30" s="128"/>
      <c r="BBK30" s="128"/>
      <c r="BBL30" s="128"/>
      <c r="BBM30" s="128"/>
      <c r="BBN30" s="128"/>
      <c r="BBO30" s="128"/>
      <c r="BBP30" s="128"/>
      <c r="BBQ30" s="128"/>
      <c r="BBR30" s="128"/>
      <c r="BBS30" s="128"/>
      <c r="BBT30" s="128"/>
      <c r="BBU30" s="128"/>
      <c r="BBV30" s="128"/>
      <c r="BBW30" s="128"/>
      <c r="BBX30" s="128"/>
      <c r="BBY30" s="128"/>
      <c r="BBZ30" s="128"/>
      <c r="BCA30" s="129"/>
      <c r="BCB30" s="129"/>
      <c r="BCC30" s="129"/>
      <c r="BCD30" s="129"/>
      <c r="BCE30" s="129"/>
      <c r="BCF30" s="129"/>
      <c r="BCG30" s="129"/>
      <c r="BCH30" s="129"/>
      <c r="BCI30" s="129"/>
      <c r="BCJ30" s="129"/>
      <c r="BCK30" s="129"/>
      <c r="BCL30" s="129"/>
      <c r="BCM30" s="129"/>
      <c r="BCN30" s="129"/>
      <c r="BCO30" s="129"/>
      <c r="BCP30" s="129"/>
      <c r="BCQ30" s="129"/>
      <c r="BCR30" s="129"/>
      <c r="BCS30" s="129"/>
      <c r="BCT30" s="129"/>
      <c r="BCU30" s="129"/>
      <c r="BCV30" s="128"/>
      <c r="BCW30" s="128"/>
      <c r="BCX30" s="128"/>
      <c r="BCY30" s="128"/>
      <c r="BCZ30" s="128"/>
      <c r="BDA30" s="128"/>
      <c r="BDB30" s="129"/>
      <c r="BDC30" s="129"/>
      <c r="BDD30" s="129"/>
      <c r="BDE30" s="129"/>
      <c r="BDF30" s="129"/>
      <c r="BDG30" s="129"/>
      <c r="BDH30" s="129"/>
      <c r="BDI30" s="129"/>
      <c r="BDJ30" s="129"/>
      <c r="BDK30" s="129"/>
      <c r="BDL30" s="129"/>
      <c r="BDM30" s="129"/>
      <c r="BDN30" s="129"/>
      <c r="BDO30" s="129"/>
      <c r="BDP30" s="129"/>
      <c r="BDQ30" s="129"/>
      <c r="BDR30" s="129"/>
      <c r="BDS30" s="129"/>
      <c r="BDT30" s="129"/>
      <c r="BDU30" s="129"/>
      <c r="BDV30" s="129"/>
      <c r="BDW30" s="129"/>
      <c r="BDX30" s="129"/>
      <c r="BDY30" s="129"/>
      <c r="BDZ30" s="129"/>
      <c r="BEA30" s="129"/>
      <c r="BEB30" s="129"/>
      <c r="BEC30" s="129"/>
      <c r="BED30" s="128"/>
      <c r="BEE30" s="128"/>
      <c r="BEF30" s="128"/>
      <c r="BEG30" s="128"/>
      <c r="BEH30" s="128"/>
      <c r="BEI30" s="128"/>
      <c r="BEJ30" s="128"/>
      <c r="BLR30" s="128" t="s">
        <v>335</v>
      </c>
      <c r="BLS30" s="128"/>
      <c r="BLT30" s="128"/>
      <c r="BLU30" s="128"/>
      <c r="BLV30" s="128"/>
      <c r="BLW30" s="128"/>
      <c r="BLX30" s="128"/>
      <c r="BLY30" s="128"/>
      <c r="BLZ30" s="128"/>
      <c r="BMA30" s="128"/>
      <c r="BMB30" s="128"/>
      <c r="BMC30" s="128"/>
      <c r="BMD30" s="128"/>
      <c r="BME30" s="128"/>
      <c r="BMF30" s="128"/>
      <c r="BMG30" s="128"/>
      <c r="BMH30" s="128"/>
      <c r="BMI30" s="128"/>
      <c r="BMJ30" s="128"/>
      <c r="BMK30" s="128"/>
      <c r="BML30" s="128"/>
      <c r="BMM30" s="128"/>
      <c r="BMN30" s="128"/>
      <c r="BMO30" s="128"/>
      <c r="BMP30" s="128"/>
      <c r="BMQ30" s="128"/>
      <c r="BMR30" s="128"/>
      <c r="BMS30" s="128"/>
      <c r="BMT30" s="128"/>
      <c r="BMU30" s="128"/>
      <c r="BMV30" s="128"/>
      <c r="BMW30" s="129"/>
      <c r="BMX30" s="129"/>
      <c r="BMY30" s="129"/>
      <c r="BMZ30" s="129"/>
      <c r="BNA30" s="129"/>
      <c r="BNB30" s="129"/>
      <c r="BNC30" s="129"/>
      <c r="BND30" s="129"/>
      <c r="BNE30" s="129"/>
      <c r="BNF30" s="129"/>
      <c r="BNG30" s="129"/>
      <c r="BNH30" s="129"/>
      <c r="BNI30" s="129"/>
      <c r="BNJ30" s="129"/>
      <c r="BNK30" s="129"/>
      <c r="BNL30" s="129"/>
      <c r="BNM30" s="129"/>
      <c r="BNN30" s="129"/>
      <c r="BNO30" s="129"/>
      <c r="BNP30" s="129"/>
      <c r="BNQ30" s="129"/>
      <c r="BNR30" s="128"/>
      <c r="BNS30" s="128"/>
      <c r="BNT30" s="128"/>
      <c r="BNU30" s="128"/>
      <c r="BNV30" s="128"/>
      <c r="BNW30" s="128"/>
      <c r="BNX30" s="129"/>
      <c r="BNY30" s="129"/>
      <c r="BNZ30" s="129"/>
      <c r="BOA30" s="129"/>
      <c r="BOB30" s="129"/>
      <c r="BOC30" s="129"/>
      <c r="BOD30" s="129"/>
      <c r="BOE30" s="129"/>
      <c r="BOF30" s="129"/>
      <c r="BOG30" s="129"/>
      <c r="BOH30" s="129"/>
      <c r="BOI30" s="129"/>
      <c r="BOJ30" s="129"/>
      <c r="BOK30" s="129"/>
      <c r="BOL30" s="129"/>
      <c r="BOM30" s="129"/>
      <c r="BON30" s="129"/>
      <c r="BOO30" s="129"/>
      <c r="BOP30" s="129"/>
      <c r="BOQ30" s="129"/>
      <c r="BOR30" s="129"/>
      <c r="BOS30" s="129"/>
      <c r="BOT30" s="129"/>
      <c r="BOU30" s="129"/>
      <c r="BOV30" s="129"/>
      <c r="BOW30" s="129"/>
      <c r="BOX30" s="129"/>
      <c r="BOY30" s="129"/>
      <c r="BOZ30" s="128"/>
      <c r="BPA30" s="128"/>
      <c r="BPB30" s="128"/>
      <c r="BPC30" s="128"/>
      <c r="BPD30" s="128"/>
      <c r="BPE30" s="128"/>
      <c r="BPF30" s="128"/>
      <c r="COP30" s="128" t="str">
        <f ca="1">VLOOKUP(4,INDIRECT("Closed"&amp;'Character Creation'!$Z$14),2,FALSE)</f>
        <v>Invisible Ways</v>
      </c>
      <c r="COQ30" s="128"/>
      <c r="COR30" s="128"/>
      <c r="COS30" s="128"/>
      <c r="COT30" s="128"/>
      <c r="COU30" s="128"/>
      <c r="COV30" s="128"/>
      <c r="COW30" s="128"/>
      <c r="COX30" s="128"/>
      <c r="COY30" s="128"/>
      <c r="COZ30" s="128"/>
      <c r="CPA30" s="128"/>
      <c r="CPB30" s="128"/>
      <c r="CPC30" s="128"/>
      <c r="CPD30" s="128"/>
      <c r="CPE30" s="128"/>
      <c r="CPF30" s="128"/>
      <c r="CPG30" s="128"/>
      <c r="CPH30" s="128"/>
      <c r="CPI30" s="128"/>
      <c r="CPJ30" s="128"/>
      <c r="CPK30" s="128"/>
      <c r="CPL30" s="128"/>
      <c r="CPM30" s="128"/>
      <c r="CPN30" s="128"/>
      <c r="CPO30" s="128"/>
      <c r="CPP30" s="128"/>
      <c r="CPQ30" s="128"/>
      <c r="CPR30" s="128"/>
      <c r="CPS30" s="128"/>
      <c r="CPT30" s="128"/>
      <c r="CPU30" s="129"/>
      <c r="CPV30" s="129"/>
      <c r="CPW30" s="129"/>
      <c r="CPX30" s="129"/>
      <c r="CPY30" s="129"/>
      <c r="CPZ30" s="129"/>
      <c r="CQA30" s="129"/>
      <c r="CQB30" s="129"/>
      <c r="CQC30" s="129"/>
      <c r="CQD30" s="129"/>
      <c r="CQE30" s="129"/>
      <c r="CQF30" s="129"/>
      <c r="CQG30" s="129"/>
      <c r="CQH30" s="129"/>
      <c r="CQI30" s="129"/>
      <c r="CQJ30" s="129"/>
      <c r="CQK30" s="129"/>
      <c r="CQL30" s="129"/>
      <c r="CQM30" s="129"/>
      <c r="CQN30" s="129"/>
      <c r="CQO30" s="129"/>
      <c r="CQP30" s="128"/>
      <c r="CQQ30" s="128"/>
      <c r="CQR30" s="128"/>
      <c r="CQS30" s="128"/>
      <c r="CQT30" s="128"/>
      <c r="CQU30" s="128"/>
      <c r="CQV30" s="129"/>
      <c r="CQW30" s="129"/>
      <c r="CQX30" s="129"/>
      <c r="CQY30" s="129"/>
      <c r="CQZ30" s="129"/>
      <c r="CRA30" s="129"/>
      <c r="CRB30" s="129"/>
      <c r="CRC30" s="129"/>
      <c r="CRD30" s="129"/>
      <c r="CRE30" s="129"/>
      <c r="CRF30" s="129"/>
      <c r="CRG30" s="129"/>
      <c r="CRH30" s="129"/>
      <c r="CRI30" s="129"/>
      <c r="CRJ30" s="129"/>
      <c r="CRK30" s="129"/>
      <c r="CRL30" s="129"/>
      <c r="CRM30" s="129"/>
      <c r="CRN30" s="129"/>
      <c r="CRO30" s="129"/>
      <c r="CRP30" s="129"/>
      <c r="CRQ30" s="129"/>
      <c r="CRR30" s="129"/>
      <c r="CRS30" s="129"/>
      <c r="CRT30" s="129"/>
      <c r="CRU30" s="129"/>
      <c r="CRV30" s="129"/>
      <c r="CRW30" s="129"/>
      <c r="CRX30" s="128"/>
      <c r="CRY30" s="128"/>
      <c r="CRZ30" s="128"/>
      <c r="CSA30" s="128"/>
      <c r="CSB30" s="128"/>
      <c r="CSC30" s="128"/>
      <c r="CSD30" s="128"/>
      <c r="CSF30" s="128" t="s">
        <v>455</v>
      </c>
      <c r="CSG30" s="128"/>
      <c r="CSH30" s="128"/>
      <c r="CSI30" s="128"/>
      <c r="CSJ30" s="128"/>
      <c r="CSK30" s="128"/>
      <c r="CSL30" s="128"/>
      <c r="CSM30" s="128"/>
      <c r="CSN30" s="128"/>
      <c r="CSO30" s="128"/>
      <c r="CSP30" s="128"/>
      <c r="CSQ30" s="128"/>
      <c r="CSR30" s="128"/>
      <c r="CSS30" s="128"/>
      <c r="CST30" s="128"/>
      <c r="CSU30" s="128"/>
      <c r="CSV30" s="128"/>
      <c r="CSW30" s="128"/>
      <c r="CSX30" s="128"/>
      <c r="CSY30" s="128"/>
      <c r="CSZ30" s="128"/>
      <c r="CTA30" s="128"/>
      <c r="CTB30" s="128"/>
      <c r="CTC30" s="128"/>
      <c r="CTD30" s="128"/>
      <c r="CTE30" s="128"/>
      <c r="CTF30" s="128"/>
      <c r="CTG30" s="128"/>
      <c r="CTH30" s="128"/>
      <c r="CTI30" s="128"/>
      <c r="CTJ30" s="128"/>
      <c r="CTK30" s="129"/>
      <c r="CTL30" s="129"/>
      <c r="CTM30" s="129"/>
      <c r="CTN30" s="129"/>
      <c r="CTO30" s="129"/>
      <c r="CTP30" s="129"/>
      <c r="CTQ30" s="129"/>
      <c r="CTR30" s="129"/>
      <c r="CTS30" s="129"/>
      <c r="CTT30" s="129"/>
      <c r="CTU30" s="129"/>
      <c r="CTV30" s="129"/>
      <c r="CTW30" s="129"/>
      <c r="CTX30" s="129"/>
      <c r="CTY30" s="129"/>
      <c r="CTZ30" s="129"/>
      <c r="CUA30" s="129"/>
      <c r="CUB30" s="129"/>
      <c r="CUC30" s="129"/>
      <c r="CUD30" s="129"/>
      <c r="CUE30" s="129"/>
      <c r="CUF30" s="128"/>
      <c r="CUG30" s="128"/>
      <c r="CUH30" s="128"/>
      <c r="CUI30" s="128"/>
      <c r="CUJ30" s="128"/>
      <c r="CUK30" s="128"/>
      <c r="CUL30" s="129"/>
      <c r="CUM30" s="129"/>
      <c r="CUN30" s="129"/>
      <c r="CUO30" s="129"/>
      <c r="CUP30" s="129"/>
      <c r="CUQ30" s="129"/>
      <c r="CUR30" s="129"/>
      <c r="CUS30" s="129"/>
      <c r="CUT30" s="129"/>
      <c r="CUU30" s="129"/>
      <c r="CUV30" s="129"/>
      <c r="CUW30" s="129"/>
      <c r="CUX30" s="129"/>
      <c r="CUY30" s="129"/>
      <c r="CUZ30" s="129"/>
      <c r="CVA30" s="129"/>
      <c r="CVB30" s="129"/>
      <c r="CVC30" s="129"/>
      <c r="CVD30" s="129"/>
      <c r="CVE30" s="129"/>
      <c r="CVF30" s="129"/>
      <c r="CVG30" s="129"/>
      <c r="CVH30" s="129"/>
      <c r="CVI30" s="129"/>
      <c r="CVJ30" s="129"/>
      <c r="CVK30" s="129"/>
      <c r="CVL30" s="129"/>
      <c r="CVM30" s="129"/>
      <c r="CVN30" s="128"/>
      <c r="CVO30" s="128"/>
      <c r="CVP30" s="128"/>
      <c r="CVQ30" s="128"/>
      <c r="CVR30" s="128"/>
      <c r="CVS30" s="128"/>
      <c r="CVT30" s="128"/>
      <c r="DDB30" s="128" t="s">
        <v>535</v>
      </c>
      <c r="DDC30" s="128"/>
      <c r="DDD30" s="128"/>
      <c r="DDE30" s="128"/>
      <c r="DDF30" s="128"/>
      <c r="DDG30" s="128"/>
      <c r="DDH30" s="128"/>
      <c r="DDI30" s="128"/>
      <c r="DDJ30" s="128"/>
      <c r="DDK30" s="128"/>
      <c r="DDL30" s="128"/>
      <c r="DDM30" s="128"/>
      <c r="DDN30" s="128"/>
      <c r="DDO30" s="128"/>
      <c r="DDP30" s="128"/>
      <c r="DDQ30" s="128"/>
      <c r="DDR30" s="128"/>
      <c r="DDS30" s="128"/>
      <c r="DDT30" s="128"/>
      <c r="DDU30" s="128"/>
      <c r="DDV30" s="128"/>
      <c r="DDW30" s="128"/>
      <c r="DDX30" s="128"/>
      <c r="DDY30" s="128"/>
      <c r="DDZ30" s="128"/>
      <c r="DEA30" s="128"/>
      <c r="DEB30" s="128"/>
      <c r="DEC30" s="128"/>
      <c r="DED30" s="128"/>
      <c r="DEE30" s="128"/>
      <c r="DEF30" s="128"/>
      <c r="DEG30" s="129"/>
      <c r="DEH30" s="129"/>
      <c r="DEI30" s="129"/>
      <c r="DEJ30" s="129"/>
      <c r="DEK30" s="129"/>
      <c r="DEL30" s="129"/>
      <c r="DEM30" s="129"/>
      <c r="DEN30" s="129"/>
      <c r="DEO30" s="129"/>
      <c r="DEP30" s="129"/>
      <c r="DEQ30" s="129"/>
      <c r="DER30" s="129"/>
      <c r="DES30" s="129"/>
      <c r="DET30" s="129"/>
      <c r="DEU30" s="129"/>
      <c r="DEV30" s="129"/>
      <c r="DEW30" s="129"/>
      <c r="DEX30" s="129"/>
      <c r="DEY30" s="129"/>
      <c r="DEZ30" s="129"/>
      <c r="DFA30" s="129"/>
      <c r="DFB30" s="128"/>
      <c r="DFC30" s="128"/>
      <c r="DFD30" s="128"/>
      <c r="DFE30" s="128"/>
      <c r="DFF30" s="128"/>
      <c r="DFG30" s="128"/>
      <c r="DFH30" s="129"/>
      <c r="DFI30" s="129"/>
      <c r="DFJ30" s="129"/>
      <c r="DFK30" s="129"/>
      <c r="DFL30" s="129"/>
      <c r="DFM30" s="129"/>
      <c r="DFN30" s="129"/>
      <c r="DFO30" s="129"/>
      <c r="DFP30" s="129"/>
      <c r="DFQ30" s="129"/>
      <c r="DFR30" s="129"/>
      <c r="DFS30" s="129"/>
      <c r="DFT30" s="129"/>
      <c r="DFU30" s="129"/>
      <c r="DFV30" s="129"/>
      <c r="DFW30" s="129"/>
      <c r="DFX30" s="129"/>
      <c r="DFY30" s="129"/>
      <c r="DFZ30" s="129"/>
      <c r="DGA30" s="129"/>
      <c r="DGB30" s="129"/>
      <c r="DGC30" s="129"/>
      <c r="DGD30" s="129"/>
      <c r="DGE30" s="129"/>
      <c r="DGF30" s="129"/>
      <c r="DGG30" s="129"/>
      <c r="DGH30" s="129"/>
      <c r="DGI30" s="129"/>
      <c r="DGJ30" s="128"/>
      <c r="DGK30" s="128"/>
      <c r="DGL30" s="128"/>
      <c r="DGM30" s="128"/>
      <c r="DGN30" s="128"/>
      <c r="DGO30" s="128"/>
      <c r="DGP30" s="128"/>
      <c r="DGR30" s="128" t="s">
        <v>576</v>
      </c>
      <c r="DGS30" s="128"/>
      <c r="DGT30" s="128"/>
      <c r="DGU30" s="128"/>
      <c r="DGV30" s="128"/>
      <c r="DGW30" s="128"/>
      <c r="DGX30" s="128"/>
      <c r="DGY30" s="128"/>
      <c r="DGZ30" s="128"/>
      <c r="DHA30" s="128"/>
      <c r="DHB30" s="128"/>
      <c r="DHC30" s="128"/>
      <c r="DHD30" s="128"/>
      <c r="DHE30" s="128"/>
      <c r="DHF30" s="128"/>
      <c r="DHG30" s="128"/>
      <c r="DHH30" s="128"/>
      <c r="DHI30" s="128"/>
      <c r="DHJ30" s="128"/>
      <c r="DHK30" s="128"/>
      <c r="DHL30" s="128"/>
      <c r="DHM30" s="128"/>
      <c r="DHN30" s="128"/>
      <c r="DHO30" s="128"/>
      <c r="DHP30" s="128"/>
      <c r="DHQ30" s="128"/>
      <c r="DHR30" s="128"/>
      <c r="DHS30" s="128"/>
      <c r="DHT30" s="128"/>
      <c r="DHU30" s="128"/>
      <c r="DHV30" s="128"/>
      <c r="DHW30" s="129"/>
      <c r="DHX30" s="129"/>
      <c r="DHY30" s="129"/>
      <c r="DHZ30" s="129"/>
      <c r="DIA30" s="129"/>
      <c r="DIB30" s="129"/>
      <c r="DIC30" s="129"/>
      <c r="DID30" s="129"/>
      <c r="DIE30" s="129"/>
      <c r="DIF30" s="129"/>
      <c r="DIG30" s="129"/>
      <c r="DIH30" s="129"/>
      <c r="DII30" s="129"/>
      <c r="DIJ30" s="129"/>
      <c r="DIK30" s="129"/>
      <c r="DIL30" s="129"/>
      <c r="DIM30" s="129"/>
      <c r="DIN30" s="129"/>
      <c r="DIO30" s="129"/>
      <c r="DIP30" s="129"/>
      <c r="DIQ30" s="129"/>
      <c r="DIR30" s="128"/>
      <c r="DIS30" s="128"/>
      <c r="DIT30" s="128"/>
      <c r="DIU30" s="128"/>
      <c r="DIV30" s="128"/>
      <c r="DIW30" s="128"/>
      <c r="DIX30" s="129"/>
      <c r="DIY30" s="129"/>
      <c r="DIZ30" s="129"/>
      <c r="DJA30" s="129"/>
      <c r="DJB30" s="129"/>
      <c r="DJC30" s="129"/>
      <c r="DJD30" s="129"/>
      <c r="DJE30" s="129"/>
      <c r="DJF30" s="129"/>
      <c r="DJG30" s="129"/>
      <c r="DJH30" s="129"/>
      <c r="DJI30" s="129"/>
      <c r="DJJ30" s="129"/>
      <c r="DJK30" s="129"/>
      <c r="DJL30" s="129"/>
      <c r="DJM30" s="129"/>
      <c r="DJN30" s="129"/>
      <c r="DJO30" s="129"/>
      <c r="DJP30" s="129"/>
      <c r="DJQ30" s="129"/>
      <c r="DJR30" s="129"/>
      <c r="DJS30" s="129"/>
      <c r="DJT30" s="129"/>
      <c r="DJU30" s="129"/>
      <c r="DJV30" s="129"/>
      <c r="DJW30" s="129"/>
      <c r="DJX30" s="129"/>
      <c r="DJY30" s="129"/>
      <c r="DJZ30" s="128"/>
      <c r="DKA30" s="128"/>
      <c r="DKB30" s="128"/>
      <c r="DKC30" s="128"/>
      <c r="DKD30" s="128"/>
      <c r="DKE30" s="128"/>
      <c r="DKF30" s="128"/>
    </row>
    <row r="31" spans="2:1022 1118:1774 2152:2996" ht="15" customHeight="1" x14ac:dyDescent="0.25">
      <c r="B31" s="133">
        <v>6</v>
      </c>
      <c r="C31" s="134"/>
      <c r="D31" s="134"/>
      <c r="E31" s="134" t="str">
        <f>IFERROR(VLOOKUP(B31,Calculations!$DH$3:$DJ$127,3,FALSE),"")</f>
        <v/>
      </c>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96" t="str">
        <f>IFERROR(VLOOKUP(B31,Calculations!$DH$3:$DX$200,17,FALSE),"")</f>
        <v/>
      </c>
      <c r="AH31" s="130"/>
      <c r="AI31" s="130"/>
      <c r="AJ31" s="130"/>
      <c r="AK31" s="130"/>
      <c r="AL31" s="130"/>
      <c r="AM31" s="130"/>
      <c r="AN31" s="130"/>
      <c r="AO31" s="130"/>
      <c r="AP31" s="130"/>
      <c r="AQ31" s="130"/>
      <c r="AR31" s="130"/>
      <c r="AS31" s="130"/>
      <c r="AT31" s="130"/>
      <c r="AU31" s="130"/>
      <c r="AV31" s="130"/>
      <c r="AW31" s="130"/>
      <c r="AX31" s="130"/>
      <c r="AY31" s="130"/>
      <c r="AZ31" s="130"/>
      <c r="BA31" s="197"/>
      <c r="BB31" s="210" t="str">
        <f>IFERROR(IFERROR((VLOOKUP(E31,Calculations!$DR$3:$EJ$200,19,FALSE)),0)+VLOOKUP(B31,Calculations!$DH$3:$DN$200,7,FALSE)+CG31+CO31+IFERROR(VLOOKUP((LEFT(E31,FIND("(",E31)-2)),Calculations!$DJ$3:$EJ$200,26,FALSE),0),"")</f>
        <v/>
      </c>
      <c r="BC31" s="210"/>
      <c r="BD31" s="210"/>
      <c r="BE31" s="210"/>
      <c r="BF31" s="210"/>
      <c r="BG31" s="210"/>
      <c r="BH31" s="210"/>
      <c r="BI31" s="130" t="str">
        <f>IFERROR("x "&amp;VLOOKUP(B31,Calculations!$DH$3:$DY$200,18,FALSE),"")</f>
        <v/>
      </c>
      <c r="BJ31" s="130"/>
      <c r="BK31" s="130"/>
      <c r="BL31" s="130"/>
      <c r="BM31" s="130"/>
      <c r="BN31" s="130"/>
      <c r="BO31" s="130"/>
      <c r="BP31" s="130"/>
      <c r="BQ31" s="130" t="str">
        <f>IFERROR(VLOOKUP(B31,Calculations!$DH$3:$EE$200,22,FALSE),"")</f>
        <v/>
      </c>
      <c r="BR31" s="130"/>
      <c r="BS31" s="130"/>
      <c r="BT31" s="130"/>
      <c r="BU31" s="130"/>
      <c r="BV31" s="130"/>
      <c r="BW31" s="130"/>
      <c r="BX31" s="130"/>
      <c r="BY31" s="130" t="str">
        <f>IFERROR(VLOOKUP(B31,Calculations!$DH$3:$EA$200,19,FALSE)-ROUNDDOWN((CO31/5),0),"")</f>
        <v/>
      </c>
      <c r="BZ31" s="130"/>
      <c r="CA31" s="130"/>
      <c r="CB31" s="130"/>
      <c r="CC31" s="130"/>
      <c r="CD31" s="130"/>
      <c r="CE31" s="130"/>
      <c r="CF31" s="130"/>
      <c r="CG31" s="195">
        <v>0</v>
      </c>
      <c r="CH31" s="195"/>
      <c r="CI31" s="195"/>
      <c r="CJ31" s="195"/>
      <c r="CK31" s="195"/>
      <c r="CL31" s="195"/>
      <c r="CM31" s="195"/>
      <c r="CN31" s="195"/>
      <c r="CO31" s="195">
        <v>0</v>
      </c>
      <c r="CP31" s="195"/>
      <c r="CQ31" s="195"/>
      <c r="CR31" s="195"/>
      <c r="CS31" s="195"/>
      <c r="CT31" s="195"/>
      <c r="CU31" s="195"/>
      <c r="CV31" s="195"/>
      <c r="CW31" s="130" t="str">
        <f>IF(E31="","",IFERROR(VLOOKUP(B31,Calculations!$DH$3:$ED$200,23,FALSE)+CO31+CG31,"- -"))</f>
        <v/>
      </c>
      <c r="CX31" s="130"/>
      <c r="CY31" s="130"/>
      <c r="CZ31" s="130"/>
      <c r="DA31" s="130"/>
      <c r="DB31" s="130"/>
      <c r="DC31" s="130"/>
      <c r="DD31" s="130"/>
      <c r="DE31" s="198" t="str">
        <f>IF(E31="","",IFERROR(VLOOKUP(B31,Calculations!$DH$3:$EE$200,24,FALSE),"- -"))</f>
        <v/>
      </c>
      <c r="DF31" s="130"/>
      <c r="DG31" s="130"/>
      <c r="DH31" s="130"/>
      <c r="DI31" s="130"/>
      <c r="DJ31" s="130"/>
      <c r="DK31" s="130"/>
      <c r="DL31" s="130"/>
      <c r="DM31" s="198" t="str">
        <f>IF(E31="","",IFERROR(VLOOKUP(B31,Calculations!$DH$3:$EJ$200,25,FALSE),"- -"))</f>
        <v/>
      </c>
      <c r="DN31" s="130"/>
      <c r="DO31" s="130"/>
      <c r="DP31" s="130"/>
      <c r="DQ31" s="130"/>
      <c r="DR31" s="130"/>
      <c r="DS31" s="130"/>
      <c r="DT31" s="130"/>
      <c r="DU31" s="130" t="str">
        <f t="shared" si="10"/>
        <v/>
      </c>
      <c r="DV31" s="130"/>
      <c r="DW31" s="130"/>
      <c r="DX31" s="130"/>
      <c r="DY31" s="130"/>
      <c r="DZ31" s="130"/>
      <c r="EA31" s="130"/>
      <c r="EB31" s="130"/>
      <c r="EC31" s="130" t="str">
        <f t="shared" si="11"/>
        <v/>
      </c>
      <c r="ED31" s="130"/>
      <c r="EE31" s="130"/>
      <c r="EF31" s="130"/>
      <c r="EG31" s="130"/>
      <c r="EH31" s="130"/>
      <c r="EI31" s="130"/>
      <c r="EJ31" s="130"/>
      <c r="EK31" s="130" t="str">
        <f t="shared" si="12"/>
        <v/>
      </c>
      <c r="EL31" s="130"/>
      <c r="EM31" s="130"/>
      <c r="EN31" s="130"/>
      <c r="EO31" s="130"/>
      <c r="EP31" s="130"/>
      <c r="EQ31" s="130"/>
      <c r="ER31" s="130"/>
      <c r="ES31" s="130" t="str">
        <f t="shared" si="13"/>
        <v/>
      </c>
      <c r="ET31" s="130"/>
      <c r="EU31" s="130"/>
      <c r="EV31" s="130"/>
      <c r="EW31" s="130"/>
      <c r="EX31" s="130"/>
      <c r="EY31" s="130"/>
      <c r="EZ31" s="238"/>
      <c r="FB31" s="139"/>
      <c r="FC31" s="140"/>
      <c r="FD31" s="140"/>
      <c r="FE31" s="140"/>
      <c r="FF31" s="140"/>
      <c r="FG31" s="140"/>
      <c r="FH31" s="140"/>
      <c r="FI31" s="140"/>
      <c r="FJ31" s="140"/>
      <c r="FK31" s="140"/>
      <c r="FL31" s="140"/>
      <c r="FM31" s="140"/>
      <c r="FN31" s="140"/>
      <c r="FO31" s="140"/>
      <c r="FP31" s="140"/>
      <c r="FQ31" s="140"/>
      <c r="FR31" s="140"/>
      <c r="FS31" s="140"/>
      <c r="FT31" s="140"/>
      <c r="FU31" s="140"/>
      <c r="FV31" s="140"/>
      <c r="FW31" s="140"/>
      <c r="FX31" s="140"/>
      <c r="FY31" s="140"/>
      <c r="FZ31" s="140"/>
      <c r="GA31" s="140"/>
      <c r="GB31" s="140"/>
      <c r="GC31" s="140"/>
      <c r="GD31" s="140"/>
      <c r="GE31" s="140"/>
      <c r="GF31" s="140"/>
      <c r="GG31" s="140"/>
      <c r="GH31" s="140"/>
      <c r="GI31" s="140"/>
      <c r="GJ31" s="140"/>
      <c r="GK31" s="140"/>
      <c r="GL31" s="140"/>
      <c r="GM31" s="140"/>
      <c r="GN31" s="140"/>
      <c r="GO31" s="140"/>
      <c r="GP31" s="140"/>
      <c r="GQ31" s="140"/>
      <c r="GR31" s="140"/>
      <c r="GS31" s="140"/>
      <c r="GT31" s="141">
        <v>0</v>
      </c>
      <c r="GU31" s="141"/>
      <c r="GV31" s="141"/>
      <c r="GW31" s="141"/>
      <c r="GX31" s="141"/>
      <c r="GY31" s="141"/>
      <c r="GZ31" s="141"/>
      <c r="HA31" s="141"/>
      <c r="HB31" s="142" t="str">
        <f>IFERROR(ROUND(Calculations!BV32*GT31,2),"")</f>
        <v/>
      </c>
      <c r="HC31" s="142"/>
      <c r="HD31" s="142"/>
      <c r="HE31" s="142"/>
      <c r="HF31" s="142"/>
      <c r="HG31" s="142"/>
      <c r="HH31" s="142"/>
      <c r="HI31" s="142"/>
      <c r="HJ31" s="142">
        <f>IFERROR(Calculations!BS32+IQ31+IX31,"")</f>
        <v>0</v>
      </c>
      <c r="HK31" s="142"/>
      <c r="HL31" s="142"/>
      <c r="HM31" s="142"/>
      <c r="HN31" s="142"/>
      <c r="HO31" s="142"/>
      <c r="HP31" s="142"/>
      <c r="HQ31" s="142"/>
      <c r="HR31" s="142" t="str">
        <f t="shared" si="9"/>
        <v/>
      </c>
      <c r="HS31" s="142"/>
      <c r="HT31" s="142"/>
      <c r="HU31" s="142"/>
      <c r="HV31" s="142"/>
      <c r="HW31" s="142"/>
      <c r="HX31" s="142"/>
      <c r="HY31" s="142"/>
      <c r="HZ31" s="142" t="str">
        <f>IFERROR(Calculations!BX32,"")</f>
        <v/>
      </c>
      <c r="IA31" s="142"/>
      <c r="IB31" s="142"/>
      <c r="IC31" s="142"/>
      <c r="ID31" s="142"/>
      <c r="IE31" s="142"/>
      <c r="IF31" s="142"/>
      <c r="IG31" s="142"/>
      <c r="IH31" s="142"/>
      <c r="II31" s="142"/>
      <c r="IJ31" s="142" t="str">
        <f>IFERROR(Calculations!BR32+IX31,"")</f>
        <v/>
      </c>
      <c r="IK31" s="142"/>
      <c r="IL31" s="142"/>
      <c r="IM31" s="142"/>
      <c r="IN31" s="142"/>
      <c r="IO31" s="142"/>
      <c r="IP31" s="142"/>
      <c r="IQ31" s="141">
        <v>0</v>
      </c>
      <c r="IR31" s="141"/>
      <c r="IS31" s="141"/>
      <c r="IT31" s="141"/>
      <c r="IU31" s="141"/>
      <c r="IV31" s="141"/>
      <c r="IW31" s="141"/>
      <c r="IX31" s="141">
        <v>0</v>
      </c>
      <c r="IY31" s="141"/>
      <c r="IZ31" s="141"/>
      <c r="JA31" s="141"/>
      <c r="JB31" s="141"/>
      <c r="JC31" s="141"/>
      <c r="JD31" s="141"/>
      <c r="JE31" s="141"/>
      <c r="JF31" s="142"/>
      <c r="JG31" s="142"/>
      <c r="JH31" s="142"/>
      <c r="JI31" s="142"/>
      <c r="JJ31" s="142"/>
      <c r="JK31" s="143" t="str">
        <f>Calculations!AS32</f>
        <v/>
      </c>
      <c r="JL31" s="143"/>
      <c r="JM31" s="143"/>
      <c r="JN31" s="143"/>
      <c r="JO31" s="143"/>
      <c r="JP31" s="143"/>
      <c r="JQ31" s="143"/>
      <c r="JR31" s="143"/>
      <c r="JS31" s="143"/>
      <c r="JT31" s="143"/>
      <c r="JU31" s="143"/>
      <c r="JV31" s="143"/>
      <c r="JW31" s="143"/>
      <c r="JX31" s="143"/>
      <c r="JY31" s="143"/>
      <c r="JZ31" s="143"/>
      <c r="KA31" s="143"/>
      <c r="KB31" s="143"/>
      <c r="KC31" s="143" t="str">
        <f>Calculations!AW32</f>
        <v/>
      </c>
      <c r="KD31" s="143"/>
      <c r="KE31" s="143"/>
      <c r="KF31" s="143"/>
      <c r="KG31" s="143"/>
      <c r="KH31" s="143"/>
      <c r="KI31" s="143"/>
      <c r="KJ31" s="143"/>
      <c r="KK31" s="143"/>
      <c r="KL31" s="143"/>
      <c r="KM31" s="143"/>
      <c r="KN31" s="143"/>
      <c r="KO31" s="143"/>
      <c r="KP31" s="143"/>
      <c r="KQ31" s="143"/>
      <c r="KR31" s="143"/>
      <c r="KS31" s="143"/>
      <c r="KT31" s="143"/>
      <c r="KU31" s="144" t="str">
        <f t="shared" si="7"/>
        <v/>
      </c>
      <c r="KV31" s="144"/>
      <c r="KW31" s="144"/>
      <c r="KX31" s="144"/>
      <c r="KY31" s="144"/>
      <c r="KZ31" s="144"/>
      <c r="LA31" s="144"/>
      <c r="LB31" s="144"/>
      <c r="LC31" s="144"/>
      <c r="LD31" s="144"/>
      <c r="LE31" s="144"/>
      <c r="LF31" s="144"/>
      <c r="LG31" s="144"/>
      <c r="LH31" s="144"/>
      <c r="LI31" s="144"/>
      <c r="LJ31" s="144"/>
      <c r="LK31" s="144"/>
      <c r="LL31" s="144"/>
      <c r="LM31" s="144"/>
      <c r="LN31" s="144"/>
      <c r="LO31" s="144"/>
      <c r="LP31" s="144"/>
      <c r="LQ31" s="144"/>
      <c r="LR31" s="144"/>
      <c r="LS31" s="144"/>
      <c r="LT31" s="144"/>
      <c r="LU31" s="144"/>
      <c r="LV31" s="144"/>
      <c r="LW31" s="144"/>
      <c r="LX31" s="144"/>
      <c r="LY31" s="144"/>
      <c r="LZ31" s="144"/>
      <c r="MA31" s="144"/>
      <c r="MB31" s="144"/>
      <c r="MC31" s="144"/>
      <c r="MD31" s="144"/>
      <c r="ME31" s="144"/>
      <c r="MF31" s="144"/>
      <c r="MG31" s="144"/>
      <c r="MH31" s="144"/>
      <c r="MI31" s="144"/>
      <c r="MJ31" s="144"/>
      <c r="MK31" s="144"/>
      <c r="ML31" s="144"/>
      <c r="MM31" s="144"/>
      <c r="MN31" s="144"/>
      <c r="MO31" s="144"/>
      <c r="MP31" s="144"/>
      <c r="MQ31" s="144"/>
      <c r="MR31" s="144"/>
      <c r="MS31" s="144"/>
      <c r="MT31" s="144"/>
      <c r="MU31" s="144"/>
      <c r="MV31" s="144"/>
      <c r="MW31" s="144"/>
      <c r="MX31" s="144"/>
      <c r="MY31" s="144"/>
      <c r="MZ31" s="145"/>
      <c r="AIT31" s="128" t="s">
        <v>211</v>
      </c>
      <c r="AIU31" s="128"/>
      <c r="AIV31" s="128"/>
      <c r="AIW31" s="128"/>
      <c r="AIX31" s="128"/>
      <c r="AIY31" s="128"/>
      <c r="AIZ31" s="128"/>
      <c r="AJA31" s="128"/>
      <c r="AJB31" s="128"/>
      <c r="AJC31" s="128"/>
      <c r="AJD31" s="128"/>
      <c r="AJE31" s="128"/>
      <c r="AJF31" s="128"/>
      <c r="AJG31" s="128"/>
      <c r="AJH31" s="128"/>
      <c r="AJI31" s="128"/>
      <c r="AJJ31" s="128"/>
      <c r="AJK31" s="128"/>
      <c r="AJL31" s="128"/>
      <c r="AJM31" s="128"/>
      <c r="AJN31" s="128"/>
      <c r="AJO31" s="128"/>
      <c r="AJP31" s="128"/>
      <c r="AJQ31" s="128"/>
      <c r="AJR31" s="128"/>
      <c r="AJS31" s="128"/>
      <c r="AJT31" s="128"/>
      <c r="AJU31" s="128"/>
      <c r="AJV31" s="128"/>
      <c r="AJW31" s="128"/>
      <c r="AJX31" s="128"/>
      <c r="AJY31" s="129"/>
      <c r="AJZ31" s="129"/>
      <c r="AKA31" s="129"/>
      <c r="AKB31" s="129"/>
      <c r="AKC31" s="129"/>
      <c r="AKD31" s="129"/>
      <c r="AKE31" s="129"/>
      <c r="AKF31" s="129"/>
      <c r="AKG31" s="129"/>
      <c r="AKH31" s="129"/>
      <c r="AKI31" s="129"/>
      <c r="AKJ31" s="129"/>
      <c r="AKK31" s="129"/>
      <c r="AKL31" s="129"/>
      <c r="AKM31" s="129"/>
      <c r="AKN31" s="129"/>
      <c r="AKO31" s="129"/>
      <c r="AKP31" s="129"/>
      <c r="AKQ31" s="129"/>
      <c r="AKR31" s="129"/>
      <c r="AKS31" s="129"/>
      <c r="AKT31" s="128"/>
      <c r="AKU31" s="128"/>
      <c r="AKV31" s="128"/>
      <c r="AKW31" s="128"/>
      <c r="AKX31" s="128"/>
      <c r="AKY31" s="128"/>
      <c r="AKZ31" s="129"/>
      <c r="ALA31" s="129"/>
      <c r="ALB31" s="129"/>
      <c r="ALC31" s="129"/>
      <c r="ALD31" s="129"/>
      <c r="ALE31" s="129"/>
      <c r="ALF31" s="129"/>
      <c r="ALG31" s="129"/>
      <c r="ALH31" s="129"/>
      <c r="ALI31" s="129"/>
      <c r="ALJ31" s="129"/>
      <c r="ALK31" s="129"/>
      <c r="ALL31" s="129"/>
      <c r="ALM31" s="129"/>
      <c r="ALN31" s="129"/>
      <c r="ALO31" s="129"/>
      <c r="ALP31" s="129"/>
      <c r="ALQ31" s="129"/>
      <c r="ALR31" s="129"/>
      <c r="ALS31" s="129"/>
      <c r="ALT31" s="129"/>
      <c r="ALU31" s="129"/>
      <c r="ALV31" s="129"/>
      <c r="ALW31" s="129"/>
      <c r="ALX31" s="129"/>
      <c r="ALY31" s="129"/>
      <c r="ALZ31" s="129"/>
      <c r="AMA31" s="129"/>
      <c r="AMB31" s="128"/>
      <c r="AMC31" s="128"/>
      <c r="AMD31" s="128"/>
      <c r="AME31" s="128"/>
      <c r="AMF31" s="128"/>
      <c r="AMG31" s="128"/>
      <c r="AMH31" s="128"/>
      <c r="APZ31" s="128" t="s">
        <v>247</v>
      </c>
      <c r="AQA31" s="128"/>
      <c r="AQB31" s="128"/>
      <c r="AQC31" s="128"/>
      <c r="AQD31" s="128"/>
      <c r="AQE31" s="128"/>
      <c r="AQF31" s="128"/>
      <c r="AQG31" s="128"/>
      <c r="AQH31" s="128"/>
      <c r="AQI31" s="128"/>
      <c r="AQJ31" s="128"/>
      <c r="AQK31" s="128"/>
      <c r="AQL31" s="128"/>
      <c r="AQM31" s="128"/>
      <c r="AQN31" s="128"/>
      <c r="AQO31" s="128"/>
      <c r="AQP31" s="128"/>
      <c r="AQQ31" s="128"/>
      <c r="AQR31" s="128"/>
      <c r="AQS31" s="128"/>
      <c r="AQT31" s="128"/>
      <c r="AQU31" s="128"/>
      <c r="AQV31" s="128"/>
      <c r="AQW31" s="128"/>
      <c r="AQX31" s="128"/>
      <c r="AQY31" s="128"/>
      <c r="AQZ31" s="128"/>
      <c r="ARA31" s="128"/>
      <c r="ARB31" s="128"/>
      <c r="ARC31" s="128"/>
      <c r="ARD31" s="128"/>
      <c r="ARE31" s="129"/>
      <c r="ARF31" s="129"/>
      <c r="ARG31" s="129"/>
      <c r="ARH31" s="129"/>
      <c r="ARI31" s="129"/>
      <c r="ARJ31" s="129"/>
      <c r="ARK31" s="129"/>
      <c r="ARL31" s="129"/>
      <c r="ARM31" s="129"/>
      <c r="ARN31" s="129"/>
      <c r="ARO31" s="129"/>
      <c r="ARP31" s="129"/>
      <c r="ARQ31" s="129"/>
      <c r="ARR31" s="129"/>
      <c r="ARS31" s="129"/>
      <c r="ART31" s="129"/>
      <c r="ARU31" s="129"/>
      <c r="ARV31" s="129"/>
      <c r="ARW31" s="129"/>
      <c r="ARX31" s="129"/>
      <c r="ARY31" s="129"/>
      <c r="ARZ31" s="128"/>
      <c r="ASA31" s="128"/>
      <c r="ASB31" s="128"/>
      <c r="ASC31" s="128"/>
      <c r="ASD31" s="128"/>
      <c r="ASE31" s="128"/>
      <c r="ASF31" s="129"/>
      <c r="ASG31" s="129"/>
      <c r="ASH31" s="129"/>
      <c r="ASI31" s="129"/>
      <c r="ASJ31" s="129"/>
      <c r="ASK31" s="129"/>
      <c r="ASL31" s="129"/>
      <c r="ASM31" s="129"/>
      <c r="ASN31" s="129"/>
      <c r="ASO31" s="129"/>
      <c r="ASP31" s="129"/>
      <c r="ASQ31" s="129"/>
      <c r="ASR31" s="129"/>
      <c r="ASS31" s="129"/>
      <c r="AST31" s="129"/>
      <c r="ASU31" s="129"/>
      <c r="ASV31" s="129"/>
      <c r="ASW31" s="129"/>
      <c r="ASX31" s="129"/>
      <c r="ASY31" s="129"/>
      <c r="ASZ31" s="129"/>
      <c r="ATA31" s="129"/>
      <c r="ATB31" s="129"/>
      <c r="ATC31" s="129"/>
      <c r="ATD31" s="129"/>
      <c r="ATE31" s="129"/>
      <c r="ATF31" s="129"/>
      <c r="ATG31" s="129"/>
      <c r="ATH31" s="128"/>
      <c r="ATI31" s="128"/>
      <c r="ATJ31" s="128"/>
      <c r="ATK31" s="128"/>
      <c r="ATL31" s="128"/>
      <c r="ATM31" s="128"/>
      <c r="ATN31" s="128"/>
      <c r="AXF31" s="144" t="s">
        <v>147</v>
      </c>
      <c r="AXG31" s="144"/>
      <c r="AXH31" s="144"/>
      <c r="AXI31" s="144"/>
      <c r="AXJ31" s="144"/>
      <c r="AXK31" s="144"/>
      <c r="AXL31" s="144"/>
      <c r="AXM31" s="144"/>
      <c r="AXN31" s="144"/>
      <c r="AXO31" s="144"/>
      <c r="AXP31" s="144"/>
      <c r="AXQ31" s="144"/>
      <c r="AXR31" s="144"/>
      <c r="AXS31" s="144"/>
      <c r="AXT31" s="144"/>
      <c r="AXU31" s="144"/>
      <c r="AXV31" s="144"/>
      <c r="AXW31" s="144"/>
      <c r="AXX31" s="144"/>
      <c r="AXY31" s="144"/>
      <c r="AXZ31" s="144"/>
      <c r="AYA31" s="144"/>
      <c r="AYB31" s="144"/>
      <c r="AYC31" s="144"/>
      <c r="AYD31" s="144"/>
      <c r="AYE31" s="144"/>
      <c r="AYF31" s="144"/>
      <c r="AYG31" s="144"/>
      <c r="AYH31" s="144"/>
      <c r="AYI31" s="144"/>
      <c r="AYJ31" s="144"/>
      <c r="AYK31" s="129" t="s">
        <v>133</v>
      </c>
      <c r="AYL31" s="129"/>
      <c r="AYM31" s="129"/>
      <c r="AYN31" s="129"/>
      <c r="AYO31" s="129" t="s">
        <v>148</v>
      </c>
      <c r="AYP31" s="129"/>
      <c r="AYQ31" s="129"/>
      <c r="AYR31" s="129"/>
      <c r="AYS31" s="129"/>
      <c r="AYT31" s="129" t="s">
        <v>83</v>
      </c>
      <c r="AYU31" s="129"/>
      <c r="AYV31" s="129"/>
      <c r="AYW31" s="129"/>
      <c r="AYX31" s="129"/>
      <c r="AYY31" s="129"/>
      <c r="AYZ31" s="129" t="s">
        <v>37</v>
      </c>
      <c r="AZA31" s="129"/>
      <c r="AZB31" s="129"/>
      <c r="AZC31" s="129"/>
      <c r="AZD31" s="129"/>
      <c r="AZE31" s="129"/>
      <c r="AZF31" s="129" t="s">
        <v>49</v>
      </c>
      <c r="AZG31" s="129"/>
      <c r="AZH31" s="129"/>
      <c r="AZI31" s="129"/>
      <c r="AZJ31" s="129"/>
      <c r="AZK31" s="129"/>
      <c r="AZL31" s="129" t="s">
        <v>149</v>
      </c>
      <c r="AZM31" s="129"/>
      <c r="AZN31" s="129"/>
      <c r="AZO31" s="129"/>
      <c r="AZP31" s="129"/>
      <c r="AZQ31" s="129"/>
      <c r="AZR31" s="129"/>
      <c r="AZS31" s="129" t="s">
        <v>150</v>
      </c>
      <c r="AZT31" s="129"/>
      <c r="AZU31" s="129"/>
      <c r="AZV31" s="129"/>
      <c r="AZW31" s="129"/>
      <c r="AZX31" s="129"/>
      <c r="AZY31" s="129"/>
      <c r="AZZ31" s="129" t="s">
        <v>151</v>
      </c>
      <c r="BAA31" s="129"/>
      <c r="BAB31" s="129"/>
      <c r="BAC31" s="129"/>
      <c r="BAD31" s="129"/>
      <c r="BAE31" s="129"/>
      <c r="BAF31" s="129"/>
      <c r="BAG31" s="129" t="s">
        <v>37</v>
      </c>
      <c r="BAH31" s="129"/>
      <c r="BAI31" s="129"/>
      <c r="BAJ31" s="129"/>
      <c r="BAK31" s="129"/>
      <c r="BAL31" s="129"/>
      <c r="BAM31" s="129"/>
      <c r="BAN31" s="129" t="s">
        <v>40</v>
      </c>
      <c r="BAO31" s="129"/>
      <c r="BAP31" s="129"/>
      <c r="BAQ31" s="129"/>
      <c r="BAR31" s="129"/>
      <c r="BAS31" s="129"/>
      <c r="BAT31" s="129"/>
      <c r="BAV31" s="128" t="s">
        <v>302</v>
      </c>
      <c r="BAW31" s="128"/>
      <c r="BAX31" s="128"/>
      <c r="BAY31" s="128"/>
      <c r="BAZ31" s="128"/>
      <c r="BBA31" s="128"/>
      <c r="BBB31" s="128"/>
      <c r="BBC31" s="128"/>
      <c r="BBD31" s="128"/>
      <c r="BBE31" s="128"/>
      <c r="BBF31" s="128"/>
      <c r="BBG31" s="128"/>
      <c r="BBH31" s="128"/>
      <c r="BBI31" s="128"/>
      <c r="BBJ31" s="128"/>
      <c r="BBK31" s="128"/>
      <c r="BBL31" s="128"/>
      <c r="BBM31" s="128"/>
      <c r="BBN31" s="128"/>
      <c r="BBO31" s="128"/>
      <c r="BBP31" s="128"/>
      <c r="BBQ31" s="128"/>
      <c r="BBR31" s="128"/>
      <c r="BBS31" s="128"/>
      <c r="BBT31" s="128"/>
      <c r="BBU31" s="128"/>
      <c r="BBV31" s="128"/>
      <c r="BBW31" s="128"/>
      <c r="BBX31" s="128"/>
      <c r="BBY31" s="128"/>
      <c r="BBZ31" s="128"/>
      <c r="BCA31" s="129"/>
      <c r="BCB31" s="129"/>
      <c r="BCC31" s="129"/>
      <c r="BCD31" s="129"/>
      <c r="BCE31" s="129"/>
      <c r="BCF31" s="129"/>
      <c r="BCG31" s="129"/>
      <c r="BCH31" s="129"/>
      <c r="BCI31" s="129"/>
      <c r="BCJ31" s="129"/>
      <c r="BCK31" s="129"/>
      <c r="BCL31" s="129"/>
      <c r="BCM31" s="129"/>
      <c r="BCN31" s="129"/>
      <c r="BCO31" s="129"/>
      <c r="BCP31" s="129"/>
      <c r="BCQ31" s="129"/>
      <c r="BCR31" s="129"/>
      <c r="BCS31" s="129"/>
      <c r="BCT31" s="129"/>
      <c r="BCU31" s="129"/>
      <c r="BCV31" s="128"/>
      <c r="BCW31" s="128"/>
      <c r="BCX31" s="128"/>
      <c r="BCY31" s="128"/>
      <c r="BCZ31" s="128"/>
      <c r="BDA31" s="128"/>
      <c r="BDB31" s="129"/>
      <c r="BDC31" s="129"/>
      <c r="BDD31" s="129"/>
      <c r="BDE31" s="129"/>
      <c r="BDF31" s="129"/>
      <c r="BDG31" s="129"/>
      <c r="BDH31" s="129"/>
      <c r="BDI31" s="129"/>
      <c r="BDJ31" s="129"/>
      <c r="BDK31" s="129"/>
      <c r="BDL31" s="129"/>
      <c r="BDM31" s="129"/>
      <c r="BDN31" s="129"/>
      <c r="BDO31" s="129"/>
      <c r="BDP31" s="129"/>
      <c r="BDQ31" s="129"/>
      <c r="BDR31" s="129"/>
      <c r="BDS31" s="129"/>
      <c r="BDT31" s="129"/>
      <c r="BDU31" s="129"/>
      <c r="BDV31" s="129"/>
      <c r="BDW31" s="129"/>
      <c r="BDX31" s="129"/>
      <c r="BDY31" s="129"/>
      <c r="BDZ31" s="129"/>
      <c r="BEA31" s="129"/>
      <c r="BEB31" s="129"/>
      <c r="BEC31" s="129"/>
      <c r="BED31" s="128"/>
      <c r="BEE31" s="128"/>
      <c r="BEF31" s="128"/>
      <c r="BEG31" s="128"/>
      <c r="BEH31" s="128"/>
      <c r="BEI31" s="128"/>
      <c r="BEJ31" s="128"/>
      <c r="BLR31" s="128" t="s">
        <v>336</v>
      </c>
      <c r="BLS31" s="128"/>
      <c r="BLT31" s="128"/>
      <c r="BLU31" s="128"/>
      <c r="BLV31" s="128"/>
      <c r="BLW31" s="128"/>
      <c r="BLX31" s="128"/>
      <c r="BLY31" s="128"/>
      <c r="BLZ31" s="128"/>
      <c r="BMA31" s="128"/>
      <c r="BMB31" s="128"/>
      <c r="BMC31" s="128"/>
      <c r="BMD31" s="128"/>
      <c r="BME31" s="128"/>
      <c r="BMF31" s="128"/>
      <c r="BMG31" s="128"/>
      <c r="BMH31" s="128"/>
      <c r="BMI31" s="128"/>
      <c r="BMJ31" s="128"/>
      <c r="BMK31" s="128"/>
      <c r="BML31" s="128"/>
      <c r="BMM31" s="128"/>
      <c r="BMN31" s="128"/>
      <c r="BMO31" s="128"/>
      <c r="BMP31" s="128"/>
      <c r="BMQ31" s="128"/>
      <c r="BMR31" s="128"/>
      <c r="BMS31" s="128"/>
      <c r="BMT31" s="128"/>
      <c r="BMU31" s="128"/>
      <c r="BMV31" s="128"/>
      <c r="BMW31" s="129"/>
      <c r="BMX31" s="129"/>
      <c r="BMY31" s="129"/>
      <c r="BMZ31" s="129"/>
      <c r="BNA31" s="129"/>
      <c r="BNB31" s="129"/>
      <c r="BNC31" s="129"/>
      <c r="BND31" s="129"/>
      <c r="BNE31" s="129"/>
      <c r="BNF31" s="129"/>
      <c r="BNG31" s="129"/>
      <c r="BNH31" s="129"/>
      <c r="BNI31" s="129"/>
      <c r="BNJ31" s="129"/>
      <c r="BNK31" s="129"/>
      <c r="BNL31" s="129"/>
      <c r="BNM31" s="129"/>
      <c r="BNN31" s="129"/>
      <c r="BNO31" s="129"/>
      <c r="BNP31" s="129"/>
      <c r="BNQ31" s="129"/>
      <c r="BNR31" s="128"/>
      <c r="BNS31" s="128"/>
      <c r="BNT31" s="128"/>
      <c r="BNU31" s="128"/>
      <c r="BNV31" s="128"/>
      <c r="BNW31" s="128"/>
      <c r="BNX31" s="129"/>
      <c r="BNY31" s="129"/>
      <c r="BNZ31" s="129"/>
      <c r="BOA31" s="129"/>
      <c r="BOB31" s="129"/>
      <c r="BOC31" s="129"/>
      <c r="BOD31" s="129"/>
      <c r="BOE31" s="129"/>
      <c r="BOF31" s="129"/>
      <c r="BOG31" s="129"/>
      <c r="BOH31" s="129"/>
      <c r="BOI31" s="129"/>
      <c r="BOJ31" s="129"/>
      <c r="BOK31" s="129"/>
      <c r="BOL31" s="129"/>
      <c r="BOM31" s="129"/>
      <c r="BON31" s="129"/>
      <c r="BOO31" s="129"/>
      <c r="BOP31" s="129"/>
      <c r="BOQ31" s="129"/>
      <c r="BOR31" s="129"/>
      <c r="BOS31" s="129"/>
      <c r="BOT31" s="129"/>
      <c r="BOU31" s="129"/>
      <c r="BOV31" s="129"/>
      <c r="BOW31" s="129"/>
      <c r="BOX31" s="129"/>
      <c r="BOY31" s="129"/>
      <c r="BOZ31" s="128"/>
      <c r="BPA31" s="128"/>
      <c r="BPB31" s="128"/>
      <c r="BPC31" s="128"/>
      <c r="BPD31" s="128"/>
      <c r="BPE31" s="128"/>
      <c r="BPF31" s="128"/>
      <c r="COP31" s="128" t="str">
        <f ca="1">VLOOKUP(5,INDIRECT("Closed"&amp;'Character Creation'!$Z$14),2,FALSE)</f>
        <v>Living Change</v>
      </c>
      <c r="COQ31" s="128"/>
      <c r="COR31" s="128"/>
      <c r="COS31" s="128"/>
      <c r="COT31" s="128"/>
      <c r="COU31" s="128"/>
      <c r="COV31" s="128"/>
      <c r="COW31" s="128"/>
      <c r="COX31" s="128"/>
      <c r="COY31" s="128"/>
      <c r="COZ31" s="128"/>
      <c r="CPA31" s="128"/>
      <c r="CPB31" s="128"/>
      <c r="CPC31" s="128"/>
      <c r="CPD31" s="128"/>
      <c r="CPE31" s="128"/>
      <c r="CPF31" s="128"/>
      <c r="CPG31" s="128"/>
      <c r="CPH31" s="128"/>
      <c r="CPI31" s="128"/>
      <c r="CPJ31" s="128"/>
      <c r="CPK31" s="128"/>
      <c r="CPL31" s="128"/>
      <c r="CPM31" s="128"/>
      <c r="CPN31" s="128"/>
      <c r="CPO31" s="128"/>
      <c r="CPP31" s="128"/>
      <c r="CPQ31" s="128"/>
      <c r="CPR31" s="128"/>
      <c r="CPS31" s="128"/>
      <c r="CPT31" s="128"/>
      <c r="CPU31" s="129"/>
      <c r="CPV31" s="129"/>
      <c r="CPW31" s="129"/>
      <c r="CPX31" s="129"/>
      <c r="CPY31" s="129"/>
      <c r="CPZ31" s="129"/>
      <c r="CQA31" s="129"/>
      <c r="CQB31" s="129"/>
      <c r="CQC31" s="129"/>
      <c r="CQD31" s="129"/>
      <c r="CQE31" s="129"/>
      <c r="CQF31" s="129"/>
      <c r="CQG31" s="129"/>
      <c r="CQH31" s="129"/>
      <c r="CQI31" s="129"/>
      <c r="CQJ31" s="129"/>
      <c r="CQK31" s="129"/>
      <c r="CQL31" s="129"/>
      <c r="CQM31" s="129"/>
      <c r="CQN31" s="129"/>
      <c r="CQO31" s="129"/>
      <c r="CQP31" s="128"/>
      <c r="CQQ31" s="128"/>
      <c r="CQR31" s="128"/>
      <c r="CQS31" s="128"/>
      <c r="CQT31" s="128"/>
      <c r="CQU31" s="128"/>
      <c r="CQV31" s="129"/>
      <c r="CQW31" s="129"/>
      <c r="CQX31" s="129"/>
      <c r="CQY31" s="129"/>
      <c r="CQZ31" s="129"/>
      <c r="CRA31" s="129"/>
      <c r="CRB31" s="129"/>
      <c r="CRC31" s="129"/>
      <c r="CRD31" s="129"/>
      <c r="CRE31" s="129"/>
      <c r="CRF31" s="129"/>
      <c r="CRG31" s="129"/>
      <c r="CRH31" s="129"/>
      <c r="CRI31" s="129"/>
      <c r="CRJ31" s="129"/>
      <c r="CRK31" s="129"/>
      <c r="CRL31" s="129"/>
      <c r="CRM31" s="129"/>
      <c r="CRN31" s="129"/>
      <c r="CRO31" s="129"/>
      <c r="CRP31" s="129"/>
      <c r="CRQ31" s="129"/>
      <c r="CRR31" s="129"/>
      <c r="CRS31" s="129"/>
      <c r="CRT31" s="129"/>
      <c r="CRU31" s="129"/>
      <c r="CRV31" s="129"/>
      <c r="CRW31" s="129"/>
      <c r="CRX31" s="128"/>
      <c r="CRY31" s="128"/>
      <c r="CRZ31" s="128"/>
      <c r="CSA31" s="128"/>
      <c r="CSB31" s="128"/>
      <c r="CSC31" s="128"/>
      <c r="CSD31" s="128"/>
      <c r="CSF31" s="128" t="s">
        <v>456</v>
      </c>
      <c r="CSG31" s="128"/>
      <c r="CSH31" s="128"/>
      <c r="CSI31" s="128"/>
      <c r="CSJ31" s="128"/>
      <c r="CSK31" s="128"/>
      <c r="CSL31" s="128"/>
      <c r="CSM31" s="128"/>
      <c r="CSN31" s="128"/>
      <c r="CSO31" s="128"/>
      <c r="CSP31" s="128"/>
      <c r="CSQ31" s="128"/>
      <c r="CSR31" s="128"/>
      <c r="CSS31" s="128"/>
      <c r="CST31" s="128"/>
      <c r="CSU31" s="128"/>
      <c r="CSV31" s="128"/>
      <c r="CSW31" s="128"/>
      <c r="CSX31" s="128"/>
      <c r="CSY31" s="128"/>
      <c r="CSZ31" s="128"/>
      <c r="CTA31" s="128"/>
      <c r="CTB31" s="128"/>
      <c r="CTC31" s="128"/>
      <c r="CTD31" s="128"/>
      <c r="CTE31" s="128"/>
      <c r="CTF31" s="128"/>
      <c r="CTG31" s="128"/>
      <c r="CTH31" s="128"/>
      <c r="CTI31" s="128"/>
      <c r="CTJ31" s="128"/>
      <c r="CTK31" s="129"/>
      <c r="CTL31" s="129"/>
      <c r="CTM31" s="129"/>
      <c r="CTN31" s="129"/>
      <c r="CTO31" s="129"/>
      <c r="CTP31" s="129"/>
      <c r="CTQ31" s="129"/>
      <c r="CTR31" s="129"/>
      <c r="CTS31" s="129"/>
      <c r="CTT31" s="129"/>
      <c r="CTU31" s="129"/>
      <c r="CTV31" s="129"/>
      <c r="CTW31" s="129"/>
      <c r="CTX31" s="129"/>
      <c r="CTY31" s="129"/>
      <c r="CTZ31" s="129"/>
      <c r="CUA31" s="129"/>
      <c r="CUB31" s="129"/>
      <c r="CUC31" s="129"/>
      <c r="CUD31" s="129"/>
      <c r="CUE31" s="129"/>
      <c r="CUF31" s="128"/>
      <c r="CUG31" s="128"/>
      <c r="CUH31" s="128"/>
      <c r="CUI31" s="128"/>
      <c r="CUJ31" s="128"/>
      <c r="CUK31" s="128"/>
      <c r="CUL31" s="129"/>
      <c r="CUM31" s="129"/>
      <c r="CUN31" s="129"/>
      <c r="CUO31" s="129"/>
      <c r="CUP31" s="129"/>
      <c r="CUQ31" s="129"/>
      <c r="CUR31" s="129"/>
      <c r="CUS31" s="129"/>
      <c r="CUT31" s="129"/>
      <c r="CUU31" s="129"/>
      <c r="CUV31" s="129"/>
      <c r="CUW31" s="129"/>
      <c r="CUX31" s="129"/>
      <c r="CUY31" s="129"/>
      <c r="CUZ31" s="129"/>
      <c r="CVA31" s="129"/>
      <c r="CVB31" s="129"/>
      <c r="CVC31" s="129"/>
      <c r="CVD31" s="129"/>
      <c r="CVE31" s="129"/>
      <c r="CVF31" s="129"/>
      <c r="CVG31" s="129"/>
      <c r="CVH31" s="129"/>
      <c r="CVI31" s="129"/>
      <c r="CVJ31" s="129"/>
      <c r="CVK31" s="129"/>
      <c r="CVL31" s="129"/>
      <c r="CVM31" s="129"/>
      <c r="CVN31" s="128"/>
      <c r="CVO31" s="128"/>
      <c r="CVP31" s="128"/>
      <c r="CVQ31" s="128"/>
      <c r="CVR31" s="128"/>
      <c r="CVS31" s="128"/>
      <c r="CVT31" s="128"/>
      <c r="DDB31" s="128" t="s">
        <v>536</v>
      </c>
      <c r="DDC31" s="128"/>
      <c r="DDD31" s="128"/>
      <c r="DDE31" s="128"/>
      <c r="DDF31" s="128"/>
      <c r="DDG31" s="128"/>
      <c r="DDH31" s="128"/>
      <c r="DDI31" s="128"/>
      <c r="DDJ31" s="128"/>
      <c r="DDK31" s="128"/>
      <c r="DDL31" s="128"/>
      <c r="DDM31" s="128"/>
      <c r="DDN31" s="128"/>
      <c r="DDO31" s="128"/>
      <c r="DDP31" s="128"/>
      <c r="DDQ31" s="128"/>
      <c r="DDR31" s="128"/>
      <c r="DDS31" s="128"/>
      <c r="DDT31" s="128"/>
      <c r="DDU31" s="128"/>
      <c r="DDV31" s="128"/>
      <c r="DDW31" s="128"/>
      <c r="DDX31" s="128"/>
      <c r="DDY31" s="128"/>
      <c r="DDZ31" s="128"/>
      <c r="DEA31" s="128"/>
      <c r="DEB31" s="128"/>
      <c r="DEC31" s="128"/>
      <c r="DED31" s="128"/>
      <c r="DEE31" s="128"/>
      <c r="DEF31" s="128"/>
      <c r="DEG31" s="129"/>
      <c r="DEH31" s="129"/>
      <c r="DEI31" s="129"/>
      <c r="DEJ31" s="129"/>
      <c r="DEK31" s="129"/>
      <c r="DEL31" s="129"/>
      <c r="DEM31" s="129"/>
      <c r="DEN31" s="129"/>
      <c r="DEO31" s="129"/>
      <c r="DEP31" s="129"/>
      <c r="DEQ31" s="129"/>
      <c r="DER31" s="129"/>
      <c r="DES31" s="129"/>
      <c r="DET31" s="129"/>
      <c r="DEU31" s="129"/>
      <c r="DEV31" s="129"/>
      <c r="DEW31" s="129"/>
      <c r="DEX31" s="129"/>
      <c r="DEY31" s="129"/>
      <c r="DEZ31" s="129"/>
      <c r="DFA31" s="129"/>
      <c r="DFB31" s="128"/>
      <c r="DFC31" s="128"/>
      <c r="DFD31" s="128"/>
      <c r="DFE31" s="128"/>
      <c r="DFF31" s="128"/>
      <c r="DFG31" s="128"/>
      <c r="DFH31" s="129"/>
      <c r="DFI31" s="129"/>
      <c r="DFJ31" s="129"/>
      <c r="DFK31" s="129"/>
      <c r="DFL31" s="129"/>
      <c r="DFM31" s="129"/>
      <c r="DFN31" s="129"/>
      <c r="DFO31" s="129"/>
      <c r="DFP31" s="129"/>
      <c r="DFQ31" s="129"/>
      <c r="DFR31" s="129"/>
      <c r="DFS31" s="129"/>
      <c r="DFT31" s="129"/>
      <c r="DFU31" s="129"/>
      <c r="DFV31" s="129"/>
      <c r="DFW31" s="129"/>
      <c r="DFX31" s="129"/>
      <c r="DFY31" s="129"/>
      <c r="DFZ31" s="129"/>
      <c r="DGA31" s="129"/>
      <c r="DGB31" s="129"/>
      <c r="DGC31" s="129"/>
      <c r="DGD31" s="129"/>
      <c r="DGE31" s="129"/>
      <c r="DGF31" s="129"/>
      <c r="DGG31" s="129"/>
      <c r="DGH31" s="129"/>
      <c r="DGI31" s="129"/>
      <c r="DGJ31" s="128"/>
      <c r="DGK31" s="128"/>
      <c r="DGL31" s="128"/>
      <c r="DGM31" s="128"/>
      <c r="DGN31" s="128"/>
      <c r="DGO31" s="128"/>
      <c r="DGP31" s="128"/>
      <c r="DGR31" s="128" t="s">
        <v>577</v>
      </c>
      <c r="DGS31" s="128"/>
      <c r="DGT31" s="128"/>
      <c r="DGU31" s="128"/>
      <c r="DGV31" s="128"/>
      <c r="DGW31" s="128"/>
      <c r="DGX31" s="128"/>
      <c r="DGY31" s="128"/>
      <c r="DGZ31" s="128"/>
      <c r="DHA31" s="128"/>
      <c r="DHB31" s="128"/>
      <c r="DHC31" s="128"/>
      <c r="DHD31" s="128"/>
      <c r="DHE31" s="128"/>
      <c r="DHF31" s="128"/>
      <c r="DHG31" s="128"/>
      <c r="DHH31" s="128"/>
      <c r="DHI31" s="128"/>
      <c r="DHJ31" s="128"/>
      <c r="DHK31" s="128"/>
      <c r="DHL31" s="128"/>
      <c r="DHM31" s="128"/>
      <c r="DHN31" s="128"/>
      <c r="DHO31" s="128"/>
      <c r="DHP31" s="128"/>
      <c r="DHQ31" s="128"/>
      <c r="DHR31" s="128"/>
      <c r="DHS31" s="128"/>
      <c r="DHT31" s="128"/>
      <c r="DHU31" s="128"/>
      <c r="DHV31" s="128"/>
      <c r="DHW31" s="129"/>
      <c r="DHX31" s="129"/>
      <c r="DHY31" s="129"/>
      <c r="DHZ31" s="129"/>
      <c r="DIA31" s="129"/>
      <c r="DIB31" s="129"/>
      <c r="DIC31" s="129"/>
      <c r="DID31" s="129"/>
      <c r="DIE31" s="129"/>
      <c r="DIF31" s="129"/>
      <c r="DIG31" s="129"/>
      <c r="DIH31" s="129"/>
      <c r="DII31" s="129"/>
      <c r="DIJ31" s="129"/>
      <c r="DIK31" s="129"/>
      <c r="DIL31" s="129"/>
      <c r="DIM31" s="129"/>
      <c r="DIN31" s="129"/>
      <c r="DIO31" s="129"/>
      <c r="DIP31" s="129"/>
      <c r="DIQ31" s="129"/>
      <c r="DIR31" s="128"/>
      <c r="DIS31" s="128"/>
      <c r="DIT31" s="128"/>
      <c r="DIU31" s="128"/>
      <c r="DIV31" s="128"/>
      <c r="DIW31" s="128"/>
      <c r="DIX31" s="129"/>
      <c r="DIY31" s="129"/>
      <c r="DIZ31" s="129"/>
      <c r="DJA31" s="129"/>
      <c r="DJB31" s="129"/>
      <c r="DJC31" s="129"/>
      <c r="DJD31" s="129"/>
      <c r="DJE31" s="129"/>
      <c r="DJF31" s="129"/>
      <c r="DJG31" s="129"/>
      <c r="DJH31" s="129"/>
      <c r="DJI31" s="129"/>
      <c r="DJJ31" s="129"/>
      <c r="DJK31" s="129"/>
      <c r="DJL31" s="129"/>
      <c r="DJM31" s="129"/>
      <c r="DJN31" s="129"/>
      <c r="DJO31" s="129"/>
      <c r="DJP31" s="129"/>
      <c r="DJQ31" s="129"/>
      <c r="DJR31" s="129"/>
      <c r="DJS31" s="129"/>
      <c r="DJT31" s="129"/>
      <c r="DJU31" s="129"/>
      <c r="DJV31" s="129"/>
      <c r="DJW31" s="129"/>
      <c r="DJX31" s="129"/>
      <c r="DJY31" s="129"/>
      <c r="DJZ31" s="128"/>
      <c r="DKA31" s="128"/>
      <c r="DKB31" s="128"/>
      <c r="DKC31" s="128"/>
      <c r="DKD31" s="128"/>
      <c r="DKE31" s="128"/>
      <c r="DKF31" s="128"/>
    </row>
    <row r="32" spans="2:1022 1118:1774 2152:2996" ht="15" customHeight="1" x14ac:dyDescent="0.25">
      <c r="B32" s="135">
        <v>7</v>
      </c>
      <c r="C32" s="136"/>
      <c r="D32" s="136"/>
      <c r="E32" s="136" t="str">
        <f>IFERROR(VLOOKUP(B32,Calculations!$DH$3:$DJ$127,3,FALSE),"")</f>
        <v/>
      </c>
      <c r="F32" s="136"/>
      <c r="G32" s="136"/>
      <c r="H32" s="136"/>
      <c r="I32" s="136"/>
      <c r="J32" s="136"/>
      <c r="K32" s="136"/>
      <c r="L32" s="136"/>
      <c r="M32" s="136"/>
      <c r="N32" s="136"/>
      <c r="O32" s="136"/>
      <c r="P32" s="136"/>
      <c r="Q32" s="136"/>
      <c r="R32" s="136"/>
      <c r="S32" s="136"/>
      <c r="T32" s="136"/>
      <c r="U32" s="136"/>
      <c r="V32" s="136"/>
      <c r="W32" s="136"/>
      <c r="X32" s="136"/>
      <c r="Y32" s="136"/>
      <c r="Z32" s="136"/>
      <c r="AA32" s="136"/>
      <c r="AB32" s="136"/>
      <c r="AC32" s="136"/>
      <c r="AD32" s="136"/>
      <c r="AE32" s="136"/>
      <c r="AF32" s="136"/>
      <c r="AG32" s="200" t="str">
        <f>IFERROR(VLOOKUP(B32,Calculations!$DH$3:$DX$200,17,FALSE),"")</f>
        <v/>
      </c>
      <c r="AH32" s="131"/>
      <c r="AI32" s="131"/>
      <c r="AJ32" s="131"/>
      <c r="AK32" s="131"/>
      <c r="AL32" s="131"/>
      <c r="AM32" s="131"/>
      <c r="AN32" s="131"/>
      <c r="AO32" s="131"/>
      <c r="AP32" s="131"/>
      <c r="AQ32" s="131"/>
      <c r="AR32" s="131"/>
      <c r="AS32" s="131"/>
      <c r="AT32" s="131"/>
      <c r="AU32" s="131"/>
      <c r="AV32" s="131"/>
      <c r="AW32" s="131"/>
      <c r="AX32" s="131"/>
      <c r="AY32" s="131"/>
      <c r="AZ32" s="131"/>
      <c r="BA32" s="201"/>
      <c r="BB32" s="226" t="str">
        <f>IFERROR(IFERROR((VLOOKUP(E32,Calculations!$DR$3:$EJ$200,19,FALSE)),0)+VLOOKUP(B32,Calculations!$DH$3:$DN$200,7,FALSE)+CG32+CO32+IFERROR(VLOOKUP((LEFT(E32,FIND("(",E32)-2)),Calculations!$DJ$3:$EJ$200,26,FALSE),0),"")</f>
        <v/>
      </c>
      <c r="BC32" s="226"/>
      <c r="BD32" s="226"/>
      <c r="BE32" s="226"/>
      <c r="BF32" s="226"/>
      <c r="BG32" s="226"/>
      <c r="BH32" s="226"/>
      <c r="BI32" s="131" t="str">
        <f>IFERROR("x "&amp;VLOOKUP(B32,Calculations!$DH$3:$DY$200,18,FALSE),"")</f>
        <v/>
      </c>
      <c r="BJ32" s="131"/>
      <c r="BK32" s="131"/>
      <c r="BL32" s="131"/>
      <c r="BM32" s="131"/>
      <c r="BN32" s="131"/>
      <c r="BO32" s="131"/>
      <c r="BP32" s="131"/>
      <c r="BQ32" s="131" t="str">
        <f>IFERROR(VLOOKUP(B32,Calculations!$DH$3:$EE$200,22,FALSE),"")</f>
        <v/>
      </c>
      <c r="BR32" s="131"/>
      <c r="BS32" s="131"/>
      <c r="BT32" s="131"/>
      <c r="BU32" s="131"/>
      <c r="BV32" s="131"/>
      <c r="BW32" s="131"/>
      <c r="BX32" s="131"/>
      <c r="BY32" s="131" t="str">
        <f>IFERROR(VLOOKUP(B32,Calculations!$DH$3:$EA$200,19,FALSE)-ROUNDDOWN((CO32/5),0),"")</f>
        <v/>
      </c>
      <c r="BZ32" s="131"/>
      <c r="CA32" s="131"/>
      <c r="CB32" s="131"/>
      <c r="CC32" s="131"/>
      <c r="CD32" s="131"/>
      <c r="CE32" s="131"/>
      <c r="CF32" s="131"/>
      <c r="CG32" s="194">
        <v>0</v>
      </c>
      <c r="CH32" s="194"/>
      <c r="CI32" s="194"/>
      <c r="CJ32" s="194"/>
      <c r="CK32" s="194"/>
      <c r="CL32" s="194"/>
      <c r="CM32" s="194"/>
      <c r="CN32" s="194"/>
      <c r="CO32" s="194">
        <v>0</v>
      </c>
      <c r="CP32" s="194"/>
      <c r="CQ32" s="194"/>
      <c r="CR32" s="194"/>
      <c r="CS32" s="194"/>
      <c r="CT32" s="194"/>
      <c r="CU32" s="194"/>
      <c r="CV32" s="194"/>
      <c r="CW32" s="131" t="str">
        <f>IF(E32="","",IFERROR(VLOOKUP(B32,Calculations!$DH$3:$ED$200,23,FALSE)+CO32+CG32,"- -"))</f>
        <v/>
      </c>
      <c r="CX32" s="131"/>
      <c r="CY32" s="131"/>
      <c r="CZ32" s="131"/>
      <c r="DA32" s="131"/>
      <c r="DB32" s="131"/>
      <c r="DC32" s="131"/>
      <c r="DD32" s="131"/>
      <c r="DE32" s="199" t="str">
        <f>IF(E32="","",IFERROR(VLOOKUP(B32,Calculations!$DH$3:$EE$200,24,FALSE),"- -"))</f>
        <v/>
      </c>
      <c r="DF32" s="131"/>
      <c r="DG32" s="131"/>
      <c r="DH32" s="131"/>
      <c r="DI32" s="131"/>
      <c r="DJ32" s="131"/>
      <c r="DK32" s="131"/>
      <c r="DL32" s="131"/>
      <c r="DM32" s="199" t="str">
        <f>IF(E32="","",IFERROR(VLOOKUP(B32,Calculations!$DH$3:$EJ$200,25,FALSE),"- -"))</f>
        <v/>
      </c>
      <c r="DN32" s="131"/>
      <c r="DO32" s="131"/>
      <c r="DP32" s="131"/>
      <c r="DQ32" s="131"/>
      <c r="DR32" s="131"/>
      <c r="DS32" s="131"/>
      <c r="DT32" s="131"/>
      <c r="DU32" s="131" t="str">
        <f t="shared" si="10"/>
        <v/>
      </c>
      <c r="DV32" s="131"/>
      <c r="DW32" s="131"/>
      <c r="DX32" s="131"/>
      <c r="DY32" s="131"/>
      <c r="DZ32" s="131"/>
      <c r="EA32" s="131"/>
      <c r="EB32" s="131"/>
      <c r="EC32" s="131" t="str">
        <f t="shared" si="11"/>
        <v/>
      </c>
      <c r="ED32" s="131"/>
      <c r="EE32" s="131"/>
      <c r="EF32" s="131"/>
      <c r="EG32" s="131"/>
      <c r="EH32" s="131"/>
      <c r="EI32" s="131"/>
      <c r="EJ32" s="131"/>
      <c r="EK32" s="131" t="str">
        <f t="shared" si="12"/>
        <v/>
      </c>
      <c r="EL32" s="131"/>
      <c r="EM32" s="131"/>
      <c r="EN32" s="131"/>
      <c r="EO32" s="131"/>
      <c r="EP32" s="131"/>
      <c r="EQ32" s="131"/>
      <c r="ER32" s="131"/>
      <c r="ES32" s="131" t="str">
        <f t="shared" si="13"/>
        <v/>
      </c>
      <c r="ET32" s="131"/>
      <c r="EU32" s="131"/>
      <c r="EV32" s="131"/>
      <c r="EW32" s="131"/>
      <c r="EX32" s="131"/>
      <c r="EY32" s="131"/>
      <c r="EZ32" s="239"/>
      <c r="FB32" s="139"/>
      <c r="FC32" s="140"/>
      <c r="FD32" s="140"/>
      <c r="FE32" s="140"/>
      <c r="FF32" s="140"/>
      <c r="FG32" s="140"/>
      <c r="FH32" s="140"/>
      <c r="FI32" s="140"/>
      <c r="FJ32" s="140"/>
      <c r="FK32" s="140"/>
      <c r="FL32" s="140"/>
      <c r="FM32" s="140"/>
      <c r="FN32" s="140"/>
      <c r="FO32" s="140"/>
      <c r="FP32" s="140"/>
      <c r="FQ32" s="140"/>
      <c r="FR32" s="140"/>
      <c r="FS32" s="140"/>
      <c r="FT32" s="140"/>
      <c r="FU32" s="140"/>
      <c r="FV32" s="140"/>
      <c r="FW32" s="140"/>
      <c r="FX32" s="140"/>
      <c r="FY32" s="140"/>
      <c r="FZ32" s="140"/>
      <c r="GA32" s="140"/>
      <c r="GB32" s="140"/>
      <c r="GC32" s="140"/>
      <c r="GD32" s="140"/>
      <c r="GE32" s="140"/>
      <c r="GF32" s="140"/>
      <c r="GG32" s="140"/>
      <c r="GH32" s="140"/>
      <c r="GI32" s="140"/>
      <c r="GJ32" s="140"/>
      <c r="GK32" s="140"/>
      <c r="GL32" s="140"/>
      <c r="GM32" s="140"/>
      <c r="GN32" s="140"/>
      <c r="GO32" s="140"/>
      <c r="GP32" s="140"/>
      <c r="GQ32" s="140"/>
      <c r="GR32" s="140"/>
      <c r="GS32" s="140"/>
      <c r="GT32" s="141">
        <v>0</v>
      </c>
      <c r="GU32" s="141"/>
      <c r="GV32" s="141"/>
      <c r="GW32" s="141"/>
      <c r="GX32" s="141"/>
      <c r="GY32" s="141"/>
      <c r="GZ32" s="141"/>
      <c r="HA32" s="141"/>
      <c r="HB32" s="142" t="str">
        <f>IFERROR(ROUND(Calculations!BV33*GT32,2),"")</f>
        <v/>
      </c>
      <c r="HC32" s="142"/>
      <c r="HD32" s="142"/>
      <c r="HE32" s="142"/>
      <c r="HF32" s="142"/>
      <c r="HG32" s="142"/>
      <c r="HH32" s="142"/>
      <c r="HI32" s="142"/>
      <c r="HJ32" s="142">
        <f>IFERROR(Calculations!BS33+IQ32+IX32,"")</f>
        <v>0</v>
      </c>
      <c r="HK32" s="142"/>
      <c r="HL32" s="142"/>
      <c r="HM32" s="142"/>
      <c r="HN32" s="142"/>
      <c r="HO32" s="142"/>
      <c r="HP32" s="142"/>
      <c r="HQ32" s="142"/>
      <c r="HR32" s="142" t="str">
        <f t="shared" si="9"/>
        <v/>
      </c>
      <c r="HS32" s="142"/>
      <c r="HT32" s="142"/>
      <c r="HU32" s="142"/>
      <c r="HV32" s="142"/>
      <c r="HW32" s="142"/>
      <c r="HX32" s="142"/>
      <c r="HY32" s="142"/>
      <c r="HZ32" s="142" t="str">
        <f>IFERROR(Calculations!BX33,"")</f>
        <v/>
      </c>
      <c r="IA32" s="142"/>
      <c r="IB32" s="142"/>
      <c r="IC32" s="142"/>
      <c r="ID32" s="142"/>
      <c r="IE32" s="142"/>
      <c r="IF32" s="142"/>
      <c r="IG32" s="142"/>
      <c r="IH32" s="142"/>
      <c r="II32" s="142"/>
      <c r="IJ32" s="142" t="str">
        <f>IFERROR(Calculations!BR33+IX32,"")</f>
        <v/>
      </c>
      <c r="IK32" s="142"/>
      <c r="IL32" s="142"/>
      <c r="IM32" s="142"/>
      <c r="IN32" s="142"/>
      <c r="IO32" s="142"/>
      <c r="IP32" s="142"/>
      <c r="IQ32" s="141">
        <v>0</v>
      </c>
      <c r="IR32" s="141"/>
      <c r="IS32" s="141"/>
      <c r="IT32" s="141"/>
      <c r="IU32" s="141"/>
      <c r="IV32" s="141"/>
      <c r="IW32" s="141"/>
      <c r="IX32" s="141">
        <v>0</v>
      </c>
      <c r="IY32" s="141"/>
      <c r="IZ32" s="141"/>
      <c r="JA32" s="141"/>
      <c r="JB32" s="141"/>
      <c r="JC32" s="141"/>
      <c r="JD32" s="141"/>
      <c r="JE32" s="141"/>
      <c r="JF32" s="142"/>
      <c r="JG32" s="142"/>
      <c r="JH32" s="142"/>
      <c r="JI32" s="142"/>
      <c r="JJ32" s="142"/>
      <c r="JK32" s="143" t="str">
        <f>Calculations!AS33</f>
        <v/>
      </c>
      <c r="JL32" s="143"/>
      <c r="JM32" s="143"/>
      <c r="JN32" s="143"/>
      <c r="JO32" s="143"/>
      <c r="JP32" s="143"/>
      <c r="JQ32" s="143"/>
      <c r="JR32" s="143"/>
      <c r="JS32" s="143"/>
      <c r="JT32" s="143"/>
      <c r="JU32" s="143"/>
      <c r="JV32" s="143"/>
      <c r="JW32" s="143"/>
      <c r="JX32" s="143"/>
      <c r="JY32" s="143"/>
      <c r="JZ32" s="143"/>
      <c r="KA32" s="143"/>
      <c r="KB32" s="143"/>
      <c r="KC32" s="143" t="str">
        <f>Calculations!AW33</f>
        <v/>
      </c>
      <c r="KD32" s="143"/>
      <c r="KE32" s="143"/>
      <c r="KF32" s="143"/>
      <c r="KG32" s="143"/>
      <c r="KH32" s="143"/>
      <c r="KI32" s="143"/>
      <c r="KJ32" s="143"/>
      <c r="KK32" s="143"/>
      <c r="KL32" s="143"/>
      <c r="KM32" s="143"/>
      <c r="KN32" s="143"/>
      <c r="KO32" s="143"/>
      <c r="KP32" s="143"/>
      <c r="KQ32" s="143"/>
      <c r="KR32" s="143"/>
      <c r="KS32" s="143"/>
      <c r="KT32" s="143"/>
      <c r="KU32" s="144" t="str">
        <f t="shared" si="7"/>
        <v/>
      </c>
      <c r="KV32" s="144"/>
      <c r="KW32" s="144"/>
      <c r="KX32" s="144"/>
      <c r="KY32" s="144"/>
      <c r="KZ32" s="144"/>
      <c r="LA32" s="144"/>
      <c r="LB32" s="144"/>
      <c r="LC32" s="144"/>
      <c r="LD32" s="144"/>
      <c r="LE32" s="144"/>
      <c r="LF32" s="144"/>
      <c r="LG32" s="144"/>
      <c r="LH32" s="144"/>
      <c r="LI32" s="144"/>
      <c r="LJ32" s="144"/>
      <c r="LK32" s="144"/>
      <c r="LL32" s="144"/>
      <c r="LM32" s="144"/>
      <c r="LN32" s="144"/>
      <c r="LO32" s="144"/>
      <c r="LP32" s="144"/>
      <c r="LQ32" s="144"/>
      <c r="LR32" s="144"/>
      <c r="LS32" s="144"/>
      <c r="LT32" s="144"/>
      <c r="LU32" s="144"/>
      <c r="LV32" s="144"/>
      <c r="LW32" s="144"/>
      <c r="LX32" s="144"/>
      <c r="LY32" s="144"/>
      <c r="LZ32" s="144"/>
      <c r="MA32" s="144"/>
      <c r="MB32" s="144"/>
      <c r="MC32" s="144"/>
      <c r="MD32" s="144"/>
      <c r="ME32" s="144"/>
      <c r="MF32" s="144"/>
      <c r="MG32" s="144"/>
      <c r="MH32" s="144"/>
      <c r="MI32" s="144"/>
      <c r="MJ32" s="144"/>
      <c r="MK32" s="144"/>
      <c r="ML32" s="144"/>
      <c r="MM32" s="144"/>
      <c r="MN32" s="144"/>
      <c r="MO32" s="144"/>
      <c r="MP32" s="144"/>
      <c r="MQ32" s="144"/>
      <c r="MR32" s="144"/>
      <c r="MS32" s="144"/>
      <c r="MT32" s="144"/>
      <c r="MU32" s="144"/>
      <c r="MV32" s="144"/>
      <c r="MW32" s="144"/>
      <c r="MX32" s="144"/>
      <c r="MY32" s="144"/>
      <c r="MZ32" s="145"/>
      <c r="APZ32" s="128" t="s">
        <v>249</v>
      </c>
      <c r="AQA32" s="128"/>
      <c r="AQB32" s="128"/>
      <c r="AQC32" s="128"/>
      <c r="AQD32" s="128"/>
      <c r="AQE32" s="128"/>
      <c r="AQF32" s="128"/>
      <c r="AQG32" s="128"/>
      <c r="AQH32" s="128"/>
      <c r="AQI32" s="128"/>
      <c r="AQJ32" s="128"/>
      <c r="AQK32" s="128"/>
      <c r="AQL32" s="128"/>
      <c r="AQM32" s="128"/>
      <c r="AQN32" s="128"/>
      <c r="AQO32" s="128"/>
      <c r="AQP32" s="128"/>
      <c r="AQQ32" s="128"/>
      <c r="AQR32" s="128"/>
      <c r="AQS32" s="128"/>
      <c r="AQT32" s="128"/>
      <c r="AQU32" s="128"/>
      <c r="AQV32" s="128"/>
      <c r="AQW32" s="128"/>
      <c r="AQX32" s="128"/>
      <c r="AQY32" s="128"/>
      <c r="AQZ32" s="128"/>
      <c r="ARA32" s="128"/>
      <c r="ARB32" s="128"/>
      <c r="ARC32" s="128"/>
      <c r="ARD32" s="128"/>
      <c r="ARE32" s="129"/>
      <c r="ARF32" s="129"/>
      <c r="ARG32" s="129"/>
      <c r="ARH32" s="129"/>
      <c r="ARI32" s="129"/>
      <c r="ARJ32" s="129"/>
      <c r="ARK32" s="129"/>
      <c r="ARL32" s="129"/>
      <c r="ARM32" s="129"/>
      <c r="ARN32" s="129"/>
      <c r="ARO32" s="129"/>
      <c r="ARP32" s="129"/>
      <c r="ARQ32" s="129"/>
      <c r="ARR32" s="129"/>
      <c r="ARS32" s="129"/>
      <c r="ART32" s="129"/>
      <c r="ARU32" s="129"/>
      <c r="ARV32" s="129"/>
      <c r="ARW32" s="129"/>
      <c r="ARX32" s="129"/>
      <c r="ARY32" s="129"/>
      <c r="ARZ32" s="128"/>
      <c r="ASA32" s="128"/>
      <c r="ASB32" s="128"/>
      <c r="ASC32" s="128"/>
      <c r="ASD32" s="128"/>
      <c r="ASE32" s="128"/>
      <c r="ASF32" s="129"/>
      <c r="ASG32" s="129"/>
      <c r="ASH32" s="129"/>
      <c r="ASI32" s="129"/>
      <c r="ASJ32" s="129"/>
      <c r="ASK32" s="129"/>
      <c r="ASL32" s="129"/>
      <c r="ASM32" s="129"/>
      <c r="ASN32" s="129"/>
      <c r="ASO32" s="129"/>
      <c r="ASP32" s="129"/>
      <c r="ASQ32" s="129"/>
      <c r="ASR32" s="129"/>
      <c r="ASS32" s="129"/>
      <c r="AST32" s="129"/>
      <c r="ASU32" s="129"/>
      <c r="ASV32" s="129"/>
      <c r="ASW32" s="129"/>
      <c r="ASX32" s="129"/>
      <c r="ASY32" s="129"/>
      <c r="ASZ32" s="129"/>
      <c r="ATA32" s="129"/>
      <c r="ATB32" s="129"/>
      <c r="ATC32" s="129"/>
      <c r="ATD32" s="129"/>
      <c r="ATE32" s="129"/>
      <c r="ATF32" s="129"/>
      <c r="ATG32" s="129"/>
      <c r="ATH32" s="128"/>
      <c r="ATI32" s="128"/>
      <c r="ATJ32" s="128"/>
      <c r="ATK32" s="128"/>
      <c r="ATL32" s="128"/>
      <c r="ATM32" s="128"/>
      <c r="ATN32" s="128"/>
      <c r="AXF32" s="128" t="s">
        <v>281</v>
      </c>
      <c r="AXG32" s="128"/>
      <c r="AXH32" s="128"/>
      <c r="AXI32" s="128"/>
      <c r="AXJ32" s="128"/>
      <c r="AXK32" s="128"/>
      <c r="AXL32" s="128"/>
      <c r="AXM32" s="128"/>
      <c r="AXN32" s="128"/>
      <c r="AXO32" s="128"/>
      <c r="AXP32" s="128"/>
      <c r="AXQ32" s="128"/>
      <c r="AXR32" s="128"/>
      <c r="AXS32" s="128"/>
      <c r="AXT32" s="128"/>
      <c r="AXU32" s="128"/>
      <c r="AXV32" s="128"/>
      <c r="AXW32" s="128"/>
      <c r="AXX32" s="128"/>
      <c r="AXY32" s="128"/>
      <c r="AXZ32" s="128"/>
      <c r="AYA32" s="128"/>
      <c r="AYB32" s="128"/>
      <c r="AYC32" s="128"/>
      <c r="AYD32" s="128"/>
      <c r="AYE32" s="128"/>
      <c r="AYF32" s="128"/>
      <c r="AYG32" s="128"/>
      <c r="AYH32" s="128"/>
      <c r="AYI32" s="128"/>
      <c r="AYJ32" s="128"/>
      <c r="AYK32" s="129"/>
      <c r="AYL32" s="129"/>
      <c r="AYM32" s="129"/>
      <c r="AYN32" s="129"/>
      <c r="AYO32" s="129"/>
      <c r="AYP32" s="129"/>
      <c r="AYQ32" s="129"/>
      <c r="AYR32" s="129"/>
      <c r="AYS32" s="129"/>
      <c r="AYT32" s="129"/>
      <c r="AYU32" s="129"/>
      <c r="AYV32" s="129"/>
      <c r="AYW32" s="129"/>
      <c r="AYX32" s="129"/>
      <c r="AYY32" s="129"/>
      <c r="AYZ32" s="129"/>
      <c r="AZA32" s="129"/>
      <c r="AZB32" s="129"/>
      <c r="AZC32" s="129"/>
      <c r="AZD32" s="129"/>
      <c r="AZE32" s="129"/>
      <c r="AZF32" s="128"/>
      <c r="AZG32" s="128"/>
      <c r="AZH32" s="128"/>
      <c r="AZI32" s="128"/>
      <c r="AZJ32" s="128"/>
      <c r="AZK32" s="128"/>
      <c r="AZL32" s="129"/>
      <c r="AZM32" s="129"/>
      <c r="AZN32" s="129"/>
      <c r="AZO32" s="129"/>
      <c r="AZP32" s="129"/>
      <c r="AZQ32" s="129"/>
      <c r="AZR32" s="129"/>
      <c r="AZS32" s="129"/>
      <c r="AZT32" s="129"/>
      <c r="AZU32" s="129"/>
      <c r="AZV32" s="129"/>
      <c r="AZW32" s="129"/>
      <c r="AZX32" s="129"/>
      <c r="AZY32" s="129"/>
      <c r="AZZ32" s="129"/>
      <c r="BAA32" s="129"/>
      <c r="BAB32" s="129"/>
      <c r="BAC32" s="129"/>
      <c r="BAD32" s="129"/>
      <c r="BAE32" s="129"/>
      <c r="BAF32" s="129"/>
      <c r="BAG32" s="129"/>
      <c r="BAH32" s="129"/>
      <c r="BAI32" s="129"/>
      <c r="BAJ32" s="129"/>
      <c r="BAK32" s="129"/>
      <c r="BAL32" s="129"/>
      <c r="BAM32" s="129"/>
      <c r="BAN32" s="128"/>
      <c r="BAO32" s="128"/>
      <c r="BAP32" s="128"/>
      <c r="BAQ32" s="128"/>
      <c r="BAR32" s="128"/>
      <c r="BAS32" s="128"/>
      <c r="BAT32" s="128"/>
      <c r="BAV32" s="128" t="s">
        <v>303</v>
      </c>
      <c r="BAW32" s="128"/>
      <c r="BAX32" s="128"/>
      <c r="BAY32" s="128"/>
      <c r="BAZ32" s="128"/>
      <c r="BBA32" s="128"/>
      <c r="BBB32" s="128"/>
      <c r="BBC32" s="128"/>
      <c r="BBD32" s="128"/>
      <c r="BBE32" s="128"/>
      <c r="BBF32" s="128"/>
      <c r="BBG32" s="128"/>
      <c r="BBH32" s="128"/>
      <c r="BBI32" s="128"/>
      <c r="BBJ32" s="128"/>
      <c r="BBK32" s="128"/>
      <c r="BBL32" s="128"/>
      <c r="BBM32" s="128"/>
      <c r="BBN32" s="128"/>
      <c r="BBO32" s="128"/>
      <c r="BBP32" s="128"/>
      <c r="BBQ32" s="128"/>
      <c r="BBR32" s="128"/>
      <c r="BBS32" s="128"/>
      <c r="BBT32" s="128"/>
      <c r="BBU32" s="128"/>
      <c r="BBV32" s="128"/>
      <c r="BBW32" s="128"/>
      <c r="BBX32" s="128"/>
      <c r="BBY32" s="128"/>
      <c r="BBZ32" s="128"/>
      <c r="BCA32" s="129"/>
      <c r="BCB32" s="129"/>
      <c r="BCC32" s="129"/>
      <c r="BCD32" s="129"/>
      <c r="BCE32" s="129"/>
      <c r="BCF32" s="129"/>
      <c r="BCG32" s="129"/>
      <c r="BCH32" s="129"/>
      <c r="BCI32" s="129"/>
      <c r="BCJ32" s="129"/>
      <c r="BCK32" s="129"/>
      <c r="BCL32" s="129"/>
      <c r="BCM32" s="129"/>
      <c r="BCN32" s="129"/>
      <c r="BCO32" s="129"/>
      <c r="BCP32" s="129"/>
      <c r="BCQ32" s="129"/>
      <c r="BCR32" s="129"/>
      <c r="BCS32" s="129"/>
      <c r="BCT32" s="129"/>
      <c r="BCU32" s="129"/>
      <c r="BCV32" s="128"/>
      <c r="BCW32" s="128"/>
      <c r="BCX32" s="128"/>
      <c r="BCY32" s="128"/>
      <c r="BCZ32" s="128"/>
      <c r="BDA32" s="128"/>
      <c r="BDB32" s="129"/>
      <c r="BDC32" s="129"/>
      <c r="BDD32" s="129"/>
      <c r="BDE32" s="129"/>
      <c r="BDF32" s="129"/>
      <c r="BDG32" s="129"/>
      <c r="BDH32" s="129"/>
      <c r="BDI32" s="129"/>
      <c r="BDJ32" s="129"/>
      <c r="BDK32" s="129"/>
      <c r="BDL32" s="129"/>
      <c r="BDM32" s="129"/>
      <c r="BDN32" s="129"/>
      <c r="BDO32" s="129"/>
      <c r="BDP32" s="129"/>
      <c r="BDQ32" s="129"/>
      <c r="BDR32" s="129"/>
      <c r="BDS32" s="129"/>
      <c r="BDT32" s="129"/>
      <c r="BDU32" s="129"/>
      <c r="BDV32" s="129"/>
      <c r="BDW32" s="129"/>
      <c r="BDX32" s="129"/>
      <c r="BDY32" s="129"/>
      <c r="BDZ32" s="129"/>
      <c r="BEA32" s="129"/>
      <c r="BEB32" s="129"/>
      <c r="BEC32" s="129"/>
      <c r="BED32" s="128"/>
      <c r="BEE32" s="128"/>
      <c r="BEF32" s="128"/>
      <c r="BEG32" s="128"/>
      <c r="BEH32" s="128"/>
      <c r="BEI32" s="128"/>
      <c r="BEJ32" s="128"/>
      <c r="COP32" s="128" t="str">
        <f ca="1">VLOOKUP(6,INDIRECT("Closed"&amp;'Character Creation'!$Z$14),2,FALSE)</f>
        <v>Lofty Bridge</v>
      </c>
      <c r="COQ32" s="128"/>
      <c r="COR32" s="128"/>
      <c r="COS32" s="128"/>
      <c r="COT32" s="128"/>
      <c r="COU32" s="128"/>
      <c r="COV32" s="128"/>
      <c r="COW32" s="128"/>
      <c r="COX32" s="128"/>
      <c r="COY32" s="128"/>
      <c r="COZ32" s="128"/>
      <c r="CPA32" s="128"/>
      <c r="CPB32" s="128"/>
      <c r="CPC32" s="128"/>
      <c r="CPD32" s="128"/>
      <c r="CPE32" s="128"/>
      <c r="CPF32" s="128"/>
      <c r="CPG32" s="128"/>
      <c r="CPH32" s="128"/>
      <c r="CPI32" s="128"/>
      <c r="CPJ32" s="128"/>
      <c r="CPK32" s="128"/>
      <c r="CPL32" s="128"/>
      <c r="CPM32" s="128"/>
      <c r="CPN32" s="128"/>
      <c r="CPO32" s="128"/>
      <c r="CPP32" s="128"/>
      <c r="CPQ32" s="128"/>
      <c r="CPR32" s="128"/>
      <c r="CPS32" s="128"/>
      <c r="CPT32" s="128"/>
      <c r="CPU32" s="129"/>
      <c r="CPV32" s="129"/>
      <c r="CPW32" s="129"/>
      <c r="CPX32" s="129"/>
      <c r="CPY32" s="129"/>
      <c r="CPZ32" s="129"/>
      <c r="CQA32" s="129"/>
      <c r="CQB32" s="129"/>
      <c r="CQC32" s="129"/>
      <c r="CQD32" s="129"/>
      <c r="CQE32" s="129"/>
      <c r="CQF32" s="129"/>
      <c r="CQG32" s="129"/>
      <c r="CQH32" s="129"/>
      <c r="CQI32" s="129"/>
      <c r="CQJ32" s="129"/>
      <c r="CQK32" s="129"/>
      <c r="CQL32" s="129"/>
      <c r="CQM32" s="129"/>
      <c r="CQN32" s="129"/>
      <c r="CQO32" s="129"/>
      <c r="CQP32" s="128"/>
      <c r="CQQ32" s="128"/>
      <c r="CQR32" s="128"/>
      <c r="CQS32" s="128"/>
      <c r="CQT32" s="128"/>
      <c r="CQU32" s="128"/>
      <c r="CQV32" s="129"/>
      <c r="CQW32" s="129"/>
      <c r="CQX32" s="129"/>
      <c r="CQY32" s="129"/>
      <c r="CQZ32" s="129"/>
      <c r="CRA32" s="129"/>
      <c r="CRB32" s="129"/>
      <c r="CRC32" s="129"/>
      <c r="CRD32" s="129"/>
      <c r="CRE32" s="129"/>
      <c r="CRF32" s="129"/>
      <c r="CRG32" s="129"/>
      <c r="CRH32" s="129"/>
      <c r="CRI32" s="129"/>
      <c r="CRJ32" s="129"/>
      <c r="CRK32" s="129"/>
      <c r="CRL32" s="129"/>
      <c r="CRM32" s="129"/>
      <c r="CRN32" s="129"/>
      <c r="CRO32" s="129"/>
      <c r="CRP32" s="129"/>
      <c r="CRQ32" s="129"/>
      <c r="CRR32" s="129"/>
      <c r="CRS32" s="129"/>
      <c r="CRT32" s="129"/>
      <c r="CRU32" s="129"/>
      <c r="CRV32" s="129"/>
      <c r="CRW32" s="129"/>
      <c r="CRX32" s="128"/>
      <c r="CRY32" s="128"/>
      <c r="CRZ32" s="128"/>
      <c r="CSA32" s="128"/>
      <c r="CSB32" s="128"/>
      <c r="CSC32" s="128"/>
      <c r="CSD32" s="128"/>
      <c r="CSF32" s="128" t="s">
        <v>457</v>
      </c>
      <c r="CSG32" s="128"/>
      <c r="CSH32" s="128"/>
      <c r="CSI32" s="128"/>
      <c r="CSJ32" s="128"/>
      <c r="CSK32" s="128"/>
      <c r="CSL32" s="128"/>
      <c r="CSM32" s="128"/>
      <c r="CSN32" s="128"/>
      <c r="CSO32" s="128"/>
      <c r="CSP32" s="128"/>
      <c r="CSQ32" s="128"/>
      <c r="CSR32" s="128"/>
      <c r="CSS32" s="128"/>
      <c r="CST32" s="128"/>
      <c r="CSU32" s="128"/>
      <c r="CSV32" s="128"/>
      <c r="CSW32" s="128"/>
      <c r="CSX32" s="128"/>
      <c r="CSY32" s="128"/>
      <c r="CSZ32" s="128"/>
      <c r="CTA32" s="128"/>
      <c r="CTB32" s="128"/>
      <c r="CTC32" s="128"/>
      <c r="CTD32" s="128"/>
      <c r="CTE32" s="128"/>
      <c r="CTF32" s="128"/>
      <c r="CTG32" s="128"/>
      <c r="CTH32" s="128"/>
      <c r="CTI32" s="128"/>
      <c r="CTJ32" s="128"/>
      <c r="CTK32" s="129"/>
      <c r="CTL32" s="129"/>
      <c r="CTM32" s="129"/>
      <c r="CTN32" s="129"/>
      <c r="CTO32" s="129"/>
      <c r="CTP32" s="129"/>
      <c r="CTQ32" s="129"/>
      <c r="CTR32" s="129"/>
      <c r="CTS32" s="129"/>
      <c r="CTT32" s="129"/>
      <c r="CTU32" s="129"/>
      <c r="CTV32" s="129"/>
      <c r="CTW32" s="129"/>
      <c r="CTX32" s="129"/>
      <c r="CTY32" s="129"/>
      <c r="CTZ32" s="129"/>
      <c r="CUA32" s="129"/>
      <c r="CUB32" s="129"/>
      <c r="CUC32" s="129"/>
      <c r="CUD32" s="129"/>
      <c r="CUE32" s="129"/>
      <c r="CUF32" s="128"/>
      <c r="CUG32" s="128"/>
      <c r="CUH32" s="128"/>
      <c r="CUI32" s="128"/>
      <c r="CUJ32" s="128"/>
      <c r="CUK32" s="128"/>
      <c r="CUL32" s="129"/>
      <c r="CUM32" s="129"/>
      <c r="CUN32" s="129"/>
      <c r="CUO32" s="129"/>
      <c r="CUP32" s="129"/>
      <c r="CUQ32" s="129"/>
      <c r="CUR32" s="129"/>
      <c r="CUS32" s="129"/>
      <c r="CUT32" s="129"/>
      <c r="CUU32" s="129"/>
      <c r="CUV32" s="129"/>
      <c r="CUW32" s="129"/>
      <c r="CUX32" s="129"/>
      <c r="CUY32" s="129"/>
      <c r="CUZ32" s="129"/>
      <c r="CVA32" s="129"/>
      <c r="CVB32" s="129"/>
      <c r="CVC32" s="129"/>
      <c r="CVD32" s="129"/>
      <c r="CVE32" s="129"/>
      <c r="CVF32" s="129"/>
      <c r="CVG32" s="129"/>
      <c r="CVH32" s="129"/>
      <c r="CVI32" s="129"/>
      <c r="CVJ32" s="129"/>
      <c r="CVK32" s="129"/>
      <c r="CVL32" s="129"/>
      <c r="CVM32" s="129"/>
      <c r="CVN32" s="128"/>
      <c r="CVO32" s="128"/>
      <c r="CVP32" s="128"/>
      <c r="CVQ32" s="128"/>
      <c r="CVR32" s="128"/>
      <c r="CVS32" s="128"/>
      <c r="CVT32" s="128"/>
      <c r="DDB32" s="128" t="s">
        <v>537</v>
      </c>
      <c r="DDC32" s="128"/>
      <c r="DDD32" s="128"/>
      <c r="DDE32" s="128"/>
      <c r="DDF32" s="128"/>
      <c r="DDG32" s="128"/>
      <c r="DDH32" s="128"/>
      <c r="DDI32" s="128"/>
      <c r="DDJ32" s="128"/>
      <c r="DDK32" s="128"/>
      <c r="DDL32" s="128"/>
      <c r="DDM32" s="128"/>
      <c r="DDN32" s="128"/>
      <c r="DDO32" s="128"/>
      <c r="DDP32" s="128"/>
      <c r="DDQ32" s="128"/>
      <c r="DDR32" s="128"/>
      <c r="DDS32" s="128"/>
      <c r="DDT32" s="128"/>
      <c r="DDU32" s="128"/>
      <c r="DDV32" s="128"/>
      <c r="DDW32" s="128"/>
      <c r="DDX32" s="128"/>
      <c r="DDY32" s="128"/>
      <c r="DDZ32" s="128"/>
      <c r="DEA32" s="128"/>
      <c r="DEB32" s="128"/>
      <c r="DEC32" s="128"/>
      <c r="DED32" s="128"/>
      <c r="DEE32" s="128"/>
      <c r="DEF32" s="128"/>
      <c r="DEG32" s="129"/>
      <c r="DEH32" s="129"/>
      <c r="DEI32" s="129"/>
      <c r="DEJ32" s="129"/>
      <c r="DEK32" s="129"/>
      <c r="DEL32" s="129"/>
      <c r="DEM32" s="129"/>
      <c r="DEN32" s="129"/>
      <c r="DEO32" s="129"/>
      <c r="DEP32" s="129"/>
      <c r="DEQ32" s="129"/>
      <c r="DER32" s="129"/>
      <c r="DES32" s="129"/>
      <c r="DET32" s="129"/>
      <c r="DEU32" s="129"/>
      <c r="DEV32" s="129"/>
      <c r="DEW32" s="129"/>
      <c r="DEX32" s="129"/>
      <c r="DEY32" s="129"/>
      <c r="DEZ32" s="129"/>
      <c r="DFA32" s="129"/>
      <c r="DFB32" s="128"/>
      <c r="DFC32" s="128"/>
      <c r="DFD32" s="128"/>
      <c r="DFE32" s="128"/>
      <c r="DFF32" s="128"/>
      <c r="DFG32" s="128"/>
      <c r="DFH32" s="129"/>
      <c r="DFI32" s="129"/>
      <c r="DFJ32" s="129"/>
      <c r="DFK32" s="129"/>
      <c r="DFL32" s="129"/>
      <c r="DFM32" s="129"/>
      <c r="DFN32" s="129"/>
      <c r="DFO32" s="129"/>
      <c r="DFP32" s="129"/>
      <c r="DFQ32" s="129"/>
      <c r="DFR32" s="129"/>
      <c r="DFS32" s="129"/>
      <c r="DFT32" s="129"/>
      <c r="DFU32" s="129"/>
      <c r="DFV32" s="129"/>
      <c r="DFW32" s="129"/>
      <c r="DFX32" s="129"/>
      <c r="DFY32" s="129"/>
      <c r="DFZ32" s="129"/>
      <c r="DGA32" s="129"/>
      <c r="DGB32" s="129"/>
      <c r="DGC32" s="129"/>
      <c r="DGD32" s="129"/>
      <c r="DGE32" s="129"/>
      <c r="DGF32" s="129"/>
      <c r="DGG32" s="129"/>
      <c r="DGH32" s="129"/>
      <c r="DGI32" s="129"/>
      <c r="DGJ32" s="128"/>
      <c r="DGK32" s="128"/>
      <c r="DGL32" s="128"/>
      <c r="DGM32" s="128"/>
      <c r="DGN32" s="128"/>
      <c r="DGO32" s="128"/>
      <c r="DGP32" s="128"/>
      <c r="DGR32" s="128" t="s">
        <v>578</v>
      </c>
      <c r="DGS32" s="128"/>
      <c r="DGT32" s="128"/>
      <c r="DGU32" s="128"/>
      <c r="DGV32" s="128"/>
      <c r="DGW32" s="128"/>
      <c r="DGX32" s="128"/>
      <c r="DGY32" s="128"/>
      <c r="DGZ32" s="128"/>
      <c r="DHA32" s="128"/>
      <c r="DHB32" s="128"/>
      <c r="DHC32" s="128"/>
      <c r="DHD32" s="128"/>
      <c r="DHE32" s="128"/>
      <c r="DHF32" s="128"/>
      <c r="DHG32" s="128"/>
      <c r="DHH32" s="128"/>
      <c r="DHI32" s="128"/>
      <c r="DHJ32" s="128"/>
      <c r="DHK32" s="128"/>
      <c r="DHL32" s="128"/>
      <c r="DHM32" s="128"/>
      <c r="DHN32" s="128"/>
      <c r="DHO32" s="128"/>
      <c r="DHP32" s="128"/>
      <c r="DHQ32" s="128"/>
      <c r="DHR32" s="128"/>
      <c r="DHS32" s="128"/>
      <c r="DHT32" s="128"/>
      <c r="DHU32" s="128"/>
      <c r="DHV32" s="128"/>
      <c r="DHW32" s="129"/>
      <c r="DHX32" s="129"/>
      <c r="DHY32" s="129"/>
      <c r="DHZ32" s="129"/>
      <c r="DIA32" s="129"/>
      <c r="DIB32" s="129"/>
      <c r="DIC32" s="129"/>
      <c r="DID32" s="129"/>
      <c r="DIE32" s="129"/>
      <c r="DIF32" s="129"/>
      <c r="DIG32" s="129"/>
      <c r="DIH32" s="129"/>
      <c r="DII32" s="129"/>
      <c r="DIJ32" s="129"/>
      <c r="DIK32" s="129"/>
      <c r="DIL32" s="129"/>
      <c r="DIM32" s="129"/>
      <c r="DIN32" s="129"/>
      <c r="DIO32" s="129"/>
      <c r="DIP32" s="129"/>
      <c r="DIQ32" s="129"/>
      <c r="DIR32" s="128"/>
      <c r="DIS32" s="128"/>
      <c r="DIT32" s="128"/>
      <c r="DIU32" s="128"/>
      <c r="DIV32" s="128"/>
      <c r="DIW32" s="128"/>
      <c r="DIX32" s="129"/>
      <c r="DIY32" s="129"/>
      <c r="DIZ32" s="129"/>
      <c r="DJA32" s="129"/>
      <c r="DJB32" s="129"/>
      <c r="DJC32" s="129"/>
      <c r="DJD32" s="129"/>
      <c r="DJE32" s="129"/>
      <c r="DJF32" s="129"/>
      <c r="DJG32" s="129"/>
      <c r="DJH32" s="129"/>
      <c r="DJI32" s="129"/>
      <c r="DJJ32" s="129"/>
      <c r="DJK32" s="129"/>
      <c r="DJL32" s="129"/>
      <c r="DJM32" s="129"/>
      <c r="DJN32" s="129"/>
      <c r="DJO32" s="129"/>
      <c r="DJP32" s="129"/>
      <c r="DJQ32" s="129"/>
      <c r="DJR32" s="129"/>
      <c r="DJS32" s="129"/>
      <c r="DJT32" s="129"/>
      <c r="DJU32" s="129"/>
      <c r="DJV32" s="129"/>
      <c r="DJW32" s="129"/>
      <c r="DJX32" s="129"/>
      <c r="DJY32" s="129"/>
      <c r="DJZ32" s="128"/>
      <c r="DKA32" s="128"/>
      <c r="DKB32" s="128"/>
      <c r="DKC32" s="128"/>
      <c r="DKD32" s="128"/>
      <c r="DKE32" s="128"/>
      <c r="DKF32" s="128"/>
    </row>
    <row r="33" spans="2:1022 1118:1774 2434:2996" ht="15" customHeight="1" x14ac:dyDescent="0.25">
      <c r="B33" s="133">
        <v>8</v>
      </c>
      <c r="C33" s="134"/>
      <c r="D33" s="134"/>
      <c r="E33" s="134" t="str">
        <f>IFERROR(VLOOKUP(B33,Calculations!$DH$3:$DJ$127,3,FALSE),"")</f>
        <v/>
      </c>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96" t="str">
        <f>IFERROR(VLOOKUP(B33,Calculations!$DH$3:$DX$200,17,FALSE),"")</f>
        <v/>
      </c>
      <c r="AH33" s="130"/>
      <c r="AI33" s="130"/>
      <c r="AJ33" s="130"/>
      <c r="AK33" s="130"/>
      <c r="AL33" s="130"/>
      <c r="AM33" s="130"/>
      <c r="AN33" s="130"/>
      <c r="AO33" s="130"/>
      <c r="AP33" s="130"/>
      <c r="AQ33" s="130"/>
      <c r="AR33" s="130"/>
      <c r="AS33" s="130"/>
      <c r="AT33" s="130"/>
      <c r="AU33" s="130"/>
      <c r="AV33" s="130"/>
      <c r="AW33" s="130"/>
      <c r="AX33" s="130"/>
      <c r="AY33" s="130"/>
      <c r="AZ33" s="130"/>
      <c r="BA33" s="197"/>
      <c r="BB33" s="210" t="str">
        <f>IFERROR(IFERROR((VLOOKUP(E33,Calculations!$DR$3:$EJ$200,19,FALSE)),0)+VLOOKUP(B33,Calculations!$DH$3:$DN$200,7,FALSE)+CG33+CO33+IFERROR(VLOOKUP((LEFT(E33,FIND("(",E33)-2)),Calculations!$DJ$3:$EJ$200,26,FALSE),0),"")</f>
        <v/>
      </c>
      <c r="BC33" s="210"/>
      <c r="BD33" s="210"/>
      <c r="BE33" s="210"/>
      <c r="BF33" s="210"/>
      <c r="BG33" s="210"/>
      <c r="BH33" s="210"/>
      <c r="BI33" s="130" t="str">
        <f>IFERROR("x "&amp;VLOOKUP(B33,Calculations!$DH$3:$DY$200,18,FALSE),"")</f>
        <v/>
      </c>
      <c r="BJ33" s="130"/>
      <c r="BK33" s="130"/>
      <c r="BL33" s="130"/>
      <c r="BM33" s="130"/>
      <c r="BN33" s="130"/>
      <c r="BO33" s="130"/>
      <c r="BP33" s="130"/>
      <c r="BQ33" s="130" t="str">
        <f>IFERROR(VLOOKUP(B33,Calculations!$DH$3:$EE$200,22,FALSE),"")</f>
        <v/>
      </c>
      <c r="BR33" s="130"/>
      <c r="BS33" s="130"/>
      <c r="BT33" s="130"/>
      <c r="BU33" s="130"/>
      <c r="BV33" s="130"/>
      <c r="BW33" s="130"/>
      <c r="BX33" s="130"/>
      <c r="BY33" s="130" t="str">
        <f>IFERROR(VLOOKUP(B33,Calculations!$DH$3:$EA$200,19,FALSE)-ROUNDDOWN((CO33/5),0),"")</f>
        <v/>
      </c>
      <c r="BZ33" s="130"/>
      <c r="CA33" s="130"/>
      <c r="CB33" s="130"/>
      <c r="CC33" s="130"/>
      <c r="CD33" s="130"/>
      <c r="CE33" s="130"/>
      <c r="CF33" s="130"/>
      <c r="CG33" s="195">
        <v>0</v>
      </c>
      <c r="CH33" s="195"/>
      <c r="CI33" s="195"/>
      <c r="CJ33" s="195"/>
      <c r="CK33" s="195"/>
      <c r="CL33" s="195"/>
      <c r="CM33" s="195"/>
      <c r="CN33" s="195"/>
      <c r="CO33" s="195">
        <v>0</v>
      </c>
      <c r="CP33" s="195"/>
      <c r="CQ33" s="195"/>
      <c r="CR33" s="195"/>
      <c r="CS33" s="195"/>
      <c r="CT33" s="195"/>
      <c r="CU33" s="195"/>
      <c r="CV33" s="195"/>
      <c r="CW33" s="130" t="str">
        <f>IF(E33="","",IFERROR(VLOOKUP(B33,Calculations!$DH$3:$ED$200,23,FALSE)+CO33+CG33,"- -"))</f>
        <v/>
      </c>
      <c r="CX33" s="130"/>
      <c r="CY33" s="130"/>
      <c r="CZ33" s="130"/>
      <c r="DA33" s="130"/>
      <c r="DB33" s="130"/>
      <c r="DC33" s="130"/>
      <c r="DD33" s="130"/>
      <c r="DE33" s="198" t="str">
        <f>IF(E33="","",IFERROR(VLOOKUP(B33,Calculations!$DH$3:$EE$200,24,FALSE),"- -"))</f>
        <v/>
      </c>
      <c r="DF33" s="130"/>
      <c r="DG33" s="130"/>
      <c r="DH33" s="130"/>
      <c r="DI33" s="130"/>
      <c r="DJ33" s="130"/>
      <c r="DK33" s="130"/>
      <c r="DL33" s="130"/>
      <c r="DM33" s="198" t="str">
        <f>IF(E33="","",IFERROR(VLOOKUP(B33,Calculations!$DH$3:$EJ$200,25,FALSE),"- -"))</f>
        <v/>
      </c>
      <c r="DN33" s="130"/>
      <c r="DO33" s="130"/>
      <c r="DP33" s="130"/>
      <c r="DQ33" s="130"/>
      <c r="DR33" s="130"/>
      <c r="DS33" s="130"/>
      <c r="DT33" s="130"/>
      <c r="DU33" s="130" t="str">
        <f t="shared" si="10"/>
        <v/>
      </c>
      <c r="DV33" s="130"/>
      <c r="DW33" s="130"/>
      <c r="DX33" s="130"/>
      <c r="DY33" s="130"/>
      <c r="DZ33" s="130"/>
      <c r="EA33" s="130"/>
      <c r="EB33" s="130"/>
      <c r="EC33" s="130" t="str">
        <f t="shared" si="11"/>
        <v/>
      </c>
      <c r="ED33" s="130"/>
      <c r="EE33" s="130"/>
      <c r="EF33" s="130"/>
      <c r="EG33" s="130"/>
      <c r="EH33" s="130"/>
      <c r="EI33" s="130"/>
      <c r="EJ33" s="130"/>
      <c r="EK33" s="130" t="str">
        <f t="shared" si="12"/>
        <v/>
      </c>
      <c r="EL33" s="130"/>
      <c r="EM33" s="130"/>
      <c r="EN33" s="130"/>
      <c r="EO33" s="130"/>
      <c r="EP33" s="130"/>
      <c r="EQ33" s="130"/>
      <c r="ER33" s="130"/>
      <c r="ES33" s="130" t="str">
        <f t="shared" si="13"/>
        <v/>
      </c>
      <c r="ET33" s="130"/>
      <c r="EU33" s="130"/>
      <c r="EV33" s="130"/>
      <c r="EW33" s="130"/>
      <c r="EX33" s="130"/>
      <c r="EY33" s="130"/>
      <c r="EZ33" s="238"/>
      <c r="FB33" s="139"/>
      <c r="FC33" s="140"/>
      <c r="FD33" s="140"/>
      <c r="FE33" s="140"/>
      <c r="FF33" s="140"/>
      <c r="FG33" s="140"/>
      <c r="FH33" s="140"/>
      <c r="FI33" s="140"/>
      <c r="FJ33" s="140"/>
      <c r="FK33" s="140"/>
      <c r="FL33" s="140"/>
      <c r="FM33" s="140"/>
      <c r="FN33" s="140"/>
      <c r="FO33" s="140"/>
      <c r="FP33" s="140"/>
      <c r="FQ33" s="140"/>
      <c r="FR33" s="140"/>
      <c r="FS33" s="140"/>
      <c r="FT33" s="140"/>
      <c r="FU33" s="140"/>
      <c r="FV33" s="140"/>
      <c r="FW33" s="140"/>
      <c r="FX33" s="140"/>
      <c r="FY33" s="140"/>
      <c r="FZ33" s="140"/>
      <c r="GA33" s="140"/>
      <c r="GB33" s="140"/>
      <c r="GC33" s="140"/>
      <c r="GD33" s="140"/>
      <c r="GE33" s="140"/>
      <c r="GF33" s="140"/>
      <c r="GG33" s="140"/>
      <c r="GH33" s="140"/>
      <c r="GI33" s="140"/>
      <c r="GJ33" s="140"/>
      <c r="GK33" s="140"/>
      <c r="GL33" s="140"/>
      <c r="GM33" s="140"/>
      <c r="GN33" s="140"/>
      <c r="GO33" s="140"/>
      <c r="GP33" s="140"/>
      <c r="GQ33" s="140"/>
      <c r="GR33" s="140"/>
      <c r="GS33" s="140"/>
      <c r="GT33" s="141">
        <v>0</v>
      </c>
      <c r="GU33" s="141"/>
      <c r="GV33" s="141"/>
      <c r="GW33" s="141"/>
      <c r="GX33" s="141"/>
      <c r="GY33" s="141"/>
      <c r="GZ33" s="141"/>
      <c r="HA33" s="141"/>
      <c r="HB33" s="142" t="str">
        <f>IFERROR(ROUND(Calculations!BV34*GT33,2),"")</f>
        <v/>
      </c>
      <c r="HC33" s="142"/>
      <c r="HD33" s="142"/>
      <c r="HE33" s="142"/>
      <c r="HF33" s="142"/>
      <c r="HG33" s="142"/>
      <c r="HH33" s="142"/>
      <c r="HI33" s="142"/>
      <c r="HJ33" s="142">
        <f>IFERROR(Calculations!BS34+IQ33+IX33,"")</f>
        <v>0</v>
      </c>
      <c r="HK33" s="142"/>
      <c r="HL33" s="142"/>
      <c r="HM33" s="142"/>
      <c r="HN33" s="142"/>
      <c r="HO33" s="142"/>
      <c r="HP33" s="142"/>
      <c r="HQ33" s="142"/>
      <c r="HR33" s="142" t="str">
        <f t="shared" si="9"/>
        <v/>
      </c>
      <c r="HS33" s="142"/>
      <c r="HT33" s="142"/>
      <c r="HU33" s="142"/>
      <c r="HV33" s="142"/>
      <c r="HW33" s="142"/>
      <c r="HX33" s="142"/>
      <c r="HY33" s="142"/>
      <c r="HZ33" s="142" t="str">
        <f>IFERROR(Calculations!BX34,"")</f>
        <v/>
      </c>
      <c r="IA33" s="142"/>
      <c r="IB33" s="142"/>
      <c r="IC33" s="142"/>
      <c r="ID33" s="142"/>
      <c r="IE33" s="142"/>
      <c r="IF33" s="142"/>
      <c r="IG33" s="142"/>
      <c r="IH33" s="142"/>
      <c r="II33" s="142"/>
      <c r="IJ33" s="142" t="str">
        <f>IFERROR(Calculations!BR34+IX33,"")</f>
        <v/>
      </c>
      <c r="IK33" s="142"/>
      <c r="IL33" s="142"/>
      <c r="IM33" s="142"/>
      <c r="IN33" s="142"/>
      <c r="IO33" s="142"/>
      <c r="IP33" s="142"/>
      <c r="IQ33" s="141">
        <v>0</v>
      </c>
      <c r="IR33" s="141"/>
      <c r="IS33" s="141"/>
      <c r="IT33" s="141"/>
      <c r="IU33" s="141"/>
      <c r="IV33" s="141"/>
      <c r="IW33" s="141"/>
      <c r="IX33" s="141">
        <v>0</v>
      </c>
      <c r="IY33" s="141"/>
      <c r="IZ33" s="141"/>
      <c r="JA33" s="141"/>
      <c r="JB33" s="141"/>
      <c r="JC33" s="141"/>
      <c r="JD33" s="141"/>
      <c r="JE33" s="141"/>
      <c r="JF33" s="142"/>
      <c r="JG33" s="142"/>
      <c r="JH33" s="142"/>
      <c r="JI33" s="142"/>
      <c r="JJ33" s="142"/>
      <c r="JK33" s="143" t="str">
        <f>Calculations!AS34</f>
        <v/>
      </c>
      <c r="JL33" s="143"/>
      <c r="JM33" s="143"/>
      <c r="JN33" s="143"/>
      <c r="JO33" s="143"/>
      <c r="JP33" s="143"/>
      <c r="JQ33" s="143"/>
      <c r="JR33" s="143"/>
      <c r="JS33" s="143"/>
      <c r="JT33" s="143"/>
      <c r="JU33" s="143"/>
      <c r="JV33" s="143"/>
      <c r="JW33" s="143"/>
      <c r="JX33" s="143"/>
      <c r="JY33" s="143"/>
      <c r="JZ33" s="143"/>
      <c r="KA33" s="143"/>
      <c r="KB33" s="143"/>
      <c r="KC33" s="143" t="str">
        <f>Calculations!AW34</f>
        <v/>
      </c>
      <c r="KD33" s="143"/>
      <c r="KE33" s="143"/>
      <c r="KF33" s="143"/>
      <c r="KG33" s="143"/>
      <c r="KH33" s="143"/>
      <c r="KI33" s="143"/>
      <c r="KJ33" s="143"/>
      <c r="KK33" s="143"/>
      <c r="KL33" s="143"/>
      <c r="KM33" s="143"/>
      <c r="KN33" s="143"/>
      <c r="KO33" s="143"/>
      <c r="KP33" s="143"/>
      <c r="KQ33" s="143"/>
      <c r="KR33" s="143"/>
      <c r="KS33" s="143"/>
      <c r="KT33" s="143"/>
      <c r="KU33" s="144" t="str">
        <f t="shared" si="7"/>
        <v/>
      </c>
      <c r="KV33" s="144"/>
      <c r="KW33" s="144"/>
      <c r="KX33" s="144"/>
      <c r="KY33" s="144"/>
      <c r="KZ33" s="144"/>
      <c r="LA33" s="144"/>
      <c r="LB33" s="144"/>
      <c r="LC33" s="144"/>
      <c r="LD33" s="144"/>
      <c r="LE33" s="144"/>
      <c r="LF33" s="144"/>
      <c r="LG33" s="144"/>
      <c r="LH33" s="144"/>
      <c r="LI33" s="144"/>
      <c r="LJ33" s="144"/>
      <c r="LK33" s="144"/>
      <c r="LL33" s="144"/>
      <c r="LM33" s="144"/>
      <c r="LN33" s="144"/>
      <c r="LO33" s="144"/>
      <c r="LP33" s="144"/>
      <c r="LQ33" s="144"/>
      <c r="LR33" s="144"/>
      <c r="LS33" s="144"/>
      <c r="LT33" s="144"/>
      <c r="LU33" s="144"/>
      <c r="LV33" s="144"/>
      <c r="LW33" s="144"/>
      <c r="LX33" s="144"/>
      <c r="LY33" s="144"/>
      <c r="LZ33" s="144"/>
      <c r="MA33" s="144"/>
      <c r="MB33" s="144"/>
      <c r="MC33" s="144"/>
      <c r="MD33" s="144"/>
      <c r="ME33" s="144"/>
      <c r="MF33" s="144"/>
      <c r="MG33" s="144"/>
      <c r="MH33" s="144"/>
      <c r="MI33" s="144"/>
      <c r="MJ33" s="144"/>
      <c r="MK33" s="144"/>
      <c r="ML33" s="144"/>
      <c r="MM33" s="144"/>
      <c r="MN33" s="144"/>
      <c r="MO33" s="144"/>
      <c r="MP33" s="144"/>
      <c r="MQ33" s="144"/>
      <c r="MR33" s="144"/>
      <c r="MS33" s="144"/>
      <c r="MT33" s="144"/>
      <c r="MU33" s="144"/>
      <c r="MV33" s="144"/>
      <c r="MW33" s="144"/>
      <c r="MX33" s="144"/>
      <c r="MY33" s="144"/>
      <c r="MZ33" s="145"/>
      <c r="AIT33" s="144" t="s">
        <v>212</v>
      </c>
      <c r="AIU33" s="144"/>
      <c r="AIV33" s="144"/>
      <c r="AIW33" s="144"/>
      <c r="AIX33" s="144"/>
      <c r="AIY33" s="144"/>
      <c r="AIZ33" s="144"/>
      <c r="AJA33" s="144"/>
      <c r="AJB33" s="144"/>
      <c r="AJC33" s="144"/>
      <c r="AJD33" s="144"/>
      <c r="AJE33" s="144"/>
      <c r="AJF33" s="144"/>
      <c r="AJG33" s="144"/>
      <c r="AJH33" s="144"/>
      <c r="AJI33" s="144"/>
      <c r="AJJ33" s="144"/>
      <c r="AJK33" s="144"/>
      <c r="AJL33" s="144"/>
      <c r="AJM33" s="144"/>
      <c r="AJN33" s="144"/>
      <c r="AJO33" s="144"/>
      <c r="AJP33" s="144"/>
      <c r="AJQ33" s="144"/>
      <c r="AJR33" s="144"/>
      <c r="AJS33" s="144"/>
      <c r="AJT33" s="144"/>
      <c r="AJU33" s="144"/>
      <c r="AJV33" s="144"/>
      <c r="AJW33" s="144"/>
      <c r="AJX33" s="144"/>
      <c r="AJY33" s="144"/>
      <c r="AJZ33" s="144"/>
      <c r="AKA33" s="144"/>
      <c r="AKB33" s="144"/>
      <c r="AKC33" s="144"/>
      <c r="AKD33" s="144"/>
      <c r="AKE33" s="144"/>
      <c r="AKF33" s="144"/>
      <c r="AKG33" s="144"/>
      <c r="AKH33" s="144"/>
      <c r="AKI33" s="144"/>
      <c r="AKJ33" s="144"/>
      <c r="AKK33" s="144"/>
      <c r="AKL33" s="144"/>
      <c r="AKM33" s="144"/>
      <c r="AKN33" s="144"/>
      <c r="AKO33" s="144"/>
      <c r="AKP33" s="144"/>
      <c r="AKQ33" s="144"/>
      <c r="AKR33" s="144"/>
      <c r="AKS33" s="144"/>
      <c r="AKT33" s="144"/>
      <c r="AKU33" s="144"/>
      <c r="AKV33" s="144"/>
      <c r="AKW33" s="144"/>
      <c r="AKX33" s="144"/>
      <c r="AKY33" s="144"/>
      <c r="AKZ33" s="144"/>
      <c r="ALA33" s="144"/>
      <c r="ALB33" s="144"/>
      <c r="ALC33" s="144"/>
      <c r="ALD33" s="144"/>
      <c r="ALE33" s="144"/>
      <c r="ALF33" s="144"/>
      <c r="ALG33" s="144"/>
      <c r="ALH33" s="144"/>
      <c r="ALI33" s="144"/>
      <c r="ALJ33" s="144"/>
      <c r="ALK33" s="144"/>
      <c r="ALL33" s="144"/>
      <c r="ALM33" s="144"/>
      <c r="ALN33" s="144"/>
      <c r="ALO33" s="144"/>
      <c r="ALP33" s="144"/>
      <c r="ALQ33" s="144"/>
      <c r="ALR33" s="144"/>
      <c r="ALS33" s="144"/>
      <c r="ALT33" s="144"/>
      <c r="ALU33" s="144"/>
      <c r="ALV33" s="144"/>
      <c r="ALW33" s="144"/>
      <c r="ALX33" s="144"/>
      <c r="ALY33" s="144"/>
      <c r="ALZ33" s="144"/>
      <c r="AMA33" s="144"/>
      <c r="AMB33" s="144"/>
      <c r="AMC33" s="144"/>
      <c r="AMD33" s="144"/>
      <c r="AME33" s="144"/>
      <c r="AMF33" s="144"/>
      <c r="AMG33" s="144"/>
      <c r="AMH33" s="144"/>
      <c r="APZ33" s="128" t="s">
        <v>250</v>
      </c>
      <c r="AQA33" s="128"/>
      <c r="AQB33" s="128"/>
      <c r="AQC33" s="128"/>
      <c r="AQD33" s="128"/>
      <c r="AQE33" s="128"/>
      <c r="AQF33" s="128"/>
      <c r="AQG33" s="128"/>
      <c r="AQH33" s="128"/>
      <c r="AQI33" s="128"/>
      <c r="AQJ33" s="128"/>
      <c r="AQK33" s="128"/>
      <c r="AQL33" s="128"/>
      <c r="AQM33" s="128"/>
      <c r="AQN33" s="128"/>
      <c r="AQO33" s="128"/>
      <c r="AQP33" s="128"/>
      <c r="AQQ33" s="128"/>
      <c r="AQR33" s="128"/>
      <c r="AQS33" s="128"/>
      <c r="AQT33" s="128"/>
      <c r="AQU33" s="128"/>
      <c r="AQV33" s="128"/>
      <c r="AQW33" s="128"/>
      <c r="AQX33" s="128"/>
      <c r="AQY33" s="128"/>
      <c r="AQZ33" s="128"/>
      <c r="ARA33" s="128"/>
      <c r="ARB33" s="128"/>
      <c r="ARC33" s="128"/>
      <c r="ARD33" s="128"/>
      <c r="ARE33" s="129"/>
      <c r="ARF33" s="129"/>
      <c r="ARG33" s="129"/>
      <c r="ARH33" s="129"/>
      <c r="ARI33" s="129"/>
      <c r="ARJ33" s="129"/>
      <c r="ARK33" s="129"/>
      <c r="ARL33" s="129"/>
      <c r="ARM33" s="129"/>
      <c r="ARN33" s="129"/>
      <c r="ARO33" s="129"/>
      <c r="ARP33" s="129"/>
      <c r="ARQ33" s="129"/>
      <c r="ARR33" s="129"/>
      <c r="ARS33" s="129"/>
      <c r="ART33" s="129"/>
      <c r="ARU33" s="129"/>
      <c r="ARV33" s="129"/>
      <c r="ARW33" s="129"/>
      <c r="ARX33" s="129"/>
      <c r="ARY33" s="129"/>
      <c r="ARZ33" s="128"/>
      <c r="ASA33" s="128"/>
      <c r="ASB33" s="128"/>
      <c r="ASC33" s="128"/>
      <c r="ASD33" s="128"/>
      <c r="ASE33" s="128"/>
      <c r="ASF33" s="129"/>
      <c r="ASG33" s="129"/>
      <c r="ASH33" s="129"/>
      <c r="ASI33" s="129"/>
      <c r="ASJ33" s="129"/>
      <c r="ASK33" s="129"/>
      <c r="ASL33" s="129"/>
      <c r="ASM33" s="129"/>
      <c r="ASN33" s="129"/>
      <c r="ASO33" s="129"/>
      <c r="ASP33" s="129"/>
      <c r="ASQ33" s="129"/>
      <c r="ASR33" s="129"/>
      <c r="ASS33" s="129"/>
      <c r="AST33" s="129"/>
      <c r="ASU33" s="129"/>
      <c r="ASV33" s="129"/>
      <c r="ASW33" s="129"/>
      <c r="ASX33" s="129"/>
      <c r="ASY33" s="129"/>
      <c r="ASZ33" s="129"/>
      <c r="ATA33" s="129"/>
      <c r="ATB33" s="129"/>
      <c r="ATC33" s="129"/>
      <c r="ATD33" s="129"/>
      <c r="ATE33" s="129"/>
      <c r="ATF33" s="129"/>
      <c r="ATG33" s="129"/>
      <c r="ATH33" s="128"/>
      <c r="ATI33" s="128"/>
      <c r="ATJ33" s="128"/>
      <c r="ATK33" s="128"/>
      <c r="ATL33" s="128"/>
      <c r="ATM33" s="128"/>
      <c r="ATN33" s="128"/>
      <c r="AXF33" s="128" t="s">
        <v>282</v>
      </c>
      <c r="AXG33" s="128"/>
      <c r="AXH33" s="128"/>
      <c r="AXI33" s="128"/>
      <c r="AXJ33" s="128"/>
      <c r="AXK33" s="128"/>
      <c r="AXL33" s="128"/>
      <c r="AXM33" s="128"/>
      <c r="AXN33" s="128"/>
      <c r="AXO33" s="128"/>
      <c r="AXP33" s="128"/>
      <c r="AXQ33" s="128"/>
      <c r="AXR33" s="128"/>
      <c r="AXS33" s="128"/>
      <c r="AXT33" s="128"/>
      <c r="AXU33" s="128"/>
      <c r="AXV33" s="128"/>
      <c r="AXW33" s="128"/>
      <c r="AXX33" s="128"/>
      <c r="AXY33" s="128"/>
      <c r="AXZ33" s="128"/>
      <c r="AYA33" s="128"/>
      <c r="AYB33" s="128"/>
      <c r="AYC33" s="128"/>
      <c r="AYD33" s="128"/>
      <c r="AYE33" s="128"/>
      <c r="AYF33" s="128"/>
      <c r="AYG33" s="128"/>
      <c r="AYH33" s="128"/>
      <c r="AYI33" s="128"/>
      <c r="AYJ33" s="128"/>
      <c r="AYK33" s="129"/>
      <c r="AYL33" s="129"/>
      <c r="AYM33" s="129"/>
      <c r="AYN33" s="129"/>
      <c r="AYO33" s="129"/>
      <c r="AYP33" s="129"/>
      <c r="AYQ33" s="129"/>
      <c r="AYR33" s="129"/>
      <c r="AYS33" s="129"/>
      <c r="AYT33" s="129"/>
      <c r="AYU33" s="129"/>
      <c r="AYV33" s="129"/>
      <c r="AYW33" s="129"/>
      <c r="AYX33" s="129"/>
      <c r="AYY33" s="129"/>
      <c r="AYZ33" s="129"/>
      <c r="AZA33" s="129"/>
      <c r="AZB33" s="129"/>
      <c r="AZC33" s="129"/>
      <c r="AZD33" s="129"/>
      <c r="AZE33" s="129"/>
      <c r="AZF33" s="128"/>
      <c r="AZG33" s="128"/>
      <c r="AZH33" s="128"/>
      <c r="AZI33" s="128"/>
      <c r="AZJ33" s="128"/>
      <c r="AZK33" s="128"/>
      <c r="AZL33" s="129"/>
      <c r="AZM33" s="129"/>
      <c r="AZN33" s="129"/>
      <c r="AZO33" s="129"/>
      <c r="AZP33" s="129"/>
      <c r="AZQ33" s="129"/>
      <c r="AZR33" s="129"/>
      <c r="AZS33" s="129"/>
      <c r="AZT33" s="129"/>
      <c r="AZU33" s="129"/>
      <c r="AZV33" s="129"/>
      <c r="AZW33" s="129"/>
      <c r="AZX33" s="129"/>
      <c r="AZY33" s="129"/>
      <c r="AZZ33" s="129"/>
      <c r="BAA33" s="129"/>
      <c r="BAB33" s="129"/>
      <c r="BAC33" s="129"/>
      <c r="BAD33" s="129"/>
      <c r="BAE33" s="129"/>
      <c r="BAF33" s="129"/>
      <c r="BAG33" s="129"/>
      <c r="BAH33" s="129"/>
      <c r="BAI33" s="129"/>
      <c r="BAJ33" s="129"/>
      <c r="BAK33" s="129"/>
      <c r="BAL33" s="129"/>
      <c r="BAM33" s="129"/>
      <c r="BAN33" s="128"/>
      <c r="BAO33" s="128"/>
      <c r="BAP33" s="128"/>
      <c r="BAQ33" s="128"/>
      <c r="BAR33" s="128"/>
      <c r="BAS33" s="128"/>
      <c r="BAT33" s="128"/>
      <c r="BAV33" s="128" t="s">
        <v>304</v>
      </c>
      <c r="BAW33" s="128"/>
      <c r="BAX33" s="128"/>
      <c r="BAY33" s="128"/>
      <c r="BAZ33" s="128"/>
      <c r="BBA33" s="128"/>
      <c r="BBB33" s="128"/>
      <c r="BBC33" s="128"/>
      <c r="BBD33" s="128"/>
      <c r="BBE33" s="128"/>
      <c r="BBF33" s="128"/>
      <c r="BBG33" s="128"/>
      <c r="BBH33" s="128"/>
      <c r="BBI33" s="128"/>
      <c r="BBJ33" s="128"/>
      <c r="BBK33" s="128"/>
      <c r="BBL33" s="128"/>
      <c r="BBM33" s="128"/>
      <c r="BBN33" s="128"/>
      <c r="BBO33" s="128"/>
      <c r="BBP33" s="128"/>
      <c r="BBQ33" s="128"/>
      <c r="BBR33" s="128"/>
      <c r="BBS33" s="128"/>
      <c r="BBT33" s="128"/>
      <c r="BBU33" s="128"/>
      <c r="BBV33" s="128"/>
      <c r="BBW33" s="128"/>
      <c r="BBX33" s="128"/>
      <c r="BBY33" s="128"/>
      <c r="BBZ33" s="128"/>
      <c r="BCA33" s="129"/>
      <c r="BCB33" s="129"/>
      <c r="BCC33" s="129"/>
      <c r="BCD33" s="129"/>
      <c r="BCE33" s="129"/>
      <c r="BCF33" s="129"/>
      <c r="BCG33" s="129"/>
      <c r="BCH33" s="129"/>
      <c r="BCI33" s="129"/>
      <c r="BCJ33" s="129"/>
      <c r="BCK33" s="129"/>
      <c r="BCL33" s="129"/>
      <c r="BCM33" s="129"/>
      <c r="BCN33" s="129"/>
      <c r="BCO33" s="129"/>
      <c r="BCP33" s="129"/>
      <c r="BCQ33" s="129"/>
      <c r="BCR33" s="129"/>
      <c r="BCS33" s="129"/>
      <c r="BCT33" s="129"/>
      <c r="BCU33" s="129"/>
      <c r="BCV33" s="128"/>
      <c r="BCW33" s="128"/>
      <c r="BCX33" s="128"/>
      <c r="BCY33" s="128"/>
      <c r="BCZ33" s="128"/>
      <c r="BDA33" s="128"/>
      <c r="BDB33" s="129"/>
      <c r="BDC33" s="129"/>
      <c r="BDD33" s="129"/>
      <c r="BDE33" s="129"/>
      <c r="BDF33" s="129"/>
      <c r="BDG33" s="129"/>
      <c r="BDH33" s="129"/>
      <c r="BDI33" s="129"/>
      <c r="BDJ33" s="129"/>
      <c r="BDK33" s="129"/>
      <c r="BDL33" s="129"/>
      <c r="BDM33" s="129"/>
      <c r="BDN33" s="129"/>
      <c r="BDO33" s="129"/>
      <c r="BDP33" s="129"/>
      <c r="BDQ33" s="129"/>
      <c r="BDR33" s="129"/>
      <c r="BDS33" s="129"/>
      <c r="BDT33" s="129"/>
      <c r="BDU33" s="129"/>
      <c r="BDV33" s="129"/>
      <c r="BDW33" s="129"/>
      <c r="BDX33" s="129"/>
      <c r="BDY33" s="129"/>
      <c r="BDZ33" s="129"/>
      <c r="BEA33" s="129"/>
      <c r="BEB33" s="129"/>
      <c r="BEC33" s="129"/>
      <c r="BED33" s="128"/>
      <c r="BEE33" s="128"/>
      <c r="BEF33" s="128"/>
      <c r="BEG33" s="128"/>
      <c r="BEH33" s="128"/>
      <c r="BEI33" s="128"/>
      <c r="BEJ33" s="128"/>
      <c r="BLR33" s="144" t="s">
        <v>337</v>
      </c>
      <c r="BLS33" s="144"/>
      <c r="BLT33" s="144"/>
      <c r="BLU33" s="144"/>
      <c r="BLV33" s="144"/>
      <c r="BLW33" s="144"/>
      <c r="BLX33" s="144"/>
      <c r="BLY33" s="144"/>
      <c r="BLZ33" s="144"/>
      <c r="BMA33" s="144"/>
      <c r="BMB33" s="144"/>
      <c r="BMC33" s="144"/>
      <c r="BMD33" s="144"/>
      <c r="BME33" s="144"/>
      <c r="BMF33" s="144"/>
      <c r="BMG33" s="144"/>
      <c r="BMH33" s="144"/>
      <c r="BMI33" s="144"/>
      <c r="BMJ33" s="144"/>
      <c r="BMK33" s="144"/>
      <c r="BML33" s="144"/>
      <c r="BMM33" s="144"/>
      <c r="BMN33" s="144"/>
      <c r="BMO33" s="144"/>
      <c r="BMP33" s="144"/>
      <c r="BMQ33" s="144"/>
      <c r="BMR33" s="144"/>
      <c r="BMS33" s="144"/>
      <c r="BMT33" s="144"/>
      <c r="BMU33" s="144"/>
      <c r="BMV33" s="144"/>
      <c r="BMW33" s="144"/>
      <c r="BMX33" s="144"/>
      <c r="BMY33" s="144"/>
      <c r="BMZ33" s="144"/>
      <c r="BNA33" s="144"/>
      <c r="BNB33" s="144"/>
      <c r="BNC33" s="144"/>
      <c r="BND33" s="144"/>
      <c r="BNE33" s="144"/>
      <c r="BNF33" s="144"/>
      <c r="BNG33" s="144"/>
      <c r="BNH33" s="144"/>
      <c r="BNI33" s="144"/>
      <c r="BNJ33" s="144"/>
      <c r="BNK33" s="144"/>
      <c r="BNL33" s="144"/>
      <c r="BNM33" s="144"/>
      <c r="BNN33" s="144"/>
      <c r="BNO33" s="144"/>
      <c r="BNP33" s="144"/>
      <c r="BNQ33" s="144"/>
      <c r="BNR33" s="144"/>
      <c r="BNS33" s="144"/>
      <c r="BNT33" s="144"/>
      <c r="BNU33" s="144"/>
      <c r="BNV33" s="144"/>
      <c r="BNW33" s="144"/>
      <c r="BNX33" s="144"/>
      <c r="BNY33" s="144"/>
      <c r="BNZ33" s="144"/>
      <c r="BOA33" s="144"/>
      <c r="BOB33" s="144"/>
      <c r="BOC33" s="144"/>
      <c r="BOD33" s="144"/>
      <c r="BOE33" s="144"/>
      <c r="BOF33" s="144"/>
      <c r="BOG33" s="144"/>
      <c r="BOH33" s="144"/>
      <c r="BOI33" s="144"/>
      <c r="BOJ33" s="144"/>
      <c r="BOK33" s="144"/>
      <c r="BOL33" s="144"/>
      <c r="BOM33" s="144"/>
      <c r="BON33" s="144"/>
      <c r="BOO33" s="144"/>
      <c r="BOP33" s="144"/>
      <c r="BOQ33" s="144"/>
      <c r="BOR33" s="144"/>
      <c r="BOS33" s="144"/>
      <c r="BOT33" s="144"/>
      <c r="BOU33" s="144"/>
      <c r="BOV33" s="144"/>
      <c r="BOW33" s="144"/>
      <c r="BOX33" s="144"/>
      <c r="BOY33" s="144"/>
      <c r="BOZ33" s="144"/>
      <c r="BPA33" s="144"/>
      <c r="BPB33" s="144"/>
      <c r="BPC33" s="144"/>
      <c r="BPD33" s="144"/>
      <c r="BPE33" s="144"/>
      <c r="BPF33" s="144"/>
      <c r="COP33" s="128" t="str">
        <f ca="1">VLOOKUP(7,INDIRECT("Closed"&amp;'Character Creation'!$Z$14),2,FALSE)</f>
        <v>Luminous Elements</v>
      </c>
      <c r="COQ33" s="128"/>
      <c r="COR33" s="128"/>
      <c r="COS33" s="128"/>
      <c r="COT33" s="128"/>
      <c r="COU33" s="128"/>
      <c r="COV33" s="128"/>
      <c r="COW33" s="128"/>
      <c r="COX33" s="128"/>
      <c r="COY33" s="128"/>
      <c r="COZ33" s="128"/>
      <c r="CPA33" s="128"/>
      <c r="CPB33" s="128"/>
      <c r="CPC33" s="128"/>
      <c r="CPD33" s="128"/>
      <c r="CPE33" s="128"/>
      <c r="CPF33" s="128"/>
      <c r="CPG33" s="128"/>
      <c r="CPH33" s="128"/>
      <c r="CPI33" s="128"/>
      <c r="CPJ33" s="128"/>
      <c r="CPK33" s="128"/>
      <c r="CPL33" s="128"/>
      <c r="CPM33" s="128"/>
      <c r="CPN33" s="128"/>
      <c r="CPO33" s="128"/>
      <c r="CPP33" s="128"/>
      <c r="CPQ33" s="128"/>
      <c r="CPR33" s="128"/>
      <c r="CPS33" s="128"/>
      <c r="CPT33" s="128"/>
      <c r="CPU33" s="129"/>
      <c r="CPV33" s="129"/>
      <c r="CPW33" s="129"/>
      <c r="CPX33" s="129"/>
      <c r="CPY33" s="129"/>
      <c r="CPZ33" s="129"/>
      <c r="CQA33" s="129"/>
      <c r="CQB33" s="129"/>
      <c r="CQC33" s="129"/>
      <c r="CQD33" s="129"/>
      <c r="CQE33" s="129"/>
      <c r="CQF33" s="129"/>
      <c r="CQG33" s="129"/>
      <c r="CQH33" s="129"/>
      <c r="CQI33" s="129"/>
      <c r="CQJ33" s="129"/>
      <c r="CQK33" s="129"/>
      <c r="CQL33" s="129"/>
      <c r="CQM33" s="129"/>
      <c r="CQN33" s="129"/>
      <c r="CQO33" s="129"/>
      <c r="CQP33" s="128"/>
      <c r="CQQ33" s="128"/>
      <c r="CQR33" s="128"/>
      <c r="CQS33" s="128"/>
      <c r="CQT33" s="128"/>
      <c r="CQU33" s="128"/>
      <c r="CQV33" s="129"/>
      <c r="CQW33" s="129"/>
      <c r="CQX33" s="129"/>
      <c r="CQY33" s="129"/>
      <c r="CQZ33" s="129"/>
      <c r="CRA33" s="129"/>
      <c r="CRB33" s="129"/>
      <c r="CRC33" s="129"/>
      <c r="CRD33" s="129"/>
      <c r="CRE33" s="129"/>
      <c r="CRF33" s="129"/>
      <c r="CRG33" s="129"/>
      <c r="CRH33" s="129"/>
      <c r="CRI33" s="129"/>
      <c r="CRJ33" s="129"/>
      <c r="CRK33" s="129"/>
      <c r="CRL33" s="129"/>
      <c r="CRM33" s="129"/>
      <c r="CRN33" s="129"/>
      <c r="CRO33" s="129"/>
      <c r="CRP33" s="129"/>
      <c r="CRQ33" s="129"/>
      <c r="CRR33" s="129"/>
      <c r="CRS33" s="129"/>
      <c r="CRT33" s="129"/>
      <c r="CRU33" s="129"/>
      <c r="CRV33" s="129"/>
      <c r="CRW33" s="129"/>
      <c r="CRX33" s="128"/>
      <c r="CRY33" s="128"/>
      <c r="CRZ33" s="128"/>
      <c r="CSA33" s="128"/>
      <c r="CSB33" s="128"/>
      <c r="CSC33" s="128"/>
      <c r="CSD33" s="128"/>
      <c r="CSF33" s="128" t="s">
        <v>458</v>
      </c>
      <c r="CSG33" s="128"/>
      <c r="CSH33" s="128"/>
      <c r="CSI33" s="128"/>
      <c r="CSJ33" s="128"/>
      <c r="CSK33" s="128"/>
      <c r="CSL33" s="128"/>
      <c r="CSM33" s="128"/>
      <c r="CSN33" s="128"/>
      <c r="CSO33" s="128"/>
      <c r="CSP33" s="128"/>
      <c r="CSQ33" s="128"/>
      <c r="CSR33" s="128"/>
      <c r="CSS33" s="128"/>
      <c r="CST33" s="128"/>
      <c r="CSU33" s="128"/>
      <c r="CSV33" s="128"/>
      <c r="CSW33" s="128"/>
      <c r="CSX33" s="128"/>
      <c r="CSY33" s="128"/>
      <c r="CSZ33" s="128"/>
      <c r="CTA33" s="128"/>
      <c r="CTB33" s="128"/>
      <c r="CTC33" s="128"/>
      <c r="CTD33" s="128"/>
      <c r="CTE33" s="128"/>
      <c r="CTF33" s="128"/>
      <c r="CTG33" s="128"/>
      <c r="CTH33" s="128"/>
      <c r="CTI33" s="128"/>
      <c r="CTJ33" s="128"/>
      <c r="CTK33" s="129"/>
      <c r="CTL33" s="129"/>
      <c r="CTM33" s="129"/>
      <c r="CTN33" s="129"/>
      <c r="CTO33" s="129"/>
      <c r="CTP33" s="129"/>
      <c r="CTQ33" s="129"/>
      <c r="CTR33" s="129"/>
      <c r="CTS33" s="129"/>
      <c r="CTT33" s="129"/>
      <c r="CTU33" s="129"/>
      <c r="CTV33" s="129"/>
      <c r="CTW33" s="129"/>
      <c r="CTX33" s="129"/>
      <c r="CTY33" s="129"/>
      <c r="CTZ33" s="129"/>
      <c r="CUA33" s="129"/>
      <c r="CUB33" s="129"/>
      <c r="CUC33" s="129"/>
      <c r="CUD33" s="129"/>
      <c r="CUE33" s="129"/>
      <c r="CUF33" s="128"/>
      <c r="CUG33" s="128"/>
      <c r="CUH33" s="128"/>
      <c r="CUI33" s="128"/>
      <c r="CUJ33" s="128"/>
      <c r="CUK33" s="128"/>
      <c r="CUL33" s="129"/>
      <c r="CUM33" s="129"/>
      <c r="CUN33" s="129"/>
      <c r="CUO33" s="129"/>
      <c r="CUP33" s="129"/>
      <c r="CUQ33" s="129"/>
      <c r="CUR33" s="129"/>
      <c r="CUS33" s="129"/>
      <c r="CUT33" s="129"/>
      <c r="CUU33" s="129"/>
      <c r="CUV33" s="129"/>
      <c r="CUW33" s="129"/>
      <c r="CUX33" s="129"/>
      <c r="CUY33" s="129"/>
      <c r="CUZ33" s="129"/>
      <c r="CVA33" s="129"/>
      <c r="CVB33" s="129"/>
      <c r="CVC33" s="129"/>
      <c r="CVD33" s="129"/>
      <c r="CVE33" s="129"/>
      <c r="CVF33" s="129"/>
      <c r="CVG33" s="129"/>
      <c r="CVH33" s="129"/>
      <c r="CVI33" s="129"/>
      <c r="CVJ33" s="129"/>
      <c r="CVK33" s="129"/>
      <c r="CVL33" s="129"/>
      <c r="CVM33" s="129"/>
      <c r="CVN33" s="128"/>
      <c r="CVO33" s="128"/>
      <c r="CVP33" s="128"/>
      <c r="CVQ33" s="128"/>
      <c r="CVR33" s="128"/>
      <c r="CVS33" s="128"/>
      <c r="CVT33" s="128"/>
      <c r="DGR33" s="128" t="s">
        <v>579</v>
      </c>
      <c r="DGS33" s="128"/>
      <c r="DGT33" s="128"/>
      <c r="DGU33" s="128"/>
      <c r="DGV33" s="128"/>
      <c r="DGW33" s="128"/>
      <c r="DGX33" s="128"/>
      <c r="DGY33" s="128"/>
      <c r="DGZ33" s="128"/>
      <c r="DHA33" s="128"/>
      <c r="DHB33" s="128"/>
      <c r="DHC33" s="128"/>
      <c r="DHD33" s="128"/>
      <c r="DHE33" s="128"/>
      <c r="DHF33" s="128"/>
      <c r="DHG33" s="128"/>
      <c r="DHH33" s="128"/>
      <c r="DHI33" s="128"/>
      <c r="DHJ33" s="128"/>
      <c r="DHK33" s="128"/>
      <c r="DHL33" s="128"/>
      <c r="DHM33" s="128"/>
      <c r="DHN33" s="128"/>
      <c r="DHO33" s="128"/>
      <c r="DHP33" s="128"/>
      <c r="DHQ33" s="128"/>
      <c r="DHR33" s="128"/>
      <c r="DHS33" s="128"/>
      <c r="DHT33" s="128"/>
      <c r="DHU33" s="128"/>
      <c r="DHV33" s="128"/>
      <c r="DHW33" s="129"/>
      <c r="DHX33" s="129"/>
      <c r="DHY33" s="129"/>
      <c r="DHZ33" s="129"/>
      <c r="DIA33" s="129"/>
      <c r="DIB33" s="129"/>
      <c r="DIC33" s="129"/>
      <c r="DID33" s="129"/>
      <c r="DIE33" s="129"/>
      <c r="DIF33" s="129"/>
      <c r="DIG33" s="129"/>
      <c r="DIH33" s="129"/>
      <c r="DII33" s="129"/>
      <c r="DIJ33" s="129"/>
      <c r="DIK33" s="129"/>
      <c r="DIL33" s="129"/>
      <c r="DIM33" s="129"/>
      <c r="DIN33" s="129"/>
      <c r="DIO33" s="129"/>
      <c r="DIP33" s="129"/>
      <c r="DIQ33" s="129"/>
      <c r="DIR33" s="128"/>
      <c r="DIS33" s="128"/>
      <c r="DIT33" s="128"/>
      <c r="DIU33" s="128"/>
      <c r="DIV33" s="128"/>
      <c r="DIW33" s="128"/>
      <c r="DIX33" s="129"/>
      <c r="DIY33" s="129"/>
      <c r="DIZ33" s="129"/>
      <c r="DJA33" s="129"/>
      <c r="DJB33" s="129"/>
      <c r="DJC33" s="129"/>
      <c r="DJD33" s="129"/>
      <c r="DJE33" s="129"/>
      <c r="DJF33" s="129"/>
      <c r="DJG33" s="129"/>
      <c r="DJH33" s="129"/>
      <c r="DJI33" s="129"/>
      <c r="DJJ33" s="129"/>
      <c r="DJK33" s="129"/>
      <c r="DJL33" s="129"/>
      <c r="DJM33" s="129"/>
      <c r="DJN33" s="129"/>
      <c r="DJO33" s="129"/>
      <c r="DJP33" s="129"/>
      <c r="DJQ33" s="129"/>
      <c r="DJR33" s="129"/>
      <c r="DJS33" s="129"/>
      <c r="DJT33" s="129"/>
      <c r="DJU33" s="129"/>
      <c r="DJV33" s="129"/>
      <c r="DJW33" s="129"/>
      <c r="DJX33" s="129"/>
      <c r="DJY33" s="129"/>
      <c r="DJZ33" s="128"/>
      <c r="DKA33" s="128"/>
      <c r="DKB33" s="128"/>
      <c r="DKC33" s="128"/>
      <c r="DKD33" s="128"/>
      <c r="DKE33" s="128"/>
      <c r="DKF33" s="128"/>
    </row>
    <row r="34" spans="2:1022 1118:1774 2434:2996" ht="15" customHeight="1" x14ac:dyDescent="0.25">
      <c r="B34" s="135">
        <v>9</v>
      </c>
      <c r="C34" s="136"/>
      <c r="D34" s="136"/>
      <c r="E34" s="136" t="str">
        <f>IFERROR(VLOOKUP(B34,Calculations!$DH$3:$DJ$127,3,FALSE),"")</f>
        <v/>
      </c>
      <c r="F34" s="136"/>
      <c r="G34" s="136"/>
      <c r="H34" s="136"/>
      <c r="I34" s="136"/>
      <c r="J34" s="136"/>
      <c r="K34" s="136"/>
      <c r="L34" s="136"/>
      <c r="M34" s="136"/>
      <c r="N34" s="136"/>
      <c r="O34" s="136"/>
      <c r="P34" s="136"/>
      <c r="Q34" s="136"/>
      <c r="R34" s="136"/>
      <c r="S34" s="136"/>
      <c r="T34" s="136"/>
      <c r="U34" s="136"/>
      <c r="V34" s="136"/>
      <c r="W34" s="136"/>
      <c r="X34" s="136"/>
      <c r="Y34" s="136"/>
      <c r="Z34" s="136"/>
      <c r="AA34" s="136"/>
      <c r="AB34" s="136"/>
      <c r="AC34" s="136"/>
      <c r="AD34" s="136"/>
      <c r="AE34" s="136"/>
      <c r="AF34" s="136"/>
      <c r="AG34" s="200" t="str">
        <f>IFERROR(VLOOKUP(B34,Calculations!$DH$3:$DX$200,17,FALSE),"")</f>
        <v/>
      </c>
      <c r="AH34" s="131"/>
      <c r="AI34" s="131"/>
      <c r="AJ34" s="131"/>
      <c r="AK34" s="131"/>
      <c r="AL34" s="131"/>
      <c r="AM34" s="131"/>
      <c r="AN34" s="131"/>
      <c r="AO34" s="131"/>
      <c r="AP34" s="131"/>
      <c r="AQ34" s="131"/>
      <c r="AR34" s="131"/>
      <c r="AS34" s="131"/>
      <c r="AT34" s="131"/>
      <c r="AU34" s="131"/>
      <c r="AV34" s="131"/>
      <c r="AW34" s="131"/>
      <c r="AX34" s="131"/>
      <c r="AY34" s="131"/>
      <c r="AZ34" s="131"/>
      <c r="BA34" s="201"/>
      <c r="BB34" s="226" t="str">
        <f>IFERROR(IFERROR((VLOOKUP(E34,Calculations!$DR$3:$EJ$200,19,FALSE)),0)+VLOOKUP(B34,Calculations!$DH$3:$DN$200,7,FALSE)+CG34+CO34+IFERROR(VLOOKUP((LEFT(E34,FIND("(",E34)-2)),Calculations!$DJ$3:$EJ$200,26,FALSE),0),"")</f>
        <v/>
      </c>
      <c r="BC34" s="226"/>
      <c r="BD34" s="226"/>
      <c r="BE34" s="226"/>
      <c r="BF34" s="226"/>
      <c r="BG34" s="226"/>
      <c r="BH34" s="226"/>
      <c r="BI34" s="131" t="str">
        <f>IFERROR("x "&amp;VLOOKUP(B34,Calculations!$DH$3:$DY$200,18,FALSE),"")</f>
        <v/>
      </c>
      <c r="BJ34" s="131"/>
      <c r="BK34" s="131"/>
      <c r="BL34" s="131"/>
      <c r="BM34" s="131"/>
      <c r="BN34" s="131"/>
      <c r="BO34" s="131"/>
      <c r="BP34" s="131"/>
      <c r="BQ34" s="131" t="str">
        <f>IFERROR(VLOOKUP(B34,Calculations!$DH$3:$EE$200,22,FALSE),"")</f>
        <v/>
      </c>
      <c r="BR34" s="131"/>
      <c r="BS34" s="131"/>
      <c r="BT34" s="131"/>
      <c r="BU34" s="131"/>
      <c r="BV34" s="131"/>
      <c r="BW34" s="131"/>
      <c r="BX34" s="131"/>
      <c r="BY34" s="131" t="str">
        <f>IFERROR(VLOOKUP(B34,Calculations!$DH$3:$EA$200,19,FALSE)-ROUNDDOWN((CO34/5),0),"")</f>
        <v/>
      </c>
      <c r="BZ34" s="131"/>
      <c r="CA34" s="131"/>
      <c r="CB34" s="131"/>
      <c r="CC34" s="131"/>
      <c r="CD34" s="131"/>
      <c r="CE34" s="131"/>
      <c r="CF34" s="131"/>
      <c r="CG34" s="194">
        <v>0</v>
      </c>
      <c r="CH34" s="194"/>
      <c r="CI34" s="194"/>
      <c r="CJ34" s="194"/>
      <c r="CK34" s="194"/>
      <c r="CL34" s="194"/>
      <c r="CM34" s="194"/>
      <c r="CN34" s="194"/>
      <c r="CO34" s="194">
        <v>0</v>
      </c>
      <c r="CP34" s="194"/>
      <c r="CQ34" s="194"/>
      <c r="CR34" s="194"/>
      <c r="CS34" s="194"/>
      <c r="CT34" s="194"/>
      <c r="CU34" s="194"/>
      <c r="CV34" s="194"/>
      <c r="CW34" s="131" t="str">
        <f>IF(E34="","",IFERROR(VLOOKUP(B34,Calculations!$DH$3:$ED$200,23,FALSE)+CO34+CG34,"- -"))</f>
        <v/>
      </c>
      <c r="CX34" s="131"/>
      <c r="CY34" s="131"/>
      <c r="CZ34" s="131"/>
      <c r="DA34" s="131"/>
      <c r="DB34" s="131"/>
      <c r="DC34" s="131"/>
      <c r="DD34" s="131"/>
      <c r="DE34" s="199" t="str">
        <f>IF(E34="","",IFERROR(VLOOKUP(B34,Calculations!$DH$3:$EE$200,24,FALSE),"- -"))</f>
        <v/>
      </c>
      <c r="DF34" s="131"/>
      <c r="DG34" s="131"/>
      <c r="DH34" s="131"/>
      <c r="DI34" s="131"/>
      <c r="DJ34" s="131"/>
      <c r="DK34" s="131"/>
      <c r="DL34" s="131"/>
      <c r="DM34" s="199" t="str">
        <f>IF(E34="","",IFERROR(VLOOKUP(B34,Calculations!$DH$3:$EJ$200,25,FALSE),"- -"))</f>
        <v/>
      </c>
      <c r="DN34" s="131"/>
      <c r="DO34" s="131"/>
      <c r="DP34" s="131"/>
      <c r="DQ34" s="131"/>
      <c r="DR34" s="131"/>
      <c r="DS34" s="131"/>
      <c r="DT34" s="131"/>
      <c r="DU34" s="131" t="str">
        <f t="shared" si="10"/>
        <v/>
      </c>
      <c r="DV34" s="131"/>
      <c r="DW34" s="131"/>
      <c r="DX34" s="131"/>
      <c r="DY34" s="131"/>
      <c r="DZ34" s="131"/>
      <c r="EA34" s="131"/>
      <c r="EB34" s="131"/>
      <c r="EC34" s="131" t="str">
        <f t="shared" si="11"/>
        <v/>
      </c>
      <c r="ED34" s="131"/>
      <c r="EE34" s="131"/>
      <c r="EF34" s="131"/>
      <c r="EG34" s="131"/>
      <c r="EH34" s="131"/>
      <c r="EI34" s="131"/>
      <c r="EJ34" s="131"/>
      <c r="EK34" s="131" t="str">
        <f t="shared" si="12"/>
        <v/>
      </c>
      <c r="EL34" s="131"/>
      <c r="EM34" s="131"/>
      <c r="EN34" s="131"/>
      <c r="EO34" s="131"/>
      <c r="EP34" s="131"/>
      <c r="EQ34" s="131"/>
      <c r="ER34" s="131"/>
      <c r="ES34" s="131" t="str">
        <f t="shared" si="13"/>
        <v/>
      </c>
      <c r="ET34" s="131"/>
      <c r="EU34" s="131"/>
      <c r="EV34" s="131"/>
      <c r="EW34" s="131"/>
      <c r="EX34" s="131"/>
      <c r="EY34" s="131"/>
      <c r="EZ34" s="239"/>
      <c r="FB34" s="139"/>
      <c r="FC34" s="140"/>
      <c r="FD34" s="140"/>
      <c r="FE34" s="140"/>
      <c r="FF34" s="140"/>
      <c r="FG34" s="140"/>
      <c r="FH34" s="140"/>
      <c r="FI34" s="140"/>
      <c r="FJ34" s="140"/>
      <c r="FK34" s="140"/>
      <c r="FL34" s="140"/>
      <c r="FM34" s="140"/>
      <c r="FN34" s="140"/>
      <c r="FO34" s="140"/>
      <c r="FP34" s="140"/>
      <c r="FQ34" s="140"/>
      <c r="FR34" s="140"/>
      <c r="FS34" s="140"/>
      <c r="FT34" s="140"/>
      <c r="FU34" s="140"/>
      <c r="FV34" s="140"/>
      <c r="FW34" s="140"/>
      <c r="FX34" s="140"/>
      <c r="FY34" s="140"/>
      <c r="FZ34" s="140"/>
      <c r="GA34" s="140"/>
      <c r="GB34" s="140"/>
      <c r="GC34" s="140"/>
      <c r="GD34" s="140"/>
      <c r="GE34" s="140"/>
      <c r="GF34" s="140"/>
      <c r="GG34" s="140"/>
      <c r="GH34" s="140"/>
      <c r="GI34" s="140"/>
      <c r="GJ34" s="140"/>
      <c r="GK34" s="140"/>
      <c r="GL34" s="140"/>
      <c r="GM34" s="140"/>
      <c r="GN34" s="140"/>
      <c r="GO34" s="140"/>
      <c r="GP34" s="140"/>
      <c r="GQ34" s="140"/>
      <c r="GR34" s="140"/>
      <c r="GS34" s="140"/>
      <c r="GT34" s="141">
        <v>0</v>
      </c>
      <c r="GU34" s="141"/>
      <c r="GV34" s="141"/>
      <c r="GW34" s="141"/>
      <c r="GX34" s="141"/>
      <c r="GY34" s="141"/>
      <c r="GZ34" s="141"/>
      <c r="HA34" s="141"/>
      <c r="HB34" s="142" t="str">
        <f>IFERROR(ROUND(Calculations!BV35*GT34,2),"")</f>
        <v/>
      </c>
      <c r="HC34" s="142"/>
      <c r="HD34" s="142"/>
      <c r="HE34" s="142"/>
      <c r="HF34" s="142"/>
      <c r="HG34" s="142"/>
      <c r="HH34" s="142"/>
      <c r="HI34" s="142"/>
      <c r="HJ34" s="142">
        <f>IFERROR(Calculations!BS35+IQ34+IX34,"")</f>
        <v>0</v>
      </c>
      <c r="HK34" s="142"/>
      <c r="HL34" s="142"/>
      <c r="HM34" s="142"/>
      <c r="HN34" s="142"/>
      <c r="HO34" s="142"/>
      <c r="HP34" s="142"/>
      <c r="HQ34" s="142"/>
      <c r="HR34" s="142" t="str">
        <f t="shared" si="9"/>
        <v/>
      </c>
      <c r="HS34" s="142"/>
      <c r="HT34" s="142"/>
      <c r="HU34" s="142"/>
      <c r="HV34" s="142"/>
      <c r="HW34" s="142"/>
      <c r="HX34" s="142"/>
      <c r="HY34" s="142"/>
      <c r="HZ34" s="142" t="str">
        <f>IFERROR(Calculations!BX35,"")</f>
        <v/>
      </c>
      <c r="IA34" s="142"/>
      <c r="IB34" s="142"/>
      <c r="IC34" s="142"/>
      <c r="ID34" s="142"/>
      <c r="IE34" s="142"/>
      <c r="IF34" s="142"/>
      <c r="IG34" s="142"/>
      <c r="IH34" s="142"/>
      <c r="II34" s="142"/>
      <c r="IJ34" s="142" t="str">
        <f>IFERROR(Calculations!BR35+IX34,"")</f>
        <v/>
      </c>
      <c r="IK34" s="142"/>
      <c r="IL34" s="142"/>
      <c r="IM34" s="142"/>
      <c r="IN34" s="142"/>
      <c r="IO34" s="142"/>
      <c r="IP34" s="142"/>
      <c r="IQ34" s="141">
        <v>0</v>
      </c>
      <c r="IR34" s="141"/>
      <c r="IS34" s="141"/>
      <c r="IT34" s="141"/>
      <c r="IU34" s="141"/>
      <c r="IV34" s="141"/>
      <c r="IW34" s="141"/>
      <c r="IX34" s="141">
        <v>0</v>
      </c>
      <c r="IY34" s="141"/>
      <c r="IZ34" s="141"/>
      <c r="JA34" s="141"/>
      <c r="JB34" s="141"/>
      <c r="JC34" s="141"/>
      <c r="JD34" s="141"/>
      <c r="JE34" s="141"/>
      <c r="JF34" s="142"/>
      <c r="JG34" s="142"/>
      <c r="JH34" s="142"/>
      <c r="JI34" s="142"/>
      <c r="JJ34" s="142"/>
      <c r="JK34" s="143" t="str">
        <f>Calculations!AS35</f>
        <v/>
      </c>
      <c r="JL34" s="143"/>
      <c r="JM34" s="143"/>
      <c r="JN34" s="143"/>
      <c r="JO34" s="143"/>
      <c r="JP34" s="143"/>
      <c r="JQ34" s="143"/>
      <c r="JR34" s="143"/>
      <c r="JS34" s="143"/>
      <c r="JT34" s="143"/>
      <c r="JU34" s="143"/>
      <c r="JV34" s="143"/>
      <c r="JW34" s="143"/>
      <c r="JX34" s="143"/>
      <c r="JY34" s="143"/>
      <c r="JZ34" s="143"/>
      <c r="KA34" s="143"/>
      <c r="KB34" s="143"/>
      <c r="KC34" s="143" t="str">
        <f>Calculations!AW35</f>
        <v/>
      </c>
      <c r="KD34" s="143"/>
      <c r="KE34" s="143"/>
      <c r="KF34" s="143"/>
      <c r="KG34" s="143"/>
      <c r="KH34" s="143"/>
      <c r="KI34" s="143"/>
      <c r="KJ34" s="143"/>
      <c r="KK34" s="143"/>
      <c r="KL34" s="143"/>
      <c r="KM34" s="143"/>
      <c r="KN34" s="143"/>
      <c r="KO34" s="143"/>
      <c r="KP34" s="143"/>
      <c r="KQ34" s="143"/>
      <c r="KR34" s="143"/>
      <c r="KS34" s="143"/>
      <c r="KT34" s="143"/>
      <c r="KU34" s="144" t="str">
        <f t="shared" si="7"/>
        <v/>
      </c>
      <c r="KV34" s="144"/>
      <c r="KW34" s="144"/>
      <c r="KX34" s="144"/>
      <c r="KY34" s="144"/>
      <c r="KZ34" s="144"/>
      <c r="LA34" s="144"/>
      <c r="LB34" s="144"/>
      <c r="LC34" s="144"/>
      <c r="LD34" s="144"/>
      <c r="LE34" s="144"/>
      <c r="LF34" s="144"/>
      <c r="LG34" s="144"/>
      <c r="LH34" s="144"/>
      <c r="LI34" s="144"/>
      <c r="LJ34" s="144"/>
      <c r="LK34" s="144"/>
      <c r="LL34" s="144"/>
      <c r="LM34" s="144"/>
      <c r="LN34" s="144"/>
      <c r="LO34" s="144"/>
      <c r="LP34" s="144"/>
      <c r="LQ34" s="144"/>
      <c r="LR34" s="144"/>
      <c r="LS34" s="144"/>
      <c r="LT34" s="144"/>
      <c r="LU34" s="144"/>
      <c r="LV34" s="144"/>
      <c r="LW34" s="144"/>
      <c r="LX34" s="144"/>
      <c r="LY34" s="144"/>
      <c r="LZ34" s="144"/>
      <c r="MA34" s="144"/>
      <c r="MB34" s="144"/>
      <c r="MC34" s="144"/>
      <c r="MD34" s="144"/>
      <c r="ME34" s="144"/>
      <c r="MF34" s="144"/>
      <c r="MG34" s="144"/>
      <c r="MH34" s="144"/>
      <c r="MI34" s="144"/>
      <c r="MJ34" s="144"/>
      <c r="MK34" s="144"/>
      <c r="ML34" s="144"/>
      <c r="MM34" s="144"/>
      <c r="MN34" s="144"/>
      <c r="MO34" s="144"/>
      <c r="MP34" s="144"/>
      <c r="MQ34" s="144"/>
      <c r="MR34" s="144"/>
      <c r="MS34" s="144"/>
      <c r="MT34" s="144"/>
      <c r="MU34" s="144"/>
      <c r="MV34" s="144"/>
      <c r="MW34" s="144"/>
      <c r="MX34" s="144"/>
      <c r="MY34" s="144"/>
      <c r="MZ34" s="145"/>
      <c r="AIT34" s="144" t="s">
        <v>147</v>
      </c>
      <c r="AIU34" s="144"/>
      <c r="AIV34" s="144"/>
      <c r="AIW34" s="144"/>
      <c r="AIX34" s="144"/>
      <c r="AIY34" s="144"/>
      <c r="AIZ34" s="144"/>
      <c r="AJA34" s="144"/>
      <c r="AJB34" s="144"/>
      <c r="AJC34" s="144"/>
      <c r="AJD34" s="144"/>
      <c r="AJE34" s="144"/>
      <c r="AJF34" s="144"/>
      <c r="AJG34" s="144"/>
      <c r="AJH34" s="144"/>
      <c r="AJI34" s="144"/>
      <c r="AJJ34" s="144"/>
      <c r="AJK34" s="144"/>
      <c r="AJL34" s="144"/>
      <c r="AJM34" s="144"/>
      <c r="AJN34" s="144"/>
      <c r="AJO34" s="144"/>
      <c r="AJP34" s="144"/>
      <c r="AJQ34" s="144"/>
      <c r="AJR34" s="144"/>
      <c r="AJS34" s="144"/>
      <c r="AJT34" s="144"/>
      <c r="AJU34" s="144"/>
      <c r="AJV34" s="144"/>
      <c r="AJW34" s="144"/>
      <c r="AJX34" s="144"/>
      <c r="AJY34" s="129" t="s">
        <v>133</v>
      </c>
      <c r="AJZ34" s="129"/>
      <c r="AKA34" s="129"/>
      <c r="AKB34" s="129"/>
      <c r="AKC34" s="129" t="s">
        <v>148</v>
      </c>
      <c r="AKD34" s="129"/>
      <c r="AKE34" s="129"/>
      <c r="AKF34" s="129"/>
      <c r="AKG34" s="129"/>
      <c r="AKH34" s="129" t="s">
        <v>83</v>
      </c>
      <c r="AKI34" s="129"/>
      <c r="AKJ34" s="129"/>
      <c r="AKK34" s="129"/>
      <c r="AKL34" s="129"/>
      <c r="AKM34" s="129"/>
      <c r="AKN34" s="129" t="s">
        <v>37</v>
      </c>
      <c r="AKO34" s="129"/>
      <c r="AKP34" s="129"/>
      <c r="AKQ34" s="129"/>
      <c r="AKR34" s="129"/>
      <c r="AKS34" s="129"/>
      <c r="AKT34" s="129" t="s">
        <v>49</v>
      </c>
      <c r="AKU34" s="129"/>
      <c r="AKV34" s="129"/>
      <c r="AKW34" s="129"/>
      <c r="AKX34" s="129"/>
      <c r="AKY34" s="129"/>
      <c r="AKZ34" s="129" t="s">
        <v>149</v>
      </c>
      <c r="ALA34" s="129"/>
      <c r="ALB34" s="129"/>
      <c r="ALC34" s="129"/>
      <c r="ALD34" s="129"/>
      <c r="ALE34" s="129"/>
      <c r="ALF34" s="129"/>
      <c r="ALG34" s="129" t="s">
        <v>150</v>
      </c>
      <c r="ALH34" s="129"/>
      <c r="ALI34" s="129"/>
      <c r="ALJ34" s="129"/>
      <c r="ALK34" s="129"/>
      <c r="ALL34" s="129"/>
      <c r="ALM34" s="129"/>
      <c r="ALN34" s="129" t="s">
        <v>151</v>
      </c>
      <c r="ALO34" s="129"/>
      <c r="ALP34" s="129"/>
      <c r="ALQ34" s="129"/>
      <c r="ALR34" s="129"/>
      <c r="ALS34" s="129"/>
      <c r="ALT34" s="129"/>
      <c r="ALU34" s="129" t="s">
        <v>37</v>
      </c>
      <c r="ALV34" s="129"/>
      <c r="ALW34" s="129"/>
      <c r="ALX34" s="129"/>
      <c r="ALY34" s="129"/>
      <c r="ALZ34" s="129"/>
      <c r="AMA34" s="129"/>
      <c r="AMB34" s="129" t="s">
        <v>40</v>
      </c>
      <c r="AMC34" s="129"/>
      <c r="AMD34" s="129"/>
      <c r="AME34" s="129"/>
      <c r="AMF34" s="129"/>
      <c r="AMG34" s="129"/>
      <c r="AMH34" s="129"/>
      <c r="APZ34" s="128" t="s">
        <v>251</v>
      </c>
      <c r="AQA34" s="128"/>
      <c r="AQB34" s="128"/>
      <c r="AQC34" s="128"/>
      <c r="AQD34" s="128"/>
      <c r="AQE34" s="128"/>
      <c r="AQF34" s="128"/>
      <c r="AQG34" s="128"/>
      <c r="AQH34" s="128"/>
      <c r="AQI34" s="128"/>
      <c r="AQJ34" s="128"/>
      <c r="AQK34" s="128"/>
      <c r="AQL34" s="128"/>
      <c r="AQM34" s="128"/>
      <c r="AQN34" s="128"/>
      <c r="AQO34" s="128"/>
      <c r="AQP34" s="128"/>
      <c r="AQQ34" s="128"/>
      <c r="AQR34" s="128"/>
      <c r="AQS34" s="128"/>
      <c r="AQT34" s="128"/>
      <c r="AQU34" s="128"/>
      <c r="AQV34" s="128"/>
      <c r="AQW34" s="128"/>
      <c r="AQX34" s="128"/>
      <c r="AQY34" s="128"/>
      <c r="AQZ34" s="128"/>
      <c r="ARA34" s="128"/>
      <c r="ARB34" s="128"/>
      <c r="ARC34" s="128"/>
      <c r="ARD34" s="128"/>
      <c r="ARE34" s="129"/>
      <c r="ARF34" s="129"/>
      <c r="ARG34" s="129"/>
      <c r="ARH34" s="129"/>
      <c r="ARI34" s="129"/>
      <c r="ARJ34" s="129"/>
      <c r="ARK34" s="129"/>
      <c r="ARL34" s="129"/>
      <c r="ARM34" s="129"/>
      <c r="ARN34" s="129"/>
      <c r="ARO34" s="129"/>
      <c r="ARP34" s="129"/>
      <c r="ARQ34" s="129"/>
      <c r="ARR34" s="129"/>
      <c r="ARS34" s="129"/>
      <c r="ART34" s="129"/>
      <c r="ARU34" s="129"/>
      <c r="ARV34" s="129"/>
      <c r="ARW34" s="129"/>
      <c r="ARX34" s="129"/>
      <c r="ARY34" s="129"/>
      <c r="ARZ34" s="128"/>
      <c r="ASA34" s="128"/>
      <c r="ASB34" s="128"/>
      <c r="ASC34" s="128"/>
      <c r="ASD34" s="128"/>
      <c r="ASE34" s="128"/>
      <c r="ASF34" s="129"/>
      <c r="ASG34" s="129"/>
      <c r="ASH34" s="129"/>
      <c r="ASI34" s="129"/>
      <c r="ASJ34" s="129"/>
      <c r="ASK34" s="129"/>
      <c r="ASL34" s="129"/>
      <c r="ASM34" s="129"/>
      <c r="ASN34" s="129"/>
      <c r="ASO34" s="129"/>
      <c r="ASP34" s="129"/>
      <c r="ASQ34" s="129"/>
      <c r="ASR34" s="129"/>
      <c r="ASS34" s="129"/>
      <c r="AST34" s="129"/>
      <c r="ASU34" s="129"/>
      <c r="ASV34" s="129"/>
      <c r="ASW34" s="129"/>
      <c r="ASX34" s="129"/>
      <c r="ASY34" s="129"/>
      <c r="ASZ34" s="129"/>
      <c r="ATA34" s="129"/>
      <c r="ATB34" s="129"/>
      <c r="ATC34" s="129"/>
      <c r="ATD34" s="129"/>
      <c r="ATE34" s="129"/>
      <c r="ATF34" s="129"/>
      <c r="ATG34" s="129"/>
      <c r="ATH34" s="128"/>
      <c r="ATI34" s="128"/>
      <c r="ATJ34" s="128"/>
      <c r="ATK34" s="128"/>
      <c r="ATL34" s="128"/>
      <c r="ATM34" s="128"/>
      <c r="ATN34" s="128"/>
      <c r="AXF34" s="128" t="s">
        <v>283</v>
      </c>
      <c r="AXG34" s="128"/>
      <c r="AXH34" s="128"/>
      <c r="AXI34" s="128"/>
      <c r="AXJ34" s="128"/>
      <c r="AXK34" s="128"/>
      <c r="AXL34" s="128"/>
      <c r="AXM34" s="128"/>
      <c r="AXN34" s="128"/>
      <c r="AXO34" s="128"/>
      <c r="AXP34" s="128"/>
      <c r="AXQ34" s="128"/>
      <c r="AXR34" s="128"/>
      <c r="AXS34" s="128"/>
      <c r="AXT34" s="128"/>
      <c r="AXU34" s="128"/>
      <c r="AXV34" s="128"/>
      <c r="AXW34" s="128"/>
      <c r="AXX34" s="128"/>
      <c r="AXY34" s="128"/>
      <c r="AXZ34" s="128"/>
      <c r="AYA34" s="128"/>
      <c r="AYB34" s="128"/>
      <c r="AYC34" s="128"/>
      <c r="AYD34" s="128"/>
      <c r="AYE34" s="128"/>
      <c r="AYF34" s="128"/>
      <c r="AYG34" s="128"/>
      <c r="AYH34" s="128"/>
      <c r="AYI34" s="128"/>
      <c r="AYJ34" s="128"/>
      <c r="AYK34" s="129"/>
      <c r="AYL34" s="129"/>
      <c r="AYM34" s="129"/>
      <c r="AYN34" s="129"/>
      <c r="AYO34" s="129"/>
      <c r="AYP34" s="129"/>
      <c r="AYQ34" s="129"/>
      <c r="AYR34" s="129"/>
      <c r="AYS34" s="129"/>
      <c r="AYT34" s="129"/>
      <c r="AYU34" s="129"/>
      <c r="AYV34" s="129"/>
      <c r="AYW34" s="129"/>
      <c r="AYX34" s="129"/>
      <c r="AYY34" s="129"/>
      <c r="AYZ34" s="129"/>
      <c r="AZA34" s="129"/>
      <c r="AZB34" s="129"/>
      <c r="AZC34" s="129"/>
      <c r="AZD34" s="129"/>
      <c r="AZE34" s="129"/>
      <c r="AZF34" s="128"/>
      <c r="AZG34" s="128"/>
      <c r="AZH34" s="128"/>
      <c r="AZI34" s="128"/>
      <c r="AZJ34" s="128"/>
      <c r="AZK34" s="128"/>
      <c r="AZL34" s="129"/>
      <c r="AZM34" s="129"/>
      <c r="AZN34" s="129"/>
      <c r="AZO34" s="129"/>
      <c r="AZP34" s="129"/>
      <c r="AZQ34" s="129"/>
      <c r="AZR34" s="129"/>
      <c r="AZS34" s="129"/>
      <c r="AZT34" s="129"/>
      <c r="AZU34" s="129"/>
      <c r="AZV34" s="129"/>
      <c r="AZW34" s="129"/>
      <c r="AZX34" s="129"/>
      <c r="AZY34" s="129"/>
      <c r="AZZ34" s="129"/>
      <c r="BAA34" s="129"/>
      <c r="BAB34" s="129"/>
      <c r="BAC34" s="129"/>
      <c r="BAD34" s="129"/>
      <c r="BAE34" s="129"/>
      <c r="BAF34" s="129"/>
      <c r="BAG34" s="129"/>
      <c r="BAH34" s="129"/>
      <c r="BAI34" s="129"/>
      <c r="BAJ34" s="129"/>
      <c r="BAK34" s="129"/>
      <c r="BAL34" s="129"/>
      <c r="BAM34" s="129"/>
      <c r="BAN34" s="128"/>
      <c r="BAO34" s="128"/>
      <c r="BAP34" s="128"/>
      <c r="BAQ34" s="128"/>
      <c r="BAR34" s="128"/>
      <c r="BAS34" s="128"/>
      <c r="BAT34" s="128"/>
      <c r="BAV34" s="128" t="s">
        <v>1998</v>
      </c>
      <c r="BAW34" s="128"/>
      <c r="BAX34" s="128"/>
      <c r="BAY34" s="128"/>
      <c r="BAZ34" s="128"/>
      <c r="BBA34" s="128"/>
      <c r="BBB34" s="128"/>
      <c r="BBC34" s="128"/>
      <c r="BBD34" s="128"/>
      <c r="BBE34" s="128"/>
      <c r="BBF34" s="128"/>
      <c r="BBG34" s="128"/>
      <c r="BBH34" s="128"/>
      <c r="BBI34" s="128"/>
      <c r="BBJ34" s="128"/>
      <c r="BBK34" s="128"/>
      <c r="BBL34" s="128"/>
      <c r="BBM34" s="128"/>
      <c r="BBN34" s="128"/>
      <c r="BBO34" s="128"/>
      <c r="BBP34" s="128"/>
      <c r="BBQ34" s="128"/>
      <c r="BBR34" s="128"/>
      <c r="BBS34" s="128"/>
      <c r="BBT34" s="128"/>
      <c r="BBU34" s="128"/>
      <c r="BBV34" s="128"/>
      <c r="BBW34" s="128"/>
      <c r="BBX34" s="128"/>
      <c r="BBY34" s="128"/>
      <c r="BBZ34" s="128"/>
      <c r="BCA34" s="129"/>
      <c r="BCB34" s="129"/>
      <c r="BCC34" s="129"/>
      <c r="BCD34" s="129"/>
      <c r="BCE34" s="129"/>
      <c r="BCF34" s="129"/>
      <c r="BCG34" s="129"/>
      <c r="BCH34" s="129"/>
      <c r="BCI34" s="129"/>
      <c r="BCJ34" s="129"/>
      <c r="BCK34" s="129"/>
      <c r="BCL34" s="129"/>
      <c r="BCM34" s="129"/>
      <c r="BCN34" s="129"/>
      <c r="BCO34" s="129"/>
      <c r="BCP34" s="129"/>
      <c r="BCQ34" s="129"/>
      <c r="BCR34" s="129"/>
      <c r="BCS34" s="129"/>
      <c r="BCT34" s="129"/>
      <c r="BCU34" s="129"/>
      <c r="BCV34" s="128"/>
      <c r="BCW34" s="128"/>
      <c r="BCX34" s="128"/>
      <c r="BCY34" s="128"/>
      <c r="BCZ34" s="128"/>
      <c r="BDA34" s="128"/>
      <c r="BDB34" s="129"/>
      <c r="BDC34" s="129"/>
      <c r="BDD34" s="129"/>
      <c r="BDE34" s="129"/>
      <c r="BDF34" s="129"/>
      <c r="BDG34" s="129"/>
      <c r="BDH34" s="129"/>
      <c r="BDI34" s="129"/>
      <c r="BDJ34" s="129"/>
      <c r="BDK34" s="129"/>
      <c r="BDL34" s="129"/>
      <c r="BDM34" s="129"/>
      <c r="BDN34" s="129"/>
      <c r="BDO34" s="129"/>
      <c r="BDP34" s="129"/>
      <c r="BDQ34" s="129"/>
      <c r="BDR34" s="129"/>
      <c r="BDS34" s="129"/>
      <c r="BDT34" s="129"/>
      <c r="BDU34" s="129"/>
      <c r="BDV34" s="129"/>
      <c r="BDW34" s="129"/>
      <c r="BDX34" s="129"/>
      <c r="BDY34" s="129"/>
      <c r="BDZ34" s="129"/>
      <c r="BEA34" s="129"/>
      <c r="BEB34" s="129"/>
      <c r="BEC34" s="129"/>
      <c r="BED34" s="128"/>
      <c r="BEE34" s="128"/>
      <c r="BEF34" s="128"/>
      <c r="BEG34" s="128"/>
      <c r="BEH34" s="128"/>
      <c r="BEI34" s="128"/>
      <c r="BEJ34" s="128"/>
      <c r="BLR34" s="144" t="s">
        <v>147</v>
      </c>
      <c r="BLS34" s="144"/>
      <c r="BLT34" s="144"/>
      <c r="BLU34" s="144"/>
      <c r="BLV34" s="144"/>
      <c r="BLW34" s="144"/>
      <c r="BLX34" s="144"/>
      <c r="BLY34" s="144"/>
      <c r="BLZ34" s="144"/>
      <c r="BMA34" s="144"/>
      <c r="BMB34" s="144"/>
      <c r="BMC34" s="144"/>
      <c r="BMD34" s="144"/>
      <c r="BME34" s="144"/>
      <c r="BMF34" s="144"/>
      <c r="BMG34" s="144"/>
      <c r="BMH34" s="144"/>
      <c r="BMI34" s="144"/>
      <c r="BMJ34" s="144"/>
      <c r="BMK34" s="144"/>
      <c r="BML34" s="144"/>
      <c r="BMM34" s="144"/>
      <c r="BMN34" s="144"/>
      <c r="BMO34" s="144"/>
      <c r="BMP34" s="144"/>
      <c r="BMQ34" s="144"/>
      <c r="BMR34" s="144"/>
      <c r="BMS34" s="144"/>
      <c r="BMT34" s="144"/>
      <c r="BMU34" s="144"/>
      <c r="BMV34" s="144"/>
      <c r="BMW34" s="129" t="s">
        <v>133</v>
      </c>
      <c r="BMX34" s="129"/>
      <c r="BMY34" s="129"/>
      <c r="BMZ34" s="129"/>
      <c r="BNA34" s="129" t="s">
        <v>148</v>
      </c>
      <c r="BNB34" s="129"/>
      <c r="BNC34" s="129"/>
      <c r="BND34" s="129"/>
      <c r="BNE34" s="129"/>
      <c r="BNF34" s="129" t="s">
        <v>83</v>
      </c>
      <c r="BNG34" s="129"/>
      <c r="BNH34" s="129"/>
      <c r="BNI34" s="129"/>
      <c r="BNJ34" s="129"/>
      <c r="BNK34" s="129"/>
      <c r="BNL34" s="129" t="s">
        <v>37</v>
      </c>
      <c r="BNM34" s="129"/>
      <c r="BNN34" s="129"/>
      <c r="BNO34" s="129"/>
      <c r="BNP34" s="129"/>
      <c r="BNQ34" s="129"/>
      <c r="BNR34" s="129" t="s">
        <v>49</v>
      </c>
      <c r="BNS34" s="129"/>
      <c r="BNT34" s="129"/>
      <c r="BNU34" s="129"/>
      <c r="BNV34" s="129"/>
      <c r="BNW34" s="129"/>
      <c r="BNX34" s="129" t="s">
        <v>149</v>
      </c>
      <c r="BNY34" s="129"/>
      <c r="BNZ34" s="129"/>
      <c r="BOA34" s="129"/>
      <c r="BOB34" s="129"/>
      <c r="BOC34" s="129"/>
      <c r="BOD34" s="129"/>
      <c r="BOE34" s="129" t="s">
        <v>150</v>
      </c>
      <c r="BOF34" s="129"/>
      <c r="BOG34" s="129"/>
      <c r="BOH34" s="129"/>
      <c r="BOI34" s="129"/>
      <c r="BOJ34" s="129"/>
      <c r="BOK34" s="129"/>
      <c r="BOL34" s="129" t="s">
        <v>151</v>
      </c>
      <c r="BOM34" s="129"/>
      <c r="BON34" s="129"/>
      <c r="BOO34" s="129"/>
      <c r="BOP34" s="129"/>
      <c r="BOQ34" s="129"/>
      <c r="BOR34" s="129"/>
      <c r="BOS34" s="129" t="s">
        <v>37</v>
      </c>
      <c r="BOT34" s="129"/>
      <c r="BOU34" s="129"/>
      <c r="BOV34" s="129"/>
      <c r="BOW34" s="129"/>
      <c r="BOX34" s="129"/>
      <c r="BOY34" s="129"/>
      <c r="BOZ34" s="129" t="s">
        <v>40</v>
      </c>
      <c r="BPA34" s="129"/>
      <c r="BPB34" s="129"/>
      <c r="BPC34" s="129"/>
      <c r="BPD34" s="129"/>
      <c r="BPE34" s="129"/>
      <c r="BPF34" s="129"/>
      <c r="COP34" s="128" t="str">
        <f ca="1">VLOOKUP(8,INDIRECT("Closed"&amp;'Character Creation'!$Z$14),2,FALSE)</f>
        <v>Rapid Ways</v>
      </c>
      <c r="COQ34" s="128"/>
      <c r="COR34" s="128"/>
      <c r="COS34" s="128"/>
      <c r="COT34" s="128"/>
      <c r="COU34" s="128"/>
      <c r="COV34" s="128"/>
      <c r="COW34" s="128"/>
      <c r="COX34" s="128"/>
      <c r="COY34" s="128"/>
      <c r="COZ34" s="128"/>
      <c r="CPA34" s="128"/>
      <c r="CPB34" s="128"/>
      <c r="CPC34" s="128"/>
      <c r="CPD34" s="128"/>
      <c r="CPE34" s="128"/>
      <c r="CPF34" s="128"/>
      <c r="CPG34" s="128"/>
      <c r="CPH34" s="128"/>
      <c r="CPI34" s="128"/>
      <c r="CPJ34" s="128"/>
      <c r="CPK34" s="128"/>
      <c r="CPL34" s="128"/>
      <c r="CPM34" s="128"/>
      <c r="CPN34" s="128"/>
      <c r="CPO34" s="128"/>
      <c r="CPP34" s="128"/>
      <c r="CPQ34" s="128"/>
      <c r="CPR34" s="128"/>
      <c r="CPS34" s="128"/>
      <c r="CPT34" s="128"/>
      <c r="CPU34" s="129"/>
      <c r="CPV34" s="129"/>
      <c r="CPW34" s="129"/>
      <c r="CPX34" s="129"/>
      <c r="CPY34" s="129"/>
      <c r="CPZ34" s="129"/>
      <c r="CQA34" s="129"/>
      <c r="CQB34" s="129"/>
      <c r="CQC34" s="129"/>
      <c r="CQD34" s="129"/>
      <c r="CQE34" s="129"/>
      <c r="CQF34" s="129"/>
      <c r="CQG34" s="129"/>
      <c r="CQH34" s="129"/>
      <c r="CQI34" s="129"/>
      <c r="CQJ34" s="129"/>
      <c r="CQK34" s="129"/>
      <c r="CQL34" s="129"/>
      <c r="CQM34" s="129"/>
      <c r="CQN34" s="129"/>
      <c r="CQO34" s="129"/>
      <c r="CQP34" s="128"/>
      <c r="CQQ34" s="128"/>
      <c r="CQR34" s="128"/>
      <c r="CQS34" s="128"/>
      <c r="CQT34" s="128"/>
      <c r="CQU34" s="128"/>
      <c r="CQV34" s="129"/>
      <c r="CQW34" s="129"/>
      <c r="CQX34" s="129"/>
      <c r="CQY34" s="129"/>
      <c r="CQZ34" s="129"/>
      <c r="CRA34" s="129"/>
      <c r="CRB34" s="129"/>
      <c r="CRC34" s="129"/>
      <c r="CRD34" s="129"/>
      <c r="CRE34" s="129"/>
      <c r="CRF34" s="129"/>
      <c r="CRG34" s="129"/>
      <c r="CRH34" s="129"/>
      <c r="CRI34" s="129"/>
      <c r="CRJ34" s="129"/>
      <c r="CRK34" s="129"/>
      <c r="CRL34" s="129"/>
      <c r="CRM34" s="129"/>
      <c r="CRN34" s="129"/>
      <c r="CRO34" s="129"/>
      <c r="CRP34" s="129"/>
      <c r="CRQ34" s="129"/>
      <c r="CRR34" s="129"/>
      <c r="CRS34" s="129"/>
      <c r="CRT34" s="129"/>
      <c r="CRU34" s="129"/>
      <c r="CRV34" s="129"/>
      <c r="CRW34" s="129"/>
      <c r="CRX34" s="128"/>
      <c r="CRY34" s="128"/>
      <c r="CRZ34" s="128"/>
      <c r="CSA34" s="128"/>
      <c r="CSB34" s="128"/>
      <c r="CSC34" s="128"/>
      <c r="CSD34" s="128"/>
      <c r="CSF34" s="128" t="s">
        <v>459</v>
      </c>
      <c r="CSG34" s="128"/>
      <c r="CSH34" s="128"/>
      <c r="CSI34" s="128"/>
      <c r="CSJ34" s="128"/>
      <c r="CSK34" s="128"/>
      <c r="CSL34" s="128"/>
      <c r="CSM34" s="128"/>
      <c r="CSN34" s="128"/>
      <c r="CSO34" s="128"/>
      <c r="CSP34" s="128"/>
      <c r="CSQ34" s="128"/>
      <c r="CSR34" s="128"/>
      <c r="CSS34" s="128"/>
      <c r="CST34" s="128"/>
      <c r="CSU34" s="128"/>
      <c r="CSV34" s="128"/>
      <c r="CSW34" s="128"/>
      <c r="CSX34" s="128"/>
      <c r="CSY34" s="128"/>
      <c r="CSZ34" s="128"/>
      <c r="CTA34" s="128"/>
      <c r="CTB34" s="128"/>
      <c r="CTC34" s="128"/>
      <c r="CTD34" s="128"/>
      <c r="CTE34" s="128"/>
      <c r="CTF34" s="128"/>
      <c r="CTG34" s="128"/>
      <c r="CTH34" s="128"/>
      <c r="CTI34" s="128"/>
      <c r="CTJ34" s="128"/>
      <c r="CTK34" s="129"/>
      <c r="CTL34" s="129"/>
      <c r="CTM34" s="129"/>
      <c r="CTN34" s="129"/>
      <c r="CTO34" s="129"/>
      <c r="CTP34" s="129"/>
      <c r="CTQ34" s="129"/>
      <c r="CTR34" s="129"/>
      <c r="CTS34" s="129"/>
      <c r="CTT34" s="129"/>
      <c r="CTU34" s="129"/>
      <c r="CTV34" s="129"/>
      <c r="CTW34" s="129"/>
      <c r="CTX34" s="129"/>
      <c r="CTY34" s="129"/>
      <c r="CTZ34" s="129"/>
      <c r="CUA34" s="129"/>
      <c r="CUB34" s="129"/>
      <c r="CUC34" s="129"/>
      <c r="CUD34" s="129"/>
      <c r="CUE34" s="129"/>
      <c r="CUF34" s="128"/>
      <c r="CUG34" s="128"/>
      <c r="CUH34" s="128"/>
      <c r="CUI34" s="128"/>
      <c r="CUJ34" s="128"/>
      <c r="CUK34" s="128"/>
      <c r="CUL34" s="129"/>
      <c r="CUM34" s="129"/>
      <c r="CUN34" s="129"/>
      <c r="CUO34" s="129"/>
      <c r="CUP34" s="129"/>
      <c r="CUQ34" s="129"/>
      <c r="CUR34" s="129"/>
      <c r="CUS34" s="129"/>
      <c r="CUT34" s="129"/>
      <c r="CUU34" s="129"/>
      <c r="CUV34" s="129"/>
      <c r="CUW34" s="129"/>
      <c r="CUX34" s="129"/>
      <c r="CUY34" s="129"/>
      <c r="CUZ34" s="129"/>
      <c r="CVA34" s="129"/>
      <c r="CVB34" s="129"/>
      <c r="CVC34" s="129"/>
      <c r="CVD34" s="129"/>
      <c r="CVE34" s="129"/>
      <c r="CVF34" s="129"/>
      <c r="CVG34" s="129"/>
      <c r="CVH34" s="129"/>
      <c r="CVI34" s="129"/>
      <c r="CVJ34" s="129"/>
      <c r="CVK34" s="129"/>
      <c r="CVL34" s="129"/>
      <c r="CVM34" s="129"/>
      <c r="CVN34" s="128"/>
      <c r="CVO34" s="128"/>
      <c r="CVP34" s="128"/>
      <c r="CVQ34" s="128"/>
      <c r="CVR34" s="128"/>
      <c r="CVS34" s="128"/>
      <c r="CVT34" s="128"/>
      <c r="DDB34" s="144" t="s">
        <v>539</v>
      </c>
      <c r="DDC34" s="144"/>
      <c r="DDD34" s="144"/>
      <c r="DDE34" s="144"/>
      <c r="DDF34" s="144"/>
      <c r="DDG34" s="144"/>
      <c r="DDH34" s="144"/>
      <c r="DDI34" s="144"/>
      <c r="DDJ34" s="144"/>
      <c r="DDK34" s="144"/>
      <c r="DDL34" s="144"/>
      <c r="DDM34" s="144"/>
      <c r="DDN34" s="144"/>
      <c r="DDO34" s="144"/>
      <c r="DDP34" s="144"/>
      <c r="DDQ34" s="144"/>
      <c r="DDR34" s="144"/>
      <c r="DDS34" s="144"/>
      <c r="DDT34" s="144"/>
      <c r="DDU34" s="144"/>
      <c r="DDV34" s="144"/>
      <c r="DDW34" s="144"/>
      <c r="DDX34" s="144"/>
      <c r="DDY34" s="144"/>
      <c r="DDZ34" s="144"/>
      <c r="DEA34" s="144"/>
      <c r="DEB34" s="144"/>
      <c r="DEC34" s="144"/>
      <c r="DED34" s="144"/>
      <c r="DEE34" s="144"/>
      <c r="DEF34" s="144"/>
      <c r="DEG34" s="144"/>
      <c r="DEH34" s="144"/>
      <c r="DEI34" s="144"/>
      <c r="DEJ34" s="144"/>
      <c r="DEK34" s="144"/>
      <c r="DEL34" s="144"/>
      <c r="DEM34" s="144"/>
      <c r="DEN34" s="144"/>
      <c r="DEO34" s="144"/>
      <c r="DEP34" s="144"/>
      <c r="DEQ34" s="144"/>
      <c r="DER34" s="144"/>
      <c r="DES34" s="144"/>
      <c r="DET34" s="144"/>
      <c r="DEU34" s="144"/>
      <c r="DEV34" s="144"/>
      <c r="DEW34" s="144"/>
      <c r="DEX34" s="144"/>
      <c r="DEY34" s="144"/>
      <c r="DEZ34" s="144"/>
      <c r="DFA34" s="144"/>
      <c r="DFB34" s="144"/>
      <c r="DFC34" s="144"/>
      <c r="DFD34" s="144"/>
      <c r="DFE34" s="144"/>
      <c r="DFF34" s="144"/>
      <c r="DFG34" s="144"/>
      <c r="DFH34" s="144"/>
      <c r="DFI34" s="144"/>
      <c r="DFJ34" s="144"/>
      <c r="DFK34" s="144"/>
      <c r="DFL34" s="144"/>
      <c r="DFM34" s="144"/>
      <c r="DFN34" s="144"/>
      <c r="DFO34" s="144"/>
      <c r="DFP34" s="144"/>
      <c r="DFQ34" s="144"/>
      <c r="DFR34" s="144"/>
      <c r="DFS34" s="144"/>
      <c r="DFT34" s="144"/>
      <c r="DFU34" s="144"/>
      <c r="DFV34" s="144"/>
      <c r="DFW34" s="144"/>
      <c r="DFX34" s="144"/>
      <c r="DFY34" s="144"/>
      <c r="DFZ34" s="144"/>
      <c r="DGA34" s="144"/>
      <c r="DGB34" s="144"/>
      <c r="DGC34" s="144"/>
      <c r="DGD34" s="144"/>
      <c r="DGE34" s="144"/>
      <c r="DGF34" s="144"/>
      <c r="DGG34" s="144"/>
      <c r="DGH34" s="144"/>
      <c r="DGI34" s="144"/>
      <c r="DGJ34" s="144"/>
      <c r="DGK34" s="144"/>
      <c r="DGL34" s="144"/>
      <c r="DGM34" s="144"/>
      <c r="DGN34" s="144"/>
      <c r="DGO34" s="144"/>
      <c r="DGP34" s="144"/>
      <c r="DGR34" s="128" t="s">
        <v>254</v>
      </c>
      <c r="DGS34" s="128"/>
      <c r="DGT34" s="128"/>
      <c r="DGU34" s="128"/>
      <c r="DGV34" s="128"/>
      <c r="DGW34" s="128"/>
      <c r="DGX34" s="128"/>
      <c r="DGY34" s="128"/>
      <c r="DGZ34" s="128"/>
      <c r="DHA34" s="128"/>
      <c r="DHB34" s="128"/>
      <c r="DHC34" s="128"/>
      <c r="DHD34" s="128"/>
      <c r="DHE34" s="128"/>
      <c r="DHF34" s="128"/>
      <c r="DHG34" s="128"/>
      <c r="DHH34" s="128"/>
      <c r="DHI34" s="128"/>
      <c r="DHJ34" s="128"/>
      <c r="DHK34" s="128"/>
      <c r="DHL34" s="128"/>
      <c r="DHM34" s="128"/>
      <c r="DHN34" s="128"/>
      <c r="DHO34" s="128"/>
      <c r="DHP34" s="128"/>
      <c r="DHQ34" s="128"/>
      <c r="DHR34" s="128"/>
      <c r="DHS34" s="128"/>
      <c r="DHT34" s="128"/>
      <c r="DHU34" s="128"/>
      <c r="DHV34" s="128"/>
      <c r="DHW34" s="129"/>
      <c r="DHX34" s="129"/>
      <c r="DHY34" s="129"/>
      <c r="DHZ34" s="129"/>
      <c r="DIA34" s="129"/>
      <c r="DIB34" s="129"/>
      <c r="DIC34" s="129"/>
      <c r="DID34" s="129"/>
      <c r="DIE34" s="129"/>
      <c r="DIF34" s="129"/>
      <c r="DIG34" s="129"/>
      <c r="DIH34" s="129"/>
      <c r="DII34" s="129"/>
      <c r="DIJ34" s="129"/>
      <c r="DIK34" s="129"/>
      <c r="DIL34" s="129"/>
      <c r="DIM34" s="129"/>
      <c r="DIN34" s="129"/>
      <c r="DIO34" s="129"/>
      <c r="DIP34" s="129"/>
      <c r="DIQ34" s="129"/>
      <c r="DIR34" s="128"/>
      <c r="DIS34" s="128"/>
      <c r="DIT34" s="128"/>
      <c r="DIU34" s="128"/>
      <c r="DIV34" s="128"/>
      <c r="DIW34" s="128"/>
      <c r="DIX34" s="129"/>
      <c r="DIY34" s="129"/>
      <c r="DIZ34" s="129"/>
      <c r="DJA34" s="129"/>
      <c r="DJB34" s="129"/>
      <c r="DJC34" s="129"/>
      <c r="DJD34" s="129"/>
      <c r="DJE34" s="129"/>
      <c r="DJF34" s="129"/>
      <c r="DJG34" s="129"/>
      <c r="DJH34" s="129"/>
      <c r="DJI34" s="129"/>
      <c r="DJJ34" s="129"/>
      <c r="DJK34" s="129"/>
      <c r="DJL34" s="129"/>
      <c r="DJM34" s="129"/>
      <c r="DJN34" s="129"/>
      <c r="DJO34" s="129"/>
      <c r="DJP34" s="129"/>
      <c r="DJQ34" s="129"/>
      <c r="DJR34" s="129"/>
      <c r="DJS34" s="129"/>
      <c r="DJT34" s="129"/>
      <c r="DJU34" s="129"/>
      <c r="DJV34" s="129"/>
      <c r="DJW34" s="129"/>
      <c r="DJX34" s="129"/>
      <c r="DJY34" s="129"/>
      <c r="DJZ34" s="128"/>
      <c r="DKA34" s="128"/>
      <c r="DKB34" s="128"/>
      <c r="DKC34" s="128"/>
      <c r="DKD34" s="128"/>
      <c r="DKE34" s="128"/>
      <c r="DKF34" s="128"/>
    </row>
    <row r="35" spans="2:1022 1118:1774 2434:2996" ht="15" customHeight="1" x14ac:dyDescent="0.25">
      <c r="B35" s="133">
        <v>10</v>
      </c>
      <c r="C35" s="134"/>
      <c r="D35" s="134"/>
      <c r="E35" s="134" t="str">
        <f>IFERROR(VLOOKUP(B35,Calculations!$DH$3:$DJ$127,3,FALSE),"")</f>
        <v/>
      </c>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96" t="str">
        <f>IFERROR(VLOOKUP(B35,Calculations!$DH$3:$DX$200,17,FALSE),"")</f>
        <v/>
      </c>
      <c r="AH35" s="130"/>
      <c r="AI35" s="130"/>
      <c r="AJ35" s="130"/>
      <c r="AK35" s="130"/>
      <c r="AL35" s="130"/>
      <c r="AM35" s="130"/>
      <c r="AN35" s="130"/>
      <c r="AO35" s="130"/>
      <c r="AP35" s="130"/>
      <c r="AQ35" s="130"/>
      <c r="AR35" s="130"/>
      <c r="AS35" s="130"/>
      <c r="AT35" s="130"/>
      <c r="AU35" s="130"/>
      <c r="AV35" s="130"/>
      <c r="AW35" s="130"/>
      <c r="AX35" s="130"/>
      <c r="AY35" s="130"/>
      <c r="AZ35" s="130"/>
      <c r="BA35" s="197"/>
      <c r="BB35" s="210" t="str">
        <f>IFERROR(IFERROR((VLOOKUP(E35,Calculations!$DR$3:$EJ$200,19,FALSE)),0)+VLOOKUP(B35,Calculations!$DH$3:$DN$200,7,FALSE)+CG35+CO35+IFERROR(VLOOKUP((LEFT(E35,FIND("(",E35)-2)),Calculations!$DJ$3:$EJ$200,26,FALSE),0),"")</f>
        <v/>
      </c>
      <c r="BC35" s="210"/>
      <c r="BD35" s="210"/>
      <c r="BE35" s="210"/>
      <c r="BF35" s="210"/>
      <c r="BG35" s="210"/>
      <c r="BH35" s="210"/>
      <c r="BI35" s="130" t="str">
        <f>IFERROR("x "&amp;VLOOKUP(B35,Calculations!$DH$3:$DY$200,18,FALSE),"")</f>
        <v/>
      </c>
      <c r="BJ35" s="130"/>
      <c r="BK35" s="130"/>
      <c r="BL35" s="130"/>
      <c r="BM35" s="130"/>
      <c r="BN35" s="130"/>
      <c r="BO35" s="130"/>
      <c r="BP35" s="130"/>
      <c r="BQ35" s="130" t="str">
        <f>IFERROR(VLOOKUP(B35,Calculations!$DH$3:$EE$200,22,FALSE),"")</f>
        <v/>
      </c>
      <c r="BR35" s="130"/>
      <c r="BS35" s="130"/>
      <c r="BT35" s="130"/>
      <c r="BU35" s="130"/>
      <c r="BV35" s="130"/>
      <c r="BW35" s="130"/>
      <c r="BX35" s="130"/>
      <c r="BY35" s="130" t="str">
        <f>IFERROR(VLOOKUP(B35,Calculations!$DH$3:$EA$200,19,FALSE)-ROUNDDOWN((CO35/5),0),"")</f>
        <v/>
      </c>
      <c r="BZ35" s="130"/>
      <c r="CA35" s="130"/>
      <c r="CB35" s="130"/>
      <c r="CC35" s="130"/>
      <c r="CD35" s="130"/>
      <c r="CE35" s="130"/>
      <c r="CF35" s="130"/>
      <c r="CG35" s="195">
        <v>0</v>
      </c>
      <c r="CH35" s="195"/>
      <c r="CI35" s="195"/>
      <c r="CJ35" s="195"/>
      <c r="CK35" s="195"/>
      <c r="CL35" s="195"/>
      <c r="CM35" s="195"/>
      <c r="CN35" s="195"/>
      <c r="CO35" s="195">
        <v>0</v>
      </c>
      <c r="CP35" s="195"/>
      <c r="CQ35" s="195"/>
      <c r="CR35" s="195"/>
      <c r="CS35" s="195"/>
      <c r="CT35" s="195"/>
      <c r="CU35" s="195"/>
      <c r="CV35" s="195"/>
      <c r="CW35" s="130" t="str">
        <f>IF(E35="","",IFERROR(VLOOKUP(B35,Calculations!$DH$3:$ED$200,23,FALSE)+CO35+CG35,"- -"))</f>
        <v/>
      </c>
      <c r="CX35" s="130"/>
      <c r="CY35" s="130"/>
      <c r="CZ35" s="130"/>
      <c r="DA35" s="130"/>
      <c r="DB35" s="130"/>
      <c r="DC35" s="130"/>
      <c r="DD35" s="130"/>
      <c r="DE35" s="198" t="str">
        <f>IF(E35="","",IFERROR(VLOOKUP(B35,Calculations!$DH$3:$EE$200,24,FALSE),"- -"))</f>
        <v/>
      </c>
      <c r="DF35" s="130"/>
      <c r="DG35" s="130"/>
      <c r="DH35" s="130"/>
      <c r="DI35" s="130"/>
      <c r="DJ35" s="130"/>
      <c r="DK35" s="130"/>
      <c r="DL35" s="130"/>
      <c r="DM35" s="198" t="str">
        <f>IF(E35="","",IFERROR(VLOOKUP(B35,Calculations!$DH$3:$EJ$200,25,FALSE),"- -"))</f>
        <v/>
      </c>
      <c r="DN35" s="130"/>
      <c r="DO35" s="130"/>
      <c r="DP35" s="130"/>
      <c r="DQ35" s="130"/>
      <c r="DR35" s="130"/>
      <c r="DS35" s="130"/>
      <c r="DT35" s="130"/>
      <c r="DU35" s="130" t="str">
        <f t="shared" si="10"/>
        <v/>
      </c>
      <c r="DV35" s="130"/>
      <c r="DW35" s="130"/>
      <c r="DX35" s="130"/>
      <c r="DY35" s="130"/>
      <c r="DZ35" s="130"/>
      <c r="EA35" s="130"/>
      <c r="EB35" s="130"/>
      <c r="EC35" s="130" t="str">
        <f t="shared" si="11"/>
        <v/>
      </c>
      <c r="ED35" s="130"/>
      <c r="EE35" s="130"/>
      <c r="EF35" s="130"/>
      <c r="EG35" s="130"/>
      <c r="EH35" s="130"/>
      <c r="EI35" s="130"/>
      <c r="EJ35" s="130"/>
      <c r="EK35" s="130" t="str">
        <f t="shared" si="12"/>
        <v/>
      </c>
      <c r="EL35" s="130"/>
      <c r="EM35" s="130"/>
      <c r="EN35" s="130"/>
      <c r="EO35" s="130"/>
      <c r="EP35" s="130"/>
      <c r="EQ35" s="130"/>
      <c r="ER35" s="130"/>
      <c r="ES35" s="130" t="str">
        <f t="shared" si="13"/>
        <v/>
      </c>
      <c r="ET35" s="130"/>
      <c r="EU35" s="130"/>
      <c r="EV35" s="130"/>
      <c r="EW35" s="130"/>
      <c r="EX35" s="130"/>
      <c r="EY35" s="130"/>
      <c r="EZ35" s="238"/>
      <c r="FB35" s="139"/>
      <c r="FC35" s="140"/>
      <c r="FD35" s="140"/>
      <c r="FE35" s="140"/>
      <c r="FF35" s="140"/>
      <c r="FG35" s="140"/>
      <c r="FH35" s="140"/>
      <c r="FI35" s="140"/>
      <c r="FJ35" s="140"/>
      <c r="FK35" s="140"/>
      <c r="FL35" s="140"/>
      <c r="FM35" s="140"/>
      <c r="FN35" s="140"/>
      <c r="FO35" s="140"/>
      <c r="FP35" s="140"/>
      <c r="FQ35" s="140"/>
      <c r="FR35" s="140"/>
      <c r="FS35" s="140"/>
      <c r="FT35" s="140"/>
      <c r="FU35" s="140"/>
      <c r="FV35" s="140"/>
      <c r="FW35" s="140"/>
      <c r="FX35" s="140"/>
      <c r="FY35" s="140"/>
      <c r="FZ35" s="140"/>
      <c r="GA35" s="140"/>
      <c r="GB35" s="140"/>
      <c r="GC35" s="140"/>
      <c r="GD35" s="140"/>
      <c r="GE35" s="140"/>
      <c r="GF35" s="140"/>
      <c r="GG35" s="140"/>
      <c r="GH35" s="140"/>
      <c r="GI35" s="140"/>
      <c r="GJ35" s="140"/>
      <c r="GK35" s="140"/>
      <c r="GL35" s="140"/>
      <c r="GM35" s="140"/>
      <c r="GN35" s="140"/>
      <c r="GO35" s="140"/>
      <c r="GP35" s="140"/>
      <c r="GQ35" s="140"/>
      <c r="GR35" s="140"/>
      <c r="GS35" s="140"/>
      <c r="GT35" s="141">
        <v>0</v>
      </c>
      <c r="GU35" s="141"/>
      <c r="GV35" s="141"/>
      <c r="GW35" s="141"/>
      <c r="GX35" s="141"/>
      <c r="GY35" s="141"/>
      <c r="GZ35" s="141"/>
      <c r="HA35" s="141"/>
      <c r="HB35" s="142" t="str">
        <f>IFERROR(ROUND(Calculations!BV36*GT35,2),"")</f>
        <v/>
      </c>
      <c r="HC35" s="142"/>
      <c r="HD35" s="142"/>
      <c r="HE35" s="142"/>
      <c r="HF35" s="142"/>
      <c r="HG35" s="142"/>
      <c r="HH35" s="142"/>
      <c r="HI35" s="142"/>
      <c r="HJ35" s="142">
        <f>IFERROR(Calculations!BS36+IQ35+IX35,"")</f>
        <v>0</v>
      </c>
      <c r="HK35" s="142"/>
      <c r="HL35" s="142"/>
      <c r="HM35" s="142"/>
      <c r="HN35" s="142"/>
      <c r="HO35" s="142"/>
      <c r="HP35" s="142"/>
      <c r="HQ35" s="142"/>
      <c r="HR35" s="142" t="str">
        <f t="shared" si="9"/>
        <v/>
      </c>
      <c r="HS35" s="142"/>
      <c r="HT35" s="142"/>
      <c r="HU35" s="142"/>
      <c r="HV35" s="142"/>
      <c r="HW35" s="142"/>
      <c r="HX35" s="142"/>
      <c r="HY35" s="142"/>
      <c r="HZ35" s="142" t="str">
        <f>IFERROR(Calculations!BX36,"")</f>
        <v/>
      </c>
      <c r="IA35" s="142"/>
      <c r="IB35" s="142"/>
      <c r="IC35" s="142"/>
      <c r="ID35" s="142"/>
      <c r="IE35" s="142"/>
      <c r="IF35" s="142"/>
      <c r="IG35" s="142"/>
      <c r="IH35" s="142"/>
      <c r="II35" s="142"/>
      <c r="IJ35" s="142" t="str">
        <f>IFERROR(Calculations!BR36+IX35,"")</f>
        <v/>
      </c>
      <c r="IK35" s="142"/>
      <c r="IL35" s="142"/>
      <c r="IM35" s="142"/>
      <c r="IN35" s="142"/>
      <c r="IO35" s="142"/>
      <c r="IP35" s="142"/>
      <c r="IQ35" s="141">
        <v>0</v>
      </c>
      <c r="IR35" s="141"/>
      <c r="IS35" s="141"/>
      <c r="IT35" s="141"/>
      <c r="IU35" s="141"/>
      <c r="IV35" s="141"/>
      <c r="IW35" s="141"/>
      <c r="IX35" s="141">
        <v>0</v>
      </c>
      <c r="IY35" s="141"/>
      <c r="IZ35" s="141"/>
      <c r="JA35" s="141"/>
      <c r="JB35" s="141"/>
      <c r="JC35" s="141"/>
      <c r="JD35" s="141"/>
      <c r="JE35" s="141"/>
      <c r="JF35" s="142"/>
      <c r="JG35" s="142"/>
      <c r="JH35" s="142"/>
      <c r="JI35" s="142"/>
      <c r="JJ35" s="142"/>
      <c r="JK35" s="143" t="str">
        <f>Calculations!AS36</f>
        <v/>
      </c>
      <c r="JL35" s="143"/>
      <c r="JM35" s="143"/>
      <c r="JN35" s="143"/>
      <c r="JO35" s="143"/>
      <c r="JP35" s="143"/>
      <c r="JQ35" s="143"/>
      <c r="JR35" s="143"/>
      <c r="JS35" s="143"/>
      <c r="JT35" s="143"/>
      <c r="JU35" s="143"/>
      <c r="JV35" s="143"/>
      <c r="JW35" s="143"/>
      <c r="JX35" s="143"/>
      <c r="JY35" s="143"/>
      <c r="JZ35" s="143"/>
      <c r="KA35" s="143"/>
      <c r="KB35" s="143"/>
      <c r="KC35" s="143" t="str">
        <f>Calculations!AW36</f>
        <v/>
      </c>
      <c r="KD35" s="143"/>
      <c r="KE35" s="143"/>
      <c r="KF35" s="143"/>
      <c r="KG35" s="143"/>
      <c r="KH35" s="143"/>
      <c r="KI35" s="143"/>
      <c r="KJ35" s="143"/>
      <c r="KK35" s="143"/>
      <c r="KL35" s="143"/>
      <c r="KM35" s="143"/>
      <c r="KN35" s="143"/>
      <c r="KO35" s="143"/>
      <c r="KP35" s="143"/>
      <c r="KQ35" s="143"/>
      <c r="KR35" s="143"/>
      <c r="KS35" s="143"/>
      <c r="KT35" s="143"/>
      <c r="KU35" s="144" t="str">
        <f t="shared" si="7"/>
        <v/>
      </c>
      <c r="KV35" s="144"/>
      <c r="KW35" s="144"/>
      <c r="KX35" s="144"/>
      <c r="KY35" s="144"/>
      <c r="KZ35" s="144"/>
      <c r="LA35" s="144"/>
      <c r="LB35" s="144"/>
      <c r="LC35" s="144"/>
      <c r="LD35" s="144"/>
      <c r="LE35" s="144"/>
      <c r="LF35" s="144"/>
      <c r="LG35" s="144"/>
      <c r="LH35" s="144"/>
      <c r="LI35" s="144"/>
      <c r="LJ35" s="144"/>
      <c r="LK35" s="144"/>
      <c r="LL35" s="144"/>
      <c r="LM35" s="144"/>
      <c r="LN35" s="144"/>
      <c r="LO35" s="144"/>
      <c r="LP35" s="144"/>
      <c r="LQ35" s="144"/>
      <c r="LR35" s="144"/>
      <c r="LS35" s="144"/>
      <c r="LT35" s="144"/>
      <c r="LU35" s="144"/>
      <c r="LV35" s="144"/>
      <c r="LW35" s="144"/>
      <c r="LX35" s="144"/>
      <c r="LY35" s="144"/>
      <c r="LZ35" s="144"/>
      <c r="MA35" s="144"/>
      <c r="MB35" s="144"/>
      <c r="MC35" s="144"/>
      <c r="MD35" s="144"/>
      <c r="ME35" s="144"/>
      <c r="MF35" s="144"/>
      <c r="MG35" s="144"/>
      <c r="MH35" s="144"/>
      <c r="MI35" s="144"/>
      <c r="MJ35" s="144"/>
      <c r="MK35" s="144"/>
      <c r="ML35" s="144"/>
      <c r="MM35" s="144"/>
      <c r="MN35" s="144"/>
      <c r="MO35" s="144"/>
      <c r="MP35" s="144"/>
      <c r="MQ35" s="144"/>
      <c r="MR35" s="144"/>
      <c r="MS35" s="144"/>
      <c r="MT35" s="144"/>
      <c r="MU35" s="144"/>
      <c r="MV35" s="144"/>
      <c r="MW35" s="144"/>
      <c r="MX35" s="144"/>
      <c r="MY35" s="144"/>
      <c r="MZ35" s="145"/>
      <c r="AIT35" s="128" t="s">
        <v>213</v>
      </c>
      <c r="AIU35" s="128"/>
      <c r="AIV35" s="128"/>
      <c r="AIW35" s="128"/>
      <c r="AIX35" s="128"/>
      <c r="AIY35" s="128"/>
      <c r="AIZ35" s="128"/>
      <c r="AJA35" s="128"/>
      <c r="AJB35" s="128"/>
      <c r="AJC35" s="128"/>
      <c r="AJD35" s="128"/>
      <c r="AJE35" s="128"/>
      <c r="AJF35" s="128"/>
      <c r="AJG35" s="128"/>
      <c r="AJH35" s="128"/>
      <c r="AJI35" s="128"/>
      <c r="AJJ35" s="128"/>
      <c r="AJK35" s="128"/>
      <c r="AJL35" s="128"/>
      <c r="AJM35" s="128"/>
      <c r="AJN35" s="128"/>
      <c r="AJO35" s="128"/>
      <c r="AJP35" s="128"/>
      <c r="AJQ35" s="128"/>
      <c r="AJR35" s="128"/>
      <c r="AJS35" s="128"/>
      <c r="AJT35" s="128"/>
      <c r="AJU35" s="128"/>
      <c r="AJV35" s="128"/>
      <c r="AJW35" s="128"/>
      <c r="AJX35" s="128"/>
      <c r="AJY35" s="129"/>
      <c r="AJZ35" s="129"/>
      <c r="AKA35" s="129"/>
      <c r="AKB35" s="129"/>
      <c r="AKC35" s="129"/>
      <c r="AKD35" s="129"/>
      <c r="AKE35" s="129"/>
      <c r="AKF35" s="129"/>
      <c r="AKG35" s="129"/>
      <c r="AKH35" s="129"/>
      <c r="AKI35" s="129"/>
      <c r="AKJ35" s="129"/>
      <c r="AKK35" s="129"/>
      <c r="AKL35" s="129"/>
      <c r="AKM35" s="129"/>
      <c r="AKN35" s="129"/>
      <c r="AKO35" s="129"/>
      <c r="AKP35" s="129"/>
      <c r="AKQ35" s="129"/>
      <c r="AKR35" s="129"/>
      <c r="AKS35" s="129"/>
      <c r="AKT35" s="128"/>
      <c r="AKU35" s="128"/>
      <c r="AKV35" s="128"/>
      <c r="AKW35" s="128"/>
      <c r="AKX35" s="128"/>
      <c r="AKY35" s="128"/>
      <c r="AKZ35" s="129"/>
      <c r="ALA35" s="129"/>
      <c r="ALB35" s="129"/>
      <c r="ALC35" s="129"/>
      <c r="ALD35" s="129"/>
      <c r="ALE35" s="129"/>
      <c r="ALF35" s="129"/>
      <c r="ALG35" s="129"/>
      <c r="ALH35" s="129"/>
      <c r="ALI35" s="129"/>
      <c r="ALJ35" s="129"/>
      <c r="ALK35" s="129"/>
      <c r="ALL35" s="129"/>
      <c r="ALM35" s="129"/>
      <c r="ALN35" s="129"/>
      <c r="ALO35" s="129"/>
      <c r="ALP35" s="129"/>
      <c r="ALQ35" s="129"/>
      <c r="ALR35" s="129"/>
      <c r="ALS35" s="129"/>
      <c r="ALT35" s="129"/>
      <c r="ALU35" s="129"/>
      <c r="ALV35" s="129"/>
      <c r="ALW35" s="129"/>
      <c r="ALX35" s="129"/>
      <c r="ALY35" s="129"/>
      <c r="ALZ35" s="129"/>
      <c r="AMA35" s="129"/>
      <c r="AMB35" s="128"/>
      <c r="AMC35" s="128"/>
      <c r="AMD35" s="128"/>
      <c r="AME35" s="128"/>
      <c r="AMF35" s="128"/>
      <c r="AMG35" s="128"/>
      <c r="AMH35" s="128"/>
      <c r="APZ35" s="128" t="s">
        <v>587</v>
      </c>
      <c r="AQA35" s="128"/>
      <c r="AQB35" s="128"/>
      <c r="AQC35" s="128"/>
      <c r="AQD35" s="128"/>
      <c r="AQE35" s="128"/>
      <c r="AQF35" s="128"/>
      <c r="AQG35" s="128"/>
      <c r="AQH35" s="128"/>
      <c r="AQI35" s="128"/>
      <c r="AQJ35" s="128"/>
      <c r="AQK35" s="128"/>
      <c r="AQL35" s="128"/>
      <c r="AQM35" s="128"/>
      <c r="AQN35" s="128"/>
      <c r="AQO35" s="128"/>
      <c r="AQP35" s="128"/>
      <c r="AQQ35" s="128"/>
      <c r="AQR35" s="128"/>
      <c r="AQS35" s="128"/>
      <c r="AQT35" s="128"/>
      <c r="AQU35" s="128"/>
      <c r="AQV35" s="128"/>
      <c r="AQW35" s="128"/>
      <c r="AQX35" s="128"/>
      <c r="AQY35" s="128"/>
      <c r="AQZ35" s="128"/>
      <c r="ARA35" s="128"/>
      <c r="ARB35" s="128"/>
      <c r="ARC35" s="128"/>
      <c r="ARD35" s="128"/>
      <c r="ARE35" s="129"/>
      <c r="ARF35" s="129"/>
      <c r="ARG35" s="129"/>
      <c r="ARH35" s="129"/>
      <c r="ARI35" s="129"/>
      <c r="ARJ35" s="129"/>
      <c r="ARK35" s="129"/>
      <c r="ARL35" s="129"/>
      <c r="ARM35" s="129"/>
      <c r="ARN35" s="129"/>
      <c r="ARO35" s="129"/>
      <c r="ARP35" s="129"/>
      <c r="ARQ35" s="129"/>
      <c r="ARR35" s="129"/>
      <c r="ARS35" s="129"/>
      <c r="ART35" s="129"/>
      <c r="ARU35" s="129"/>
      <c r="ARV35" s="129"/>
      <c r="ARW35" s="129"/>
      <c r="ARX35" s="129"/>
      <c r="ARY35" s="129"/>
      <c r="ARZ35" s="128"/>
      <c r="ASA35" s="128"/>
      <c r="ASB35" s="128"/>
      <c r="ASC35" s="128"/>
      <c r="ASD35" s="128"/>
      <c r="ASE35" s="128"/>
      <c r="ASF35" s="129"/>
      <c r="ASG35" s="129"/>
      <c r="ASH35" s="129"/>
      <c r="ASI35" s="129"/>
      <c r="ASJ35" s="129"/>
      <c r="ASK35" s="129"/>
      <c r="ASL35" s="129"/>
      <c r="ASM35" s="129"/>
      <c r="ASN35" s="129"/>
      <c r="ASO35" s="129"/>
      <c r="ASP35" s="129"/>
      <c r="ASQ35" s="129"/>
      <c r="ASR35" s="129"/>
      <c r="ASS35" s="129"/>
      <c r="AST35" s="129"/>
      <c r="ASU35" s="129"/>
      <c r="ASV35" s="129"/>
      <c r="ASW35" s="129"/>
      <c r="ASX35" s="129"/>
      <c r="ASY35" s="129"/>
      <c r="ASZ35" s="129"/>
      <c r="ATA35" s="129"/>
      <c r="ATB35" s="129"/>
      <c r="ATC35" s="129"/>
      <c r="ATD35" s="129"/>
      <c r="ATE35" s="129"/>
      <c r="ATF35" s="129"/>
      <c r="ATG35" s="129"/>
      <c r="ATH35" s="128"/>
      <c r="ATI35" s="128"/>
      <c r="ATJ35" s="128"/>
      <c r="ATK35" s="128"/>
      <c r="ATL35" s="128"/>
      <c r="ATM35" s="128"/>
      <c r="ATN35" s="128"/>
      <c r="BLR35" s="128" t="s">
        <v>3897</v>
      </c>
      <c r="BLS35" s="128"/>
      <c r="BLT35" s="128"/>
      <c r="BLU35" s="128"/>
      <c r="BLV35" s="128"/>
      <c r="BLW35" s="128"/>
      <c r="BLX35" s="128"/>
      <c r="BLY35" s="128"/>
      <c r="BLZ35" s="128"/>
      <c r="BMA35" s="128"/>
      <c r="BMB35" s="128"/>
      <c r="BMC35" s="128"/>
      <c r="BMD35" s="128"/>
      <c r="BME35" s="128"/>
      <c r="BMF35" s="128"/>
      <c r="BMG35" s="128"/>
      <c r="BMH35" s="128"/>
      <c r="BMI35" s="128"/>
      <c r="BMJ35" s="128"/>
      <c r="BMK35" s="128"/>
      <c r="BML35" s="128"/>
      <c r="BMM35" s="128"/>
      <c r="BMN35" s="128"/>
      <c r="BMO35" s="128"/>
      <c r="BMP35" s="128"/>
      <c r="BMQ35" s="128"/>
      <c r="BMR35" s="128"/>
      <c r="BMS35" s="128"/>
      <c r="BMT35" s="128"/>
      <c r="BMU35" s="128"/>
      <c r="BMV35" s="128"/>
      <c r="BMW35" s="129"/>
      <c r="BMX35" s="129"/>
      <c r="BMY35" s="129"/>
      <c r="BMZ35" s="129"/>
      <c r="BNA35" s="129"/>
      <c r="BNB35" s="129"/>
      <c r="BNC35" s="129"/>
      <c r="BND35" s="129"/>
      <c r="BNE35" s="129"/>
      <c r="BNF35" s="129"/>
      <c r="BNG35" s="129"/>
      <c r="BNH35" s="129"/>
      <c r="BNI35" s="129"/>
      <c r="BNJ35" s="129"/>
      <c r="BNK35" s="129"/>
      <c r="BNL35" s="129"/>
      <c r="BNM35" s="129"/>
      <c r="BNN35" s="129"/>
      <c r="BNO35" s="129"/>
      <c r="BNP35" s="129"/>
      <c r="BNQ35" s="129"/>
      <c r="BNR35" s="128"/>
      <c r="BNS35" s="128"/>
      <c r="BNT35" s="128"/>
      <c r="BNU35" s="128"/>
      <c r="BNV35" s="128"/>
      <c r="BNW35" s="128"/>
      <c r="BNX35" s="129"/>
      <c r="BNY35" s="129"/>
      <c r="BNZ35" s="129"/>
      <c r="BOA35" s="129"/>
      <c r="BOB35" s="129"/>
      <c r="BOC35" s="129"/>
      <c r="BOD35" s="129"/>
      <c r="BOE35" s="129"/>
      <c r="BOF35" s="129"/>
      <c r="BOG35" s="129"/>
      <c r="BOH35" s="129"/>
      <c r="BOI35" s="129"/>
      <c r="BOJ35" s="129"/>
      <c r="BOK35" s="129"/>
      <c r="BOL35" s="129"/>
      <c r="BOM35" s="129"/>
      <c r="BON35" s="129"/>
      <c r="BOO35" s="129"/>
      <c r="BOP35" s="129"/>
      <c r="BOQ35" s="129"/>
      <c r="BOR35" s="129"/>
      <c r="BOS35" s="129"/>
      <c r="BOT35" s="129"/>
      <c r="BOU35" s="129"/>
      <c r="BOV35" s="129"/>
      <c r="BOW35" s="129"/>
      <c r="BOX35" s="129"/>
      <c r="BOY35" s="129"/>
      <c r="BOZ35" s="128"/>
      <c r="BPA35" s="128"/>
      <c r="BPB35" s="128"/>
      <c r="BPC35" s="128"/>
      <c r="BPD35" s="128"/>
      <c r="BPE35" s="128"/>
      <c r="BPF35" s="128"/>
      <c r="COP35" s="128" t="str">
        <f ca="1">VLOOKUP(9,INDIRECT("Closed"&amp;'Character Creation'!$Z$14),2,FALSE)</f>
        <v>Shield Mastery</v>
      </c>
      <c r="COQ35" s="128"/>
      <c r="COR35" s="128"/>
      <c r="COS35" s="128"/>
      <c r="COT35" s="128"/>
      <c r="COU35" s="128"/>
      <c r="COV35" s="128"/>
      <c r="COW35" s="128"/>
      <c r="COX35" s="128"/>
      <c r="COY35" s="128"/>
      <c r="COZ35" s="128"/>
      <c r="CPA35" s="128"/>
      <c r="CPB35" s="128"/>
      <c r="CPC35" s="128"/>
      <c r="CPD35" s="128"/>
      <c r="CPE35" s="128"/>
      <c r="CPF35" s="128"/>
      <c r="CPG35" s="128"/>
      <c r="CPH35" s="128"/>
      <c r="CPI35" s="128"/>
      <c r="CPJ35" s="128"/>
      <c r="CPK35" s="128"/>
      <c r="CPL35" s="128"/>
      <c r="CPM35" s="128"/>
      <c r="CPN35" s="128"/>
      <c r="CPO35" s="128"/>
      <c r="CPP35" s="128"/>
      <c r="CPQ35" s="128"/>
      <c r="CPR35" s="128"/>
      <c r="CPS35" s="128"/>
      <c r="CPT35" s="128"/>
      <c r="CPU35" s="129"/>
      <c r="CPV35" s="129"/>
      <c r="CPW35" s="129"/>
      <c r="CPX35" s="129"/>
      <c r="CPY35" s="129"/>
      <c r="CPZ35" s="129"/>
      <c r="CQA35" s="129"/>
      <c r="CQB35" s="129"/>
      <c r="CQC35" s="129"/>
      <c r="CQD35" s="129"/>
      <c r="CQE35" s="129"/>
      <c r="CQF35" s="129"/>
      <c r="CQG35" s="129"/>
      <c r="CQH35" s="129"/>
      <c r="CQI35" s="129"/>
      <c r="CQJ35" s="129"/>
      <c r="CQK35" s="129"/>
      <c r="CQL35" s="129"/>
      <c r="CQM35" s="129"/>
      <c r="CQN35" s="129"/>
      <c r="CQO35" s="129"/>
      <c r="CQP35" s="128"/>
      <c r="CQQ35" s="128"/>
      <c r="CQR35" s="128"/>
      <c r="CQS35" s="128"/>
      <c r="CQT35" s="128"/>
      <c r="CQU35" s="128"/>
      <c r="CQV35" s="129"/>
      <c r="CQW35" s="129"/>
      <c r="CQX35" s="129"/>
      <c r="CQY35" s="129"/>
      <c r="CQZ35" s="129"/>
      <c r="CRA35" s="129"/>
      <c r="CRB35" s="129"/>
      <c r="CRC35" s="129"/>
      <c r="CRD35" s="129"/>
      <c r="CRE35" s="129"/>
      <c r="CRF35" s="129"/>
      <c r="CRG35" s="129"/>
      <c r="CRH35" s="129"/>
      <c r="CRI35" s="129"/>
      <c r="CRJ35" s="129"/>
      <c r="CRK35" s="129"/>
      <c r="CRL35" s="129"/>
      <c r="CRM35" s="129"/>
      <c r="CRN35" s="129"/>
      <c r="CRO35" s="129"/>
      <c r="CRP35" s="129"/>
      <c r="CRQ35" s="129"/>
      <c r="CRR35" s="129"/>
      <c r="CRS35" s="129"/>
      <c r="CRT35" s="129"/>
      <c r="CRU35" s="129"/>
      <c r="CRV35" s="129"/>
      <c r="CRW35" s="129"/>
      <c r="CRX35" s="128"/>
      <c r="CRY35" s="128"/>
      <c r="CRZ35" s="128"/>
      <c r="CSA35" s="128"/>
      <c r="CSB35" s="128"/>
      <c r="CSC35" s="128"/>
      <c r="CSD35" s="128"/>
      <c r="CSF35" s="128" t="s">
        <v>460</v>
      </c>
      <c r="CSG35" s="128"/>
      <c r="CSH35" s="128"/>
      <c r="CSI35" s="128"/>
      <c r="CSJ35" s="128"/>
      <c r="CSK35" s="128"/>
      <c r="CSL35" s="128"/>
      <c r="CSM35" s="128"/>
      <c r="CSN35" s="128"/>
      <c r="CSO35" s="128"/>
      <c r="CSP35" s="128"/>
      <c r="CSQ35" s="128"/>
      <c r="CSR35" s="128"/>
      <c r="CSS35" s="128"/>
      <c r="CST35" s="128"/>
      <c r="CSU35" s="128"/>
      <c r="CSV35" s="128"/>
      <c r="CSW35" s="128"/>
      <c r="CSX35" s="128"/>
      <c r="CSY35" s="128"/>
      <c r="CSZ35" s="128"/>
      <c r="CTA35" s="128"/>
      <c r="CTB35" s="128"/>
      <c r="CTC35" s="128"/>
      <c r="CTD35" s="128"/>
      <c r="CTE35" s="128"/>
      <c r="CTF35" s="128"/>
      <c r="CTG35" s="128"/>
      <c r="CTH35" s="128"/>
      <c r="CTI35" s="128"/>
      <c r="CTJ35" s="128"/>
      <c r="CTK35" s="129"/>
      <c r="CTL35" s="129"/>
      <c r="CTM35" s="129"/>
      <c r="CTN35" s="129"/>
      <c r="CTO35" s="129"/>
      <c r="CTP35" s="129"/>
      <c r="CTQ35" s="129"/>
      <c r="CTR35" s="129"/>
      <c r="CTS35" s="129"/>
      <c r="CTT35" s="129"/>
      <c r="CTU35" s="129"/>
      <c r="CTV35" s="129"/>
      <c r="CTW35" s="129"/>
      <c r="CTX35" s="129"/>
      <c r="CTY35" s="129"/>
      <c r="CTZ35" s="129"/>
      <c r="CUA35" s="129"/>
      <c r="CUB35" s="129"/>
      <c r="CUC35" s="129"/>
      <c r="CUD35" s="129"/>
      <c r="CUE35" s="129"/>
      <c r="CUF35" s="128"/>
      <c r="CUG35" s="128"/>
      <c r="CUH35" s="128"/>
      <c r="CUI35" s="128"/>
      <c r="CUJ35" s="128"/>
      <c r="CUK35" s="128"/>
      <c r="CUL35" s="129"/>
      <c r="CUM35" s="129"/>
      <c r="CUN35" s="129"/>
      <c r="CUO35" s="129"/>
      <c r="CUP35" s="129"/>
      <c r="CUQ35" s="129"/>
      <c r="CUR35" s="129"/>
      <c r="CUS35" s="129"/>
      <c r="CUT35" s="129"/>
      <c r="CUU35" s="129"/>
      <c r="CUV35" s="129"/>
      <c r="CUW35" s="129"/>
      <c r="CUX35" s="129"/>
      <c r="CUY35" s="129"/>
      <c r="CUZ35" s="129"/>
      <c r="CVA35" s="129"/>
      <c r="CVB35" s="129"/>
      <c r="CVC35" s="129"/>
      <c r="CVD35" s="129"/>
      <c r="CVE35" s="129"/>
      <c r="CVF35" s="129"/>
      <c r="CVG35" s="129"/>
      <c r="CVH35" s="129"/>
      <c r="CVI35" s="129"/>
      <c r="CVJ35" s="129"/>
      <c r="CVK35" s="129"/>
      <c r="CVL35" s="129"/>
      <c r="CVM35" s="129"/>
      <c r="CVN35" s="128"/>
      <c r="CVO35" s="128"/>
      <c r="CVP35" s="128"/>
      <c r="CVQ35" s="128"/>
      <c r="CVR35" s="128"/>
      <c r="CVS35" s="128"/>
      <c r="CVT35" s="128"/>
      <c r="DDB35" s="144" t="s">
        <v>147</v>
      </c>
      <c r="DDC35" s="144"/>
      <c r="DDD35" s="144"/>
      <c r="DDE35" s="144"/>
      <c r="DDF35" s="144"/>
      <c r="DDG35" s="144"/>
      <c r="DDH35" s="144"/>
      <c r="DDI35" s="144"/>
      <c r="DDJ35" s="144"/>
      <c r="DDK35" s="144"/>
      <c r="DDL35" s="144"/>
      <c r="DDM35" s="144"/>
      <c r="DDN35" s="144"/>
      <c r="DDO35" s="144"/>
      <c r="DDP35" s="144"/>
      <c r="DDQ35" s="144"/>
      <c r="DDR35" s="144"/>
      <c r="DDS35" s="144"/>
      <c r="DDT35" s="144"/>
      <c r="DDU35" s="144"/>
      <c r="DDV35" s="144"/>
      <c r="DDW35" s="144"/>
      <c r="DDX35" s="144"/>
      <c r="DDY35" s="144"/>
      <c r="DDZ35" s="144"/>
      <c r="DEA35" s="144"/>
      <c r="DEB35" s="144"/>
      <c r="DEC35" s="144"/>
      <c r="DED35" s="144"/>
      <c r="DEE35" s="144"/>
      <c r="DEF35" s="144"/>
      <c r="DEG35" s="129" t="s">
        <v>133</v>
      </c>
      <c r="DEH35" s="129"/>
      <c r="DEI35" s="129"/>
      <c r="DEJ35" s="129"/>
      <c r="DEK35" s="129" t="s">
        <v>148</v>
      </c>
      <c r="DEL35" s="129"/>
      <c r="DEM35" s="129"/>
      <c r="DEN35" s="129"/>
      <c r="DEO35" s="129"/>
      <c r="DEP35" s="129" t="s">
        <v>83</v>
      </c>
      <c r="DEQ35" s="129"/>
      <c r="DER35" s="129"/>
      <c r="DES35" s="129"/>
      <c r="DET35" s="129"/>
      <c r="DEU35" s="129"/>
      <c r="DEV35" s="129" t="s">
        <v>37</v>
      </c>
      <c r="DEW35" s="129"/>
      <c r="DEX35" s="129"/>
      <c r="DEY35" s="129"/>
      <c r="DEZ35" s="129"/>
      <c r="DFA35" s="129"/>
      <c r="DFB35" s="129" t="s">
        <v>49</v>
      </c>
      <c r="DFC35" s="129"/>
      <c r="DFD35" s="129"/>
      <c r="DFE35" s="129"/>
      <c r="DFF35" s="129"/>
      <c r="DFG35" s="129"/>
      <c r="DFH35" s="129" t="s">
        <v>149</v>
      </c>
      <c r="DFI35" s="129"/>
      <c r="DFJ35" s="129"/>
      <c r="DFK35" s="129"/>
      <c r="DFL35" s="129"/>
      <c r="DFM35" s="129"/>
      <c r="DFN35" s="129"/>
      <c r="DFO35" s="129" t="s">
        <v>150</v>
      </c>
      <c r="DFP35" s="129"/>
      <c r="DFQ35" s="129"/>
      <c r="DFR35" s="129"/>
      <c r="DFS35" s="129"/>
      <c r="DFT35" s="129"/>
      <c r="DFU35" s="129"/>
      <c r="DFV35" s="129" t="s">
        <v>151</v>
      </c>
      <c r="DFW35" s="129"/>
      <c r="DFX35" s="129"/>
      <c r="DFY35" s="129"/>
      <c r="DFZ35" s="129"/>
      <c r="DGA35" s="129"/>
      <c r="DGB35" s="129"/>
      <c r="DGC35" s="129" t="s">
        <v>37</v>
      </c>
      <c r="DGD35" s="129"/>
      <c r="DGE35" s="129"/>
      <c r="DGF35" s="129"/>
      <c r="DGG35" s="129"/>
      <c r="DGH35" s="129"/>
      <c r="DGI35" s="129"/>
      <c r="DGJ35" s="129" t="s">
        <v>40</v>
      </c>
      <c r="DGK35" s="129"/>
      <c r="DGL35" s="129"/>
      <c r="DGM35" s="129"/>
      <c r="DGN35" s="129"/>
      <c r="DGO35" s="129"/>
      <c r="DGP35" s="129"/>
    </row>
    <row r="36" spans="2:1022 1118:1774 2434:2996" ht="15" customHeight="1" x14ac:dyDescent="0.25">
      <c r="B36" s="135">
        <v>11</v>
      </c>
      <c r="C36" s="136"/>
      <c r="D36" s="136"/>
      <c r="E36" s="136" t="str">
        <f>IFERROR(VLOOKUP(B36,Calculations!$DH$3:$DJ$127,3,FALSE),"")</f>
        <v/>
      </c>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c r="AE36" s="136"/>
      <c r="AF36" s="136"/>
      <c r="AG36" s="200" t="str">
        <f>IFERROR(VLOOKUP(B36,Calculations!$DH$3:$DX$200,17,FALSE),"")</f>
        <v/>
      </c>
      <c r="AH36" s="131"/>
      <c r="AI36" s="131"/>
      <c r="AJ36" s="131"/>
      <c r="AK36" s="131"/>
      <c r="AL36" s="131"/>
      <c r="AM36" s="131"/>
      <c r="AN36" s="131"/>
      <c r="AO36" s="131"/>
      <c r="AP36" s="131"/>
      <c r="AQ36" s="131"/>
      <c r="AR36" s="131"/>
      <c r="AS36" s="131"/>
      <c r="AT36" s="131"/>
      <c r="AU36" s="131"/>
      <c r="AV36" s="131"/>
      <c r="AW36" s="131"/>
      <c r="AX36" s="131"/>
      <c r="AY36" s="131"/>
      <c r="AZ36" s="131"/>
      <c r="BA36" s="201"/>
      <c r="BB36" s="226" t="str">
        <f>IFERROR(IFERROR((VLOOKUP(E36,Calculations!$DR$3:$EJ$200,19,FALSE)),0)+VLOOKUP(B36,Calculations!$DH$3:$DN$200,7,FALSE)+CG36+CO36+IFERROR(VLOOKUP((LEFT(E36,FIND("(",E36)-2)),Calculations!$DJ$3:$EJ$200,26,FALSE),0),"")</f>
        <v/>
      </c>
      <c r="BC36" s="226"/>
      <c r="BD36" s="226"/>
      <c r="BE36" s="226"/>
      <c r="BF36" s="226"/>
      <c r="BG36" s="226"/>
      <c r="BH36" s="226"/>
      <c r="BI36" s="131" t="str">
        <f>IFERROR("x "&amp;VLOOKUP(B36,Calculations!$DH$3:$DY$200,18,FALSE),"")</f>
        <v/>
      </c>
      <c r="BJ36" s="131"/>
      <c r="BK36" s="131"/>
      <c r="BL36" s="131"/>
      <c r="BM36" s="131"/>
      <c r="BN36" s="131"/>
      <c r="BO36" s="131"/>
      <c r="BP36" s="131"/>
      <c r="BQ36" s="131" t="str">
        <f>IFERROR(VLOOKUP(B36,Calculations!$DH$3:$EE$200,22,FALSE),"")</f>
        <v/>
      </c>
      <c r="BR36" s="131"/>
      <c r="BS36" s="131"/>
      <c r="BT36" s="131"/>
      <c r="BU36" s="131"/>
      <c r="BV36" s="131"/>
      <c r="BW36" s="131"/>
      <c r="BX36" s="131"/>
      <c r="BY36" s="131" t="str">
        <f>IFERROR(VLOOKUP(B36,Calculations!$DH$3:$EA$200,19,FALSE)-ROUNDDOWN((CO36/5),0),"")</f>
        <v/>
      </c>
      <c r="BZ36" s="131"/>
      <c r="CA36" s="131"/>
      <c r="CB36" s="131"/>
      <c r="CC36" s="131"/>
      <c r="CD36" s="131"/>
      <c r="CE36" s="131"/>
      <c r="CF36" s="131"/>
      <c r="CG36" s="194">
        <v>0</v>
      </c>
      <c r="CH36" s="194"/>
      <c r="CI36" s="194"/>
      <c r="CJ36" s="194"/>
      <c r="CK36" s="194"/>
      <c r="CL36" s="194"/>
      <c r="CM36" s="194"/>
      <c r="CN36" s="194"/>
      <c r="CO36" s="194">
        <v>0</v>
      </c>
      <c r="CP36" s="194"/>
      <c r="CQ36" s="194"/>
      <c r="CR36" s="194"/>
      <c r="CS36" s="194"/>
      <c r="CT36" s="194"/>
      <c r="CU36" s="194"/>
      <c r="CV36" s="194"/>
      <c r="CW36" s="131" t="str">
        <f>IF(E36="","",IFERROR(VLOOKUP(B36,Calculations!$DH$3:$ED$200,23,FALSE)+CO36+CG36,"- -"))</f>
        <v/>
      </c>
      <c r="CX36" s="131"/>
      <c r="CY36" s="131"/>
      <c r="CZ36" s="131"/>
      <c r="DA36" s="131"/>
      <c r="DB36" s="131"/>
      <c r="DC36" s="131"/>
      <c r="DD36" s="131"/>
      <c r="DE36" s="199" t="str">
        <f>IF(E36="","",IFERROR(VLOOKUP(B36,Calculations!$DH$3:$EE$200,24,FALSE),"- -"))</f>
        <v/>
      </c>
      <c r="DF36" s="131"/>
      <c r="DG36" s="131"/>
      <c r="DH36" s="131"/>
      <c r="DI36" s="131"/>
      <c r="DJ36" s="131"/>
      <c r="DK36" s="131"/>
      <c r="DL36" s="131"/>
      <c r="DM36" s="199" t="str">
        <f>IF(E36="","",IFERROR(VLOOKUP(B36,Calculations!$DH$3:$EJ$200,25,FALSE),"- -"))</f>
        <v/>
      </c>
      <c r="DN36" s="131"/>
      <c r="DO36" s="131"/>
      <c r="DP36" s="131"/>
      <c r="DQ36" s="131"/>
      <c r="DR36" s="131"/>
      <c r="DS36" s="131"/>
      <c r="DT36" s="131"/>
      <c r="DU36" s="131" t="str">
        <f t="shared" si="10"/>
        <v/>
      </c>
      <c r="DV36" s="131"/>
      <c r="DW36" s="131"/>
      <c r="DX36" s="131"/>
      <c r="DY36" s="131"/>
      <c r="DZ36" s="131"/>
      <c r="EA36" s="131"/>
      <c r="EB36" s="131"/>
      <c r="EC36" s="131" t="str">
        <f t="shared" si="11"/>
        <v/>
      </c>
      <c r="ED36" s="131"/>
      <c r="EE36" s="131"/>
      <c r="EF36" s="131"/>
      <c r="EG36" s="131"/>
      <c r="EH36" s="131"/>
      <c r="EI36" s="131"/>
      <c r="EJ36" s="131"/>
      <c r="EK36" s="131" t="str">
        <f t="shared" si="12"/>
        <v/>
      </c>
      <c r="EL36" s="131"/>
      <c r="EM36" s="131"/>
      <c r="EN36" s="131"/>
      <c r="EO36" s="131"/>
      <c r="EP36" s="131"/>
      <c r="EQ36" s="131"/>
      <c r="ER36" s="131"/>
      <c r="ES36" s="131" t="str">
        <f t="shared" si="13"/>
        <v/>
      </c>
      <c r="ET36" s="131"/>
      <c r="EU36" s="131"/>
      <c r="EV36" s="131"/>
      <c r="EW36" s="131"/>
      <c r="EX36" s="131"/>
      <c r="EY36" s="131"/>
      <c r="EZ36" s="239"/>
      <c r="FB36" s="301" t="s">
        <v>3088</v>
      </c>
      <c r="FC36" s="302"/>
      <c r="FD36" s="302"/>
      <c r="FE36" s="302"/>
      <c r="FF36" s="302"/>
      <c r="FG36" s="302"/>
      <c r="FH36" s="302"/>
      <c r="FI36" s="302"/>
      <c r="FJ36" s="302"/>
      <c r="FK36" s="302"/>
      <c r="FL36" s="302"/>
      <c r="FM36" s="302"/>
      <c r="FN36" s="302"/>
      <c r="FO36" s="302"/>
      <c r="FP36" s="302"/>
      <c r="FQ36" s="302"/>
      <c r="FR36" s="302"/>
      <c r="FS36" s="302"/>
      <c r="FT36" s="302"/>
      <c r="FU36" s="302"/>
      <c r="FV36" s="302"/>
      <c r="FW36" s="302"/>
      <c r="FX36" s="302"/>
      <c r="FY36" s="302"/>
      <c r="FZ36" s="302"/>
      <c r="GA36" s="302"/>
      <c r="GB36" s="302"/>
      <c r="GC36" s="302"/>
      <c r="GD36" s="302"/>
      <c r="GE36" s="302"/>
      <c r="GF36" s="302"/>
      <c r="GG36" s="302"/>
      <c r="GH36" s="302"/>
      <c r="GI36" s="302"/>
      <c r="GJ36" s="302"/>
      <c r="GK36" s="302"/>
      <c r="GL36" s="302"/>
      <c r="GM36" s="302"/>
      <c r="GN36" s="302"/>
      <c r="GO36" s="302"/>
      <c r="GP36" s="302"/>
      <c r="GQ36" s="302"/>
      <c r="GR36" s="302"/>
      <c r="GS36" s="302"/>
      <c r="GT36" s="300" t="s">
        <v>136</v>
      </c>
      <c r="GU36" s="300"/>
      <c r="GV36" s="300"/>
      <c r="GW36" s="300"/>
      <c r="GX36" s="300"/>
      <c r="GY36" s="300"/>
      <c r="GZ36" s="300"/>
      <c r="HA36" s="300"/>
      <c r="HB36" s="300" t="s">
        <v>72</v>
      </c>
      <c r="HC36" s="300"/>
      <c r="HD36" s="300"/>
      <c r="HE36" s="300"/>
      <c r="HF36" s="300"/>
      <c r="HG36" s="300"/>
      <c r="HH36" s="300"/>
      <c r="HI36" s="300"/>
      <c r="HJ36" s="300" t="s">
        <v>61</v>
      </c>
      <c r="HK36" s="300"/>
      <c r="HL36" s="300"/>
      <c r="HM36" s="300"/>
      <c r="HN36" s="300"/>
      <c r="HO36" s="300"/>
      <c r="HP36" s="300"/>
      <c r="HQ36" s="300"/>
      <c r="HR36" s="300" t="s">
        <v>134</v>
      </c>
      <c r="HS36" s="300"/>
      <c r="HT36" s="300"/>
      <c r="HU36" s="300"/>
      <c r="HV36" s="300"/>
      <c r="HW36" s="300"/>
      <c r="HX36" s="300"/>
      <c r="HY36" s="300"/>
      <c r="HZ36" s="300" t="s">
        <v>135</v>
      </c>
      <c r="IA36" s="300"/>
      <c r="IB36" s="300"/>
      <c r="IC36" s="300"/>
      <c r="ID36" s="300"/>
      <c r="IE36" s="300"/>
      <c r="IF36" s="300"/>
      <c r="IG36" s="300"/>
      <c r="IH36" s="300"/>
      <c r="II36" s="300"/>
      <c r="IJ36" s="300" t="s">
        <v>37</v>
      </c>
      <c r="IK36" s="300"/>
      <c r="IL36" s="300"/>
      <c r="IM36" s="300"/>
      <c r="IN36" s="300"/>
      <c r="IO36" s="300"/>
      <c r="IP36" s="300"/>
      <c r="IQ36" s="300" t="s">
        <v>55</v>
      </c>
      <c r="IR36" s="300"/>
      <c r="IS36" s="300"/>
      <c r="IT36" s="300"/>
      <c r="IU36" s="300"/>
      <c r="IV36" s="300"/>
      <c r="IW36" s="300"/>
      <c r="IX36" s="300" t="s">
        <v>60</v>
      </c>
      <c r="IY36" s="300"/>
      <c r="IZ36" s="300"/>
      <c r="JA36" s="300"/>
      <c r="JB36" s="300"/>
      <c r="JC36" s="300"/>
      <c r="JD36" s="300"/>
      <c r="JE36" s="300"/>
      <c r="JF36" s="300" t="s">
        <v>133</v>
      </c>
      <c r="JG36" s="300"/>
      <c r="JH36" s="300"/>
      <c r="JI36" s="300"/>
      <c r="JJ36" s="300"/>
      <c r="JK36" s="300" t="s">
        <v>137</v>
      </c>
      <c r="JL36" s="300"/>
      <c r="JM36" s="300"/>
      <c r="JN36" s="300"/>
      <c r="JO36" s="300"/>
      <c r="JP36" s="300"/>
      <c r="JQ36" s="300"/>
      <c r="JR36" s="300"/>
      <c r="JS36" s="300"/>
      <c r="JT36" s="300"/>
      <c r="JU36" s="300"/>
      <c r="JV36" s="300"/>
      <c r="JW36" s="300"/>
      <c r="JX36" s="300"/>
      <c r="JY36" s="300"/>
      <c r="JZ36" s="300"/>
      <c r="KA36" s="300"/>
      <c r="KB36" s="300"/>
      <c r="KC36" s="300" t="s">
        <v>138</v>
      </c>
      <c r="KD36" s="300"/>
      <c r="KE36" s="300"/>
      <c r="KF36" s="300"/>
      <c r="KG36" s="300"/>
      <c r="KH36" s="300"/>
      <c r="KI36" s="300"/>
      <c r="KJ36" s="300"/>
      <c r="KK36" s="300"/>
      <c r="KL36" s="300"/>
      <c r="KM36" s="300"/>
      <c r="KN36" s="300"/>
      <c r="KO36" s="300"/>
      <c r="KP36" s="300"/>
      <c r="KQ36" s="300"/>
      <c r="KR36" s="300"/>
      <c r="KS36" s="300"/>
      <c r="KT36" s="300"/>
      <c r="KU36" s="298" t="s">
        <v>128</v>
      </c>
      <c r="KV36" s="298"/>
      <c r="KW36" s="298"/>
      <c r="KX36" s="298"/>
      <c r="KY36" s="298"/>
      <c r="KZ36" s="298"/>
      <c r="LA36" s="298"/>
      <c r="LB36" s="298"/>
      <c r="LC36" s="298"/>
      <c r="LD36" s="298"/>
      <c r="LE36" s="298"/>
      <c r="LF36" s="298"/>
      <c r="LG36" s="298"/>
      <c r="LH36" s="298"/>
      <c r="LI36" s="298"/>
      <c r="LJ36" s="298"/>
      <c r="LK36" s="298"/>
      <c r="LL36" s="298"/>
      <c r="LM36" s="298"/>
      <c r="LN36" s="298"/>
      <c r="LO36" s="298"/>
      <c r="LP36" s="298"/>
      <c r="LQ36" s="298"/>
      <c r="LR36" s="298"/>
      <c r="LS36" s="298"/>
      <c r="LT36" s="298"/>
      <c r="LU36" s="298"/>
      <c r="LV36" s="298"/>
      <c r="LW36" s="298"/>
      <c r="LX36" s="298"/>
      <c r="LY36" s="298"/>
      <c r="LZ36" s="298"/>
      <c r="MA36" s="298"/>
      <c r="MB36" s="298"/>
      <c r="MC36" s="298"/>
      <c r="MD36" s="298"/>
      <c r="ME36" s="298"/>
      <c r="MF36" s="298"/>
      <c r="MG36" s="298"/>
      <c r="MH36" s="298"/>
      <c r="MI36" s="298"/>
      <c r="MJ36" s="298"/>
      <c r="MK36" s="298"/>
      <c r="ML36" s="298"/>
      <c r="MM36" s="298"/>
      <c r="MN36" s="298"/>
      <c r="MO36" s="298"/>
      <c r="MP36" s="298"/>
      <c r="MQ36" s="298"/>
      <c r="MR36" s="298"/>
      <c r="MS36" s="298"/>
      <c r="MT36" s="298"/>
      <c r="MU36" s="298"/>
      <c r="MV36" s="298"/>
      <c r="MW36" s="298"/>
      <c r="MX36" s="298"/>
      <c r="MY36" s="298"/>
      <c r="MZ36" s="299"/>
      <c r="AIT36" s="128" t="s">
        <v>214</v>
      </c>
      <c r="AIU36" s="128"/>
      <c r="AIV36" s="128"/>
      <c r="AIW36" s="128"/>
      <c r="AIX36" s="128"/>
      <c r="AIY36" s="128"/>
      <c r="AIZ36" s="128"/>
      <c r="AJA36" s="128"/>
      <c r="AJB36" s="128"/>
      <c r="AJC36" s="128"/>
      <c r="AJD36" s="128"/>
      <c r="AJE36" s="128"/>
      <c r="AJF36" s="128"/>
      <c r="AJG36" s="128"/>
      <c r="AJH36" s="128"/>
      <c r="AJI36" s="128"/>
      <c r="AJJ36" s="128"/>
      <c r="AJK36" s="128"/>
      <c r="AJL36" s="128"/>
      <c r="AJM36" s="128"/>
      <c r="AJN36" s="128"/>
      <c r="AJO36" s="128"/>
      <c r="AJP36" s="128"/>
      <c r="AJQ36" s="128"/>
      <c r="AJR36" s="128"/>
      <c r="AJS36" s="128"/>
      <c r="AJT36" s="128"/>
      <c r="AJU36" s="128"/>
      <c r="AJV36" s="128"/>
      <c r="AJW36" s="128"/>
      <c r="AJX36" s="128"/>
      <c r="AJY36" s="129"/>
      <c r="AJZ36" s="129"/>
      <c r="AKA36" s="129"/>
      <c r="AKB36" s="129"/>
      <c r="AKC36" s="129"/>
      <c r="AKD36" s="129"/>
      <c r="AKE36" s="129"/>
      <c r="AKF36" s="129"/>
      <c r="AKG36" s="129"/>
      <c r="AKH36" s="129"/>
      <c r="AKI36" s="129"/>
      <c r="AKJ36" s="129"/>
      <c r="AKK36" s="129"/>
      <c r="AKL36" s="129"/>
      <c r="AKM36" s="129"/>
      <c r="AKN36" s="129"/>
      <c r="AKO36" s="129"/>
      <c r="AKP36" s="129"/>
      <c r="AKQ36" s="129"/>
      <c r="AKR36" s="129"/>
      <c r="AKS36" s="129"/>
      <c r="AKT36" s="128"/>
      <c r="AKU36" s="128"/>
      <c r="AKV36" s="128"/>
      <c r="AKW36" s="128"/>
      <c r="AKX36" s="128"/>
      <c r="AKY36" s="128"/>
      <c r="AKZ36" s="129"/>
      <c r="ALA36" s="129"/>
      <c r="ALB36" s="129"/>
      <c r="ALC36" s="129"/>
      <c r="ALD36" s="129"/>
      <c r="ALE36" s="129"/>
      <c r="ALF36" s="129"/>
      <c r="ALG36" s="129"/>
      <c r="ALH36" s="129"/>
      <c r="ALI36" s="129"/>
      <c r="ALJ36" s="129"/>
      <c r="ALK36" s="129"/>
      <c r="ALL36" s="129"/>
      <c r="ALM36" s="129"/>
      <c r="ALN36" s="129"/>
      <c r="ALO36" s="129"/>
      <c r="ALP36" s="129"/>
      <c r="ALQ36" s="129"/>
      <c r="ALR36" s="129"/>
      <c r="ALS36" s="129"/>
      <c r="ALT36" s="129"/>
      <c r="ALU36" s="129"/>
      <c r="ALV36" s="129"/>
      <c r="ALW36" s="129"/>
      <c r="ALX36" s="129"/>
      <c r="ALY36" s="129"/>
      <c r="ALZ36" s="129"/>
      <c r="AMA36" s="129"/>
      <c r="AMB36" s="128"/>
      <c r="AMC36" s="128"/>
      <c r="AMD36" s="128"/>
      <c r="AME36" s="128"/>
      <c r="AMF36" s="128"/>
      <c r="AMG36" s="128"/>
      <c r="AMH36" s="128"/>
      <c r="APZ36" s="128" t="s">
        <v>252</v>
      </c>
      <c r="AQA36" s="128"/>
      <c r="AQB36" s="128"/>
      <c r="AQC36" s="128"/>
      <c r="AQD36" s="128"/>
      <c r="AQE36" s="128"/>
      <c r="AQF36" s="128"/>
      <c r="AQG36" s="128"/>
      <c r="AQH36" s="128"/>
      <c r="AQI36" s="128"/>
      <c r="AQJ36" s="128"/>
      <c r="AQK36" s="128"/>
      <c r="AQL36" s="128"/>
      <c r="AQM36" s="128"/>
      <c r="AQN36" s="128"/>
      <c r="AQO36" s="128"/>
      <c r="AQP36" s="128"/>
      <c r="AQQ36" s="128"/>
      <c r="AQR36" s="128"/>
      <c r="AQS36" s="128"/>
      <c r="AQT36" s="128"/>
      <c r="AQU36" s="128"/>
      <c r="AQV36" s="128"/>
      <c r="AQW36" s="128"/>
      <c r="AQX36" s="128"/>
      <c r="AQY36" s="128"/>
      <c r="AQZ36" s="128"/>
      <c r="ARA36" s="128"/>
      <c r="ARB36" s="128"/>
      <c r="ARC36" s="128"/>
      <c r="ARD36" s="128"/>
      <c r="ARE36" s="129"/>
      <c r="ARF36" s="129"/>
      <c r="ARG36" s="129"/>
      <c r="ARH36" s="129"/>
      <c r="ARI36" s="129"/>
      <c r="ARJ36" s="129"/>
      <c r="ARK36" s="129"/>
      <c r="ARL36" s="129"/>
      <c r="ARM36" s="129"/>
      <c r="ARN36" s="129"/>
      <c r="ARO36" s="129"/>
      <c r="ARP36" s="129"/>
      <c r="ARQ36" s="129"/>
      <c r="ARR36" s="129"/>
      <c r="ARS36" s="129"/>
      <c r="ART36" s="129"/>
      <c r="ARU36" s="129"/>
      <c r="ARV36" s="129"/>
      <c r="ARW36" s="129"/>
      <c r="ARX36" s="129"/>
      <c r="ARY36" s="129"/>
      <c r="ARZ36" s="128"/>
      <c r="ASA36" s="128"/>
      <c r="ASB36" s="128"/>
      <c r="ASC36" s="128"/>
      <c r="ASD36" s="128"/>
      <c r="ASE36" s="128"/>
      <c r="ASF36" s="129"/>
      <c r="ASG36" s="129"/>
      <c r="ASH36" s="129"/>
      <c r="ASI36" s="129"/>
      <c r="ASJ36" s="129"/>
      <c r="ASK36" s="129"/>
      <c r="ASL36" s="129"/>
      <c r="ASM36" s="129"/>
      <c r="ASN36" s="129"/>
      <c r="ASO36" s="129"/>
      <c r="ASP36" s="129"/>
      <c r="ASQ36" s="129"/>
      <c r="ASR36" s="129"/>
      <c r="ASS36" s="129"/>
      <c r="AST36" s="129"/>
      <c r="ASU36" s="129"/>
      <c r="ASV36" s="129"/>
      <c r="ASW36" s="129"/>
      <c r="ASX36" s="129"/>
      <c r="ASY36" s="129"/>
      <c r="ASZ36" s="129"/>
      <c r="ATA36" s="129"/>
      <c r="ATB36" s="129"/>
      <c r="ATC36" s="129"/>
      <c r="ATD36" s="129"/>
      <c r="ATE36" s="129"/>
      <c r="ATF36" s="129"/>
      <c r="ATG36" s="129"/>
      <c r="ATH36" s="128"/>
      <c r="ATI36" s="128"/>
      <c r="ATJ36" s="128"/>
      <c r="ATK36" s="128"/>
      <c r="ATL36" s="128"/>
      <c r="ATM36" s="128"/>
      <c r="ATN36" s="128"/>
      <c r="BLR36" s="128" t="s">
        <v>2043</v>
      </c>
      <c r="BLS36" s="128"/>
      <c r="BLT36" s="128"/>
      <c r="BLU36" s="128"/>
      <c r="BLV36" s="128"/>
      <c r="BLW36" s="128"/>
      <c r="BLX36" s="128"/>
      <c r="BLY36" s="128"/>
      <c r="BLZ36" s="128"/>
      <c r="BMA36" s="128"/>
      <c r="BMB36" s="128"/>
      <c r="BMC36" s="128"/>
      <c r="BMD36" s="128"/>
      <c r="BME36" s="128"/>
      <c r="BMF36" s="128"/>
      <c r="BMG36" s="128"/>
      <c r="BMH36" s="128"/>
      <c r="BMI36" s="128"/>
      <c r="BMJ36" s="128"/>
      <c r="BMK36" s="128"/>
      <c r="BML36" s="128"/>
      <c r="BMM36" s="128"/>
      <c r="BMN36" s="128"/>
      <c r="BMO36" s="128"/>
      <c r="BMP36" s="128"/>
      <c r="BMQ36" s="128"/>
      <c r="BMR36" s="128"/>
      <c r="BMS36" s="128"/>
      <c r="BMT36" s="128"/>
      <c r="BMU36" s="128"/>
      <c r="BMV36" s="128"/>
      <c r="BMW36" s="129"/>
      <c r="BMX36" s="129"/>
      <c r="BMY36" s="129"/>
      <c r="BMZ36" s="129"/>
      <c r="BNA36" s="129"/>
      <c r="BNB36" s="129"/>
      <c r="BNC36" s="129"/>
      <c r="BND36" s="129"/>
      <c r="BNE36" s="129"/>
      <c r="BNF36" s="129"/>
      <c r="BNG36" s="129"/>
      <c r="BNH36" s="129"/>
      <c r="BNI36" s="129"/>
      <c r="BNJ36" s="129"/>
      <c r="BNK36" s="129"/>
      <c r="BNL36" s="129"/>
      <c r="BNM36" s="129"/>
      <c r="BNN36" s="129"/>
      <c r="BNO36" s="129"/>
      <c r="BNP36" s="129"/>
      <c r="BNQ36" s="129"/>
      <c r="BNR36" s="128"/>
      <c r="BNS36" s="128"/>
      <c r="BNT36" s="128"/>
      <c r="BNU36" s="128"/>
      <c r="BNV36" s="128"/>
      <c r="BNW36" s="128"/>
      <c r="BNX36" s="129"/>
      <c r="BNY36" s="129"/>
      <c r="BNZ36" s="129"/>
      <c r="BOA36" s="129"/>
      <c r="BOB36" s="129"/>
      <c r="BOC36" s="129"/>
      <c r="BOD36" s="129"/>
      <c r="BOE36" s="129"/>
      <c r="BOF36" s="129"/>
      <c r="BOG36" s="129"/>
      <c r="BOH36" s="129"/>
      <c r="BOI36" s="129"/>
      <c r="BOJ36" s="129"/>
      <c r="BOK36" s="129"/>
      <c r="BOL36" s="129"/>
      <c r="BOM36" s="129"/>
      <c r="BON36" s="129"/>
      <c r="BOO36" s="129"/>
      <c r="BOP36" s="129"/>
      <c r="BOQ36" s="129"/>
      <c r="BOR36" s="129"/>
      <c r="BOS36" s="129"/>
      <c r="BOT36" s="129"/>
      <c r="BOU36" s="129"/>
      <c r="BOV36" s="129"/>
      <c r="BOW36" s="129"/>
      <c r="BOX36" s="129"/>
      <c r="BOY36" s="129"/>
      <c r="BOZ36" s="128"/>
      <c r="BPA36" s="128"/>
      <c r="BPB36" s="128"/>
      <c r="BPC36" s="128"/>
      <c r="BPD36" s="128"/>
      <c r="BPE36" s="128"/>
      <c r="BPF36" s="128"/>
      <c r="COP36" s="128" t="str">
        <f ca="1">VLOOKUP(10,INDIRECT("Closed"&amp;'Character Creation'!$Z$14),2,FALSE)</f>
        <v>Solid Elements</v>
      </c>
      <c r="COQ36" s="128"/>
      <c r="COR36" s="128"/>
      <c r="COS36" s="128"/>
      <c r="COT36" s="128"/>
      <c r="COU36" s="128"/>
      <c r="COV36" s="128"/>
      <c r="COW36" s="128"/>
      <c r="COX36" s="128"/>
      <c r="COY36" s="128"/>
      <c r="COZ36" s="128"/>
      <c r="CPA36" s="128"/>
      <c r="CPB36" s="128"/>
      <c r="CPC36" s="128"/>
      <c r="CPD36" s="128"/>
      <c r="CPE36" s="128"/>
      <c r="CPF36" s="128"/>
      <c r="CPG36" s="128"/>
      <c r="CPH36" s="128"/>
      <c r="CPI36" s="128"/>
      <c r="CPJ36" s="128"/>
      <c r="CPK36" s="128"/>
      <c r="CPL36" s="128"/>
      <c r="CPM36" s="128"/>
      <c r="CPN36" s="128"/>
      <c r="CPO36" s="128"/>
      <c r="CPP36" s="128"/>
      <c r="CPQ36" s="128"/>
      <c r="CPR36" s="128"/>
      <c r="CPS36" s="128"/>
      <c r="CPT36" s="128"/>
      <c r="CPU36" s="129"/>
      <c r="CPV36" s="129"/>
      <c r="CPW36" s="129"/>
      <c r="CPX36" s="129"/>
      <c r="CPY36" s="129"/>
      <c r="CPZ36" s="129"/>
      <c r="CQA36" s="129"/>
      <c r="CQB36" s="129"/>
      <c r="CQC36" s="129"/>
      <c r="CQD36" s="129"/>
      <c r="CQE36" s="129"/>
      <c r="CQF36" s="129"/>
      <c r="CQG36" s="129"/>
      <c r="CQH36" s="129"/>
      <c r="CQI36" s="129"/>
      <c r="CQJ36" s="129"/>
      <c r="CQK36" s="129"/>
      <c r="CQL36" s="129"/>
      <c r="CQM36" s="129"/>
      <c r="CQN36" s="129"/>
      <c r="CQO36" s="129"/>
      <c r="CQP36" s="128"/>
      <c r="CQQ36" s="128"/>
      <c r="CQR36" s="128"/>
      <c r="CQS36" s="128"/>
      <c r="CQT36" s="128"/>
      <c r="CQU36" s="128"/>
      <c r="CQV36" s="129"/>
      <c r="CQW36" s="129"/>
      <c r="CQX36" s="129"/>
      <c r="CQY36" s="129"/>
      <c r="CQZ36" s="129"/>
      <c r="CRA36" s="129"/>
      <c r="CRB36" s="129"/>
      <c r="CRC36" s="129"/>
      <c r="CRD36" s="129"/>
      <c r="CRE36" s="129"/>
      <c r="CRF36" s="129"/>
      <c r="CRG36" s="129"/>
      <c r="CRH36" s="129"/>
      <c r="CRI36" s="129"/>
      <c r="CRJ36" s="129"/>
      <c r="CRK36" s="129"/>
      <c r="CRL36" s="129"/>
      <c r="CRM36" s="129"/>
      <c r="CRN36" s="129"/>
      <c r="CRO36" s="129"/>
      <c r="CRP36" s="129"/>
      <c r="CRQ36" s="129"/>
      <c r="CRR36" s="129"/>
      <c r="CRS36" s="129"/>
      <c r="CRT36" s="129"/>
      <c r="CRU36" s="129"/>
      <c r="CRV36" s="129"/>
      <c r="CRW36" s="129"/>
      <c r="CRX36" s="128"/>
      <c r="CRY36" s="128"/>
      <c r="CRZ36" s="128"/>
      <c r="CSA36" s="128"/>
      <c r="CSB36" s="128"/>
      <c r="CSC36" s="128"/>
      <c r="CSD36" s="128"/>
      <c r="CSF36" s="128" t="s">
        <v>461</v>
      </c>
      <c r="CSG36" s="128"/>
      <c r="CSH36" s="128"/>
      <c r="CSI36" s="128"/>
      <c r="CSJ36" s="128"/>
      <c r="CSK36" s="128"/>
      <c r="CSL36" s="128"/>
      <c r="CSM36" s="128"/>
      <c r="CSN36" s="128"/>
      <c r="CSO36" s="128"/>
      <c r="CSP36" s="128"/>
      <c r="CSQ36" s="128"/>
      <c r="CSR36" s="128"/>
      <c r="CSS36" s="128"/>
      <c r="CST36" s="128"/>
      <c r="CSU36" s="128"/>
      <c r="CSV36" s="128"/>
      <c r="CSW36" s="128"/>
      <c r="CSX36" s="128"/>
      <c r="CSY36" s="128"/>
      <c r="CSZ36" s="128"/>
      <c r="CTA36" s="128"/>
      <c r="CTB36" s="128"/>
      <c r="CTC36" s="128"/>
      <c r="CTD36" s="128"/>
      <c r="CTE36" s="128"/>
      <c r="CTF36" s="128"/>
      <c r="CTG36" s="128"/>
      <c r="CTH36" s="128"/>
      <c r="CTI36" s="128"/>
      <c r="CTJ36" s="128"/>
      <c r="CTK36" s="129"/>
      <c r="CTL36" s="129"/>
      <c r="CTM36" s="129"/>
      <c r="CTN36" s="129"/>
      <c r="CTO36" s="129"/>
      <c r="CTP36" s="129"/>
      <c r="CTQ36" s="129"/>
      <c r="CTR36" s="129"/>
      <c r="CTS36" s="129"/>
      <c r="CTT36" s="129"/>
      <c r="CTU36" s="129"/>
      <c r="CTV36" s="129"/>
      <c r="CTW36" s="129"/>
      <c r="CTX36" s="129"/>
      <c r="CTY36" s="129"/>
      <c r="CTZ36" s="129"/>
      <c r="CUA36" s="129"/>
      <c r="CUB36" s="129"/>
      <c r="CUC36" s="129"/>
      <c r="CUD36" s="129"/>
      <c r="CUE36" s="129"/>
      <c r="CUF36" s="128"/>
      <c r="CUG36" s="128"/>
      <c r="CUH36" s="128"/>
      <c r="CUI36" s="128"/>
      <c r="CUJ36" s="128"/>
      <c r="CUK36" s="128"/>
      <c r="CUL36" s="129"/>
      <c r="CUM36" s="129"/>
      <c r="CUN36" s="129"/>
      <c r="CUO36" s="129"/>
      <c r="CUP36" s="129"/>
      <c r="CUQ36" s="129"/>
      <c r="CUR36" s="129"/>
      <c r="CUS36" s="129"/>
      <c r="CUT36" s="129"/>
      <c r="CUU36" s="129"/>
      <c r="CUV36" s="129"/>
      <c r="CUW36" s="129"/>
      <c r="CUX36" s="129"/>
      <c r="CUY36" s="129"/>
      <c r="CUZ36" s="129"/>
      <c r="CVA36" s="129"/>
      <c r="CVB36" s="129"/>
      <c r="CVC36" s="129"/>
      <c r="CVD36" s="129"/>
      <c r="CVE36" s="129"/>
      <c r="CVF36" s="129"/>
      <c r="CVG36" s="129"/>
      <c r="CVH36" s="129"/>
      <c r="CVI36" s="129"/>
      <c r="CVJ36" s="129"/>
      <c r="CVK36" s="129"/>
      <c r="CVL36" s="129"/>
      <c r="CVM36" s="129"/>
      <c r="CVN36" s="128"/>
      <c r="CVO36" s="128"/>
      <c r="CVP36" s="128"/>
      <c r="CVQ36" s="128"/>
      <c r="CVR36" s="128"/>
      <c r="CVS36" s="128"/>
      <c r="CVT36" s="128"/>
      <c r="DDB36" s="128" t="s">
        <v>540</v>
      </c>
      <c r="DDC36" s="128"/>
      <c r="DDD36" s="128"/>
      <c r="DDE36" s="128"/>
      <c r="DDF36" s="128"/>
      <c r="DDG36" s="128"/>
      <c r="DDH36" s="128"/>
      <c r="DDI36" s="128"/>
      <c r="DDJ36" s="128"/>
      <c r="DDK36" s="128"/>
      <c r="DDL36" s="128"/>
      <c r="DDM36" s="128"/>
      <c r="DDN36" s="128"/>
      <c r="DDO36" s="128"/>
      <c r="DDP36" s="128"/>
      <c r="DDQ36" s="128"/>
      <c r="DDR36" s="128"/>
      <c r="DDS36" s="128"/>
      <c r="DDT36" s="128"/>
      <c r="DDU36" s="128"/>
      <c r="DDV36" s="128"/>
      <c r="DDW36" s="128"/>
      <c r="DDX36" s="128"/>
      <c r="DDY36" s="128"/>
      <c r="DDZ36" s="128"/>
      <c r="DEA36" s="128"/>
      <c r="DEB36" s="128"/>
      <c r="DEC36" s="128"/>
      <c r="DED36" s="128"/>
      <c r="DEE36" s="128"/>
      <c r="DEF36" s="128"/>
      <c r="DEG36" s="129"/>
      <c r="DEH36" s="129"/>
      <c r="DEI36" s="129"/>
      <c r="DEJ36" s="129"/>
      <c r="DEK36" s="129"/>
      <c r="DEL36" s="129"/>
      <c r="DEM36" s="129"/>
      <c r="DEN36" s="129"/>
      <c r="DEO36" s="129"/>
      <c r="DEP36" s="129"/>
      <c r="DEQ36" s="129"/>
      <c r="DER36" s="129"/>
      <c r="DES36" s="129"/>
      <c r="DET36" s="129"/>
      <c r="DEU36" s="129"/>
      <c r="DEV36" s="129"/>
      <c r="DEW36" s="129"/>
      <c r="DEX36" s="129"/>
      <c r="DEY36" s="129"/>
      <c r="DEZ36" s="129"/>
      <c r="DFA36" s="129"/>
      <c r="DFB36" s="128"/>
      <c r="DFC36" s="128"/>
      <c r="DFD36" s="128"/>
      <c r="DFE36" s="128"/>
      <c r="DFF36" s="128"/>
      <c r="DFG36" s="128"/>
      <c r="DFH36" s="129"/>
      <c r="DFI36" s="129"/>
      <c r="DFJ36" s="129"/>
      <c r="DFK36" s="129"/>
      <c r="DFL36" s="129"/>
      <c r="DFM36" s="129"/>
      <c r="DFN36" s="129"/>
      <c r="DFO36" s="129"/>
      <c r="DFP36" s="129"/>
      <c r="DFQ36" s="129"/>
      <c r="DFR36" s="129"/>
      <c r="DFS36" s="129"/>
      <c r="DFT36" s="129"/>
      <c r="DFU36" s="129"/>
      <c r="DFV36" s="129"/>
      <c r="DFW36" s="129"/>
      <c r="DFX36" s="129"/>
      <c r="DFY36" s="129"/>
      <c r="DFZ36" s="129"/>
      <c r="DGA36" s="129"/>
      <c r="DGB36" s="129"/>
      <c r="DGC36" s="129"/>
      <c r="DGD36" s="129"/>
      <c r="DGE36" s="129"/>
      <c r="DGF36" s="129"/>
      <c r="DGG36" s="129"/>
      <c r="DGH36" s="129"/>
      <c r="DGI36" s="129"/>
      <c r="DGJ36" s="128"/>
      <c r="DGK36" s="128"/>
      <c r="DGL36" s="128"/>
      <c r="DGM36" s="128"/>
      <c r="DGN36" s="128"/>
      <c r="DGO36" s="128"/>
      <c r="DGP36" s="128"/>
    </row>
    <row r="37" spans="2:1022 1118:1774 2434:2996" ht="15" customHeight="1" x14ac:dyDescent="0.25">
      <c r="B37" s="133">
        <v>12</v>
      </c>
      <c r="C37" s="134"/>
      <c r="D37" s="134"/>
      <c r="E37" s="134" t="str">
        <f>IFERROR(VLOOKUP(B37,Calculations!$DH$3:$DJ$127,3,FALSE),"")</f>
        <v/>
      </c>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96" t="str">
        <f>IFERROR(VLOOKUP(B37,Calculations!$DH$3:$DX$200,17,FALSE),"")</f>
        <v/>
      </c>
      <c r="AH37" s="130"/>
      <c r="AI37" s="130"/>
      <c r="AJ37" s="130"/>
      <c r="AK37" s="130"/>
      <c r="AL37" s="130"/>
      <c r="AM37" s="130"/>
      <c r="AN37" s="130"/>
      <c r="AO37" s="130"/>
      <c r="AP37" s="130"/>
      <c r="AQ37" s="130"/>
      <c r="AR37" s="130"/>
      <c r="AS37" s="130"/>
      <c r="AT37" s="130"/>
      <c r="AU37" s="130"/>
      <c r="AV37" s="130"/>
      <c r="AW37" s="130"/>
      <c r="AX37" s="130"/>
      <c r="AY37" s="130"/>
      <c r="AZ37" s="130"/>
      <c r="BA37" s="197"/>
      <c r="BB37" s="210" t="str">
        <f>IFERROR(IFERROR((VLOOKUP(E37,Calculations!$DR$3:$EJ$200,19,FALSE)),0)+VLOOKUP(B37,Calculations!$DH$3:$DN$200,7,FALSE)+CG37+CO37+IFERROR(VLOOKUP((LEFT(E37,FIND("(",E37)-2)),Calculations!$DJ$3:$EJ$200,26,FALSE),0),"")</f>
        <v/>
      </c>
      <c r="BC37" s="210"/>
      <c r="BD37" s="210"/>
      <c r="BE37" s="210"/>
      <c r="BF37" s="210"/>
      <c r="BG37" s="210"/>
      <c r="BH37" s="210"/>
      <c r="BI37" s="130" t="str">
        <f>IFERROR("x "&amp;VLOOKUP(B37,Calculations!$DH$3:$DY$200,18,FALSE),"")</f>
        <v/>
      </c>
      <c r="BJ37" s="130"/>
      <c r="BK37" s="130"/>
      <c r="BL37" s="130"/>
      <c r="BM37" s="130"/>
      <c r="BN37" s="130"/>
      <c r="BO37" s="130"/>
      <c r="BP37" s="130"/>
      <c r="BQ37" s="130" t="str">
        <f>IFERROR(VLOOKUP(B37,Calculations!$DH$3:$EE$200,22,FALSE),"")</f>
        <v/>
      </c>
      <c r="BR37" s="130"/>
      <c r="BS37" s="130"/>
      <c r="BT37" s="130"/>
      <c r="BU37" s="130"/>
      <c r="BV37" s="130"/>
      <c r="BW37" s="130"/>
      <c r="BX37" s="130"/>
      <c r="BY37" s="130" t="str">
        <f>IFERROR(VLOOKUP(B37,Calculations!$DH$3:$EA$200,19,FALSE)-ROUNDDOWN((CO37/5),0),"")</f>
        <v/>
      </c>
      <c r="BZ37" s="130"/>
      <c r="CA37" s="130"/>
      <c r="CB37" s="130"/>
      <c r="CC37" s="130"/>
      <c r="CD37" s="130"/>
      <c r="CE37" s="130"/>
      <c r="CF37" s="130"/>
      <c r="CG37" s="195">
        <v>0</v>
      </c>
      <c r="CH37" s="195"/>
      <c r="CI37" s="195"/>
      <c r="CJ37" s="195"/>
      <c r="CK37" s="195"/>
      <c r="CL37" s="195"/>
      <c r="CM37" s="195"/>
      <c r="CN37" s="195"/>
      <c r="CO37" s="195">
        <v>0</v>
      </c>
      <c r="CP37" s="195"/>
      <c r="CQ37" s="195"/>
      <c r="CR37" s="195"/>
      <c r="CS37" s="195"/>
      <c r="CT37" s="195"/>
      <c r="CU37" s="195"/>
      <c r="CV37" s="195"/>
      <c r="CW37" s="130" t="str">
        <f>IF(E37="","",IFERROR(VLOOKUP(B37,Calculations!$DH$3:$ED$200,23,FALSE)+CO37+CG37,"- -"))</f>
        <v/>
      </c>
      <c r="CX37" s="130"/>
      <c r="CY37" s="130"/>
      <c r="CZ37" s="130"/>
      <c r="DA37" s="130"/>
      <c r="DB37" s="130"/>
      <c r="DC37" s="130"/>
      <c r="DD37" s="130"/>
      <c r="DE37" s="198" t="str">
        <f>IF(E37="","",IFERROR(VLOOKUP(B37,Calculations!$DH$3:$EE$200,24,FALSE),"- -"))</f>
        <v/>
      </c>
      <c r="DF37" s="130"/>
      <c r="DG37" s="130"/>
      <c r="DH37" s="130"/>
      <c r="DI37" s="130"/>
      <c r="DJ37" s="130"/>
      <c r="DK37" s="130"/>
      <c r="DL37" s="130"/>
      <c r="DM37" s="198" t="str">
        <f>IF(E37="","",IFERROR(VLOOKUP(B37,Calculations!$DH$3:$EJ$200,25,FALSE),"- -"))</f>
        <v/>
      </c>
      <c r="DN37" s="130"/>
      <c r="DO37" s="130"/>
      <c r="DP37" s="130"/>
      <c r="DQ37" s="130"/>
      <c r="DR37" s="130"/>
      <c r="DS37" s="130"/>
      <c r="DT37" s="130"/>
      <c r="DU37" s="130" t="str">
        <f t="shared" ref="DU37:DU45" si="14">IF(E37="","",IF(DM37="- -","- -",DM37*2))</f>
        <v/>
      </c>
      <c r="DV37" s="130"/>
      <c r="DW37" s="130"/>
      <c r="DX37" s="130"/>
      <c r="DY37" s="130"/>
      <c r="DZ37" s="130"/>
      <c r="EA37" s="130"/>
      <c r="EB37" s="130"/>
      <c r="EC37" s="130" t="str">
        <f t="shared" ref="EC37:EC45" si="15">IF(E37="","",IF(DM37="- -","- -",DM37*3))</f>
        <v/>
      </c>
      <c r="ED37" s="130"/>
      <c r="EE37" s="130"/>
      <c r="EF37" s="130"/>
      <c r="EG37" s="130"/>
      <c r="EH37" s="130"/>
      <c r="EI37" s="130"/>
      <c r="EJ37" s="130"/>
      <c r="EK37" s="130" t="str">
        <f t="shared" ref="EK37:EK45" si="16">IF(E37="","",IF(DM37="- -","- -",DM37*4))</f>
        <v/>
      </c>
      <c r="EL37" s="130"/>
      <c r="EM37" s="130"/>
      <c r="EN37" s="130"/>
      <c r="EO37" s="130"/>
      <c r="EP37" s="130"/>
      <c r="EQ37" s="130"/>
      <c r="ER37" s="130"/>
      <c r="ES37" s="130" t="str">
        <f t="shared" ref="ES37:ES45" si="17">IF(E37="","",IF(DM37="- -","- -",DM37*5))</f>
        <v/>
      </c>
      <c r="ET37" s="130"/>
      <c r="EU37" s="130"/>
      <c r="EV37" s="130"/>
      <c r="EW37" s="130"/>
      <c r="EX37" s="130"/>
      <c r="EY37" s="130"/>
      <c r="EZ37" s="238"/>
      <c r="FB37" s="309" t="s">
        <v>2752</v>
      </c>
      <c r="FC37" s="310"/>
      <c r="FD37" s="310"/>
      <c r="FE37" s="310"/>
      <c r="FF37" s="310"/>
      <c r="FG37" s="310"/>
      <c r="FH37" s="310"/>
      <c r="FI37" s="310"/>
      <c r="FJ37" s="310"/>
      <c r="FK37" s="310"/>
      <c r="FL37" s="310"/>
      <c r="FM37" s="310"/>
      <c r="FN37" s="310"/>
      <c r="FO37" s="310"/>
      <c r="FP37" s="310"/>
      <c r="FQ37" s="310"/>
      <c r="FR37" s="310"/>
      <c r="FS37" s="310"/>
      <c r="FT37" s="310"/>
      <c r="FU37" s="310"/>
      <c r="FV37" s="310"/>
      <c r="FW37" s="310"/>
      <c r="FX37" s="310"/>
      <c r="FY37" s="310"/>
      <c r="FZ37" s="310"/>
      <c r="GA37" s="310"/>
      <c r="GB37" s="310"/>
      <c r="GC37" s="310"/>
      <c r="GD37" s="310"/>
      <c r="GE37" s="310"/>
      <c r="GF37" s="310"/>
      <c r="GG37" s="310"/>
      <c r="GH37" s="310"/>
      <c r="GI37" s="310"/>
      <c r="GJ37" s="310"/>
      <c r="GK37" s="310"/>
      <c r="GL37" s="310"/>
      <c r="GM37" s="310"/>
      <c r="GN37" s="310"/>
      <c r="GO37" s="310"/>
      <c r="GP37" s="310"/>
      <c r="GQ37" s="310"/>
      <c r="GR37" s="310"/>
      <c r="GS37" s="310"/>
      <c r="GT37" s="141">
        <v>1</v>
      </c>
      <c r="GU37" s="141"/>
      <c r="GV37" s="141"/>
      <c r="GW37" s="141"/>
      <c r="GX37" s="141"/>
      <c r="GY37" s="141"/>
      <c r="GZ37" s="141"/>
      <c r="HA37" s="141"/>
      <c r="HB37" s="142">
        <f>IFERROR(ROUND(Calculations!BV38*GT37,2),"")</f>
        <v>1</v>
      </c>
      <c r="HC37" s="142"/>
      <c r="HD37" s="142"/>
      <c r="HE37" s="142"/>
      <c r="HF37" s="142"/>
      <c r="HG37" s="142"/>
      <c r="HH37" s="142"/>
      <c r="HI37" s="142"/>
      <c r="HJ37" s="142">
        <f>IFERROR(Calculations!BS38+IQ37+IX37,"")</f>
        <v>30</v>
      </c>
      <c r="HK37" s="142"/>
      <c r="HL37" s="142"/>
      <c r="HM37" s="142"/>
      <c r="HN37" s="142"/>
      <c r="HO37" s="142"/>
      <c r="HP37" s="142"/>
      <c r="HQ37" s="142"/>
      <c r="HR37" s="142">
        <f t="shared" si="9"/>
        <v>0</v>
      </c>
      <c r="HS37" s="142"/>
      <c r="HT37" s="142"/>
      <c r="HU37" s="142"/>
      <c r="HV37" s="142"/>
      <c r="HW37" s="142"/>
      <c r="HX37" s="142"/>
      <c r="HY37" s="142"/>
      <c r="HZ37" s="142" t="str">
        <f>IFERROR(Calculations!BX38,"")</f>
        <v>$0.75</v>
      </c>
      <c r="IA37" s="142"/>
      <c r="IB37" s="142"/>
      <c r="IC37" s="142"/>
      <c r="ID37" s="142"/>
      <c r="IE37" s="142"/>
      <c r="IF37" s="142"/>
      <c r="IG37" s="142"/>
      <c r="IH37" s="142"/>
      <c r="II37" s="142"/>
      <c r="IJ37" s="142">
        <f>IFERROR(Calculations!BR38+IX37,"")</f>
        <v>0</v>
      </c>
      <c r="IK37" s="142"/>
      <c r="IL37" s="142"/>
      <c r="IM37" s="142"/>
      <c r="IN37" s="142"/>
      <c r="IO37" s="142"/>
      <c r="IP37" s="142"/>
      <c r="IQ37" s="141">
        <v>0</v>
      </c>
      <c r="IR37" s="141"/>
      <c r="IS37" s="141"/>
      <c r="IT37" s="141"/>
      <c r="IU37" s="141"/>
      <c r="IV37" s="141"/>
      <c r="IW37" s="141"/>
      <c r="IX37" s="141">
        <v>0</v>
      </c>
      <c r="IY37" s="141"/>
      <c r="IZ37" s="141"/>
      <c r="JA37" s="141"/>
      <c r="JB37" s="141"/>
      <c r="JC37" s="141"/>
      <c r="JD37" s="141"/>
      <c r="JE37" s="141"/>
      <c r="JF37" s="142"/>
      <c r="JG37" s="142"/>
      <c r="JH37" s="142"/>
      <c r="JI37" s="142"/>
      <c r="JJ37" s="142"/>
      <c r="JK37" s="143" t="str">
        <f>Calculations!AS38</f>
        <v>Light Cloth</v>
      </c>
      <c r="JL37" s="143"/>
      <c r="JM37" s="143"/>
      <c r="JN37" s="143"/>
      <c r="JO37" s="143"/>
      <c r="JP37" s="143"/>
      <c r="JQ37" s="143"/>
      <c r="JR37" s="143"/>
      <c r="JS37" s="143"/>
      <c r="JT37" s="143"/>
      <c r="JU37" s="143"/>
      <c r="JV37" s="143"/>
      <c r="JW37" s="143"/>
      <c r="JX37" s="143"/>
      <c r="JY37" s="143"/>
      <c r="JZ37" s="143"/>
      <c r="KA37" s="143"/>
      <c r="KB37" s="143"/>
      <c r="KC37" s="143" t="str">
        <f>Calculations!AW38</f>
        <v>Light Cloth</v>
      </c>
      <c r="KD37" s="143"/>
      <c r="KE37" s="143"/>
      <c r="KF37" s="143"/>
      <c r="KG37" s="143"/>
      <c r="KH37" s="143"/>
      <c r="KI37" s="143"/>
      <c r="KJ37" s="143"/>
      <c r="KK37" s="143"/>
      <c r="KL37" s="143"/>
      <c r="KM37" s="143"/>
      <c r="KN37" s="143"/>
      <c r="KO37" s="143"/>
      <c r="KP37" s="143"/>
      <c r="KQ37" s="143"/>
      <c r="KR37" s="143"/>
      <c r="KS37" s="143"/>
      <c r="KT37" s="143"/>
      <c r="KU37" s="144"/>
      <c r="KV37" s="144"/>
      <c r="KW37" s="144"/>
      <c r="KX37" s="144"/>
      <c r="KY37" s="144"/>
      <c r="KZ37" s="144"/>
      <c r="LA37" s="144"/>
      <c r="LB37" s="144"/>
      <c r="LC37" s="144"/>
      <c r="LD37" s="144"/>
      <c r="LE37" s="144"/>
      <c r="LF37" s="144"/>
      <c r="LG37" s="144"/>
      <c r="LH37" s="144"/>
      <c r="LI37" s="144"/>
      <c r="LJ37" s="144"/>
      <c r="LK37" s="144"/>
      <c r="LL37" s="144"/>
      <c r="LM37" s="144"/>
      <c r="LN37" s="144"/>
      <c r="LO37" s="144"/>
      <c r="LP37" s="144"/>
      <c r="LQ37" s="144"/>
      <c r="LR37" s="144"/>
      <c r="LS37" s="144"/>
      <c r="LT37" s="144"/>
      <c r="LU37" s="144"/>
      <c r="LV37" s="144"/>
      <c r="LW37" s="144"/>
      <c r="LX37" s="144"/>
      <c r="LY37" s="144"/>
      <c r="LZ37" s="144"/>
      <c r="MA37" s="144"/>
      <c r="MB37" s="144"/>
      <c r="MC37" s="144"/>
      <c r="MD37" s="144"/>
      <c r="ME37" s="144"/>
      <c r="MF37" s="144"/>
      <c r="MG37" s="144"/>
      <c r="MH37" s="144"/>
      <c r="MI37" s="144"/>
      <c r="MJ37" s="144"/>
      <c r="MK37" s="144"/>
      <c r="ML37" s="144"/>
      <c r="MM37" s="144"/>
      <c r="MN37" s="144"/>
      <c r="MO37" s="144"/>
      <c r="MP37" s="144"/>
      <c r="MQ37" s="144"/>
      <c r="MR37" s="144"/>
      <c r="MS37" s="144"/>
      <c r="MT37" s="144"/>
      <c r="MU37" s="144"/>
      <c r="MV37" s="144"/>
      <c r="MW37" s="144"/>
      <c r="MX37" s="144"/>
      <c r="MY37" s="144"/>
      <c r="MZ37" s="145"/>
      <c r="AIT37" s="128" t="s">
        <v>215</v>
      </c>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9"/>
      <c r="AJZ37" s="129"/>
      <c r="AKA37" s="129"/>
      <c r="AKB37" s="129"/>
      <c r="AKC37" s="129"/>
      <c r="AKD37" s="129"/>
      <c r="AKE37" s="129"/>
      <c r="AKF37" s="129"/>
      <c r="AKG37" s="129"/>
      <c r="AKH37" s="129"/>
      <c r="AKI37" s="129"/>
      <c r="AKJ37" s="129"/>
      <c r="AKK37" s="129"/>
      <c r="AKL37" s="129"/>
      <c r="AKM37" s="129"/>
      <c r="AKN37" s="129"/>
      <c r="AKO37" s="129"/>
      <c r="AKP37" s="129"/>
      <c r="AKQ37" s="129"/>
      <c r="AKR37" s="129"/>
      <c r="AKS37" s="129"/>
      <c r="AKT37" s="128"/>
      <c r="AKU37" s="128"/>
      <c r="AKV37" s="128"/>
      <c r="AKW37" s="128"/>
      <c r="AKX37" s="128"/>
      <c r="AKY37" s="128"/>
      <c r="AKZ37" s="129"/>
      <c r="ALA37" s="129"/>
      <c r="ALB37" s="129"/>
      <c r="ALC37" s="129"/>
      <c r="ALD37" s="129"/>
      <c r="ALE37" s="129"/>
      <c r="ALF37" s="129"/>
      <c r="ALG37" s="129"/>
      <c r="ALH37" s="129"/>
      <c r="ALI37" s="129"/>
      <c r="ALJ37" s="129"/>
      <c r="ALK37" s="129"/>
      <c r="ALL37" s="129"/>
      <c r="ALM37" s="129"/>
      <c r="ALN37" s="129"/>
      <c r="ALO37" s="129"/>
      <c r="ALP37" s="129"/>
      <c r="ALQ37" s="129"/>
      <c r="ALR37" s="129"/>
      <c r="ALS37" s="129"/>
      <c r="ALT37" s="129"/>
      <c r="ALU37" s="129"/>
      <c r="ALV37" s="129"/>
      <c r="ALW37" s="129"/>
      <c r="ALX37" s="129"/>
      <c r="ALY37" s="129"/>
      <c r="ALZ37" s="129"/>
      <c r="AMA37" s="129"/>
      <c r="AMB37" s="128"/>
      <c r="AMC37" s="128"/>
      <c r="AMD37" s="128"/>
      <c r="AME37" s="128"/>
      <c r="AMF37" s="128"/>
      <c r="AMG37" s="128"/>
      <c r="AMH37" s="128"/>
      <c r="APZ37" s="128" t="s">
        <v>600</v>
      </c>
      <c r="AQA37" s="128"/>
      <c r="AQB37" s="128"/>
      <c r="AQC37" s="128"/>
      <c r="AQD37" s="128"/>
      <c r="AQE37" s="128"/>
      <c r="AQF37" s="128"/>
      <c r="AQG37" s="128"/>
      <c r="AQH37" s="128"/>
      <c r="AQI37" s="128"/>
      <c r="AQJ37" s="128"/>
      <c r="AQK37" s="128"/>
      <c r="AQL37" s="128"/>
      <c r="AQM37" s="128"/>
      <c r="AQN37" s="128"/>
      <c r="AQO37" s="128"/>
      <c r="AQP37" s="128"/>
      <c r="AQQ37" s="128"/>
      <c r="AQR37" s="128"/>
      <c r="AQS37" s="128"/>
      <c r="AQT37" s="128"/>
      <c r="AQU37" s="128"/>
      <c r="AQV37" s="128"/>
      <c r="AQW37" s="128"/>
      <c r="AQX37" s="128"/>
      <c r="AQY37" s="128"/>
      <c r="AQZ37" s="128"/>
      <c r="ARA37" s="128"/>
      <c r="ARB37" s="128"/>
      <c r="ARC37" s="128"/>
      <c r="ARD37" s="128"/>
      <c r="ARE37" s="129"/>
      <c r="ARF37" s="129"/>
      <c r="ARG37" s="129"/>
      <c r="ARH37" s="129"/>
      <c r="ARI37" s="129"/>
      <c r="ARJ37" s="129"/>
      <c r="ARK37" s="129"/>
      <c r="ARL37" s="129"/>
      <c r="ARM37" s="129"/>
      <c r="ARN37" s="129"/>
      <c r="ARO37" s="129"/>
      <c r="ARP37" s="129"/>
      <c r="ARQ37" s="129"/>
      <c r="ARR37" s="129"/>
      <c r="ARS37" s="129"/>
      <c r="ART37" s="129"/>
      <c r="ARU37" s="129"/>
      <c r="ARV37" s="129"/>
      <c r="ARW37" s="129"/>
      <c r="ARX37" s="129"/>
      <c r="ARY37" s="129"/>
      <c r="ARZ37" s="128"/>
      <c r="ASA37" s="128"/>
      <c r="ASB37" s="128"/>
      <c r="ASC37" s="128"/>
      <c r="ASD37" s="128"/>
      <c r="ASE37" s="128"/>
      <c r="ASF37" s="129"/>
      <c r="ASG37" s="129"/>
      <c r="ASH37" s="129"/>
      <c r="ASI37" s="129"/>
      <c r="ASJ37" s="129"/>
      <c r="ASK37" s="129"/>
      <c r="ASL37" s="129"/>
      <c r="ASM37" s="129"/>
      <c r="ASN37" s="129"/>
      <c r="ASO37" s="129"/>
      <c r="ASP37" s="129"/>
      <c r="ASQ37" s="129"/>
      <c r="ASR37" s="129"/>
      <c r="ASS37" s="129"/>
      <c r="AST37" s="129"/>
      <c r="ASU37" s="129"/>
      <c r="ASV37" s="129"/>
      <c r="ASW37" s="129"/>
      <c r="ASX37" s="129"/>
      <c r="ASY37" s="129"/>
      <c r="ASZ37" s="129"/>
      <c r="ATA37" s="129"/>
      <c r="ATB37" s="129"/>
      <c r="ATC37" s="129"/>
      <c r="ATD37" s="129"/>
      <c r="ATE37" s="129"/>
      <c r="ATF37" s="129"/>
      <c r="ATG37" s="129"/>
      <c r="ATH37" s="128"/>
      <c r="ATI37" s="128"/>
      <c r="ATJ37" s="128"/>
      <c r="ATK37" s="128"/>
      <c r="ATL37" s="128"/>
      <c r="ATM37" s="128"/>
      <c r="ATN37" s="128"/>
      <c r="BLR37" s="128"/>
      <c r="BLS37" s="128"/>
      <c r="BLT37" s="128"/>
      <c r="BLU37" s="128"/>
      <c r="BLV37" s="128"/>
      <c r="BLW37" s="128"/>
      <c r="BLX37" s="128"/>
      <c r="BLY37" s="128"/>
      <c r="BLZ37" s="128"/>
      <c r="BMA37" s="128"/>
      <c r="BMB37" s="128"/>
      <c r="BMC37" s="128"/>
      <c r="BMD37" s="128"/>
      <c r="BME37" s="128"/>
      <c r="BMF37" s="128"/>
      <c r="BMG37" s="128"/>
      <c r="BMH37" s="128"/>
      <c r="BMI37" s="128"/>
      <c r="BMJ37" s="128"/>
      <c r="BMK37" s="128"/>
      <c r="BML37" s="128"/>
      <c r="BMM37" s="128"/>
      <c r="BMN37" s="128"/>
      <c r="BMO37" s="128"/>
      <c r="BMP37" s="128"/>
      <c r="BMQ37" s="128"/>
      <c r="BMR37" s="128"/>
      <c r="BMS37" s="128"/>
      <c r="BMT37" s="128"/>
      <c r="BMU37" s="128"/>
      <c r="BMV37" s="128"/>
      <c r="BMW37" s="129"/>
      <c r="BMX37" s="129"/>
      <c r="BMY37" s="129"/>
      <c r="BMZ37" s="129"/>
      <c r="BNA37" s="129"/>
      <c r="BNB37" s="129"/>
      <c r="BNC37" s="129"/>
      <c r="BND37" s="129"/>
      <c r="BNE37" s="129"/>
      <c r="BNF37" s="129"/>
      <c r="BNG37" s="129"/>
      <c r="BNH37" s="129"/>
      <c r="BNI37" s="129"/>
      <c r="BNJ37" s="129"/>
      <c r="BNK37" s="129"/>
      <c r="BNL37" s="129"/>
      <c r="BNM37" s="129"/>
      <c r="BNN37" s="129"/>
      <c r="BNO37" s="129"/>
      <c r="BNP37" s="129"/>
      <c r="BNQ37" s="129"/>
      <c r="BNR37" s="128"/>
      <c r="BNS37" s="128"/>
      <c r="BNT37" s="128"/>
      <c r="BNU37" s="128"/>
      <c r="BNV37" s="128"/>
      <c r="BNW37" s="128"/>
      <c r="BNX37" s="129"/>
      <c r="BNY37" s="129"/>
      <c r="BNZ37" s="129"/>
      <c r="BOA37" s="129"/>
      <c r="BOB37" s="129"/>
      <c r="BOC37" s="129"/>
      <c r="BOD37" s="129"/>
      <c r="BOE37" s="129"/>
      <c r="BOF37" s="129"/>
      <c r="BOG37" s="129"/>
      <c r="BOH37" s="129"/>
      <c r="BOI37" s="129"/>
      <c r="BOJ37" s="129"/>
      <c r="BOK37" s="129"/>
      <c r="BOL37" s="129"/>
      <c r="BOM37" s="129"/>
      <c r="BON37" s="129"/>
      <c r="BOO37" s="129"/>
      <c r="BOP37" s="129"/>
      <c r="BOQ37" s="129"/>
      <c r="BOR37" s="129"/>
      <c r="BOS37" s="129"/>
      <c r="BOT37" s="129"/>
      <c r="BOU37" s="129"/>
      <c r="BOV37" s="129"/>
      <c r="BOW37" s="129"/>
      <c r="BOX37" s="129"/>
      <c r="BOY37" s="129"/>
      <c r="BOZ37" s="128"/>
      <c r="BPA37" s="128"/>
      <c r="BPB37" s="128"/>
      <c r="BPC37" s="128"/>
      <c r="BPD37" s="128"/>
      <c r="BPE37" s="128"/>
      <c r="BPF37" s="128"/>
      <c r="COP37" s="128" t="str">
        <f ca="1">VLOOKUP(11,INDIRECT("Closed"&amp;'Character Creation'!$Z$14),2,FALSE)</f>
        <v>Spell Enhancement</v>
      </c>
      <c r="COQ37" s="128"/>
      <c r="COR37" s="128"/>
      <c r="COS37" s="128"/>
      <c r="COT37" s="128"/>
      <c r="COU37" s="128"/>
      <c r="COV37" s="128"/>
      <c r="COW37" s="128"/>
      <c r="COX37" s="128"/>
      <c r="COY37" s="128"/>
      <c r="COZ37" s="128"/>
      <c r="CPA37" s="128"/>
      <c r="CPB37" s="128"/>
      <c r="CPC37" s="128"/>
      <c r="CPD37" s="128"/>
      <c r="CPE37" s="128"/>
      <c r="CPF37" s="128"/>
      <c r="CPG37" s="128"/>
      <c r="CPH37" s="128"/>
      <c r="CPI37" s="128"/>
      <c r="CPJ37" s="128"/>
      <c r="CPK37" s="128"/>
      <c r="CPL37" s="128"/>
      <c r="CPM37" s="128"/>
      <c r="CPN37" s="128"/>
      <c r="CPO37" s="128"/>
      <c r="CPP37" s="128"/>
      <c r="CPQ37" s="128"/>
      <c r="CPR37" s="128"/>
      <c r="CPS37" s="128"/>
      <c r="CPT37" s="128"/>
      <c r="CPU37" s="129"/>
      <c r="CPV37" s="129"/>
      <c r="CPW37" s="129"/>
      <c r="CPX37" s="129"/>
      <c r="CPY37" s="129"/>
      <c r="CPZ37" s="129"/>
      <c r="CQA37" s="129"/>
      <c r="CQB37" s="129"/>
      <c r="CQC37" s="129"/>
      <c r="CQD37" s="129"/>
      <c r="CQE37" s="129"/>
      <c r="CQF37" s="129"/>
      <c r="CQG37" s="129"/>
      <c r="CQH37" s="129"/>
      <c r="CQI37" s="129"/>
      <c r="CQJ37" s="129"/>
      <c r="CQK37" s="129"/>
      <c r="CQL37" s="129"/>
      <c r="CQM37" s="129"/>
      <c r="CQN37" s="129"/>
      <c r="CQO37" s="129"/>
      <c r="CQP37" s="128"/>
      <c r="CQQ37" s="128"/>
      <c r="CQR37" s="128"/>
      <c r="CQS37" s="128"/>
      <c r="CQT37" s="128"/>
      <c r="CQU37" s="128"/>
      <c r="CQV37" s="129"/>
      <c r="CQW37" s="129"/>
      <c r="CQX37" s="129"/>
      <c r="CQY37" s="129"/>
      <c r="CQZ37" s="129"/>
      <c r="CRA37" s="129"/>
      <c r="CRB37" s="129"/>
      <c r="CRC37" s="129"/>
      <c r="CRD37" s="129"/>
      <c r="CRE37" s="129"/>
      <c r="CRF37" s="129"/>
      <c r="CRG37" s="129"/>
      <c r="CRH37" s="129"/>
      <c r="CRI37" s="129"/>
      <c r="CRJ37" s="129"/>
      <c r="CRK37" s="129"/>
      <c r="CRL37" s="129"/>
      <c r="CRM37" s="129"/>
      <c r="CRN37" s="129"/>
      <c r="CRO37" s="129"/>
      <c r="CRP37" s="129"/>
      <c r="CRQ37" s="129"/>
      <c r="CRR37" s="129"/>
      <c r="CRS37" s="129"/>
      <c r="CRT37" s="129"/>
      <c r="CRU37" s="129"/>
      <c r="CRV37" s="129"/>
      <c r="CRW37" s="129"/>
      <c r="CRX37" s="128"/>
      <c r="CRY37" s="128"/>
      <c r="CRZ37" s="128"/>
      <c r="CSA37" s="128"/>
      <c r="CSB37" s="128"/>
      <c r="CSC37" s="128"/>
      <c r="CSD37" s="128"/>
      <c r="CSF37" s="128" t="s">
        <v>462</v>
      </c>
      <c r="CSG37" s="128"/>
      <c r="CSH37" s="128"/>
      <c r="CSI37" s="128"/>
      <c r="CSJ37" s="128"/>
      <c r="CSK37" s="128"/>
      <c r="CSL37" s="128"/>
      <c r="CSM37" s="128"/>
      <c r="CSN37" s="128"/>
      <c r="CSO37" s="128"/>
      <c r="CSP37" s="128"/>
      <c r="CSQ37" s="128"/>
      <c r="CSR37" s="128"/>
      <c r="CSS37" s="128"/>
      <c r="CST37" s="128"/>
      <c r="CSU37" s="128"/>
      <c r="CSV37" s="128"/>
      <c r="CSW37" s="128"/>
      <c r="CSX37" s="128"/>
      <c r="CSY37" s="128"/>
      <c r="CSZ37" s="128"/>
      <c r="CTA37" s="128"/>
      <c r="CTB37" s="128"/>
      <c r="CTC37" s="128"/>
      <c r="CTD37" s="128"/>
      <c r="CTE37" s="128"/>
      <c r="CTF37" s="128"/>
      <c r="CTG37" s="128"/>
      <c r="CTH37" s="128"/>
      <c r="CTI37" s="128"/>
      <c r="CTJ37" s="128"/>
      <c r="CTK37" s="129"/>
      <c r="CTL37" s="129"/>
      <c r="CTM37" s="129"/>
      <c r="CTN37" s="129"/>
      <c r="CTO37" s="129"/>
      <c r="CTP37" s="129"/>
      <c r="CTQ37" s="129"/>
      <c r="CTR37" s="129"/>
      <c r="CTS37" s="129"/>
      <c r="CTT37" s="129"/>
      <c r="CTU37" s="129"/>
      <c r="CTV37" s="129"/>
      <c r="CTW37" s="129"/>
      <c r="CTX37" s="129"/>
      <c r="CTY37" s="129"/>
      <c r="CTZ37" s="129"/>
      <c r="CUA37" s="129"/>
      <c r="CUB37" s="129"/>
      <c r="CUC37" s="129"/>
      <c r="CUD37" s="129"/>
      <c r="CUE37" s="129"/>
      <c r="CUF37" s="128"/>
      <c r="CUG37" s="128"/>
      <c r="CUH37" s="128"/>
      <c r="CUI37" s="128"/>
      <c r="CUJ37" s="128"/>
      <c r="CUK37" s="128"/>
      <c r="CUL37" s="129"/>
      <c r="CUM37" s="129"/>
      <c r="CUN37" s="129"/>
      <c r="CUO37" s="129"/>
      <c r="CUP37" s="129"/>
      <c r="CUQ37" s="129"/>
      <c r="CUR37" s="129"/>
      <c r="CUS37" s="129"/>
      <c r="CUT37" s="129"/>
      <c r="CUU37" s="129"/>
      <c r="CUV37" s="129"/>
      <c r="CUW37" s="129"/>
      <c r="CUX37" s="129"/>
      <c r="CUY37" s="129"/>
      <c r="CUZ37" s="129"/>
      <c r="CVA37" s="129"/>
      <c r="CVB37" s="129"/>
      <c r="CVC37" s="129"/>
      <c r="CVD37" s="129"/>
      <c r="CVE37" s="129"/>
      <c r="CVF37" s="129"/>
      <c r="CVG37" s="129"/>
      <c r="CVH37" s="129"/>
      <c r="CVI37" s="129"/>
      <c r="CVJ37" s="129"/>
      <c r="CVK37" s="129"/>
      <c r="CVL37" s="129"/>
      <c r="CVM37" s="129"/>
      <c r="CVN37" s="128"/>
      <c r="CVO37" s="128"/>
      <c r="CVP37" s="128"/>
      <c r="CVQ37" s="128"/>
      <c r="CVR37" s="128"/>
      <c r="CVS37" s="128"/>
      <c r="CVT37" s="128"/>
      <c r="DDB37" s="128" t="s">
        <v>541</v>
      </c>
      <c r="DDC37" s="128"/>
      <c r="DDD37" s="128"/>
      <c r="DDE37" s="128"/>
      <c r="DDF37" s="128"/>
      <c r="DDG37" s="128"/>
      <c r="DDH37" s="128"/>
      <c r="DDI37" s="128"/>
      <c r="DDJ37" s="128"/>
      <c r="DDK37" s="128"/>
      <c r="DDL37" s="128"/>
      <c r="DDM37" s="128"/>
      <c r="DDN37" s="128"/>
      <c r="DDO37" s="128"/>
      <c r="DDP37" s="128"/>
      <c r="DDQ37" s="128"/>
      <c r="DDR37" s="128"/>
      <c r="DDS37" s="128"/>
      <c r="DDT37" s="128"/>
      <c r="DDU37" s="128"/>
      <c r="DDV37" s="128"/>
      <c r="DDW37" s="128"/>
      <c r="DDX37" s="128"/>
      <c r="DDY37" s="128"/>
      <c r="DDZ37" s="128"/>
      <c r="DEA37" s="128"/>
      <c r="DEB37" s="128"/>
      <c r="DEC37" s="128"/>
      <c r="DED37" s="128"/>
      <c r="DEE37" s="128"/>
      <c r="DEF37" s="128"/>
      <c r="DEG37" s="129"/>
      <c r="DEH37" s="129"/>
      <c r="DEI37" s="129"/>
      <c r="DEJ37" s="129"/>
      <c r="DEK37" s="129"/>
      <c r="DEL37" s="129"/>
      <c r="DEM37" s="129"/>
      <c r="DEN37" s="129"/>
      <c r="DEO37" s="129"/>
      <c r="DEP37" s="129"/>
      <c r="DEQ37" s="129"/>
      <c r="DER37" s="129"/>
      <c r="DES37" s="129"/>
      <c r="DET37" s="129"/>
      <c r="DEU37" s="129"/>
      <c r="DEV37" s="129"/>
      <c r="DEW37" s="129"/>
      <c r="DEX37" s="129"/>
      <c r="DEY37" s="129"/>
      <c r="DEZ37" s="129"/>
      <c r="DFA37" s="129"/>
      <c r="DFB37" s="128"/>
      <c r="DFC37" s="128"/>
      <c r="DFD37" s="128"/>
      <c r="DFE37" s="128"/>
      <c r="DFF37" s="128"/>
      <c r="DFG37" s="128"/>
      <c r="DFH37" s="129"/>
      <c r="DFI37" s="129"/>
      <c r="DFJ37" s="129"/>
      <c r="DFK37" s="129"/>
      <c r="DFL37" s="129"/>
      <c r="DFM37" s="129"/>
      <c r="DFN37" s="129"/>
      <c r="DFO37" s="129"/>
      <c r="DFP37" s="129"/>
      <c r="DFQ37" s="129"/>
      <c r="DFR37" s="129"/>
      <c r="DFS37" s="129"/>
      <c r="DFT37" s="129"/>
      <c r="DFU37" s="129"/>
      <c r="DFV37" s="129"/>
      <c r="DFW37" s="129"/>
      <c r="DFX37" s="129"/>
      <c r="DFY37" s="129"/>
      <c r="DFZ37" s="129"/>
      <c r="DGA37" s="129"/>
      <c r="DGB37" s="129"/>
      <c r="DGC37" s="129"/>
      <c r="DGD37" s="129"/>
      <c r="DGE37" s="129"/>
      <c r="DGF37" s="129"/>
      <c r="DGG37" s="129"/>
      <c r="DGH37" s="129"/>
      <c r="DGI37" s="129"/>
      <c r="DGJ37" s="128"/>
      <c r="DGK37" s="128"/>
      <c r="DGL37" s="128"/>
      <c r="DGM37" s="128"/>
      <c r="DGN37" s="128"/>
      <c r="DGO37" s="128"/>
      <c r="DGP37" s="128"/>
    </row>
    <row r="38" spans="2:1022 1118:1774 2434:2996" ht="15" customHeight="1" x14ac:dyDescent="0.25">
      <c r="B38" s="135">
        <v>13</v>
      </c>
      <c r="C38" s="136"/>
      <c r="D38" s="136"/>
      <c r="E38" s="136" t="str">
        <f>IFERROR(VLOOKUP(B38,Calculations!$DH$3:$DJ$127,3,FALSE),"")</f>
        <v/>
      </c>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c r="AE38" s="136"/>
      <c r="AF38" s="136"/>
      <c r="AG38" s="200" t="str">
        <f>IFERROR(VLOOKUP(B38,Calculations!$DH$3:$DX$200,17,FALSE),"")</f>
        <v/>
      </c>
      <c r="AH38" s="131"/>
      <c r="AI38" s="131"/>
      <c r="AJ38" s="131"/>
      <c r="AK38" s="131"/>
      <c r="AL38" s="131"/>
      <c r="AM38" s="131"/>
      <c r="AN38" s="131"/>
      <c r="AO38" s="131"/>
      <c r="AP38" s="131"/>
      <c r="AQ38" s="131"/>
      <c r="AR38" s="131"/>
      <c r="AS38" s="131"/>
      <c r="AT38" s="131"/>
      <c r="AU38" s="131"/>
      <c r="AV38" s="131"/>
      <c r="AW38" s="131"/>
      <c r="AX38" s="131"/>
      <c r="AY38" s="131"/>
      <c r="AZ38" s="131"/>
      <c r="BA38" s="201"/>
      <c r="BB38" s="226" t="str">
        <f>IFERROR(IFERROR((VLOOKUP(E38,Calculations!$DR$3:$EJ$200,19,FALSE)),0)+VLOOKUP(B38,Calculations!$DH$3:$DN$200,7,FALSE)+CG38+CO38+IFERROR(VLOOKUP((LEFT(E38,FIND("(",E38)-2)),Calculations!$DJ$3:$EJ$200,26,FALSE),0),"")</f>
        <v/>
      </c>
      <c r="BC38" s="226"/>
      <c r="BD38" s="226"/>
      <c r="BE38" s="226"/>
      <c r="BF38" s="226"/>
      <c r="BG38" s="226"/>
      <c r="BH38" s="226"/>
      <c r="BI38" s="131" t="str">
        <f>IFERROR("x "&amp;VLOOKUP(B38,Calculations!$DH$3:$DY$200,18,FALSE),"")</f>
        <v/>
      </c>
      <c r="BJ38" s="131"/>
      <c r="BK38" s="131"/>
      <c r="BL38" s="131"/>
      <c r="BM38" s="131"/>
      <c r="BN38" s="131"/>
      <c r="BO38" s="131"/>
      <c r="BP38" s="131"/>
      <c r="BQ38" s="131" t="str">
        <f>IFERROR(VLOOKUP(B38,Calculations!$DH$3:$EE$200,22,FALSE),"")</f>
        <v/>
      </c>
      <c r="BR38" s="131"/>
      <c r="BS38" s="131"/>
      <c r="BT38" s="131"/>
      <c r="BU38" s="131"/>
      <c r="BV38" s="131"/>
      <c r="BW38" s="131"/>
      <c r="BX38" s="131"/>
      <c r="BY38" s="131" t="str">
        <f>IFERROR(VLOOKUP(B38,Calculations!$DH$3:$EA$200,19,FALSE)-ROUNDDOWN((CO38/5),0),"")</f>
        <v/>
      </c>
      <c r="BZ38" s="131"/>
      <c r="CA38" s="131"/>
      <c r="CB38" s="131"/>
      <c r="CC38" s="131"/>
      <c r="CD38" s="131"/>
      <c r="CE38" s="131"/>
      <c r="CF38" s="131"/>
      <c r="CG38" s="194">
        <v>0</v>
      </c>
      <c r="CH38" s="194"/>
      <c r="CI38" s="194"/>
      <c r="CJ38" s="194"/>
      <c r="CK38" s="194"/>
      <c r="CL38" s="194"/>
      <c r="CM38" s="194"/>
      <c r="CN38" s="194"/>
      <c r="CO38" s="194">
        <v>0</v>
      </c>
      <c r="CP38" s="194"/>
      <c r="CQ38" s="194"/>
      <c r="CR38" s="194"/>
      <c r="CS38" s="194"/>
      <c r="CT38" s="194"/>
      <c r="CU38" s="194"/>
      <c r="CV38" s="194"/>
      <c r="CW38" s="131" t="str">
        <f>IF(E38="","",IFERROR(VLOOKUP(B38,Calculations!$DH$3:$ED$200,23,FALSE)+CO38+CG38,"- -"))</f>
        <v/>
      </c>
      <c r="CX38" s="131"/>
      <c r="CY38" s="131"/>
      <c r="CZ38" s="131"/>
      <c r="DA38" s="131"/>
      <c r="DB38" s="131"/>
      <c r="DC38" s="131"/>
      <c r="DD38" s="131"/>
      <c r="DE38" s="199" t="str">
        <f>IF(E38="","",IFERROR(VLOOKUP(B38,Calculations!$DH$3:$EE$200,24,FALSE),"- -"))</f>
        <v/>
      </c>
      <c r="DF38" s="131"/>
      <c r="DG38" s="131"/>
      <c r="DH38" s="131"/>
      <c r="DI38" s="131"/>
      <c r="DJ38" s="131"/>
      <c r="DK38" s="131"/>
      <c r="DL38" s="131"/>
      <c r="DM38" s="199" t="str">
        <f>IF(E38="","",IFERROR(VLOOKUP(B38,Calculations!$DH$3:$EJ$200,25,FALSE),"- -"))</f>
        <v/>
      </c>
      <c r="DN38" s="131"/>
      <c r="DO38" s="131"/>
      <c r="DP38" s="131"/>
      <c r="DQ38" s="131"/>
      <c r="DR38" s="131"/>
      <c r="DS38" s="131"/>
      <c r="DT38" s="131"/>
      <c r="DU38" s="131" t="str">
        <f t="shared" si="14"/>
        <v/>
      </c>
      <c r="DV38" s="131"/>
      <c r="DW38" s="131"/>
      <c r="DX38" s="131"/>
      <c r="DY38" s="131"/>
      <c r="DZ38" s="131"/>
      <c r="EA38" s="131"/>
      <c r="EB38" s="131"/>
      <c r="EC38" s="131" t="str">
        <f t="shared" si="15"/>
        <v/>
      </c>
      <c r="ED38" s="131"/>
      <c r="EE38" s="131"/>
      <c r="EF38" s="131"/>
      <c r="EG38" s="131"/>
      <c r="EH38" s="131"/>
      <c r="EI38" s="131"/>
      <c r="EJ38" s="131"/>
      <c r="EK38" s="131" t="str">
        <f t="shared" si="16"/>
        <v/>
      </c>
      <c r="EL38" s="131"/>
      <c r="EM38" s="131"/>
      <c r="EN38" s="131"/>
      <c r="EO38" s="131"/>
      <c r="EP38" s="131"/>
      <c r="EQ38" s="131"/>
      <c r="ER38" s="131"/>
      <c r="ES38" s="131" t="str">
        <f t="shared" si="17"/>
        <v/>
      </c>
      <c r="ET38" s="131"/>
      <c r="EU38" s="131"/>
      <c r="EV38" s="131"/>
      <c r="EW38" s="131"/>
      <c r="EX38" s="131"/>
      <c r="EY38" s="131"/>
      <c r="EZ38" s="239"/>
      <c r="FB38" s="139" t="s">
        <v>2709</v>
      </c>
      <c r="FC38" s="140"/>
      <c r="FD38" s="140"/>
      <c r="FE38" s="140"/>
      <c r="FF38" s="140"/>
      <c r="FG38" s="140"/>
      <c r="FH38" s="140"/>
      <c r="FI38" s="140"/>
      <c r="FJ38" s="140"/>
      <c r="FK38" s="140"/>
      <c r="FL38" s="140"/>
      <c r="FM38" s="140"/>
      <c r="FN38" s="140"/>
      <c r="FO38" s="140"/>
      <c r="FP38" s="140"/>
      <c r="FQ38" s="140"/>
      <c r="FR38" s="140"/>
      <c r="FS38" s="140"/>
      <c r="FT38" s="140"/>
      <c r="FU38" s="140"/>
      <c r="FV38" s="140"/>
      <c r="FW38" s="140"/>
      <c r="FX38" s="140"/>
      <c r="FY38" s="140"/>
      <c r="FZ38" s="140"/>
      <c r="GA38" s="140"/>
      <c r="GB38" s="140"/>
      <c r="GC38" s="140"/>
      <c r="GD38" s="140"/>
      <c r="GE38" s="140"/>
      <c r="GF38" s="140"/>
      <c r="GG38" s="140"/>
      <c r="GH38" s="140"/>
      <c r="GI38" s="140"/>
      <c r="GJ38" s="140"/>
      <c r="GK38" s="140"/>
      <c r="GL38" s="140"/>
      <c r="GM38" s="140"/>
      <c r="GN38" s="140"/>
      <c r="GO38" s="140"/>
      <c r="GP38" s="140"/>
      <c r="GQ38" s="140"/>
      <c r="GR38" s="140"/>
      <c r="GS38" s="140"/>
      <c r="GT38" s="141">
        <v>1</v>
      </c>
      <c r="GU38" s="141"/>
      <c r="GV38" s="141"/>
      <c r="GW38" s="141"/>
      <c r="GX38" s="141"/>
      <c r="GY38" s="141"/>
      <c r="GZ38" s="141"/>
      <c r="HA38" s="141"/>
      <c r="HB38" s="142">
        <f>IFERROR(ROUND(Calculations!BV39*GT38,2),"")</f>
        <v>0.25</v>
      </c>
      <c r="HC38" s="142"/>
      <c r="HD38" s="142"/>
      <c r="HE38" s="142"/>
      <c r="HF38" s="142"/>
      <c r="HG38" s="142"/>
      <c r="HH38" s="142"/>
      <c r="HI38" s="142"/>
      <c r="HJ38" s="142">
        <f>IFERROR(Calculations!BS39+IQ38+IX38,"")</f>
        <v>40</v>
      </c>
      <c r="HK38" s="142"/>
      <c r="HL38" s="142"/>
      <c r="HM38" s="142"/>
      <c r="HN38" s="142"/>
      <c r="HO38" s="142"/>
      <c r="HP38" s="142"/>
      <c r="HQ38" s="142"/>
      <c r="HR38" s="142">
        <f t="shared" si="9"/>
        <v>0</v>
      </c>
      <c r="HS38" s="142"/>
      <c r="HT38" s="142"/>
      <c r="HU38" s="142"/>
      <c r="HV38" s="142"/>
      <c r="HW38" s="142"/>
      <c r="HX38" s="142"/>
      <c r="HY38" s="142"/>
      <c r="HZ38" s="142" t="str">
        <f>IFERROR(Calculations!BX39,"")</f>
        <v>$0.72</v>
      </c>
      <c r="IA38" s="142"/>
      <c r="IB38" s="142"/>
      <c r="IC38" s="142"/>
      <c r="ID38" s="142"/>
      <c r="IE38" s="142"/>
      <c r="IF38" s="142"/>
      <c r="IG38" s="142"/>
      <c r="IH38" s="142"/>
      <c r="II38" s="142"/>
      <c r="IJ38" s="142">
        <f>IFERROR(Calculations!BR39+IX38,"")</f>
        <v>0</v>
      </c>
      <c r="IK38" s="142"/>
      <c r="IL38" s="142"/>
      <c r="IM38" s="142"/>
      <c r="IN38" s="142"/>
      <c r="IO38" s="142"/>
      <c r="IP38" s="142"/>
      <c r="IQ38" s="141">
        <v>0</v>
      </c>
      <c r="IR38" s="141"/>
      <c r="IS38" s="141"/>
      <c r="IT38" s="141"/>
      <c r="IU38" s="141"/>
      <c r="IV38" s="141"/>
      <c r="IW38" s="141"/>
      <c r="IX38" s="141">
        <v>0</v>
      </c>
      <c r="IY38" s="141"/>
      <c r="IZ38" s="141"/>
      <c r="JA38" s="141"/>
      <c r="JB38" s="141"/>
      <c r="JC38" s="141"/>
      <c r="JD38" s="141"/>
      <c r="JE38" s="141"/>
      <c r="JF38" s="142"/>
      <c r="JG38" s="142"/>
      <c r="JH38" s="142"/>
      <c r="JI38" s="142"/>
      <c r="JJ38" s="142"/>
      <c r="JK38" s="143" t="str">
        <f>Calculations!AS39</f>
        <v>Brass</v>
      </c>
      <c r="JL38" s="143"/>
      <c r="JM38" s="143"/>
      <c r="JN38" s="143"/>
      <c r="JO38" s="143"/>
      <c r="JP38" s="143"/>
      <c r="JQ38" s="143"/>
      <c r="JR38" s="143"/>
      <c r="JS38" s="143"/>
      <c r="JT38" s="143"/>
      <c r="JU38" s="143"/>
      <c r="JV38" s="143"/>
      <c r="JW38" s="143"/>
      <c r="JX38" s="143"/>
      <c r="JY38" s="143"/>
      <c r="JZ38" s="143"/>
      <c r="KA38" s="143"/>
      <c r="KB38" s="143"/>
      <c r="KC38" s="143" t="str">
        <f>Calculations!AW39</f>
        <v>Brass</v>
      </c>
      <c r="KD38" s="143"/>
      <c r="KE38" s="143"/>
      <c r="KF38" s="143"/>
      <c r="KG38" s="143"/>
      <c r="KH38" s="143"/>
      <c r="KI38" s="143"/>
      <c r="KJ38" s="143"/>
      <c r="KK38" s="143"/>
      <c r="KL38" s="143"/>
      <c r="KM38" s="143"/>
      <c r="KN38" s="143"/>
      <c r="KO38" s="143"/>
      <c r="KP38" s="143"/>
      <c r="KQ38" s="143"/>
      <c r="KR38" s="143"/>
      <c r="KS38" s="143"/>
      <c r="KT38" s="143"/>
      <c r="KU38" s="144"/>
      <c r="KV38" s="144"/>
      <c r="KW38" s="144"/>
      <c r="KX38" s="144"/>
      <c r="KY38" s="144"/>
      <c r="KZ38" s="144"/>
      <c r="LA38" s="144"/>
      <c r="LB38" s="144"/>
      <c r="LC38" s="144"/>
      <c r="LD38" s="144"/>
      <c r="LE38" s="144"/>
      <c r="LF38" s="144"/>
      <c r="LG38" s="144"/>
      <c r="LH38" s="144"/>
      <c r="LI38" s="144"/>
      <c r="LJ38" s="144"/>
      <c r="LK38" s="144"/>
      <c r="LL38" s="144"/>
      <c r="LM38" s="144"/>
      <c r="LN38" s="144"/>
      <c r="LO38" s="144"/>
      <c r="LP38" s="144"/>
      <c r="LQ38" s="144"/>
      <c r="LR38" s="144"/>
      <c r="LS38" s="144"/>
      <c r="LT38" s="144"/>
      <c r="LU38" s="144"/>
      <c r="LV38" s="144"/>
      <c r="LW38" s="144"/>
      <c r="LX38" s="144"/>
      <c r="LY38" s="144"/>
      <c r="LZ38" s="144"/>
      <c r="MA38" s="144"/>
      <c r="MB38" s="144"/>
      <c r="MC38" s="144"/>
      <c r="MD38" s="144"/>
      <c r="ME38" s="144"/>
      <c r="MF38" s="144"/>
      <c r="MG38" s="144"/>
      <c r="MH38" s="144"/>
      <c r="MI38" s="144"/>
      <c r="MJ38" s="144"/>
      <c r="MK38" s="144"/>
      <c r="ML38" s="144"/>
      <c r="MM38" s="144"/>
      <c r="MN38" s="144"/>
      <c r="MO38" s="144"/>
      <c r="MP38" s="144"/>
      <c r="MQ38" s="144"/>
      <c r="MR38" s="144"/>
      <c r="MS38" s="144"/>
      <c r="MT38" s="144"/>
      <c r="MU38" s="144"/>
      <c r="MV38" s="144"/>
      <c r="MW38" s="144"/>
      <c r="MX38" s="144"/>
      <c r="MY38" s="144"/>
      <c r="MZ38" s="145"/>
      <c r="APZ38" s="128" t="s">
        <v>593</v>
      </c>
      <c r="AQA38" s="128"/>
      <c r="AQB38" s="128"/>
      <c r="AQC38" s="128"/>
      <c r="AQD38" s="128"/>
      <c r="AQE38" s="128"/>
      <c r="AQF38" s="128"/>
      <c r="AQG38" s="128"/>
      <c r="AQH38" s="128"/>
      <c r="AQI38" s="128"/>
      <c r="AQJ38" s="128"/>
      <c r="AQK38" s="128"/>
      <c r="AQL38" s="128"/>
      <c r="AQM38" s="128"/>
      <c r="AQN38" s="128"/>
      <c r="AQO38" s="128"/>
      <c r="AQP38" s="128"/>
      <c r="AQQ38" s="128"/>
      <c r="AQR38" s="128"/>
      <c r="AQS38" s="128"/>
      <c r="AQT38" s="128"/>
      <c r="AQU38" s="128"/>
      <c r="AQV38" s="128"/>
      <c r="AQW38" s="128"/>
      <c r="AQX38" s="128"/>
      <c r="AQY38" s="128"/>
      <c r="AQZ38" s="128"/>
      <c r="ARA38" s="128"/>
      <c r="ARB38" s="128"/>
      <c r="ARC38" s="128"/>
      <c r="ARD38" s="128"/>
      <c r="ARE38" s="129"/>
      <c r="ARF38" s="129"/>
      <c r="ARG38" s="129"/>
      <c r="ARH38" s="129"/>
      <c r="ARI38" s="129"/>
      <c r="ARJ38" s="129"/>
      <c r="ARK38" s="129"/>
      <c r="ARL38" s="129"/>
      <c r="ARM38" s="129"/>
      <c r="ARN38" s="129"/>
      <c r="ARO38" s="129"/>
      <c r="ARP38" s="129"/>
      <c r="ARQ38" s="129"/>
      <c r="ARR38" s="129"/>
      <c r="ARS38" s="129"/>
      <c r="ART38" s="129"/>
      <c r="ARU38" s="129"/>
      <c r="ARV38" s="129"/>
      <c r="ARW38" s="129"/>
      <c r="ARX38" s="129"/>
      <c r="ARY38" s="129"/>
      <c r="ARZ38" s="128"/>
      <c r="ASA38" s="128"/>
      <c r="ASB38" s="128"/>
      <c r="ASC38" s="128"/>
      <c r="ASD38" s="128"/>
      <c r="ASE38" s="128"/>
      <c r="ASF38" s="129"/>
      <c r="ASG38" s="129"/>
      <c r="ASH38" s="129"/>
      <c r="ASI38" s="129"/>
      <c r="ASJ38" s="129"/>
      <c r="ASK38" s="129"/>
      <c r="ASL38" s="129"/>
      <c r="ASM38" s="129"/>
      <c r="ASN38" s="129"/>
      <c r="ASO38" s="129"/>
      <c r="ASP38" s="129"/>
      <c r="ASQ38" s="129"/>
      <c r="ASR38" s="129"/>
      <c r="ASS38" s="129"/>
      <c r="AST38" s="129"/>
      <c r="ASU38" s="129"/>
      <c r="ASV38" s="129"/>
      <c r="ASW38" s="129"/>
      <c r="ASX38" s="129"/>
      <c r="ASY38" s="129"/>
      <c r="ASZ38" s="129"/>
      <c r="ATA38" s="129"/>
      <c r="ATB38" s="129"/>
      <c r="ATC38" s="129"/>
      <c r="ATD38" s="129"/>
      <c r="ATE38" s="129"/>
      <c r="ATF38" s="129"/>
      <c r="ATG38" s="129"/>
      <c r="ATH38" s="128"/>
      <c r="ATI38" s="128"/>
      <c r="ATJ38" s="128"/>
      <c r="ATK38" s="128"/>
      <c r="ATL38" s="128"/>
      <c r="ATM38" s="128"/>
      <c r="ATN38" s="128"/>
      <c r="COP38" s="128" t="str">
        <f ca="1">VLOOKUP(12,INDIRECT("Closed"&amp;'Character Creation'!$Z$14),2,FALSE)</f>
        <v>Spell Reins</v>
      </c>
      <c r="COQ38" s="128"/>
      <c r="COR38" s="128"/>
      <c r="COS38" s="128"/>
      <c r="COT38" s="128"/>
      <c r="COU38" s="128"/>
      <c r="COV38" s="128"/>
      <c r="COW38" s="128"/>
      <c r="COX38" s="128"/>
      <c r="COY38" s="128"/>
      <c r="COZ38" s="128"/>
      <c r="CPA38" s="128"/>
      <c r="CPB38" s="128"/>
      <c r="CPC38" s="128"/>
      <c r="CPD38" s="128"/>
      <c r="CPE38" s="128"/>
      <c r="CPF38" s="128"/>
      <c r="CPG38" s="128"/>
      <c r="CPH38" s="128"/>
      <c r="CPI38" s="128"/>
      <c r="CPJ38" s="128"/>
      <c r="CPK38" s="128"/>
      <c r="CPL38" s="128"/>
      <c r="CPM38" s="128"/>
      <c r="CPN38" s="128"/>
      <c r="CPO38" s="128"/>
      <c r="CPP38" s="128"/>
      <c r="CPQ38" s="128"/>
      <c r="CPR38" s="128"/>
      <c r="CPS38" s="128"/>
      <c r="CPT38" s="128"/>
      <c r="CPU38" s="129"/>
      <c r="CPV38" s="129"/>
      <c r="CPW38" s="129"/>
      <c r="CPX38" s="129"/>
      <c r="CPY38" s="129"/>
      <c r="CPZ38" s="129"/>
      <c r="CQA38" s="129"/>
      <c r="CQB38" s="129"/>
      <c r="CQC38" s="129"/>
      <c r="CQD38" s="129"/>
      <c r="CQE38" s="129"/>
      <c r="CQF38" s="129"/>
      <c r="CQG38" s="129"/>
      <c r="CQH38" s="129"/>
      <c r="CQI38" s="129"/>
      <c r="CQJ38" s="129"/>
      <c r="CQK38" s="129"/>
      <c r="CQL38" s="129"/>
      <c r="CQM38" s="129"/>
      <c r="CQN38" s="129"/>
      <c r="CQO38" s="129"/>
      <c r="CQP38" s="128"/>
      <c r="CQQ38" s="128"/>
      <c r="CQR38" s="128"/>
      <c r="CQS38" s="128"/>
      <c r="CQT38" s="128"/>
      <c r="CQU38" s="128"/>
      <c r="CQV38" s="129"/>
      <c r="CQW38" s="129"/>
      <c r="CQX38" s="129"/>
      <c r="CQY38" s="129"/>
      <c r="CQZ38" s="129"/>
      <c r="CRA38" s="129"/>
      <c r="CRB38" s="129"/>
      <c r="CRC38" s="129"/>
      <c r="CRD38" s="129"/>
      <c r="CRE38" s="129"/>
      <c r="CRF38" s="129"/>
      <c r="CRG38" s="129"/>
      <c r="CRH38" s="129"/>
      <c r="CRI38" s="129"/>
      <c r="CRJ38" s="129"/>
      <c r="CRK38" s="129"/>
      <c r="CRL38" s="129"/>
      <c r="CRM38" s="129"/>
      <c r="CRN38" s="129"/>
      <c r="CRO38" s="129"/>
      <c r="CRP38" s="129"/>
      <c r="CRQ38" s="129"/>
      <c r="CRR38" s="129"/>
      <c r="CRS38" s="129"/>
      <c r="CRT38" s="129"/>
      <c r="CRU38" s="129"/>
      <c r="CRV38" s="129"/>
      <c r="CRW38" s="129"/>
      <c r="CRX38" s="128"/>
      <c r="CRY38" s="128"/>
      <c r="CRZ38" s="128"/>
      <c r="CSA38" s="128"/>
      <c r="CSB38" s="128"/>
      <c r="CSC38" s="128"/>
      <c r="CSD38" s="128"/>
      <c r="CSF38" s="128" t="s">
        <v>463</v>
      </c>
      <c r="CSG38" s="128"/>
      <c r="CSH38" s="128"/>
      <c r="CSI38" s="128"/>
      <c r="CSJ38" s="128"/>
      <c r="CSK38" s="128"/>
      <c r="CSL38" s="128"/>
      <c r="CSM38" s="128"/>
      <c r="CSN38" s="128"/>
      <c r="CSO38" s="128"/>
      <c r="CSP38" s="128"/>
      <c r="CSQ38" s="128"/>
      <c r="CSR38" s="128"/>
      <c r="CSS38" s="128"/>
      <c r="CST38" s="128"/>
      <c r="CSU38" s="128"/>
      <c r="CSV38" s="128"/>
      <c r="CSW38" s="128"/>
      <c r="CSX38" s="128"/>
      <c r="CSY38" s="128"/>
      <c r="CSZ38" s="128"/>
      <c r="CTA38" s="128"/>
      <c r="CTB38" s="128"/>
      <c r="CTC38" s="128"/>
      <c r="CTD38" s="128"/>
      <c r="CTE38" s="128"/>
      <c r="CTF38" s="128"/>
      <c r="CTG38" s="128"/>
      <c r="CTH38" s="128"/>
      <c r="CTI38" s="128"/>
      <c r="CTJ38" s="128"/>
      <c r="CTK38" s="129"/>
      <c r="CTL38" s="129"/>
      <c r="CTM38" s="129"/>
      <c r="CTN38" s="129"/>
      <c r="CTO38" s="129"/>
      <c r="CTP38" s="129"/>
      <c r="CTQ38" s="129"/>
      <c r="CTR38" s="129"/>
      <c r="CTS38" s="129"/>
      <c r="CTT38" s="129"/>
      <c r="CTU38" s="129"/>
      <c r="CTV38" s="129"/>
      <c r="CTW38" s="129"/>
      <c r="CTX38" s="129"/>
      <c r="CTY38" s="129"/>
      <c r="CTZ38" s="129"/>
      <c r="CUA38" s="129"/>
      <c r="CUB38" s="129"/>
      <c r="CUC38" s="129"/>
      <c r="CUD38" s="129"/>
      <c r="CUE38" s="129"/>
      <c r="CUF38" s="128"/>
      <c r="CUG38" s="128"/>
      <c r="CUH38" s="128"/>
      <c r="CUI38" s="128"/>
      <c r="CUJ38" s="128"/>
      <c r="CUK38" s="128"/>
      <c r="CUL38" s="129"/>
      <c r="CUM38" s="129"/>
      <c r="CUN38" s="129"/>
      <c r="CUO38" s="129"/>
      <c r="CUP38" s="129"/>
      <c r="CUQ38" s="129"/>
      <c r="CUR38" s="129"/>
      <c r="CUS38" s="129"/>
      <c r="CUT38" s="129"/>
      <c r="CUU38" s="129"/>
      <c r="CUV38" s="129"/>
      <c r="CUW38" s="129"/>
      <c r="CUX38" s="129"/>
      <c r="CUY38" s="129"/>
      <c r="CUZ38" s="129"/>
      <c r="CVA38" s="129"/>
      <c r="CVB38" s="129"/>
      <c r="CVC38" s="129"/>
      <c r="CVD38" s="129"/>
      <c r="CVE38" s="129"/>
      <c r="CVF38" s="129"/>
      <c r="CVG38" s="129"/>
      <c r="CVH38" s="129"/>
      <c r="CVI38" s="129"/>
      <c r="CVJ38" s="129"/>
      <c r="CVK38" s="129"/>
      <c r="CVL38" s="129"/>
      <c r="CVM38" s="129"/>
      <c r="CVN38" s="128"/>
      <c r="CVO38" s="128"/>
      <c r="CVP38" s="128"/>
      <c r="CVQ38" s="128"/>
      <c r="CVR38" s="128"/>
      <c r="CVS38" s="128"/>
      <c r="CVT38" s="128"/>
      <c r="DDB38" s="128" t="s">
        <v>542</v>
      </c>
      <c r="DDC38" s="128"/>
      <c r="DDD38" s="128"/>
      <c r="DDE38" s="128"/>
      <c r="DDF38" s="128"/>
      <c r="DDG38" s="128"/>
      <c r="DDH38" s="128"/>
      <c r="DDI38" s="128"/>
      <c r="DDJ38" s="128"/>
      <c r="DDK38" s="128"/>
      <c r="DDL38" s="128"/>
      <c r="DDM38" s="128"/>
      <c r="DDN38" s="128"/>
      <c r="DDO38" s="128"/>
      <c r="DDP38" s="128"/>
      <c r="DDQ38" s="128"/>
      <c r="DDR38" s="128"/>
      <c r="DDS38" s="128"/>
      <c r="DDT38" s="128"/>
      <c r="DDU38" s="128"/>
      <c r="DDV38" s="128"/>
      <c r="DDW38" s="128"/>
      <c r="DDX38" s="128"/>
      <c r="DDY38" s="128"/>
      <c r="DDZ38" s="128"/>
      <c r="DEA38" s="128"/>
      <c r="DEB38" s="128"/>
      <c r="DEC38" s="128"/>
      <c r="DED38" s="128"/>
      <c r="DEE38" s="128"/>
      <c r="DEF38" s="128"/>
      <c r="DEG38" s="129"/>
      <c r="DEH38" s="129"/>
      <c r="DEI38" s="129"/>
      <c r="DEJ38" s="129"/>
      <c r="DEK38" s="129"/>
      <c r="DEL38" s="129"/>
      <c r="DEM38" s="129"/>
      <c r="DEN38" s="129"/>
      <c r="DEO38" s="129"/>
      <c r="DEP38" s="129"/>
      <c r="DEQ38" s="129"/>
      <c r="DER38" s="129"/>
      <c r="DES38" s="129"/>
      <c r="DET38" s="129"/>
      <c r="DEU38" s="129"/>
      <c r="DEV38" s="129"/>
      <c r="DEW38" s="129"/>
      <c r="DEX38" s="129"/>
      <c r="DEY38" s="129"/>
      <c r="DEZ38" s="129"/>
      <c r="DFA38" s="129"/>
      <c r="DFB38" s="128"/>
      <c r="DFC38" s="128"/>
      <c r="DFD38" s="128"/>
      <c r="DFE38" s="128"/>
      <c r="DFF38" s="128"/>
      <c r="DFG38" s="128"/>
      <c r="DFH38" s="129"/>
      <c r="DFI38" s="129"/>
      <c r="DFJ38" s="129"/>
      <c r="DFK38" s="129"/>
      <c r="DFL38" s="129"/>
      <c r="DFM38" s="129"/>
      <c r="DFN38" s="129"/>
      <c r="DFO38" s="129"/>
      <c r="DFP38" s="129"/>
      <c r="DFQ38" s="129"/>
      <c r="DFR38" s="129"/>
      <c r="DFS38" s="129"/>
      <c r="DFT38" s="129"/>
      <c r="DFU38" s="129"/>
      <c r="DFV38" s="129"/>
      <c r="DFW38" s="129"/>
      <c r="DFX38" s="129"/>
      <c r="DFY38" s="129"/>
      <c r="DFZ38" s="129"/>
      <c r="DGA38" s="129"/>
      <c r="DGB38" s="129"/>
      <c r="DGC38" s="129"/>
      <c r="DGD38" s="129"/>
      <c r="DGE38" s="129"/>
      <c r="DGF38" s="129"/>
      <c r="DGG38" s="129"/>
      <c r="DGH38" s="129"/>
      <c r="DGI38" s="129"/>
      <c r="DGJ38" s="128"/>
      <c r="DGK38" s="128"/>
      <c r="DGL38" s="128"/>
      <c r="DGM38" s="128"/>
      <c r="DGN38" s="128"/>
      <c r="DGO38" s="128"/>
      <c r="DGP38" s="128"/>
    </row>
    <row r="39" spans="2:1022 1118:1774 2434:2996" ht="15" customHeight="1" x14ac:dyDescent="0.25">
      <c r="B39" s="133">
        <v>14</v>
      </c>
      <c r="C39" s="134"/>
      <c r="D39" s="134"/>
      <c r="E39" s="134" t="str">
        <f>IFERROR(VLOOKUP(B39,Calculations!$DH$3:$DJ$127,3,FALSE),"")</f>
        <v/>
      </c>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96" t="str">
        <f>IFERROR(VLOOKUP(B39,Calculations!$DH$3:$DX$200,17,FALSE),"")</f>
        <v/>
      </c>
      <c r="AH39" s="130"/>
      <c r="AI39" s="130"/>
      <c r="AJ39" s="130"/>
      <c r="AK39" s="130"/>
      <c r="AL39" s="130"/>
      <c r="AM39" s="130"/>
      <c r="AN39" s="130"/>
      <c r="AO39" s="130"/>
      <c r="AP39" s="130"/>
      <c r="AQ39" s="130"/>
      <c r="AR39" s="130"/>
      <c r="AS39" s="130"/>
      <c r="AT39" s="130"/>
      <c r="AU39" s="130"/>
      <c r="AV39" s="130"/>
      <c r="AW39" s="130"/>
      <c r="AX39" s="130"/>
      <c r="AY39" s="130"/>
      <c r="AZ39" s="130"/>
      <c r="BA39" s="197"/>
      <c r="BB39" s="210" t="str">
        <f>IFERROR(IFERROR((VLOOKUP(E39,Calculations!$DR$3:$EJ$200,19,FALSE)),0)+VLOOKUP(B39,Calculations!$DH$3:$DN$200,7,FALSE)+CG39+CO39+IFERROR(VLOOKUP((LEFT(E39,FIND("(",E39)-2)),Calculations!$DJ$3:$EJ$200,26,FALSE),0),"")</f>
        <v/>
      </c>
      <c r="BC39" s="210"/>
      <c r="BD39" s="210"/>
      <c r="BE39" s="210"/>
      <c r="BF39" s="210"/>
      <c r="BG39" s="210"/>
      <c r="BH39" s="210"/>
      <c r="BI39" s="130" t="str">
        <f>IFERROR("x "&amp;VLOOKUP(B39,Calculations!$DH$3:$DY$200,18,FALSE),"")</f>
        <v/>
      </c>
      <c r="BJ39" s="130"/>
      <c r="BK39" s="130"/>
      <c r="BL39" s="130"/>
      <c r="BM39" s="130"/>
      <c r="BN39" s="130"/>
      <c r="BO39" s="130"/>
      <c r="BP39" s="130"/>
      <c r="BQ39" s="130" t="str">
        <f>IFERROR(VLOOKUP(B39,Calculations!$DH$3:$EE$200,22,FALSE),"")</f>
        <v/>
      </c>
      <c r="BR39" s="130"/>
      <c r="BS39" s="130"/>
      <c r="BT39" s="130"/>
      <c r="BU39" s="130"/>
      <c r="BV39" s="130"/>
      <c r="BW39" s="130"/>
      <c r="BX39" s="130"/>
      <c r="BY39" s="130" t="str">
        <f>IFERROR(VLOOKUP(B39,Calculations!$DH$3:$EA$200,19,FALSE)-ROUNDDOWN((CO39/5),0),"")</f>
        <v/>
      </c>
      <c r="BZ39" s="130"/>
      <c r="CA39" s="130"/>
      <c r="CB39" s="130"/>
      <c r="CC39" s="130"/>
      <c r="CD39" s="130"/>
      <c r="CE39" s="130"/>
      <c r="CF39" s="130"/>
      <c r="CG39" s="195">
        <v>0</v>
      </c>
      <c r="CH39" s="195"/>
      <c r="CI39" s="195"/>
      <c r="CJ39" s="195"/>
      <c r="CK39" s="195"/>
      <c r="CL39" s="195"/>
      <c r="CM39" s="195"/>
      <c r="CN39" s="195"/>
      <c r="CO39" s="195">
        <v>0</v>
      </c>
      <c r="CP39" s="195"/>
      <c r="CQ39" s="195"/>
      <c r="CR39" s="195"/>
      <c r="CS39" s="195"/>
      <c r="CT39" s="195"/>
      <c r="CU39" s="195"/>
      <c r="CV39" s="195"/>
      <c r="CW39" s="130" t="str">
        <f>IF(E39="","",IFERROR(VLOOKUP(B39,Calculations!$DH$3:$ED$200,23,FALSE)+CO39+CG39,"- -"))</f>
        <v/>
      </c>
      <c r="CX39" s="130"/>
      <c r="CY39" s="130"/>
      <c r="CZ39" s="130"/>
      <c r="DA39" s="130"/>
      <c r="DB39" s="130"/>
      <c r="DC39" s="130"/>
      <c r="DD39" s="130"/>
      <c r="DE39" s="198" t="str">
        <f>IF(E39="","",IFERROR(VLOOKUP(B39,Calculations!$DH$3:$EE$200,24,FALSE),"- -"))</f>
        <v/>
      </c>
      <c r="DF39" s="130"/>
      <c r="DG39" s="130"/>
      <c r="DH39" s="130"/>
      <c r="DI39" s="130"/>
      <c r="DJ39" s="130"/>
      <c r="DK39" s="130"/>
      <c r="DL39" s="130"/>
      <c r="DM39" s="198" t="str">
        <f>IF(E39="","",IFERROR(VLOOKUP(B39,Calculations!$DH$3:$EJ$200,25,FALSE),"- -"))</f>
        <v/>
      </c>
      <c r="DN39" s="130"/>
      <c r="DO39" s="130"/>
      <c r="DP39" s="130"/>
      <c r="DQ39" s="130"/>
      <c r="DR39" s="130"/>
      <c r="DS39" s="130"/>
      <c r="DT39" s="130"/>
      <c r="DU39" s="130" t="str">
        <f t="shared" si="14"/>
        <v/>
      </c>
      <c r="DV39" s="130"/>
      <c r="DW39" s="130"/>
      <c r="DX39" s="130"/>
      <c r="DY39" s="130"/>
      <c r="DZ39" s="130"/>
      <c r="EA39" s="130"/>
      <c r="EB39" s="130"/>
      <c r="EC39" s="130" t="str">
        <f t="shared" si="15"/>
        <v/>
      </c>
      <c r="ED39" s="130"/>
      <c r="EE39" s="130"/>
      <c r="EF39" s="130"/>
      <c r="EG39" s="130"/>
      <c r="EH39" s="130"/>
      <c r="EI39" s="130"/>
      <c r="EJ39" s="130"/>
      <c r="EK39" s="130" t="str">
        <f t="shared" si="16"/>
        <v/>
      </c>
      <c r="EL39" s="130"/>
      <c r="EM39" s="130"/>
      <c r="EN39" s="130"/>
      <c r="EO39" s="130"/>
      <c r="EP39" s="130"/>
      <c r="EQ39" s="130"/>
      <c r="ER39" s="130"/>
      <c r="ES39" s="130" t="str">
        <f t="shared" si="17"/>
        <v/>
      </c>
      <c r="ET39" s="130"/>
      <c r="EU39" s="130"/>
      <c r="EV39" s="130"/>
      <c r="EW39" s="130"/>
      <c r="EX39" s="130"/>
      <c r="EY39" s="130"/>
      <c r="EZ39" s="238"/>
      <c r="FB39" s="139" t="s">
        <v>2358</v>
      </c>
      <c r="FC39" s="140"/>
      <c r="FD39" s="140"/>
      <c r="FE39" s="140"/>
      <c r="FF39" s="140"/>
      <c r="FG39" s="140"/>
      <c r="FH39" s="140"/>
      <c r="FI39" s="140"/>
      <c r="FJ39" s="140"/>
      <c r="FK39" s="140"/>
      <c r="FL39" s="140"/>
      <c r="FM39" s="140"/>
      <c r="FN39" s="140"/>
      <c r="FO39" s="140"/>
      <c r="FP39" s="140"/>
      <c r="FQ39" s="140"/>
      <c r="FR39" s="140"/>
      <c r="FS39" s="140"/>
      <c r="FT39" s="140"/>
      <c r="FU39" s="140"/>
      <c r="FV39" s="140"/>
      <c r="FW39" s="140"/>
      <c r="FX39" s="140"/>
      <c r="FY39" s="140"/>
      <c r="FZ39" s="140"/>
      <c r="GA39" s="140"/>
      <c r="GB39" s="140"/>
      <c r="GC39" s="140"/>
      <c r="GD39" s="140"/>
      <c r="GE39" s="140"/>
      <c r="GF39" s="140"/>
      <c r="GG39" s="140"/>
      <c r="GH39" s="140"/>
      <c r="GI39" s="140"/>
      <c r="GJ39" s="140"/>
      <c r="GK39" s="140"/>
      <c r="GL39" s="140"/>
      <c r="GM39" s="140"/>
      <c r="GN39" s="140"/>
      <c r="GO39" s="140"/>
      <c r="GP39" s="140"/>
      <c r="GQ39" s="140"/>
      <c r="GR39" s="140"/>
      <c r="GS39" s="140"/>
      <c r="GT39" s="141">
        <v>1</v>
      </c>
      <c r="GU39" s="141"/>
      <c r="GV39" s="141"/>
      <c r="GW39" s="141"/>
      <c r="GX39" s="141"/>
      <c r="GY39" s="141"/>
      <c r="GZ39" s="141"/>
      <c r="HA39" s="141"/>
      <c r="HB39" s="142">
        <f>IFERROR(ROUND(Calculations!BV40*GT39,2),"")</f>
        <v>1.25</v>
      </c>
      <c r="HC39" s="142"/>
      <c r="HD39" s="142"/>
      <c r="HE39" s="142"/>
      <c r="HF39" s="142"/>
      <c r="HG39" s="142"/>
      <c r="HH39" s="142"/>
      <c r="HI39" s="142"/>
      <c r="HJ39" s="142">
        <f>IFERROR(Calculations!BS40+IQ39+IX39,"")</f>
        <v>60</v>
      </c>
      <c r="HK39" s="142"/>
      <c r="HL39" s="142"/>
      <c r="HM39" s="142"/>
      <c r="HN39" s="142"/>
      <c r="HO39" s="142"/>
      <c r="HP39" s="142"/>
      <c r="HQ39" s="142"/>
      <c r="HR39" s="142">
        <f t="shared" si="9"/>
        <v>0</v>
      </c>
      <c r="HS39" s="142"/>
      <c r="HT39" s="142"/>
      <c r="HU39" s="142"/>
      <c r="HV39" s="142"/>
      <c r="HW39" s="142"/>
      <c r="HX39" s="142"/>
      <c r="HY39" s="142"/>
      <c r="HZ39" s="142" t="str">
        <f>IFERROR(Calculations!BX40,"")</f>
        <v>$0.39</v>
      </c>
      <c r="IA39" s="142"/>
      <c r="IB39" s="142"/>
      <c r="IC39" s="142"/>
      <c r="ID39" s="142"/>
      <c r="IE39" s="142"/>
      <c r="IF39" s="142"/>
      <c r="IG39" s="142"/>
      <c r="IH39" s="142"/>
      <c r="II39" s="142"/>
      <c r="IJ39" s="142">
        <f>IFERROR(Calculations!BR40+IX39,"")</f>
        <v>0</v>
      </c>
      <c r="IK39" s="142"/>
      <c r="IL39" s="142"/>
      <c r="IM39" s="142"/>
      <c r="IN39" s="142"/>
      <c r="IO39" s="142"/>
      <c r="IP39" s="142"/>
      <c r="IQ39" s="141">
        <v>0</v>
      </c>
      <c r="IR39" s="141"/>
      <c r="IS39" s="141"/>
      <c r="IT39" s="141"/>
      <c r="IU39" s="141"/>
      <c r="IV39" s="141"/>
      <c r="IW39" s="141"/>
      <c r="IX39" s="141">
        <v>0</v>
      </c>
      <c r="IY39" s="141"/>
      <c r="IZ39" s="141"/>
      <c r="JA39" s="141"/>
      <c r="JB39" s="141"/>
      <c r="JC39" s="141"/>
      <c r="JD39" s="141"/>
      <c r="JE39" s="141"/>
      <c r="JF39" s="142"/>
      <c r="JG39" s="142"/>
      <c r="JH39" s="142"/>
      <c r="JI39" s="142"/>
      <c r="JJ39" s="142"/>
      <c r="JK39" s="143" t="str">
        <f>Calculations!AS40</f>
        <v>Brass</v>
      </c>
      <c r="JL39" s="143"/>
      <c r="JM39" s="143"/>
      <c r="JN39" s="143"/>
      <c r="JO39" s="143"/>
      <c r="JP39" s="143"/>
      <c r="JQ39" s="143"/>
      <c r="JR39" s="143"/>
      <c r="JS39" s="143"/>
      <c r="JT39" s="143"/>
      <c r="JU39" s="143"/>
      <c r="JV39" s="143"/>
      <c r="JW39" s="143"/>
      <c r="JX39" s="143"/>
      <c r="JY39" s="143"/>
      <c r="JZ39" s="143"/>
      <c r="KA39" s="143"/>
      <c r="KB39" s="143"/>
      <c r="KC39" s="143" t="str">
        <f>Calculations!AW40</f>
        <v>Brass</v>
      </c>
      <c r="KD39" s="143"/>
      <c r="KE39" s="143"/>
      <c r="KF39" s="143"/>
      <c r="KG39" s="143"/>
      <c r="KH39" s="143"/>
      <c r="KI39" s="143"/>
      <c r="KJ39" s="143"/>
      <c r="KK39" s="143"/>
      <c r="KL39" s="143"/>
      <c r="KM39" s="143"/>
      <c r="KN39" s="143"/>
      <c r="KO39" s="143"/>
      <c r="KP39" s="143"/>
      <c r="KQ39" s="143"/>
      <c r="KR39" s="143"/>
      <c r="KS39" s="143"/>
      <c r="KT39" s="143"/>
      <c r="KU39" s="144"/>
      <c r="KV39" s="144"/>
      <c r="KW39" s="144"/>
      <c r="KX39" s="144"/>
      <c r="KY39" s="144"/>
      <c r="KZ39" s="144"/>
      <c r="LA39" s="144"/>
      <c r="LB39" s="144"/>
      <c r="LC39" s="144"/>
      <c r="LD39" s="144"/>
      <c r="LE39" s="144"/>
      <c r="LF39" s="144"/>
      <c r="LG39" s="144"/>
      <c r="LH39" s="144"/>
      <c r="LI39" s="144"/>
      <c r="LJ39" s="144"/>
      <c r="LK39" s="144"/>
      <c r="LL39" s="144"/>
      <c r="LM39" s="144"/>
      <c r="LN39" s="144"/>
      <c r="LO39" s="144"/>
      <c r="LP39" s="144"/>
      <c r="LQ39" s="144"/>
      <c r="LR39" s="144"/>
      <c r="LS39" s="144"/>
      <c r="LT39" s="144"/>
      <c r="LU39" s="144"/>
      <c r="LV39" s="144"/>
      <c r="LW39" s="144"/>
      <c r="LX39" s="144"/>
      <c r="LY39" s="144"/>
      <c r="LZ39" s="144"/>
      <c r="MA39" s="144"/>
      <c r="MB39" s="144"/>
      <c r="MC39" s="144"/>
      <c r="MD39" s="144"/>
      <c r="ME39" s="144"/>
      <c r="MF39" s="144"/>
      <c r="MG39" s="144"/>
      <c r="MH39" s="144"/>
      <c r="MI39" s="144"/>
      <c r="MJ39" s="144"/>
      <c r="MK39" s="144"/>
      <c r="ML39" s="144"/>
      <c r="MM39" s="144"/>
      <c r="MN39" s="144"/>
      <c r="MO39" s="144"/>
      <c r="MP39" s="144"/>
      <c r="MQ39" s="144"/>
      <c r="MR39" s="144"/>
      <c r="MS39" s="144"/>
      <c r="MT39" s="144"/>
      <c r="MU39" s="144"/>
      <c r="MV39" s="144"/>
      <c r="MW39" s="144"/>
      <c r="MX39" s="144"/>
      <c r="MY39" s="144"/>
      <c r="MZ39" s="145"/>
      <c r="AIT39" s="144" t="s">
        <v>216</v>
      </c>
      <c r="AIU39" s="144"/>
      <c r="AIV39" s="144"/>
      <c r="AIW39" s="144"/>
      <c r="AIX39" s="144"/>
      <c r="AIY39" s="144"/>
      <c r="AIZ39" s="144"/>
      <c r="AJA39" s="144"/>
      <c r="AJB39" s="144"/>
      <c r="AJC39" s="144"/>
      <c r="AJD39" s="144"/>
      <c r="AJE39" s="144"/>
      <c r="AJF39" s="144"/>
      <c r="AJG39" s="144"/>
      <c r="AJH39" s="144"/>
      <c r="AJI39" s="144"/>
      <c r="AJJ39" s="144"/>
      <c r="AJK39" s="144"/>
      <c r="AJL39" s="144"/>
      <c r="AJM39" s="144"/>
      <c r="AJN39" s="144"/>
      <c r="AJO39" s="144"/>
      <c r="AJP39" s="144"/>
      <c r="AJQ39" s="144"/>
      <c r="AJR39" s="144"/>
      <c r="AJS39" s="144"/>
      <c r="AJT39" s="144"/>
      <c r="AJU39" s="144"/>
      <c r="AJV39" s="144"/>
      <c r="AJW39" s="144"/>
      <c r="AJX39" s="144"/>
      <c r="AJY39" s="144"/>
      <c r="AJZ39" s="144"/>
      <c r="AKA39" s="144"/>
      <c r="AKB39" s="144"/>
      <c r="AKC39" s="144"/>
      <c r="AKD39" s="144"/>
      <c r="AKE39" s="144"/>
      <c r="AKF39" s="144"/>
      <c r="AKG39" s="144"/>
      <c r="AKH39" s="144"/>
      <c r="AKI39" s="144"/>
      <c r="AKJ39" s="144"/>
      <c r="AKK39" s="144"/>
      <c r="AKL39" s="144"/>
      <c r="AKM39" s="144"/>
      <c r="AKN39" s="144"/>
      <c r="AKO39" s="144"/>
      <c r="AKP39" s="144"/>
      <c r="AKQ39" s="144"/>
      <c r="AKR39" s="144"/>
      <c r="AKS39" s="144"/>
      <c r="AKT39" s="144"/>
      <c r="AKU39" s="144"/>
      <c r="AKV39" s="144"/>
      <c r="AKW39" s="144"/>
      <c r="AKX39" s="144"/>
      <c r="AKY39" s="144"/>
      <c r="AKZ39" s="144"/>
      <c r="ALA39" s="144"/>
      <c r="ALB39" s="144"/>
      <c r="ALC39" s="144"/>
      <c r="ALD39" s="144"/>
      <c r="ALE39" s="144"/>
      <c r="ALF39" s="144"/>
      <c r="ALG39" s="144"/>
      <c r="ALH39" s="144"/>
      <c r="ALI39" s="144"/>
      <c r="ALJ39" s="144"/>
      <c r="ALK39" s="144"/>
      <c r="ALL39" s="144"/>
      <c r="ALM39" s="144"/>
      <c r="ALN39" s="144"/>
      <c r="ALO39" s="144"/>
      <c r="ALP39" s="144"/>
      <c r="ALQ39" s="144"/>
      <c r="ALR39" s="144"/>
      <c r="ALS39" s="144"/>
      <c r="ALT39" s="144"/>
      <c r="ALU39" s="144"/>
      <c r="ALV39" s="144"/>
      <c r="ALW39" s="144"/>
      <c r="ALX39" s="144"/>
      <c r="ALY39" s="144"/>
      <c r="ALZ39" s="144"/>
      <c r="AMA39" s="144"/>
      <c r="AMB39" s="144"/>
      <c r="AMC39" s="144"/>
      <c r="AMD39" s="144"/>
      <c r="AME39" s="144"/>
      <c r="AMF39" s="144"/>
      <c r="AMG39" s="144"/>
      <c r="AMH39" s="144"/>
      <c r="APZ39" s="128" t="s">
        <v>253</v>
      </c>
      <c r="AQA39" s="128"/>
      <c r="AQB39" s="128"/>
      <c r="AQC39" s="128"/>
      <c r="AQD39" s="128"/>
      <c r="AQE39" s="128"/>
      <c r="AQF39" s="128"/>
      <c r="AQG39" s="128"/>
      <c r="AQH39" s="128"/>
      <c r="AQI39" s="128"/>
      <c r="AQJ39" s="128"/>
      <c r="AQK39" s="128"/>
      <c r="AQL39" s="128"/>
      <c r="AQM39" s="128"/>
      <c r="AQN39" s="128"/>
      <c r="AQO39" s="128"/>
      <c r="AQP39" s="128"/>
      <c r="AQQ39" s="128"/>
      <c r="AQR39" s="128"/>
      <c r="AQS39" s="128"/>
      <c r="AQT39" s="128"/>
      <c r="AQU39" s="128"/>
      <c r="AQV39" s="128"/>
      <c r="AQW39" s="128"/>
      <c r="AQX39" s="128"/>
      <c r="AQY39" s="128"/>
      <c r="AQZ39" s="128"/>
      <c r="ARA39" s="128"/>
      <c r="ARB39" s="128"/>
      <c r="ARC39" s="128"/>
      <c r="ARD39" s="128"/>
      <c r="ARE39" s="129"/>
      <c r="ARF39" s="129"/>
      <c r="ARG39" s="129"/>
      <c r="ARH39" s="129"/>
      <c r="ARI39" s="129"/>
      <c r="ARJ39" s="129"/>
      <c r="ARK39" s="129"/>
      <c r="ARL39" s="129"/>
      <c r="ARM39" s="129"/>
      <c r="ARN39" s="129"/>
      <c r="ARO39" s="129"/>
      <c r="ARP39" s="129"/>
      <c r="ARQ39" s="129"/>
      <c r="ARR39" s="129"/>
      <c r="ARS39" s="129"/>
      <c r="ART39" s="129"/>
      <c r="ARU39" s="129"/>
      <c r="ARV39" s="129"/>
      <c r="ARW39" s="129"/>
      <c r="ARX39" s="129"/>
      <c r="ARY39" s="129"/>
      <c r="ARZ39" s="128"/>
      <c r="ASA39" s="128"/>
      <c r="ASB39" s="128"/>
      <c r="ASC39" s="128"/>
      <c r="ASD39" s="128"/>
      <c r="ASE39" s="128"/>
      <c r="ASF39" s="129"/>
      <c r="ASG39" s="129"/>
      <c r="ASH39" s="129"/>
      <c r="ASI39" s="129"/>
      <c r="ASJ39" s="129"/>
      <c r="ASK39" s="129"/>
      <c r="ASL39" s="129"/>
      <c r="ASM39" s="129"/>
      <c r="ASN39" s="129"/>
      <c r="ASO39" s="129"/>
      <c r="ASP39" s="129"/>
      <c r="ASQ39" s="129"/>
      <c r="ASR39" s="129"/>
      <c r="ASS39" s="129"/>
      <c r="AST39" s="129"/>
      <c r="ASU39" s="129"/>
      <c r="ASV39" s="129"/>
      <c r="ASW39" s="129"/>
      <c r="ASX39" s="129"/>
      <c r="ASY39" s="129"/>
      <c r="ASZ39" s="129"/>
      <c r="ATA39" s="129"/>
      <c r="ATB39" s="129"/>
      <c r="ATC39" s="129"/>
      <c r="ATD39" s="129"/>
      <c r="ATE39" s="129"/>
      <c r="ATF39" s="129"/>
      <c r="ATG39" s="129"/>
      <c r="ATH39" s="128"/>
      <c r="ATI39" s="128"/>
      <c r="ATJ39" s="128"/>
      <c r="ATK39" s="128"/>
      <c r="ATL39" s="128"/>
      <c r="ATM39" s="128"/>
      <c r="ATN39" s="128"/>
      <c r="BLR39" s="144" t="s">
        <v>338</v>
      </c>
      <c r="BLS39" s="144"/>
      <c r="BLT39" s="144"/>
      <c r="BLU39" s="144"/>
      <c r="BLV39" s="144"/>
      <c r="BLW39" s="144"/>
      <c r="BLX39" s="144"/>
      <c r="BLY39" s="144"/>
      <c r="BLZ39" s="144"/>
      <c r="BMA39" s="144"/>
      <c r="BMB39" s="144"/>
      <c r="BMC39" s="144"/>
      <c r="BMD39" s="144"/>
      <c r="BME39" s="144"/>
      <c r="BMF39" s="144"/>
      <c r="BMG39" s="144"/>
      <c r="BMH39" s="144"/>
      <c r="BMI39" s="144"/>
      <c r="BMJ39" s="144"/>
      <c r="BMK39" s="144"/>
      <c r="BML39" s="144"/>
      <c r="BMM39" s="144"/>
      <c r="BMN39" s="144"/>
      <c r="BMO39" s="144"/>
      <c r="BMP39" s="144"/>
      <c r="BMQ39" s="144"/>
      <c r="BMR39" s="144"/>
      <c r="BMS39" s="144"/>
      <c r="BMT39" s="144"/>
      <c r="BMU39" s="144"/>
      <c r="BMV39" s="144"/>
      <c r="BMW39" s="144"/>
      <c r="BMX39" s="144"/>
      <c r="BMY39" s="144"/>
      <c r="BMZ39" s="144"/>
      <c r="BNA39" s="144"/>
      <c r="BNB39" s="144"/>
      <c r="BNC39" s="144"/>
      <c r="BND39" s="144"/>
      <c r="BNE39" s="144"/>
      <c r="BNF39" s="144"/>
      <c r="BNG39" s="144"/>
      <c r="BNH39" s="144"/>
      <c r="BNI39" s="144"/>
      <c r="BNJ39" s="144"/>
      <c r="BNK39" s="144"/>
      <c r="BNL39" s="144"/>
      <c r="BNM39" s="144"/>
      <c r="BNN39" s="144"/>
      <c r="BNO39" s="144"/>
      <c r="BNP39" s="144"/>
      <c r="BNQ39" s="144"/>
      <c r="BNR39" s="144"/>
      <c r="BNS39" s="144"/>
      <c r="BNT39" s="144"/>
      <c r="BNU39" s="144"/>
      <c r="BNV39" s="144"/>
      <c r="BNW39" s="144"/>
      <c r="BNX39" s="144"/>
      <c r="BNY39" s="144"/>
      <c r="BNZ39" s="144"/>
      <c r="BOA39" s="144"/>
      <c r="BOB39" s="144"/>
      <c r="BOC39" s="144"/>
      <c r="BOD39" s="144"/>
      <c r="BOE39" s="144"/>
      <c r="BOF39" s="144"/>
      <c r="BOG39" s="144"/>
      <c r="BOH39" s="144"/>
      <c r="BOI39" s="144"/>
      <c r="BOJ39" s="144"/>
      <c r="BOK39" s="144"/>
      <c r="BOL39" s="144"/>
      <c r="BOM39" s="144"/>
      <c r="BON39" s="144"/>
      <c r="BOO39" s="144"/>
      <c r="BOP39" s="144"/>
      <c r="BOQ39" s="144"/>
      <c r="BOR39" s="144"/>
      <c r="BOS39" s="144"/>
      <c r="BOT39" s="144"/>
      <c r="BOU39" s="144"/>
      <c r="BOV39" s="144"/>
      <c r="BOW39" s="144"/>
      <c r="BOX39" s="144"/>
      <c r="BOY39" s="144"/>
      <c r="BOZ39" s="144"/>
      <c r="BPA39" s="144"/>
      <c r="BPB39" s="144"/>
      <c r="BPC39" s="144"/>
      <c r="BPD39" s="144"/>
      <c r="BPE39" s="144"/>
      <c r="BPF39" s="144"/>
      <c r="COP39" s="128" t="str">
        <f ca="1">VLOOKUP(13,INDIRECT("Closed"&amp;'Character Creation'!$Z$14),2,FALSE)</f>
        <v>Spirit Mastery</v>
      </c>
      <c r="COQ39" s="128"/>
      <c r="COR39" s="128"/>
      <c r="COS39" s="128"/>
      <c r="COT39" s="128"/>
      <c r="COU39" s="128"/>
      <c r="COV39" s="128"/>
      <c r="COW39" s="128"/>
      <c r="COX39" s="128"/>
      <c r="COY39" s="128"/>
      <c r="COZ39" s="128"/>
      <c r="CPA39" s="128"/>
      <c r="CPB39" s="128"/>
      <c r="CPC39" s="128"/>
      <c r="CPD39" s="128"/>
      <c r="CPE39" s="128"/>
      <c r="CPF39" s="128"/>
      <c r="CPG39" s="128"/>
      <c r="CPH39" s="128"/>
      <c r="CPI39" s="128"/>
      <c r="CPJ39" s="128"/>
      <c r="CPK39" s="128"/>
      <c r="CPL39" s="128"/>
      <c r="CPM39" s="128"/>
      <c r="CPN39" s="128"/>
      <c r="CPO39" s="128"/>
      <c r="CPP39" s="128"/>
      <c r="CPQ39" s="128"/>
      <c r="CPR39" s="128"/>
      <c r="CPS39" s="128"/>
      <c r="CPT39" s="128"/>
      <c r="CPU39" s="129"/>
      <c r="CPV39" s="129"/>
      <c r="CPW39" s="129"/>
      <c r="CPX39" s="129"/>
      <c r="CPY39" s="129"/>
      <c r="CPZ39" s="129"/>
      <c r="CQA39" s="129"/>
      <c r="CQB39" s="129"/>
      <c r="CQC39" s="129"/>
      <c r="CQD39" s="129"/>
      <c r="CQE39" s="129"/>
      <c r="CQF39" s="129"/>
      <c r="CQG39" s="129"/>
      <c r="CQH39" s="129"/>
      <c r="CQI39" s="129"/>
      <c r="CQJ39" s="129"/>
      <c r="CQK39" s="129"/>
      <c r="CQL39" s="129"/>
      <c r="CQM39" s="129"/>
      <c r="CQN39" s="129"/>
      <c r="CQO39" s="129"/>
      <c r="CQP39" s="128"/>
      <c r="CQQ39" s="128"/>
      <c r="CQR39" s="128"/>
      <c r="CQS39" s="128"/>
      <c r="CQT39" s="128"/>
      <c r="CQU39" s="128"/>
      <c r="CQV39" s="129"/>
      <c r="CQW39" s="129"/>
      <c r="CQX39" s="129"/>
      <c r="CQY39" s="129"/>
      <c r="CQZ39" s="129"/>
      <c r="CRA39" s="129"/>
      <c r="CRB39" s="129"/>
      <c r="CRC39" s="129"/>
      <c r="CRD39" s="129"/>
      <c r="CRE39" s="129"/>
      <c r="CRF39" s="129"/>
      <c r="CRG39" s="129"/>
      <c r="CRH39" s="129"/>
      <c r="CRI39" s="129"/>
      <c r="CRJ39" s="129"/>
      <c r="CRK39" s="129"/>
      <c r="CRL39" s="129"/>
      <c r="CRM39" s="129"/>
      <c r="CRN39" s="129"/>
      <c r="CRO39" s="129"/>
      <c r="CRP39" s="129"/>
      <c r="CRQ39" s="129"/>
      <c r="CRR39" s="129"/>
      <c r="CRS39" s="129"/>
      <c r="CRT39" s="129"/>
      <c r="CRU39" s="129"/>
      <c r="CRV39" s="129"/>
      <c r="CRW39" s="129"/>
      <c r="CRX39" s="128"/>
      <c r="CRY39" s="128"/>
      <c r="CRZ39" s="128"/>
      <c r="CSA39" s="128"/>
      <c r="CSB39" s="128"/>
      <c r="CSC39" s="128"/>
      <c r="CSD39" s="128"/>
      <c r="CSF39" s="128" t="s">
        <v>464</v>
      </c>
      <c r="CSG39" s="128"/>
      <c r="CSH39" s="128"/>
      <c r="CSI39" s="128"/>
      <c r="CSJ39" s="128"/>
      <c r="CSK39" s="128"/>
      <c r="CSL39" s="128"/>
      <c r="CSM39" s="128"/>
      <c r="CSN39" s="128"/>
      <c r="CSO39" s="128"/>
      <c r="CSP39" s="128"/>
      <c r="CSQ39" s="128"/>
      <c r="CSR39" s="128"/>
      <c r="CSS39" s="128"/>
      <c r="CST39" s="128"/>
      <c r="CSU39" s="128"/>
      <c r="CSV39" s="128"/>
      <c r="CSW39" s="128"/>
      <c r="CSX39" s="128"/>
      <c r="CSY39" s="128"/>
      <c r="CSZ39" s="128"/>
      <c r="CTA39" s="128"/>
      <c r="CTB39" s="128"/>
      <c r="CTC39" s="128"/>
      <c r="CTD39" s="128"/>
      <c r="CTE39" s="128"/>
      <c r="CTF39" s="128"/>
      <c r="CTG39" s="128"/>
      <c r="CTH39" s="128"/>
      <c r="CTI39" s="128"/>
      <c r="CTJ39" s="128"/>
      <c r="CTK39" s="129"/>
      <c r="CTL39" s="129"/>
      <c r="CTM39" s="129"/>
      <c r="CTN39" s="129"/>
      <c r="CTO39" s="129"/>
      <c r="CTP39" s="129"/>
      <c r="CTQ39" s="129"/>
      <c r="CTR39" s="129"/>
      <c r="CTS39" s="129"/>
      <c r="CTT39" s="129"/>
      <c r="CTU39" s="129"/>
      <c r="CTV39" s="129"/>
      <c r="CTW39" s="129"/>
      <c r="CTX39" s="129"/>
      <c r="CTY39" s="129"/>
      <c r="CTZ39" s="129"/>
      <c r="CUA39" s="129"/>
      <c r="CUB39" s="129"/>
      <c r="CUC39" s="129"/>
      <c r="CUD39" s="129"/>
      <c r="CUE39" s="129"/>
      <c r="CUF39" s="128"/>
      <c r="CUG39" s="128"/>
      <c r="CUH39" s="128"/>
      <c r="CUI39" s="128"/>
      <c r="CUJ39" s="128"/>
      <c r="CUK39" s="128"/>
      <c r="CUL39" s="129"/>
      <c r="CUM39" s="129"/>
      <c r="CUN39" s="129"/>
      <c r="CUO39" s="129"/>
      <c r="CUP39" s="129"/>
      <c r="CUQ39" s="129"/>
      <c r="CUR39" s="129"/>
      <c r="CUS39" s="129"/>
      <c r="CUT39" s="129"/>
      <c r="CUU39" s="129"/>
      <c r="CUV39" s="129"/>
      <c r="CUW39" s="129"/>
      <c r="CUX39" s="129"/>
      <c r="CUY39" s="129"/>
      <c r="CUZ39" s="129"/>
      <c r="CVA39" s="129"/>
      <c r="CVB39" s="129"/>
      <c r="CVC39" s="129"/>
      <c r="CVD39" s="129"/>
      <c r="CVE39" s="129"/>
      <c r="CVF39" s="129"/>
      <c r="CVG39" s="129"/>
      <c r="CVH39" s="129"/>
      <c r="CVI39" s="129"/>
      <c r="CVJ39" s="129"/>
      <c r="CVK39" s="129"/>
      <c r="CVL39" s="129"/>
      <c r="CVM39" s="129"/>
      <c r="CVN39" s="128"/>
      <c r="CVO39" s="128"/>
      <c r="CVP39" s="128"/>
      <c r="CVQ39" s="128"/>
      <c r="CVR39" s="128"/>
      <c r="CVS39" s="128"/>
      <c r="CVT39" s="128"/>
      <c r="DDB39" s="128" t="s">
        <v>543</v>
      </c>
      <c r="DDC39" s="128"/>
      <c r="DDD39" s="128"/>
      <c r="DDE39" s="128"/>
      <c r="DDF39" s="128"/>
      <c r="DDG39" s="128"/>
      <c r="DDH39" s="128"/>
      <c r="DDI39" s="128"/>
      <c r="DDJ39" s="128"/>
      <c r="DDK39" s="128"/>
      <c r="DDL39" s="128"/>
      <c r="DDM39" s="128"/>
      <c r="DDN39" s="128"/>
      <c r="DDO39" s="128"/>
      <c r="DDP39" s="128"/>
      <c r="DDQ39" s="128"/>
      <c r="DDR39" s="128"/>
      <c r="DDS39" s="128"/>
      <c r="DDT39" s="128"/>
      <c r="DDU39" s="128"/>
      <c r="DDV39" s="128"/>
      <c r="DDW39" s="128"/>
      <c r="DDX39" s="128"/>
      <c r="DDY39" s="128"/>
      <c r="DDZ39" s="128"/>
      <c r="DEA39" s="128"/>
      <c r="DEB39" s="128"/>
      <c r="DEC39" s="128"/>
      <c r="DED39" s="128"/>
      <c r="DEE39" s="128"/>
      <c r="DEF39" s="128"/>
      <c r="DEG39" s="129"/>
      <c r="DEH39" s="129"/>
      <c r="DEI39" s="129"/>
      <c r="DEJ39" s="129"/>
      <c r="DEK39" s="129"/>
      <c r="DEL39" s="129"/>
      <c r="DEM39" s="129"/>
      <c r="DEN39" s="129"/>
      <c r="DEO39" s="129"/>
      <c r="DEP39" s="129"/>
      <c r="DEQ39" s="129"/>
      <c r="DER39" s="129"/>
      <c r="DES39" s="129"/>
      <c r="DET39" s="129"/>
      <c r="DEU39" s="129"/>
      <c r="DEV39" s="129"/>
      <c r="DEW39" s="129"/>
      <c r="DEX39" s="129"/>
      <c r="DEY39" s="129"/>
      <c r="DEZ39" s="129"/>
      <c r="DFA39" s="129"/>
      <c r="DFB39" s="128"/>
      <c r="DFC39" s="128"/>
      <c r="DFD39" s="128"/>
      <c r="DFE39" s="128"/>
      <c r="DFF39" s="128"/>
      <c r="DFG39" s="128"/>
      <c r="DFH39" s="129"/>
      <c r="DFI39" s="129"/>
      <c r="DFJ39" s="129"/>
      <c r="DFK39" s="129"/>
      <c r="DFL39" s="129"/>
      <c r="DFM39" s="129"/>
      <c r="DFN39" s="129"/>
      <c r="DFO39" s="129"/>
      <c r="DFP39" s="129"/>
      <c r="DFQ39" s="129"/>
      <c r="DFR39" s="129"/>
      <c r="DFS39" s="129"/>
      <c r="DFT39" s="129"/>
      <c r="DFU39" s="129"/>
      <c r="DFV39" s="129"/>
      <c r="DFW39" s="129"/>
      <c r="DFX39" s="129"/>
      <c r="DFY39" s="129"/>
      <c r="DFZ39" s="129"/>
      <c r="DGA39" s="129"/>
      <c r="DGB39" s="129"/>
      <c r="DGC39" s="129"/>
      <c r="DGD39" s="129"/>
      <c r="DGE39" s="129"/>
      <c r="DGF39" s="129"/>
      <c r="DGG39" s="129"/>
      <c r="DGH39" s="129"/>
      <c r="DGI39" s="129"/>
      <c r="DGJ39" s="128"/>
      <c r="DGK39" s="128"/>
      <c r="DGL39" s="128"/>
      <c r="DGM39" s="128"/>
      <c r="DGN39" s="128"/>
      <c r="DGO39" s="128"/>
      <c r="DGP39" s="128"/>
    </row>
    <row r="40" spans="2:1022 1118:1774 2434:2996" ht="15" customHeight="1" x14ac:dyDescent="0.25">
      <c r="B40" s="135">
        <v>15</v>
      </c>
      <c r="C40" s="136"/>
      <c r="D40" s="136"/>
      <c r="E40" s="136" t="str">
        <f>IFERROR(VLOOKUP(B40,Calculations!$DH$3:$DJ$127,3,FALSE),"")</f>
        <v/>
      </c>
      <c r="F40" s="136"/>
      <c r="G40" s="136"/>
      <c r="H40" s="136"/>
      <c r="I40" s="136"/>
      <c r="J40" s="136"/>
      <c r="K40" s="136"/>
      <c r="L40" s="136"/>
      <c r="M40" s="136"/>
      <c r="N40" s="136"/>
      <c r="O40" s="136"/>
      <c r="P40" s="136"/>
      <c r="Q40" s="136"/>
      <c r="R40" s="136"/>
      <c r="S40" s="136"/>
      <c r="T40" s="136"/>
      <c r="U40" s="136"/>
      <c r="V40" s="136"/>
      <c r="W40" s="136"/>
      <c r="X40" s="136"/>
      <c r="Y40" s="136"/>
      <c r="Z40" s="136"/>
      <c r="AA40" s="136"/>
      <c r="AB40" s="136"/>
      <c r="AC40" s="136"/>
      <c r="AD40" s="136"/>
      <c r="AE40" s="136"/>
      <c r="AF40" s="136"/>
      <c r="AG40" s="200" t="str">
        <f>IFERROR(VLOOKUP(B40,Calculations!$DH$3:$DX$200,17,FALSE),"")</f>
        <v/>
      </c>
      <c r="AH40" s="131"/>
      <c r="AI40" s="131"/>
      <c r="AJ40" s="131"/>
      <c r="AK40" s="131"/>
      <c r="AL40" s="131"/>
      <c r="AM40" s="131"/>
      <c r="AN40" s="131"/>
      <c r="AO40" s="131"/>
      <c r="AP40" s="131"/>
      <c r="AQ40" s="131"/>
      <c r="AR40" s="131"/>
      <c r="AS40" s="131"/>
      <c r="AT40" s="131"/>
      <c r="AU40" s="131"/>
      <c r="AV40" s="131"/>
      <c r="AW40" s="131"/>
      <c r="AX40" s="131"/>
      <c r="AY40" s="131"/>
      <c r="AZ40" s="131"/>
      <c r="BA40" s="201"/>
      <c r="BB40" s="226" t="str">
        <f>IFERROR(IFERROR((VLOOKUP(E40,Calculations!$DR$3:$EJ$200,19,FALSE)),0)+VLOOKUP(B40,Calculations!$DH$3:$DN$200,7,FALSE)+CG40+CO40+IFERROR(VLOOKUP((LEFT(E40,FIND("(",E40)-2)),Calculations!$DJ$3:$EJ$200,26,FALSE),0),"")</f>
        <v/>
      </c>
      <c r="BC40" s="226"/>
      <c r="BD40" s="226"/>
      <c r="BE40" s="226"/>
      <c r="BF40" s="226"/>
      <c r="BG40" s="226"/>
      <c r="BH40" s="226"/>
      <c r="BI40" s="131" t="str">
        <f>IFERROR("x "&amp;VLOOKUP(B40,Calculations!$DH$3:$DY$200,18,FALSE),"")</f>
        <v/>
      </c>
      <c r="BJ40" s="131"/>
      <c r="BK40" s="131"/>
      <c r="BL40" s="131"/>
      <c r="BM40" s="131"/>
      <c r="BN40" s="131"/>
      <c r="BO40" s="131"/>
      <c r="BP40" s="131"/>
      <c r="BQ40" s="131" t="str">
        <f>IFERROR(VLOOKUP(B40,Calculations!$DH$3:$EE$200,22,FALSE),"")</f>
        <v/>
      </c>
      <c r="BR40" s="131"/>
      <c r="BS40" s="131"/>
      <c r="BT40" s="131"/>
      <c r="BU40" s="131"/>
      <c r="BV40" s="131"/>
      <c r="BW40" s="131"/>
      <c r="BX40" s="131"/>
      <c r="BY40" s="131" t="str">
        <f>IFERROR(VLOOKUP(B40,Calculations!$DH$3:$EA$200,19,FALSE)-ROUNDDOWN((CO40/5),0),"")</f>
        <v/>
      </c>
      <c r="BZ40" s="131"/>
      <c r="CA40" s="131"/>
      <c r="CB40" s="131"/>
      <c r="CC40" s="131"/>
      <c r="CD40" s="131"/>
      <c r="CE40" s="131"/>
      <c r="CF40" s="131"/>
      <c r="CG40" s="194">
        <v>0</v>
      </c>
      <c r="CH40" s="194"/>
      <c r="CI40" s="194"/>
      <c r="CJ40" s="194"/>
      <c r="CK40" s="194"/>
      <c r="CL40" s="194"/>
      <c r="CM40" s="194"/>
      <c r="CN40" s="194"/>
      <c r="CO40" s="194">
        <v>0</v>
      </c>
      <c r="CP40" s="194"/>
      <c r="CQ40" s="194"/>
      <c r="CR40" s="194"/>
      <c r="CS40" s="194"/>
      <c r="CT40" s="194"/>
      <c r="CU40" s="194"/>
      <c r="CV40" s="194"/>
      <c r="CW40" s="131" t="str">
        <f>IF(E40="","",IFERROR(VLOOKUP(B40,Calculations!$DH$3:$ED$200,23,FALSE)+CO40+CG40,"- -"))</f>
        <v/>
      </c>
      <c r="CX40" s="131"/>
      <c r="CY40" s="131"/>
      <c r="CZ40" s="131"/>
      <c r="DA40" s="131"/>
      <c r="DB40" s="131"/>
      <c r="DC40" s="131"/>
      <c r="DD40" s="131"/>
      <c r="DE40" s="199" t="str">
        <f>IF(E40="","",IFERROR(VLOOKUP(B40,Calculations!$DH$3:$EE$200,24,FALSE),"- -"))</f>
        <v/>
      </c>
      <c r="DF40" s="131"/>
      <c r="DG40" s="131"/>
      <c r="DH40" s="131"/>
      <c r="DI40" s="131"/>
      <c r="DJ40" s="131"/>
      <c r="DK40" s="131"/>
      <c r="DL40" s="131"/>
      <c r="DM40" s="199" t="str">
        <f>IF(E40="","",IFERROR(VLOOKUP(B40,Calculations!$DH$3:$EJ$200,25,FALSE),"- -"))</f>
        <v/>
      </c>
      <c r="DN40" s="131"/>
      <c r="DO40" s="131"/>
      <c r="DP40" s="131"/>
      <c r="DQ40" s="131"/>
      <c r="DR40" s="131"/>
      <c r="DS40" s="131"/>
      <c r="DT40" s="131"/>
      <c r="DU40" s="131" t="str">
        <f t="shared" si="14"/>
        <v/>
      </c>
      <c r="DV40" s="131"/>
      <c r="DW40" s="131"/>
      <c r="DX40" s="131"/>
      <c r="DY40" s="131"/>
      <c r="DZ40" s="131"/>
      <c r="EA40" s="131"/>
      <c r="EB40" s="131"/>
      <c r="EC40" s="131" t="str">
        <f t="shared" si="15"/>
        <v/>
      </c>
      <c r="ED40" s="131"/>
      <c r="EE40" s="131"/>
      <c r="EF40" s="131"/>
      <c r="EG40" s="131"/>
      <c r="EH40" s="131"/>
      <c r="EI40" s="131"/>
      <c r="EJ40" s="131"/>
      <c r="EK40" s="131" t="str">
        <f t="shared" si="16"/>
        <v/>
      </c>
      <c r="EL40" s="131"/>
      <c r="EM40" s="131"/>
      <c r="EN40" s="131"/>
      <c r="EO40" s="131"/>
      <c r="EP40" s="131"/>
      <c r="EQ40" s="131"/>
      <c r="ER40" s="131"/>
      <c r="ES40" s="131" t="str">
        <f t="shared" si="17"/>
        <v/>
      </c>
      <c r="ET40" s="131"/>
      <c r="EU40" s="131"/>
      <c r="EV40" s="131"/>
      <c r="EW40" s="131"/>
      <c r="EX40" s="131"/>
      <c r="EY40" s="131"/>
      <c r="EZ40" s="239"/>
      <c r="FB40" s="139" t="s">
        <v>2839</v>
      </c>
      <c r="FC40" s="140"/>
      <c r="FD40" s="140"/>
      <c r="FE40" s="140"/>
      <c r="FF40" s="140"/>
      <c r="FG40" s="140"/>
      <c r="FH40" s="140"/>
      <c r="FI40" s="140"/>
      <c r="FJ40" s="140"/>
      <c r="FK40" s="140"/>
      <c r="FL40" s="140"/>
      <c r="FM40" s="140"/>
      <c r="FN40" s="140"/>
      <c r="FO40" s="140"/>
      <c r="FP40" s="140"/>
      <c r="FQ40" s="140"/>
      <c r="FR40" s="140"/>
      <c r="FS40" s="140"/>
      <c r="FT40" s="140"/>
      <c r="FU40" s="140"/>
      <c r="FV40" s="140"/>
      <c r="FW40" s="140"/>
      <c r="FX40" s="140"/>
      <c r="FY40" s="140"/>
      <c r="FZ40" s="140"/>
      <c r="GA40" s="140"/>
      <c r="GB40" s="140"/>
      <c r="GC40" s="140"/>
      <c r="GD40" s="140"/>
      <c r="GE40" s="140"/>
      <c r="GF40" s="140"/>
      <c r="GG40" s="140"/>
      <c r="GH40" s="140"/>
      <c r="GI40" s="140"/>
      <c r="GJ40" s="140"/>
      <c r="GK40" s="140"/>
      <c r="GL40" s="140"/>
      <c r="GM40" s="140"/>
      <c r="GN40" s="140"/>
      <c r="GO40" s="140"/>
      <c r="GP40" s="140"/>
      <c r="GQ40" s="140"/>
      <c r="GR40" s="140"/>
      <c r="GS40" s="140"/>
      <c r="GT40" s="141">
        <v>49</v>
      </c>
      <c r="GU40" s="141"/>
      <c r="GV40" s="141"/>
      <c r="GW40" s="141"/>
      <c r="GX40" s="141"/>
      <c r="GY40" s="141"/>
      <c r="GZ40" s="141"/>
      <c r="HA40" s="141"/>
      <c r="HB40" s="142">
        <f>IFERROR(ROUND(Calculations!BV41*GT40,2),"")</f>
        <v>0.2</v>
      </c>
      <c r="HC40" s="142"/>
      <c r="HD40" s="142"/>
      <c r="HE40" s="142"/>
      <c r="HF40" s="142"/>
      <c r="HG40" s="142"/>
      <c r="HH40" s="142"/>
      <c r="HI40" s="142"/>
      <c r="HJ40" s="142">
        <f>IFERROR(Calculations!BS41+IQ40+IX40,"")</f>
        <v>10</v>
      </c>
      <c r="HK40" s="142"/>
      <c r="HL40" s="142"/>
      <c r="HM40" s="142"/>
      <c r="HN40" s="142"/>
      <c r="HO40" s="142"/>
      <c r="HP40" s="142"/>
      <c r="HQ40" s="142"/>
      <c r="HR40" s="142">
        <f t="shared" si="9"/>
        <v>0</v>
      </c>
      <c r="HS40" s="142"/>
      <c r="HT40" s="142"/>
      <c r="HU40" s="142"/>
      <c r="HV40" s="142"/>
      <c r="HW40" s="142"/>
      <c r="HX40" s="142"/>
      <c r="HY40" s="142"/>
      <c r="HZ40" s="142" t="str">
        <f>IFERROR(Calculations!BX41,"")</f>
        <v>$0.1</v>
      </c>
      <c r="IA40" s="142"/>
      <c r="IB40" s="142"/>
      <c r="IC40" s="142"/>
      <c r="ID40" s="142"/>
      <c r="IE40" s="142"/>
      <c r="IF40" s="142"/>
      <c r="IG40" s="142"/>
      <c r="IH40" s="142"/>
      <c r="II40" s="142"/>
      <c r="IJ40" s="142">
        <f>IFERROR(Calculations!BR41+IX40,"")</f>
        <v>0</v>
      </c>
      <c r="IK40" s="142"/>
      <c r="IL40" s="142"/>
      <c r="IM40" s="142"/>
      <c r="IN40" s="142"/>
      <c r="IO40" s="142"/>
      <c r="IP40" s="142"/>
      <c r="IQ40" s="141">
        <v>0</v>
      </c>
      <c r="IR40" s="141"/>
      <c r="IS40" s="141"/>
      <c r="IT40" s="141"/>
      <c r="IU40" s="141"/>
      <c r="IV40" s="141"/>
      <c r="IW40" s="141"/>
      <c r="IX40" s="141">
        <v>0</v>
      </c>
      <c r="IY40" s="141"/>
      <c r="IZ40" s="141"/>
      <c r="JA40" s="141"/>
      <c r="JB40" s="141"/>
      <c r="JC40" s="141"/>
      <c r="JD40" s="141"/>
      <c r="JE40" s="141"/>
      <c r="JF40" s="142"/>
      <c r="JG40" s="142"/>
      <c r="JH40" s="142"/>
      <c r="JI40" s="142"/>
      <c r="JJ40" s="142"/>
      <c r="JK40" s="143" t="str">
        <f>Calculations!AS41</f>
        <v>Paper</v>
      </c>
      <c r="JL40" s="143"/>
      <c r="JM40" s="143"/>
      <c r="JN40" s="143"/>
      <c r="JO40" s="143"/>
      <c r="JP40" s="143"/>
      <c r="JQ40" s="143"/>
      <c r="JR40" s="143"/>
      <c r="JS40" s="143"/>
      <c r="JT40" s="143"/>
      <c r="JU40" s="143"/>
      <c r="JV40" s="143"/>
      <c r="JW40" s="143"/>
      <c r="JX40" s="143"/>
      <c r="JY40" s="143"/>
      <c r="JZ40" s="143"/>
      <c r="KA40" s="143"/>
      <c r="KB40" s="143"/>
      <c r="KC40" s="143" t="str">
        <f>Calculations!AW41</f>
        <v>Paper</v>
      </c>
      <c r="KD40" s="143"/>
      <c r="KE40" s="143"/>
      <c r="KF40" s="143"/>
      <c r="KG40" s="143"/>
      <c r="KH40" s="143"/>
      <c r="KI40" s="143"/>
      <c r="KJ40" s="143"/>
      <c r="KK40" s="143"/>
      <c r="KL40" s="143"/>
      <c r="KM40" s="143"/>
      <c r="KN40" s="143"/>
      <c r="KO40" s="143"/>
      <c r="KP40" s="143"/>
      <c r="KQ40" s="143"/>
      <c r="KR40" s="143"/>
      <c r="KS40" s="143"/>
      <c r="KT40" s="143"/>
      <c r="KU40" s="144"/>
      <c r="KV40" s="144"/>
      <c r="KW40" s="144"/>
      <c r="KX40" s="144"/>
      <c r="KY40" s="144"/>
      <c r="KZ40" s="144"/>
      <c r="LA40" s="144"/>
      <c r="LB40" s="144"/>
      <c r="LC40" s="144"/>
      <c r="LD40" s="144"/>
      <c r="LE40" s="144"/>
      <c r="LF40" s="144"/>
      <c r="LG40" s="144"/>
      <c r="LH40" s="144"/>
      <c r="LI40" s="144"/>
      <c r="LJ40" s="144"/>
      <c r="LK40" s="144"/>
      <c r="LL40" s="144"/>
      <c r="LM40" s="144"/>
      <c r="LN40" s="144"/>
      <c r="LO40" s="144"/>
      <c r="LP40" s="144"/>
      <c r="LQ40" s="144"/>
      <c r="LR40" s="144"/>
      <c r="LS40" s="144"/>
      <c r="LT40" s="144"/>
      <c r="LU40" s="144"/>
      <c r="LV40" s="144"/>
      <c r="LW40" s="144"/>
      <c r="LX40" s="144"/>
      <c r="LY40" s="144"/>
      <c r="LZ40" s="144"/>
      <c r="MA40" s="144"/>
      <c r="MB40" s="144"/>
      <c r="MC40" s="144"/>
      <c r="MD40" s="144"/>
      <c r="ME40" s="144"/>
      <c r="MF40" s="144"/>
      <c r="MG40" s="144"/>
      <c r="MH40" s="144"/>
      <c r="MI40" s="144"/>
      <c r="MJ40" s="144"/>
      <c r="MK40" s="144"/>
      <c r="ML40" s="144"/>
      <c r="MM40" s="144"/>
      <c r="MN40" s="144"/>
      <c r="MO40" s="144"/>
      <c r="MP40" s="144"/>
      <c r="MQ40" s="144"/>
      <c r="MR40" s="144"/>
      <c r="MS40" s="144"/>
      <c r="MT40" s="144"/>
      <c r="MU40" s="144"/>
      <c r="MV40" s="144"/>
      <c r="MW40" s="144"/>
      <c r="MX40" s="144"/>
      <c r="MY40" s="144"/>
      <c r="MZ40" s="145"/>
      <c r="AIT40" s="144" t="s">
        <v>147</v>
      </c>
      <c r="AIU40" s="144"/>
      <c r="AIV40" s="144"/>
      <c r="AIW40" s="144"/>
      <c r="AIX40" s="144"/>
      <c r="AIY40" s="144"/>
      <c r="AIZ40" s="144"/>
      <c r="AJA40" s="144"/>
      <c r="AJB40" s="144"/>
      <c r="AJC40" s="144"/>
      <c r="AJD40" s="144"/>
      <c r="AJE40" s="144"/>
      <c r="AJF40" s="144"/>
      <c r="AJG40" s="144"/>
      <c r="AJH40" s="144"/>
      <c r="AJI40" s="144"/>
      <c r="AJJ40" s="144"/>
      <c r="AJK40" s="144"/>
      <c r="AJL40" s="144"/>
      <c r="AJM40" s="144"/>
      <c r="AJN40" s="144"/>
      <c r="AJO40" s="144"/>
      <c r="AJP40" s="144"/>
      <c r="AJQ40" s="144"/>
      <c r="AJR40" s="144"/>
      <c r="AJS40" s="144"/>
      <c r="AJT40" s="144"/>
      <c r="AJU40" s="144"/>
      <c r="AJV40" s="144"/>
      <c r="AJW40" s="144"/>
      <c r="AJX40" s="144"/>
      <c r="AJY40" s="129" t="s">
        <v>133</v>
      </c>
      <c r="AJZ40" s="129"/>
      <c r="AKA40" s="129"/>
      <c r="AKB40" s="129"/>
      <c r="AKC40" s="129" t="s">
        <v>148</v>
      </c>
      <c r="AKD40" s="129"/>
      <c r="AKE40" s="129"/>
      <c r="AKF40" s="129"/>
      <c r="AKG40" s="129"/>
      <c r="AKH40" s="129" t="s">
        <v>83</v>
      </c>
      <c r="AKI40" s="129"/>
      <c r="AKJ40" s="129"/>
      <c r="AKK40" s="129"/>
      <c r="AKL40" s="129"/>
      <c r="AKM40" s="129"/>
      <c r="AKN40" s="129" t="s">
        <v>37</v>
      </c>
      <c r="AKO40" s="129"/>
      <c r="AKP40" s="129"/>
      <c r="AKQ40" s="129"/>
      <c r="AKR40" s="129"/>
      <c r="AKS40" s="129"/>
      <c r="AKT40" s="129" t="s">
        <v>49</v>
      </c>
      <c r="AKU40" s="129"/>
      <c r="AKV40" s="129"/>
      <c r="AKW40" s="129"/>
      <c r="AKX40" s="129"/>
      <c r="AKY40" s="129"/>
      <c r="AKZ40" s="129" t="s">
        <v>149</v>
      </c>
      <c r="ALA40" s="129"/>
      <c r="ALB40" s="129"/>
      <c r="ALC40" s="129"/>
      <c r="ALD40" s="129"/>
      <c r="ALE40" s="129"/>
      <c r="ALF40" s="129"/>
      <c r="ALG40" s="129" t="s">
        <v>150</v>
      </c>
      <c r="ALH40" s="129"/>
      <c r="ALI40" s="129"/>
      <c r="ALJ40" s="129"/>
      <c r="ALK40" s="129"/>
      <c r="ALL40" s="129"/>
      <c r="ALM40" s="129"/>
      <c r="ALN40" s="129" t="s">
        <v>151</v>
      </c>
      <c r="ALO40" s="129"/>
      <c r="ALP40" s="129"/>
      <c r="ALQ40" s="129"/>
      <c r="ALR40" s="129"/>
      <c r="ALS40" s="129"/>
      <c r="ALT40" s="129"/>
      <c r="ALU40" s="129" t="s">
        <v>37</v>
      </c>
      <c r="ALV40" s="129"/>
      <c r="ALW40" s="129"/>
      <c r="ALX40" s="129"/>
      <c r="ALY40" s="129"/>
      <c r="ALZ40" s="129"/>
      <c r="AMA40" s="129"/>
      <c r="AMB40" s="129" t="s">
        <v>40</v>
      </c>
      <c r="AMC40" s="129"/>
      <c r="AMD40" s="129"/>
      <c r="AME40" s="129"/>
      <c r="AMF40" s="129"/>
      <c r="AMG40" s="129"/>
      <c r="AMH40" s="129"/>
      <c r="APZ40" s="128" t="s">
        <v>240</v>
      </c>
      <c r="AQA40" s="128"/>
      <c r="AQB40" s="128"/>
      <c r="AQC40" s="128"/>
      <c r="AQD40" s="128"/>
      <c r="AQE40" s="128"/>
      <c r="AQF40" s="128"/>
      <c r="AQG40" s="128"/>
      <c r="AQH40" s="128"/>
      <c r="AQI40" s="128"/>
      <c r="AQJ40" s="128"/>
      <c r="AQK40" s="128"/>
      <c r="AQL40" s="128"/>
      <c r="AQM40" s="128"/>
      <c r="AQN40" s="128"/>
      <c r="AQO40" s="128"/>
      <c r="AQP40" s="128"/>
      <c r="AQQ40" s="128"/>
      <c r="AQR40" s="128"/>
      <c r="AQS40" s="128"/>
      <c r="AQT40" s="128"/>
      <c r="AQU40" s="128"/>
      <c r="AQV40" s="128"/>
      <c r="AQW40" s="128"/>
      <c r="AQX40" s="128"/>
      <c r="AQY40" s="128"/>
      <c r="AQZ40" s="128"/>
      <c r="ARA40" s="128"/>
      <c r="ARB40" s="128"/>
      <c r="ARC40" s="128"/>
      <c r="ARD40" s="128"/>
      <c r="ARE40" s="129"/>
      <c r="ARF40" s="129"/>
      <c r="ARG40" s="129"/>
      <c r="ARH40" s="129"/>
      <c r="ARI40" s="129"/>
      <c r="ARJ40" s="129"/>
      <c r="ARK40" s="129"/>
      <c r="ARL40" s="129"/>
      <c r="ARM40" s="129"/>
      <c r="ARN40" s="129"/>
      <c r="ARO40" s="129"/>
      <c r="ARP40" s="129"/>
      <c r="ARQ40" s="129"/>
      <c r="ARR40" s="129"/>
      <c r="ARS40" s="129"/>
      <c r="ART40" s="129"/>
      <c r="ARU40" s="129"/>
      <c r="ARV40" s="129"/>
      <c r="ARW40" s="129"/>
      <c r="ARX40" s="129"/>
      <c r="ARY40" s="129"/>
      <c r="ARZ40" s="128"/>
      <c r="ASA40" s="128"/>
      <c r="ASB40" s="128"/>
      <c r="ASC40" s="128"/>
      <c r="ASD40" s="128"/>
      <c r="ASE40" s="128"/>
      <c r="ASF40" s="129"/>
      <c r="ASG40" s="129"/>
      <c r="ASH40" s="129"/>
      <c r="ASI40" s="129"/>
      <c r="ASJ40" s="129"/>
      <c r="ASK40" s="129"/>
      <c r="ASL40" s="129"/>
      <c r="ASM40" s="129"/>
      <c r="ASN40" s="129"/>
      <c r="ASO40" s="129"/>
      <c r="ASP40" s="129"/>
      <c r="ASQ40" s="129"/>
      <c r="ASR40" s="129"/>
      <c r="ASS40" s="129"/>
      <c r="AST40" s="129"/>
      <c r="ASU40" s="129"/>
      <c r="ASV40" s="129"/>
      <c r="ASW40" s="129"/>
      <c r="ASX40" s="129"/>
      <c r="ASY40" s="129"/>
      <c r="ASZ40" s="129"/>
      <c r="ATA40" s="129"/>
      <c r="ATB40" s="129"/>
      <c r="ATC40" s="129"/>
      <c r="ATD40" s="129"/>
      <c r="ATE40" s="129"/>
      <c r="ATF40" s="129"/>
      <c r="ATG40" s="129"/>
      <c r="ATH40" s="128"/>
      <c r="ATI40" s="128"/>
      <c r="ATJ40" s="128"/>
      <c r="ATK40" s="128"/>
      <c r="ATL40" s="128"/>
      <c r="ATM40" s="128"/>
      <c r="ATN40" s="128"/>
      <c r="BLR40" s="144" t="s">
        <v>147</v>
      </c>
      <c r="BLS40" s="144"/>
      <c r="BLT40" s="144"/>
      <c r="BLU40" s="144"/>
      <c r="BLV40" s="144"/>
      <c r="BLW40" s="144"/>
      <c r="BLX40" s="144"/>
      <c r="BLY40" s="144"/>
      <c r="BLZ40" s="144"/>
      <c r="BMA40" s="144"/>
      <c r="BMB40" s="144"/>
      <c r="BMC40" s="144"/>
      <c r="BMD40" s="144"/>
      <c r="BME40" s="144"/>
      <c r="BMF40" s="144"/>
      <c r="BMG40" s="144"/>
      <c r="BMH40" s="144"/>
      <c r="BMI40" s="144"/>
      <c r="BMJ40" s="144"/>
      <c r="BMK40" s="144"/>
      <c r="BML40" s="144"/>
      <c r="BMM40" s="144"/>
      <c r="BMN40" s="144"/>
      <c r="BMO40" s="144"/>
      <c r="BMP40" s="144"/>
      <c r="BMQ40" s="144"/>
      <c r="BMR40" s="144"/>
      <c r="BMS40" s="144"/>
      <c r="BMT40" s="144"/>
      <c r="BMU40" s="144"/>
      <c r="BMV40" s="144"/>
      <c r="BMW40" s="129" t="s">
        <v>133</v>
      </c>
      <c r="BMX40" s="129"/>
      <c r="BMY40" s="129"/>
      <c r="BMZ40" s="129"/>
      <c r="BNA40" s="129" t="s">
        <v>148</v>
      </c>
      <c r="BNB40" s="129"/>
      <c r="BNC40" s="129"/>
      <c r="BND40" s="129"/>
      <c r="BNE40" s="129"/>
      <c r="BNF40" s="129" t="s">
        <v>83</v>
      </c>
      <c r="BNG40" s="129"/>
      <c r="BNH40" s="129"/>
      <c r="BNI40" s="129"/>
      <c r="BNJ40" s="129"/>
      <c r="BNK40" s="129"/>
      <c r="BNL40" s="129" t="s">
        <v>37</v>
      </c>
      <c r="BNM40" s="129"/>
      <c r="BNN40" s="129"/>
      <c r="BNO40" s="129"/>
      <c r="BNP40" s="129"/>
      <c r="BNQ40" s="129"/>
      <c r="BNR40" s="129" t="s">
        <v>49</v>
      </c>
      <c r="BNS40" s="129"/>
      <c r="BNT40" s="129"/>
      <c r="BNU40" s="129"/>
      <c r="BNV40" s="129"/>
      <c r="BNW40" s="129"/>
      <c r="BNX40" s="129" t="s">
        <v>149</v>
      </c>
      <c r="BNY40" s="129"/>
      <c r="BNZ40" s="129"/>
      <c r="BOA40" s="129"/>
      <c r="BOB40" s="129"/>
      <c r="BOC40" s="129"/>
      <c r="BOD40" s="129"/>
      <c r="BOE40" s="129" t="s">
        <v>150</v>
      </c>
      <c r="BOF40" s="129"/>
      <c r="BOG40" s="129"/>
      <c r="BOH40" s="129"/>
      <c r="BOI40" s="129"/>
      <c r="BOJ40" s="129"/>
      <c r="BOK40" s="129"/>
      <c r="BOL40" s="129" t="s">
        <v>151</v>
      </c>
      <c r="BOM40" s="129"/>
      <c r="BON40" s="129"/>
      <c r="BOO40" s="129"/>
      <c r="BOP40" s="129"/>
      <c r="BOQ40" s="129"/>
      <c r="BOR40" s="129"/>
      <c r="BOS40" s="129" t="s">
        <v>37</v>
      </c>
      <c r="BOT40" s="129"/>
      <c r="BOU40" s="129"/>
      <c r="BOV40" s="129"/>
      <c r="BOW40" s="129"/>
      <c r="BOX40" s="129"/>
      <c r="BOY40" s="129"/>
      <c r="BOZ40" s="129" t="s">
        <v>40</v>
      </c>
      <c r="BPA40" s="129"/>
      <c r="BPB40" s="129"/>
      <c r="BPC40" s="129"/>
      <c r="BPD40" s="129"/>
      <c r="BPE40" s="129"/>
      <c r="BPF40" s="129"/>
      <c r="CSF40" s="128" t="s">
        <v>465</v>
      </c>
      <c r="CSG40" s="128"/>
      <c r="CSH40" s="128"/>
      <c r="CSI40" s="128"/>
      <c r="CSJ40" s="128"/>
      <c r="CSK40" s="128"/>
      <c r="CSL40" s="128"/>
      <c r="CSM40" s="128"/>
      <c r="CSN40" s="128"/>
      <c r="CSO40" s="128"/>
      <c r="CSP40" s="128"/>
      <c r="CSQ40" s="128"/>
      <c r="CSR40" s="128"/>
      <c r="CSS40" s="128"/>
      <c r="CST40" s="128"/>
      <c r="CSU40" s="128"/>
      <c r="CSV40" s="128"/>
      <c r="CSW40" s="128"/>
      <c r="CSX40" s="128"/>
      <c r="CSY40" s="128"/>
      <c r="CSZ40" s="128"/>
      <c r="CTA40" s="128"/>
      <c r="CTB40" s="128"/>
      <c r="CTC40" s="128"/>
      <c r="CTD40" s="128"/>
      <c r="CTE40" s="128"/>
      <c r="CTF40" s="128"/>
      <c r="CTG40" s="128"/>
      <c r="CTH40" s="128"/>
      <c r="CTI40" s="128"/>
      <c r="CTJ40" s="128"/>
      <c r="CTK40" s="129"/>
      <c r="CTL40" s="129"/>
      <c r="CTM40" s="129"/>
      <c r="CTN40" s="129"/>
      <c r="CTO40" s="129"/>
      <c r="CTP40" s="129"/>
      <c r="CTQ40" s="129"/>
      <c r="CTR40" s="129"/>
      <c r="CTS40" s="129"/>
      <c r="CTT40" s="129"/>
      <c r="CTU40" s="129"/>
      <c r="CTV40" s="129"/>
      <c r="CTW40" s="129"/>
      <c r="CTX40" s="129"/>
      <c r="CTY40" s="129"/>
      <c r="CTZ40" s="129"/>
      <c r="CUA40" s="129"/>
      <c r="CUB40" s="129"/>
      <c r="CUC40" s="129"/>
      <c r="CUD40" s="129"/>
      <c r="CUE40" s="129"/>
      <c r="CUF40" s="128"/>
      <c r="CUG40" s="128"/>
      <c r="CUH40" s="128"/>
      <c r="CUI40" s="128"/>
      <c r="CUJ40" s="128"/>
      <c r="CUK40" s="128"/>
      <c r="CUL40" s="129"/>
      <c r="CUM40" s="129"/>
      <c r="CUN40" s="129"/>
      <c r="CUO40" s="129"/>
      <c r="CUP40" s="129"/>
      <c r="CUQ40" s="129"/>
      <c r="CUR40" s="129"/>
      <c r="CUS40" s="129"/>
      <c r="CUT40" s="129"/>
      <c r="CUU40" s="129"/>
      <c r="CUV40" s="129"/>
      <c r="CUW40" s="129"/>
      <c r="CUX40" s="129"/>
      <c r="CUY40" s="129"/>
      <c r="CUZ40" s="129"/>
      <c r="CVA40" s="129"/>
      <c r="CVB40" s="129"/>
      <c r="CVC40" s="129"/>
      <c r="CVD40" s="129"/>
      <c r="CVE40" s="129"/>
      <c r="CVF40" s="129"/>
      <c r="CVG40" s="129"/>
      <c r="CVH40" s="129"/>
      <c r="CVI40" s="129"/>
      <c r="CVJ40" s="129"/>
      <c r="CVK40" s="129"/>
      <c r="CVL40" s="129"/>
      <c r="CVM40" s="129"/>
      <c r="CVN40" s="128"/>
      <c r="CVO40" s="128"/>
      <c r="CVP40" s="128"/>
      <c r="CVQ40" s="128"/>
      <c r="CVR40" s="128"/>
      <c r="CVS40" s="128"/>
      <c r="CVT40" s="128"/>
      <c r="DDB40" s="128" t="s">
        <v>544</v>
      </c>
      <c r="DDC40" s="128"/>
      <c r="DDD40" s="128"/>
      <c r="DDE40" s="128"/>
      <c r="DDF40" s="128"/>
      <c r="DDG40" s="128"/>
      <c r="DDH40" s="128"/>
      <c r="DDI40" s="128"/>
      <c r="DDJ40" s="128"/>
      <c r="DDK40" s="128"/>
      <c r="DDL40" s="128"/>
      <c r="DDM40" s="128"/>
      <c r="DDN40" s="128"/>
      <c r="DDO40" s="128"/>
      <c r="DDP40" s="128"/>
      <c r="DDQ40" s="128"/>
      <c r="DDR40" s="128"/>
      <c r="DDS40" s="128"/>
      <c r="DDT40" s="128"/>
      <c r="DDU40" s="128"/>
      <c r="DDV40" s="128"/>
      <c r="DDW40" s="128"/>
      <c r="DDX40" s="128"/>
      <c r="DDY40" s="128"/>
      <c r="DDZ40" s="128"/>
      <c r="DEA40" s="128"/>
      <c r="DEB40" s="128"/>
      <c r="DEC40" s="128"/>
      <c r="DED40" s="128"/>
      <c r="DEE40" s="128"/>
      <c r="DEF40" s="128"/>
      <c r="DEG40" s="129"/>
      <c r="DEH40" s="129"/>
      <c r="DEI40" s="129"/>
      <c r="DEJ40" s="129"/>
      <c r="DEK40" s="129"/>
      <c r="DEL40" s="129"/>
      <c r="DEM40" s="129"/>
      <c r="DEN40" s="129"/>
      <c r="DEO40" s="129"/>
      <c r="DEP40" s="129"/>
      <c r="DEQ40" s="129"/>
      <c r="DER40" s="129"/>
      <c r="DES40" s="129"/>
      <c r="DET40" s="129"/>
      <c r="DEU40" s="129"/>
      <c r="DEV40" s="129"/>
      <c r="DEW40" s="129"/>
      <c r="DEX40" s="129"/>
      <c r="DEY40" s="129"/>
      <c r="DEZ40" s="129"/>
      <c r="DFA40" s="129"/>
      <c r="DFB40" s="128"/>
      <c r="DFC40" s="128"/>
      <c r="DFD40" s="128"/>
      <c r="DFE40" s="128"/>
      <c r="DFF40" s="128"/>
      <c r="DFG40" s="128"/>
      <c r="DFH40" s="129"/>
      <c r="DFI40" s="129"/>
      <c r="DFJ40" s="129"/>
      <c r="DFK40" s="129"/>
      <c r="DFL40" s="129"/>
      <c r="DFM40" s="129"/>
      <c r="DFN40" s="129"/>
      <c r="DFO40" s="129"/>
      <c r="DFP40" s="129"/>
      <c r="DFQ40" s="129"/>
      <c r="DFR40" s="129"/>
      <c r="DFS40" s="129"/>
      <c r="DFT40" s="129"/>
      <c r="DFU40" s="129"/>
      <c r="DFV40" s="129"/>
      <c r="DFW40" s="129"/>
      <c r="DFX40" s="129"/>
      <c r="DFY40" s="129"/>
      <c r="DFZ40" s="129"/>
      <c r="DGA40" s="129"/>
      <c r="DGB40" s="129"/>
      <c r="DGC40" s="129"/>
      <c r="DGD40" s="129"/>
      <c r="DGE40" s="129"/>
      <c r="DGF40" s="129"/>
      <c r="DGG40" s="129"/>
      <c r="DGH40" s="129"/>
      <c r="DGI40" s="129"/>
      <c r="DGJ40" s="128"/>
      <c r="DGK40" s="128"/>
      <c r="DGL40" s="128"/>
      <c r="DGM40" s="128"/>
      <c r="DGN40" s="128"/>
      <c r="DGO40" s="128"/>
      <c r="DGP40" s="128"/>
    </row>
    <row r="41" spans="2:1022 1118:1774 2434:2996" ht="15" customHeight="1" x14ac:dyDescent="0.25">
      <c r="B41" s="133">
        <v>16</v>
      </c>
      <c r="C41" s="134"/>
      <c r="D41" s="134"/>
      <c r="E41" s="134" t="str">
        <f>IFERROR(VLOOKUP(B41,Calculations!$DH$3:$DJ$127,3,FALSE),"")</f>
        <v/>
      </c>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96" t="str">
        <f>IFERROR(VLOOKUP(B41,Calculations!$DH$3:$DX$200,17,FALSE),"")</f>
        <v/>
      </c>
      <c r="AH41" s="130"/>
      <c r="AI41" s="130"/>
      <c r="AJ41" s="130"/>
      <c r="AK41" s="130"/>
      <c r="AL41" s="130"/>
      <c r="AM41" s="130"/>
      <c r="AN41" s="130"/>
      <c r="AO41" s="130"/>
      <c r="AP41" s="130"/>
      <c r="AQ41" s="130"/>
      <c r="AR41" s="130"/>
      <c r="AS41" s="130"/>
      <c r="AT41" s="130"/>
      <c r="AU41" s="130"/>
      <c r="AV41" s="130"/>
      <c r="AW41" s="130"/>
      <c r="AX41" s="130"/>
      <c r="AY41" s="130"/>
      <c r="AZ41" s="130"/>
      <c r="BA41" s="197"/>
      <c r="BB41" s="210" t="str">
        <f>IFERROR(IFERROR((VLOOKUP(E41,Calculations!$DR$3:$EJ$200,19,FALSE)),0)+VLOOKUP(B41,Calculations!$DH$3:$DN$200,7,FALSE)+CG41+CO41+IFERROR(VLOOKUP((LEFT(E41,FIND("(",E41)-2)),Calculations!$DJ$3:$EJ$200,26,FALSE),0),"")</f>
        <v/>
      </c>
      <c r="BC41" s="210"/>
      <c r="BD41" s="210"/>
      <c r="BE41" s="210"/>
      <c r="BF41" s="210"/>
      <c r="BG41" s="210"/>
      <c r="BH41" s="210"/>
      <c r="BI41" s="130" t="str">
        <f>IFERROR("x "&amp;VLOOKUP(B41,Calculations!$DH$3:$DY$200,18,FALSE),"")</f>
        <v/>
      </c>
      <c r="BJ41" s="130"/>
      <c r="BK41" s="130"/>
      <c r="BL41" s="130"/>
      <c r="BM41" s="130"/>
      <c r="BN41" s="130"/>
      <c r="BO41" s="130"/>
      <c r="BP41" s="130"/>
      <c r="BQ41" s="130" t="str">
        <f>IFERROR(VLOOKUP(B41,Calculations!$DH$3:$EE$200,22,FALSE),"")</f>
        <v/>
      </c>
      <c r="BR41" s="130"/>
      <c r="BS41" s="130"/>
      <c r="BT41" s="130"/>
      <c r="BU41" s="130"/>
      <c r="BV41" s="130"/>
      <c r="BW41" s="130"/>
      <c r="BX41" s="130"/>
      <c r="BY41" s="130" t="str">
        <f>IFERROR(VLOOKUP(B41,Calculations!$DH$3:$EA$200,19,FALSE)-ROUNDDOWN((CO41/5),0),"")</f>
        <v/>
      </c>
      <c r="BZ41" s="130"/>
      <c r="CA41" s="130"/>
      <c r="CB41" s="130"/>
      <c r="CC41" s="130"/>
      <c r="CD41" s="130"/>
      <c r="CE41" s="130"/>
      <c r="CF41" s="130"/>
      <c r="CG41" s="195">
        <v>0</v>
      </c>
      <c r="CH41" s="195"/>
      <c r="CI41" s="195"/>
      <c r="CJ41" s="195"/>
      <c r="CK41" s="195"/>
      <c r="CL41" s="195"/>
      <c r="CM41" s="195"/>
      <c r="CN41" s="195"/>
      <c r="CO41" s="195">
        <v>0</v>
      </c>
      <c r="CP41" s="195"/>
      <c r="CQ41" s="195"/>
      <c r="CR41" s="195"/>
      <c r="CS41" s="195"/>
      <c r="CT41" s="195"/>
      <c r="CU41" s="195"/>
      <c r="CV41" s="195"/>
      <c r="CW41" s="130" t="str">
        <f>IF(E41="","",IFERROR(VLOOKUP(B41,Calculations!$DH$3:$ED$200,23,FALSE)+CO41+CG41,"- -"))</f>
        <v/>
      </c>
      <c r="CX41" s="130"/>
      <c r="CY41" s="130"/>
      <c r="CZ41" s="130"/>
      <c r="DA41" s="130"/>
      <c r="DB41" s="130"/>
      <c r="DC41" s="130"/>
      <c r="DD41" s="130"/>
      <c r="DE41" s="198" t="str">
        <f>IF(E41="","",IFERROR(VLOOKUP(B41,Calculations!$DH$3:$EE$200,24,FALSE),"- -"))</f>
        <v/>
      </c>
      <c r="DF41" s="130"/>
      <c r="DG41" s="130"/>
      <c r="DH41" s="130"/>
      <c r="DI41" s="130"/>
      <c r="DJ41" s="130"/>
      <c r="DK41" s="130"/>
      <c r="DL41" s="130"/>
      <c r="DM41" s="198" t="str">
        <f>IF(E41="","",IFERROR(VLOOKUP(B41,Calculations!$DH$3:$EJ$200,25,FALSE),"- -"))</f>
        <v/>
      </c>
      <c r="DN41" s="130"/>
      <c r="DO41" s="130"/>
      <c r="DP41" s="130"/>
      <c r="DQ41" s="130"/>
      <c r="DR41" s="130"/>
      <c r="DS41" s="130"/>
      <c r="DT41" s="130"/>
      <c r="DU41" s="130" t="str">
        <f t="shared" si="14"/>
        <v/>
      </c>
      <c r="DV41" s="130"/>
      <c r="DW41" s="130"/>
      <c r="DX41" s="130"/>
      <c r="DY41" s="130"/>
      <c r="DZ41" s="130"/>
      <c r="EA41" s="130"/>
      <c r="EB41" s="130"/>
      <c r="EC41" s="130" t="str">
        <f t="shared" si="15"/>
        <v/>
      </c>
      <c r="ED41" s="130"/>
      <c r="EE41" s="130"/>
      <c r="EF41" s="130"/>
      <c r="EG41" s="130"/>
      <c r="EH41" s="130"/>
      <c r="EI41" s="130"/>
      <c r="EJ41" s="130"/>
      <c r="EK41" s="130" t="str">
        <f t="shared" si="16"/>
        <v/>
      </c>
      <c r="EL41" s="130"/>
      <c r="EM41" s="130"/>
      <c r="EN41" s="130"/>
      <c r="EO41" s="130"/>
      <c r="EP41" s="130"/>
      <c r="EQ41" s="130"/>
      <c r="ER41" s="130"/>
      <c r="ES41" s="130" t="str">
        <f t="shared" si="17"/>
        <v/>
      </c>
      <c r="ET41" s="130"/>
      <c r="EU41" s="130"/>
      <c r="EV41" s="130"/>
      <c r="EW41" s="130"/>
      <c r="EX41" s="130"/>
      <c r="EY41" s="130"/>
      <c r="EZ41" s="238"/>
      <c r="FB41" s="139" t="s">
        <v>2840</v>
      </c>
      <c r="FC41" s="140"/>
      <c r="FD41" s="140"/>
      <c r="FE41" s="140"/>
      <c r="FF41" s="140"/>
      <c r="FG41" s="140"/>
      <c r="FH41" s="140"/>
      <c r="FI41" s="140"/>
      <c r="FJ41" s="140"/>
      <c r="FK41" s="140"/>
      <c r="FL41" s="140"/>
      <c r="FM41" s="140"/>
      <c r="FN41" s="140"/>
      <c r="FO41" s="140"/>
      <c r="FP41" s="140"/>
      <c r="FQ41" s="140"/>
      <c r="FR41" s="140"/>
      <c r="FS41" s="140"/>
      <c r="FT41" s="140"/>
      <c r="FU41" s="140"/>
      <c r="FV41" s="140"/>
      <c r="FW41" s="140"/>
      <c r="FX41" s="140"/>
      <c r="FY41" s="140"/>
      <c r="FZ41" s="140"/>
      <c r="GA41" s="140"/>
      <c r="GB41" s="140"/>
      <c r="GC41" s="140"/>
      <c r="GD41" s="140"/>
      <c r="GE41" s="140"/>
      <c r="GF41" s="140"/>
      <c r="GG41" s="140"/>
      <c r="GH41" s="140"/>
      <c r="GI41" s="140"/>
      <c r="GJ41" s="140"/>
      <c r="GK41" s="140"/>
      <c r="GL41" s="140"/>
      <c r="GM41" s="140"/>
      <c r="GN41" s="140"/>
      <c r="GO41" s="140"/>
      <c r="GP41" s="140"/>
      <c r="GQ41" s="140"/>
      <c r="GR41" s="140"/>
      <c r="GS41" s="140"/>
      <c r="GT41" s="141">
        <v>2</v>
      </c>
      <c r="GU41" s="141"/>
      <c r="GV41" s="141"/>
      <c r="GW41" s="141"/>
      <c r="GX41" s="141"/>
      <c r="GY41" s="141"/>
      <c r="GZ41" s="141"/>
      <c r="HA41" s="141"/>
      <c r="HB41" s="142">
        <f>IFERROR(ROUND(Calculations!BV42*GT41,2),"")</f>
        <v>0.01</v>
      </c>
      <c r="HC41" s="142"/>
      <c r="HD41" s="142"/>
      <c r="HE41" s="142"/>
      <c r="HF41" s="142"/>
      <c r="HG41" s="142"/>
      <c r="HH41" s="142"/>
      <c r="HI41" s="142"/>
      <c r="HJ41" s="142">
        <f>IFERROR(Calculations!BS42+IQ41+IX41,"")</f>
        <v>10</v>
      </c>
      <c r="HK41" s="142"/>
      <c r="HL41" s="142"/>
      <c r="HM41" s="142"/>
      <c r="HN41" s="142"/>
      <c r="HO41" s="142"/>
      <c r="HP41" s="142"/>
      <c r="HQ41" s="142"/>
      <c r="HR41" s="142">
        <f t="shared" si="9"/>
        <v>0</v>
      </c>
      <c r="HS41" s="142"/>
      <c r="HT41" s="142"/>
      <c r="HU41" s="142"/>
      <c r="HV41" s="142"/>
      <c r="HW41" s="142"/>
      <c r="HX41" s="142"/>
      <c r="HY41" s="142"/>
      <c r="HZ41" s="142" t="str">
        <f>IFERROR(Calculations!BX42,"")</f>
        <v>$0.06</v>
      </c>
      <c r="IA41" s="142"/>
      <c r="IB41" s="142"/>
      <c r="IC41" s="142"/>
      <c r="ID41" s="142"/>
      <c r="IE41" s="142"/>
      <c r="IF41" s="142"/>
      <c r="IG41" s="142"/>
      <c r="IH41" s="142"/>
      <c r="II41" s="142"/>
      <c r="IJ41" s="142">
        <f>IFERROR(Calculations!BR42+IX41,"")</f>
        <v>0</v>
      </c>
      <c r="IK41" s="142"/>
      <c r="IL41" s="142"/>
      <c r="IM41" s="142"/>
      <c r="IN41" s="142"/>
      <c r="IO41" s="142"/>
      <c r="IP41" s="142"/>
      <c r="IQ41" s="141">
        <v>0</v>
      </c>
      <c r="IR41" s="141"/>
      <c r="IS41" s="141"/>
      <c r="IT41" s="141"/>
      <c r="IU41" s="141"/>
      <c r="IV41" s="141"/>
      <c r="IW41" s="141"/>
      <c r="IX41" s="141">
        <v>0</v>
      </c>
      <c r="IY41" s="141"/>
      <c r="IZ41" s="141"/>
      <c r="JA41" s="141"/>
      <c r="JB41" s="141"/>
      <c r="JC41" s="141"/>
      <c r="JD41" s="141"/>
      <c r="JE41" s="141"/>
      <c r="JF41" s="142"/>
      <c r="JG41" s="142"/>
      <c r="JH41" s="142"/>
      <c r="JI41" s="142"/>
      <c r="JJ41" s="142"/>
      <c r="JK41" s="143" t="str">
        <f>Calculations!AS42</f>
        <v>Paper</v>
      </c>
      <c r="JL41" s="143"/>
      <c r="JM41" s="143"/>
      <c r="JN41" s="143"/>
      <c r="JO41" s="143"/>
      <c r="JP41" s="143"/>
      <c r="JQ41" s="143"/>
      <c r="JR41" s="143"/>
      <c r="JS41" s="143"/>
      <c r="JT41" s="143"/>
      <c r="JU41" s="143"/>
      <c r="JV41" s="143"/>
      <c r="JW41" s="143"/>
      <c r="JX41" s="143"/>
      <c r="JY41" s="143"/>
      <c r="JZ41" s="143"/>
      <c r="KA41" s="143"/>
      <c r="KB41" s="143"/>
      <c r="KC41" s="143" t="str">
        <f>Calculations!AW42</f>
        <v>Paper</v>
      </c>
      <c r="KD41" s="143"/>
      <c r="KE41" s="143"/>
      <c r="KF41" s="143"/>
      <c r="KG41" s="143"/>
      <c r="KH41" s="143"/>
      <c r="KI41" s="143"/>
      <c r="KJ41" s="143"/>
      <c r="KK41" s="143"/>
      <c r="KL41" s="143"/>
      <c r="KM41" s="143"/>
      <c r="KN41" s="143"/>
      <c r="KO41" s="143"/>
      <c r="KP41" s="143"/>
      <c r="KQ41" s="143"/>
      <c r="KR41" s="143"/>
      <c r="KS41" s="143"/>
      <c r="KT41" s="143"/>
      <c r="KU41" s="144"/>
      <c r="KV41" s="144"/>
      <c r="KW41" s="144"/>
      <c r="KX41" s="144"/>
      <c r="KY41" s="144"/>
      <c r="KZ41" s="144"/>
      <c r="LA41" s="144"/>
      <c r="LB41" s="144"/>
      <c r="LC41" s="144"/>
      <c r="LD41" s="144"/>
      <c r="LE41" s="144"/>
      <c r="LF41" s="144"/>
      <c r="LG41" s="144"/>
      <c r="LH41" s="144"/>
      <c r="LI41" s="144"/>
      <c r="LJ41" s="144"/>
      <c r="LK41" s="144"/>
      <c r="LL41" s="144"/>
      <c r="LM41" s="144"/>
      <c r="LN41" s="144"/>
      <c r="LO41" s="144"/>
      <c r="LP41" s="144"/>
      <c r="LQ41" s="144"/>
      <c r="LR41" s="144"/>
      <c r="LS41" s="144"/>
      <c r="LT41" s="144"/>
      <c r="LU41" s="144"/>
      <c r="LV41" s="144"/>
      <c r="LW41" s="144"/>
      <c r="LX41" s="144"/>
      <c r="LY41" s="144"/>
      <c r="LZ41" s="144"/>
      <c r="MA41" s="144"/>
      <c r="MB41" s="144"/>
      <c r="MC41" s="144"/>
      <c r="MD41" s="144"/>
      <c r="ME41" s="144"/>
      <c r="MF41" s="144"/>
      <c r="MG41" s="144"/>
      <c r="MH41" s="144"/>
      <c r="MI41" s="144"/>
      <c r="MJ41" s="144"/>
      <c r="MK41" s="144"/>
      <c r="ML41" s="144"/>
      <c r="MM41" s="144"/>
      <c r="MN41" s="144"/>
      <c r="MO41" s="144"/>
      <c r="MP41" s="144"/>
      <c r="MQ41" s="144"/>
      <c r="MR41" s="144"/>
      <c r="MS41" s="144"/>
      <c r="MT41" s="144"/>
      <c r="MU41" s="144"/>
      <c r="MV41" s="144"/>
      <c r="MW41" s="144"/>
      <c r="MX41" s="144"/>
      <c r="MY41" s="144"/>
      <c r="MZ41" s="145"/>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9"/>
      <c r="AJZ41" s="129"/>
      <c r="AKA41" s="129"/>
      <c r="AKB41" s="129"/>
      <c r="AKC41" s="129"/>
      <c r="AKD41" s="129"/>
      <c r="AKE41" s="129"/>
      <c r="AKF41" s="129"/>
      <c r="AKG41" s="129"/>
      <c r="AKH41" s="129"/>
      <c r="AKI41" s="129"/>
      <c r="AKJ41" s="129"/>
      <c r="AKK41" s="129"/>
      <c r="AKL41" s="129"/>
      <c r="AKM41" s="129"/>
      <c r="AKN41" s="129"/>
      <c r="AKO41" s="129"/>
      <c r="AKP41" s="129"/>
      <c r="AKQ41" s="129"/>
      <c r="AKR41" s="129"/>
      <c r="AKS41" s="129"/>
      <c r="AKT41" s="128"/>
      <c r="AKU41" s="128"/>
      <c r="AKV41" s="128"/>
      <c r="AKW41" s="128"/>
      <c r="AKX41" s="128"/>
      <c r="AKY41" s="128"/>
      <c r="AKZ41" s="129"/>
      <c r="ALA41" s="129"/>
      <c r="ALB41" s="129"/>
      <c r="ALC41" s="129"/>
      <c r="ALD41" s="129"/>
      <c r="ALE41" s="129"/>
      <c r="ALF41" s="129"/>
      <c r="ALG41" s="129"/>
      <c r="ALH41" s="129"/>
      <c r="ALI41" s="129"/>
      <c r="ALJ41" s="129"/>
      <c r="ALK41" s="129"/>
      <c r="ALL41" s="129"/>
      <c r="ALM41" s="129"/>
      <c r="ALN41" s="129"/>
      <c r="ALO41" s="129"/>
      <c r="ALP41" s="129"/>
      <c r="ALQ41" s="129"/>
      <c r="ALR41" s="129"/>
      <c r="ALS41" s="129"/>
      <c r="ALT41" s="129"/>
      <c r="ALU41" s="129"/>
      <c r="ALV41" s="129"/>
      <c r="ALW41" s="129"/>
      <c r="ALX41" s="129"/>
      <c r="ALY41" s="129"/>
      <c r="ALZ41" s="129"/>
      <c r="AMA41" s="129"/>
      <c r="AMB41" s="128"/>
      <c r="AMC41" s="128"/>
      <c r="AMD41" s="128"/>
      <c r="AME41" s="128"/>
      <c r="AMF41" s="128"/>
      <c r="AMG41" s="128"/>
      <c r="AMH41" s="128"/>
      <c r="APZ41" s="128" t="s">
        <v>588</v>
      </c>
      <c r="AQA41" s="128"/>
      <c r="AQB41" s="128"/>
      <c r="AQC41" s="128"/>
      <c r="AQD41" s="128"/>
      <c r="AQE41" s="128"/>
      <c r="AQF41" s="128"/>
      <c r="AQG41" s="128"/>
      <c r="AQH41" s="128"/>
      <c r="AQI41" s="128"/>
      <c r="AQJ41" s="128"/>
      <c r="AQK41" s="128"/>
      <c r="AQL41" s="128"/>
      <c r="AQM41" s="128"/>
      <c r="AQN41" s="128"/>
      <c r="AQO41" s="128"/>
      <c r="AQP41" s="128"/>
      <c r="AQQ41" s="128"/>
      <c r="AQR41" s="128"/>
      <c r="AQS41" s="128"/>
      <c r="AQT41" s="128"/>
      <c r="AQU41" s="128"/>
      <c r="AQV41" s="128"/>
      <c r="AQW41" s="128"/>
      <c r="AQX41" s="128"/>
      <c r="AQY41" s="128"/>
      <c r="AQZ41" s="128"/>
      <c r="ARA41" s="128"/>
      <c r="ARB41" s="128"/>
      <c r="ARC41" s="128"/>
      <c r="ARD41" s="128"/>
      <c r="ARE41" s="129"/>
      <c r="ARF41" s="129"/>
      <c r="ARG41" s="129"/>
      <c r="ARH41" s="129"/>
      <c r="ARI41" s="129"/>
      <c r="ARJ41" s="129"/>
      <c r="ARK41" s="129"/>
      <c r="ARL41" s="129"/>
      <c r="ARM41" s="129"/>
      <c r="ARN41" s="129"/>
      <c r="ARO41" s="129"/>
      <c r="ARP41" s="129"/>
      <c r="ARQ41" s="129"/>
      <c r="ARR41" s="129"/>
      <c r="ARS41" s="129"/>
      <c r="ART41" s="129"/>
      <c r="ARU41" s="129"/>
      <c r="ARV41" s="129"/>
      <c r="ARW41" s="129"/>
      <c r="ARX41" s="129"/>
      <c r="ARY41" s="129"/>
      <c r="ARZ41" s="128"/>
      <c r="ASA41" s="128"/>
      <c r="ASB41" s="128"/>
      <c r="ASC41" s="128"/>
      <c r="ASD41" s="128"/>
      <c r="ASE41" s="128"/>
      <c r="ASF41" s="129"/>
      <c r="ASG41" s="129"/>
      <c r="ASH41" s="129"/>
      <c r="ASI41" s="129"/>
      <c r="ASJ41" s="129"/>
      <c r="ASK41" s="129"/>
      <c r="ASL41" s="129"/>
      <c r="ASM41" s="129"/>
      <c r="ASN41" s="129"/>
      <c r="ASO41" s="129"/>
      <c r="ASP41" s="129"/>
      <c r="ASQ41" s="129"/>
      <c r="ASR41" s="129"/>
      <c r="ASS41" s="129"/>
      <c r="AST41" s="129"/>
      <c r="ASU41" s="129"/>
      <c r="ASV41" s="129"/>
      <c r="ASW41" s="129"/>
      <c r="ASX41" s="129"/>
      <c r="ASY41" s="129"/>
      <c r="ASZ41" s="129"/>
      <c r="ATA41" s="129"/>
      <c r="ATB41" s="129"/>
      <c r="ATC41" s="129"/>
      <c r="ATD41" s="129"/>
      <c r="ATE41" s="129"/>
      <c r="ATF41" s="129"/>
      <c r="ATG41" s="129"/>
      <c r="ATH41" s="128"/>
      <c r="ATI41" s="128"/>
      <c r="ATJ41" s="128"/>
      <c r="ATK41" s="128"/>
      <c r="ATL41" s="128"/>
      <c r="ATM41" s="128"/>
      <c r="ATN41" s="128"/>
      <c r="BLR41" s="128" t="s">
        <v>3897</v>
      </c>
      <c r="BLS41" s="128"/>
      <c r="BLT41" s="128"/>
      <c r="BLU41" s="128"/>
      <c r="BLV41" s="128"/>
      <c r="BLW41" s="128"/>
      <c r="BLX41" s="128"/>
      <c r="BLY41" s="128"/>
      <c r="BLZ41" s="128"/>
      <c r="BMA41" s="128"/>
      <c r="BMB41" s="128"/>
      <c r="BMC41" s="128"/>
      <c r="BMD41" s="128"/>
      <c r="BME41" s="128"/>
      <c r="BMF41" s="128"/>
      <c r="BMG41" s="128"/>
      <c r="BMH41" s="128"/>
      <c r="BMI41" s="128"/>
      <c r="BMJ41" s="128"/>
      <c r="BMK41" s="128"/>
      <c r="BML41" s="128"/>
      <c r="BMM41" s="128"/>
      <c r="BMN41" s="128"/>
      <c r="BMO41" s="128"/>
      <c r="BMP41" s="128"/>
      <c r="BMQ41" s="128"/>
      <c r="BMR41" s="128"/>
      <c r="BMS41" s="128"/>
      <c r="BMT41" s="128"/>
      <c r="BMU41" s="128"/>
      <c r="BMV41" s="128"/>
      <c r="BMW41" s="129"/>
      <c r="BMX41" s="129"/>
      <c r="BMY41" s="129"/>
      <c r="BMZ41" s="129"/>
      <c r="BNA41" s="129"/>
      <c r="BNB41" s="129"/>
      <c r="BNC41" s="129"/>
      <c r="BND41" s="129"/>
      <c r="BNE41" s="129"/>
      <c r="BNF41" s="129"/>
      <c r="BNG41" s="129"/>
      <c r="BNH41" s="129"/>
      <c r="BNI41" s="129"/>
      <c r="BNJ41" s="129"/>
      <c r="BNK41" s="129"/>
      <c r="BNL41" s="129"/>
      <c r="BNM41" s="129"/>
      <c r="BNN41" s="129"/>
      <c r="BNO41" s="129"/>
      <c r="BNP41" s="129"/>
      <c r="BNQ41" s="129"/>
      <c r="BNR41" s="128"/>
      <c r="BNS41" s="128"/>
      <c r="BNT41" s="128"/>
      <c r="BNU41" s="128"/>
      <c r="BNV41" s="128"/>
      <c r="BNW41" s="128"/>
      <c r="BNX41" s="129"/>
      <c r="BNY41" s="129"/>
      <c r="BNZ41" s="129"/>
      <c r="BOA41" s="129"/>
      <c r="BOB41" s="129"/>
      <c r="BOC41" s="129"/>
      <c r="BOD41" s="129"/>
      <c r="BOE41" s="129"/>
      <c r="BOF41" s="129"/>
      <c r="BOG41" s="129"/>
      <c r="BOH41" s="129"/>
      <c r="BOI41" s="129"/>
      <c r="BOJ41" s="129"/>
      <c r="BOK41" s="129"/>
      <c r="BOL41" s="129"/>
      <c r="BOM41" s="129"/>
      <c r="BON41" s="129"/>
      <c r="BOO41" s="129"/>
      <c r="BOP41" s="129"/>
      <c r="BOQ41" s="129"/>
      <c r="BOR41" s="129"/>
      <c r="BOS41" s="129"/>
      <c r="BOT41" s="129"/>
      <c r="BOU41" s="129"/>
      <c r="BOV41" s="129"/>
      <c r="BOW41" s="129"/>
      <c r="BOX41" s="129"/>
      <c r="BOY41" s="129"/>
      <c r="BOZ41" s="128"/>
      <c r="BPA41" s="128"/>
      <c r="BPB41" s="128"/>
      <c r="BPC41" s="128"/>
      <c r="BPD41" s="128"/>
      <c r="BPE41" s="128"/>
      <c r="BPF41" s="128"/>
      <c r="COP41" s="144" t="s">
        <v>418</v>
      </c>
      <c r="COQ41" s="144"/>
      <c r="COR41" s="144"/>
      <c r="COS41" s="144"/>
      <c r="COT41" s="144"/>
      <c r="COU41" s="144"/>
      <c r="COV41" s="144"/>
      <c r="COW41" s="144"/>
      <c r="COX41" s="144"/>
      <c r="COY41" s="144"/>
      <c r="COZ41" s="144"/>
      <c r="CPA41" s="144"/>
      <c r="CPB41" s="144"/>
      <c r="CPC41" s="144"/>
      <c r="CPD41" s="144"/>
      <c r="CPE41" s="144"/>
      <c r="CPF41" s="144"/>
      <c r="CPG41" s="144"/>
      <c r="CPH41" s="144"/>
      <c r="CPI41" s="144"/>
      <c r="CPJ41" s="144"/>
      <c r="CPK41" s="144"/>
      <c r="CPL41" s="144"/>
      <c r="CPM41" s="144"/>
      <c r="CPN41" s="144"/>
      <c r="CPO41" s="144"/>
      <c r="CPP41" s="144"/>
      <c r="CPQ41" s="144"/>
      <c r="CPR41" s="144"/>
      <c r="CPS41" s="144"/>
      <c r="CPT41" s="144"/>
      <c r="CPU41" s="144"/>
      <c r="CPV41" s="144"/>
      <c r="CPW41" s="144"/>
      <c r="CPX41" s="144"/>
      <c r="CPY41" s="144"/>
      <c r="CPZ41" s="144"/>
      <c r="CQA41" s="144"/>
      <c r="CQB41" s="144"/>
      <c r="CQC41" s="144"/>
      <c r="CQD41" s="144"/>
      <c r="CQE41" s="144"/>
      <c r="CQF41" s="144"/>
      <c r="CQG41" s="144"/>
      <c r="CQH41" s="144"/>
      <c r="CQI41" s="144"/>
      <c r="CQJ41" s="144"/>
      <c r="CQK41" s="144"/>
      <c r="CQL41" s="144"/>
      <c r="CQM41" s="144"/>
      <c r="CQN41" s="144"/>
      <c r="CQO41" s="144"/>
      <c r="CQP41" s="144"/>
      <c r="CQQ41" s="144"/>
      <c r="CQR41" s="144"/>
      <c r="CQS41" s="144"/>
      <c r="CQT41" s="144"/>
      <c r="CQU41" s="144"/>
      <c r="CQV41" s="144"/>
      <c r="CQW41" s="144"/>
      <c r="CQX41" s="144"/>
      <c r="CQY41" s="144"/>
      <c r="CQZ41" s="144"/>
      <c r="CRA41" s="144"/>
      <c r="CRB41" s="144"/>
      <c r="CRC41" s="144"/>
      <c r="CRD41" s="144"/>
      <c r="CRE41" s="144"/>
      <c r="CRF41" s="144"/>
      <c r="CRG41" s="144"/>
      <c r="CRH41" s="144"/>
      <c r="CRI41" s="144"/>
      <c r="CRJ41" s="144"/>
      <c r="CRK41" s="144"/>
      <c r="CRL41" s="144"/>
      <c r="CRM41" s="144"/>
      <c r="CRN41" s="144"/>
      <c r="CRO41" s="144"/>
      <c r="CRP41" s="144"/>
      <c r="CRQ41" s="144"/>
      <c r="CRR41" s="144"/>
      <c r="CRS41" s="144"/>
      <c r="CRT41" s="144"/>
      <c r="CRU41" s="144"/>
      <c r="CRV41" s="144"/>
      <c r="CRW41" s="144"/>
      <c r="CRX41" s="144"/>
      <c r="CRY41" s="144"/>
      <c r="CRZ41" s="144"/>
      <c r="CSA41" s="144"/>
      <c r="CSB41" s="144"/>
      <c r="CSC41" s="144"/>
      <c r="CSD41" s="144"/>
      <c r="CSF41" s="128" t="s">
        <v>466</v>
      </c>
      <c r="CSG41" s="128"/>
      <c r="CSH41" s="128"/>
      <c r="CSI41" s="128"/>
      <c r="CSJ41" s="128"/>
      <c r="CSK41" s="128"/>
      <c r="CSL41" s="128"/>
      <c r="CSM41" s="128"/>
      <c r="CSN41" s="128"/>
      <c r="CSO41" s="128"/>
      <c r="CSP41" s="128"/>
      <c r="CSQ41" s="128"/>
      <c r="CSR41" s="128"/>
      <c r="CSS41" s="128"/>
      <c r="CST41" s="128"/>
      <c r="CSU41" s="128"/>
      <c r="CSV41" s="128"/>
      <c r="CSW41" s="128"/>
      <c r="CSX41" s="128"/>
      <c r="CSY41" s="128"/>
      <c r="CSZ41" s="128"/>
      <c r="CTA41" s="128"/>
      <c r="CTB41" s="128"/>
      <c r="CTC41" s="128"/>
      <c r="CTD41" s="128"/>
      <c r="CTE41" s="128"/>
      <c r="CTF41" s="128"/>
      <c r="CTG41" s="128"/>
      <c r="CTH41" s="128"/>
      <c r="CTI41" s="128"/>
      <c r="CTJ41" s="128"/>
      <c r="CTK41" s="129"/>
      <c r="CTL41" s="129"/>
      <c r="CTM41" s="129"/>
      <c r="CTN41" s="129"/>
      <c r="CTO41" s="129"/>
      <c r="CTP41" s="129"/>
      <c r="CTQ41" s="129"/>
      <c r="CTR41" s="129"/>
      <c r="CTS41" s="129"/>
      <c r="CTT41" s="129"/>
      <c r="CTU41" s="129"/>
      <c r="CTV41" s="129"/>
      <c r="CTW41" s="129"/>
      <c r="CTX41" s="129"/>
      <c r="CTY41" s="129"/>
      <c r="CTZ41" s="129"/>
      <c r="CUA41" s="129"/>
      <c r="CUB41" s="129"/>
      <c r="CUC41" s="129"/>
      <c r="CUD41" s="129"/>
      <c r="CUE41" s="129"/>
      <c r="CUF41" s="128"/>
      <c r="CUG41" s="128"/>
      <c r="CUH41" s="128"/>
      <c r="CUI41" s="128"/>
      <c r="CUJ41" s="128"/>
      <c r="CUK41" s="128"/>
      <c r="CUL41" s="129"/>
      <c r="CUM41" s="129"/>
      <c r="CUN41" s="129"/>
      <c r="CUO41" s="129"/>
      <c r="CUP41" s="129"/>
      <c r="CUQ41" s="129"/>
      <c r="CUR41" s="129"/>
      <c r="CUS41" s="129"/>
      <c r="CUT41" s="129"/>
      <c r="CUU41" s="129"/>
      <c r="CUV41" s="129"/>
      <c r="CUW41" s="129"/>
      <c r="CUX41" s="129"/>
      <c r="CUY41" s="129"/>
      <c r="CUZ41" s="129"/>
      <c r="CVA41" s="129"/>
      <c r="CVB41" s="129"/>
      <c r="CVC41" s="129"/>
      <c r="CVD41" s="129"/>
      <c r="CVE41" s="129"/>
      <c r="CVF41" s="129"/>
      <c r="CVG41" s="129"/>
      <c r="CVH41" s="129"/>
      <c r="CVI41" s="129"/>
      <c r="CVJ41" s="129"/>
      <c r="CVK41" s="129"/>
      <c r="CVL41" s="129"/>
      <c r="CVM41" s="129"/>
      <c r="CVN41" s="128"/>
      <c r="CVO41" s="128"/>
      <c r="CVP41" s="128"/>
      <c r="CVQ41" s="128"/>
      <c r="CVR41" s="128"/>
      <c r="CVS41" s="128"/>
      <c r="CVT41" s="128"/>
    </row>
    <row r="42" spans="2:1022 1118:1774 2434:2996" ht="15" customHeight="1" x14ac:dyDescent="0.25">
      <c r="B42" s="135">
        <v>17</v>
      </c>
      <c r="C42" s="136"/>
      <c r="D42" s="136"/>
      <c r="E42" s="136" t="str">
        <f>IFERROR(VLOOKUP(B42,Calculations!$DH$3:$DJ$127,3,FALSE),"")</f>
        <v/>
      </c>
      <c r="F42" s="136"/>
      <c r="G42" s="136"/>
      <c r="H42" s="136"/>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200" t="str">
        <f>IFERROR(VLOOKUP(B42,Calculations!$DH$3:$DX$200,17,FALSE),"")</f>
        <v/>
      </c>
      <c r="AH42" s="131"/>
      <c r="AI42" s="131"/>
      <c r="AJ42" s="131"/>
      <c r="AK42" s="131"/>
      <c r="AL42" s="131"/>
      <c r="AM42" s="131"/>
      <c r="AN42" s="131"/>
      <c r="AO42" s="131"/>
      <c r="AP42" s="131"/>
      <c r="AQ42" s="131"/>
      <c r="AR42" s="131"/>
      <c r="AS42" s="131"/>
      <c r="AT42" s="131"/>
      <c r="AU42" s="131"/>
      <c r="AV42" s="131"/>
      <c r="AW42" s="131"/>
      <c r="AX42" s="131"/>
      <c r="AY42" s="131"/>
      <c r="AZ42" s="131"/>
      <c r="BA42" s="201"/>
      <c r="BB42" s="226" t="str">
        <f>IFERROR(IFERROR((VLOOKUP(E42,Calculations!$DR$3:$EJ$200,19,FALSE)),0)+VLOOKUP(B42,Calculations!$DH$3:$DN$200,7,FALSE)+CG42+CO42+IFERROR(VLOOKUP((LEFT(E42,FIND("(",E42)-2)),Calculations!$DJ$3:$EJ$200,26,FALSE),0),"")</f>
        <v/>
      </c>
      <c r="BC42" s="226"/>
      <c r="BD42" s="226"/>
      <c r="BE42" s="226"/>
      <c r="BF42" s="226"/>
      <c r="BG42" s="226"/>
      <c r="BH42" s="226"/>
      <c r="BI42" s="131" t="str">
        <f>IFERROR("x "&amp;VLOOKUP(B42,Calculations!$DH$3:$DY$200,18,FALSE),"")</f>
        <v/>
      </c>
      <c r="BJ42" s="131"/>
      <c r="BK42" s="131"/>
      <c r="BL42" s="131"/>
      <c r="BM42" s="131"/>
      <c r="BN42" s="131"/>
      <c r="BO42" s="131"/>
      <c r="BP42" s="131"/>
      <c r="BQ42" s="131" t="str">
        <f>IFERROR(VLOOKUP(B42,Calculations!$DH$3:$EE$200,22,FALSE),"")</f>
        <v/>
      </c>
      <c r="BR42" s="131"/>
      <c r="BS42" s="131"/>
      <c r="BT42" s="131"/>
      <c r="BU42" s="131"/>
      <c r="BV42" s="131"/>
      <c r="BW42" s="131"/>
      <c r="BX42" s="131"/>
      <c r="BY42" s="131" t="str">
        <f>IFERROR(VLOOKUP(B42,Calculations!$DH$3:$EA$200,19,FALSE)-ROUNDDOWN((CO42/5),0),"")</f>
        <v/>
      </c>
      <c r="BZ42" s="131"/>
      <c r="CA42" s="131"/>
      <c r="CB42" s="131"/>
      <c r="CC42" s="131"/>
      <c r="CD42" s="131"/>
      <c r="CE42" s="131"/>
      <c r="CF42" s="131"/>
      <c r="CG42" s="194">
        <v>0</v>
      </c>
      <c r="CH42" s="194"/>
      <c r="CI42" s="194"/>
      <c r="CJ42" s="194"/>
      <c r="CK42" s="194"/>
      <c r="CL42" s="194"/>
      <c r="CM42" s="194"/>
      <c r="CN42" s="194"/>
      <c r="CO42" s="194">
        <v>0</v>
      </c>
      <c r="CP42" s="194"/>
      <c r="CQ42" s="194"/>
      <c r="CR42" s="194"/>
      <c r="CS42" s="194"/>
      <c r="CT42" s="194"/>
      <c r="CU42" s="194"/>
      <c r="CV42" s="194"/>
      <c r="CW42" s="131" t="str">
        <f>IF(E42="","",IFERROR(VLOOKUP(B42,Calculations!$DH$3:$ED$200,23,FALSE)+CO42+CG42,"- -"))</f>
        <v/>
      </c>
      <c r="CX42" s="131"/>
      <c r="CY42" s="131"/>
      <c r="CZ42" s="131"/>
      <c r="DA42" s="131"/>
      <c r="DB42" s="131"/>
      <c r="DC42" s="131"/>
      <c r="DD42" s="131"/>
      <c r="DE42" s="199" t="str">
        <f>IF(E42="","",IFERROR(VLOOKUP(B42,Calculations!$DH$3:$EE$200,24,FALSE),"- -"))</f>
        <v/>
      </c>
      <c r="DF42" s="131"/>
      <c r="DG42" s="131"/>
      <c r="DH42" s="131"/>
      <c r="DI42" s="131"/>
      <c r="DJ42" s="131"/>
      <c r="DK42" s="131"/>
      <c r="DL42" s="131"/>
      <c r="DM42" s="199" t="str">
        <f>IF(E42="","",IFERROR(VLOOKUP(B42,Calculations!$DH$3:$EJ$200,25,FALSE),"- -"))</f>
        <v/>
      </c>
      <c r="DN42" s="131"/>
      <c r="DO42" s="131"/>
      <c r="DP42" s="131"/>
      <c r="DQ42" s="131"/>
      <c r="DR42" s="131"/>
      <c r="DS42" s="131"/>
      <c r="DT42" s="131"/>
      <c r="DU42" s="131" t="str">
        <f t="shared" si="14"/>
        <v/>
      </c>
      <c r="DV42" s="131"/>
      <c r="DW42" s="131"/>
      <c r="DX42" s="131"/>
      <c r="DY42" s="131"/>
      <c r="DZ42" s="131"/>
      <c r="EA42" s="131"/>
      <c r="EB42" s="131"/>
      <c r="EC42" s="131" t="str">
        <f t="shared" si="15"/>
        <v/>
      </c>
      <c r="ED42" s="131"/>
      <c r="EE42" s="131"/>
      <c r="EF42" s="131"/>
      <c r="EG42" s="131"/>
      <c r="EH42" s="131"/>
      <c r="EI42" s="131"/>
      <c r="EJ42" s="131"/>
      <c r="EK42" s="131" t="str">
        <f t="shared" si="16"/>
        <v/>
      </c>
      <c r="EL42" s="131"/>
      <c r="EM42" s="131"/>
      <c r="EN42" s="131"/>
      <c r="EO42" s="131"/>
      <c r="EP42" s="131"/>
      <c r="EQ42" s="131"/>
      <c r="ER42" s="131"/>
      <c r="ES42" s="131" t="str">
        <f t="shared" si="17"/>
        <v/>
      </c>
      <c r="ET42" s="131"/>
      <c r="EU42" s="131"/>
      <c r="EV42" s="131"/>
      <c r="EW42" s="131"/>
      <c r="EX42" s="131"/>
      <c r="EY42" s="131"/>
      <c r="EZ42" s="239"/>
      <c r="FB42" s="139" t="s">
        <v>3085</v>
      </c>
      <c r="FC42" s="140"/>
      <c r="FD42" s="140"/>
      <c r="FE42" s="140"/>
      <c r="FF42" s="140"/>
      <c r="FG42" s="140"/>
      <c r="FH42" s="140"/>
      <c r="FI42" s="140"/>
      <c r="FJ42" s="140"/>
      <c r="FK42" s="140"/>
      <c r="FL42" s="140"/>
      <c r="FM42" s="140"/>
      <c r="FN42" s="140"/>
      <c r="FO42" s="140"/>
      <c r="FP42" s="140"/>
      <c r="FQ42" s="140"/>
      <c r="FR42" s="140"/>
      <c r="FS42" s="140"/>
      <c r="FT42" s="140"/>
      <c r="FU42" s="140"/>
      <c r="FV42" s="140"/>
      <c r="FW42" s="140"/>
      <c r="FX42" s="140"/>
      <c r="FY42" s="140"/>
      <c r="FZ42" s="140"/>
      <c r="GA42" s="140"/>
      <c r="GB42" s="140"/>
      <c r="GC42" s="140"/>
      <c r="GD42" s="140"/>
      <c r="GE42" s="140"/>
      <c r="GF42" s="140"/>
      <c r="GG42" s="140"/>
      <c r="GH42" s="140"/>
      <c r="GI42" s="140"/>
      <c r="GJ42" s="140"/>
      <c r="GK42" s="140"/>
      <c r="GL42" s="140"/>
      <c r="GM42" s="140"/>
      <c r="GN42" s="140"/>
      <c r="GO42" s="140"/>
      <c r="GP42" s="140"/>
      <c r="GQ42" s="140"/>
      <c r="GR42" s="140"/>
      <c r="GS42" s="140"/>
      <c r="GT42" s="141">
        <v>1</v>
      </c>
      <c r="GU42" s="141"/>
      <c r="GV42" s="141"/>
      <c r="GW42" s="141"/>
      <c r="GX42" s="141"/>
      <c r="GY42" s="141"/>
      <c r="GZ42" s="141"/>
      <c r="HA42" s="141"/>
      <c r="HB42" s="142">
        <f>IFERROR(ROUND(Calculations!BV43*GT42,2),"")</f>
        <v>1</v>
      </c>
      <c r="HC42" s="142"/>
      <c r="HD42" s="142"/>
      <c r="HE42" s="142"/>
      <c r="HF42" s="142"/>
      <c r="HG42" s="142"/>
      <c r="HH42" s="142"/>
      <c r="HI42" s="142"/>
      <c r="HJ42" s="142">
        <f>IFERROR(Calculations!BS43+IQ42+IX42,"")</f>
        <v>0</v>
      </c>
      <c r="HK42" s="142"/>
      <c r="HL42" s="142"/>
      <c r="HM42" s="142"/>
      <c r="HN42" s="142"/>
      <c r="HO42" s="142"/>
      <c r="HP42" s="142"/>
      <c r="HQ42" s="142"/>
      <c r="HR42" s="142">
        <f t="shared" si="9"/>
        <v>0</v>
      </c>
      <c r="HS42" s="142"/>
      <c r="HT42" s="142"/>
      <c r="HU42" s="142"/>
      <c r="HV42" s="142"/>
      <c r="HW42" s="142"/>
      <c r="HX42" s="142"/>
      <c r="HY42" s="142"/>
      <c r="HZ42" s="142" t="str">
        <f>IFERROR(Calculations!BX43,"")</f>
        <v>$1.2</v>
      </c>
      <c r="IA42" s="142"/>
      <c r="IB42" s="142"/>
      <c r="IC42" s="142"/>
      <c r="ID42" s="142"/>
      <c r="IE42" s="142"/>
      <c r="IF42" s="142"/>
      <c r="IG42" s="142"/>
      <c r="IH42" s="142"/>
      <c r="II42" s="142"/>
      <c r="IJ42" s="142">
        <f>IFERROR(Calculations!BR43+IX42,"")</f>
        <v>0</v>
      </c>
      <c r="IK42" s="142"/>
      <c r="IL42" s="142"/>
      <c r="IM42" s="142"/>
      <c r="IN42" s="142"/>
      <c r="IO42" s="142"/>
      <c r="IP42" s="142"/>
      <c r="IQ42" s="141">
        <v>0</v>
      </c>
      <c r="IR42" s="141"/>
      <c r="IS42" s="141"/>
      <c r="IT42" s="141"/>
      <c r="IU42" s="141"/>
      <c r="IV42" s="141"/>
      <c r="IW42" s="141"/>
      <c r="IX42" s="141">
        <v>0</v>
      </c>
      <c r="IY42" s="141"/>
      <c r="IZ42" s="141"/>
      <c r="JA42" s="141"/>
      <c r="JB42" s="141"/>
      <c r="JC42" s="141"/>
      <c r="JD42" s="141"/>
      <c r="JE42" s="141"/>
      <c r="JF42" s="142"/>
      <c r="JG42" s="142"/>
      <c r="JH42" s="142"/>
      <c r="JI42" s="142"/>
      <c r="JJ42" s="142"/>
      <c r="JK42" s="143" t="str">
        <f>Calculations!AS43</f>
        <v>Heavy Cloth</v>
      </c>
      <c r="JL42" s="143"/>
      <c r="JM42" s="143"/>
      <c r="JN42" s="143"/>
      <c r="JO42" s="143"/>
      <c r="JP42" s="143"/>
      <c r="JQ42" s="143"/>
      <c r="JR42" s="143"/>
      <c r="JS42" s="143"/>
      <c r="JT42" s="143"/>
      <c r="JU42" s="143"/>
      <c r="JV42" s="143"/>
      <c r="JW42" s="143"/>
      <c r="JX42" s="143"/>
      <c r="JY42" s="143"/>
      <c r="JZ42" s="143"/>
      <c r="KA42" s="143"/>
      <c r="KB42" s="143"/>
      <c r="KC42" s="143" t="str">
        <f>Calculations!AW43</f>
        <v>Light Cloth</v>
      </c>
      <c r="KD42" s="143"/>
      <c r="KE42" s="143"/>
      <c r="KF42" s="143"/>
      <c r="KG42" s="143"/>
      <c r="KH42" s="143"/>
      <c r="KI42" s="143"/>
      <c r="KJ42" s="143"/>
      <c r="KK42" s="143"/>
      <c r="KL42" s="143"/>
      <c r="KM42" s="143"/>
      <c r="KN42" s="143"/>
      <c r="KO42" s="143"/>
      <c r="KP42" s="143"/>
      <c r="KQ42" s="143"/>
      <c r="KR42" s="143"/>
      <c r="KS42" s="143"/>
      <c r="KT42" s="143"/>
      <c r="KU42" s="144"/>
      <c r="KV42" s="144"/>
      <c r="KW42" s="144"/>
      <c r="KX42" s="144"/>
      <c r="KY42" s="144"/>
      <c r="KZ42" s="144"/>
      <c r="LA42" s="144"/>
      <c r="LB42" s="144"/>
      <c r="LC42" s="144"/>
      <c r="LD42" s="144"/>
      <c r="LE42" s="144"/>
      <c r="LF42" s="144"/>
      <c r="LG42" s="144"/>
      <c r="LH42" s="144"/>
      <c r="LI42" s="144"/>
      <c r="LJ42" s="144"/>
      <c r="LK42" s="144"/>
      <c r="LL42" s="144"/>
      <c r="LM42" s="144"/>
      <c r="LN42" s="144"/>
      <c r="LO42" s="144"/>
      <c r="LP42" s="144"/>
      <c r="LQ42" s="144"/>
      <c r="LR42" s="144"/>
      <c r="LS42" s="144"/>
      <c r="LT42" s="144"/>
      <c r="LU42" s="144"/>
      <c r="LV42" s="144"/>
      <c r="LW42" s="144"/>
      <c r="LX42" s="144"/>
      <c r="LY42" s="144"/>
      <c r="LZ42" s="144"/>
      <c r="MA42" s="144"/>
      <c r="MB42" s="144"/>
      <c r="MC42" s="144"/>
      <c r="MD42" s="144"/>
      <c r="ME42" s="144"/>
      <c r="MF42" s="144"/>
      <c r="MG42" s="144"/>
      <c r="MH42" s="144"/>
      <c r="MI42" s="144"/>
      <c r="MJ42" s="144"/>
      <c r="MK42" s="144"/>
      <c r="ML42" s="144"/>
      <c r="MM42" s="144"/>
      <c r="MN42" s="144"/>
      <c r="MO42" s="144"/>
      <c r="MP42" s="144"/>
      <c r="MQ42" s="144"/>
      <c r="MR42" s="144"/>
      <c r="MS42" s="144"/>
      <c r="MT42" s="144"/>
      <c r="MU42" s="144"/>
      <c r="MV42" s="144"/>
      <c r="MW42" s="144"/>
      <c r="MX42" s="144"/>
      <c r="MY42" s="144"/>
      <c r="MZ42" s="145"/>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9"/>
      <c r="AJZ42" s="129"/>
      <c r="AKA42" s="129"/>
      <c r="AKB42" s="129"/>
      <c r="AKC42" s="129"/>
      <c r="AKD42" s="129"/>
      <c r="AKE42" s="129"/>
      <c r="AKF42" s="129"/>
      <c r="AKG42" s="129"/>
      <c r="AKH42" s="129"/>
      <c r="AKI42" s="129"/>
      <c r="AKJ42" s="129"/>
      <c r="AKK42" s="129"/>
      <c r="AKL42" s="129"/>
      <c r="AKM42" s="129"/>
      <c r="AKN42" s="129"/>
      <c r="AKO42" s="129"/>
      <c r="AKP42" s="129"/>
      <c r="AKQ42" s="129"/>
      <c r="AKR42" s="129"/>
      <c r="AKS42" s="129"/>
      <c r="AKT42" s="128"/>
      <c r="AKU42" s="128"/>
      <c r="AKV42" s="128"/>
      <c r="AKW42" s="128"/>
      <c r="AKX42" s="128"/>
      <c r="AKY42" s="128"/>
      <c r="AKZ42" s="129"/>
      <c r="ALA42" s="129"/>
      <c r="ALB42" s="129"/>
      <c r="ALC42" s="129"/>
      <c r="ALD42" s="129"/>
      <c r="ALE42" s="129"/>
      <c r="ALF42" s="129"/>
      <c r="ALG42" s="129"/>
      <c r="ALH42" s="129"/>
      <c r="ALI42" s="129"/>
      <c r="ALJ42" s="129"/>
      <c r="ALK42" s="129"/>
      <c r="ALL42" s="129"/>
      <c r="ALM42" s="129"/>
      <c r="ALN42" s="129"/>
      <c r="ALO42" s="129"/>
      <c r="ALP42" s="129"/>
      <c r="ALQ42" s="129"/>
      <c r="ALR42" s="129"/>
      <c r="ALS42" s="129"/>
      <c r="ALT42" s="129"/>
      <c r="ALU42" s="129"/>
      <c r="ALV42" s="129"/>
      <c r="ALW42" s="129"/>
      <c r="ALX42" s="129"/>
      <c r="ALY42" s="129"/>
      <c r="ALZ42" s="129"/>
      <c r="AMA42" s="129"/>
      <c r="AMB42" s="128"/>
      <c r="AMC42" s="128"/>
      <c r="AMD42" s="128"/>
      <c r="AME42" s="128"/>
      <c r="AMF42" s="128"/>
      <c r="AMG42" s="128"/>
      <c r="AMH42" s="128"/>
      <c r="APZ42" s="128" t="s">
        <v>254</v>
      </c>
      <c r="AQA42" s="128"/>
      <c r="AQB42" s="128"/>
      <c r="AQC42" s="128"/>
      <c r="AQD42" s="128"/>
      <c r="AQE42" s="128"/>
      <c r="AQF42" s="128"/>
      <c r="AQG42" s="128"/>
      <c r="AQH42" s="128"/>
      <c r="AQI42" s="128"/>
      <c r="AQJ42" s="128"/>
      <c r="AQK42" s="128"/>
      <c r="AQL42" s="128"/>
      <c r="AQM42" s="128"/>
      <c r="AQN42" s="128"/>
      <c r="AQO42" s="128"/>
      <c r="AQP42" s="128"/>
      <c r="AQQ42" s="128"/>
      <c r="AQR42" s="128"/>
      <c r="AQS42" s="128"/>
      <c r="AQT42" s="128"/>
      <c r="AQU42" s="128"/>
      <c r="AQV42" s="128"/>
      <c r="AQW42" s="128"/>
      <c r="AQX42" s="128"/>
      <c r="AQY42" s="128"/>
      <c r="AQZ42" s="128"/>
      <c r="ARA42" s="128"/>
      <c r="ARB42" s="128"/>
      <c r="ARC42" s="128"/>
      <c r="ARD42" s="128"/>
      <c r="ARE42" s="129"/>
      <c r="ARF42" s="129"/>
      <c r="ARG42" s="129"/>
      <c r="ARH42" s="129"/>
      <c r="ARI42" s="129"/>
      <c r="ARJ42" s="129"/>
      <c r="ARK42" s="129"/>
      <c r="ARL42" s="129"/>
      <c r="ARM42" s="129"/>
      <c r="ARN42" s="129"/>
      <c r="ARO42" s="129"/>
      <c r="ARP42" s="129"/>
      <c r="ARQ42" s="129"/>
      <c r="ARR42" s="129"/>
      <c r="ARS42" s="129"/>
      <c r="ART42" s="129"/>
      <c r="ARU42" s="129"/>
      <c r="ARV42" s="129"/>
      <c r="ARW42" s="129"/>
      <c r="ARX42" s="129"/>
      <c r="ARY42" s="129"/>
      <c r="ARZ42" s="128"/>
      <c r="ASA42" s="128"/>
      <c r="ASB42" s="128"/>
      <c r="ASC42" s="128"/>
      <c r="ASD42" s="128"/>
      <c r="ASE42" s="128"/>
      <c r="ASF42" s="129"/>
      <c r="ASG42" s="129"/>
      <c r="ASH42" s="129"/>
      <c r="ASI42" s="129"/>
      <c r="ASJ42" s="129"/>
      <c r="ASK42" s="129"/>
      <c r="ASL42" s="129"/>
      <c r="ASM42" s="129"/>
      <c r="ASN42" s="129"/>
      <c r="ASO42" s="129"/>
      <c r="ASP42" s="129"/>
      <c r="ASQ42" s="129"/>
      <c r="ASR42" s="129"/>
      <c r="ASS42" s="129"/>
      <c r="AST42" s="129"/>
      <c r="ASU42" s="129"/>
      <c r="ASV42" s="129"/>
      <c r="ASW42" s="129"/>
      <c r="ASX42" s="129"/>
      <c r="ASY42" s="129"/>
      <c r="ASZ42" s="129"/>
      <c r="ATA42" s="129"/>
      <c r="ATB42" s="129"/>
      <c r="ATC42" s="129"/>
      <c r="ATD42" s="129"/>
      <c r="ATE42" s="129"/>
      <c r="ATF42" s="129"/>
      <c r="ATG42" s="129"/>
      <c r="ATH42" s="128"/>
      <c r="ATI42" s="128"/>
      <c r="ATJ42" s="128"/>
      <c r="ATK42" s="128"/>
      <c r="ATL42" s="128"/>
      <c r="ATM42" s="128"/>
      <c r="ATN42" s="128"/>
      <c r="BLR42" s="128" t="s">
        <v>2043</v>
      </c>
      <c r="BLS42" s="128"/>
      <c r="BLT42" s="128"/>
      <c r="BLU42" s="128"/>
      <c r="BLV42" s="128"/>
      <c r="BLW42" s="128"/>
      <c r="BLX42" s="128"/>
      <c r="BLY42" s="128"/>
      <c r="BLZ42" s="128"/>
      <c r="BMA42" s="128"/>
      <c r="BMB42" s="128"/>
      <c r="BMC42" s="128"/>
      <c r="BMD42" s="128"/>
      <c r="BME42" s="128"/>
      <c r="BMF42" s="128"/>
      <c r="BMG42" s="128"/>
      <c r="BMH42" s="128"/>
      <c r="BMI42" s="128"/>
      <c r="BMJ42" s="128"/>
      <c r="BMK42" s="128"/>
      <c r="BML42" s="128"/>
      <c r="BMM42" s="128"/>
      <c r="BMN42" s="128"/>
      <c r="BMO42" s="128"/>
      <c r="BMP42" s="128"/>
      <c r="BMQ42" s="128"/>
      <c r="BMR42" s="128"/>
      <c r="BMS42" s="128"/>
      <c r="BMT42" s="128"/>
      <c r="BMU42" s="128"/>
      <c r="BMV42" s="128"/>
      <c r="BMW42" s="129"/>
      <c r="BMX42" s="129"/>
      <c r="BMY42" s="129"/>
      <c r="BMZ42" s="129"/>
      <c r="BNA42" s="129"/>
      <c r="BNB42" s="129"/>
      <c r="BNC42" s="129"/>
      <c r="BND42" s="129"/>
      <c r="BNE42" s="129"/>
      <c r="BNF42" s="129"/>
      <c r="BNG42" s="129"/>
      <c r="BNH42" s="129"/>
      <c r="BNI42" s="129"/>
      <c r="BNJ42" s="129"/>
      <c r="BNK42" s="129"/>
      <c r="BNL42" s="129"/>
      <c r="BNM42" s="129"/>
      <c r="BNN42" s="129"/>
      <c r="BNO42" s="129"/>
      <c r="BNP42" s="129"/>
      <c r="BNQ42" s="129"/>
      <c r="BNR42" s="128"/>
      <c r="BNS42" s="128"/>
      <c r="BNT42" s="128"/>
      <c r="BNU42" s="128"/>
      <c r="BNV42" s="128"/>
      <c r="BNW42" s="128"/>
      <c r="BNX42" s="129"/>
      <c r="BNY42" s="129"/>
      <c r="BNZ42" s="129"/>
      <c r="BOA42" s="129"/>
      <c r="BOB42" s="129"/>
      <c r="BOC42" s="129"/>
      <c r="BOD42" s="129"/>
      <c r="BOE42" s="129"/>
      <c r="BOF42" s="129"/>
      <c r="BOG42" s="129"/>
      <c r="BOH42" s="129"/>
      <c r="BOI42" s="129"/>
      <c r="BOJ42" s="129"/>
      <c r="BOK42" s="129"/>
      <c r="BOL42" s="129"/>
      <c r="BOM42" s="129"/>
      <c r="BON42" s="129"/>
      <c r="BOO42" s="129"/>
      <c r="BOP42" s="129"/>
      <c r="BOQ42" s="129"/>
      <c r="BOR42" s="129"/>
      <c r="BOS42" s="129"/>
      <c r="BOT42" s="129"/>
      <c r="BOU42" s="129"/>
      <c r="BOV42" s="129"/>
      <c r="BOW42" s="129"/>
      <c r="BOX42" s="129"/>
      <c r="BOY42" s="129"/>
      <c r="BOZ42" s="128"/>
      <c r="BPA42" s="128"/>
      <c r="BPB42" s="128"/>
      <c r="BPC42" s="128"/>
      <c r="BPD42" s="128"/>
      <c r="BPE42" s="128"/>
      <c r="BPF42" s="128"/>
      <c r="COP42" s="144" t="s">
        <v>147</v>
      </c>
      <c r="COQ42" s="144"/>
      <c r="COR42" s="144"/>
      <c r="COS42" s="144"/>
      <c r="COT42" s="144"/>
      <c r="COU42" s="144"/>
      <c r="COV42" s="144"/>
      <c r="COW42" s="144"/>
      <c r="COX42" s="144"/>
      <c r="COY42" s="144"/>
      <c r="COZ42" s="144"/>
      <c r="CPA42" s="144"/>
      <c r="CPB42" s="144"/>
      <c r="CPC42" s="144"/>
      <c r="CPD42" s="144"/>
      <c r="CPE42" s="144"/>
      <c r="CPF42" s="144"/>
      <c r="CPG42" s="144"/>
      <c r="CPH42" s="144"/>
      <c r="CPI42" s="144"/>
      <c r="CPJ42" s="144"/>
      <c r="CPK42" s="144"/>
      <c r="CPL42" s="144"/>
      <c r="CPM42" s="144"/>
      <c r="CPN42" s="144"/>
      <c r="CPO42" s="144"/>
      <c r="CPP42" s="144"/>
      <c r="CPQ42" s="144"/>
      <c r="CPR42" s="144"/>
      <c r="CPS42" s="144"/>
      <c r="CPT42" s="144"/>
      <c r="CPU42" s="129" t="s">
        <v>133</v>
      </c>
      <c r="CPV42" s="129"/>
      <c r="CPW42" s="129"/>
      <c r="CPX42" s="129"/>
      <c r="CPY42" s="129" t="s">
        <v>148</v>
      </c>
      <c r="CPZ42" s="129"/>
      <c r="CQA42" s="129"/>
      <c r="CQB42" s="129"/>
      <c r="CQC42" s="129"/>
      <c r="CQD42" s="129" t="s">
        <v>83</v>
      </c>
      <c r="CQE42" s="129"/>
      <c r="CQF42" s="129"/>
      <c r="CQG42" s="129"/>
      <c r="CQH42" s="129"/>
      <c r="CQI42" s="129"/>
      <c r="CQJ42" s="129" t="s">
        <v>37</v>
      </c>
      <c r="CQK42" s="129"/>
      <c r="CQL42" s="129"/>
      <c r="CQM42" s="129"/>
      <c r="CQN42" s="129"/>
      <c r="CQO42" s="129"/>
      <c r="CQP42" s="129" t="s">
        <v>49</v>
      </c>
      <c r="CQQ42" s="129"/>
      <c r="CQR42" s="129"/>
      <c r="CQS42" s="129"/>
      <c r="CQT42" s="129"/>
      <c r="CQU42" s="129"/>
      <c r="CQV42" s="129" t="s">
        <v>149</v>
      </c>
      <c r="CQW42" s="129"/>
      <c r="CQX42" s="129"/>
      <c r="CQY42" s="129"/>
      <c r="CQZ42" s="129"/>
      <c r="CRA42" s="129"/>
      <c r="CRB42" s="129"/>
      <c r="CRC42" s="129" t="s">
        <v>150</v>
      </c>
      <c r="CRD42" s="129"/>
      <c r="CRE42" s="129"/>
      <c r="CRF42" s="129"/>
      <c r="CRG42" s="129"/>
      <c r="CRH42" s="129"/>
      <c r="CRI42" s="129"/>
      <c r="CRJ42" s="129" t="s">
        <v>151</v>
      </c>
      <c r="CRK42" s="129"/>
      <c r="CRL42" s="129"/>
      <c r="CRM42" s="129"/>
      <c r="CRN42" s="129"/>
      <c r="CRO42" s="129"/>
      <c r="CRP42" s="129"/>
      <c r="CRQ42" s="129" t="s">
        <v>37</v>
      </c>
      <c r="CRR42" s="129"/>
      <c r="CRS42" s="129"/>
      <c r="CRT42" s="129"/>
      <c r="CRU42" s="129"/>
      <c r="CRV42" s="129"/>
      <c r="CRW42" s="129"/>
      <c r="CRX42" s="129" t="s">
        <v>40</v>
      </c>
      <c r="CRY42" s="129"/>
      <c r="CRZ42" s="129"/>
      <c r="CSA42" s="129"/>
      <c r="CSB42" s="129"/>
      <c r="CSC42" s="129"/>
      <c r="CSD42" s="129"/>
      <c r="CSF42" s="128" t="s">
        <v>467</v>
      </c>
      <c r="CSG42" s="128"/>
      <c r="CSH42" s="128"/>
      <c r="CSI42" s="128"/>
      <c r="CSJ42" s="128"/>
      <c r="CSK42" s="128"/>
      <c r="CSL42" s="128"/>
      <c r="CSM42" s="128"/>
      <c r="CSN42" s="128"/>
      <c r="CSO42" s="128"/>
      <c r="CSP42" s="128"/>
      <c r="CSQ42" s="128"/>
      <c r="CSR42" s="128"/>
      <c r="CSS42" s="128"/>
      <c r="CST42" s="128"/>
      <c r="CSU42" s="128"/>
      <c r="CSV42" s="128"/>
      <c r="CSW42" s="128"/>
      <c r="CSX42" s="128"/>
      <c r="CSY42" s="128"/>
      <c r="CSZ42" s="128"/>
      <c r="CTA42" s="128"/>
      <c r="CTB42" s="128"/>
      <c r="CTC42" s="128"/>
      <c r="CTD42" s="128"/>
      <c r="CTE42" s="128"/>
      <c r="CTF42" s="128"/>
      <c r="CTG42" s="128"/>
      <c r="CTH42" s="128"/>
      <c r="CTI42" s="128"/>
      <c r="CTJ42" s="128"/>
      <c r="CTK42" s="129"/>
      <c r="CTL42" s="129"/>
      <c r="CTM42" s="129"/>
      <c r="CTN42" s="129"/>
      <c r="CTO42" s="129"/>
      <c r="CTP42" s="129"/>
      <c r="CTQ42" s="129"/>
      <c r="CTR42" s="129"/>
      <c r="CTS42" s="129"/>
      <c r="CTT42" s="129"/>
      <c r="CTU42" s="129"/>
      <c r="CTV42" s="129"/>
      <c r="CTW42" s="129"/>
      <c r="CTX42" s="129"/>
      <c r="CTY42" s="129"/>
      <c r="CTZ42" s="129"/>
      <c r="CUA42" s="129"/>
      <c r="CUB42" s="129"/>
      <c r="CUC42" s="129"/>
      <c r="CUD42" s="129"/>
      <c r="CUE42" s="129"/>
      <c r="CUF42" s="128"/>
      <c r="CUG42" s="128"/>
      <c r="CUH42" s="128"/>
      <c r="CUI42" s="128"/>
      <c r="CUJ42" s="128"/>
      <c r="CUK42" s="128"/>
      <c r="CUL42" s="129"/>
      <c r="CUM42" s="129"/>
      <c r="CUN42" s="129"/>
      <c r="CUO42" s="129"/>
      <c r="CUP42" s="129"/>
      <c r="CUQ42" s="129"/>
      <c r="CUR42" s="129"/>
      <c r="CUS42" s="129"/>
      <c r="CUT42" s="129"/>
      <c r="CUU42" s="129"/>
      <c r="CUV42" s="129"/>
      <c r="CUW42" s="129"/>
      <c r="CUX42" s="129"/>
      <c r="CUY42" s="129"/>
      <c r="CUZ42" s="129"/>
      <c r="CVA42" s="129"/>
      <c r="CVB42" s="129"/>
      <c r="CVC42" s="129"/>
      <c r="CVD42" s="129"/>
      <c r="CVE42" s="129"/>
      <c r="CVF42" s="129"/>
      <c r="CVG42" s="129"/>
      <c r="CVH42" s="129"/>
      <c r="CVI42" s="129"/>
      <c r="CVJ42" s="129"/>
      <c r="CVK42" s="129"/>
      <c r="CVL42" s="129"/>
      <c r="CVM42" s="129"/>
      <c r="CVN42" s="128"/>
      <c r="CVO42" s="128"/>
      <c r="CVP42" s="128"/>
      <c r="CVQ42" s="128"/>
      <c r="CVR42" s="128"/>
      <c r="CVS42" s="128"/>
      <c r="CVT42" s="128"/>
      <c r="DDB42" s="144" t="s">
        <v>545</v>
      </c>
      <c r="DDC42" s="144"/>
      <c r="DDD42" s="144"/>
      <c r="DDE42" s="144"/>
      <c r="DDF42" s="144"/>
      <c r="DDG42" s="144"/>
      <c r="DDH42" s="144"/>
      <c r="DDI42" s="144"/>
      <c r="DDJ42" s="144"/>
      <c r="DDK42" s="144"/>
      <c r="DDL42" s="144"/>
      <c r="DDM42" s="144"/>
      <c r="DDN42" s="144"/>
      <c r="DDO42" s="144"/>
      <c r="DDP42" s="144"/>
      <c r="DDQ42" s="144"/>
      <c r="DDR42" s="144"/>
      <c r="DDS42" s="144"/>
      <c r="DDT42" s="144"/>
      <c r="DDU42" s="144"/>
      <c r="DDV42" s="144"/>
      <c r="DDW42" s="144"/>
      <c r="DDX42" s="144"/>
      <c r="DDY42" s="144"/>
      <c r="DDZ42" s="144"/>
      <c r="DEA42" s="144"/>
      <c r="DEB42" s="144"/>
      <c r="DEC42" s="144"/>
      <c r="DED42" s="144"/>
      <c r="DEE42" s="144"/>
      <c r="DEF42" s="144"/>
      <c r="DEG42" s="144"/>
      <c r="DEH42" s="144"/>
      <c r="DEI42" s="144"/>
      <c r="DEJ42" s="144"/>
      <c r="DEK42" s="144"/>
      <c r="DEL42" s="144"/>
      <c r="DEM42" s="144"/>
      <c r="DEN42" s="144"/>
      <c r="DEO42" s="144"/>
      <c r="DEP42" s="144"/>
      <c r="DEQ42" s="144"/>
      <c r="DER42" s="144"/>
      <c r="DES42" s="144"/>
      <c r="DET42" s="144"/>
      <c r="DEU42" s="144"/>
      <c r="DEV42" s="144"/>
      <c r="DEW42" s="144"/>
      <c r="DEX42" s="144"/>
      <c r="DEY42" s="144"/>
      <c r="DEZ42" s="144"/>
      <c r="DFA42" s="144"/>
      <c r="DFB42" s="144"/>
      <c r="DFC42" s="144"/>
      <c r="DFD42" s="144"/>
      <c r="DFE42" s="144"/>
      <c r="DFF42" s="144"/>
      <c r="DFG42" s="144"/>
      <c r="DFH42" s="144"/>
      <c r="DFI42" s="144"/>
      <c r="DFJ42" s="144"/>
      <c r="DFK42" s="144"/>
      <c r="DFL42" s="144"/>
      <c r="DFM42" s="144"/>
      <c r="DFN42" s="144"/>
      <c r="DFO42" s="144"/>
      <c r="DFP42" s="144"/>
      <c r="DFQ42" s="144"/>
      <c r="DFR42" s="144"/>
      <c r="DFS42" s="144"/>
      <c r="DFT42" s="144"/>
      <c r="DFU42" s="144"/>
      <c r="DFV42" s="144"/>
      <c r="DFW42" s="144"/>
      <c r="DFX42" s="144"/>
      <c r="DFY42" s="144"/>
      <c r="DFZ42" s="144"/>
      <c r="DGA42" s="144"/>
      <c r="DGB42" s="144"/>
      <c r="DGC42" s="144"/>
      <c r="DGD42" s="144"/>
      <c r="DGE42" s="144"/>
      <c r="DGF42" s="144"/>
      <c r="DGG42" s="144"/>
      <c r="DGH42" s="144"/>
      <c r="DGI42" s="144"/>
      <c r="DGJ42" s="144"/>
      <c r="DGK42" s="144"/>
      <c r="DGL42" s="144"/>
      <c r="DGM42" s="144"/>
      <c r="DGN42" s="144"/>
      <c r="DGO42" s="144"/>
      <c r="DGP42" s="144"/>
    </row>
    <row r="43" spans="2:1022 1118:1774 2434:2996" ht="15" customHeight="1" x14ac:dyDescent="0.25">
      <c r="B43" s="133">
        <v>18</v>
      </c>
      <c r="C43" s="134"/>
      <c r="D43" s="134"/>
      <c r="E43" s="134" t="str">
        <f>IFERROR(VLOOKUP(B43,Calculations!$DH$3:$DJ$127,3,FALSE),"")</f>
        <v/>
      </c>
      <c r="F43" s="134"/>
      <c r="G43" s="134"/>
      <c r="H43" s="134"/>
      <c r="I43" s="134"/>
      <c r="J43" s="134"/>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96" t="str">
        <f>IFERROR(VLOOKUP(B43,Calculations!$DH$3:$DX$200,17,FALSE),"")</f>
        <v/>
      </c>
      <c r="AH43" s="130"/>
      <c r="AI43" s="130"/>
      <c r="AJ43" s="130"/>
      <c r="AK43" s="130"/>
      <c r="AL43" s="130"/>
      <c r="AM43" s="130"/>
      <c r="AN43" s="130"/>
      <c r="AO43" s="130"/>
      <c r="AP43" s="130"/>
      <c r="AQ43" s="130"/>
      <c r="AR43" s="130"/>
      <c r="AS43" s="130"/>
      <c r="AT43" s="130"/>
      <c r="AU43" s="130"/>
      <c r="AV43" s="130"/>
      <c r="AW43" s="130"/>
      <c r="AX43" s="130"/>
      <c r="AY43" s="130"/>
      <c r="AZ43" s="130"/>
      <c r="BA43" s="197"/>
      <c r="BB43" s="210" t="str">
        <f>IFERROR(IFERROR((VLOOKUP(E43,Calculations!$DR$3:$EJ$200,19,FALSE)),0)+VLOOKUP(B43,Calculations!$DH$3:$DN$200,7,FALSE)+CG43+CO43+IFERROR(VLOOKUP((LEFT(E43,FIND("(",E43)-2)),Calculations!$DJ$3:$EJ$200,26,FALSE),0),"")</f>
        <v/>
      </c>
      <c r="BC43" s="210"/>
      <c r="BD43" s="210"/>
      <c r="BE43" s="210"/>
      <c r="BF43" s="210"/>
      <c r="BG43" s="210"/>
      <c r="BH43" s="210"/>
      <c r="BI43" s="130" t="str">
        <f>IFERROR("x "&amp;VLOOKUP(B43,Calculations!$DH$3:$DY$200,18,FALSE),"")</f>
        <v/>
      </c>
      <c r="BJ43" s="130"/>
      <c r="BK43" s="130"/>
      <c r="BL43" s="130"/>
      <c r="BM43" s="130"/>
      <c r="BN43" s="130"/>
      <c r="BO43" s="130"/>
      <c r="BP43" s="130"/>
      <c r="BQ43" s="130" t="str">
        <f>IFERROR(VLOOKUP(B43,Calculations!$DH$3:$EE$200,22,FALSE),"")</f>
        <v/>
      </c>
      <c r="BR43" s="130"/>
      <c r="BS43" s="130"/>
      <c r="BT43" s="130"/>
      <c r="BU43" s="130"/>
      <c r="BV43" s="130"/>
      <c r="BW43" s="130"/>
      <c r="BX43" s="130"/>
      <c r="BY43" s="130" t="str">
        <f>IFERROR(VLOOKUP(B43,Calculations!$DH$3:$EA$200,19,FALSE)-ROUNDDOWN((CO43/5),0),"")</f>
        <v/>
      </c>
      <c r="BZ43" s="130"/>
      <c r="CA43" s="130"/>
      <c r="CB43" s="130"/>
      <c r="CC43" s="130"/>
      <c r="CD43" s="130"/>
      <c r="CE43" s="130"/>
      <c r="CF43" s="130"/>
      <c r="CG43" s="195">
        <v>0</v>
      </c>
      <c r="CH43" s="195"/>
      <c r="CI43" s="195"/>
      <c r="CJ43" s="195"/>
      <c r="CK43" s="195"/>
      <c r="CL43" s="195"/>
      <c r="CM43" s="195"/>
      <c r="CN43" s="195"/>
      <c r="CO43" s="195">
        <v>0</v>
      </c>
      <c r="CP43" s="195"/>
      <c r="CQ43" s="195"/>
      <c r="CR43" s="195"/>
      <c r="CS43" s="195"/>
      <c r="CT43" s="195"/>
      <c r="CU43" s="195"/>
      <c r="CV43" s="195"/>
      <c r="CW43" s="130" t="str">
        <f>IF(E43="","",IFERROR(VLOOKUP(B43,Calculations!$DH$3:$ED$200,23,FALSE)+CO43+CG43,"- -"))</f>
        <v/>
      </c>
      <c r="CX43" s="130"/>
      <c r="CY43" s="130"/>
      <c r="CZ43" s="130"/>
      <c r="DA43" s="130"/>
      <c r="DB43" s="130"/>
      <c r="DC43" s="130"/>
      <c r="DD43" s="130"/>
      <c r="DE43" s="198" t="str">
        <f>IF(E43="","",IFERROR(VLOOKUP(B43,Calculations!$DH$3:$EE$200,24,FALSE),"- -"))</f>
        <v/>
      </c>
      <c r="DF43" s="130"/>
      <c r="DG43" s="130"/>
      <c r="DH43" s="130"/>
      <c r="DI43" s="130"/>
      <c r="DJ43" s="130"/>
      <c r="DK43" s="130"/>
      <c r="DL43" s="130"/>
      <c r="DM43" s="198" t="str">
        <f>IF(E43="","",IFERROR(VLOOKUP(B43,Calculations!$DH$3:$EJ$200,25,FALSE),"- -"))</f>
        <v/>
      </c>
      <c r="DN43" s="130"/>
      <c r="DO43" s="130"/>
      <c r="DP43" s="130"/>
      <c r="DQ43" s="130"/>
      <c r="DR43" s="130"/>
      <c r="DS43" s="130"/>
      <c r="DT43" s="130"/>
      <c r="DU43" s="130" t="str">
        <f t="shared" si="14"/>
        <v/>
      </c>
      <c r="DV43" s="130"/>
      <c r="DW43" s="130"/>
      <c r="DX43" s="130"/>
      <c r="DY43" s="130"/>
      <c r="DZ43" s="130"/>
      <c r="EA43" s="130"/>
      <c r="EB43" s="130"/>
      <c r="EC43" s="130" t="str">
        <f t="shared" si="15"/>
        <v/>
      </c>
      <c r="ED43" s="130"/>
      <c r="EE43" s="130"/>
      <c r="EF43" s="130"/>
      <c r="EG43" s="130"/>
      <c r="EH43" s="130"/>
      <c r="EI43" s="130"/>
      <c r="EJ43" s="130"/>
      <c r="EK43" s="130" t="str">
        <f t="shared" si="16"/>
        <v/>
      </c>
      <c r="EL43" s="130"/>
      <c r="EM43" s="130"/>
      <c r="EN43" s="130"/>
      <c r="EO43" s="130"/>
      <c r="EP43" s="130"/>
      <c r="EQ43" s="130"/>
      <c r="ER43" s="130"/>
      <c r="ES43" s="130" t="str">
        <f t="shared" si="17"/>
        <v/>
      </c>
      <c r="ET43" s="130"/>
      <c r="EU43" s="130"/>
      <c r="EV43" s="130"/>
      <c r="EW43" s="130"/>
      <c r="EX43" s="130"/>
      <c r="EY43" s="130"/>
      <c r="EZ43" s="238"/>
      <c r="FB43" s="139" t="s">
        <v>3895</v>
      </c>
      <c r="FC43" s="140"/>
      <c r="FD43" s="140"/>
      <c r="FE43" s="140"/>
      <c r="FF43" s="140"/>
      <c r="FG43" s="140"/>
      <c r="FH43" s="140"/>
      <c r="FI43" s="140"/>
      <c r="FJ43" s="140"/>
      <c r="FK43" s="140"/>
      <c r="FL43" s="140"/>
      <c r="FM43" s="140"/>
      <c r="FN43" s="140"/>
      <c r="FO43" s="140"/>
      <c r="FP43" s="140"/>
      <c r="FQ43" s="140"/>
      <c r="FR43" s="140"/>
      <c r="FS43" s="140"/>
      <c r="FT43" s="140"/>
      <c r="FU43" s="140"/>
      <c r="FV43" s="140"/>
      <c r="FW43" s="140"/>
      <c r="FX43" s="140"/>
      <c r="FY43" s="140"/>
      <c r="FZ43" s="140"/>
      <c r="GA43" s="140"/>
      <c r="GB43" s="140"/>
      <c r="GC43" s="140"/>
      <c r="GD43" s="140"/>
      <c r="GE43" s="140"/>
      <c r="GF43" s="140"/>
      <c r="GG43" s="140"/>
      <c r="GH43" s="140"/>
      <c r="GI43" s="140"/>
      <c r="GJ43" s="140"/>
      <c r="GK43" s="140"/>
      <c r="GL43" s="140"/>
      <c r="GM43" s="140"/>
      <c r="GN43" s="140"/>
      <c r="GO43" s="140"/>
      <c r="GP43" s="140"/>
      <c r="GQ43" s="140"/>
      <c r="GR43" s="140"/>
      <c r="GS43" s="140"/>
      <c r="GT43" s="141">
        <v>1</v>
      </c>
      <c r="GU43" s="141"/>
      <c r="GV43" s="141"/>
      <c r="GW43" s="141"/>
      <c r="GX43" s="141"/>
      <c r="GY43" s="141"/>
      <c r="GZ43" s="141"/>
      <c r="HA43" s="141"/>
      <c r="HB43" s="142">
        <f>IFERROR(ROUND(Calculations!BV44*GT43,2),"")</f>
        <v>1.85</v>
      </c>
      <c r="HC43" s="142"/>
      <c r="HD43" s="142"/>
      <c r="HE43" s="142"/>
      <c r="HF43" s="142"/>
      <c r="HG43" s="142"/>
      <c r="HH43" s="142"/>
      <c r="HI43" s="142"/>
      <c r="HJ43" s="142">
        <f>IFERROR(Calculations!BS44+IQ43+IX43,"")</f>
        <v>0</v>
      </c>
      <c r="HK43" s="142"/>
      <c r="HL43" s="142"/>
      <c r="HM43" s="142"/>
      <c r="HN43" s="142"/>
      <c r="HO43" s="142"/>
      <c r="HP43" s="142"/>
      <c r="HQ43" s="142"/>
      <c r="HR43" s="142">
        <f t="shared" si="9"/>
        <v>0</v>
      </c>
      <c r="HS43" s="142"/>
      <c r="HT43" s="142"/>
      <c r="HU43" s="142"/>
      <c r="HV43" s="142"/>
      <c r="HW43" s="142"/>
      <c r="HX43" s="142"/>
      <c r="HY43" s="142"/>
      <c r="HZ43" s="142" t="str">
        <f>IFERROR(Calculations!BX44,"")</f>
        <v>$2</v>
      </c>
      <c r="IA43" s="142"/>
      <c r="IB43" s="142"/>
      <c r="IC43" s="142"/>
      <c r="ID43" s="142"/>
      <c r="IE43" s="142"/>
      <c r="IF43" s="142"/>
      <c r="IG43" s="142"/>
      <c r="IH43" s="142"/>
      <c r="II43" s="142"/>
      <c r="IJ43" s="142">
        <f>IFERROR(Calculations!BR44+IX43,"")</f>
        <v>0</v>
      </c>
      <c r="IK43" s="142"/>
      <c r="IL43" s="142"/>
      <c r="IM43" s="142"/>
      <c r="IN43" s="142"/>
      <c r="IO43" s="142"/>
      <c r="IP43" s="142"/>
      <c r="IQ43" s="141">
        <v>0</v>
      </c>
      <c r="IR43" s="141"/>
      <c r="IS43" s="141"/>
      <c r="IT43" s="141"/>
      <c r="IU43" s="141"/>
      <c r="IV43" s="141"/>
      <c r="IW43" s="141"/>
      <c r="IX43" s="141">
        <v>0</v>
      </c>
      <c r="IY43" s="141"/>
      <c r="IZ43" s="141"/>
      <c r="JA43" s="141"/>
      <c r="JB43" s="141"/>
      <c r="JC43" s="141"/>
      <c r="JD43" s="141"/>
      <c r="JE43" s="141"/>
      <c r="JF43" s="142"/>
      <c r="JG43" s="142"/>
      <c r="JH43" s="142"/>
      <c r="JI43" s="142"/>
      <c r="JJ43" s="142"/>
      <c r="JK43" s="143" t="str">
        <f>Calculations!AS44</f>
        <v>Heavy Cloth</v>
      </c>
      <c r="JL43" s="143"/>
      <c r="JM43" s="143"/>
      <c r="JN43" s="143"/>
      <c r="JO43" s="143"/>
      <c r="JP43" s="143"/>
      <c r="JQ43" s="143"/>
      <c r="JR43" s="143"/>
      <c r="JS43" s="143"/>
      <c r="JT43" s="143"/>
      <c r="JU43" s="143"/>
      <c r="JV43" s="143"/>
      <c r="JW43" s="143"/>
      <c r="JX43" s="143"/>
      <c r="JY43" s="143"/>
      <c r="JZ43" s="143"/>
      <c r="KA43" s="143"/>
      <c r="KB43" s="143"/>
      <c r="KC43" s="143" t="str">
        <f>Calculations!AW44</f>
        <v>Light Cloth</v>
      </c>
      <c r="KD43" s="143"/>
      <c r="KE43" s="143"/>
      <c r="KF43" s="143"/>
      <c r="KG43" s="143"/>
      <c r="KH43" s="143"/>
      <c r="KI43" s="143"/>
      <c r="KJ43" s="143"/>
      <c r="KK43" s="143"/>
      <c r="KL43" s="143"/>
      <c r="KM43" s="143"/>
      <c r="KN43" s="143"/>
      <c r="KO43" s="143"/>
      <c r="KP43" s="143"/>
      <c r="KQ43" s="143"/>
      <c r="KR43" s="143"/>
      <c r="KS43" s="143"/>
      <c r="KT43" s="143"/>
      <c r="KU43" s="144"/>
      <c r="KV43" s="144"/>
      <c r="KW43" s="144"/>
      <c r="KX43" s="144"/>
      <c r="KY43" s="144"/>
      <c r="KZ43" s="144"/>
      <c r="LA43" s="144"/>
      <c r="LB43" s="144"/>
      <c r="LC43" s="144"/>
      <c r="LD43" s="144"/>
      <c r="LE43" s="144"/>
      <c r="LF43" s="144"/>
      <c r="LG43" s="144"/>
      <c r="LH43" s="144"/>
      <c r="LI43" s="144"/>
      <c r="LJ43" s="144"/>
      <c r="LK43" s="144"/>
      <c r="LL43" s="144"/>
      <c r="LM43" s="144"/>
      <c r="LN43" s="144"/>
      <c r="LO43" s="144"/>
      <c r="LP43" s="144"/>
      <c r="LQ43" s="144"/>
      <c r="LR43" s="144"/>
      <c r="LS43" s="144"/>
      <c r="LT43" s="144"/>
      <c r="LU43" s="144"/>
      <c r="LV43" s="144"/>
      <c r="LW43" s="144"/>
      <c r="LX43" s="144"/>
      <c r="LY43" s="144"/>
      <c r="LZ43" s="144"/>
      <c r="MA43" s="144"/>
      <c r="MB43" s="144"/>
      <c r="MC43" s="144"/>
      <c r="MD43" s="144"/>
      <c r="ME43" s="144"/>
      <c r="MF43" s="144"/>
      <c r="MG43" s="144"/>
      <c r="MH43" s="144"/>
      <c r="MI43" s="144"/>
      <c r="MJ43" s="144"/>
      <c r="MK43" s="144"/>
      <c r="ML43" s="144"/>
      <c r="MM43" s="144"/>
      <c r="MN43" s="144"/>
      <c r="MO43" s="144"/>
      <c r="MP43" s="144"/>
      <c r="MQ43" s="144"/>
      <c r="MR43" s="144"/>
      <c r="MS43" s="144"/>
      <c r="MT43" s="144"/>
      <c r="MU43" s="144"/>
      <c r="MV43" s="144"/>
      <c r="MW43" s="144"/>
      <c r="MX43" s="144"/>
      <c r="MY43" s="144"/>
      <c r="MZ43" s="145"/>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9"/>
      <c r="AJZ43" s="129"/>
      <c r="AKA43" s="129"/>
      <c r="AKB43" s="129"/>
      <c r="AKC43" s="129"/>
      <c r="AKD43" s="129"/>
      <c r="AKE43" s="129"/>
      <c r="AKF43" s="129"/>
      <c r="AKG43" s="129"/>
      <c r="AKH43" s="129"/>
      <c r="AKI43" s="129"/>
      <c r="AKJ43" s="129"/>
      <c r="AKK43" s="129"/>
      <c r="AKL43" s="129"/>
      <c r="AKM43" s="129"/>
      <c r="AKN43" s="129"/>
      <c r="AKO43" s="129"/>
      <c r="AKP43" s="129"/>
      <c r="AKQ43" s="129"/>
      <c r="AKR43" s="129"/>
      <c r="AKS43" s="129"/>
      <c r="AKT43" s="128"/>
      <c r="AKU43" s="128"/>
      <c r="AKV43" s="128"/>
      <c r="AKW43" s="128"/>
      <c r="AKX43" s="128"/>
      <c r="AKY43" s="128"/>
      <c r="AKZ43" s="129"/>
      <c r="ALA43" s="129"/>
      <c r="ALB43" s="129"/>
      <c r="ALC43" s="129"/>
      <c r="ALD43" s="129"/>
      <c r="ALE43" s="129"/>
      <c r="ALF43" s="129"/>
      <c r="ALG43" s="129"/>
      <c r="ALH43" s="129"/>
      <c r="ALI43" s="129"/>
      <c r="ALJ43" s="129"/>
      <c r="ALK43" s="129"/>
      <c r="ALL43" s="129"/>
      <c r="ALM43" s="129"/>
      <c r="ALN43" s="129"/>
      <c r="ALO43" s="129"/>
      <c r="ALP43" s="129"/>
      <c r="ALQ43" s="129"/>
      <c r="ALR43" s="129"/>
      <c r="ALS43" s="129"/>
      <c r="ALT43" s="129"/>
      <c r="ALU43" s="129"/>
      <c r="ALV43" s="129"/>
      <c r="ALW43" s="129"/>
      <c r="ALX43" s="129"/>
      <c r="ALY43" s="129"/>
      <c r="ALZ43" s="129"/>
      <c r="AMA43" s="129"/>
      <c r="AMB43" s="128"/>
      <c r="AMC43" s="128"/>
      <c r="AMD43" s="128"/>
      <c r="AME43" s="128"/>
      <c r="AMF43" s="128"/>
      <c r="AMG43" s="128"/>
      <c r="AMH43" s="128"/>
      <c r="APZ43" s="128" t="s">
        <v>594</v>
      </c>
      <c r="AQA43" s="128"/>
      <c r="AQB43" s="128"/>
      <c r="AQC43" s="128"/>
      <c r="AQD43" s="128"/>
      <c r="AQE43" s="128"/>
      <c r="AQF43" s="128"/>
      <c r="AQG43" s="128"/>
      <c r="AQH43" s="128"/>
      <c r="AQI43" s="128"/>
      <c r="AQJ43" s="128"/>
      <c r="AQK43" s="128"/>
      <c r="AQL43" s="128"/>
      <c r="AQM43" s="128"/>
      <c r="AQN43" s="128"/>
      <c r="AQO43" s="128"/>
      <c r="AQP43" s="128"/>
      <c r="AQQ43" s="128"/>
      <c r="AQR43" s="128"/>
      <c r="AQS43" s="128"/>
      <c r="AQT43" s="128"/>
      <c r="AQU43" s="128"/>
      <c r="AQV43" s="128"/>
      <c r="AQW43" s="128"/>
      <c r="AQX43" s="128"/>
      <c r="AQY43" s="128"/>
      <c r="AQZ43" s="128"/>
      <c r="ARA43" s="128"/>
      <c r="ARB43" s="128"/>
      <c r="ARC43" s="128"/>
      <c r="ARD43" s="128"/>
      <c r="ARE43" s="129"/>
      <c r="ARF43" s="129"/>
      <c r="ARG43" s="129"/>
      <c r="ARH43" s="129"/>
      <c r="ARI43" s="129"/>
      <c r="ARJ43" s="129"/>
      <c r="ARK43" s="129"/>
      <c r="ARL43" s="129"/>
      <c r="ARM43" s="129"/>
      <c r="ARN43" s="129"/>
      <c r="ARO43" s="129"/>
      <c r="ARP43" s="129"/>
      <c r="ARQ43" s="129"/>
      <c r="ARR43" s="129"/>
      <c r="ARS43" s="129"/>
      <c r="ART43" s="129"/>
      <c r="ARU43" s="129"/>
      <c r="ARV43" s="129"/>
      <c r="ARW43" s="129"/>
      <c r="ARX43" s="129"/>
      <c r="ARY43" s="129"/>
      <c r="ARZ43" s="128"/>
      <c r="ASA43" s="128"/>
      <c r="ASB43" s="128"/>
      <c r="ASC43" s="128"/>
      <c r="ASD43" s="128"/>
      <c r="ASE43" s="128"/>
      <c r="ASF43" s="129"/>
      <c r="ASG43" s="129"/>
      <c r="ASH43" s="129"/>
      <c r="ASI43" s="129"/>
      <c r="ASJ43" s="129"/>
      <c r="ASK43" s="129"/>
      <c r="ASL43" s="129"/>
      <c r="ASM43" s="129"/>
      <c r="ASN43" s="129"/>
      <c r="ASO43" s="129"/>
      <c r="ASP43" s="129"/>
      <c r="ASQ43" s="129"/>
      <c r="ASR43" s="129"/>
      <c r="ASS43" s="129"/>
      <c r="AST43" s="129"/>
      <c r="ASU43" s="129"/>
      <c r="ASV43" s="129"/>
      <c r="ASW43" s="129"/>
      <c r="ASX43" s="129"/>
      <c r="ASY43" s="129"/>
      <c r="ASZ43" s="129"/>
      <c r="ATA43" s="129"/>
      <c r="ATB43" s="129"/>
      <c r="ATC43" s="129"/>
      <c r="ATD43" s="129"/>
      <c r="ATE43" s="129"/>
      <c r="ATF43" s="129"/>
      <c r="ATG43" s="129"/>
      <c r="ATH43" s="128"/>
      <c r="ATI43" s="128"/>
      <c r="ATJ43" s="128"/>
      <c r="ATK43" s="128"/>
      <c r="ATL43" s="128"/>
      <c r="ATM43" s="128"/>
      <c r="ATN43" s="128"/>
      <c r="BLR43" s="128"/>
      <c r="BLS43" s="128"/>
      <c r="BLT43" s="128"/>
      <c r="BLU43" s="128"/>
      <c r="BLV43" s="128"/>
      <c r="BLW43" s="128"/>
      <c r="BLX43" s="128"/>
      <c r="BLY43" s="128"/>
      <c r="BLZ43" s="128"/>
      <c r="BMA43" s="128"/>
      <c r="BMB43" s="128"/>
      <c r="BMC43" s="128"/>
      <c r="BMD43" s="128"/>
      <c r="BME43" s="128"/>
      <c r="BMF43" s="128"/>
      <c r="BMG43" s="128"/>
      <c r="BMH43" s="128"/>
      <c r="BMI43" s="128"/>
      <c r="BMJ43" s="128"/>
      <c r="BMK43" s="128"/>
      <c r="BML43" s="128"/>
      <c r="BMM43" s="128"/>
      <c r="BMN43" s="128"/>
      <c r="BMO43" s="128"/>
      <c r="BMP43" s="128"/>
      <c r="BMQ43" s="128"/>
      <c r="BMR43" s="128"/>
      <c r="BMS43" s="128"/>
      <c r="BMT43" s="128"/>
      <c r="BMU43" s="128"/>
      <c r="BMV43" s="128"/>
      <c r="BMW43" s="129"/>
      <c r="BMX43" s="129"/>
      <c r="BMY43" s="129"/>
      <c r="BMZ43" s="129"/>
      <c r="BNA43" s="129"/>
      <c r="BNB43" s="129"/>
      <c r="BNC43" s="129"/>
      <c r="BND43" s="129"/>
      <c r="BNE43" s="129"/>
      <c r="BNF43" s="129"/>
      <c r="BNG43" s="129"/>
      <c r="BNH43" s="129"/>
      <c r="BNI43" s="129"/>
      <c r="BNJ43" s="129"/>
      <c r="BNK43" s="129"/>
      <c r="BNL43" s="129"/>
      <c r="BNM43" s="129"/>
      <c r="BNN43" s="129"/>
      <c r="BNO43" s="129"/>
      <c r="BNP43" s="129"/>
      <c r="BNQ43" s="129"/>
      <c r="BNR43" s="128"/>
      <c r="BNS43" s="128"/>
      <c r="BNT43" s="128"/>
      <c r="BNU43" s="128"/>
      <c r="BNV43" s="128"/>
      <c r="BNW43" s="128"/>
      <c r="BNX43" s="129"/>
      <c r="BNY43" s="129"/>
      <c r="BNZ43" s="129"/>
      <c r="BOA43" s="129"/>
      <c r="BOB43" s="129"/>
      <c r="BOC43" s="129"/>
      <c r="BOD43" s="129"/>
      <c r="BOE43" s="129"/>
      <c r="BOF43" s="129"/>
      <c r="BOG43" s="129"/>
      <c r="BOH43" s="129"/>
      <c r="BOI43" s="129"/>
      <c r="BOJ43" s="129"/>
      <c r="BOK43" s="129"/>
      <c r="BOL43" s="129"/>
      <c r="BOM43" s="129"/>
      <c r="BON43" s="129"/>
      <c r="BOO43" s="129"/>
      <c r="BOP43" s="129"/>
      <c r="BOQ43" s="129"/>
      <c r="BOR43" s="129"/>
      <c r="BOS43" s="129"/>
      <c r="BOT43" s="129"/>
      <c r="BOU43" s="129"/>
      <c r="BOV43" s="129"/>
      <c r="BOW43" s="129"/>
      <c r="BOX43" s="129"/>
      <c r="BOY43" s="129"/>
      <c r="BOZ43" s="128"/>
      <c r="BPA43" s="128"/>
      <c r="BPB43" s="128"/>
      <c r="BPC43" s="128"/>
      <c r="BPD43" s="128"/>
      <c r="BPE43" s="128"/>
      <c r="BPF43" s="128"/>
      <c r="COP43" s="128" t="str">
        <f ca="1">VLOOKUP(1,INDIRECT("Evil"&amp;'Character Creation'!$Z$14),2,FALSE)</f>
        <v>Darkness</v>
      </c>
      <c r="COQ43" s="128"/>
      <c r="COR43" s="128"/>
      <c r="COS43" s="128"/>
      <c r="COT43" s="128"/>
      <c r="COU43" s="128"/>
      <c r="COV43" s="128"/>
      <c r="COW43" s="128"/>
      <c r="COX43" s="128"/>
      <c r="COY43" s="128"/>
      <c r="COZ43" s="128"/>
      <c r="CPA43" s="128"/>
      <c r="CPB43" s="128"/>
      <c r="CPC43" s="128"/>
      <c r="CPD43" s="128"/>
      <c r="CPE43" s="128"/>
      <c r="CPF43" s="128"/>
      <c r="CPG43" s="128"/>
      <c r="CPH43" s="128"/>
      <c r="CPI43" s="128"/>
      <c r="CPJ43" s="128"/>
      <c r="CPK43" s="128"/>
      <c r="CPL43" s="128"/>
      <c r="CPM43" s="128"/>
      <c r="CPN43" s="128"/>
      <c r="CPO43" s="128"/>
      <c r="CPP43" s="128"/>
      <c r="CPQ43" s="128"/>
      <c r="CPR43" s="128"/>
      <c r="CPS43" s="128"/>
      <c r="CPT43" s="128"/>
      <c r="CPU43" s="129"/>
      <c r="CPV43" s="129"/>
      <c r="CPW43" s="129"/>
      <c r="CPX43" s="129"/>
      <c r="CPY43" s="129"/>
      <c r="CPZ43" s="129"/>
      <c r="CQA43" s="129"/>
      <c r="CQB43" s="129"/>
      <c r="CQC43" s="129"/>
      <c r="CQD43" s="129"/>
      <c r="CQE43" s="129"/>
      <c r="CQF43" s="129"/>
      <c r="CQG43" s="129"/>
      <c r="CQH43" s="129"/>
      <c r="CQI43" s="129"/>
      <c r="CQJ43" s="129"/>
      <c r="CQK43" s="129"/>
      <c r="CQL43" s="129"/>
      <c r="CQM43" s="129"/>
      <c r="CQN43" s="129"/>
      <c r="CQO43" s="129"/>
      <c r="CQP43" s="128"/>
      <c r="CQQ43" s="128"/>
      <c r="CQR43" s="128"/>
      <c r="CQS43" s="128"/>
      <c r="CQT43" s="128"/>
      <c r="CQU43" s="128"/>
      <c r="CQV43" s="129"/>
      <c r="CQW43" s="129"/>
      <c r="CQX43" s="129"/>
      <c r="CQY43" s="129"/>
      <c r="CQZ43" s="129"/>
      <c r="CRA43" s="129"/>
      <c r="CRB43" s="129"/>
      <c r="CRC43" s="129"/>
      <c r="CRD43" s="129"/>
      <c r="CRE43" s="129"/>
      <c r="CRF43" s="129"/>
      <c r="CRG43" s="129"/>
      <c r="CRH43" s="129"/>
      <c r="CRI43" s="129"/>
      <c r="CRJ43" s="129"/>
      <c r="CRK43" s="129"/>
      <c r="CRL43" s="129"/>
      <c r="CRM43" s="129"/>
      <c r="CRN43" s="129"/>
      <c r="CRO43" s="129"/>
      <c r="CRP43" s="129"/>
      <c r="CRQ43" s="129"/>
      <c r="CRR43" s="129"/>
      <c r="CRS43" s="129"/>
      <c r="CRT43" s="129"/>
      <c r="CRU43" s="129"/>
      <c r="CRV43" s="129"/>
      <c r="CRW43" s="129"/>
      <c r="CRX43" s="128"/>
      <c r="CRY43" s="128"/>
      <c r="CRZ43" s="128"/>
      <c r="CSA43" s="128"/>
      <c r="CSB43" s="128"/>
      <c r="CSC43" s="128"/>
      <c r="CSD43" s="128"/>
      <c r="CSF43" s="128" t="s">
        <v>468</v>
      </c>
      <c r="CSG43" s="128"/>
      <c r="CSH43" s="128"/>
      <c r="CSI43" s="128"/>
      <c r="CSJ43" s="128"/>
      <c r="CSK43" s="128"/>
      <c r="CSL43" s="128"/>
      <c r="CSM43" s="128"/>
      <c r="CSN43" s="128"/>
      <c r="CSO43" s="128"/>
      <c r="CSP43" s="128"/>
      <c r="CSQ43" s="128"/>
      <c r="CSR43" s="128"/>
      <c r="CSS43" s="128"/>
      <c r="CST43" s="128"/>
      <c r="CSU43" s="128"/>
      <c r="CSV43" s="128"/>
      <c r="CSW43" s="128"/>
      <c r="CSX43" s="128"/>
      <c r="CSY43" s="128"/>
      <c r="CSZ43" s="128"/>
      <c r="CTA43" s="128"/>
      <c r="CTB43" s="128"/>
      <c r="CTC43" s="128"/>
      <c r="CTD43" s="128"/>
      <c r="CTE43" s="128"/>
      <c r="CTF43" s="128"/>
      <c r="CTG43" s="128"/>
      <c r="CTH43" s="128"/>
      <c r="CTI43" s="128"/>
      <c r="CTJ43" s="128"/>
      <c r="CTK43" s="129"/>
      <c r="CTL43" s="129"/>
      <c r="CTM43" s="129"/>
      <c r="CTN43" s="129"/>
      <c r="CTO43" s="129"/>
      <c r="CTP43" s="129"/>
      <c r="CTQ43" s="129"/>
      <c r="CTR43" s="129"/>
      <c r="CTS43" s="129"/>
      <c r="CTT43" s="129"/>
      <c r="CTU43" s="129"/>
      <c r="CTV43" s="129"/>
      <c r="CTW43" s="129"/>
      <c r="CTX43" s="129"/>
      <c r="CTY43" s="129"/>
      <c r="CTZ43" s="129"/>
      <c r="CUA43" s="129"/>
      <c r="CUB43" s="129"/>
      <c r="CUC43" s="129"/>
      <c r="CUD43" s="129"/>
      <c r="CUE43" s="129"/>
      <c r="CUF43" s="128"/>
      <c r="CUG43" s="128"/>
      <c r="CUH43" s="128"/>
      <c r="CUI43" s="128"/>
      <c r="CUJ43" s="128"/>
      <c r="CUK43" s="128"/>
      <c r="CUL43" s="129"/>
      <c r="CUM43" s="129"/>
      <c r="CUN43" s="129"/>
      <c r="CUO43" s="129"/>
      <c r="CUP43" s="129"/>
      <c r="CUQ43" s="129"/>
      <c r="CUR43" s="129"/>
      <c r="CUS43" s="129"/>
      <c r="CUT43" s="129"/>
      <c r="CUU43" s="129"/>
      <c r="CUV43" s="129"/>
      <c r="CUW43" s="129"/>
      <c r="CUX43" s="129"/>
      <c r="CUY43" s="129"/>
      <c r="CUZ43" s="129"/>
      <c r="CVA43" s="129"/>
      <c r="CVB43" s="129"/>
      <c r="CVC43" s="129"/>
      <c r="CVD43" s="129"/>
      <c r="CVE43" s="129"/>
      <c r="CVF43" s="129"/>
      <c r="CVG43" s="129"/>
      <c r="CVH43" s="129"/>
      <c r="CVI43" s="129"/>
      <c r="CVJ43" s="129"/>
      <c r="CVK43" s="129"/>
      <c r="CVL43" s="129"/>
      <c r="CVM43" s="129"/>
      <c r="CVN43" s="128"/>
      <c r="CVO43" s="128"/>
      <c r="CVP43" s="128"/>
      <c r="CVQ43" s="128"/>
      <c r="CVR43" s="128"/>
      <c r="CVS43" s="128"/>
      <c r="CVT43" s="128"/>
      <c r="DDB43" s="144" t="s">
        <v>147</v>
      </c>
      <c r="DDC43" s="144"/>
      <c r="DDD43" s="144"/>
      <c r="DDE43" s="144"/>
      <c r="DDF43" s="144"/>
      <c r="DDG43" s="144"/>
      <c r="DDH43" s="144"/>
      <c r="DDI43" s="144"/>
      <c r="DDJ43" s="144"/>
      <c r="DDK43" s="144"/>
      <c r="DDL43" s="144"/>
      <c r="DDM43" s="144"/>
      <c r="DDN43" s="144"/>
      <c r="DDO43" s="144"/>
      <c r="DDP43" s="144"/>
      <c r="DDQ43" s="144"/>
      <c r="DDR43" s="144"/>
      <c r="DDS43" s="144"/>
      <c r="DDT43" s="144"/>
      <c r="DDU43" s="144"/>
      <c r="DDV43" s="144"/>
      <c r="DDW43" s="144"/>
      <c r="DDX43" s="144"/>
      <c r="DDY43" s="144"/>
      <c r="DDZ43" s="144"/>
      <c r="DEA43" s="144"/>
      <c r="DEB43" s="144"/>
      <c r="DEC43" s="144"/>
      <c r="DED43" s="144"/>
      <c r="DEE43" s="144"/>
      <c r="DEF43" s="144"/>
      <c r="DEG43" s="129" t="s">
        <v>133</v>
      </c>
      <c r="DEH43" s="129"/>
      <c r="DEI43" s="129"/>
      <c r="DEJ43" s="129"/>
      <c r="DEK43" s="129" t="s">
        <v>148</v>
      </c>
      <c r="DEL43" s="129"/>
      <c r="DEM43" s="129"/>
      <c r="DEN43" s="129"/>
      <c r="DEO43" s="129"/>
      <c r="DEP43" s="129" t="s">
        <v>83</v>
      </c>
      <c r="DEQ43" s="129"/>
      <c r="DER43" s="129"/>
      <c r="DES43" s="129"/>
      <c r="DET43" s="129"/>
      <c r="DEU43" s="129"/>
      <c r="DEV43" s="129" t="s">
        <v>37</v>
      </c>
      <c r="DEW43" s="129"/>
      <c r="DEX43" s="129"/>
      <c r="DEY43" s="129"/>
      <c r="DEZ43" s="129"/>
      <c r="DFA43" s="129"/>
      <c r="DFB43" s="129" t="s">
        <v>49</v>
      </c>
      <c r="DFC43" s="129"/>
      <c r="DFD43" s="129"/>
      <c r="DFE43" s="129"/>
      <c r="DFF43" s="129"/>
      <c r="DFG43" s="129"/>
      <c r="DFH43" s="129" t="s">
        <v>149</v>
      </c>
      <c r="DFI43" s="129"/>
      <c r="DFJ43" s="129"/>
      <c r="DFK43" s="129"/>
      <c r="DFL43" s="129"/>
      <c r="DFM43" s="129"/>
      <c r="DFN43" s="129"/>
      <c r="DFO43" s="129" t="s">
        <v>150</v>
      </c>
      <c r="DFP43" s="129"/>
      <c r="DFQ43" s="129"/>
      <c r="DFR43" s="129"/>
      <c r="DFS43" s="129"/>
      <c r="DFT43" s="129"/>
      <c r="DFU43" s="129"/>
      <c r="DFV43" s="129" t="s">
        <v>151</v>
      </c>
      <c r="DFW43" s="129"/>
      <c r="DFX43" s="129"/>
      <c r="DFY43" s="129"/>
      <c r="DFZ43" s="129"/>
      <c r="DGA43" s="129"/>
      <c r="DGB43" s="129"/>
      <c r="DGC43" s="129" t="s">
        <v>37</v>
      </c>
      <c r="DGD43" s="129"/>
      <c r="DGE43" s="129"/>
      <c r="DGF43" s="129"/>
      <c r="DGG43" s="129"/>
      <c r="DGH43" s="129"/>
      <c r="DGI43" s="129"/>
      <c r="DGJ43" s="129" t="s">
        <v>40</v>
      </c>
      <c r="DGK43" s="129"/>
      <c r="DGL43" s="129"/>
      <c r="DGM43" s="129"/>
      <c r="DGN43" s="129"/>
      <c r="DGO43" s="129"/>
      <c r="DGP43" s="129"/>
    </row>
    <row r="44" spans="2:1022 1118:1774 2434:2996" ht="15" customHeight="1" x14ac:dyDescent="0.25">
      <c r="B44" s="135">
        <v>19</v>
      </c>
      <c r="C44" s="136"/>
      <c r="D44" s="136"/>
      <c r="E44" s="136" t="str">
        <f>IFERROR(VLOOKUP(B44,Calculations!$DH$3:$DJ$127,3,FALSE),"")</f>
        <v/>
      </c>
      <c r="F44" s="136"/>
      <c r="G44" s="136"/>
      <c r="H44" s="136"/>
      <c r="I44" s="136"/>
      <c r="J44" s="136"/>
      <c r="K44" s="136"/>
      <c r="L44" s="136"/>
      <c r="M44" s="136"/>
      <c r="N44" s="136"/>
      <c r="O44" s="136"/>
      <c r="P44" s="136"/>
      <c r="Q44" s="136"/>
      <c r="R44" s="136"/>
      <c r="S44" s="136"/>
      <c r="T44" s="136"/>
      <c r="U44" s="136"/>
      <c r="V44" s="136"/>
      <c r="W44" s="136"/>
      <c r="X44" s="136"/>
      <c r="Y44" s="136"/>
      <c r="Z44" s="136"/>
      <c r="AA44" s="136"/>
      <c r="AB44" s="136"/>
      <c r="AC44" s="136"/>
      <c r="AD44" s="136"/>
      <c r="AE44" s="136"/>
      <c r="AF44" s="136"/>
      <c r="AG44" s="200" t="str">
        <f>IFERROR(VLOOKUP(B44,Calculations!$DH$3:$DX$200,17,FALSE),"")</f>
        <v/>
      </c>
      <c r="AH44" s="131"/>
      <c r="AI44" s="131"/>
      <c r="AJ44" s="131"/>
      <c r="AK44" s="131"/>
      <c r="AL44" s="131"/>
      <c r="AM44" s="131"/>
      <c r="AN44" s="131"/>
      <c r="AO44" s="131"/>
      <c r="AP44" s="131"/>
      <c r="AQ44" s="131"/>
      <c r="AR44" s="131"/>
      <c r="AS44" s="131"/>
      <c r="AT44" s="131"/>
      <c r="AU44" s="131"/>
      <c r="AV44" s="131"/>
      <c r="AW44" s="131"/>
      <c r="AX44" s="131"/>
      <c r="AY44" s="131"/>
      <c r="AZ44" s="131"/>
      <c r="BA44" s="201"/>
      <c r="BB44" s="226" t="str">
        <f>IFERROR(IFERROR((VLOOKUP(E44,Calculations!$DR$3:$EJ$200,19,FALSE)),0)+VLOOKUP(B44,Calculations!$DH$3:$DN$200,7,FALSE)+CG44+CO44+IFERROR(VLOOKUP((LEFT(E44,FIND("(",E44)-2)),Calculations!$DJ$3:$EJ$200,26,FALSE),0),"")</f>
        <v/>
      </c>
      <c r="BC44" s="226"/>
      <c r="BD44" s="226"/>
      <c r="BE44" s="226"/>
      <c r="BF44" s="226"/>
      <c r="BG44" s="226"/>
      <c r="BH44" s="226"/>
      <c r="BI44" s="131" t="str">
        <f>IFERROR("x "&amp;VLOOKUP(B44,Calculations!$DH$3:$DY$200,18,FALSE),"")</f>
        <v/>
      </c>
      <c r="BJ44" s="131"/>
      <c r="BK44" s="131"/>
      <c r="BL44" s="131"/>
      <c r="BM44" s="131"/>
      <c r="BN44" s="131"/>
      <c r="BO44" s="131"/>
      <c r="BP44" s="131"/>
      <c r="BQ44" s="131" t="str">
        <f>IFERROR(VLOOKUP(B44,Calculations!$DH$3:$EE$200,22,FALSE),"")</f>
        <v/>
      </c>
      <c r="BR44" s="131"/>
      <c r="BS44" s="131"/>
      <c r="BT44" s="131"/>
      <c r="BU44" s="131"/>
      <c r="BV44" s="131"/>
      <c r="BW44" s="131"/>
      <c r="BX44" s="131"/>
      <c r="BY44" s="131" t="str">
        <f>IFERROR(VLOOKUP(B44,Calculations!$DH$3:$EA$200,19,FALSE)-ROUNDDOWN((CO44/5),0),"")</f>
        <v/>
      </c>
      <c r="BZ44" s="131"/>
      <c r="CA44" s="131"/>
      <c r="CB44" s="131"/>
      <c r="CC44" s="131"/>
      <c r="CD44" s="131"/>
      <c r="CE44" s="131"/>
      <c r="CF44" s="131"/>
      <c r="CG44" s="194">
        <v>0</v>
      </c>
      <c r="CH44" s="194"/>
      <c r="CI44" s="194"/>
      <c r="CJ44" s="194"/>
      <c r="CK44" s="194"/>
      <c r="CL44" s="194"/>
      <c r="CM44" s="194"/>
      <c r="CN44" s="194"/>
      <c r="CO44" s="194">
        <v>0</v>
      </c>
      <c r="CP44" s="194"/>
      <c r="CQ44" s="194"/>
      <c r="CR44" s="194"/>
      <c r="CS44" s="194"/>
      <c r="CT44" s="194"/>
      <c r="CU44" s="194"/>
      <c r="CV44" s="194"/>
      <c r="CW44" s="131" t="str">
        <f>IF(E44="","",IFERROR(VLOOKUP(B44,Calculations!$DH$3:$ED$200,23,FALSE)+CO44+CG44,"- -"))</f>
        <v/>
      </c>
      <c r="CX44" s="131"/>
      <c r="CY44" s="131"/>
      <c r="CZ44" s="131"/>
      <c r="DA44" s="131"/>
      <c r="DB44" s="131"/>
      <c r="DC44" s="131"/>
      <c r="DD44" s="131"/>
      <c r="DE44" s="199" t="str">
        <f>IF(E44="","",IFERROR(VLOOKUP(B44,Calculations!$DH$3:$EE$200,24,FALSE),"- -"))</f>
        <v/>
      </c>
      <c r="DF44" s="131"/>
      <c r="DG44" s="131"/>
      <c r="DH44" s="131"/>
      <c r="DI44" s="131"/>
      <c r="DJ44" s="131"/>
      <c r="DK44" s="131"/>
      <c r="DL44" s="131"/>
      <c r="DM44" s="199" t="str">
        <f>IF(E44="","",IFERROR(VLOOKUP(B44,Calculations!$DH$3:$EJ$200,25,FALSE),"- -"))</f>
        <v/>
      </c>
      <c r="DN44" s="131"/>
      <c r="DO44" s="131"/>
      <c r="DP44" s="131"/>
      <c r="DQ44" s="131"/>
      <c r="DR44" s="131"/>
      <c r="DS44" s="131"/>
      <c r="DT44" s="131"/>
      <c r="DU44" s="131" t="str">
        <f t="shared" si="14"/>
        <v/>
      </c>
      <c r="DV44" s="131"/>
      <c r="DW44" s="131"/>
      <c r="DX44" s="131"/>
      <c r="DY44" s="131"/>
      <c r="DZ44" s="131"/>
      <c r="EA44" s="131"/>
      <c r="EB44" s="131"/>
      <c r="EC44" s="131" t="str">
        <f t="shared" si="15"/>
        <v/>
      </c>
      <c r="ED44" s="131"/>
      <c r="EE44" s="131"/>
      <c r="EF44" s="131"/>
      <c r="EG44" s="131"/>
      <c r="EH44" s="131"/>
      <c r="EI44" s="131"/>
      <c r="EJ44" s="131"/>
      <c r="EK44" s="131" t="str">
        <f t="shared" si="16"/>
        <v/>
      </c>
      <c r="EL44" s="131"/>
      <c r="EM44" s="131"/>
      <c r="EN44" s="131"/>
      <c r="EO44" s="131"/>
      <c r="EP44" s="131"/>
      <c r="EQ44" s="131"/>
      <c r="ER44" s="131"/>
      <c r="ES44" s="131" t="str">
        <f t="shared" si="17"/>
        <v/>
      </c>
      <c r="ET44" s="131"/>
      <c r="EU44" s="131"/>
      <c r="EV44" s="131"/>
      <c r="EW44" s="131"/>
      <c r="EX44" s="131"/>
      <c r="EY44" s="131"/>
      <c r="EZ44" s="239"/>
      <c r="FB44" s="139" t="s">
        <v>2899</v>
      </c>
      <c r="FC44" s="140"/>
      <c r="FD44" s="140"/>
      <c r="FE44" s="140"/>
      <c r="FF44" s="140"/>
      <c r="FG44" s="140"/>
      <c r="FH44" s="140"/>
      <c r="FI44" s="140"/>
      <c r="FJ44" s="140"/>
      <c r="FK44" s="140"/>
      <c r="FL44" s="140"/>
      <c r="FM44" s="140"/>
      <c r="FN44" s="140"/>
      <c r="FO44" s="140"/>
      <c r="FP44" s="140"/>
      <c r="FQ44" s="140"/>
      <c r="FR44" s="140"/>
      <c r="FS44" s="140"/>
      <c r="FT44" s="140"/>
      <c r="FU44" s="140"/>
      <c r="FV44" s="140"/>
      <c r="FW44" s="140"/>
      <c r="FX44" s="140"/>
      <c r="FY44" s="140"/>
      <c r="FZ44" s="140"/>
      <c r="GA44" s="140"/>
      <c r="GB44" s="140"/>
      <c r="GC44" s="140"/>
      <c r="GD44" s="140"/>
      <c r="GE44" s="140"/>
      <c r="GF44" s="140"/>
      <c r="GG44" s="140"/>
      <c r="GH44" s="140"/>
      <c r="GI44" s="140"/>
      <c r="GJ44" s="140"/>
      <c r="GK44" s="140"/>
      <c r="GL44" s="140"/>
      <c r="GM44" s="140"/>
      <c r="GN44" s="140"/>
      <c r="GO44" s="140"/>
      <c r="GP44" s="140"/>
      <c r="GQ44" s="140"/>
      <c r="GR44" s="140"/>
      <c r="GS44" s="140"/>
      <c r="GT44" s="141">
        <v>1</v>
      </c>
      <c r="GU44" s="141"/>
      <c r="GV44" s="141"/>
      <c r="GW44" s="141"/>
      <c r="GX44" s="141"/>
      <c r="GY44" s="141"/>
      <c r="GZ44" s="141"/>
      <c r="HA44" s="141"/>
      <c r="HB44" s="142">
        <f>IFERROR(ROUND(Calculations!BV45*GT44,2),"")</f>
        <v>1.5</v>
      </c>
      <c r="HC44" s="142"/>
      <c r="HD44" s="142"/>
      <c r="HE44" s="142"/>
      <c r="HF44" s="142"/>
      <c r="HG44" s="142"/>
      <c r="HH44" s="142"/>
      <c r="HI44" s="142"/>
      <c r="HJ44" s="142">
        <f>IFERROR(Calculations!BS45+IQ44+IX44,"")</f>
        <v>0</v>
      </c>
      <c r="HK44" s="142"/>
      <c r="HL44" s="142"/>
      <c r="HM44" s="142"/>
      <c r="HN44" s="142"/>
      <c r="HO44" s="142"/>
      <c r="HP44" s="142"/>
      <c r="HQ44" s="142"/>
      <c r="HR44" s="142">
        <f t="shared" si="9"/>
        <v>0</v>
      </c>
      <c r="HS44" s="142"/>
      <c r="HT44" s="142"/>
      <c r="HU44" s="142"/>
      <c r="HV44" s="142"/>
      <c r="HW44" s="142"/>
      <c r="HX44" s="142"/>
      <c r="HY44" s="142"/>
      <c r="HZ44" s="142" t="str">
        <f>IFERROR(Calculations!BX45,"")</f>
        <v>$1.25</v>
      </c>
      <c r="IA44" s="142"/>
      <c r="IB44" s="142"/>
      <c r="IC44" s="142"/>
      <c r="ID44" s="142"/>
      <c r="IE44" s="142"/>
      <c r="IF44" s="142"/>
      <c r="IG44" s="142"/>
      <c r="IH44" s="142"/>
      <c r="II44" s="142"/>
      <c r="IJ44" s="142">
        <f>IFERROR(Calculations!BR45+IX44,"")</f>
        <v>0</v>
      </c>
      <c r="IK44" s="142"/>
      <c r="IL44" s="142"/>
      <c r="IM44" s="142"/>
      <c r="IN44" s="142"/>
      <c r="IO44" s="142"/>
      <c r="IP44" s="142"/>
      <c r="IQ44" s="141">
        <v>0</v>
      </c>
      <c r="IR44" s="141"/>
      <c r="IS44" s="141"/>
      <c r="IT44" s="141"/>
      <c r="IU44" s="141"/>
      <c r="IV44" s="141"/>
      <c r="IW44" s="141"/>
      <c r="IX44" s="141">
        <v>0</v>
      </c>
      <c r="IY44" s="141"/>
      <c r="IZ44" s="141"/>
      <c r="JA44" s="141"/>
      <c r="JB44" s="141"/>
      <c r="JC44" s="141"/>
      <c r="JD44" s="141"/>
      <c r="JE44" s="141"/>
      <c r="JF44" s="142"/>
      <c r="JG44" s="142"/>
      <c r="JH44" s="142"/>
      <c r="JI44" s="142"/>
      <c r="JJ44" s="142"/>
      <c r="JK44" s="143" t="str">
        <f>Calculations!AS45</f>
        <v>Heavy Cloth</v>
      </c>
      <c r="JL44" s="143"/>
      <c r="JM44" s="143"/>
      <c r="JN44" s="143"/>
      <c r="JO44" s="143"/>
      <c r="JP44" s="143"/>
      <c r="JQ44" s="143"/>
      <c r="JR44" s="143"/>
      <c r="JS44" s="143"/>
      <c r="JT44" s="143"/>
      <c r="JU44" s="143"/>
      <c r="JV44" s="143"/>
      <c r="JW44" s="143"/>
      <c r="JX44" s="143"/>
      <c r="JY44" s="143"/>
      <c r="JZ44" s="143"/>
      <c r="KA44" s="143"/>
      <c r="KB44" s="143"/>
      <c r="KC44" s="143" t="str">
        <f>Calculations!AW45</f>
        <v>Light Cloth</v>
      </c>
      <c r="KD44" s="143"/>
      <c r="KE44" s="143"/>
      <c r="KF44" s="143"/>
      <c r="KG44" s="143"/>
      <c r="KH44" s="143"/>
      <c r="KI44" s="143"/>
      <c r="KJ44" s="143"/>
      <c r="KK44" s="143"/>
      <c r="KL44" s="143"/>
      <c r="KM44" s="143"/>
      <c r="KN44" s="143"/>
      <c r="KO44" s="143"/>
      <c r="KP44" s="143"/>
      <c r="KQ44" s="143"/>
      <c r="KR44" s="143"/>
      <c r="KS44" s="143"/>
      <c r="KT44" s="143"/>
      <c r="KU44" s="144"/>
      <c r="KV44" s="144"/>
      <c r="KW44" s="144"/>
      <c r="KX44" s="144"/>
      <c r="KY44" s="144"/>
      <c r="KZ44" s="144"/>
      <c r="LA44" s="144"/>
      <c r="LB44" s="144"/>
      <c r="LC44" s="144"/>
      <c r="LD44" s="144"/>
      <c r="LE44" s="144"/>
      <c r="LF44" s="144"/>
      <c r="LG44" s="144"/>
      <c r="LH44" s="144"/>
      <c r="LI44" s="144"/>
      <c r="LJ44" s="144"/>
      <c r="LK44" s="144"/>
      <c r="LL44" s="144"/>
      <c r="LM44" s="144"/>
      <c r="LN44" s="144"/>
      <c r="LO44" s="144"/>
      <c r="LP44" s="144"/>
      <c r="LQ44" s="144"/>
      <c r="LR44" s="144"/>
      <c r="LS44" s="144"/>
      <c r="LT44" s="144"/>
      <c r="LU44" s="144"/>
      <c r="LV44" s="144"/>
      <c r="LW44" s="144"/>
      <c r="LX44" s="144"/>
      <c r="LY44" s="144"/>
      <c r="LZ44" s="144"/>
      <c r="MA44" s="144"/>
      <c r="MB44" s="144"/>
      <c r="MC44" s="144"/>
      <c r="MD44" s="144"/>
      <c r="ME44" s="144"/>
      <c r="MF44" s="144"/>
      <c r="MG44" s="144"/>
      <c r="MH44" s="144"/>
      <c r="MI44" s="144"/>
      <c r="MJ44" s="144"/>
      <c r="MK44" s="144"/>
      <c r="ML44" s="144"/>
      <c r="MM44" s="144"/>
      <c r="MN44" s="144"/>
      <c r="MO44" s="144"/>
      <c r="MP44" s="144"/>
      <c r="MQ44" s="144"/>
      <c r="MR44" s="144"/>
      <c r="MS44" s="144"/>
      <c r="MT44" s="144"/>
      <c r="MU44" s="144"/>
      <c r="MV44" s="144"/>
      <c r="MW44" s="144"/>
      <c r="MX44" s="144"/>
      <c r="MY44" s="144"/>
      <c r="MZ44" s="145"/>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9"/>
      <c r="AJZ44" s="129"/>
      <c r="AKA44" s="129"/>
      <c r="AKB44" s="129"/>
      <c r="AKC44" s="129"/>
      <c r="AKD44" s="129"/>
      <c r="AKE44" s="129"/>
      <c r="AKF44" s="129"/>
      <c r="AKG44" s="129"/>
      <c r="AKH44" s="129"/>
      <c r="AKI44" s="129"/>
      <c r="AKJ44" s="129"/>
      <c r="AKK44" s="129"/>
      <c r="AKL44" s="129"/>
      <c r="AKM44" s="129"/>
      <c r="AKN44" s="129"/>
      <c r="AKO44" s="129"/>
      <c r="AKP44" s="129"/>
      <c r="AKQ44" s="129"/>
      <c r="AKR44" s="129"/>
      <c r="AKS44" s="129"/>
      <c r="AKT44" s="128"/>
      <c r="AKU44" s="128"/>
      <c r="AKV44" s="128"/>
      <c r="AKW44" s="128"/>
      <c r="AKX44" s="128"/>
      <c r="AKY44" s="128"/>
      <c r="AKZ44" s="129"/>
      <c r="ALA44" s="129"/>
      <c r="ALB44" s="129"/>
      <c r="ALC44" s="129"/>
      <c r="ALD44" s="129"/>
      <c r="ALE44" s="129"/>
      <c r="ALF44" s="129"/>
      <c r="ALG44" s="129"/>
      <c r="ALH44" s="129"/>
      <c r="ALI44" s="129"/>
      <c r="ALJ44" s="129"/>
      <c r="ALK44" s="129"/>
      <c r="ALL44" s="129"/>
      <c r="ALM44" s="129"/>
      <c r="ALN44" s="129"/>
      <c r="ALO44" s="129"/>
      <c r="ALP44" s="129"/>
      <c r="ALQ44" s="129"/>
      <c r="ALR44" s="129"/>
      <c r="ALS44" s="129"/>
      <c r="ALT44" s="129"/>
      <c r="ALU44" s="129"/>
      <c r="ALV44" s="129"/>
      <c r="ALW44" s="129"/>
      <c r="ALX44" s="129"/>
      <c r="ALY44" s="129"/>
      <c r="ALZ44" s="129"/>
      <c r="AMA44" s="129"/>
      <c r="AMB44" s="128"/>
      <c r="AMC44" s="128"/>
      <c r="AMD44" s="128"/>
      <c r="AME44" s="128"/>
      <c r="AMF44" s="128"/>
      <c r="AMG44" s="128"/>
      <c r="AMH44" s="128"/>
      <c r="APZ44" s="128" t="s">
        <v>589</v>
      </c>
      <c r="AQA44" s="128"/>
      <c r="AQB44" s="128"/>
      <c r="AQC44" s="128"/>
      <c r="AQD44" s="128"/>
      <c r="AQE44" s="128"/>
      <c r="AQF44" s="128"/>
      <c r="AQG44" s="128"/>
      <c r="AQH44" s="128"/>
      <c r="AQI44" s="128"/>
      <c r="AQJ44" s="128"/>
      <c r="AQK44" s="128"/>
      <c r="AQL44" s="128"/>
      <c r="AQM44" s="128"/>
      <c r="AQN44" s="128"/>
      <c r="AQO44" s="128"/>
      <c r="AQP44" s="128"/>
      <c r="AQQ44" s="128"/>
      <c r="AQR44" s="128"/>
      <c r="AQS44" s="128"/>
      <c r="AQT44" s="128"/>
      <c r="AQU44" s="128"/>
      <c r="AQV44" s="128"/>
      <c r="AQW44" s="128"/>
      <c r="AQX44" s="128"/>
      <c r="AQY44" s="128"/>
      <c r="AQZ44" s="128"/>
      <c r="ARA44" s="128"/>
      <c r="ARB44" s="128"/>
      <c r="ARC44" s="128"/>
      <c r="ARD44" s="128"/>
      <c r="ARE44" s="129"/>
      <c r="ARF44" s="129"/>
      <c r="ARG44" s="129"/>
      <c r="ARH44" s="129"/>
      <c r="ARI44" s="129"/>
      <c r="ARJ44" s="129"/>
      <c r="ARK44" s="129"/>
      <c r="ARL44" s="129"/>
      <c r="ARM44" s="129"/>
      <c r="ARN44" s="129"/>
      <c r="ARO44" s="129"/>
      <c r="ARP44" s="129"/>
      <c r="ARQ44" s="129"/>
      <c r="ARR44" s="129"/>
      <c r="ARS44" s="129"/>
      <c r="ART44" s="129"/>
      <c r="ARU44" s="129"/>
      <c r="ARV44" s="129"/>
      <c r="ARW44" s="129"/>
      <c r="ARX44" s="129"/>
      <c r="ARY44" s="129"/>
      <c r="ARZ44" s="128"/>
      <c r="ASA44" s="128"/>
      <c r="ASB44" s="128"/>
      <c r="ASC44" s="128"/>
      <c r="ASD44" s="128"/>
      <c r="ASE44" s="128"/>
      <c r="ASF44" s="129"/>
      <c r="ASG44" s="129"/>
      <c r="ASH44" s="129"/>
      <c r="ASI44" s="129"/>
      <c r="ASJ44" s="129"/>
      <c r="ASK44" s="129"/>
      <c r="ASL44" s="129"/>
      <c r="ASM44" s="129"/>
      <c r="ASN44" s="129"/>
      <c r="ASO44" s="129"/>
      <c r="ASP44" s="129"/>
      <c r="ASQ44" s="129"/>
      <c r="ASR44" s="129"/>
      <c r="ASS44" s="129"/>
      <c r="AST44" s="129"/>
      <c r="ASU44" s="129"/>
      <c r="ASV44" s="129"/>
      <c r="ASW44" s="129"/>
      <c r="ASX44" s="129"/>
      <c r="ASY44" s="129"/>
      <c r="ASZ44" s="129"/>
      <c r="ATA44" s="129"/>
      <c r="ATB44" s="129"/>
      <c r="ATC44" s="129"/>
      <c r="ATD44" s="129"/>
      <c r="ATE44" s="129"/>
      <c r="ATF44" s="129"/>
      <c r="ATG44" s="129"/>
      <c r="ATH44" s="128"/>
      <c r="ATI44" s="128"/>
      <c r="ATJ44" s="128"/>
      <c r="ATK44" s="128"/>
      <c r="ATL44" s="128"/>
      <c r="ATM44" s="128"/>
      <c r="ATN44" s="128"/>
      <c r="COP44" s="128" t="str">
        <f ca="1">VLOOKUP(2,INDIRECT("Evil"&amp;'Character Creation'!$Z$14),2,FALSE)</f>
        <v>Dark Summons</v>
      </c>
      <c r="COQ44" s="128"/>
      <c r="COR44" s="128"/>
      <c r="COS44" s="128"/>
      <c r="COT44" s="128"/>
      <c r="COU44" s="128"/>
      <c r="COV44" s="128"/>
      <c r="COW44" s="128"/>
      <c r="COX44" s="128"/>
      <c r="COY44" s="128"/>
      <c r="COZ44" s="128"/>
      <c r="CPA44" s="128"/>
      <c r="CPB44" s="128"/>
      <c r="CPC44" s="128"/>
      <c r="CPD44" s="128"/>
      <c r="CPE44" s="128"/>
      <c r="CPF44" s="128"/>
      <c r="CPG44" s="128"/>
      <c r="CPH44" s="128"/>
      <c r="CPI44" s="128"/>
      <c r="CPJ44" s="128"/>
      <c r="CPK44" s="128"/>
      <c r="CPL44" s="128"/>
      <c r="CPM44" s="128"/>
      <c r="CPN44" s="128"/>
      <c r="CPO44" s="128"/>
      <c r="CPP44" s="128"/>
      <c r="CPQ44" s="128"/>
      <c r="CPR44" s="128"/>
      <c r="CPS44" s="128"/>
      <c r="CPT44" s="128"/>
      <c r="CPU44" s="129"/>
      <c r="CPV44" s="129"/>
      <c r="CPW44" s="129"/>
      <c r="CPX44" s="129"/>
      <c r="CPY44" s="129"/>
      <c r="CPZ44" s="129"/>
      <c r="CQA44" s="129"/>
      <c r="CQB44" s="129"/>
      <c r="CQC44" s="129"/>
      <c r="CQD44" s="129"/>
      <c r="CQE44" s="129"/>
      <c r="CQF44" s="129"/>
      <c r="CQG44" s="129"/>
      <c r="CQH44" s="129"/>
      <c r="CQI44" s="129"/>
      <c r="CQJ44" s="129"/>
      <c r="CQK44" s="129"/>
      <c r="CQL44" s="129"/>
      <c r="CQM44" s="129"/>
      <c r="CQN44" s="129"/>
      <c r="CQO44" s="129"/>
      <c r="CQP44" s="128"/>
      <c r="CQQ44" s="128"/>
      <c r="CQR44" s="128"/>
      <c r="CQS44" s="128"/>
      <c r="CQT44" s="128"/>
      <c r="CQU44" s="128"/>
      <c r="CQV44" s="129"/>
      <c r="CQW44" s="129"/>
      <c r="CQX44" s="129"/>
      <c r="CQY44" s="129"/>
      <c r="CQZ44" s="129"/>
      <c r="CRA44" s="129"/>
      <c r="CRB44" s="129"/>
      <c r="CRC44" s="129"/>
      <c r="CRD44" s="129"/>
      <c r="CRE44" s="129"/>
      <c r="CRF44" s="129"/>
      <c r="CRG44" s="129"/>
      <c r="CRH44" s="129"/>
      <c r="CRI44" s="129"/>
      <c r="CRJ44" s="129"/>
      <c r="CRK44" s="129"/>
      <c r="CRL44" s="129"/>
      <c r="CRM44" s="129"/>
      <c r="CRN44" s="129"/>
      <c r="CRO44" s="129"/>
      <c r="CRP44" s="129"/>
      <c r="CRQ44" s="129"/>
      <c r="CRR44" s="129"/>
      <c r="CRS44" s="129"/>
      <c r="CRT44" s="129"/>
      <c r="CRU44" s="129"/>
      <c r="CRV44" s="129"/>
      <c r="CRW44" s="129"/>
      <c r="CRX44" s="128"/>
      <c r="CRY44" s="128"/>
      <c r="CRZ44" s="128"/>
      <c r="CSA44" s="128"/>
      <c r="CSB44" s="128"/>
      <c r="CSC44" s="128"/>
      <c r="CSD44" s="128"/>
      <c r="CSF44" s="128" t="s">
        <v>469</v>
      </c>
      <c r="CSG44" s="128"/>
      <c r="CSH44" s="128"/>
      <c r="CSI44" s="128"/>
      <c r="CSJ44" s="128"/>
      <c r="CSK44" s="128"/>
      <c r="CSL44" s="128"/>
      <c r="CSM44" s="128"/>
      <c r="CSN44" s="128"/>
      <c r="CSO44" s="128"/>
      <c r="CSP44" s="128"/>
      <c r="CSQ44" s="128"/>
      <c r="CSR44" s="128"/>
      <c r="CSS44" s="128"/>
      <c r="CST44" s="128"/>
      <c r="CSU44" s="128"/>
      <c r="CSV44" s="128"/>
      <c r="CSW44" s="128"/>
      <c r="CSX44" s="128"/>
      <c r="CSY44" s="128"/>
      <c r="CSZ44" s="128"/>
      <c r="CTA44" s="128"/>
      <c r="CTB44" s="128"/>
      <c r="CTC44" s="128"/>
      <c r="CTD44" s="128"/>
      <c r="CTE44" s="128"/>
      <c r="CTF44" s="128"/>
      <c r="CTG44" s="128"/>
      <c r="CTH44" s="128"/>
      <c r="CTI44" s="128"/>
      <c r="CTJ44" s="128"/>
      <c r="CTK44" s="129"/>
      <c r="CTL44" s="129"/>
      <c r="CTM44" s="129"/>
      <c r="CTN44" s="129"/>
      <c r="CTO44" s="129"/>
      <c r="CTP44" s="129"/>
      <c r="CTQ44" s="129"/>
      <c r="CTR44" s="129"/>
      <c r="CTS44" s="129"/>
      <c r="CTT44" s="129"/>
      <c r="CTU44" s="129"/>
      <c r="CTV44" s="129"/>
      <c r="CTW44" s="129"/>
      <c r="CTX44" s="129"/>
      <c r="CTY44" s="129"/>
      <c r="CTZ44" s="129"/>
      <c r="CUA44" s="129"/>
      <c r="CUB44" s="129"/>
      <c r="CUC44" s="129"/>
      <c r="CUD44" s="129"/>
      <c r="CUE44" s="129"/>
      <c r="CUF44" s="128"/>
      <c r="CUG44" s="128"/>
      <c r="CUH44" s="128"/>
      <c r="CUI44" s="128"/>
      <c r="CUJ44" s="128"/>
      <c r="CUK44" s="128"/>
      <c r="CUL44" s="129"/>
      <c r="CUM44" s="129"/>
      <c r="CUN44" s="129"/>
      <c r="CUO44" s="129"/>
      <c r="CUP44" s="129"/>
      <c r="CUQ44" s="129"/>
      <c r="CUR44" s="129"/>
      <c r="CUS44" s="129"/>
      <c r="CUT44" s="129"/>
      <c r="CUU44" s="129"/>
      <c r="CUV44" s="129"/>
      <c r="CUW44" s="129"/>
      <c r="CUX44" s="129"/>
      <c r="CUY44" s="129"/>
      <c r="CUZ44" s="129"/>
      <c r="CVA44" s="129"/>
      <c r="CVB44" s="129"/>
      <c r="CVC44" s="129"/>
      <c r="CVD44" s="129"/>
      <c r="CVE44" s="129"/>
      <c r="CVF44" s="129"/>
      <c r="CVG44" s="129"/>
      <c r="CVH44" s="129"/>
      <c r="CVI44" s="129"/>
      <c r="CVJ44" s="129"/>
      <c r="CVK44" s="129"/>
      <c r="CVL44" s="129"/>
      <c r="CVM44" s="129"/>
      <c r="CVN44" s="128"/>
      <c r="CVO44" s="128"/>
      <c r="CVP44" s="128"/>
      <c r="CVQ44" s="128"/>
      <c r="CVR44" s="128"/>
      <c r="CVS44" s="128"/>
      <c r="CVT44" s="128"/>
      <c r="DDB44" s="128" t="s">
        <v>546</v>
      </c>
      <c r="DDC44" s="128"/>
      <c r="DDD44" s="128"/>
      <c r="DDE44" s="128"/>
      <c r="DDF44" s="128"/>
      <c r="DDG44" s="128"/>
      <c r="DDH44" s="128"/>
      <c r="DDI44" s="128"/>
      <c r="DDJ44" s="128"/>
      <c r="DDK44" s="128"/>
      <c r="DDL44" s="128"/>
      <c r="DDM44" s="128"/>
      <c r="DDN44" s="128"/>
      <c r="DDO44" s="128"/>
      <c r="DDP44" s="128"/>
      <c r="DDQ44" s="128"/>
      <c r="DDR44" s="128"/>
      <c r="DDS44" s="128"/>
      <c r="DDT44" s="128"/>
      <c r="DDU44" s="128"/>
      <c r="DDV44" s="128"/>
      <c r="DDW44" s="128"/>
      <c r="DDX44" s="128"/>
      <c r="DDY44" s="128"/>
      <c r="DDZ44" s="128"/>
      <c r="DEA44" s="128"/>
      <c r="DEB44" s="128"/>
      <c r="DEC44" s="128"/>
      <c r="DED44" s="128"/>
      <c r="DEE44" s="128"/>
      <c r="DEF44" s="128"/>
      <c r="DEG44" s="129"/>
      <c r="DEH44" s="129"/>
      <c r="DEI44" s="129"/>
      <c r="DEJ44" s="129"/>
      <c r="DEK44" s="129"/>
      <c r="DEL44" s="129"/>
      <c r="DEM44" s="129"/>
      <c r="DEN44" s="129"/>
      <c r="DEO44" s="129"/>
      <c r="DEP44" s="129"/>
      <c r="DEQ44" s="129"/>
      <c r="DER44" s="129"/>
      <c r="DES44" s="129"/>
      <c r="DET44" s="129"/>
      <c r="DEU44" s="129"/>
      <c r="DEV44" s="129"/>
      <c r="DEW44" s="129"/>
      <c r="DEX44" s="129"/>
      <c r="DEY44" s="129"/>
      <c r="DEZ44" s="129"/>
      <c r="DFA44" s="129"/>
      <c r="DFB44" s="128"/>
      <c r="DFC44" s="128"/>
      <c r="DFD44" s="128"/>
      <c r="DFE44" s="128"/>
      <c r="DFF44" s="128"/>
      <c r="DFG44" s="128"/>
      <c r="DFH44" s="129"/>
      <c r="DFI44" s="129"/>
      <c r="DFJ44" s="129"/>
      <c r="DFK44" s="129"/>
      <c r="DFL44" s="129"/>
      <c r="DFM44" s="129"/>
      <c r="DFN44" s="129"/>
      <c r="DFO44" s="129"/>
      <c r="DFP44" s="129"/>
      <c r="DFQ44" s="129"/>
      <c r="DFR44" s="129"/>
      <c r="DFS44" s="129"/>
      <c r="DFT44" s="129"/>
      <c r="DFU44" s="129"/>
      <c r="DFV44" s="129"/>
      <c r="DFW44" s="129"/>
      <c r="DFX44" s="129"/>
      <c r="DFY44" s="129"/>
      <c r="DFZ44" s="129"/>
      <c r="DGA44" s="129"/>
      <c r="DGB44" s="129"/>
      <c r="DGC44" s="129"/>
      <c r="DGD44" s="129"/>
      <c r="DGE44" s="129"/>
      <c r="DGF44" s="129"/>
      <c r="DGG44" s="129"/>
      <c r="DGH44" s="129"/>
      <c r="DGI44" s="129"/>
      <c r="DGJ44" s="128"/>
      <c r="DGK44" s="128"/>
      <c r="DGL44" s="128"/>
      <c r="DGM44" s="128"/>
      <c r="DGN44" s="128"/>
      <c r="DGO44" s="128"/>
      <c r="DGP44" s="128"/>
    </row>
    <row r="45" spans="2:1022 1118:1774 2434:2996" ht="15" customHeight="1" x14ac:dyDescent="0.25">
      <c r="B45" s="322">
        <v>20</v>
      </c>
      <c r="C45" s="316"/>
      <c r="D45" s="316"/>
      <c r="E45" s="316" t="str">
        <f>IFERROR(VLOOKUP(B45,Calculations!$DH$3:$DJ$127,3,FALSE),"")</f>
        <v/>
      </c>
      <c r="F45" s="316"/>
      <c r="G45" s="316"/>
      <c r="H45" s="316"/>
      <c r="I45" s="316"/>
      <c r="J45" s="316"/>
      <c r="K45" s="316"/>
      <c r="L45" s="316"/>
      <c r="M45" s="316"/>
      <c r="N45" s="316"/>
      <c r="O45" s="316"/>
      <c r="P45" s="316"/>
      <c r="Q45" s="316"/>
      <c r="R45" s="316"/>
      <c r="S45" s="316"/>
      <c r="T45" s="316"/>
      <c r="U45" s="316"/>
      <c r="V45" s="316"/>
      <c r="W45" s="316"/>
      <c r="X45" s="316"/>
      <c r="Y45" s="316"/>
      <c r="Z45" s="316"/>
      <c r="AA45" s="316"/>
      <c r="AB45" s="316"/>
      <c r="AC45" s="316"/>
      <c r="AD45" s="316"/>
      <c r="AE45" s="316"/>
      <c r="AF45" s="316"/>
      <c r="AG45" s="323" t="str">
        <f>IFERROR(VLOOKUP(B45,Calculations!$DH$3:$DX$200,17,FALSE),"")</f>
        <v/>
      </c>
      <c r="AH45" s="245"/>
      <c r="AI45" s="245"/>
      <c r="AJ45" s="245"/>
      <c r="AK45" s="245"/>
      <c r="AL45" s="245"/>
      <c r="AM45" s="245"/>
      <c r="AN45" s="245"/>
      <c r="AO45" s="245"/>
      <c r="AP45" s="245"/>
      <c r="AQ45" s="245"/>
      <c r="AR45" s="245"/>
      <c r="AS45" s="245"/>
      <c r="AT45" s="245"/>
      <c r="AU45" s="245"/>
      <c r="AV45" s="245"/>
      <c r="AW45" s="245"/>
      <c r="AX45" s="245"/>
      <c r="AY45" s="245"/>
      <c r="AZ45" s="245"/>
      <c r="BA45" s="324"/>
      <c r="BB45" s="325" t="str">
        <f>IFERROR(IFERROR((VLOOKUP(E45,Calculations!$DR$3:$EJ$200,19,FALSE)),0)+VLOOKUP(B45,Calculations!$DH$3:$DN$200,7,FALSE)+CG45+CO45+IFERROR(VLOOKUP((LEFT(E45,FIND("(",E45)-2)),Calculations!$DJ$3:$EJ$200,26,FALSE),0),"")</f>
        <v/>
      </c>
      <c r="BC45" s="325"/>
      <c r="BD45" s="325"/>
      <c r="BE45" s="325"/>
      <c r="BF45" s="325"/>
      <c r="BG45" s="325"/>
      <c r="BH45" s="325"/>
      <c r="BI45" s="245" t="str">
        <f>IFERROR("x "&amp;VLOOKUP(B45,Calculations!$DH$3:$DY$200,18,FALSE),"")</f>
        <v/>
      </c>
      <c r="BJ45" s="245"/>
      <c r="BK45" s="245"/>
      <c r="BL45" s="245"/>
      <c r="BM45" s="245"/>
      <c r="BN45" s="245"/>
      <c r="BO45" s="245"/>
      <c r="BP45" s="245"/>
      <c r="BQ45" s="245" t="str">
        <f>IFERROR(VLOOKUP(B45,Calculations!$DH$3:$EE$200,22,FALSE),"")</f>
        <v/>
      </c>
      <c r="BR45" s="245"/>
      <c r="BS45" s="245"/>
      <c r="BT45" s="245"/>
      <c r="BU45" s="245"/>
      <c r="BV45" s="245"/>
      <c r="BW45" s="245"/>
      <c r="BX45" s="245"/>
      <c r="BY45" s="245" t="str">
        <f>IFERROR(VLOOKUP(B45,Calculations!$DH$3:$EA$200,19,FALSE)-ROUNDDOWN((CO45/5),0),"")</f>
        <v/>
      </c>
      <c r="BZ45" s="245"/>
      <c r="CA45" s="245"/>
      <c r="CB45" s="245"/>
      <c r="CC45" s="245"/>
      <c r="CD45" s="245"/>
      <c r="CE45" s="245"/>
      <c r="CF45" s="245"/>
      <c r="CG45" s="249">
        <v>0</v>
      </c>
      <c r="CH45" s="249"/>
      <c r="CI45" s="249"/>
      <c r="CJ45" s="249"/>
      <c r="CK45" s="249"/>
      <c r="CL45" s="249"/>
      <c r="CM45" s="249"/>
      <c r="CN45" s="249"/>
      <c r="CO45" s="249">
        <v>0</v>
      </c>
      <c r="CP45" s="249"/>
      <c r="CQ45" s="249"/>
      <c r="CR45" s="249"/>
      <c r="CS45" s="249"/>
      <c r="CT45" s="249"/>
      <c r="CU45" s="249"/>
      <c r="CV45" s="249"/>
      <c r="CW45" s="245" t="str">
        <f>IF(E45="","",IFERROR(VLOOKUP(B45,Calculations!$DH$3:$ED$200,23,FALSE)+CO45+CG45,"- -"))</f>
        <v/>
      </c>
      <c r="CX45" s="245"/>
      <c r="CY45" s="245"/>
      <c r="CZ45" s="245"/>
      <c r="DA45" s="245"/>
      <c r="DB45" s="245"/>
      <c r="DC45" s="245"/>
      <c r="DD45" s="245"/>
      <c r="DE45" s="326" t="str">
        <f>IF(E45="","",IFERROR(VLOOKUP(B45,Calculations!$DH$3:$EE$200,24,FALSE),"- -"))</f>
        <v/>
      </c>
      <c r="DF45" s="245"/>
      <c r="DG45" s="245"/>
      <c r="DH45" s="245"/>
      <c r="DI45" s="245"/>
      <c r="DJ45" s="245"/>
      <c r="DK45" s="245"/>
      <c r="DL45" s="245"/>
      <c r="DM45" s="326" t="str">
        <f>IF(E45="","",IFERROR(VLOOKUP(B45,Calculations!$DH$3:$EJ$200,25,FALSE),"- -"))</f>
        <v/>
      </c>
      <c r="DN45" s="245"/>
      <c r="DO45" s="245"/>
      <c r="DP45" s="245"/>
      <c r="DQ45" s="245"/>
      <c r="DR45" s="245"/>
      <c r="DS45" s="245"/>
      <c r="DT45" s="245"/>
      <c r="DU45" s="245" t="str">
        <f t="shared" si="14"/>
        <v/>
      </c>
      <c r="DV45" s="245"/>
      <c r="DW45" s="245"/>
      <c r="DX45" s="245"/>
      <c r="DY45" s="245"/>
      <c r="DZ45" s="245"/>
      <c r="EA45" s="245"/>
      <c r="EB45" s="245"/>
      <c r="EC45" s="245" t="str">
        <f t="shared" si="15"/>
        <v/>
      </c>
      <c r="ED45" s="245"/>
      <c r="EE45" s="245"/>
      <c r="EF45" s="245"/>
      <c r="EG45" s="245"/>
      <c r="EH45" s="245"/>
      <c r="EI45" s="245"/>
      <c r="EJ45" s="245"/>
      <c r="EK45" s="245" t="str">
        <f t="shared" si="16"/>
        <v/>
      </c>
      <c r="EL45" s="245"/>
      <c r="EM45" s="245"/>
      <c r="EN45" s="245"/>
      <c r="EO45" s="245"/>
      <c r="EP45" s="245"/>
      <c r="EQ45" s="245"/>
      <c r="ER45" s="245"/>
      <c r="ES45" s="245" t="str">
        <f t="shared" si="17"/>
        <v/>
      </c>
      <c r="ET45" s="245"/>
      <c r="EU45" s="245"/>
      <c r="EV45" s="245"/>
      <c r="EW45" s="245"/>
      <c r="EX45" s="245"/>
      <c r="EY45" s="245"/>
      <c r="EZ45" s="250"/>
      <c r="FB45" s="139"/>
      <c r="FC45" s="140"/>
      <c r="FD45" s="140"/>
      <c r="FE45" s="140"/>
      <c r="FF45" s="140"/>
      <c r="FG45" s="140"/>
      <c r="FH45" s="140"/>
      <c r="FI45" s="140"/>
      <c r="FJ45" s="140"/>
      <c r="FK45" s="140"/>
      <c r="FL45" s="140"/>
      <c r="FM45" s="140"/>
      <c r="FN45" s="140"/>
      <c r="FO45" s="140"/>
      <c r="FP45" s="140"/>
      <c r="FQ45" s="140"/>
      <c r="FR45" s="140"/>
      <c r="FS45" s="140"/>
      <c r="FT45" s="140"/>
      <c r="FU45" s="140"/>
      <c r="FV45" s="140"/>
      <c r="FW45" s="140"/>
      <c r="FX45" s="140"/>
      <c r="FY45" s="140"/>
      <c r="FZ45" s="140"/>
      <c r="GA45" s="140"/>
      <c r="GB45" s="140"/>
      <c r="GC45" s="140"/>
      <c r="GD45" s="140"/>
      <c r="GE45" s="140"/>
      <c r="GF45" s="140"/>
      <c r="GG45" s="140"/>
      <c r="GH45" s="140"/>
      <c r="GI45" s="140"/>
      <c r="GJ45" s="140"/>
      <c r="GK45" s="140"/>
      <c r="GL45" s="140"/>
      <c r="GM45" s="140"/>
      <c r="GN45" s="140"/>
      <c r="GO45" s="140"/>
      <c r="GP45" s="140"/>
      <c r="GQ45" s="140"/>
      <c r="GR45" s="140"/>
      <c r="GS45" s="140"/>
      <c r="GT45" s="141">
        <v>0</v>
      </c>
      <c r="GU45" s="141"/>
      <c r="GV45" s="141"/>
      <c r="GW45" s="141"/>
      <c r="GX45" s="141"/>
      <c r="GY45" s="141"/>
      <c r="GZ45" s="141"/>
      <c r="HA45" s="141"/>
      <c r="HB45" s="142" t="str">
        <f>IFERROR(ROUND(Calculations!BV46*GT45,2),"")</f>
        <v/>
      </c>
      <c r="HC45" s="142"/>
      <c r="HD45" s="142"/>
      <c r="HE45" s="142"/>
      <c r="HF45" s="142"/>
      <c r="HG45" s="142"/>
      <c r="HH45" s="142"/>
      <c r="HI45" s="142"/>
      <c r="HJ45" s="142">
        <f>IFERROR(Calculations!BS46+IQ45+IX45,"")</f>
        <v>0</v>
      </c>
      <c r="HK45" s="142"/>
      <c r="HL45" s="142"/>
      <c r="HM45" s="142"/>
      <c r="HN45" s="142"/>
      <c r="HO45" s="142"/>
      <c r="HP45" s="142"/>
      <c r="HQ45" s="142"/>
      <c r="HR45" s="142" t="str">
        <f t="shared" si="9"/>
        <v/>
      </c>
      <c r="HS45" s="142"/>
      <c r="HT45" s="142"/>
      <c r="HU45" s="142"/>
      <c r="HV45" s="142"/>
      <c r="HW45" s="142"/>
      <c r="HX45" s="142"/>
      <c r="HY45" s="142"/>
      <c r="HZ45" s="142" t="str">
        <f>IFERROR(Calculations!BX46,"")</f>
        <v/>
      </c>
      <c r="IA45" s="142"/>
      <c r="IB45" s="142"/>
      <c r="IC45" s="142"/>
      <c r="ID45" s="142"/>
      <c r="IE45" s="142"/>
      <c r="IF45" s="142"/>
      <c r="IG45" s="142"/>
      <c r="IH45" s="142"/>
      <c r="II45" s="142"/>
      <c r="IJ45" s="142" t="str">
        <f>IFERROR(Calculations!BR46+IX45,"")</f>
        <v/>
      </c>
      <c r="IK45" s="142"/>
      <c r="IL45" s="142"/>
      <c r="IM45" s="142"/>
      <c r="IN45" s="142"/>
      <c r="IO45" s="142"/>
      <c r="IP45" s="142"/>
      <c r="IQ45" s="141">
        <v>0</v>
      </c>
      <c r="IR45" s="141"/>
      <c r="IS45" s="141"/>
      <c r="IT45" s="141"/>
      <c r="IU45" s="141"/>
      <c r="IV45" s="141"/>
      <c r="IW45" s="141"/>
      <c r="IX45" s="141">
        <v>0</v>
      </c>
      <c r="IY45" s="141"/>
      <c r="IZ45" s="141"/>
      <c r="JA45" s="141"/>
      <c r="JB45" s="141"/>
      <c r="JC45" s="141"/>
      <c r="JD45" s="141"/>
      <c r="JE45" s="141"/>
      <c r="JF45" s="142"/>
      <c r="JG45" s="142"/>
      <c r="JH45" s="142"/>
      <c r="JI45" s="142"/>
      <c r="JJ45" s="142"/>
      <c r="JK45" s="143" t="str">
        <f>Calculations!AS46</f>
        <v/>
      </c>
      <c r="JL45" s="143"/>
      <c r="JM45" s="143"/>
      <c r="JN45" s="143"/>
      <c r="JO45" s="143"/>
      <c r="JP45" s="143"/>
      <c r="JQ45" s="143"/>
      <c r="JR45" s="143"/>
      <c r="JS45" s="143"/>
      <c r="JT45" s="143"/>
      <c r="JU45" s="143"/>
      <c r="JV45" s="143"/>
      <c r="JW45" s="143"/>
      <c r="JX45" s="143"/>
      <c r="JY45" s="143"/>
      <c r="JZ45" s="143"/>
      <c r="KA45" s="143"/>
      <c r="KB45" s="143"/>
      <c r="KC45" s="143" t="str">
        <f>Calculations!AW46</f>
        <v/>
      </c>
      <c r="KD45" s="143"/>
      <c r="KE45" s="143"/>
      <c r="KF45" s="143"/>
      <c r="KG45" s="143"/>
      <c r="KH45" s="143"/>
      <c r="KI45" s="143"/>
      <c r="KJ45" s="143"/>
      <c r="KK45" s="143"/>
      <c r="KL45" s="143"/>
      <c r="KM45" s="143"/>
      <c r="KN45" s="143"/>
      <c r="KO45" s="143"/>
      <c r="KP45" s="143"/>
      <c r="KQ45" s="143"/>
      <c r="KR45" s="143"/>
      <c r="KS45" s="143"/>
      <c r="KT45" s="143"/>
      <c r="KU45" s="144"/>
      <c r="KV45" s="144"/>
      <c r="KW45" s="144"/>
      <c r="KX45" s="144"/>
      <c r="KY45" s="144"/>
      <c r="KZ45" s="144"/>
      <c r="LA45" s="144"/>
      <c r="LB45" s="144"/>
      <c r="LC45" s="144"/>
      <c r="LD45" s="144"/>
      <c r="LE45" s="144"/>
      <c r="LF45" s="144"/>
      <c r="LG45" s="144"/>
      <c r="LH45" s="144"/>
      <c r="LI45" s="144"/>
      <c r="LJ45" s="144"/>
      <c r="LK45" s="144"/>
      <c r="LL45" s="144"/>
      <c r="LM45" s="144"/>
      <c r="LN45" s="144"/>
      <c r="LO45" s="144"/>
      <c r="LP45" s="144"/>
      <c r="LQ45" s="144"/>
      <c r="LR45" s="144"/>
      <c r="LS45" s="144"/>
      <c r="LT45" s="144"/>
      <c r="LU45" s="144"/>
      <c r="LV45" s="144"/>
      <c r="LW45" s="144"/>
      <c r="LX45" s="144"/>
      <c r="LY45" s="144"/>
      <c r="LZ45" s="144"/>
      <c r="MA45" s="144"/>
      <c r="MB45" s="144"/>
      <c r="MC45" s="144"/>
      <c r="MD45" s="144"/>
      <c r="ME45" s="144"/>
      <c r="MF45" s="144"/>
      <c r="MG45" s="144"/>
      <c r="MH45" s="144"/>
      <c r="MI45" s="144"/>
      <c r="MJ45" s="144"/>
      <c r="MK45" s="144"/>
      <c r="ML45" s="144"/>
      <c r="MM45" s="144"/>
      <c r="MN45" s="144"/>
      <c r="MO45" s="144"/>
      <c r="MP45" s="144"/>
      <c r="MQ45" s="144"/>
      <c r="MR45" s="144"/>
      <c r="MS45" s="144"/>
      <c r="MT45" s="144"/>
      <c r="MU45" s="144"/>
      <c r="MV45" s="144"/>
      <c r="MW45" s="144"/>
      <c r="MX45" s="144"/>
      <c r="MY45" s="144"/>
      <c r="MZ45" s="145"/>
      <c r="APZ45" s="128" t="s">
        <v>255</v>
      </c>
      <c r="AQA45" s="128"/>
      <c r="AQB45" s="128"/>
      <c r="AQC45" s="128"/>
      <c r="AQD45" s="128"/>
      <c r="AQE45" s="128"/>
      <c r="AQF45" s="128"/>
      <c r="AQG45" s="128"/>
      <c r="AQH45" s="128"/>
      <c r="AQI45" s="128"/>
      <c r="AQJ45" s="128"/>
      <c r="AQK45" s="128"/>
      <c r="AQL45" s="128"/>
      <c r="AQM45" s="128"/>
      <c r="AQN45" s="128"/>
      <c r="AQO45" s="128"/>
      <c r="AQP45" s="128"/>
      <c r="AQQ45" s="128"/>
      <c r="AQR45" s="128"/>
      <c r="AQS45" s="128"/>
      <c r="AQT45" s="128"/>
      <c r="AQU45" s="128"/>
      <c r="AQV45" s="128"/>
      <c r="AQW45" s="128"/>
      <c r="AQX45" s="128"/>
      <c r="AQY45" s="128"/>
      <c r="AQZ45" s="128"/>
      <c r="ARA45" s="128"/>
      <c r="ARB45" s="128"/>
      <c r="ARC45" s="128"/>
      <c r="ARD45" s="128"/>
      <c r="ARE45" s="129"/>
      <c r="ARF45" s="129"/>
      <c r="ARG45" s="129"/>
      <c r="ARH45" s="129"/>
      <c r="ARI45" s="129"/>
      <c r="ARJ45" s="129"/>
      <c r="ARK45" s="129"/>
      <c r="ARL45" s="129"/>
      <c r="ARM45" s="129"/>
      <c r="ARN45" s="129"/>
      <c r="ARO45" s="129"/>
      <c r="ARP45" s="129"/>
      <c r="ARQ45" s="129"/>
      <c r="ARR45" s="129"/>
      <c r="ARS45" s="129"/>
      <c r="ART45" s="129"/>
      <c r="ARU45" s="129"/>
      <c r="ARV45" s="129"/>
      <c r="ARW45" s="129"/>
      <c r="ARX45" s="129"/>
      <c r="ARY45" s="129"/>
      <c r="ARZ45" s="128"/>
      <c r="ASA45" s="128"/>
      <c r="ASB45" s="128"/>
      <c r="ASC45" s="128"/>
      <c r="ASD45" s="128"/>
      <c r="ASE45" s="128"/>
      <c r="ASF45" s="129"/>
      <c r="ASG45" s="129"/>
      <c r="ASH45" s="129"/>
      <c r="ASI45" s="129"/>
      <c r="ASJ45" s="129"/>
      <c r="ASK45" s="129"/>
      <c r="ASL45" s="129"/>
      <c r="ASM45" s="129"/>
      <c r="ASN45" s="129"/>
      <c r="ASO45" s="129"/>
      <c r="ASP45" s="129"/>
      <c r="ASQ45" s="129"/>
      <c r="ASR45" s="129"/>
      <c r="ASS45" s="129"/>
      <c r="AST45" s="129"/>
      <c r="ASU45" s="129"/>
      <c r="ASV45" s="129"/>
      <c r="ASW45" s="129"/>
      <c r="ASX45" s="129"/>
      <c r="ASY45" s="129"/>
      <c r="ASZ45" s="129"/>
      <c r="ATA45" s="129"/>
      <c r="ATB45" s="129"/>
      <c r="ATC45" s="129"/>
      <c r="ATD45" s="129"/>
      <c r="ATE45" s="129"/>
      <c r="ATF45" s="129"/>
      <c r="ATG45" s="129"/>
      <c r="ATH45" s="128"/>
      <c r="ATI45" s="128"/>
      <c r="ATJ45" s="128"/>
      <c r="ATK45" s="128"/>
      <c r="ATL45" s="128"/>
      <c r="ATM45" s="128"/>
      <c r="ATN45" s="128"/>
      <c r="BLR45" s="144" t="s">
        <v>339</v>
      </c>
      <c r="BLS45" s="144"/>
      <c r="BLT45" s="144"/>
      <c r="BLU45" s="144"/>
      <c r="BLV45" s="144"/>
      <c r="BLW45" s="144"/>
      <c r="BLX45" s="144"/>
      <c r="BLY45" s="144"/>
      <c r="BLZ45" s="144"/>
      <c r="BMA45" s="144"/>
      <c r="BMB45" s="144"/>
      <c r="BMC45" s="144"/>
      <c r="BMD45" s="144"/>
      <c r="BME45" s="144"/>
      <c r="BMF45" s="144"/>
      <c r="BMG45" s="144"/>
      <c r="BMH45" s="144"/>
      <c r="BMI45" s="144"/>
      <c r="BMJ45" s="144"/>
      <c r="BMK45" s="144"/>
      <c r="BML45" s="144"/>
      <c r="BMM45" s="144"/>
      <c r="BMN45" s="144"/>
      <c r="BMO45" s="144"/>
      <c r="BMP45" s="144"/>
      <c r="BMQ45" s="144"/>
      <c r="BMR45" s="144"/>
      <c r="BMS45" s="144"/>
      <c r="BMT45" s="144"/>
      <c r="BMU45" s="144"/>
      <c r="BMV45" s="144"/>
      <c r="BMW45" s="144"/>
      <c r="BMX45" s="144"/>
      <c r="BMY45" s="144"/>
      <c r="BMZ45" s="144"/>
      <c r="BNA45" s="144"/>
      <c r="BNB45" s="144"/>
      <c r="BNC45" s="144"/>
      <c r="BND45" s="144"/>
      <c r="BNE45" s="144"/>
      <c r="BNF45" s="144"/>
      <c r="BNG45" s="144"/>
      <c r="BNH45" s="144"/>
      <c r="BNI45" s="144"/>
      <c r="BNJ45" s="144"/>
      <c r="BNK45" s="144"/>
      <c r="BNL45" s="144"/>
      <c r="BNM45" s="144"/>
      <c r="BNN45" s="144"/>
      <c r="BNO45" s="144"/>
      <c r="BNP45" s="144"/>
      <c r="BNQ45" s="144"/>
      <c r="BNR45" s="144"/>
      <c r="BNS45" s="144"/>
      <c r="BNT45" s="144"/>
      <c r="BNU45" s="144"/>
      <c r="BNV45" s="144"/>
      <c r="BNW45" s="144"/>
      <c r="BNX45" s="144"/>
      <c r="BNY45" s="144"/>
      <c r="BNZ45" s="144"/>
      <c r="BOA45" s="144"/>
      <c r="BOB45" s="144"/>
      <c r="BOC45" s="144"/>
      <c r="BOD45" s="144"/>
      <c r="BOE45" s="144"/>
      <c r="BOF45" s="144"/>
      <c r="BOG45" s="144"/>
      <c r="BOH45" s="144"/>
      <c r="BOI45" s="144"/>
      <c r="BOJ45" s="144"/>
      <c r="BOK45" s="144"/>
      <c r="BOL45" s="144"/>
      <c r="BOM45" s="144"/>
      <c r="BON45" s="144"/>
      <c r="BOO45" s="144"/>
      <c r="BOP45" s="144"/>
      <c r="BOQ45" s="144"/>
      <c r="BOR45" s="144"/>
      <c r="BOS45" s="144"/>
      <c r="BOT45" s="144"/>
      <c r="BOU45" s="144"/>
      <c r="BOV45" s="144"/>
      <c r="BOW45" s="144"/>
      <c r="BOX45" s="144"/>
      <c r="BOY45" s="144"/>
      <c r="BOZ45" s="144"/>
      <c r="BPA45" s="144"/>
      <c r="BPB45" s="144"/>
      <c r="BPC45" s="144"/>
      <c r="BPD45" s="144"/>
      <c r="BPE45" s="144"/>
      <c r="BPF45" s="144"/>
      <c r="COP45" s="128" t="str">
        <f ca="1">VLOOKUP(3,INDIRECT("Evil"&amp;'Character Creation'!$Z$14),2,FALSE)</f>
        <v>Essence Twisting</v>
      </c>
      <c r="COQ45" s="128"/>
      <c r="COR45" s="128"/>
      <c r="COS45" s="128"/>
      <c r="COT45" s="128"/>
      <c r="COU45" s="128"/>
      <c r="COV45" s="128"/>
      <c r="COW45" s="128"/>
      <c r="COX45" s="128"/>
      <c r="COY45" s="128"/>
      <c r="COZ45" s="128"/>
      <c r="CPA45" s="128"/>
      <c r="CPB45" s="128"/>
      <c r="CPC45" s="128"/>
      <c r="CPD45" s="128"/>
      <c r="CPE45" s="128"/>
      <c r="CPF45" s="128"/>
      <c r="CPG45" s="128"/>
      <c r="CPH45" s="128"/>
      <c r="CPI45" s="128"/>
      <c r="CPJ45" s="128"/>
      <c r="CPK45" s="128"/>
      <c r="CPL45" s="128"/>
      <c r="CPM45" s="128"/>
      <c r="CPN45" s="128"/>
      <c r="CPO45" s="128"/>
      <c r="CPP45" s="128"/>
      <c r="CPQ45" s="128"/>
      <c r="CPR45" s="128"/>
      <c r="CPS45" s="128"/>
      <c r="CPT45" s="128"/>
      <c r="CPU45" s="129"/>
      <c r="CPV45" s="129"/>
      <c r="CPW45" s="129"/>
      <c r="CPX45" s="129"/>
      <c r="CPY45" s="129"/>
      <c r="CPZ45" s="129"/>
      <c r="CQA45" s="129"/>
      <c r="CQB45" s="129"/>
      <c r="CQC45" s="129"/>
      <c r="CQD45" s="129"/>
      <c r="CQE45" s="129"/>
      <c r="CQF45" s="129"/>
      <c r="CQG45" s="129"/>
      <c r="CQH45" s="129"/>
      <c r="CQI45" s="129"/>
      <c r="CQJ45" s="129"/>
      <c r="CQK45" s="129"/>
      <c r="CQL45" s="129"/>
      <c r="CQM45" s="129"/>
      <c r="CQN45" s="129"/>
      <c r="CQO45" s="129"/>
      <c r="CQP45" s="128"/>
      <c r="CQQ45" s="128"/>
      <c r="CQR45" s="128"/>
      <c r="CQS45" s="128"/>
      <c r="CQT45" s="128"/>
      <c r="CQU45" s="128"/>
      <c r="CQV45" s="129"/>
      <c r="CQW45" s="129"/>
      <c r="CQX45" s="129"/>
      <c r="CQY45" s="129"/>
      <c r="CQZ45" s="129"/>
      <c r="CRA45" s="129"/>
      <c r="CRB45" s="129"/>
      <c r="CRC45" s="129"/>
      <c r="CRD45" s="129"/>
      <c r="CRE45" s="129"/>
      <c r="CRF45" s="129"/>
      <c r="CRG45" s="129"/>
      <c r="CRH45" s="129"/>
      <c r="CRI45" s="129"/>
      <c r="CRJ45" s="129"/>
      <c r="CRK45" s="129"/>
      <c r="CRL45" s="129"/>
      <c r="CRM45" s="129"/>
      <c r="CRN45" s="129"/>
      <c r="CRO45" s="129"/>
      <c r="CRP45" s="129"/>
      <c r="CRQ45" s="129"/>
      <c r="CRR45" s="129"/>
      <c r="CRS45" s="129"/>
      <c r="CRT45" s="129"/>
      <c r="CRU45" s="129"/>
      <c r="CRV45" s="129"/>
      <c r="CRW45" s="129"/>
      <c r="CRX45" s="128"/>
      <c r="CRY45" s="128"/>
      <c r="CRZ45" s="128"/>
      <c r="CSA45" s="128"/>
      <c r="CSB45" s="128"/>
      <c r="CSC45" s="128"/>
      <c r="CSD45" s="128"/>
      <c r="CSF45" s="128" t="s">
        <v>470</v>
      </c>
      <c r="CSG45" s="128"/>
      <c r="CSH45" s="128"/>
      <c r="CSI45" s="128"/>
      <c r="CSJ45" s="128"/>
      <c r="CSK45" s="128"/>
      <c r="CSL45" s="128"/>
      <c r="CSM45" s="128"/>
      <c r="CSN45" s="128"/>
      <c r="CSO45" s="128"/>
      <c r="CSP45" s="128"/>
      <c r="CSQ45" s="128"/>
      <c r="CSR45" s="128"/>
      <c r="CSS45" s="128"/>
      <c r="CST45" s="128"/>
      <c r="CSU45" s="128"/>
      <c r="CSV45" s="128"/>
      <c r="CSW45" s="128"/>
      <c r="CSX45" s="128"/>
      <c r="CSY45" s="128"/>
      <c r="CSZ45" s="128"/>
      <c r="CTA45" s="128"/>
      <c r="CTB45" s="128"/>
      <c r="CTC45" s="128"/>
      <c r="CTD45" s="128"/>
      <c r="CTE45" s="128"/>
      <c r="CTF45" s="128"/>
      <c r="CTG45" s="128"/>
      <c r="CTH45" s="128"/>
      <c r="CTI45" s="128"/>
      <c r="CTJ45" s="128"/>
      <c r="CTK45" s="129"/>
      <c r="CTL45" s="129"/>
      <c r="CTM45" s="129"/>
      <c r="CTN45" s="129"/>
      <c r="CTO45" s="129"/>
      <c r="CTP45" s="129"/>
      <c r="CTQ45" s="129"/>
      <c r="CTR45" s="129"/>
      <c r="CTS45" s="129"/>
      <c r="CTT45" s="129"/>
      <c r="CTU45" s="129"/>
      <c r="CTV45" s="129"/>
      <c r="CTW45" s="129"/>
      <c r="CTX45" s="129"/>
      <c r="CTY45" s="129"/>
      <c r="CTZ45" s="129"/>
      <c r="CUA45" s="129"/>
      <c r="CUB45" s="129"/>
      <c r="CUC45" s="129"/>
      <c r="CUD45" s="129"/>
      <c r="CUE45" s="129"/>
      <c r="CUF45" s="128"/>
      <c r="CUG45" s="128"/>
      <c r="CUH45" s="128"/>
      <c r="CUI45" s="128"/>
      <c r="CUJ45" s="128"/>
      <c r="CUK45" s="128"/>
      <c r="CUL45" s="129"/>
      <c r="CUM45" s="129"/>
      <c r="CUN45" s="129"/>
      <c r="CUO45" s="129"/>
      <c r="CUP45" s="129"/>
      <c r="CUQ45" s="129"/>
      <c r="CUR45" s="129"/>
      <c r="CUS45" s="129"/>
      <c r="CUT45" s="129"/>
      <c r="CUU45" s="129"/>
      <c r="CUV45" s="129"/>
      <c r="CUW45" s="129"/>
      <c r="CUX45" s="129"/>
      <c r="CUY45" s="129"/>
      <c r="CUZ45" s="129"/>
      <c r="CVA45" s="129"/>
      <c r="CVB45" s="129"/>
      <c r="CVC45" s="129"/>
      <c r="CVD45" s="129"/>
      <c r="CVE45" s="129"/>
      <c r="CVF45" s="129"/>
      <c r="CVG45" s="129"/>
      <c r="CVH45" s="129"/>
      <c r="CVI45" s="129"/>
      <c r="CVJ45" s="129"/>
      <c r="CVK45" s="129"/>
      <c r="CVL45" s="129"/>
      <c r="CVM45" s="129"/>
      <c r="CVN45" s="128"/>
      <c r="CVO45" s="128"/>
      <c r="CVP45" s="128"/>
      <c r="CVQ45" s="128"/>
      <c r="CVR45" s="128"/>
      <c r="CVS45" s="128"/>
      <c r="CVT45" s="128"/>
      <c r="DDB45" s="128" t="s">
        <v>547</v>
      </c>
      <c r="DDC45" s="128"/>
      <c r="DDD45" s="128"/>
      <c r="DDE45" s="128"/>
      <c r="DDF45" s="128"/>
      <c r="DDG45" s="128"/>
      <c r="DDH45" s="128"/>
      <c r="DDI45" s="128"/>
      <c r="DDJ45" s="128"/>
      <c r="DDK45" s="128"/>
      <c r="DDL45" s="128"/>
      <c r="DDM45" s="128"/>
      <c r="DDN45" s="128"/>
      <c r="DDO45" s="128"/>
      <c r="DDP45" s="128"/>
      <c r="DDQ45" s="128"/>
      <c r="DDR45" s="128"/>
      <c r="DDS45" s="128"/>
      <c r="DDT45" s="128"/>
      <c r="DDU45" s="128"/>
      <c r="DDV45" s="128"/>
      <c r="DDW45" s="128"/>
      <c r="DDX45" s="128"/>
      <c r="DDY45" s="128"/>
      <c r="DDZ45" s="128"/>
      <c r="DEA45" s="128"/>
      <c r="DEB45" s="128"/>
      <c r="DEC45" s="128"/>
      <c r="DED45" s="128"/>
      <c r="DEE45" s="128"/>
      <c r="DEF45" s="128"/>
      <c r="DEG45" s="129"/>
      <c r="DEH45" s="129"/>
      <c r="DEI45" s="129"/>
      <c r="DEJ45" s="129"/>
      <c r="DEK45" s="129"/>
      <c r="DEL45" s="129"/>
      <c r="DEM45" s="129"/>
      <c r="DEN45" s="129"/>
      <c r="DEO45" s="129"/>
      <c r="DEP45" s="129"/>
      <c r="DEQ45" s="129"/>
      <c r="DER45" s="129"/>
      <c r="DES45" s="129"/>
      <c r="DET45" s="129"/>
      <c r="DEU45" s="129"/>
      <c r="DEV45" s="129"/>
      <c r="DEW45" s="129"/>
      <c r="DEX45" s="129"/>
      <c r="DEY45" s="129"/>
      <c r="DEZ45" s="129"/>
      <c r="DFA45" s="129"/>
      <c r="DFB45" s="128"/>
      <c r="DFC45" s="128"/>
      <c r="DFD45" s="128"/>
      <c r="DFE45" s="128"/>
      <c r="DFF45" s="128"/>
      <c r="DFG45" s="128"/>
      <c r="DFH45" s="129"/>
      <c r="DFI45" s="129"/>
      <c r="DFJ45" s="129"/>
      <c r="DFK45" s="129"/>
      <c r="DFL45" s="129"/>
      <c r="DFM45" s="129"/>
      <c r="DFN45" s="129"/>
      <c r="DFO45" s="129"/>
      <c r="DFP45" s="129"/>
      <c r="DFQ45" s="129"/>
      <c r="DFR45" s="129"/>
      <c r="DFS45" s="129"/>
      <c r="DFT45" s="129"/>
      <c r="DFU45" s="129"/>
      <c r="DFV45" s="129"/>
      <c r="DFW45" s="129"/>
      <c r="DFX45" s="129"/>
      <c r="DFY45" s="129"/>
      <c r="DFZ45" s="129"/>
      <c r="DGA45" s="129"/>
      <c r="DGB45" s="129"/>
      <c r="DGC45" s="129"/>
      <c r="DGD45" s="129"/>
      <c r="DGE45" s="129"/>
      <c r="DGF45" s="129"/>
      <c r="DGG45" s="129"/>
      <c r="DGH45" s="129"/>
      <c r="DGI45" s="129"/>
      <c r="DGJ45" s="128"/>
      <c r="DGK45" s="128"/>
      <c r="DGL45" s="128"/>
      <c r="DGM45" s="128"/>
      <c r="DGN45" s="128"/>
      <c r="DGO45" s="128"/>
      <c r="DGP45" s="128"/>
    </row>
    <row r="46" spans="2:1022 1118:1774 2434:2996" ht="15" customHeight="1" x14ac:dyDescent="0.25">
      <c r="FB46" s="139"/>
      <c r="FC46" s="140"/>
      <c r="FD46" s="140"/>
      <c r="FE46" s="140"/>
      <c r="FF46" s="140"/>
      <c r="FG46" s="140"/>
      <c r="FH46" s="140"/>
      <c r="FI46" s="140"/>
      <c r="FJ46" s="140"/>
      <c r="FK46" s="140"/>
      <c r="FL46" s="140"/>
      <c r="FM46" s="140"/>
      <c r="FN46" s="140"/>
      <c r="FO46" s="140"/>
      <c r="FP46" s="140"/>
      <c r="FQ46" s="140"/>
      <c r="FR46" s="140"/>
      <c r="FS46" s="140"/>
      <c r="FT46" s="140"/>
      <c r="FU46" s="140"/>
      <c r="FV46" s="140"/>
      <c r="FW46" s="140"/>
      <c r="FX46" s="140"/>
      <c r="FY46" s="140"/>
      <c r="FZ46" s="140"/>
      <c r="GA46" s="140"/>
      <c r="GB46" s="140"/>
      <c r="GC46" s="140"/>
      <c r="GD46" s="140"/>
      <c r="GE46" s="140"/>
      <c r="GF46" s="140"/>
      <c r="GG46" s="140"/>
      <c r="GH46" s="140"/>
      <c r="GI46" s="140"/>
      <c r="GJ46" s="140"/>
      <c r="GK46" s="140"/>
      <c r="GL46" s="140"/>
      <c r="GM46" s="140"/>
      <c r="GN46" s="140"/>
      <c r="GO46" s="140"/>
      <c r="GP46" s="140"/>
      <c r="GQ46" s="140"/>
      <c r="GR46" s="140"/>
      <c r="GS46" s="140"/>
      <c r="GT46" s="141">
        <v>0</v>
      </c>
      <c r="GU46" s="141"/>
      <c r="GV46" s="141"/>
      <c r="GW46" s="141"/>
      <c r="GX46" s="141"/>
      <c r="GY46" s="141"/>
      <c r="GZ46" s="141"/>
      <c r="HA46" s="141"/>
      <c r="HB46" s="142" t="str">
        <f>IFERROR(ROUND(Calculations!BV47*GT46,2),"")</f>
        <v/>
      </c>
      <c r="HC46" s="142"/>
      <c r="HD46" s="142"/>
      <c r="HE46" s="142"/>
      <c r="HF46" s="142"/>
      <c r="HG46" s="142"/>
      <c r="HH46" s="142"/>
      <c r="HI46" s="142"/>
      <c r="HJ46" s="142">
        <f>IFERROR(Calculations!BS47+IQ46+IX46,"")</f>
        <v>0</v>
      </c>
      <c r="HK46" s="142"/>
      <c r="HL46" s="142"/>
      <c r="HM46" s="142"/>
      <c r="HN46" s="142"/>
      <c r="HO46" s="142"/>
      <c r="HP46" s="142"/>
      <c r="HQ46" s="142"/>
      <c r="HR46" s="142" t="str">
        <f t="shared" si="9"/>
        <v/>
      </c>
      <c r="HS46" s="142"/>
      <c r="HT46" s="142"/>
      <c r="HU46" s="142"/>
      <c r="HV46" s="142"/>
      <c r="HW46" s="142"/>
      <c r="HX46" s="142"/>
      <c r="HY46" s="142"/>
      <c r="HZ46" s="142" t="str">
        <f>IFERROR(Calculations!BX47,"")</f>
        <v/>
      </c>
      <c r="IA46" s="142"/>
      <c r="IB46" s="142"/>
      <c r="IC46" s="142"/>
      <c r="ID46" s="142"/>
      <c r="IE46" s="142"/>
      <c r="IF46" s="142"/>
      <c r="IG46" s="142"/>
      <c r="IH46" s="142"/>
      <c r="II46" s="142"/>
      <c r="IJ46" s="142" t="str">
        <f>IFERROR(Calculations!BR47+IX46,"")</f>
        <v/>
      </c>
      <c r="IK46" s="142"/>
      <c r="IL46" s="142"/>
      <c r="IM46" s="142"/>
      <c r="IN46" s="142"/>
      <c r="IO46" s="142"/>
      <c r="IP46" s="142"/>
      <c r="IQ46" s="141">
        <v>0</v>
      </c>
      <c r="IR46" s="141"/>
      <c r="IS46" s="141"/>
      <c r="IT46" s="141"/>
      <c r="IU46" s="141"/>
      <c r="IV46" s="141"/>
      <c r="IW46" s="141"/>
      <c r="IX46" s="141">
        <v>0</v>
      </c>
      <c r="IY46" s="141"/>
      <c r="IZ46" s="141"/>
      <c r="JA46" s="141"/>
      <c r="JB46" s="141"/>
      <c r="JC46" s="141"/>
      <c r="JD46" s="141"/>
      <c r="JE46" s="141"/>
      <c r="JF46" s="142"/>
      <c r="JG46" s="142"/>
      <c r="JH46" s="142"/>
      <c r="JI46" s="142"/>
      <c r="JJ46" s="142"/>
      <c r="JK46" s="143" t="str">
        <f>Calculations!AS47</f>
        <v/>
      </c>
      <c r="JL46" s="143"/>
      <c r="JM46" s="143"/>
      <c r="JN46" s="143"/>
      <c r="JO46" s="143"/>
      <c r="JP46" s="143"/>
      <c r="JQ46" s="143"/>
      <c r="JR46" s="143"/>
      <c r="JS46" s="143"/>
      <c r="JT46" s="143"/>
      <c r="JU46" s="143"/>
      <c r="JV46" s="143"/>
      <c r="JW46" s="143"/>
      <c r="JX46" s="143"/>
      <c r="JY46" s="143"/>
      <c r="JZ46" s="143"/>
      <c r="KA46" s="143"/>
      <c r="KB46" s="143"/>
      <c r="KC46" s="143" t="str">
        <f>Calculations!AW47</f>
        <v/>
      </c>
      <c r="KD46" s="143"/>
      <c r="KE46" s="143"/>
      <c r="KF46" s="143"/>
      <c r="KG46" s="143"/>
      <c r="KH46" s="143"/>
      <c r="KI46" s="143"/>
      <c r="KJ46" s="143"/>
      <c r="KK46" s="143"/>
      <c r="KL46" s="143"/>
      <c r="KM46" s="143"/>
      <c r="KN46" s="143"/>
      <c r="KO46" s="143"/>
      <c r="KP46" s="143"/>
      <c r="KQ46" s="143"/>
      <c r="KR46" s="143"/>
      <c r="KS46" s="143"/>
      <c r="KT46" s="143"/>
      <c r="KU46" s="144"/>
      <c r="KV46" s="144"/>
      <c r="KW46" s="144"/>
      <c r="KX46" s="144"/>
      <c r="KY46" s="144"/>
      <c r="KZ46" s="144"/>
      <c r="LA46" s="144"/>
      <c r="LB46" s="144"/>
      <c r="LC46" s="144"/>
      <c r="LD46" s="144"/>
      <c r="LE46" s="144"/>
      <c r="LF46" s="144"/>
      <c r="LG46" s="144"/>
      <c r="LH46" s="144"/>
      <c r="LI46" s="144"/>
      <c r="LJ46" s="144"/>
      <c r="LK46" s="144"/>
      <c r="LL46" s="144"/>
      <c r="LM46" s="144"/>
      <c r="LN46" s="144"/>
      <c r="LO46" s="144"/>
      <c r="LP46" s="144"/>
      <c r="LQ46" s="144"/>
      <c r="LR46" s="144"/>
      <c r="LS46" s="144"/>
      <c r="LT46" s="144"/>
      <c r="LU46" s="144"/>
      <c r="LV46" s="144"/>
      <c r="LW46" s="144"/>
      <c r="LX46" s="144"/>
      <c r="LY46" s="144"/>
      <c r="LZ46" s="144"/>
      <c r="MA46" s="144"/>
      <c r="MB46" s="144"/>
      <c r="MC46" s="144"/>
      <c r="MD46" s="144"/>
      <c r="ME46" s="144"/>
      <c r="MF46" s="144"/>
      <c r="MG46" s="144"/>
      <c r="MH46" s="144"/>
      <c r="MI46" s="144"/>
      <c r="MJ46" s="144"/>
      <c r="MK46" s="144"/>
      <c r="ML46" s="144"/>
      <c r="MM46" s="144"/>
      <c r="MN46" s="144"/>
      <c r="MO46" s="144"/>
      <c r="MP46" s="144"/>
      <c r="MQ46" s="144"/>
      <c r="MR46" s="144"/>
      <c r="MS46" s="144"/>
      <c r="MT46" s="144"/>
      <c r="MU46" s="144"/>
      <c r="MV46" s="144"/>
      <c r="MW46" s="144"/>
      <c r="MX46" s="144"/>
      <c r="MY46" s="144"/>
      <c r="MZ46" s="145"/>
      <c r="APZ46" s="128" t="s">
        <v>584</v>
      </c>
      <c r="AQA46" s="128"/>
      <c r="AQB46" s="128"/>
      <c r="AQC46" s="128"/>
      <c r="AQD46" s="128"/>
      <c r="AQE46" s="128"/>
      <c r="AQF46" s="128"/>
      <c r="AQG46" s="128"/>
      <c r="AQH46" s="128"/>
      <c r="AQI46" s="128"/>
      <c r="AQJ46" s="128"/>
      <c r="AQK46" s="128"/>
      <c r="AQL46" s="128"/>
      <c r="AQM46" s="128"/>
      <c r="AQN46" s="128"/>
      <c r="AQO46" s="128"/>
      <c r="AQP46" s="128"/>
      <c r="AQQ46" s="128"/>
      <c r="AQR46" s="128"/>
      <c r="AQS46" s="128"/>
      <c r="AQT46" s="128"/>
      <c r="AQU46" s="128"/>
      <c r="AQV46" s="128"/>
      <c r="AQW46" s="128"/>
      <c r="AQX46" s="128"/>
      <c r="AQY46" s="128"/>
      <c r="AQZ46" s="128"/>
      <c r="ARA46" s="128"/>
      <c r="ARB46" s="128"/>
      <c r="ARC46" s="128"/>
      <c r="ARD46" s="128"/>
      <c r="ARE46" s="129"/>
      <c r="ARF46" s="129"/>
      <c r="ARG46" s="129"/>
      <c r="ARH46" s="129"/>
      <c r="ARI46" s="129"/>
      <c r="ARJ46" s="129"/>
      <c r="ARK46" s="129"/>
      <c r="ARL46" s="129"/>
      <c r="ARM46" s="129"/>
      <c r="ARN46" s="129"/>
      <c r="ARO46" s="129"/>
      <c r="ARP46" s="129"/>
      <c r="ARQ46" s="129"/>
      <c r="ARR46" s="129"/>
      <c r="ARS46" s="129"/>
      <c r="ART46" s="129"/>
      <c r="ARU46" s="129"/>
      <c r="ARV46" s="129"/>
      <c r="ARW46" s="129"/>
      <c r="ARX46" s="129"/>
      <c r="ARY46" s="129"/>
      <c r="ARZ46" s="128"/>
      <c r="ASA46" s="128"/>
      <c r="ASB46" s="128"/>
      <c r="ASC46" s="128"/>
      <c r="ASD46" s="128"/>
      <c r="ASE46" s="128"/>
      <c r="ASF46" s="129"/>
      <c r="ASG46" s="129"/>
      <c r="ASH46" s="129"/>
      <c r="ASI46" s="129"/>
      <c r="ASJ46" s="129"/>
      <c r="ASK46" s="129"/>
      <c r="ASL46" s="129"/>
      <c r="ASM46" s="129"/>
      <c r="ASN46" s="129"/>
      <c r="ASO46" s="129"/>
      <c r="ASP46" s="129"/>
      <c r="ASQ46" s="129"/>
      <c r="ASR46" s="129"/>
      <c r="ASS46" s="129"/>
      <c r="AST46" s="129"/>
      <c r="ASU46" s="129"/>
      <c r="ASV46" s="129"/>
      <c r="ASW46" s="129"/>
      <c r="ASX46" s="129"/>
      <c r="ASY46" s="129"/>
      <c r="ASZ46" s="129"/>
      <c r="ATA46" s="129"/>
      <c r="ATB46" s="129"/>
      <c r="ATC46" s="129"/>
      <c r="ATD46" s="129"/>
      <c r="ATE46" s="129"/>
      <c r="ATF46" s="129"/>
      <c r="ATG46" s="129"/>
      <c r="ATH46" s="128"/>
      <c r="ATI46" s="128"/>
      <c r="ATJ46" s="128"/>
      <c r="ATK46" s="128"/>
      <c r="ATL46" s="128"/>
      <c r="ATM46" s="128"/>
      <c r="ATN46" s="128"/>
      <c r="BLR46" s="144" t="s">
        <v>147</v>
      </c>
      <c r="BLS46" s="144"/>
      <c r="BLT46" s="144"/>
      <c r="BLU46" s="144"/>
      <c r="BLV46" s="144"/>
      <c r="BLW46" s="144"/>
      <c r="BLX46" s="144"/>
      <c r="BLY46" s="144"/>
      <c r="BLZ46" s="144"/>
      <c r="BMA46" s="144"/>
      <c r="BMB46" s="144"/>
      <c r="BMC46" s="144"/>
      <c r="BMD46" s="144"/>
      <c r="BME46" s="144"/>
      <c r="BMF46" s="144"/>
      <c r="BMG46" s="144"/>
      <c r="BMH46" s="144"/>
      <c r="BMI46" s="144"/>
      <c r="BMJ46" s="144"/>
      <c r="BMK46" s="144"/>
      <c r="BML46" s="144"/>
      <c r="BMM46" s="144"/>
      <c r="BMN46" s="144"/>
      <c r="BMO46" s="144"/>
      <c r="BMP46" s="144"/>
      <c r="BMQ46" s="144"/>
      <c r="BMR46" s="144"/>
      <c r="BMS46" s="144"/>
      <c r="BMT46" s="144"/>
      <c r="BMU46" s="144"/>
      <c r="BMV46" s="144"/>
      <c r="BMW46" s="129" t="s">
        <v>133</v>
      </c>
      <c r="BMX46" s="129"/>
      <c r="BMY46" s="129"/>
      <c r="BMZ46" s="129"/>
      <c r="BNA46" s="129" t="s">
        <v>148</v>
      </c>
      <c r="BNB46" s="129"/>
      <c r="BNC46" s="129"/>
      <c r="BND46" s="129"/>
      <c r="BNE46" s="129"/>
      <c r="BNF46" s="129" t="s">
        <v>83</v>
      </c>
      <c r="BNG46" s="129"/>
      <c r="BNH46" s="129"/>
      <c r="BNI46" s="129"/>
      <c r="BNJ46" s="129"/>
      <c r="BNK46" s="129"/>
      <c r="BNL46" s="129" t="s">
        <v>37</v>
      </c>
      <c r="BNM46" s="129"/>
      <c r="BNN46" s="129"/>
      <c r="BNO46" s="129"/>
      <c r="BNP46" s="129"/>
      <c r="BNQ46" s="129"/>
      <c r="BNR46" s="129" t="s">
        <v>49</v>
      </c>
      <c r="BNS46" s="129"/>
      <c r="BNT46" s="129"/>
      <c r="BNU46" s="129"/>
      <c r="BNV46" s="129"/>
      <c r="BNW46" s="129"/>
      <c r="BNX46" s="129" t="s">
        <v>149</v>
      </c>
      <c r="BNY46" s="129"/>
      <c r="BNZ46" s="129"/>
      <c r="BOA46" s="129"/>
      <c r="BOB46" s="129"/>
      <c r="BOC46" s="129"/>
      <c r="BOD46" s="129"/>
      <c r="BOE46" s="129" t="s">
        <v>150</v>
      </c>
      <c r="BOF46" s="129"/>
      <c r="BOG46" s="129"/>
      <c r="BOH46" s="129"/>
      <c r="BOI46" s="129"/>
      <c r="BOJ46" s="129"/>
      <c r="BOK46" s="129"/>
      <c r="BOL46" s="129" t="s">
        <v>151</v>
      </c>
      <c r="BOM46" s="129"/>
      <c r="BON46" s="129"/>
      <c r="BOO46" s="129"/>
      <c r="BOP46" s="129"/>
      <c r="BOQ46" s="129"/>
      <c r="BOR46" s="129"/>
      <c r="BOS46" s="129" t="s">
        <v>37</v>
      </c>
      <c r="BOT46" s="129"/>
      <c r="BOU46" s="129"/>
      <c r="BOV46" s="129"/>
      <c r="BOW46" s="129"/>
      <c r="BOX46" s="129"/>
      <c r="BOY46" s="129"/>
      <c r="BOZ46" s="129" t="s">
        <v>40</v>
      </c>
      <c r="BPA46" s="129"/>
      <c r="BPB46" s="129"/>
      <c r="BPC46" s="129"/>
      <c r="BPD46" s="129"/>
      <c r="BPE46" s="129"/>
      <c r="BPF46" s="129"/>
      <c r="COP46" s="128" t="str">
        <f ca="1">VLOOKUP(4,INDIRECT("Evil"&amp;'Character Creation'!$Z$14),2,FALSE)</f>
        <v>Foul Transformations</v>
      </c>
      <c r="COQ46" s="128"/>
      <c r="COR46" s="128"/>
      <c r="COS46" s="128"/>
      <c r="COT46" s="128"/>
      <c r="COU46" s="128"/>
      <c r="COV46" s="128"/>
      <c r="COW46" s="128"/>
      <c r="COX46" s="128"/>
      <c r="COY46" s="128"/>
      <c r="COZ46" s="128"/>
      <c r="CPA46" s="128"/>
      <c r="CPB46" s="128"/>
      <c r="CPC46" s="128"/>
      <c r="CPD46" s="128"/>
      <c r="CPE46" s="128"/>
      <c r="CPF46" s="128"/>
      <c r="CPG46" s="128"/>
      <c r="CPH46" s="128"/>
      <c r="CPI46" s="128"/>
      <c r="CPJ46" s="128"/>
      <c r="CPK46" s="128"/>
      <c r="CPL46" s="128"/>
      <c r="CPM46" s="128"/>
      <c r="CPN46" s="128"/>
      <c r="CPO46" s="128"/>
      <c r="CPP46" s="128"/>
      <c r="CPQ46" s="128"/>
      <c r="CPR46" s="128"/>
      <c r="CPS46" s="128"/>
      <c r="CPT46" s="128"/>
      <c r="CPU46" s="129"/>
      <c r="CPV46" s="129"/>
      <c r="CPW46" s="129"/>
      <c r="CPX46" s="129"/>
      <c r="CPY46" s="129"/>
      <c r="CPZ46" s="129"/>
      <c r="CQA46" s="129"/>
      <c r="CQB46" s="129"/>
      <c r="CQC46" s="129"/>
      <c r="CQD46" s="129"/>
      <c r="CQE46" s="129"/>
      <c r="CQF46" s="129"/>
      <c r="CQG46" s="129"/>
      <c r="CQH46" s="129"/>
      <c r="CQI46" s="129"/>
      <c r="CQJ46" s="129"/>
      <c r="CQK46" s="129"/>
      <c r="CQL46" s="129"/>
      <c r="CQM46" s="129"/>
      <c r="CQN46" s="129"/>
      <c r="CQO46" s="129"/>
      <c r="CQP46" s="128"/>
      <c r="CQQ46" s="128"/>
      <c r="CQR46" s="128"/>
      <c r="CQS46" s="128"/>
      <c r="CQT46" s="128"/>
      <c r="CQU46" s="128"/>
      <c r="CQV46" s="129"/>
      <c r="CQW46" s="129"/>
      <c r="CQX46" s="129"/>
      <c r="CQY46" s="129"/>
      <c r="CQZ46" s="129"/>
      <c r="CRA46" s="129"/>
      <c r="CRB46" s="129"/>
      <c r="CRC46" s="129"/>
      <c r="CRD46" s="129"/>
      <c r="CRE46" s="129"/>
      <c r="CRF46" s="129"/>
      <c r="CRG46" s="129"/>
      <c r="CRH46" s="129"/>
      <c r="CRI46" s="129"/>
      <c r="CRJ46" s="129"/>
      <c r="CRK46" s="129"/>
      <c r="CRL46" s="129"/>
      <c r="CRM46" s="129"/>
      <c r="CRN46" s="129"/>
      <c r="CRO46" s="129"/>
      <c r="CRP46" s="129"/>
      <c r="CRQ46" s="129"/>
      <c r="CRR46" s="129"/>
      <c r="CRS46" s="129"/>
      <c r="CRT46" s="129"/>
      <c r="CRU46" s="129"/>
      <c r="CRV46" s="129"/>
      <c r="CRW46" s="129"/>
      <c r="CRX46" s="128"/>
      <c r="CRY46" s="128"/>
      <c r="CRZ46" s="128"/>
      <c r="CSA46" s="128"/>
      <c r="CSB46" s="128"/>
      <c r="CSC46" s="128"/>
      <c r="CSD46" s="128"/>
      <c r="CSF46" s="128" t="s">
        <v>471</v>
      </c>
      <c r="CSG46" s="128"/>
      <c r="CSH46" s="128"/>
      <c r="CSI46" s="128"/>
      <c r="CSJ46" s="128"/>
      <c r="CSK46" s="128"/>
      <c r="CSL46" s="128"/>
      <c r="CSM46" s="128"/>
      <c r="CSN46" s="128"/>
      <c r="CSO46" s="128"/>
      <c r="CSP46" s="128"/>
      <c r="CSQ46" s="128"/>
      <c r="CSR46" s="128"/>
      <c r="CSS46" s="128"/>
      <c r="CST46" s="128"/>
      <c r="CSU46" s="128"/>
      <c r="CSV46" s="128"/>
      <c r="CSW46" s="128"/>
      <c r="CSX46" s="128"/>
      <c r="CSY46" s="128"/>
      <c r="CSZ46" s="128"/>
      <c r="CTA46" s="128"/>
      <c r="CTB46" s="128"/>
      <c r="CTC46" s="128"/>
      <c r="CTD46" s="128"/>
      <c r="CTE46" s="128"/>
      <c r="CTF46" s="128"/>
      <c r="CTG46" s="128"/>
      <c r="CTH46" s="128"/>
      <c r="CTI46" s="128"/>
      <c r="CTJ46" s="128"/>
      <c r="CTK46" s="129"/>
      <c r="CTL46" s="129"/>
      <c r="CTM46" s="129"/>
      <c r="CTN46" s="129"/>
      <c r="CTO46" s="129"/>
      <c r="CTP46" s="129"/>
      <c r="CTQ46" s="129"/>
      <c r="CTR46" s="129"/>
      <c r="CTS46" s="129"/>
      <c r="CTT46" s="129"/>
      <c r="CTU46" s="129"/>
      <c r="CTV46" s="129"/>
      <c r="CTW46" s="129"/>
      <c r="CTX46" s="129"/>
      <c r="CTY46" s="129"/>
      <c r="CTZ46" s="129"/>
      <c r="CUA46" s="129"/>
      <c r="CUB46" s="129"/>
      <c r="CUC46" s="129"/>
      <c r="CUD46" s="129"/>
      <c r="CUE46" s="129"/>
      <c r="CUF46" s="128"/>
      <c r="CUG46" s="128"/>
      <c r="CUH46" s="128"/>
      <c r="CUI46" s="128"/>
      <c r="CUJ46" s="128"/>
      <c r="CUK46" s="128"/>
      <c r="CUL46" s="129"/>
      <c r="CUM46" s="129"/>
      <c r="CUN46" s="129"/>
      <c r="CUO46" s="129"/>
      <c r="CUP46" s="129"/>
      <c r="CUQ46" s="129"/>
      <c r="CUR46" s="129"/>
      <c r="CUS46" s="129"/>
      <c r="CUT46" s="129"/>
      <c r="CUU46" s="129"/>
      <c r="CUV46" s="129"/>
      <c r="CUW46" s="129"/>
      <c r="CUX46" s="129"/>
      <c r="CUY46" s="129"/>
      <c r="CUZ46" s="129"/>
      <c r="CVA46" s="129"/>
      <c r="CVB46" s="129"/>
      <c r="CVC46" s="129"/>
      <c r="CVD46" s="129"/>
      <c r="CVE46" s="129"/>
      <c r="CVF46" s="129"/>
      <c r="CVG46" s="129"/>
      <c r="CVH46" s="129"/>
      <c r="CVI46" s="129"/>
      <c r="CVJ46" s="129"/>
      <c r="CVK46" s="129"/>
      <c r="CVL46" s="129"/>
      <c r="CVM46" s="129"/>
      <c r="CVN46" s="128"/>
      <c r="CVO46" s="128"/>
      <c r="CVP46" s="128"/>
      <c r="CVQ46" s="128"/>
      <c r="CVR46" s="128"/>
      <c r="CVS46" s="128"/>
      <c r="CVT46" s="128"/>
      <c r="DDB46" s="128" t="s">
        <v>548</v>
      </c>
      <c r="DDC46" s="128"/>
      <c r="DDD46" s="128"/>
      <c r="DDE46" s="128"/>
      <c r="DDF46" s="128"/>
      <c r="DDG46" s="128"/>
      <c r="DDH46" s="128"/>
      <c r="DDI46" s="128"/>
      <c r="DDJ46" s="128"/>
      <c r="DDK46" s="128"/>
      <c r="DDL46" s="128"/>
      <c r="DDM46" s="128"/>
      <c r="DDN46" s="128"/>
      <c r="DDO46" s="128"/>
      <c r="DDP46" s="128"/>
      <c r="DDQ46" s="128"/>
      <c r="DDR46" s="128"/>
      <c r="DDS46" s="128"/>
      <c r="DDT46" s="128"/>
      <c r="DDU46" s="128"/>
      <c r="DDV46" s="128"/>
      <c r="DDW46" s="128"/>
      <c r="DDX46" s="128"/>
      <c r="DDY46" s="128"/>
      <c r="DDZ46" s="128"/>
      <c r="DEA46" s="128"/>
      <c r="DEB46" s="128"/>
      <c r="DEC46" s="128"/>
      <c r="DED46" s="128"/>
      <c r="DEE46" s="128"/>
      <c r="DEF46" s="128"/>
      <c r="DEG46" s="129"/>
      <c r="DEH46" s="129"/>
      <c r="DEI46" s="129"/>
      <c r="DEJ46" s="129"/>
      <c r="DEK46" s="129"/>
      <c r="DEL46" s="129"/>
      <c r="DEM46" s="129"/>
      <c r="DEN46" s="129"/>
      <c r="DEO46" s="129"/>
      <c r="DEP46" s="129"/>
      <c r="DEQ46" s="129"/>
      <c r="DER46" s="129"/>
      <c r="DES46" s="129"/>
      <c r="DET46" s="129"/>
      <c r="DEU46" s="129"/>
      <c r="DEV46" s="129"/>
      <c r="DEW46" s="129"/>
      <c r="DEX46" s="129"/>
      <c r="DEY46" s="129"/>
      <c r="DEZ46" s="129"/>
      <c r="DFA46" s="129"/>
      <c r="DFB46" s="128"/>
      <c r="DFC46" s="128"/>
      <c r="DFD46" s="128"/>
      <c r="DFE46" s="128"/>
      <c r="DFF46" s="128"/>
      <c r="DFG46" s="128"/>
      <c r="DFH46" s="129"/>
      <c r="DFI46" s="129"/>
      <c r="DFJ46" s="129"/>
      <c r="DFK46" s="129"/>
      <c r="DFL46" s="129"/>
      <c r="DFM46" s="129"/>
      <c r="DFN46" s="129"/>
      <c r="DFO46" s="129"/>
      <c r="DFP46" s="129"/>
      <c r="DFQ46" s="129"/>
      <c r="DFR46" s="129"/>
      <c r="DFS46" s="129"/>
      <c r="DFT46" s="129"/>
      <c r="DFU46" s="129"/>
      <c r="DFV46" s="129"/>
      <c r="DFW46" s="129"/>
      <c r="DFX46" s="129"/>
      <c r="DFY46" s="129"/>
      <c r="DFZ46" s="129"/>
      <c r="DGA46" s="129"/>
      <c r="DGB46" s="129"/>
      <c r="DGC46" s="129"/>
      <c r="DGD46" s="129"/>
      <c r="DGE46" s="129"/>
      <c r="DGF46" s="129"/>
      <c r="DGG46" s="129"/>
      <c r="DGH46" s="129"/>
      <c r="DGI46" s="129"/>
      <c r="DGJ46" s="128"/>
      <c r="DGK46" s="128"/>
      <c r="DGL46" s="128"/>
      <c r="DGM46" s="128"/>
      <c r="DGN46" s="128"/>
      <c r="DGO46" s="128"/>
      <c r="DGP46" s="128"/>
    </row>
    <row r="47" spans="2:1022 1118:1774 2434:2996" ht="15" customHeight="1" x14ac:dyDescent="0.25">
      <c r="B47" s="240" t="s">
        <v>88</v>
      </c>
      <c r="C47" s="241"/>
      <c r="D47" s="241"/>
      <c r="E47" s="241"/>
      <c r="F47" s="241"/>
      <c r="G47" s="241"/>
      <c r="H47" s="241"/>
      <c r="I47" s="241"/>
      <c r="J47" s="241"/>
      <c r="K47" s="241"/>
      <c r="L47" s="241"/>
      <c r="M47" s="241"/>
      <c r="N47" s="241"/>
      <c r="O47" s="241"/>
      <c r="P47" s="241"/>
      <c r="Q47" s="241"/>
      <c r="R47" s="241"/>
      <c r="S47" s="241"/>
      <c r="T47" s="241"/>
      <c r="U47" s="241"/>
      <c r="V47" s="241"/>
      <c r="W47" s="241"/>
      <c r="X47" s="241"/>
      <c r="Y47" s="241"/>
      <c r="Z47" s="241"/>
      <c r="AA47" s="241"/>
      <c r="AB47" s="241"/>
      <c r="AC47" s="241"/>
      <c r="AD47" s="241"/>
      <c r="AE47" s="241"/>
      <c r="AF47" s="241"/>
      <c r="AG47" s="241"/>
      <c r="AH47" s="241"/>
      <c r="AI47" s="241"/>
      <c r="AJ47" s="241"/>
      <c r="AK47" s="241"/>
      <c r="AL47" s="241"/>
      <c r="AM47" s="241"/>
      <c r="AN47" s="241"/>
      <c r="AO47" s="241"/>
      <c r="AP47" s="241"/>
      <c r="AQ47" s="241"/>
      <c r="AR47" s="241"/>
      <c r="AS47" s="241"/>
      <c r="AT47" s="241"/>
      <c r="AU47" s="241"/>
      <c r="AV47" s="241"/>
      <c r="AW47" s="241"/>
      <c r="AX47" s="241"/>
      <c r="AY47" s="241"/>
      <c r="AZ47" s="241"/>
      <c r="BA47" s="241"/>
      <c r="BB47" s="241"/>
      <c r="BC47" s="241"/>
      <c r="BD47" s="241"/>
      <c r="BE47" s="241"/>
      <c r="BF47" s="241"/>
      <c r="BG47" s="241"/>
      <c r="BH47" s="241"/>
      <c r="BI47" s="241"/>
      <c r="BJ47" s="241"/>
      <c r="BK47" s="241"/>
      <c r="BL47" s="241"/>
      <c r="BM47" s="241"/>
      <c r="BN47" s="241"/>
      <c r="BO47" s="241"/>
      <c r="BP47" s="241"/>
      <c r="BQ47" s="241"/>
      <c r="BR47" s="241"/>
      <c r="BS47" s="241"/>
      <c r="BT47" s="241"/>
      <c r="BU47" s="241"/>
      <c r="BV47" s="241"/>
      <c r="BW47" s="241"/>
      <c r="BX47" s="241"/>
      <c r="BY47" s="241"/>
      <c r="BZ47" s="241"/>
      <c r="CA47" s="241"/>
      <c r="CB47" s="241"/>
      <c r="CC47" s="241"/>
      <c r="CD47" s="241"/>
      <c r="CE47" s="241"/>
      <c r="CF47" s="241"/>
      <c r="CG47" s="241"/>
      <c r="CH47" s="241"/>
      <c r="CI47" s="241"/>
      <c r="CJ47" s="241"/>
      <c r="CK47" s="241"/>
      <c r="CL47" s="241"/>
      <c r="CM47" s="241"/>
      <c r="CN47" s="241"/>
      <c r="CO47" s="241"/>
      <c r="CP47" s="241"/>
      <c r="CQ47" s="241"/>
      <c r="CR47" s="241"/>
      <c r="CS47" s="241"/>
      <c r="CT47" s="241"/>
      <c r="CU47" s="241"/>
      <c r="CV47" s="241"/>
      <c r="CW47" s="241"/>
      <c r="CX47" s="241"/>
      <c r="CY47" s="241"/>
      <c r="CZ47" s="241"/>
      <c r="DA47" s="241"/>
      <c r="DB47" s="241"/>
      <c r="DC47" s="241"/>
      <c r="DD47" s="241"/>
      <c r="DE47" s="241"/>
      <c r="DF47" s="241"/>
      <c r="DG47" s="241"/>
      <c r="DH47" s="241"/>
      <c r="DI47" s="241"/>
      <c r="DJ47" s="241"/>
      <c r="DK47" s="241"/>
      <c r="DL47" s="241"/>
      <c r="DM47" s="241"/>
      <c r="DN47" s="241"/>
      <c r="DO47" s="241"/>
      <c r="DP47" s="241"/>
      <c r="DQ47" s="241"/>
      <c r="DR47" s="241"/>
      <c r="DS47" s="241"/>
      <c r="DT47" s="241"/>
      <c r="DU47" s="241"/>
      <c r="DV47" s="241"/>
      <c r="DW47" s="241"/>
      <c r="DX47" s="241"/>
      <c r="DY47" s="241"/>
      <c r="DZ47" s="241"/>
      <c r="EA47" s="241"/>
      <c r="EB47" s="241"/>
      <c r="EC47" s="241"/>
      <c r="ED47" s="241"/>
      <c r="EE47" s="241"/>
      <c r="EF47" s="241"/>
      <c r="EG47" s="241"/>
      <c r="EH47" s="241"/>
      <c r="EI47" s="241"/>
      <c r="EJ47" s="241"/>
      <c r="EK47" s="241"/>
      <c r="EL47" s="241"/>
      <c r="EM47" s="241"/>
      <c r="EN47" s="241"/>
      <c r="EO47" s="241"/>
      <c r="EP47" s="241"/>
      <c r="EQ47" s="241"/>
      <c r="ER47" s="241"/>
      <c r="ES47" s="241"/>
      <c r="ET47" s="241"/>
      <c r="EU47" s="241"/>
      <c r="EV47" s="241"/>
      <c r="EW47" s="241"/>
      <c r="EX47" s="241"/>
      <c r="EY47" s="241"/>
      <c r="EZ47" s="242"/>
      <c r="FB47" s="151"/>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41">
        <v>0</v>
      </c>
      <c r="GU47" s="141"/>
      <c r="GV47" s="141"/>
      <c r="GW47" s="141"/>
      <c r="GX47" s="141"/>
      <c r="GY47" s="141"/>
      <c r="GZ47" s="141"/>
      <c r="HA47" s="141"/>
      <c r="HB47" s="142" t="str">
        <f>IFERROR(ROUND(Calculations!BV48*GT47,2),"")</f>
        <v/>
      </c>
      <c r="HC47" s="142"/>
      <c r="HD47" s="142"/>
      <c r="HE47" s="142"/>
      <c r="HF47" s="142"/>
      <c r="HG47" s="142"/>
      <c r="HH47" s="142"/>
      <c r="HI47" s="142"/>
      <c r="HJ47" s="142">
        <f>IFERROR(Calculations!BS48+IQ47+IX47,"")</f>
        <v>0</v>
      </c>
      <c r="HK47" s="142"/>
      <c r="HL47" s="142"/>
      <c r="HM47" s="142"/>
      <c r="HN47" s="142"/>
      <c r="HO47" s="142"/>
      <c r="HP47" s="142"/>
      <c r="HQ47" s="142"/>
      <c r="HR47" s="142" t="str">
        <f t="shared" si="9"/>
        <v/>
      </c>
      <c r="HS47" s="142"/>
      <c r="HT47" s="142"/>
      <c r="HU47" s="142"/>
      <c r="HV47" s="142"/>
      <c r="HW47" s="142"/>
      <c r="HX47" s="142"/>
      <c r="HY47" s="142"/>
      <c r="HZ47" s="142" t="str">
        <f>IFERROR(Calculations!BX48,"")</f>
        <v/>
      </c>
      <c r="IA47" s="142"/>
      <c r="IB47" s="142"/>
      <c r="IC47" s="142"/>
      <c r="ID47" s="142"/>
      <c r="IE47" s="142"/>
      <c r="IF47" s="142"/>
      <c r="IG47" s="142"/>
      <c r="IH47" s="142"/>
      <c r="II47" s="142"/>
      <c r="IJ47" s="142" t="str">
        <f>IFERROR(Calculations!BR48+IX47,"")</f>
        <v/>
      </c>
      <c r="IK47" s="142"/>
      <c r="IL47" s="142"/>
      <c r="IM47" s="142"/>
      <c r="IN47" s="142"/>
      <c r="IO47" s="142"/>
      <c r="IP47" s="142"/>
      <c r="IQ47" s="141">
        <v>0</v>
      </c>
      <c r="IR47" s="141"/>
      <c r="IS47" s="141"/>
      <c r="IT47" s="141"/>
      <c r="IU47" s="141"/>
      <c r="IV47" s="141"/>
      <c r="IW47" s="141"/>
      <c r="IX47" s="141">
        <v>0</v>
      </c>
      <c r="IY47" s="141"/>
      <c r="IZ47" s="141"/>
      <c r="JA47" s="141"/>
      <c r="JB47" s="141"/>
      <c r="JC47" s="141"/>
      <c r="JD47" s="141"/>
      <c r="JE47" s="141"/>
      <c r="JF47" s="142"/>
      <c r="JG47" s="142"/>
      <c r="JH47" s="142"/>
      <c r="JI47" s="142"/>
      <c r="JJ47" s="142"/>
      <c r="JK47" s="143" t="str">
        <f>Calculations!AS48</f>
        <v/>
      </c>
      <c r="JL47" s="143"/>
      <c r="JM47" s="143"/>
      <c r="JN47" s="143"/>
      <c r="JO47" s="143"/>
      <c r="JP47" s="143"/>
      <c r="JQ47" s="143"/>
      <c r="JR47" s="143"/>
      <c r="JS47" s="143"/>
      <c r="JT47" s="143"/>
      <c r="JU47" s="143"/>
      <c r="JV47" s="143"/>
      <c r="JW47" s="143"/>
      <c r="JX47" s="143"/>
      <c r="JY47" s="143"/>
      <c r="JZ47" s="143"/>
      <c r="KA47" s="143"/>
      <c r="KB47" s="143"/>
      <c r="KC47" s="143" t="str">
        <f>Calculations!AW48</f>
        <v/>
      </c>
      <c r="KD47" s="143"/>
      <c r="KE47" s="143"/>
      <c r="KF47" s="143"/>
      <c r="KG47" s="143"/>
      <c r="KH47" s="143"/>
      <c r="KI47" s="143"/>
      <c r="KJ47" s="143"/>
      <c r="KK47" s="143"/>
      <c r="KL47" s="143"/>
      <c r="KM47" s="143"/>
      <c r="KN47" s="143"/>
      <c r="KO47" s="143"/>
      <c r="KP47" s="143"/>
      <c r="KQ47" s="143"/>
      <c r="KR47" s="143"/>
      <c r="KS47" s="143"/>
      <c r="KT47" s="143"/>
      <c r="KU47" s="144"/>
      <c r="KV47" s="144"/>
      <c r="KW47" s="144"/>
      <c r="KX47" s="144"/>
      <c r="KY47" s="144"/>
      <c r="KZ47" s="144"/>
      <c r="LA47" s="144"/>
      <c r="LB47" s="144"/>
      <c r="LC47" s="144"/>
      <c r="LD47" s="144"/>
      <c r="LE47" s="144"/>
      <c r="LF47" s="144"/>
      <c r="LG47" s="144"/>
      <c r="LH47" s="144"/>
      <c r="LI47" s="144"/>
      <c r="LJ47" s="144"/>
      <c r="LK47" s="144"/>
      <c r="LL47" s="144"/>
      <c r="LM47" s="144"/>
      <c r="LN47" s="144"/>
      <c r="LO47" s="144"/>
      <c r="LP47" s="144"/>
      <c r="LQ47" s="144"/>
      <c r="LR47" s="144"/>
      <c r="LS47" s="144"/>
      <c r="LT47" s="144"/>
      <c r="LU47" s="144"/>
      <c r="LV47" s="144"/>
      <c r="LW47" s="144"/>
      <c r="LX47" s="144"/>
      <c r="LY47" s="144"/>
      <c r="LZ47" s="144"/>
      <c r="MA47" s="144"/>
      <c r="MB47" s="144"/>
      <c r="MC47" s="144"/>
      <c r="MD47" s="144"/>
      <c r="ME47" s="144"/>
      <c r="MF47" s="144"/>
      <c r="MG47" s="144"/>
      <c r="MH47" s="144"/>
      <c r="MI47" s="144"/>
      <c r="MJ47" s="144"/>
      <c r="MK47" s="144"/>
      <c r="ML47" s="144"/>
      <c r="MM47" s="144"/>
      <c r="MN47" s="144"/>
      <c r="MO47" s="144"/>
      <c r="MP47" s="144"/>
      <c r="MQ47" s="144"/>
      <c r="MR47" s="144"/>
      <c r="MS47" s="144"/>
      <c r="MT47" s="144"/>
      <c r="MU47" s="144"/>
      <c r="MV47" s="144"/>
      <c r="MW47" s="144"/>
      <c r="MX47" s="144"/>
      <c r="MY47" s="144"/>
      <c r="MZ47" s="145"/>
      <c r="APZ47" s="128" t="s">
        <v>595</v>
      </c>
      <c r="AQA47" s="128"/>
      <c r="AQB47" s="128"/>
      <c r="AQC47" s="128"/>
      <c r="AQD47" s="128"/>
      <c r="AQE47" s="128"/>
      <c r="AQF47" s="128"/>
      <c r="AQG47" s="128"/>
      <c r="AQH47" s="128"/>
      <c r="AQI47" s="128"/>
      <c r="AQJ47" s="128"/>
      <c r="AQK47" s="128"/>
      <c r="AQL47" s="128"/>
      <c r="AQM47" s="128"/>
      <c r="AQN47" s="128"/>
      <c r="AQO47" s="128"/>
      <c r="AQP47" s="128"/>
      <c r="AQQ47" s="128"/>
      <c r="AQR47" s="128"/>
      <c r="AQS47" s="128"/>
      <c r="AQT47" s="128"/>
      <c r="AQU47" s="128"/>
      <c r="AQV47" s="128"/>
      <c r="AQW47" s="128"/>
      <c r="AQX47" s="128"/>
      <c r="AQY47" s="128"/>
      <c r="AQZ47" s="128"/>
      <c r="ARA47" s="128"/>
      <c r="ARB47" s="128"/>
      <c r="ARC47" s="128"/>
      <c r="ARD47" s="128"/>
      <c r="ARE47" s="129"/>
      <c r="ARF47" s="129"/>
      <c r="ARG47" s="129"/>
      <c r="ARH47" s="129"/>
      <c r="ARI47" s="129"/>
      <c r="ARJ47" s="129"/>
      <c r="ARK47" s="129"/>
      <c r="ARL47" s="129"/>
      <c r="ARM47" s="129"/>
      <c r="ARN47" s="129"/>
      <c r="ARO47" s="129"/>
      <c r="ARP47" s="129"/>
      <c r="ARQ47" s="129"/>
      <c r="ARR47" s="129"/>
      <c r="ARS47" s="129"/>
      <c r="ART47" s="129"/>
      <c r="ARU47" s="129"/>
      <c r="ARV47" s="129"/>
      <c r="ARW47" s="129"/>
      <c r="ARX47" s="129"/>
      <c r="ARY47" s="129"/>
      <c r="ARZ47" s="128"/>
      <c r="ASA47" s="128"/>
      <c r="ASB47" s="128"/>
      <c r="ASC47" s="128"/>
      <c r="ASD47" s="128"/>
      <c r="ASE47" s="128"/>
      <c r="ASF47" s="129"/>
      <c r="ASG47" s="129"/>
      <c r="ASH47" s="129"/>
      <c r="ASI47" s="129"/>
      <c r="ASJ47" s="129"/>
      <c r="ASK47" s="129"/>
      <c r="ASL47" s="129"/>
      <c r="ASM47" s="129"/>
      <c r="ASN47" s="129"/>
      <c r="ASO47" s="129"/>
      <c r="ASP47" s="129"/>
      <c r="ASQ47" s="129"/>
      <c r="ASR47" s="129"/>
      <c r="ASS47" s="129"/>
      <c r="AST47" s="129"/>
      <c r="ASU47" s="129"/>
      <c r="ASV47" s="129"/>
      <c r="ASW47" s="129"/>
      <c r="ASX47" s="129"/>
      <c r="ASY47" s="129"/>
      <c r="ASZ47" s="129"/>
      <c r="ATA47" s="129"/>
      <c r="ATB47" s="129"/>
      <c r="ATC47" s="129"/>
      <c r="ATD47" s="129"/>
      <c r="ATE47" s="129"/>
      <c r="ATF47" s="129"/>
      <c r="ATG47" s="129"/>
      <c r="ATH47" s="128"/>
      <c r="ATI47" s="128"/>
      <c r="ATJ47" s="128"/>
      <c r="ATK47" s="128"/>
      <c r="ATL47" s="128"/>
      <c r="ATM47" s="128"/>
      <c r="ATN47" s="128"/>
      <c r="BLR47" s="128" t="s">
        <v>340</v>
      </c>
      <c r="BLS47" s="128"/>
      <c r="BLT47" s="128"/>
      <c r="BLU47" s="128"/>
      <c r="BLV47" s="128"/>
      <c r="BLW47" s="128"/>
      <c r="BLX47" s="128"/>
      <c r="BLY47" s="128"/>
      <c r="BLZ47" s="128"/>
      <c r="BMA47" s="128"/>
      <c r="BMB47" s="128"/>
      <c r="BMC47" s="128"/>
      <c r="BMD47" s="128"/>
      <c r="BME47" s="128"/>
      <c r="BMF47" s="128"/>
      <c r="BMG47" s="128"/>
      <c r="BMH47" s="128"/>
      <c r="BMI47" s="128"/>
      <c r="BMJ47" s="128"/>
      <c r="BMK47" s="128"/>
      <c r="BML47" s="128"/>
      <c r="BMM47" s="128"/>
      <c r="BMN47" s="128"/>
      <c r="BMO47" s="128"/>
      <c r="BMP47" s="128"/>
      <c r="BMQ47" s="128"/>
      <c r="BMR47" s="128"/>
      <c r="BMS47" s="128"/>
      <c r="BMT47" s="128"/>
      <c r="BMU47" s="128"/>
      <c r="BMV47" s="128"/>
      <c r="BMW47" s="129"/>
      <c r="BMX47" s="129"/>
      <c r="BMY47" s="129"/>
      <c r="BMZ47" s="129"/>
      <c r="BNA47" s="129"/>
      <c r="BNB47" s="129"/>
      <c r="BNC47" s="129"/>
      <c r="BND47" s="129"/>
      <c r="BNE47" s="129"/>
      <c r="BNF47" s="129"/>
      <c r="BNG47" s="129"/>
      <c r="BNH47" s="129"/>
      <c r="BNI47" s="129"/>
      <c r="BNJ47" s="129"/>
      <c r="BNK47" s="129"/>
      <c r="BNL47" s="129"/>
      <c r="BNM47" s="129"/>
      <c r="BNN47" s="129"/>
      <c r="BNO47" s="129"/>
      <c r="BNP47" s="129"/>
      <c r="BNQ47" s="129"/>
      <c r="BNR47" s="128"/>
      <c r="BNS47" s="128"/>
      <c r="BNT47" s="128"/>
      <c r="BNU47" s="128"/>
      <c r="BNV47" s="128"/>
      <c r="BNW47" s="128"/>
      <c r="BNX47" s="129"/>
      <c r="BNY47" s="129"/>
      <c r="BNZ47" s="129"/>
      <c r="BOA47" s="129"/>
      <c r="BOB47" s="129"/>
      <c r="BOC47" s="129"/>
      <c r="BOD47" s="129"/>
      <c r="BOE47" s="129"/>
      <c r="BOF47" s="129"/>
      <c r="BOG47" s="129"/>
      <c r="BOH47" s="129"/>
      <c r="BOI47" s="129"/>
      <c r="BOJ47" s="129"/>
      <c r="BOK47" s="129"/>
      <c r="BOL47" s="129"/>
      <c r="BOM47" s="129"/>
      <c r="BON47" s="129"/>
      <c r="BOO47" s="129"/>
      <c r="BOP47" s="129"/>
      <c r="BOQ47" s="129"/>
      <c r="BOR47" s="129"/>
      <c r="BOS47" s="129"/>
      <c r="BOT47" s="129"/>
      <c r="BOU47" s="129"/>
      <c r="BOV47" s="129"/>
      <c r="BOW47" s="129"/>
      <c r="BOX47" s="129"/>
      <c r="BOY47" s="129"/>
      <c r="BOZ47" s="128"/>
      <c r="BPA47" s="128"/>
      <c r="BPB47" s="128"/>
      <c r="BPC47" s="128"/>
      <c r="BPD47" s="128"/>
      <c r="BPE47" s="128"/>
      <c r="BPF47" s="128"/>
      <c r="COP47" s="128" t="str">
        <f ca="1">VLOOKUP(5,INDIRECT("Evil"&amp;'Character Creation'!$Z$14),2,FALSE)</f>
        <v>Necromancy Mastery</v>
      </c>
      <c r="COQ47" s="128"/>
      <c r="COR47" s="128"/>
      <c r="COS47" s="128"/>
      <c r="COT47" s="128"/>
      <c r="COU47" s="128"/>
      <c r="COV47" s="128"/>
      <c r="COW47" s="128"/>
      <c r="COX47" s="128"/>
      <c r="COY47" s="128"/>
      <c r="COZ47" s="128"/>
      <c r="CPA47" s="128"/>
      <c r="CPB47" s="128"/>
      <c r="CPC47" s="128"/>
      <c r="CPD47" s="128"/>
      <c r="CPE47" s="128"/>
      <c r="CPF47" s="128"/>
      <c r="CPG47" s="128"/>
      <c r="CPH47" s="128"/>
      <c r="CPI47" s="128"/>
      <c r="CPJ47" s="128"/>
      <c r="CPK47" s="128"/>
      <c r="CPL47" s="128"/>
      <c r="CPM47" s="128"/>
      <c r="CPN47" s="128"/>
      <c r="CPO47" s="128"/>
      <c r="CPP47" s="128"/>
      <c r="CPQ47" s="128"/>
      <c r="CPR47" s="128"/>
      <c r="CPS47" s="128"/>
      <c r="CPT47" s="128"/>
      <c r="CPU47" s="129"/>
      <c r="CPV47" s="129"/>
      <c r="CPW47" s="129"/>
      <c r="CPX47" s="129"/>
      <c r="CPY47" s="129"/>
      <c r="CPZ47" s="129"/>
      <c r="CQA47" s="129"/>
      <c r="CQB47" s="129"/>
      <c r="CQC47" s="129"/>
      <c r="CQD47" s="129"/>
      <c r="CQE47" s="129"/>
      <c r="CQF47" s="129"/>
      <c r="CQG47" s="129"/>
      <c r="CQH47" s="129"/>
      <c r="CQI47" s="129"/>
      <c r="CQJ47" s="129"/>
      <c r="CQK47" s="129"/>
      <c r="CQL47" s="129"/>
      <c r="CQM47" s="129"/>
      <c r="CQN47" s="129"/>
      <c r="CQO47" s="129"/>
      <c r="CQP47" s="128"/>
      <c r="CQQ47" s="128"/>
      <c r="CQR47" s="128"/>
      <c r="CQS47" s="128"/>
      <c r="CQT47" s="128"/>
      <c r="CQU47" s="128"/>
      <c r="CQV47" s="129"/>
      <c r="CQW47" s="129"/>
      <c r="CQX47" s="129"/>
      <c r="CQY47" s="129"/>
      <c r="CQZ47" s="129"/>
      <c r="CRA47" s="129"/>
      <c r="CRB47" s="129"/>
      <c r="CRC47" s="129"/>
      <c r="CRD47" s="129"/>
      <c r="CRE47" s="129"/>
      <c r="CRF47" s="129"/>
      <c r="CRG47" s="129"/>
      <c r="CRH47" s="129"/>
      <c r="CRI47" s="129"/>
      <c r="CRJ47" s="129"/>
      <c r="CRK47" s="129"/>
      <c r="CRL47" s="129"/>
      <c r="CRM47" s="129"/>
      <c r="CRN47" s="129"/>
      <c r="CRO47" s="129"/>
      <c r="CRP47" s="129"/>
      <c r="CRQ47" s="129"/>
      <c r="CRR47" s="129"/>
      <c r="CRS47" s="129"/>
      <c r="CRT47" s="129"/>
      <c r="CRU47" s="129"/>
      <c r="CRV47" s="129"/>
      <c r="CRW47" s="129"/>
      <c r="CRX47" s="128"/>
      <c r="CRY47" s="128"/>
      <c r="CRZ47" s="128"/>
      <c r="CSA47" s="128"/>
      <c r="CSB47" s="128"/>
      <c r="CSC47" s="128"/>
      <c r="CSD47" s="128"/>
      <c r="CSF47" s="128" t="s">
        <v>472</v>
      </c>
      <c r="CSG47" s="128"/>
      <c r="CSH47" s="128"/>
      <c r="CSI47" s="128"/>
      <c r="CSJ47" s="128"/>
      <c r="CSK47" s="128"/>
      <c r="CSL47" s="128"/>
      <c r="CSM47" s="128"/>
      <c r="CSN47" s="128"/>
      <c r="CSO47" s="128"/>
      <c r="CSP47" s="128"/>
      <c r="CSQ47" s="128"/>
      <c r="CSR47" s="128"/>
      <c r="CSS47" s="128"/>
      <c r="CST47" s="128"/>
      <c r="CSU47" s="128"/>
      <c r="CSV47" s="128"/>
      <c r="CSW47" s="128"/>
      <c r="CSX47" s="128"/>
      <c r="CSY47" s="128"/>
      <c r="CSZ47" s="128"/>
      <c r="CTA47" s="128"/>
      <c r="CTB47" s="128"/>
      <c r="CTC47" s="128"/>
      <c r="CTD47" s="128"/>
      <c r="CTE47" s="128"/>
      <c r="CTF47" s="128"/>
      <c r="CTG47" s="128"/>
      <c r="CTH47" s="128"/>
      <c r="CTI47" s="128"/>
      <c r="CTJ47" s="128"/>
      <c r="CTK47" s="129"/>
      <c r="CTL47" s="129"/>
      <c r="CTM47" s="129"/>
      <c r="CTN47" s="129"/>
      <c r="CTO47" s="129"/>
      <c r="CTP47" s="129"/>
      <c r="CTQ47" s="129"/>
      <c r="CTR47" s="129"/>
      <c r="CTS47" s="129"/>
      <c r="CTT47" s="129"/>
      <c r="CTU47" s="129"/>
      <c r="CTV47" s="129"/>
      <c r="CTW47" s="129"/>
      <c r="CTX47" s="129"/>
      <c r="CTY47" s="129"/>
      <c r="CTZ47" s="129"/>
      <c r="CUA47" s="129"/>
      <c r="CUB47" s="129"/>
      <c r="CUC47" s="129"/>
      <c r="CUD47" s="129"/>
      <c r="CUE47" s="129"/>
      <c r="CUF47" s="128"/>
      <c r="CUG47" s="128"/>
      <c r="CUH47" s="128"/>
      <c r="CUI47" s="128"/>
      <c r="CUJ47" s="128"/>
      <c r="CUK47" s="128"/>
      <c r="CUL47" s="129"/>
      <c r="CUM47" s="129"/>
      <c r="CUN47" s="129"/>
      <c r="CUO47" s="129"/>
      <c r="CUP47" s="129"/>
      <c r="CUQ47" s="129"/>
      <c r="CUR47" s="129"/>
      <c r="CUS47" s="129"/>
      <c r="CUT47" s="129"/>
      <c r="CUU47" s="129"/>
      <c r="CUV47" s="129"/>
      <c r="CUW47" s="129"/>
      <c r="CUX47" s="129"/>
      <c r="CUY47" s="129"/>
      <c r="CUZ47" s="129"/>
      <c r="CVA47" s="129"/>
      <c r="CVB47" s="129"/>
      <c r="CVC47" s="129"/>
      <c r="CVD47" s="129"/>
      <c r="CVE47" s="129"/>
      <c r="CVF47" s="129"/>
      <c r="CVG47" s="129"/>
      <c r="CVH47" s="129"/>
      <c r="CVI47" s="129"/>
      <c r="CVJ47" s="129"/>
      <c r="CVK47" s="129"/>
      <c r="CVL47" s="129"/>
      <c r="CVM47" s="129"/>
      <c r="CVN47" s="128"/>
      <c r="CVO47" s="128"/>
      <c r="CVP47" s="128"/>
      <c r="CVQ47" s="128"/>
      <c r="CVR47" s="128"/>
      <c r="CVS47" s="128"/>
      <c r="CVT47" s="128"/>
      <c r="DDB47" s="128" t="s">
        <v>549</v>
      </c>
      <c r="DDC47" s="128"/>
      <c r="DDD47" s="128"/>
      <c r="DDE47" s="128"/>
      <c r="DDF47" s="128"/>
      <c r="DDG47" s="128"/>
      <c r="DDH47" s="128"/>
      <c r="DDI47" s="128"/>
      <c r="DDJ47" s="128"/>
      <c r="DDK47" s="128"/>
      <c r="DDL47" s="128"/>
      <c r="DDM47" s="128"/>
      <c r="DDN47" s="128"/>
      <c r="DDO47" s="128"/>
      <c r="DDP47" s="128"/>
      <c r="DDQ47" s="128"/>
      <c r="DDR47" s="128"/>
      <c r="DDS47" s="128"/>
      <c r="DDT47" s="128"/>
      <c r="DDU47" s="128"/>
      <c r="DDV47" s="128"/>
      <c r="DDW47" s="128"/>
      <c r="DDX47" s="128"/>
      <c r="DDY47" s="128"/>
      <c r="DDZ47" s="128"/>
      <c r="DEA47" s="128"/>
      <c r="DEB47" s="128"/>
      <c r="DEC47" s="128"/>
      <c r="DED47" s="128"/>
      <c r="DEE47" s="128"/>
      <c r="DEF47" s="128"/>
      <c r="DEG47" s="129"/>
      <c r="DEH47" s="129"/>
      <c r="DEI47" s="129"/>
      <c r="DEJ47" s="129"/>
      <c r="DEK47" s="129"/>
      <c r="DEL47" s="129"/>
      <c r="DEM47" s="129"/>
      <c r="DEN47" s="129"/>
      <c r="DEO47" s="129"/>
      <c r="DEP47" s="129"/>
      <c r="DEQ47" s="129"/>
      <c r="DER47" s="129"/>
      <c r="DES47" s="129"/>
      <c r="DET47" s="129"/>
      <c r="DEU47" s="129"/>
      <c r="DEV47" s="129"/>
      <c r="DEW47" s="129"/>
      <c r="DEX47" s="129"/>
      <c r="DEY47" s="129"/>
      <c r="DEZ47" s="129"/>
      <c r="DFA47" s="129"/>
      <c r="DFB47" s="128"/>
      <c r="DFC47" s="128"/>
      <c r="DFD47" s="128"/>
      <c r="DFE47" s="128"/>
      <c r="DFF47" s="128"/>
      <c r="DFG47" s="128"/>
      <c r="DFH47" s="129"/>
      <c r="DFI47" s="129"/>
      <c r="DFJ47" s="129"/>
      <c r="DFK47" s="129"/>
      <c r="DFL47" s="129"/>
      <c r="DFM47" s="129"/>
      <c r="DFN47" s="129"/>
      <c r="DFO47" s="129"/>
      <c r="DFP47" s="129"/>
      <c r="DFQ47" s="129"/>
      <c r="DFR47" s="129"/>
      <c r="DFS47" s="129"/>
      <c r="DFT47" s="129"/>
      <c r="DFU47" s="129"/>
      <c r="DFV47" s="129"/>
      <c r="DFW47" s="129"/>
      <c r="DFX47" s="129"/>
      <c r="DFY47" s="129"/>
      <c r="DFZ47" s="129"/>
      <c r="DGA47" s="129"/>
      <c r="DGB47" s="129"/>
      <c r="DGC47" s="129"/>
      <c r="DGD47" s="129"/>
      <c r="DGE47" s="129"/>
      <c r="DGF47" s="129"/>
      <c r="DGG47" s="129"/>
      <c r="DGH47" s="129"/>
      <c r="DGI47" s="129"/>
      <c r="DGJ47" s="128"/>
      <c r="DGK47" s="128"/>
      <c r="DGL47" s="128"/>
      <c r="DGM47" s="128"/>
      <c r="DGN47" s="128"/>
      <c r="DGO47" s="128"/>
      <c r="DGP47" s="128"/>
    </row>
    <row r="48" spans="2:1022 1118:1774 2434:2996" ht="15" customHeight="1" x14ac:dyDescent="0.25">
      <c r="B48" s="318" t="s">
        <v>64</v>
      </c>
      <c r="C48" s="208"/>
      <c r="D48" s="208"/>
      <c r="E48" s="208"/>
      <c r="F48" s="208"/>
      <c r="G48" s="208"/>
      <c r="H48" s="208"/>
      <c r="I48" s="208"/>
      <c r="J48" s="208"/>
      <c r="K48" s="208"/>
      <c r="L48" s="208"/>
      <c r="M48" s="208"/>
      <c r="N48" s="208"/>
      <c r="O48" s="208"/>
      <c r="P48" s="208"/>
      <c r="Q48" s="208"/>
      <c r="R48" s="208"/>
      <c r="S48" s="208"/>
      <c r="T48" s="208"/>
      <c r="U48" s="208"/>
      <c r="V48" s="208"/>
      <c r="W48" s="208"/>
      <c r="X48" s="208"/>
      <c r="Y48" s="208"/>
      <c r="Z48" s="208"/>
      <c r="AA48" s="208"/>
      <c r="AB48" s="208"/>
      <c r="AC48" s="208"/>
      <c r="AD48" s="208"/>
      <c r="AE48" s="208"/>
      <c r="AF48" s="208"/>
      <c r="AG48" s="208"/>
      <c r="AH48" s="208"/>
      <c r="AI48" s="208"/>
      <c r="AJ48" s="208"/>
      <c r="AK48" s="208"/>
      <c r="AL48" s="208"/>
      <c r="AM48" s="208"/>
      <c r="AN48" s="208"/>
      <c r="AO48" s="131" t="s">
        <v>73</v>
      </c>
      <c r="AP48" s="131"/>
      <c r="AQ48" s="131"/>
      <c r="AR48" s="131"/>
      <c r="AS48" s="131"/>
      <c r="AT48" s="131"/>
      <c r="AU48" s="131"/>
      <c r="AV48" s="131"/>
      <c r="AW48" s="131" t="s">
        <v>72</v>
      </c>
      <c r="AX48" s="131"/>
      <c r="AY48" s="131"/>
      <c r="AZ48" s="131"/>
      <c r="BA48" s="131"/>
      <c r="BB48" s="131"/>
      <c r="BC48" s="131"/>
      <c r="BD48" s="131"/>
      <c r="BE48" s="131" t="s">
        <v>61</v>
      </c>
      <c r="BF48" s="131"/>
      <c r="BG48" s="131"/>
      <c r="BH48" s="131"/>
      <c r="BI48" s="131"/>
      <c r="BJ48" s="131"/>
      <c r="BK48" s="131"/>
      <c r="BL48" s="131"/>
      <c r="BM48" s="131" t="s">
        <v>37</v>
      </c>
      <c r="BN48" s="131"/>
      <c r="BO48" s="131"/>
      <c r="BP48" s="131"/>
      <c r="BQ48" s="131"/>
      <c r="BR48" s="131"/>
      <c r="BS48" s="131"/>
      <c r="BT48" s="131"/>
      <c r="BU48" s="131" t="s">
        <v>55</v>
      </c>
      <c r="BV48" s="131"/>
      <c r="BW48" s="131"/>
      <c r="BX48" s="131"/>
      <c r="BY48" s="131"/>
      <c r="BZ48" s="131"/>
      <c r="CA48" s="131"/>
      <c r="CB48" s="131"/>
      <c r="CC48" s="131" t="s">
        <v>60</v>
      </c>
      <c r="CD48" s="131"/>
      <c r="CE48" s="131"/>
      <c r="CF48" s="131"/>
      <c r="CG48" s="131"/>
      <c r="CH48" s="131"/>
      <c r="CI48" s="131"/>
      <c r="CJ48" s="131"/>
      <c r="CK48" s="208" t="s">
        <v>74</v>
      </c>
      <c r="CL48" s="208"/>
      <c r="CM48" s="208"/>
      <c r="CN48" s="208"/>
      <c r="CO48" s="208"/>
      <c r="CP48" s="208"/>
      <c r="CQ48" s="208"/>
      <c r="CR48" s="208"/>
      <c r="CS48" s="208" t="s">
        <v>75</v>
      </c>
      <c r="CT48" s="208"/>
      <c r="CU48" s="208"/>
      <c r="CV48" s="208"/>
      <c r="CW48" s="208"/>
      <c r="CX48" s="208"/>
      <c r="CY48" s="208"/>
      <c r="CZ48" s="208"/>
      <c r="DA48" s="131" t="s">
        <v>78</v>
      </c>
      <c r="DB48" s="131"/>
      <c r="DC48" s="131"/>
      <c r="DD48" s="131"/>
      <c r="DE48" s="131"/>
      <c r="DF48" s="131"/>
      <c r="DG48" s="131"/>
      <c r="DH48" s="131"/>
      <c r="DI48" s="131" t="s">
        <v>76</v>
      </c>
      <c r="DJ48" s="131"/>
      <c r="DK48" s="131"/>
      <c r="DL48" s="131"/>
      <c r="DM48" s="131"/>
      <c r="DN48" s="131"/>
      <c r="DO48" s="131"/>
      <c r="DP48" s="131"/>
      <c r="DQ48" s="131" t="s">
        <v>79</v>
      </c>
      <c r="DR48" s="131"/>
      <c r="DS48" s="131"/>
      <c r="DT48" s="131"/>
      <c r="DU48" s="131"/>
      <c r="DV48" s="131"/>
      <c r="DW48" s="131"/>
      <c r="DX48" s="131"/>
      <c r="DY48" s="261" t="s">
        <v>80</v>
      </c>
      <c r="DZ48" s="261"/>
      <c r="EA48" s="261"/>
      <c r="EB48" s="261"/>
      <c r="EC48" s="261"/>
      <c r="ED48" s="261"/>
      <c r="EE48" s="261"/>
      <c r="EF48" s="261"/>
      <c r="EG48" s="261"/>
      <c r="EH48" s="261"/>
      <c r="EI48" s="261"/>
      <c r="EJ48" s="261"/>
      <c r="EK48" s="261"/>
      <c r="EL48" s="261"/>
      <c r="EM48" s="261"/>
      <c r="EN48" s="261"/>
      <c r="EO48" s="261"/>
      <c r="EP48" s="261"/>
      <c r="EQ48" s="261"/>
      <c r="ER48" s="261"/>
      <c r="ES48" s="261"/>
      <c r="ET48" s="261"/>
      <c r="EU48" s="261"/>
      <c r="EV48" s="261"/>
      <c r="EW48" s="261"/>
      <c r="EX48" s="261"/>
      <c r="EY48" s="261"/>
      <c r="EZ48" s="319"/>
      <c r="FB48" s="151"/>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41">
        <v>0</v>
      </c>
      <c r="GU48" s="141"/>
      <c r="GV48" s="141"/>
      <c r="GW48" s="141"/>
      <c r="GX48" s="141"/>
      <c r="GY48" s="141"/>
      <c r="GZ48" s="141"/>
      <c r="HA48" s="141"/>
      <c r="HB48" s="142" t="str">
        <f>IFERROR(ROUND(Calculations!BV49*GT48,2),"")</f>
        <v/>
      </c>
      <c r="HC48" s="142"/>
      <c r="HD48" s="142"/>
      <c r="HE48" s="142"/>
      <c r="HF48" s="142"/>
      <c r="HG48" s="142"/>
      <c r="HH48" s="142"/>
      <c r="HI48" s="142"/>
      <c r="HJ48" s="142">
        <f>IFERROR(Calculations!BS49+IQ48+IX48,"")</f>
        <v>0</v>
      </c>
      <c r="HK48" s="142"/>
      <c r="HL48" s="142"/>
      <c r="HM48" s="142"/>
      <c r="HN48" s="142"/>
      <c r="HO48" s="142"/>
      <c r="HP48" s="142"/>
      <c r="HQ48" s="142"/>
      <c r="HR48" s="142" t="str">
        <f t="shared" si="9"/>
        <v/>
      </c>
      <c r="HS48" s="142"/>
      <c r="HT48" s="142"/>
      <c r="HU48" s="142"/>
      <c r="HV48" s="142"/>
      <c r="HW48" s="142"/>
      <c r="HX48" s="142"/>
      <c r="HY48" s="142"/>
      <c r="HZ48" s="142" t="str">
        <f>IFERROR(Calculations!BX49,"")</f>
        <v/>
      </c>
      <c r="IA48" s="142"/>
      <c r="IB48" s="142"/>
      <c r="IC48" s="142"/>
      <c r="ID48" s="142"/>
      <c r="IE48" s="142"/>
      <c r="IF48" s="142"/>
      <c r="IG48" s="142"/>
      <c r="IH48" s="142"/>
      <c r="II48" s="142"/>
      <c r="IJ48" s="142" t="str">
        <f>IFERROR(Calculations!BR49+IX48,"")</f>
        <v/>
      </c>
      <c r="IK48" s="142"/>
      <c r="IL48" s="142"/>
      <c r="IM48" s="142"/>
      <c r="IN48" s="142"/>
      <c r="IO48" s="142"/>
      <c r="IP48" s="142"/>
      <c r="IQ48" s="141">
        <v>0</v>
      </c>
      <c r="IR48" s="141"/>
      <c r="IS48" s="141"/>
      <c r="IT48" s="141"/>
      <c r="IU48" s="141"/>
      <c r="IV48" s="141"/>
      <c r="IW48" s="141"/>
      <c r="IX48" s="141">
        <v>0</v>
      </c>
      <c r="IY48" s="141"/>
      <c r="IZ48" s="141"/>
      <c r="JA48" s="141"/>
      <c r="JB48" s="141"/>
      <c r="JC48" s="141"/>
      <c r="JD48" s="141"/>
      <c r="JE48" s="141"/>
      <c r="JF48" s="142"/>
      <c r="JG48" s="142"/>
      <c r="JH48" s="142"/>
      <c r="JI48" s="142"/>
      <c r="JJ48" s="142"/>
      <c r="JK48" s="143" t="str">
        <f>Calculations!AS49</f>
        <v/>
      </c>
      <c r="JL48" s="143"/>
      <c r="JM48" s="143"/>
      <c r="JN48" s="143"/>
      <c r="JO48" s="143"/>
      <c r="JP48" s="143"/>
      <c r="JQ48" s="143"/>
      <c r="JR48" s="143"/>
      <c r="JS48" s="143"/>
      <c r="JT48" s="143"/>
      <c r="JU48" s="143"/>
      <c r="JV48" s="143"/>
      <c r="JW48" s="143"/>
      <c r="JX48" s="143"/>
      <c r="JY48" s="143"/>
      <c r="JZ48" s="143"/>
      <c r="KA48" s="143"/>
      <c r="KB48" s="143"/>
      <c r="KC48" s="143" t="str">
        <f>Calculations!AW49</f>
        <v/>
      </c>
      <c r="KD48" s="143"/>
      <c r="KE48" s="143"/>
      <c r="KF48" s="143"/>
      <c r="KG48" s="143"/>
      <c r="KH48" s="143"/>
      <c r="KI48" s="143"/>
      <c r="KJ48" s="143"/>
      <c r="KK48" s="143"/>
      <c r="KL48" s="143"/>
      <c r="KM48" s="143"/>
      <c r="KN48" s="143"/>
      <c r="KO48" s="143"/>
      <c r="KP48" s="143"/>
      <c r="KQ48" s="143"/>
      <c r="KR48" s="143"/>
      <c r="KS48" s="143"/>
      <c r="KT48" s="143"/>
      <c r="KU48" s="144"/>
      <c r="KV48" s="144"/>
      <c r="KW48" s="144"/>
      <c r="KX48" s="144"/>
      <c r="KY48" s="144"/>
      <c r="KZ48" s="144"/>
      <c r="LA48" s="144"/>
      <c r="LB48" s="144"/>
      <c r="LC48" s="144"/>
      <c r="LD48" s="144"/>
      <c r="LE48" s="144"/>
      <c r="LF48" s="144"/>
      <c r="LG48" s="144"/>
      <c r="LH48" s="144"/>
      <c r="LI48" s="144"/>
      <c r="LJ48" s="144"/>
      <c r="LK48" s="144"/>
      <c r="LL48" s="144"/>
      <c r="LM48" s="144"/>
      <c r="LN48" s="144"/>
      <c r="LO48" s="144"/>
      <c r="LP48" s="144"/>
      <c r="LQ48" s="144"/>
      <c r="LR48" s="144"/>
      <c r="LS48" s="144"/>
      <c r="LT48" s="144"/>
      <c r="LU48" s="144"/>
      <c r="LV48" s="144"/>
      <c r="LW48" s="144"/>
      <c r="LX48" s="144"/>
      <c r="LY48" s="144"/>
      <c r="LZ48" s="144"/>
      <c r="MA48" s="144"/>
      <c r="MB48" s="144"/>
      <c r="MC48" s="144"/>
      <c r="MD48" s="144"/>
      <c r="ME48" s="144"/>
      <c r="MF48" s="144"/>
      <c r="MG48" s="144"/>
      <c r="MH48" s="144"/>
      <c r="MI48" s="144"/>
      <c r="MJ48" s="144"/>
      <c r="MK48" s="144"/>
      <c r="ML48" s="144"/>
      <c r="MM48" s="144"/>
      <c r="MN48" s="144"/>
      <c r="MO48" s="144"/>
      <c r="MP48" s="144"/>
      <c r="MQ48" s="144"/>
      <c r="MR48" s="144"/>
      <c r="MS48" s="144"/>
      <c r="MT48" s="144"/>
      <c r="MU48" s="144"/>
      <c r="MV48" s="144"/>
      <c r="MW48" s="144"/>
      <c r="MX48" s="144"/>
      <c r="MY48" s="144"/>
      <c r="MZ48" s="145"/>
      <c r="APZ48" s="128" t="s">
        <v>601</v>
      </c>
      <c r="AQA48" s="128"/>
      <c r="AQB48" s="128"/>
      <c r="AQC48" s="128"/>
      <c r="AQD48" s="128"/>
      <c r="AQE48" s="128"/>
      <c r="AQF48" s="128"/>
      <c r="AQG48" s="128"/>
      <c r="AQH48" s="128"/>
      <c r="AQI48" s="128"/>
      <c r="AQJ48" s="128"/>
      <c r="AQK48" s="128"/>
      <c r="AQL48" s="128"/>
      <c r="AQM48" s="128"/>
      <c r="AQN48" s="128"/>
      <c r="AQO48" s="128"/>
      <c r="AQP48" s="128"/>
      <c r="AQQ48" s="128"/>
      <c r="AQR48" s="128"/>
      <c r="AQS48" s="128"/>
      <c r="AQT48" s="128"/>
      <c r="AQU48" s="128"/>
      <c r="AQV48" s="128"/>
      <c r="AQW48" s="128"/>
      <c r="AQX48" s="128"/>
      <c r="AQY48" s="128"/>
      <c r="AQZ48" s="128"/>
      <c r="ARA48" s="128"/>
      <c r="ARB48" s="128"/>
      <c r="ARC48" s="128"/>
      <c r="ARD48" s="128"/>
      <c r="ARE48" s="129"/>
      <c r="ARF48" s="129"/>
      <c r="ARG48" s="129"/>
      <c r="ARH48" s="129"/>
      <c r="ARI48" s="129"/>
      <c r="ARJ48" s="129"/>
      <c r="ARK48" s="129"/>
      <c r="ARL48" s="129"/>
      <c r="ARM48" s="129"/>
      <c r="ARN48" s="129"/>
      <c r="ARO48" s="129"/>
      <c r="ARP48" s="129"/>
      <c r="ARQ48" s="129"/>
      <c r="ARR48" s="129"/>
      <c r="ARS48" s="129"/>
      <c r="ART48" s="129"/>
      <c r="ARU48" s="129"/>
      <c r="ARV48" s="129"/>
      <c r="ARW48" s="129"/>
      <c r="ARX48" s="129"/>
      <c r="ARY48" s="129"/>
      <c r="ARZ48" s="128"/>
      <c r="ASA48" s="128"/>
      <c r="ASB48" s="128"/>
      <c r="ASC48" s="128"/>
      <c r="ASD48" s="128"/>
      <c r="ASE48" s="128"/>
      <c r="ASF48" s="129"/>
      <c r="ASG48" s="129"/>
      <c r="ASH48" s="129"/>
      <c r="ASI48" s="129"/>
      <c r="ASJ48" s="129"/>
      <c r="ASK48" s="129"/>
      <c r="ASL48" s="129"/>
      <c r="ASM48" s="129"/>
      <c r="ASN48" s="129"/>
      <c r="ASO48" s="129"/>
      <c r="ASP48" s="129"/>
      <c r="ASQ48" s="129"/>
      <c r="ASR48" s="129"/>
      <c r="ASS48" s="129"/>
      <c r="AST48" s="129"/>
      <c r="ASU48" s="129"/>
      <c r="ASV48" s="129"/>
      <c r="ASW48" s="129"/>
      <c r="ASX48" s="129"/>
      <c r="ASY48" s="129"/>
      <c r="ASZ48" s="129"/>
      <c r="ATA48" s="129"/>
      <c r="ATB48" s="129"/>
      <c r="ATC48" s="129"/>
      <c r="ATD48" s="129"/>
      <c r="ATE48" s="129"/>
      <c r="ATF48" s="129"/>
      <c r="ATG48" s="129"/>
      <c r="ATH48" s="128"/>
      <c r="ATI48" s="128"/>
      <c r="ATJ48" s="128"/>
      <c r="ATK48" s="128"/>
      <c r="ATL48" s="128"/>
      <c r="ATM48" s="128"/>
      <c r="ATN48" s="128"/>
      <c r="BLR48" s="128" t="s">
        <v>341</v>
      </c>
      <c r="BLS48" s="128"/>
      <c r="BLT48" s="128"/>
      <c r="BLU48" s="128"/>
      <c r="BLV48" s="128"/>
      <c r="BLW48" s="128"/>
      <c r="BLX48" s="128"/>
      <c r="BLY48" s="128"/>
      <c r="BLZ48" s="128"/>
      <c r="BMA48" s="128"/>
      <c r="BMB48" s="128"/>
      <c r="BMC48" s="128"/>
      <c r="BMD48" s="128"/>
      <c r="BME48" s="128"/>
      <c r="BMF48" s="128"/>
      <c r="BMG48" s="128"/>
      <c r="BMH48" s="128"/>
      <c r="BMI48" s="128"/>
      <c r="BMJ48" s="128"/>
      <c r="BMK48" s="128"/>
      <c r="BML48" s="128"/>
      <c r="BMM48" s="128"/>
      <c r="BMN48" s="128"/>
      <c r="BMO48" s="128"/>
      <c r="BMP48" s="128"/>
      <c r="BMQ48" s="128"/>
      <c r="BMR48" s="128"/>
      <c r="BMS48" s="128"/>
      <c r="BMT48" s="128"/>
      <c r="BMU48" s="128"/>
      <c r="BMV48" s="128"/>
      <c r="BMW48" s="129"/>
      <c r="BMX48" s="129"/>
      <c r="BMY48" s="129"/>
      <c r="BMZ48" s="129"/>
      <c r="BNA48" s="129"/>
      <c r="BNB48" s="129"/>
      <c r="BNC48" s="129"/>
      <c r="BND48" s="129"/>
      <c r="BNE48" s="129"/>
      <c r="BNF48" s="129"/>
      <c r="BNG48" s="129"/>
      <c r="BNH48" s="129"/>
      <c r="BNI48" s="129"/>
      <c r="BNJ48" s="129"/>
      <c r="BNK48" s="129"/>
      <c r="BNL48" s="129"/>
      <c r="BNM48" s="129"/>
      <c r="BNN48" s="129"/>
      <c r="BNO48" s="129"/>
      <c r="BNP48" s="129"/>
      <c r="BNQ48" s="129"/>
      <c r="BNR48" s="128"/>
      <c r="BNS48" s="128"/>
      <c r="BNT48" s="128"/>
      <c r="BNU48" s="128"/>
      <c r="BNV48" s="128"/>
      <c r="BNW48" s="128"/>
      <c r="BNX48" s="129"/>
      <c r="BNY48" s="129"/>
      <c r="BNZ48" s="129"/>
      <c r="BOA48" s="129"/>
      <c r="BOB48" s="129"/>
      <c r="BOC48" s="129"/>
      <c r="BOD48" s="129"/>
      <c r="BOE48" s="129"/>
      <c r="BOF48" s="129"/>
      <c r="BOG48" s="129"/>
      <c r="BOH48" s="129"/>
      <c r="BOI48" s="129"/>
      <c r="BOJ48" s="129"/>
      <c r="BOK48" s="129"/>
      <c r="BOL48" s="129"/>
      <c r="BOM48" s="129"/>
      <c r="BON48" s="129"/>
      <c r="BOO48" s="129"/>
      <c r="BOP48" s="129"/>
      <c r="BOQ48" s="129"/>
      <c r="BOR48" s="129"/>
      <c r="BOS48" s="129"/>
      <c r="BOT48" s="129"/>
      <c r="BOU48" s="129"/>
      <c r="BOV48" s="129"/>
      <c r="BOW48" s="129"/>
      <c r="BOX48" s="129"/>
      <c r="BOY48" s="129"/>
      <c r="BOZ48" s="128"/>
      <c r="BPA48" s="128"/>
      <c r="BPB48" s="128"/>
      <c r="BPC48" s="128"/>
      <c r="BPD48" s="128"/>
      <c r="BPE48" s="128"/>
      <c r="BPF48" s="128"/>
      <c r="COP48" s="128" t="str">
        <f ca="1">VLOOKUP(6,INDIRECT("Evil"&amp;'Character Creation'!$Z$14),2,FALSE)</f>
        <v>Necromantic Ways</v>
      </c>
      <c r="COQ48" s="128"/>
      <c r="COR48" s="128"/>
      <c r="COS48" s="128"/>
      <c r="COT48" s="128"/>
      <c r="COU48" s="128"/>
      <c r="COV48" s="128"/>
      <c r="COW48" s="128"/>
      <c r="COX48" s="128"/>
      <c r="COY48" s="128"/>
      <c r="COZ48" s="128"/>
      <c r="CPA48" s="128"/>
      <c r="CPB48" s="128"/>
      <c r="CPC48" s="128"/>
      <c r="CPD48" s="128"/>
      <c r="CPE48" s="128"/>
      <c r="CPF48" s="128"/>
      <c r="CPG48" s="128"/>
      <c r="CPH48" s="128"/>
      <c r="CPI48" s="128"/>
      <c r="CPJ48" s="128"/>
      <c r="CPK48" s="128"/>
      <c r="CPL48" s="128"/>
      <c r="CPM48" s="128"/>
      <c r="CPN48" s="128"/>
      <c r="CPO48" s="128"/>
      <c r="CPP48" s="128"/>
      <c r="CPQ48" s="128"/>
      <c r="CPR48" s="128"/>
      <c r="CPS48" s="128"/>
      <c r="CPT48" s="128"/>
      <c r="CPU48" s="129"/>
      <c r="CPV48" s="129"/>
      <c r="CPW48" s="129"/>
      <c r="CPX48" s="129"/>
      <c r="CPY48" s="129"/>
      <c r="CPZ48" s="129"/>
      <c r="CQA48" s="129"/>
      <c r="CQB48" s="129"/>
      <c r="CQC48" s="129"/>
      <c r="CQD48" s="129"/>
      <c r="CQE48" s="129"/>
      <c r="CQF48" s="129"/>
      <c r="CQG48" s="129"/>
      <c r="CQH48" s="129"/>
      <c r="CQI48" s="129"/>
      <c r="CQJ48" s="129"/>
      <c r="CQK48" s="129"/>
      <c r="CQL48" s="129"/>
      <c r="CQM48" s="129"/>
      <c r="CQN48" s="129"/>
      <c r="CQO48" s="129"/>
      <c r="CQP48" s="128"/>
      <c r="CQQ48" s="128"/>
      <c r="CQR48" s="128"/>
      <c r="CQS48" s="128"/>
      <c r="CQT48" s="128"/>
      <c r="CQU48" s="128"/>
      <c r="CQV48" s="129"/>
      <c r="CQW48" s="129"/>
      <c r="CQX48" s="129"/>
      <c r="CQY48" s="129"/>
      <c r="CQZ48" s="129"/>
      <c r="CRA48" s="129"/>
      <c r="CRB48" s="129"/>
      <c r="CRC48" s="129"/>
      <c r="CRD48" s="129"/>
      <c r="CRE48" s="129"/>
      <c r="CRF48" s="129"/>
      <c r="CRG48" s="129"/>
      <c r="CRH48" s="129"/>
      <c r="CRI48" s="129"/>
      <c r="CRJ48" s="129"/>
      <c r="CRK48" s="129"/>
      <c r="CRL48" s="129"/>
      <c r="CRM48" s="129"/>
      <c r="CRN48" s="129"/>
      <c r="CRO48" s="129"/>
      <c r="CRP48" s="129"/>
      <c r="CRQ48" s="129"/>
      <c r="CRR48" s="129"/>
      <c r="CRS48" s="129"/>
      <c r="CRT48" s="129"/>
      <c r="CRU48" s="129"/>
      <c r="CRV48" s="129"/>
      <c r="CRW48" s="129"/>
      <c r="CRX48" s="128"/>
      <c r="CRY48" s="128"/>
      <c r="CRZ48" s="128"/>
      <c r="CSA48" s="128"/>
      <c r="CSB48" s="128"/>
      <c r="CSC48" s="128"/>
      <c r="CSD48" s="128"/>
      <c r="CSF48" s="128" t="s">
        <v>473</v>
      </c>
      <c r="CSG48" s="128"/>
      <c r="CSH48" s="128"/>
      <c r="CSI48" s="128"/>
      <c r="CSJ48" s="128"/>
      <c r="CSK48" s="128"/>
      <c r="CSL48" s="128"/>
      <c r="CSM48" s="128"/>
      <c r="CSN48" s="128"/>
      <c r="CSO48" s="128"/>
      <c r="CSP48" s="128"/>
      <c r="CSQ48" s="128"/>
      <c r="CSR48" s="128"/>
      <c r="CSS48" s="128"/>
      <c r="CST48" s="128"/>
      <c r="CSU48" s="128"/>
      <c r="CSV48" s="128"/>
      <c r="CSW48" s="128"/>
      <c r="CSX48" s="128"/>
      <c r="CSY48" s="128"/>
      <c r="CSZ48" s="128"/>
      <c r="CTA48" s="128"/>
      <c r="CTB48" s="128"/>
      <c r="CTC48" s="128"/>
      <c r="CTD48" s="128"/>
      <c r="CTE48" s="128"/>
      <c r="CTF48" s="128"/>
      <c r="CTG48" s="128"/>
      <c r="CTH48" s="128"/>
      <c r="CTI48" s="128"/>
      <c r="CTJ48" s="128"/>
      <c r="CTK48" s="129"/>
      <c r="CTL48" s="129"/>
      <c r="CTM48" s="129"/>
      <c r="CTN48" s="129"/>
      <c r="CTO48" s="129"/>
      <c r="CTP48" s="129"/>
      <c r="CTQ48" s="129"/>
      <c r="CTR48" s="129"/>
      <c r="CTS48" s="129"/>
      <c r="CTT48" s="129"/>
      <c r="CTU48" s="129"/>
      <c r="CTV48" s="129"/>
      <c r="CTW48" s="129"/>
      <c r="CTX48" s="129"/>
      <c r="CTY48" s="129"/>
      <c r="CTZ48" s="129"/>
      <c r="CUA48" s="129"/>
      <c r="CUB48" s="129"/>
      <c r="CUC48" s="129"/>
      <c r="CUD48" s="129"/>
      <c r="CUE48" s="129"/>
      <c r="CUF48" s="128"/>
      <c r="CUG48" s="128"/>
      <c r="CUH48" s="128"/>
      <c r="CUI48" s="128"/>
      <c r="CUJ48" s="128"/>
      <c r="CUK48" s="128"/>
      <c r="CUL48" s="129"/>
      <c r="CUM48" s="129"/>
      <c r="CUN48" s="129"/>
      <c r="CUO48" s="129"/>
      <c r="CUP48" s="129"/>
      <c r="CUQ48" s="129"/>
      <c r="CUR48" s="129"/>
      <c r="CUS48" s="129"/>
      <c r="CUT48" s="129"/>
      <c r="CUU48" s="129"/>
      <c r="CUV48" s="129"/>
      <c r="CUW48" s="129"/>
      <c r="CUX48" s="129"/>
      <c r="CUY48" s="129"/>
      <c r="CUZ48" s="129"/>
      <c r="CVA48" s="129"/>
      <c r="CVB48" s="129"/>
      <c r="CVC48" s="129"/>
      <c r="CVD48" s="129"/>
      <c r="CVE48" s="129"/>
      <c r="CVF48" s="129"/>
      <c r="CVG48" s="129"/>
      <c r="CVH48" s="129"/>
      <c r="CVI48" s="129"/>
      <c r="CVJ48" s="129"/>
      <c r="CVK48" s="129"/>
      <c r="CVL48" s="129"/>
      <c r="CVM48" s="129"/>
      <c r="CVN48" s="128"/>
      <c r="CVO48" s="128"/>
      <c r="CVP48" s="128"/>
      <c r="CVQ48" s="128"/>
      <c r="CVR48" s="128"/>
      <c r="CVS48" s="128"/>
      <c r="CVT48" s="128"/>
    </row>
    <row r="49" spans="2:364 1118:1774 2434:2902" ht="15" customHeight="1" x14ac:dyDescent="0.25">
      <c r="B49" s="188" t="s">
        <v>65</v>
      </c>
      <c r="C49" s="189"/>
      <c r="D49" s="189"/>
      <c r="E49" s="189"/>
      <c r="F49" s="189"/>
      <c r="G49" s="189"/>
      <c r="H49" s="189"/>
      <c r="I49" s="189"/>
      <c r="J49" s="189"/>
      <c r="K49" s="189"/>
      <c r="L49" s="189"/>
      <c r="M49" s="189"/>
      <c r="N49" s="189"/>
      <c r="O49" s="189"/>
      <c r="P49" s="311" t="str">
        <f>Calculations!DA3</f>
        <v>Heavy Cloth</v>
      </c>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192">
        <v>1</v>
      </c>
      <c r="AP49" s="192"/>
      <c r="AQ49" s="192"/>
      <c r="AR49" s="192"/>
      <c r="AS49" s="192"/>
      <c r="AT49" s="192"/>
      <c r="AU49" s="192"/>
      <c r="AV49" s="192"/>
      <c r="AW49" s="130" t="str">
        <f>IF(P49="No Armour","- -",IF(P49=Calculations!DA3,"- -",VLOOKUP(P49,Armour!$B$4:$AU$99,19,FALSE)*'Character Creation'!$Z$18*'Character Sheet'!$AO49))</f>
        <v>- -</v>
      </c>
      <c r="AX49" s="130"/>
      <c r="AY49" s="130"/>
      <c r="AZ49" s="130"/>
      <c r="BA49" s="130"/>
      <c r="BB49" s="130"/>
      <c r="BC49" s="130"/>
      <c r="BD49" s="130"/>
      <c r="BE49" s="130">
        <f>IF(P49="No Armour","- -",VLOOKUP(P49,Armour!$B$4:$AU$99,4,FALSE)+BU49+CC49)</f>
        <v>30</v>
      </c>
      <c r="BF49" s="130"/>
      <c r="BG49" s="130"/>
      <c r="BH49" s="130"/>
      <c r="BI49" s="130"/>
      <c r="BJ49" s="130"/>
      <c r="BK49" s="130"/>
      <c r="BL49" s="130"/>
      <c r="BM49" s="130">
        <f>IF(P49="No Armour","- -",IF(P49="No Armour",0,VLOOKUP(P49,Armour!$B$4:$AU$99,3,FALSE)+VLOOKUP(((AO49*100)-100),Charts!$AW$2:$AX$42,2,FALSE)))</f>
        <v>0</v>
      </c>
      <c r="BN49" s="130"/>
      <c r="BO49" s="130"/>
      <c r="BP49" s="130"/>
      <c r="BQ49" s="130"/>
      <c r="BR49" s="130"/>
      <c r="BS49" s="130"/>
      <c r="BT49" s="130"/>
      <c r="BU49" s="195">
        <f>IF(P49="No Armour","- -",0)</f>
        <v>0</v>
      </c>
      <c r="BV49" s="195"/>
      <c r="BW49" s="195"/>
      <c r="BX49" s="195"/>
      <c r="BY49" s="195"/>
      <c r="BZ49" s="195"/>
      <c r="CA49" s="195"/>
      <c r="CB49" s="195"/>
      <c r="CC49" s="195">
        <f>IF(P49="No Armour","- -",0)</f>
        <v>0</v>
      </c>
      <c r="CD49" s="195"/>
      <c r="CE49" s="195"/>
      <c r="CF49" s="195"/>
      <c r="CG49" s="195"/>
      <c r="CH49" s="195"/>
      <c r="CI49" s="195"/>
      <c r="CJ49" s="195"/>
      <c r="CK49" s="130">
        <f t="shared" ref="CK49:CK69" si="18">IF(P49="No Armour","- -",ROUND(MAX(0,VLOOKUP(P49,ATChart,2,FALSE)+MIN(0,(BM49+BU49+CC49)/5)),0))</f>
        <v>2</v>
      </c>
      <c r="CL49" s="130"/>
      <c r="CM49" s="130"/>
      <c r="CN49" s="130"/>
      <c r="CO49" s="130"/>
      <c r="CP49" s="130"/>
      <c r="CQ49" s="130"/>
      <c r="CR49" s="130"/>
      <c r="CS49" s="130">
        <f>IF(P49="No Armour","- -",MAX((MIN(BM49,0)),BM49+BU49+CC49))</f>
        <v>0</v>
      </c>
      <c r="CT49" s="130"/>
      <c r="CU49" s="130"/>
      <c r="CV49" s="130"/>
      <c r="CW49" s="130"/>
      <c r="CX49" s="130"/>
      <c r="CY49" s="130"/>
      <c r="CZ49" s="130"/>
      <c r="DA49" s="130">
        <f>IF(P49="No Armour","- -",VLOOKUP(P49,Armour!$B$4:$EY$99,47,FALSE)+(ROUNDUP(CC49/3,0)))</f>
        <v>0</v>
      </c>
      <c r="DB49" s="130"/>
      <c r="DC49" s="130"/>
      <c r="DD49" s="130"/>
      <c r="DE49" s="130"/>
      <c r="DF49" s="130"/>
      <c r="DG49" s="130"/>
      <c r="DH49" s="130"/>
      <c r="DI49" s="130">
        <f t="shared" ref="DI49:DI54" si="19">IF(P49="No Armour","- -",0)</f>
        <v>0</v>
      </c>
      <c r="DJ49" s="130"/>
      <c r="DK49" s="130"/>
      <c r="DL49" s="130"/>
      <c r="DM49" s="130"/>
      <c r="DN49" s="130"/>
      <c r="DO49" s="130"/>
      <c r="DP49" s="130"/>
      <c r="DQ49" s="130">
        <f>IF(P49="No Armour","- -",VLOOKUP(P49,Armour!$B$4:$EY$99,65,FALSE)+(ROUNDUP(CC49/3,0)))</f>
        <v>-2</v>
      </c>
      <c r="DR49" s="130"/>
      <c r="DS49" s="130"/>
      <c r="DT49" s="130"/>
      <c r="DU49" s="130"/>
      <c r="DV49" s="130"/>
      <c r="DW49" s="130"/>
      <c r="DX49" s="130"/>
      <c r="DY49" s="134"/>
      <c r="DZ49" s="134"/>
      <c r="EA49" s="134"/>
      <c r="EB49" s="134"/>
      <c r="EC49" s="134"/>
      <c r="ED49" s="134"/>
      <c r="EE49" s="134"/>
      <c r="EF49" s="134"/>
      <c r="EG49" s="134"/>
      <c r="EH49" s="134"/>
      <c r="EI49" s="134"/>
      <c r="EJ49" s="134"/>
      <c r="EK49" s="134"/>
      <c r="EL49" s="134"/>
      <c r="EM49" s="134"/>
      <c r="EN49" s="134"/>
      <c r="EO49" s="134"/>
      <c r="EP49" s="134"/>
      <c r="EQ49" s="134"/>
      <c r="ER49" s="134"/>
      <c r="ES49" s="134"/>
      <c r="ET49" s="134"/>
      <c r="EU49" s="134"/>
      <c r="EV49" s="134"/>
      <c r="EW49" s="134"/>
      <c r="EX49" s="134"/>
      <c r="EY49" s="134"/>
      <c r="EZ49" s="320"/>
      <c r="FB49" s="151"/>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41">
        <v>0</v>
      </c>
      <c r="GU49" s="141"/>
      <c r="GV49" s="141"/>
      <c r="GW49" s="141"/>
      <c r="GX49" s="141"/>
      <c r="GY49" s="141"/>
      <c r="GZ49" s="141"/>
      <c r="HA49" s="141"/>
      <c r="HB49" s="142" t="str">
        <f>IFERROR(ROUND(Calculations!BV50*GT49,2),"")</f>
        <v/>
      </c>
      <c r="HC49" s="142"/>
      <c r="HD49" s="142"/>
      <c r="HE49" s="142"/>
      <c r="HF49" s="142"/>
      <c r="HG49" s="142"/>
      <c r="HH49" s="142"/>
      <c r="HI49" s="142"/>
      <c r="HJ49" s="142">
        <f>IFERROR(Calculations!BS50+IQ49+IX49,"")</f>
        <v>0</v>
      </c>
      <c r="HK49" s="142"/>
      <c r="HL49" s="142"/>
      <c r="HM49" s="142"/>
      <c r="HN49" s="142"/>
      <c r="HO49" s="142"/>
      <c r="HP49" s="142"/>
      <c r="HQ49" s="142"/>
      <c r="HR49" s="142" t="str">
        <f t="shared" si="9"/>
        <v/>
      </c>
      <c r="HS49" s="142"/>
      <c r="HT49" s="142"/>
      <c r="HU49" s="142"/>
      <c r="HV49" s="142"/>
      <c r="HW49" s="142"/>
      <c r="HX49" s="142"/>
      <c r="HY49" s="142"/>
      <c r="HZ49" s="142" t="str">
        <f>IFERROR(Calculations!BX50,"")</f>
        <v/>
      </c>
      <c r="IA49" s="142"/>
      <c r="IB49" s="142"/>
      <c r="IC49" s="142"/>
      <c r="ID49" s="142"/>
      <c r="IE49" s="142"/>
      <c r="IF49" s="142"/>
      <c r="IG49" s="142"/>
      <c r="IH49" s="142"/>
      <c r="II49" s="142"/>
      <c r="IJ49" s="142" t="str">
        <f>IFERROR(Calculations!BR50+IX49,"")</f>
        <v/>
      </c>
      <c r="IK49" s="142"/>
      <c r="IL49" s="142"/>
      <c r="IM49" s="142"/>
      <c r="IN49" s="142"/>
      <c r="IO49" s="142"/>
      <c r="IP49" s="142"/>
      <c r="IQ49" s="141">
        <v>0</v>
      </c>
      <c r="IR49" s="141"/>
      <c r="IS49" s="141"/>
      <c r="IT49" s="141"/>
      <c r="IU49" s="141"/>
      <c r="IV49" s="141"/>
      <c r="IW49" s="141"/>
      <c r="IX49" s="141">
        <v>0</v>
      </c>
      <c r="IY49" s="141"/>
      <c r="IZ49" s="141"/>
      <c r="JA49" s="141"/>
      <c r="JB49" s="141"/>
      <c r="JC49" s="141"/>
      <c r="JD49" s="141"/>
      <c r="JE49" s="141"/>
      <c r="JF49" s="142"/>
      <c r="JG49" s="142"/>
      <c r="JH49" s="142"/>
      <c r="JI49" s="142"/>
      <c r="JJ49" s="142"/>
      <c r="JK49" s="143" t="str">
        <f>Calculations!AS50</f>
        <v/>
      </c>
      <c r="JL49" s="143"/>
      <c r="JM49" s="143"/>
      <c r="JN49" s="143"/>
      <c r="JO49" s="143"/>
      <c r="JP49" s="143"/>
      <c r="JQ49" s="143"/>
      <c r="JR49" s="143"/>
      <c r="JS49" s="143"/>
      <c r="JT49" s="143"/>
      <c r="JU49" s="143"/>
      <c r="JV49" s="143"/>
      <c r="JW49" s="143"/>
      <c r="JX49" s="143"/>
      <c r="JY49" s="143"/>
      <c r="JZ49" s="143"/>
      <c r="KA49" s="143"/>
      <c r="KB49" s="143"/>
      <c r="KC49" s="143" t="str">
        <f>Calculations!AW50</f>
        <v/>
      </c>
      <c r="KD49" s="143"/>
      <c r="KE49" s="143"/>
      <c r="KF49" s="143"/>
      <c r="KG49" s="143"/>
      <c r="KH49" s="143"/>
      <c r="KI49" s="143"/>
      <c r="KJ49" s="143"/>
      <c r="KK49" s="143"/>
      <c r="KL49" s="143"/>
      <c r="KM49" s="143"/>
      <c r="KN49" s="143"/>
      <c r="KO49" s="143"/>
      <c r="KP49" s="143"/>
      <c r="KQ49" s="143"/>
      <c r="KR49" s="143"/>
      <c r="KS49" s="143"/>
      <c r="KT49" s="143"/>
      <c r="KU49" s="144"/>
      <c r="KV49" s="144"/>
      <c r="KW49" s="144"/>
      <c r="KX49" s="144"/>
      <c r="KY49" s="144"/>
      <c r="KZ49" s="144"/>
      <c r="LA49" s="144"/>
      <c r="LB49" s="144"/>
      <c r="LC49" s="144"/>
      <c r="LD49" s="144"/>
      <c r="LE49" s="144"/>
      <c r="LF49" s="144"/>
      <c r="LG49" s="144"/>
      <c r="LH49" s="144"/>
      <c r="LI49" s="144"/>
      <c r="LJ49" s="144"/>
      <c r="LK49" s="144"/>
      <c r="LL49" s="144"/>
      <c r="LM49" s="144"/>
      <c r="LN49" s="144"/>
      <c r="LO49" s="144"/>
      <c r="LP49" s="144"/>
      <c r="LQ49" s="144"/>
      <c r="LR49" s="144"/>
      <c r="LS49" s="144"/>
      <c r="LT49" s="144"/>
      <c r="LU49" s="144"/>
      <c r="LV49" s="144"/>
      <c r="LW49" s="144"/>
      <c r="LX49" s="144"/>
      <c r="LY49" s="144"/>
      <c r="LZ49" s="144"/>
      <c r="MA49" s="144"/>
      <c r="MB49" s="144"/>
      <c r="MC49" s="144"/>
      <c r="MD49" s="144"/>
      <c r="ME49" s="144"/>
      <c r="MF49" s="144"/>
      <c r="MG49" s="144"/>
      <c r="MH49" s="144"/>
      <c r="MI49" s="144"/>
      <c r="MJ49" s="144"/>
      <c r="MK49" s="144"/>
      <c r="ML49" s="144"/>
      <c r="MM49" s="144"/>
      <c r="MN49" s="144"/>
      <c r="MO49" s="144"/>
      <c r="MP49" s="144"/>
      <c r="MQ49" s="144"/>
      <c r="MR49" s="144"/>
      <c r="MS49" s="144"/>
      <c r="MT49" s="144"/>
      <c r="MU49" s="144"/>
      <c r="MV49" s="144"/>
      <c r="MW49" s="144"/>
      <c r="MX49" s="144"/>
      <c r="MY49" s="144"/>
      <c r="MZ49" s="145"/>
      <c r="APZ49" s="128" t="s">
        <v>256</v>
      </c>
      <c r="AQA49" s="128"/>
      <c r="AQB49" s="128"/>
      <c r="AQC49" s="128"/>
      <c r="AQD49" s="128"/>
      <c r="AQE49" s="128"/>
      <c r="AQF49" s="128"/>
      <c r="AQG49" s="128"/>
      <c r="AQH49" s="128"/>
      <c r="AQI49" s="128"/>
      <c r="AQJ49" s="128"/>
      <c r="AQK49" s="128"/>
      <c r="AQL49" s="128"/>
      <c r="AQM49" s="128"/>
      <c r="AQN49" s="128"/>
      <c r="AQO49" s="128"/>
      <c r="AQP49" s="128"/>
      <c r="AQQ49" s="128"/>
      <c r="AQR49" s="128"/>
      <c r="AQS49" s="128"/>
      <c r="AQT49" s="128"/>
      <c r="AQU49" s="128"/>
      <c r="AQV49" s="128"/>
      <c r="AQW49" s="128"/>
      <c r="AQX49" s="128"/>
      <c r="AQY49" s="128"/>
      <c r="AQZ49" s="128"/>
      <c r="ARA49" s="128"/>
      <c r="ARB49" s="128"/>
      <c r="ARC49" s="128"/>
      <c r="ARD49" s="128"/>
      <c r="ARE49" s="129"/>
      <c r="ARF49" s="129"/>
      <c r="ARG49" s="129"/>
      <c r="ARH49" s="129"/>
      <c r="ARI49" s="129"/>
      <c r="ARJ49" s="129"/>
      <c r="ARK49" s="129"/>
      <c r="ARL49" s="129"/>
      <c r="ARM49" s="129"/>
      <c r="ARN49" s="129"/>
      <c r="ARO49" s="129"/>
      <c r="ARP49" s="129"/>
      <c r="ARQ49" s="129"/>
      <c r="ARR49" s="129"/>
      <c r="ARS49" s="129"/>
      <c r="ART49" s="129"/>
      <c r="ARU49" s="129"/>
      <c r="ARV49" s="129"/>
      <c r="ARW49" s="129"/>
      <c r="ARX49" s="129"/>
      <c r="ARY49" s="129"/>
      <c r="ARZ49" s="128"/>
      <c r="ASA49" s="128"/>
      <c r="ASB49" s="128"/>
      <c r="ASC49" s="128"/>
      <c r="ASD49" s="128"/>
      <c r="ASE49" s="128"/>
      <c r="ASF49" s="129"/>
      <c r="ASG49" s="129"/>
      <c r="ASH49" s="129"/>
      <c r="ASI49" s="129"/>
      <c r="ASJ49" s="129"/>
      <c r="ASK49" s="129"/>
      <c r="ASL49" s="129"/>
      <c r="ASM49" s="129"/>
      <c r="ASN49" s="129"/>
      <c r="ASO49" s="129"/>
      <c r="ASP49" s="129"/>
      <c r="ASQ49" s="129"/>
      <c r="ASR49" s="129"/>
      <c r="ASS49" s="129"/>
      <c r="AST49" s="129"/>
      <c r="ASU49" s="129"/>
      <c r="ASV49" s="129"/>
      <c r="ASW49" s="129"/>
      <c r="ASX49" s="129"/>
      <c r="ASY49" s="129"/>
      <c r="ASZ49" s="129"/>
      <c r="ATA49" s="129"/>
      <c r="ATB49" s="129"/>
      <c r="ATC49" s="129"/>
      <c r="ATD49" s="129"/>
      <c r="ATE49" s="129"/>
      <c r="ATF49" s="129"/>
      <c r="ATG49" s="129"/>
      <c r="ATH49" s="128"/>
      <c r="ATI49" s="128"/>
      <c r="ATJ49" s="128"/>
      <c r="ATK49" s="128"/>
      <c r="ATL49" s="128"/>
      <c r="ATM49" s="128"/>
      <c r="ATN49" s="128"/>
      <c r="CSF49" s="128" t="s">
        <v>474</v>
      </c>
      <c r="CSG49" s="128"/>
      <c r="CSH49" s="128"/>
      <c r="CSI49" s="128"/>
      <c r="CSJ49" s="128"/>
      <c r="CSK49" s="128"/>
      <c r="CSL49" s="128"/>
      <c r="CSM49" s="128"/>
      <c r="CSN49" s="128"/>
      <c r="CSO49" s="128"/>
      <c r="CSP49" s="128"/>
      <c r="CSQ49" s="128"/>
      <c r="CSR49" s="128"/>
      <c r="CSS49" s="128"/>
      <c r="CST49" s="128"/>
      <c r="CSU49" s="128"/>
      <c r="CSV49" s="128"/>
      <c r="CSW49" s="128"/>
      <c r="CSX49" s="128"/>
      <c r="CSY49" s="128"/>
      <c r="CSZ49" s="128"/>
      <c r="CTA49" s="128"/>
      <c r="CTB49" s="128"/>
      <c r="CTC49" s="128"/>
      <c r="CTD49" s="128"/>
      <c r="CTE49" s="128"/>
      <c r="CTF49" s="128"/>
      <c r="CTG49" s="128"/>
      <c r="CTH49" s="128"/>
      <c r="CTI49" s="128"/>
      <c r="CTJ49" s="128"/>
      <c r="CTK49" s="129"/>
      <c r="CTL49" s="129"/>
      <c r="CTM49" s="129"/>
      <c r="CTN49" s="129"/>
      <c r="CTO49" s="129"/>
      <c r="CTP49" s="129"/>
      <c r="CTQ49" s="129"/>
      <c r="CTR49" s="129"/>
      <c r="CTS49" s="129"/>
      <c r="CTT49" s="129"/>
      <c r="CTU49" s="129"/>
      <c r="CTV49" s="129"/>
      <c r="CTW49" s="129"/>
      <c r="CTX49" s="129"/>
      <c r="CTY49" s="129"/>
      <c r="CTZ49" s="129"/>
      <c r="CUA49" s="129"/>
      <c r="CUB49" s="129"/>
      <c r="CUC49" s="129"/>
      <c r="CUD49" s="129"/>
      <c r="CUE49" s="129"/>
      <c r="CUF49" s="128"/>
      <c r="CUG49" s="128"/>
      <c r="CUH49" s="128"/>
      <c r="CUI49" s="128"/>
      <c r="CUJ49" s="128"/>
      <c r="CUK49" s="128"/>
      <c r="CUL49" s="129"/>
      <c r="CUM49" s="129"/>
      <c r="CUN49" s="129"/>
      <c r="CUO49" s="129"/>
      <c r="CUP49" s="129"/>
      <c r="CUQ49" s="129"/>
      <c r="CUR49" s="129"/>
      <c r="CUS49" s="129"/>
      <c r="CUT49" s="129"/>
      <c r="CUU49" s="129"/>
      <c r="CUV49" s="129"/>
      <c r="CUW49" s="129"/>
      <c r="CUX49" s="129"/>
      <c r="CUY49" s="129"/>
      <c r="CUZ49" s="129"/>
      <c r="CVA49" s="129"/>
      <c r="CVB49" s="129"/>
      <c r="CVC49" s="129"/>
      <c r="CVD49" s="129"/>
      <c r="CVE49" s="129"/>
      <c r="CVF49" s="129"/>
      <c r="CVG49" s="129"/>
      <c r="CVH49" s="129"/>
      <c r="CVI49" s="129"/>
      <c r="CVJ49" s="129"/>
      <c r="CVK49" s="129"/>
      <c r="CVL49" s="129"/>
      <c r="CVM49" s="129"/>
      <c r="CVN49" s="128"/>
      <c r="CVO49" s="128"/>
      <c r="CVP49" s="128"/>
      <c r="CVQ49" s="128"/>
      <c r="CVR49" s="128"/>
      <c r="CVS49" s="128"/>
      <c r="CVT49" s="128"/>
      <c r="DDB49" s="144" t="s">
        <v>550</v>
      </c>
      <c r="DDC49" s="144"/>
      <c r="DDD49" s="144"/>
      <c r="DDE49" s="144"/>
      <c r="DDF49" s="144"/>
      <c r="DDG49" s="144"/>
      <c r="DDH49" s="144"/>
      <c r="DDI49" s="144"/>
      <c r="DDJ49" s="144"/>
      <c r="DDK49" s="144"/>
      <c r="DDL49" s="144"/>
      <c r="DDM49" s="144"/>
      <c r="DDN49" s="144"/>
      <c r="DDO49" s="144"/>
      <c r="DDP49" s="144"/>
      <c r="DDQ49" s="144"/>
      <c r="DDR49" s="144"/>
      <c r="DDS49" s="144"/>
      <c r="DDT49" s="144"/>
      <c r="DDU49" s="144"/>
      <c r="DDV49" s="144"/>
      <c r="DDW49" s="144"/>
      <c r="DDX49" s="144"/>
      <c r="DDY49" s="144"/>
      <c r="DDZ49" s="144"/>
      <c r="DEA49" s="144"/>
      <c r="DEB49" s="144"/>
      <c r="DEC49" s="144"/>
      <c r="DED49" s="144"/>
      <c r="DEE49" s="144"/>
      <c r="DEF49" s="144"/>
      <c r="DEG49" s="144"/>
      <c r="DEH49" s="144"/>
      <c r="DEI49" s="144"/>
      <c r="DEJ49" s="144"/>
      <c r="DEK49" s="144"/>
      <c r="DEL49" s="144"/>
      <c r="DEM49" s="144"/>
      <c r="DEN49" s="144"/>
      <c r="DEO49" s="144"/>
      <c r="DEP49" s="144"/>
      <c r="DEQ49" s="144"/>
      <c r="DER49" s="144"/>
      <c r="DES49" s="144"/>
      <c r="DET49" s="144"/>
      <c r="DEU49" s="144"/>
      <c r="DEV49" s="144"/>
      <c r="DEW49" s="144"/>
      <c r="DEX49" s="144"/>
      <c r="DEY49" s="144"/>
      <c r="DEZ49" s="144"/>
      <c r="DFA49" s="144"/>
      <c r="DFB49" s="144"/>
      <c r="DFC49" s="144"/>
      <c r="DFD49" s="144"/>
      <c r="DFE49" s="144"/>
      <c r="DFF49" s="144"/>
      <c r="DFG49" s="144"/>
      <c r="DFH49" s="144"/>
      <c r="DFI49" s="144"/>
      <c r="DFJ49" s="144"/>
      <c r="DFK49" s="144"/>
      <c r="DFL49" s="144"/>
      <c r="DFM49" s="144"/>
      <c r="DFN49" s="144"/>
      <c r="DFO49" s="144"/>
      <c r="DFP49" s="144"/>
      <c r="DFQ49" s="144"/>
      <c r="DFR49" s="144"/>
      <c r="DFS49" s="144"/>
      <c r="DFT49" s="144"/>
      <c r="DFU49" s="144"/>
      <c r="DFV49" s="144"/>
      <c r="DFW49" s="144"/>
      <c r="DFX49" s="144"/>
      <c r="DFY49" s="144"/>
      <c r="DFZ49" s="144"/>
      <c r="DGA49" s="144"/>
      <c r="DGB49" s="144"/>
      <c r="DGC49" s="144"/>
      <c r="DGD49" s="144"/>
      <c r="DGE49" s="144"/>
      <c r="DGF49" s="144"/>
      <c r="DGG49" s="144"/>
      <c r="DGH49" s="144"/>
      <c r="DGI49" s="144"/>
      <c r="DGJ49" s="144"/>
      <c r="DGK49" s="144"/>
      <c r="DGL49" s="144"/>
      <c r="DGM49" s="144"/>
      <c r="DGN49" s="144"/>
      <c r="DGO49" s="144"/>
      <c r="DGP49" s="144"/>
    </row>
    <row r="50" spans="2:364 1118:1774 2434:2902" ht="15" customHeight="1" x14ac:dyDescent="0.25">
      <c r="B50" s="190" t="s">
        <v>66</v>
      </c>
      <c r="C50" s="191"/>
      <c r="D50" s="191"/>
      <c r="E50" s="191"/>
      <c r="F50" s="191"/>
      <c r="G50" s="191"/>
      <c r="H50" s="191"/>
      <c r="I50" s="191"/>
      <c r="J50" s="191"/>
      <c r="K50" s="191"/>
      <c r="L50" s="191"/>
      <c r="M50" s="191"/>
      <c r="N50" s="191"/>
      <c r="O50" s="191"/>
      <c r="P50" s="312" t="str">
        <f>Calculations!DA4</f>
        <v>Light Cloth</v>
      </c>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193">
        <v>1</v>
      </c>
      <c r="AP50" s="193"/>
      <c r="AQ50" s="193"/>
      <c r="AR50" s="193"/>
      <c r="AS50" s="193"/>
      <c r="AT50" s="193"/>
      <c r="AU50" s="193"/>
      <c r="AV50" s="193"/>
      <c r="AW50" s="131" t="str">
        <f>IF(P50="No Armour","- -",IF(P50=Calculations!DA4,"- -",VLOOKUP(P50,Armour!$B$4:$AU$99,19,FALSE)*'Character Creation'!$Z$18*'Character Sheet'!$AO50))</f>
        <v>- -</v>
      </c>
      <c r="AX50" s="131"/>
      <c r="AY50" s="131"/>
      <c r="AZ50" s="131"/>
      <c r="BA50" s="131"/>
      <c r="BB50" s="131"/>
      <c r="BC50" s="131"/>
      <c r="BD50" s="131"/>
      <c r="BE50" s="131">
        <f>IF(P50="No Armour","- -",VLOOKUP(P50,Armour!$B$4:$AU$99,4,FALSE)+BU50+CC50)</f>
        <v>15</v>
      </c>
      <c r="BF50" s="131"/>
      <c r="BG50" s="131"/>
      <c r="BH50" s="131"/>
      <c r="BI50" s="131"/>
      <c r="BJ50" s="131"/>
      <c r="BK50" s="131"/>
      <c r="BL50" s="131"/>
      <c r="BM50" s="131">
        <f>IF(P50="No Armour","- -",IF(P50="No Armour",0,VLOOKUP(P50,Armour!$B$4:$AU$99,3,FALSE)+VLOOKUP(((AO50*100)-100),Charts!$AW$2:$AX$42,2,FALSE)))</f>
        <v>0</v>
      </c>
      <c r="BN50" s="131"/>
      <c r="BO50" s="131"/>
      <c r="BP50" s="131"/>
      <c r="BQ50" s="131"/>
      <c r="BR50" s="131"/>
      <c r="BS50" s="131"/>
      <c r="BT50" s="131"/>
      <c r="BU50" s="194">
        <f t="shared" ref="BU50:BU60" si="20">IF(P50="No Armour","- -",0)</f>
        <v>0</v>
      </c>
      <c r="BV50" s="194"/>
      <c r="BW50" s="194"/>
      <c r="BX50" s="194"/>
      <c r="BY50" s="194"/>
      <c r="BZ50" s="194"/>
      <c r="CA50" s="194"/>
      <c r="CB50" s="194"/>
      <c r="CC50" s="194">
        <f t="shared" ref="CC50:CC61" si="21">IF(P50="No Armour","- -",0)</f>
        <v>0</v>
      </c>
      <c r="CD50" s="194"/>
      <c r="CE50" s="194"/>
      <c r="CF50" s="194"/>
      <c r="CG50" s="194"/>
      <c r="CH50" s="194"/>
      <c r="CI50" s="194"/>
      <c r="CJ50" s="194"/>
      <c r="CK50" s="131">
        <f t="shared" si="18"/>
        <v>1</v>
      </c>
      <c r="CL50" s="131"/>
      <c r="CM50" s="131"/>
      <c r="CN50" s="131"/>
      <c r="CO50" s="131"/>
      <c r="CP50" s="131"/>
      <c r="CQ50" s="131"/>
      <c r="CR50" s="131"/>
      <c r="CS50" s="131">
        <f t="shared" ref="CS50:CS69" si="22">IF(P50="No Armour","- -",MAX((MIN(BM50,0)),BM50+BU50+CC50))</f>
        <v>0</v>
      </c>
      <c r="CT50" s="131"/>
      <c r="CU50" s="131"/>
      <c r="CV50" s="131"/>
      <c r="CW50" s="131"/>
      <c r="CX50" s="131"/>
      <c r="CY50" s="131"/>
      <c r="CZ50" s="131"/>
      <c r="DA50" s="131">
        <f>IF(P50="No Armour","- -",VLOOKUP(P50,Armour!$B$4:$EY$99,48,FALSE)+(ROUNDUP(CC50/3,0)))</f>
        <v>0</v>
      </c>
      <c r="DB50" s="131"/>
      <c r="DC50" s="131"/>
      <c r="DD50" s="131"/>
      <c r="DE50" s="131"/>
      <c r="DF50" s="131"/>
      <c r="DG50" s="131"/>
      <c r="DH50" s="131"/>
      <c r="DI50" s="131">
        <f t="shared" si="19"/>
        <v>0</v>
      </c>
      <c r="DJ50" s="131"/>
      <c r="DK50" s="131"/>
      <c r="DL50" s="131"/>
      <c r="DM50" s="131"/>
      <c r="DN50" s="131"/>
      <c r="DO50" s="131"/>
      <c r="DP50" s="131"/>
      <c r="DQ50" s="131">
        <f>IF(P50="No Armour","- -",VLOOKUP(P50,Armour!$B$4:$EY$99,66,FALSE)+(ROUNDUP(CC50/3,0)))</f>
        <v>0</v>
      </c>
      <c r="DR50" s="131"/>
      <c r="DS50" s="131"/>
      <c r="DT50" s="131"/>
      <c r="DU50" s="131"/>
      <c r="DV50" s="131"/>
      <c r="DW50" s="131"/>
      <c r="DX50" s="131"/>
      <c r="DY50" s="136"/>
      <c r="DZ50" s="136"/>
      <c r="EA50" s="136"/>
      <c r="EB50" s="136"/>
      <c r="EC50" s="136"/>
      <c r="ED50" s="136"/>
      <c r="EE50" s="136"/>
      <c r="EF50" s="136"/>
      <c r="EG50" s="136"/>
      <c r="EH50" s="136"/>
      <c r="EI50" s="136"/>
      <c r="EJ50" s="136"/>
      <c r="EK50" s="136"/>
      <c r="EL50" s="136"/>
      <c r="EM50" s="136"/>
      <c r="EN50" s="136"/>
      <c r="EO50" s="136"/>
      <c r="EP50" s="136"/>
      <c r="EQ50" s="136"/>
      <c r="ER50" s="136"/>
      <c r="ES50" s="136"/>
      <c r="ET50" s="136"/>
      <c r="EU50" s="136"/>
      <c r="EV50" s="136"/>
      <c r="EW50" s="136"/>
      <c r="EX50" s="136"/>
      <c r="EY50" s="136"/>
      <c r="EZ50" s="313"/>
      <c r="FB50" s="151"/>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41">
        <v>0</v>
      </c>
      <c r="GU50" s="141"/>
      <c r="GV50" s="141"/>
      <c r="GW50" s="141"/>
      <c r="GX50" s="141"/>
      <c r="GY50" s="141"/>
      <c r="GZ50" s="141"/>
      <c r="HA50" s="141"/>
      <c r="HB50" s="142" t="str">
        <f>IFERROR(ROUND(Calculations!BV51*GT50,2),"")</f>
        <v/>
      </c>
      <c r="HC50" s="142"/>
      <c r="HD50" s="142"/>
      <c r="HE50" s="142"/>
      <c r="HF50" s="142"/>
      <c r="HG50" s="142"/>
      <c r="HH50" s="142"/>
      <c r="HI50" s="142"/>
      <c r="HJ50" s="142">
        <f>IFERROR(Calculations!BS51+IQ50+IX50,"")</f>
        <v>0</v>
      </c>
      <c r="HK50" s="142"/>
      <c r="HL50" s="142"/>
      <c r="HM50" s="142"/>
      <c r="HN50" s="142"/>
      <c r="HO50" s="142"/>
      <c r="HP50" s="142"/>
      <c r="HQ50" s="142"/>
      <c r="HR50" s="142" t="str">
        <f t="shared" si="9"/>
        <v/>
      </c>
      <c r="HS50" s="142"/>
      <c r="HT50" s="142"/>
      <c r="HU50" s="142"/>
      <c r="HV50" s="142"/>
      <c r="HW50" s="142"/>
      <c r="HX50" s="142"/>
      <c r="HY50" s="142"/>
      <c r="HZ50" s="142" t="str">
        <f>IFERROR(Calculations!BX51,"")</f>
        <v/>
      </c>
      <c r="IA50" s="142"/>
      <c r="IB50" s="142"/>
      <c r="IC50" s="142"/>
      <c r="ID50" s="142"/>
      <c r="IE50" s="142"/>
      <c r="IF50" s="142"/>
      <c r="IG50" s="142"/>
      <c r="IH50" s="142"/>
      <c r="II50" s="142"/>
      <c r="IJ50" s="142" t="str">
        <f>IFERROR(Calculations!BR51+IX50,"")</f>
        <v/>
      </c>
      <c r="IK50" s="142"/>
      <c r="IL50" s="142"/>
      <c r="IM50" s="142"/>
      <c r="IN50" s="142"/>
      <c r="IO50" s="142"/>
      <c r="IP50" s="142"/>
      <c r="IQ50" s="141">
        <v>0</v>
      </c>
      <c r="IR50" s="141"/>
      <c r="IS50" s="141"/>
      <c r="IT50" s="141"/>
      <c r="IU50" s="141"/>
      <c r="IV50" s="141"/>
      <c r="IW50" s="141"/>
      <c r="IX50" s="141">
        <v>0</v>
      </c>
      <c r="IY50" s="141"/>
      <c r="IZ50" s="141"/>
      <c r="JA50" s="141"/>
      <c r="JB50" s="141"/>
      <c r="JC50" s="141"/>
      <c r="JD50" s="141"/>
      <c r="JE50" s="141"/>
      <c r="JF50" s="142"/>
      <c r="JG50" s="142"/>
      <c r="JH50" s="142"/>
      <c r="JI50" s="142"/>
      <c r="JJ50" s="142"/>
      <c r="JK50" s="143" t="str">
        <f>Calculations!AS51</f>
        <v/>
      </c>
      <c r="JL50" s="143"/>
      <c r="JM50" s="143"/>
      <c r="JN50" s="143"/>
      <c r="JO50" s="143"/>
      <c r="JP50" s="143"/>
      <c r="JQ50" s="143"/>
      <c r="JR50" s="143"/>
      <c r="JS50" s="143"/>
      <c r="JT50" s="143"/>
      <c r="JU50" s="143"/>
      <c r="JV50" s="143"/>
      <c r="JW50" s="143"/>
      <c r="JX50" s="143"/>
      <c r="JY50" s="143"/>
      <c r="JZ50" s="143"/>
      <c r="KA50" s="143"/>
      <c r="KB50" s="143"/>
      <c r="KC50" s="143" t="str">
        <f>Calculations!AW51</f>
        <v/>
      </c>
      <c r="KD50" s="143"/>
      <c r="KE50" s="143"/>
      <c r="KF50" s="143"/>
      <c r="KG50" s="143"/>
      <c r="KH50" s="143"/>
      <c r="KI50" s="143"/>
      <c r="KJ50" s="143"/>
      <c r="KK50" s="143"/>
      <c r="KL50" s="143"/>
      <c r="KM50" s="143"/>
      <c r="KN50" s="143"/>
      <c r="KO50" s="143"/>
      <c r="KP50" s="143"/>
      <c r="KQ50" s="143"/>
      <c r="KR50" s="143"/>
      <c r="KS50" s="143"/>
      <c r="KT50" s="143"/>
      <c r="KU50" s="144"/>
      <c r="KV50" s="144"/>
      <c r="KW50" s="144"/>
      <c r="KX50" s="144"/>
      <c r="KY50" s="144"/>
      <c r="KZ50" s="144"/>
      <c r="LA50" s="144"/>
      <c r="LB50" s="144"/>
      <c r="LC50" s="144"/>
      <c r="LD50" s="144"/>
      <c r="LE50" s="144"/>
      <c r="LF50" s="144"/>
      <c r="LG50" s="144"/>
      <c r="LH50" s="144"/>
      <c r="LI50" s="144"/>
      <c r="LJ50" s="144"/>
      <c r="LK50" s="144"/>
      <c r="LL50" s="144"/>
      <c r="LM50" s="144"/>
      <c r="LN50" s="144"/>
      <c r="LO50" s="144"/>
      <c r="LP50" s="144"/>
      <c r="LQ50" s="144"/>
      <c r="LR50" s="144"/>
      <c r="LS50" s="144"/>
      <c r="LT50" s="144"/>
      <c r="LU50" s="144"/>
      <c r="LV50" s="144"/>
      <c r="LW50" s="144"/>
      <c r="LX50" s="144"/>
      <c r="LY50" s="144"/>
      <c r="LZ50" s="144"/>
      <c r="MA50" s="144"/>
      <c r="MB50" s="144"/>
      <c r="MC50" s="144"/>
      <c r="MD50" s="144"/>
      <c r="ME50" s="144"/>
      <c r="MF50" s="144"/>
      <c r="MG50" s="144"/>
      <c r="MH50" s="144"/>
      <c r="MI50" s="144"/>
      <c r="MJ50" s="144"/>
      <c r="MK50" s="144"/>
      <c r="ML50" s="144"/>
      <c r="MM50" s="144"/>
      <c r="MN50" s="144"/>
      <c r="MO50" s="144"/>
      <c r="MP50" s="144"/>
      <c r="MQ50" s="144"/>
      <c r="MR50" s="144"/>
      <c r="MS50" s="144"/>
      <c r="MT50" s="144"/>
      <c r="MU50" s="144"/>
      <c r="MV50" s="144"/>
      <c r="MW50" s="144"/>
      <c r="MX50" s="144"/>
      <c r="MY50" s="144"/>
      <c r="MZ50" s="145"/>
      <c r="APZ50" s="128" t="s">
        <v>241</v>
      </c>
      <c r="AQA50" s="128"/>
      <c r="AQB50" s="128"/>
      <c r="AQC50" s="128"/>
      <c r="AQD50" s="128"/>
      <c r="AQE50" s="128"/>
      <c r="AQF50" s="128"/>
      <c r="AQG50" s="128"/>
      <c r="AQH50" s="128"/>
      <c r="AQI50" s="128"/>
      <c r="AQJ50" s="128"/>
      <c r="AQK50" s="128"/>
      <c r="AQL50" s="128"/>
      <c r="AQM50" s="128"/>
      <c r="AQN50" s="128"/>
      <c r="AQO50" s="128"/>
      <c r="AQP50" s="128"/>
      <c r="AQQ50" s="128"/>
      <c r="AQR50" s="128"/>
      <c r="AQS50" s="128"/>
      <c r="AQT50" s="128"/>
      <c r="AQU50" s="128"/>
      <c r="AQV50" s="128"/>
      <c r="AQW50" s="128"/>
      <c r="AQX50" s="128"/>
      <c r="AQY50" s="128"/>
      <c r="AQZ50" s="128"/>
      <c r="ARA50" s="128"/>
      <c r="ARB50" s="128"/>
      <c r="ARC50" s="128"/>
      <c r="ARD50" s="128"/>
      <c r="ARE50" s="129"/>
      <c r="ARF50" s="129"/>
      <c r="ARG50" s="129"/>
      <c r="ARH50" s="129"/>
      <c r="ARI50" s="129"/>
      <c r="ARJ50" s="129"/>
      <c r="ARK50" s="129"/>
      <c r="ARL50" s="129"/>
      <c r="ARM50" s="129"/>
      <c r="ARN50" s="129"/>
      <c r="ARO50" s="129"/>
      <c r="ARP50" s="129"/>
      <c r="ARQ50" s="129"/>
      <c r="ARR50" s="129"/>
      <c r="ARS50" s="129"/>
      <c r="ART50" s="129"/>
      <c r="ARU50" s="129"/>
      <c r="ARV50" s="129"/>
      <c r="ARW50" s="129"/>
      <c r="ARX50" s="129"/>
      <c r="ARY50" s="129"/>
      <c r="ARZ50" s="128"/>
      <c r="ASA50" s="128"/>
      <c r="ASB50" s="128"/>
      <c r="ASC50" s="128"/>
      <c r="ASD50" s="128"/>
      <c r="ASE50" s="128"/>
      <c r="ASF50" s="129"/>
      <c r="ASG50" s="129"/>
      <c r="ASH50" s="129"/>
      <c r="ASI50" s="129"/>
      <c r="ASJ50" s="129"/>
      <c r="ASK50" s="129"/>
      <c r="ASL50" s="129"/>
      <c r="ASM50" s="129"/>
      <c r="ASN50" s="129"/>
      <c r="ASO50" s="129"/>
      <c r="ASP50" s="129"/>
      <c r="ASQ50" s="129"/>
      <c r="ASR50" s="129"/>
      <c r="ASS50" s="129"/>
      <c r="AST50" s="129"/>
      <c r="ASU50" s="129"/>
      <c r="ASV50" s="129"/>
      <c r="ASW50" s="129"/>
      <c r="ASX50" s="129"/>
      <c r="ASY50" s="129"/>
      <c r="ASZ50" s="129"/>
      <c r="ATA50" s="129"/>
      <c r="ATB50" s="129"/>
      <c r="ATC50" s="129"/>
      <c r="ATD50" s="129"/>
      <c r="ATE50" s="129"/>
      <c r="ATF50" s="129"/>
      <c r="ATG50" s="129"/>
      <c r="ATH50" s="128"/>
      <c r="ATI50" s="128"/>
      <c r="ATJ50" s="128"/>
      <c r="ATK50" s="128"/>
      <c r="ATL50" s="128"/>
      <c r="ATM50" s="128"/>
      <c r="ATN50" s="128"/>
      <c r="BLR50" s="144" t="s">
        <v>342</v>
      </c>
      <c r="BLS50" s="144"/>
      <c r="BLT50" s="144"/>
      <c r="BLU50" s="144"/>
      <c r="BLV50" s="144"/>
      <c r="BLW50" s="144"/>
      <c r="BLX50" s="144"/>
      <c r="BLY50" s="144"/>
      <c r="BLZ50" s="144"/>
      <c r="BMA50" s="144"/>
      <c r="BMB50" s="144"/>
      <c r="BMC50" s="144"/>
      <c r="BMD50" s="144"/>
      <c r="BME50" s="144"/>
      <c r="BMF50" s="144"/>
      <c r="BMG50" s="144"/>
      <c r="BMH50" s="144"/>
      <c r="BMI50" s="144"/>
      <c r="BMJ50" s="144"/>
      <c r="BMK50" s="144"/>
      <c r="BML50" s="144"/>
      <c r="BMM50" s="144"/>
      <c r="BMN50" s="144"/>
      <c r="BMO50" s="144"/>
      <c r="BMP50" s="144"/>
      <c r="BMQ50" s="144"/>
      <c r="BMR50" s="144"/>
      <c r="BMS50" s="144"/>
      <c r="BMT50" s="144"/>
      <c r="BMU50" s="144"/>
      <c r="BMV50" s="144"/>
      <c r="BMW50" s="144"/>
      <c r="BMX50" s="144"/>
      <c r="BMY50" s="144"/>
      <c r="BMZ50" s="144"/>
      <c r="BNA50" s="144"/>
      <c r="BNB50" s="144"/>
      <c r="BNC50" s="144"/>
      <c r="BND50" s="144"/>
      <c r="BNE50" s="144"/>
      <c r="BNF50" s="144"/>
      <c r="BNG50" s="144"/>
      <c r="BNH50" s="144"/>
      <c r="BNI50" s="144"/>
      <c r="BNJ50" s="144"/>
      <c r="BNK50" s="144"/>
      <c r="BNL50" s="144"/>
      <c r="BNM50" s="144"/>
      <c r="BNN50" s="144"/>
      <c r="BNO50" s="144"/>
      <c r="BNP50" s="144"/>
      <c r="BNQ50" s="144"/>
      <c r="BNR50" s="144"/>
      <c r="BNS50" s="144"/>
      <c r="BNT50" s="144"/>
      <c r="BNU50" s="144"/>
      <c r="BNV50" s="144"/>
      <c r="BNW50" s="144"/>
      <c r="BNX50" s="144"/>
      <c r="BNY50" s="144"/>
      <c r="BNZ50" s="144"/>
      <c r="BOA50" s="144"/>
      <c r="BOB50" s="144"/>
      <c r="BOC50" s="144"/>
      <c r="BOD50" s="144"/>
      <c r="BOE50" s="144"/>
      <c r="BOF50" s="144"/>
      <c r="BOG50" s="144"/>
      <c r="BOH50" s="144"/>
      <c r="BOI50" s="144"/>
      <c r="BOJ50" s="144"/>
      <c r="BOK50" s="144"/>
      <c r="BOL50" s="144"/>
      <c r="BOM50" s="144"/>
      <c r="BON50" s="144"/>
      <c r="BOO50" s="144"/>
      <c r="BOP50" s="144"/>
      <c r="BOQ50" s="144"/>
      <c r="BOR50" s="144"/>
      <c r="BOS50" s="144"/>
      <c r="BOT50" s="144"/>
      <c r="BOU50" s="144"/>
      <c r="BOV50" s="144"/>
      <c r="BOW50" s="144"/>
      <c r="BOX50" s="144"/>
      <c r="BOY50" s="144"/>
      <c r="BOZ50" s="144"/>
      <c r="BPA50" s="144"/>
      <c r="BPB50" s="144"/>
      <c r="BPC50" s="144"/>
      <c r="BPD50" s="144"/>
      <c r="BPE50" s="144"/>
      <c r="BPF50" s="144"/>
      <c r="COP50" s="144" t="s">
        <v>419</v>
      </c>
      <c r="COQ50" s="144"/>
      <c r="COR50" s="144"/>
      <c r="COS50" s="144"/>
      <c r="COT50" s="144"/>
      <c r="COU50" s="144"/>
      <c r="COV50" s="144"/>
      <c r="COW50" s="144"/>
      <c r="COX50" s="144"/>
      <c r="COY50" s="144"/>
      <c r="COZ50" s="144"/>
      <c r="CPA50" s="144"/>
      <c r="CPB50" s="144"/>
      <c r="CPC50" s="144"/>
      <c r="CPD50" s="144"/>
      <c r="CPE50" s="144"/>
      <c r="CPF50" s="144"/>
      <c r="CPG50" s="144"/>
      <c r="CPH50" s="144"/>
      <c r="CPI50" s="144"/>
      <c r="CPJ50" s="144"/>
      <c r="CPK50" s="144"/>
      <c r="CPL50" s="144"/>
      <c r="CPM50" s="144"/>
      <c r="CPN50" s="144"/>
      <c r="CPO50" s="144"/>
      <c r="CPP50" s="144"/>
      <c r="CPQ50" s="144"/>
      <c r="CPR50" s="144"/>
      <c r="CPS50" s="144"/>
      <c r="CPT50" s="144"/>
      <c r="CPU50" s="144"/>
      <c r="CPV50" s="144"/>
      <c r="CPW50" s="144"/>
      <c r="CPX50" s="144"/>
      <c r="CPY50" s="144"/>
      <c r="CPZ50" s="144"/>
      <c r="CQA50" s="144"/>
      <c r="CQB50" s="144"/>
      <c r="CQC50" s="144"/>
      <c r="CQD50" s="144"/>
      <c r="CQE50" s="144"/>
      <c r="CQF50" s="144"/>
      <c r="CQG50" s="144"/>
      <c r="CQH50" s="144"/>
      <c r="CQI50" s="144"/>
      <c r="CQJ50" s="144"/>
      <c r="CQK50" s="144"/>
      <c r="CQL50" s="144"/>
      <c r="CQM50" s="144"/>
      <c r="CQN50" s="144"/>
      <c r="CQO50" s="144"/>
      <c r="CQP50" s="144"/>
      <c r="CQQ50" s="144"/>
      <c r="CQR50" s="144"/>
      <c r="CQS50" s="144"/>
      <c r="CQT50" s="144"/>
      <c r="CQU50" s="144"/>
      <c r="CQV50" s="144"/>
      <c r="CQW50" s="144"/>
      <c r="CQX50" s="144"/>
      <c r="CQY50" s="144"/>
      <c r="CQZ50" s="144"/>
      <c r="CRA50" s="144"/>
      <c r="CRB50" s="144"/>
      <c r="CRC50" s="144"/>
      <c r="CRD50" s="144"/>
      <c r="CRE50" s="144"/>
      <c r="CRF50" s="144"/>
      <c r="CRG50" s="144"/>
      <c r="CRH50" s="144"/>
      <c r="CRI50" s="144"/>
      <c r="CRJ50" s="144"/>
      <c r="CRK50" s="144"/>
      <c r="CRL50" s="144"/>
      <c r="CRM50" s="144"/>
      <c r="CRN50" s="144"/>
      <c r="CRO50" s="144"/>
      <c r="CRP50" s="144"/>
      <c r="CRQ50" s="144"/>
      <c r="CRR50" s="144"/>
      <c r="CRS50" s="144"/>
      <c r="CRT50" s="144"/>
      <c r="CRU50" s="144"/>
      <c r="CRV50" s="144"/>
      <c r="CRW50" s="144"/>
      <c r="CRX50" s="144"/>
      <c r="CRY50" s="144"/>
      <c r="CRZ50" s="144"/>
      <c r="CSA50" s="144"/>
      <c r="CSB50" s="144"/>
      <c r="CSC50" s="144"/>
      <c r="CSD50" s="144"/>
      <c r="CSF50" s="128" t="s">
        <v>475</v>
      </c>
      <c r="CSG50" s="128"/>
      <c r="CSH50" s="128"/>
      <c r="CSI50" s="128"/>
      <c r="CSJ50" s="128"/>
      <c r="CSK50" s="128"/>
      <c r="CSL50" s="128"/>
      <c r="CSM50" s="128"/>
      <c r="CSN50" s="128"/>
      <c r="CSO50" s="128"/>
      <c r="CSP50" s="128"/>
      <c r="CSQ50" s="128"/>
      <c r="CSR50" s="128"/>
      <c r="CSS50" s="128"/>
      <c r="CST50" s="128"/>
      <c r="CSU50" s="128"/>
      <c r="CSV50" s="128"/>
      <c r="CSW50" s="128"/>
      <c r="CSX50" s="128"/>
      <c r="CSY50" s="128"/>
      <c r="CSZ50" s="128"/>
      <c r="CTA50" s="128"/>
      <c r="CTB50" s="128"/>
      <c r="CTC50" s="128"/>
      <c r="CTD50" s="128"/>
      <c r="CTE50" s="128"/>
      <c r="CTF50" s="128"/>
      <c r="CTG50" s="128"/>
      <c r="CTH50" s="128"/>
      <c r="CTI50" s="128"/>
      <c r="CTJ50" s="128"/>
      <c r="CTK50" s="129"/>
      <c r="CTL50" s="129"/>
      <c r="CTM50" s="129"/>
      <c r="CTN50" s="129"/>
      <c r="CTO50" s="129"/>
      <c r="CTP50" s="129"/>
      <c r="CTQ50" s="129"/>
      <c r="CTR50" s="129"/>
      <c r="CTS50" s="129"/>
      <c r="CTT50" s="129"/>
      <c r="CTU50" s="129"/>
      <c r="CTV50" s="129"/>
      <c r="CTW50" s="129"/>
      <c r="CTX50" s="129"/>
      <c r="CTY50" s="129"/>
      <c r="CTZ50" s="129"/>
      <c r="CUA50" s="129"/>
      <c r="CUB50" s="129"/>
      <c r="CUC50" s="129"/>
      <c r="CUD50" s="129"/>
      <c r="CUE50" s="129"/>
      <c r="CUF50" s="128"/>
      <c r="CUG50" s="128"/>
      <c r="CUH50" s="128"/>
      <c r="CUI50" s="128"/>
      <c r="CUJ50" s="128"/>
      <c r="CUK50" s="128"/>
      <c r="CUL50" s="129"/>
      <c r="CUM50" s="129"/>
      <c r="CUN50" s="129"/>
      <c r="CUO50" s="129"/>
      <c r="CUP50" s="129"/>
      <c r="CUQ50" s="129"/>
      <c r="CUR50" s="129"/>
      <c r="CUS50" s="129"/>
      <c r="CUT50" s="129"/>
      <c r="CUU50" s="129"/>
      <c r="CUV50" s="129"/>
      <c r="CUW50" s="129"/>
      <c r="CUX50" s="129"/>
      <c r="CUY50" s="129"/>
      <c r="CUZ50" s="129"/>
      <c r="CVA50" s="129"/>
      <c r="CVB50" s="129"/>
      <c r="CVC50" s="129"/>
      <c r="CVD50" s="129"/>
      <c r="CVE50" s="129"/>
      <c r="CVF50" s="129"/>
      <c r="CVG50" s="129"/>
      <c r="CVH50" s="129"/>
      <c r="CVI50" s="129"/>
      <c r="CVJ50" s="129"/>
      <c r="CVK50" s="129"/>
      <c r="CVL50" s="129"/>
      <c r="CVM50" s="129"/>
      <c r="CVN50" s="128"/>
      <c r="CVO50" s="128"/>
      <c r="CVP50" s="128"/>
      <c r="CVQ50" s="128"/>
      <c r="CVR50" s="128"/>
      <c r="CVS50" s="128"/>
      <c r="CVT50" s="128"/>
      <c r="DDB50" s="144" t="s">
        <v>147</v>
      </c>
      <c r="DDC50" s="144"/>
      <c r="DDD50" s="144"/>
      <c r="DDE50" s="144"/>
      <c r="DDF50" s="144"/>
      <c r="DDG50" s="144"/>
      <c r="DDH50" s="144"/>
      <c r="DDI50" s="144"/>
      <c r="DDJ50" s="144"/>
      <c r="DDK50" s="144"/>
      <c r="DDL50" s="144"/>
      <c r="DDM50" s="144"/>
      <c r="DDN50" s="144"/>
      <c r="DDO50" s="144"/>
      <c r="DDP50" s="144"/>
      <c r="DDQ50" s="144"/>
      <c r="DDR50" s="144"/>
      <c r="DDS50" s="144"/>
      <c r="DDT50" s="144"/>
      <c r="DDU50" s="144"/>
      <c r="DDV50" s="144"/>
      <c r="DDW50" s="144"/>
      <c r="DDX50" s="144"/>
      <c r="DDY50" s="144"/>
      <c r="DDZ50" s="144"/>
      <c r="DEA50" s="144"/>
      <c r="DEB50" s="144"/>
      <c r="DEC50" s="144"/>
      <c r="DED50" s="144"/>
      <c r="DEE50" s="144"/>
      <c r="DEF50" s="144"/>
      <c r="DEG50" s="129" t="s">
        <v>133</v>
      </c>
      <c r="DEH50" s="129"/>
      <c r="DEI50" s="129"/>
      <c r="DEJ50" s="129"/>
      <c r="DEK50" s="129" t="s">
        <v>148</v>
      </c>
      <c r="DEL50" s="129"/>
      <c r="DEM50" s="129"/>
      <c r="DEN50" s="129"/>
      <c r="DEO50" s="129"/>
      <c r="DEP50" s="129" t="s">
        <v>83</v>
      </c>
      <c r="DEQ50" s="129"/>
      <c r="DER50" s="129"/>
      <c r="DES50" s="129"/>
      <c r="DET50" s="129"/>
      <c r="DEU50" s="129"/>
      <c r="DEV50" s="129" t="s">
        <v>37</v>
      </c>
      <c r="DEW50" s="129"/>
      <c r="DEX50" s="129"/>
      <c r="DEY50" s="129"/>
      <c r="DEZ50" s="129"/>
      <c r="DFA50" s="129"/>
      <c r="DFB50" s="129" t="s">
        <v>49</v>
      </c>
      <c r="DFC50" s="129"/>
      <c r="DFD50" s="129"/>
      <c r="DFE50" s="129"/>
      <c r="DFF50" s="129"/>
      <c r="DFG50" s="129"/>
      <c r="DFH50" s="129" t="s">
        <v>149</v>
      </c>
      <c r="DFI50" s="129"/>
      <c r="DFJ50" s="129"/>
      <c r="DFK50" s="129"/>
      <c r="DFL50" s="129"/>
      <c r="DFM50" s="129"/>
      <c r="DFN50" s="129"/>
      <c r="DFO50" s="129" t="s">
        <v>150</v>
      </c>
      <c r="DFP50" s="129"/>
      <c r="DFQ50" s="129"/>
      <c r="DFR50" s="129"/>
      <c r="DFS50" s="129"/>
      <c r="DFT50" s="129"/>
      <c r="DFU50" s="129"/>
      <c r="DFV50" s="129" t="s">
        <v>151</v>
      </c>
      <c r="DFW50" s="129"/>
      <c r="DFX50" s="129"/>
      <c r="DFY50" s="129"/>
      <c r="DFZ50" s="129"/>
      <c r="DGA50" s="129"/>
      <c r="DGB50" s="129"/>
      <c r="DGC50" s="129" t="s">
        <v>37</v>
      </c>
      <c r="DGD50" s="129"/>
      <c r="DGE50" s="129"/>
      <c r="DGF50" s="129"/>
      <c r="DGG50" s="129"/>
      <c r="DGH50" s="129"/>
      <c r="DGI50" s="129"/>
      <c r="DGJ50" s="129" t="s">
        <v>40</v>
      </c>
      <c r="DGK50" s="129"/>
      <c r="DGL50" s="129"/>
      <c r="DGM50" s="129"/>
      <c r="DGN50" s="129"/>
      <c r="DGO50" s="129"/>
      <c r="DGP50" s="129"/>
    </row>
    <row r="51" spans="2:364 1118:1774 2434:2902" ht="15" customHeight="1" x14ac:dyDescent="0.25">
      <c r="B51" s="188" t="s">
        <v>67</v>
      </c>
      <c r="C51" s="189"/>
      <c r="D51" s="189"/>
      <c r="E51" s="189"/>
      <c r="F51" s="189"/>
      <c r="G51" s="189"/>
      <c r="H51" s="189"/>
      <c r="I51" s="189"/>
      <c r="J51" s="189"/>
      <c r="K51" s="189"/>
      <c r="L51" s="189"/>
      <c r="M51" s="189"/>
      <c r="N51" s="189"/>
      <c r="O51" s="189"/>
      <c r="P51" s="311" t="str">
        <f>Calculations!DA5</f>
        <v>Soft Leather</v>
      </c>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192">
        <v>1</v>
      </c>
      <c r="AP51" s="192"/>
      <c r="AQ51" s="192"/>
      <c r="AR51" s="192"/>
      <c r="AS51" s="192"/>
      <c r="AT51" s="192"/>
      <c r="AU51" s="192"/>
      <c r="AV51" s="192"/>
      <c r="AW51" s="130" t="str">
        <f>IF(P51="No Armour","- -",IF(P51=Calculations!DA5,"- -",VLOOKUP(P51,Armour!$B$4:$AU$99,19,FALSE)*'Character Creation'!$Z$18*'Character Sheet'!$AO51))</f>
        <v>- -</v>
      </c>
      <c r="AX51" s="130"/>
      <c r="AY51" s="130"/>
      <c r="AZ51" s="130"/>
      <c r="BA51" s="130"/>
      <c r="BB51" s="130"/>
      <c r="BC51" s="130"/>
      <c r="BD51" s="130"/>
      <c r="BE51" s="130">
        <f>IF(P51="No Armour","- -",VLOOKUP(P51,Armour!$B$4:$AU$99,4,FALSE)+BU51+CC51)</f>
        <v>30</v>
      </c>
      <c r="BF51" s="130"/>
      <c r="BG51" s="130"/>
      <c r="BH51" s="130"/>
      <c r="BI51" s="130"/>
      <c r="BJ51" s="130"/>
      <c r="BK51" s="130"/>
      <c r="BL51" s="130"/>
      <c r="BM51" s="130">
        <f>IF(P51="No Armour","- -",IF(P51="No Armour",0,VLOOKUP(P51,Armour!$B$4:$AU$99,3,FALSE)+VLOOKUP(((AO51*100)-100),Charts!$AW$2:$AX$42,2,FALSE)))</f>
        <v>0</v>
      </c>
      <c r="BN51" s="130"/>
      <c r="BO51" s="130"/>
      <c r="BP51" s="130"/>
      <c r="BQ51" s="130"/>
      <c r="BR51" s="130"/>
      <c r="BS51" s="130"/>
      <c r="BT51" s="130"/>
      <c r="BU51" s="195">
        <f t="shared" si="20"/>
        <v>0</v>
      </c>
      <c r="BV51" s="195"/>
      <c r="BW51" s="195"/>
      <c r="BX51" s="195"/>
      <c r="BY51" s="195"/>
      <c r="BZ51" s="195"/>
      <c r="CA51" s="195"/>
      <c r="CB51" s="195"/>
      <c r="CC51" s="195">
        <f t="shared" si="21"/>
        <v>0</v>
      </c>
      <c r="CD51" s="195"/>
      <c r="CE51" s="195"/>
      <c r="CF51" s="195"/>
      <c r="CG51" s="195"/>
      <c r="CH51" s="195"/>
      <c r="CI51" s="195"/>
      <c r="CJ51" s="195"/>
      <c r="CK51" s="130">
        <f t="shared" si="18"/>
        <v>3</v>
      </c>
      <c r="CL51" s="130"/>
      <c r="CM51" s="130"/>
      <c r="CN51" s="130"/>
      <c r="CO51" s="130"/>
      <c r="CP51" s="130"/>
      <c r="CQ51" s="130"/>
      <c r="CR51" s="130"/>
      <c r="CS51" s="130">
        <f t="shared" si="22"/>
        <v>0</v>
      </c>
      <c r="CT51" s="130"/>
      <c r="CU51" s="130"/>
      <c r="CV51" s="130"/>
      <c r="CW51" s="130"/>
      <c r="CX51" s="130"/>
      <c r="CY51" s="130"/>
      <c r="CZ51" s="130"/>
      <c r="DA51" s="130">
        <f>IF(P51="No Armour","- -",VLOOKUP(P51,Armour!$B$4:$EY$99,49,FALSE)+(ROUNDUP(CC51/3,0)))</f>
        <v>-3</v>
      </c>
      <c r="DB51" s="130"/>
      <c r="DC51" s="130"/>
      <c r="DD51" s="130"/>
      <c r="DE51" s="130"/>
      <c r="DF51" s="130"/>
      <c r="DG51" s="130"/>
      <c r="DH51" s="130"/>
      <c r="DI51" s="130">
        <f t="shared" si="19"/>
        <v>0</v>
      </c>
      <c r="DJ51" s="130"/>
      <c r="DK51" s="130"/>
      <c r="DL51" s="130"/>
      <c r="DM51" s="130"/>
      <c r="DN51" s="130"/>
      <c r="DO51" s="130"/>
      <c r="DP51" s="130"/>
      <c r="DQ51" s="130">
        <f>IF(P51="No Armour","- -",0)</f>
        <v>0</v>
      </c>
      <c r="DR51" s="130"/>
      <c r="DS51" s="130"/>
      <c r="DT51" s="130"/>
      <c r="DU51" s="130"/>
      <c r="DV51" s="130"/>
      <c r="DW51" s="130"/>
      <c r="DX51" s="130"/>
      <c r="DY51" s="306"/>
      <c r="DZ51" s="306"/>
      <c r="EA51" s="306"/>
      <c r="EB51" s="306"/>
      <c r="EC51" s="306"/>
      <c r="ED51" s="306"/>
      <c r="EE51" s="306"/>
      <c r="EF51" s="306"/>
      <c r="EG51" s="306"/>
      <c r="EH51" s="306"/>
      <c r="EI51" s="306"/>
      <c r="EJ51" s="306"/>
      <c r="EK51" s="306"/>
      <c r="EL51" s="306"/>
      <c r="EM51" s="306"/>
      <c r="EN51" s="306"/>
      <c r="EO51" s="306"/>
      <c r="EP51" s="306"/>
      <c r="EQ51" s="306"/>
      <c r="ER51" s="306"/>
      <c r="ES51" s="306"/>
      <c r="ET51" s="306"/>
      <c r="EU51" s="306"/>
      <c r="EV51" s="306"/>
      <c r="EW51" s="306"/>
      <c r="EX51" s="306"/>
      <c r="EY51" s="306"/>
      <c r="EZ51" s="307"/>
      <c r="FB51" s="151"/>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41">
        <v>0</v>
      </c>
      <c r="GU51" s="141"/>
      <c r="GV51" s="141"/>
      <c r="GW51" s="141"/>
      <c r="GX51" s="141"/>
      <c r="GY51" s="141"/>
      <c r="GZ51" s="141"/>
      <c r="HA51" s="141"/>
      <c r="HB51" s="142" t="str">
        <f>IFERROR(ROUND(Calculations!BV52*GT51,2),"")</f>
        <v/>
      </c>
      <c r="HC51" s="142"/>
      <c r="HD51" s="142"/>
      <c r="HE51" s="142"/>
      <c r="HF51" s="142"/>
      <c r="HG51" s="142"/>
      <c r="HH51" s="142"/>
      <c r="HI51" s="142"/>
      <c r="HJ51" s="142">
        <f>IFERROR(Calculations!BS52+IQ51+IX51,"")</f>
        <v>0</v>
      </c>
      <c r="HK51" s="142"/>
      <c r="HL51" s="142"/>
      <c r="HM51" s="142"/>
      <c r="HN51" s="142"/>
      <c r="HO51" s="142"/>
      <c r="HP51" s="142"/>
      <c r="HQ51" s="142"/>
      <c r="HR51" s="142" t="str">
        <f t="shared" si="9"/>
        <v/>
      </c>
      <c r="HS51" s="142"/>
      <c r="HT51" s="142"/>
      <c r="HU51" s="142"/>
      <c r="HV51" s="142"/>
      <c r="HW51" s="142"/>
      <c r="HX51" s="142"/>
      <c r="HY51" s="142"/>
      <c r="HZ51" s="142" t="str">
        <f>IFERROR(Calculations!BX52,"")</f>
        <v/>
      </c>
      <c r="IA51" s="142"/>
      <c r="IB51" s="142"/>
      <c r="IC51" s="142"/>
      <c r="ID51" s="142"/>
      <c r="IE51" s="142"/>
      <c r="IF51" s="142"/>
      <c r="IG51" s="142"/>
      <c r="IH51" s="142"/>
      <c r="II51" s="142"/>
      <c r="IJ51" s="142" t="str">
        <f>IFERROR(Calculations!BR52+IX51,"")</f>
        <v/>
      </c>
      <c r="IK51" s="142"/>
      <c r="IL51" s="142"/>
      <c r="IM51" s="142"/>
      <c r="IN51" s="142"/>
      <c r="IO51" s="142"/>
      <c r="IP51" s="142"/>
      <c r="IQ51" s="141">
        <v>0</v>
      </c>
      <c r="IR51" s="141"/>
      <c r="IS51" s="141"/>
      <c r="IT51" s="141"/>
      <c r="IU51" s="141"/>
      <c r="IV51" s="141"/>
      <c r="IW51" s="141"/>
      <c r="IX51" s="141">
        <v>0</v>
      </c>
      <c r="IY51" s="141"/>
      <c r="IZ51" s="141"/>
      <c r="JA51" s="141"/>
      <c r="JB51" s="141"/>
      <c r="JC51" s="141"/>
      <c r="JD51" s="141"/>
      <c r="JE51" s="141"/>
      <c r="JF51" s="142"/>
      <c r="JG51" s="142"/>
      <c r="JH51" s="142"/>
      <c r="JI51" s="142"/>
      <c r="JJ51" s="142"/>
      <c r="JK51" s="143" t="str">
        <f>Calculations!AS52</f>
        <v/>
      </c>
      <c r="JL51" s="143"/>
      <c r="JM51" s="143"/>
      <c r="JN51" s="143"/>
      <c r="JO51" s="143"/>
      <c r="JP51" s="143"/>
      <c r="JQ51" s="143"/>
      <c r="JR51" s="143"/>
      <c r="JS51" s="143"/>
      <c r="JT51" s="143"/>
      <c r="JU51" s="143"/>
      <c r="JV51" s="143"/>
      <c r="JW51" s="143"/>
      <c r="JX51" s="143"/>
      <c r="JY51" s="143"/>
      <c r="JZ51" s="143"/>
      <c r="KA51" s="143"/>
      <c r="KB51" s="143"/>
      <c r="KC51" s="143" t="str">
        <f>Calculations!AW52</f>
        <v/>
      </c>
      <c r="KD51" s="143"/>
      <c r="KE51" s="143"/>
      <c r="KF51" s="143"/>
      <c r="KG51" s="143"/>
      <c r="KH51" s="143"/>
      <c r="KI51" s="143"/>
      <c r="KJ51" s="143"/>
      <c r="KK51" s="143"/>
      <c r="KL51" s="143"/>
      <c r="KM51" s="143"/>
      <c r="KN51" s="143"/>
      <c r="KO51" s="143"/>
      <c r="KP51" s="143"/>
      <c r="KQ51" s="143"/>
      <c r="KR51" s="143"/>
      <c r="KS51" s="143"/>
      <c r="KT51" s="143"/>
      <c r="KU51" s="144"/>
      <c r="KV51" s="144"/>
      <c r="KW51" s="144"/>
      <c r="KX51" s="144"/>
      <c r="KY51" s="144"/>
      <c r="KZ51" s="144"/>
      <c r="LA51" s="144"/>
      <c r="LB51" s="144"/>
      <c r="LC51" s="144"/>
      <c r="LD51" s="144"/>
      <c r="LE51" s="144"/>
      <c r="LF51" s="144"/>
      <c r="LG51" s="144"/>
      <c r="LH51" s="144"/>
      <c r="LI51" s="144"/>
      <c r="LJ51" s="144"/>
      <c r="LK51" s="144"/>
      <c r="LL51" s="144"/>
      <c r="LM51" s="144"/>
      <c r="LN51" s="144"/>
      <c r="LO51" s="144"/>
      <c r="LP51" s="144"/>
      <c r="LQ51" s="144"/>
      <c r="LR51" s="144"/>
      <c r="LS51" s="144"/>
      <c r="LT51" s="144"/>
      <c r="LU51" s="144"/>
      <c r="LV51" s="144"/>
      <c r="LW51" s="144"/>
      <c r="LX51" s="144"/>
      <c r="LY51" s="144"/>
      <c r="LZ51" s="144"/>
      <c r="MA51" s="144"/>
      <c r="MB51" s="144"/>
      <c r="MC51" s="144"/>
      <c r="MD51" s="144"/>
      <c r="ME51" s="144"/>
      <c r="MF51" s="144"/>
      <c r="MG51" s="144"/>
      <c r="MH51" s="144"/>
      <c r="MI51" s="144"/>
      <c r="MJ51" s="144"/>
      <c r="MK51" s="144"/>
      <c r="ML51" s="144"/>
      <c r="MM51" s="144"/>
      <c r="MN51" s="144"/>
      <c r="MO51" s="144"/>
      <c r="MP51" s="144"/>
      <c r="MQ51" s="144"/>
      <c r="MR51" s="144"/>
      <c r="MS51" s="144"/>
      <c r="MT51" s="144"/>
      <c r="MU51" s="144"/>
      <c r="MV51" s="144"/>
      <c r="MW51" s="144"/>
      <c r="MX51" s="144"/>
      <c r="MY51" s="144"/>
      <c r="MZ51" s="145"/>
      <c r="BLR51" s="144" t="s">
        <v>147</v>
      </c>
      <c r="BLS51" s="144"/>
      <c r="BLT51" s="144"/>
      <c r="BLU51" s="144"/>
      <c r="BLV51" s="144"/>
      <c r="BLW51" s="144"/>
      <c r="BLX51" s="144"/>
      <c r="BLY51" s="144"/>
      <c r="BLZ51" s="144"/>
      <c r="BMA51" s="144"/>
      <c r="BMB51" s="144"/>
      <c r="BMC51" s="144"/>
      <c r="BMD51" s="144"/>
      <c r="BME51" s="144"/>
      <c r="BMF51" s="144"/>
      <c r="BMG51" s="144"/>
      <c r="BMH51" s="144"/>
      <c r="BMI51" s="144"/>
      <c r="BMJ51" s="144"/>
      <c r="BMK51" s="144"/>
      <c r="BML51" s="144"/>
      <c r="BMM51" s="144"/>
      <c r="BMN51" s="144"/>
      <c r="BMO51" s="144"/>
      <c r="BMP51" s="144"/>
      <c r="BMQ51" s="144"/>
      <c r="BMR51" s="144"/>
      <c r="BMS51" s="144"/>
      <c r="BMT51" s="144"/>
      <c r="BMU51" s="144"/>
      <c r="BMV51" s="144"/>
      <c r="BMW51" s="129" t="s">
        <v>133</v>
      </c>
      <c r="BMX51" s="129"/>
      <c r="BMY51" s="129"/>
      <c r="BMZ51" s="129"/>
      <c r="BNA51" s="129" t="s">
        <v>148</v>
      </c>
      <c r="BNB51" s="129"/>
      <c r="BNC51" s="129"/>
      <c r="BND51" s="129"/>
      <c r="BNE51" s="129"/>
      <c r="BNF51" s="129" t="s">
        <v>83</v>
      </c>
      <c r="BNG51" s="129"/>
      <c r="BNH51" s="129"/>
      <c r="BNI51" s="129"/>
      <c r="BNJ51" s="129"/>
      <c r="BNK51" s="129"/>
      <c r="BNL51" s="129" t="s">
        <v>37</v>
      </c>
      <c r="BNM51" s="129"/>
      <c r="BNN51" s="129"/>
      <c r="BNO51" s="129"/>
      <c r="BNP51" s="129"/>
      <c r="BNQ51" s="129"/>
      <c r="BNR51" s="129" t="s">
        <v>49</v>
      </c>
      <c r="BNS51" s="129"/>
      <c r="BNT51" s="129"/>
      <c r="BNU51" s="129"/>
      <c r="BNV51" s="129"/>
      <c r="BNW51" s="129"/>
      <c r="BNX51" s="129" t="s">
        <v>149</v>
      </c>
      <c r="BNY51" s="129"/>
      <c r="BNZ51" s="129"/>
      <c r="BOA51" s="129"/>
      <c r="BOB51" s="129"/>
      <c r="BOC51" s="129"/>
      <c r="BOD51" s="129"/>
      <c r="BOE51" s="129" t="s">
        <v>150</v>
      </c>
      <c r="BOF51" s="129"/>
      <c r="BOG51" s="129"/>
      <c r="BOH51" s="129"/>
      <c r="BOI51" s="129"/>
      <c r="BOJ51" s="129"/>
      <c r="BOK51" s="129"/>
      <c r="BOL51" s="129" t="s">
        <v>151</v>
      </c>
      <c r="BOM51" s="129"/>
      <c r="BON51" s="129"/>
      <c r="BOO51" s="129"/>
      <c r="BOP51" s="129"/>
      <c r="BOQ51" s="129"/>
      <c r="BOR51" s="129"/>
      <c r="BOS51" s="129" t="s">
        <v>37</v>
      </c>
      <c r="BOT51" s="129"/>
      <c r="BOU51" s="129"/>
      <c r="BOV51" s="129"/>
      <c r="BOW51" s="129"/>
      <c r="BOX51" s="129"/>
      <c r="BOY51" s="129"/>
      <c r="BOZ51" s="129" t="s">
        <v>40</v>
      </c>
      <c r="BPA51" s="129"/>
      <c r="BPB51" s="129"/>
      <c r="BPC51" s="129"/>
      <c r="BPD51" s="129"/>
      <c r="BPE51" s="129"/>
      <c r="BPF51" s="129"/>
      <c r="COP51" s="144" t="s">
        <v>147</v>
      </c>
      <c r="COQ51" s="144"/>
      <c r="COR51" s="144"/>
      <c r="COS51" s="144"/>
      <c r="COT51" s="144"/>
      <c r="COU51" s="144"/>
      <c r="COV51" s="144"/>
      <c r="COW51" s="144"/>
      <c r="COX51" s="144"/>
      <c r="COY51" s="144"/>
      <c r="COZ51" s="144"/>
      <c r="CPA51" s="144"/>
      <c r="CPB51" s="144"/>
      <c r="CPC51" s="144"/>
      <c r="CPD51" s="144"/>
      <c r="CPE51" s="144"/>
      <c r="CPF51" s="144"/>
      <c r="CPG51" s="144"/>
      <c r="CPH51" s="144"/>
      <c r="CPI51" s="144"/>
      <c r="CPJ51" s="144"/>
      <c r="CPK51" s="144"/>
      <c r="CPL51" s="144"/>
      <c r="CPM51" s="144"/>
      <c r="CPN51" s="144"/>
      <c r="CPO51" s="144"/>
      <c r="CPP51" s="144"/>
      <c r="CPQ51" s="144"/>
      <c r="CPR51" s="144"/>
      <c r="CPS51" s="144"/>
      <c r="CPT51" s="144"/>
      <c r="CPU51" s="129" t="s">
        <v>133</v>
      </c>
      <c r="CPV51" s="129"/>
      <c r="CPW51" s="129"/>
      <c r="CPX51" s="129"/>
      <c r="CPY51" s="129" t="s">
        <v>148</v>
      </c>
      <c r="CPZ51" s="129"/>
      <c r="CQA51" s="129"/>
      <c r="CQB51" s="129"/>
      <c r="CQC51" s="129"/>
      <c r="CQD51" s="129" t="s">
        <v>83</v>
      </c>
      <c r="CQE51" s="129"/>
      <c r="CQF51" s="129"/>
      <c r="CQG51" s="129"/>
      <c r="CQH51" s="129"/>
      <c r="CQI51" s="129"/>
      <c r="CQJ51" s="129" t="s">
        <v>37</v>
      </c>
      <c r="CQK51" s="129"/>
      <c r="CQL51" s="129"/>
      <c r="CQM51" s="129"/>
      <c r="CQN51" s="129"/>
      <c r="CQO51" s="129"/>
      <c r="CQP51" s="129" t="s">
        <v>49</v>
      </c>
      <c r="CQQ51" s="129"/>
      <c r="CQR51" s="129"/>
      <c r="CQS51" s="129"/>
      <c r="CQT51" s="129"/>
      <c r="CQU51" s="129"/>
      <c r="CQV51" s="129" t="s">
        <v>149</v>
      </c>
      <c r="CQW51" s="129"/>
      <c r="CQX51" s="129"/>
      <c r="CQY51" s="129"/>
      <c r="CQZ51" s="129"/>
      <c r="CRA51" s="129"/>
      <c r="CRB51" s="129"/>
      <c r="CRC51" s="129" t="s">
        <v>150</v>
      </c>
      <c r="CRD51" s="129"/>
      <c r="CRE51" s="129"/>
      <c r="CRF51" s="129"/>
      <c r="CRG51" s="129"/>
      <c r="CRH51" s="129"/>
      <c r="CRI51" s="129"/>
      <c r="CRJ51" s="129" t="s">
        <v>151</v>
      </c>
      <c r="CRK51" s="129"/>
      <c r="CRL51" s="129"/>
      <c r="CRM51" s="129"/>
      <c r="CRN51" s="129"/>
      <c r="CRO51" s="129"/>
      <c r="CRP51" s="129"/>
      <c r="CRQ51" s="129" t="s">
        <v>37</v>
      </c>
      <c r="CRR51" s="129"/>
      <c r="CRS51" s="129"/>
      <c r="CRT51" s="129"/>
      <c r="CRU51" s="129"/>
      <c r="CRV51" s="129"/>
      <c r="CRW51" s="129"/>
      <c r="CRX51" s="129" t="s">
        <v>40</v>
      </c>
      <c r="CRY51" s="129"/>
      <c r="CRZ51" s="129"/>
      <c r="CSA51" s="129"/>
      <c r="CSB51" s="129"/>
      <c r="CSC51" s="129"/>
      <c r="CSD51" s="129"/>
      <c r="DDB51" s="128" t="s">
        <v>551</v>
      </c>
      <c r="DDC51" s="128"/>
      <c r="DDD51" s="128"/>
      <c r="DDE51" s="128"/>
      <c r="DDF51" s="128"/>
      <c r="DDG51" s="128"/>
      <c r="DDH51" s="128"/>
      <c r="DDI51" s="128"/>
      <c r="DDJ51" s="128"/>
      <c r="DDK51" s="128"/>
      <c r="DDL51" s="128"/>
      <c r="DDM51" s="128"/>
      <c r="DDN51" s="128"/>
      <c r="DDO51" s="128"/>
      <c r="DDP51" s="128"/>
      <c r="DDQ51" s="128"/>
      <c r="DDR51" s="128"/>
      <c r="DDS51" s="128"/>
      <c r="DDT51" s="128"/>
      <c r="DDU51" s="128"/>
      <c r="DDV51" s="128"/>
      <c r="DDW51" s="128"/>
      <c r="DDX51" s="128"/>
      <c r="DDY51" s="128"/>
      <c r="DDZ51" s="128"/>
      <c r="DEA51" s="128"/>
      <c r="DEB51" s="128"/>
      <c r="DEC51" s="128"/>
      <c r="DED51" s="128"/>
      <c r="DEE51" s="128"/>
      <c r="DEF51" s="128"/>
      <c r="DEG51" s="129"/>
      <c r="DEH51" s="129"/>
      <c r="DEI51" s="129"/>
      <c r="DEJ51" s="129"/>
      <c r="DEK51" s="129"/>
      <c r="DEL51" s="129"/>
      <c r="DEM51" s="129"/>
      <c r="DEN51" s="129"/>
      <c r="DEO51" s="129"/>
      <c r="DEP51" s="129"/>
      <c r="DEQ51" s="129"/>
      <c r="DER51" s="129"/>
      <c r="DES51" s="129"/>
      <c r="DET51" s="129"/>
      <c r="DEU51" s="129"/>
      <c r="DEV51" s="129"/>
      <c r="DEW51" s="129"/>
      <c r="DEX51" s="129"/>
      <c r="DEY51" s="129"/>
      <c r="DEZ51" s="129"/>
      <c r="DFA51" s="129"/>
      <c r="DFB51" s="128"/>
      <c r="DFC51" s="128"/>
      <c r="DFD51" s="128"/>
      <c r="DFE51" s="128"/>
      <c r="DFF51" s="128"/>
      <c r="DFG51" s="128"/>
      <c r="DFH51" s="129"/>
      <c r="DFI51" s="129"/>
      <c r="DFJ51" s="129"/>
      <c r="DFK51" s="129"/>
      <c r="DFL51" s="129"/>
      <c r="DFM51" s="129"/>
      <c r="DFN51" s="129"/>
      <c r="DFO51" s="129"/>
      <c r="DFP51" s="129"/>
      <c r="DFQ51" s="129"/>
      <c r="DFR51" s="129"/>
      <c r="DFS51" s="129"/>
      <c r="DFT51" s="129"/>
      <c r="DFU51" s="129"/>
      <c r="DFV51" s="129"/>
      <c r="DFW51" s="129"/>
      <c r="DFX51" s="129"/>
      <c r="DFY51" s="129"/>
      <c r="DFZ51" s="129"/>
      <c r="DGA51" s="129"/>
      <c r="DGB51" s="129"/>
      <c r="DGC51" s="129"/>
      <c r="DGD51" s="129"/>
      <c r="DGE51" s="129"/>
      <c r="DGF51" s="129"/>
      <c r="DGG51" s="129"/>
      <c r="DGH51" s="129"/>
      <c r="DGI51" s="129"/>
      <c r="DGJ51" s="128"/>
      <c r="DGK51" s="128"/>
      <c r="DGL51" s="128"/>
      <c r="DGM51" s="128"/>
      <c r="DGN51" s="128"/>
      <c r="DGO51" s="128"/>
      <c r="DGP51" s="128"/>
    </row>
    <row r="52" spans="2:364 1118:1774 2434:2902" ht="15" customHeight="1" x14ac:dyDescent="0.25">
      <c r="B52" s="190" t="s">
        <v>68</v>
      </c>
      <c r="C52" s="191"/>
      <c r="D52" s="191"/>
      <c r="E52" s="191"/>
      <c r="F52" s="191"/>
      <c r="G52" s="191"/>
      <c r="H52" s="191"/>
      <c r="I52" s="191"/>
      <c r="J52" s="191"/>
      <c r="K52" s="191"/>
      <c r="L52" s="191"/>
      <c r="M52" s="191"/>
      <c r="N52" s="191"/>
      <c r="O52" s="191"/>
      <c r="P52" s="312" t="str">
        <f>Calculations!DA6</f>
        <v>Soft Leather</v>
      </c>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193">
        <v>1</v>
      </c>
      <c r="AP52" s="193"/>
      <c r="AQ52" s="193"/>
      <c r="AR52" s="193"/>
      <c r="AS52" s="193"/>
      <c r="AT52" s="193"/>
      <c r="AU52" s="193"/>
      <c r="AV52" s="193"/>
      <c r="AW52" s="131" t="str">
        <f>IF(P52="No Armour","- -",IF(P52=Calculations!DA6,"- -",VLOOKUP(P52,Armour!$B$4:$AU$99,19,FALSE)*'Character Creation'!$Z$18*'Character Sheet'!$AO52))</f>
        <v>- -</v>
      </c>
      <c r="AX52" s="131"/>
      <c r="AY52" s="131"/>
      <c r="AZ52" s="131"/>
      <c r="BA52" s="131"/>
      <c r="BB52" s="131"/>
      <c r="BC52" s="131"/>
      <c r="BD52" s="131"/>
      <c r="BE52" s="131">
        <f>IF(P52="No Armour","- -",VLOOKUP(P52,Armour!$B$4:$AU$99,4,FALSE)+BU52+CC52)</f>
        <v>30</v>
      </c>
      <c r="BF52" s="131"/>
      <c r="BG52" s="131"/>
      <c r="BH52" s="131"/>
      <c r="BI52" s="131"/>
      <c r="BJ52" s="131"/>
      <c r="BK52" s="131"/>
      <c r="BL52" s="131"/>
      <c r="BM52" s="131">
        <f>IF(P52="No Armour","- -",IF(P52="No Armour",0,VLOOKUP(P52,Armour!$B$4:$AU$99,3,FALSE)+VLOOKUP(((AO52*100)-100),Charts!$AW$2:$AX$42,2,FALSE)))</f>
        <v>0</v>
      </c>
      <c r="BN52" s="131"/>
      <c r="BO52" s="131"/>
      <c r="BP52" s="131"/>
      <c r="BQ52" s="131"/>
      <c r="BR52" s="131"/>
      <c r="BS52" s="131"/>
      <c r="BT52" s="131"/>
      <c r="BU52" s="194">
        <f t="shared" si="20"/>
        <v>0</v>
      </c>
      <c r="BV52" s="194"/>
      <c r="BW52" s="194"/>
      <c r="BX52" s="194"/>
      <c r="BY52" s="194"/>
      <c r="BZ52" s="194"/>
      <c r="CA52" s="194"/>
      <c r="CB52" s="194"/>
      <c r="CC52" s="194">
        <f t="shared" si="21"/>
        <v>0</v>
      </c>
      <c r="CD52" s="194"/>
      <c r="CE52" s="194"/>
      <c r="CF52" s="194"/>
      <c r="CG52" s="194"/>
      <c r="CH52" s="194"/>
      <c r="CI52" s="194"/>
      <c r="CJ52" s="194"/>
      <c r="CK52" s="131">
        <f t="shared" si="18"/>
        <v>3</v>
      </c>
      <c r="CL52" s="131"/>
      <c r="CM52" s="131"/>
      <c r="CN52" s="131"/>
      <c r="CO52" s="131"/>
      <c r="CP52" s="131"/>
      <c r="CQ52" s="131"/>
      <c r="CR52" s="131"/>
      <c r="CS52" s="131">
        <f t="shared" si="22"/>
        <v>0</v>
      </c>
      <c r="CT52" s="131"/>
      <c r="CU52" s="131"/>
      <c r="CV52" s="131"/>
      <c r="CW52" s="131"/>
      <c r="CX52" s="131"/>
      <c r="CY52" s="131"/>
      <c r="CZ52" s="131"/>
      <c r="DA52" s="131">
        <f>IF(P52="No Armour","- -",VLOOKUP(P52,Armour!$B$4:$EY$99,50,FALSE)+(ROUNDUP(CC52/3,0)))</f>
        <v>-2</v>
      </c>
      <c r="DB52" s="131"/>
      <c r="DC52" s="131"/>
      <c r="DD52" s="131"/>
      <c r="DE52" s="131"/>
      <c r="DF52" s="131"/>
      <c r="DG52" s="131"/>
      <c r="DH52" s="131"/>
      <c r="DI52" s="131">
        <f t="shared" si="19"/>
        <v>0</v>
      </c>
      <c r="DJ52" s="131"/>
      <c r="DK52" s="131"/>
      <c r="DL52" s="131"/>
      <c r="DM52" s="131"/>
      <c r="DN52" s="131"/>
      <c r="DO52" s="131"/>
      <c r="DP52" s="131"/>
      <c r="DQ52" s="131">
        <f t="shared" ref="DQ52:DQ69" si="23">IF(P52="No Armour","- -",0)</f>
        <v>0</v>
      </c>
      <c r="DR52" s="131"/>
      <c r="DS52" s="131"/>
      <c r="DT52" s="131"/>
      <c r="DU52" s="131"/>
      <c r="DV52" s="131"/>
      <c r="DW52" s="131"/>
      <c r="DX52" s="131"/>
      <c r="DY52" s="136"/>
      <c r="DZ52" s="136"/>
      <c r="EA52" s="136"/>
      <c r="EB52" s="136"/>
      <c r="EC52" s="136"/>
      <c r="ED52" s="136"/>
      <c r="EE52" s="136"/>
      <c r="EF52" s="136"/>
      <c r="EG52" s="136"/>
      <c r="EH52" s="136"/>
      <c r="EI52" s="136"/>
      <c r="EJ52" s="136"/>
      <c r="EK52" s="136"/>
      <c r="EL52" s="136"/>
      <c r="EM52" s="136"/>
      <c r="EN52" s="136"/>
      <c r="EO52" s="136"/>
      <c r="EP52" s="136"/>
      <c r="EQ52" s="136"/>
      <c r="ER52" s="136"/>
      <c r="ES52" s="136"/>
      <c r="ET52" s="136"/>
      <c r="EU52" s="136"/>
      <c r="EV52" s="136"/>
      <c r="EW52" s="136"/>
      <c r="EX52" s="136"/>
      <c r="EY52" s="136"/>
      <c r="EZ52" s="313"/>
      <c r="FB52" s="151"/>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41">
        <v>0</v>
      </c>
      <c r="GU52" s="141"/>
      <c r="GV52" s="141"/>
      <c r="GW52" s="141"/>
      <c r="GX52" s="141"/>
      <c r="GY52" s="141"/>
      <c r="GZ52" s="141"/>
      <c r="HA52" s="141"/>
      <c r="HB52" s="142" t="str">
        <f>IFERROR(ROUND(Calculations!BV53*GT52,2),"")</f>
        <v/>
      </c>
      <c r="HC52" s="142"/>
      <c r="HD52" s="142"/>
      <c r="HE52" s="142"/>
      <c r="HF52" s="142"/>
      <c r="HG52" s="142"/>
      <c r="HH52" s="142"/>
      <c r="HI52" s="142"/>
      <c r="HJ52" s="142">
        <f>IFERROR(Calculations!BS53+IQ52+IX52,"")</f>
        <v>0</v>
      </c>
      <c r="HK52" s="142"/>
      <c r="HL52" s="142"/>
      <c r="HM52" s="142"/>
      <c r="HN52" s="142"/>
      <c r="HO52" s="142"/>
      <c r="HP52" s="142"/>
      <c r="HQ52" s="142"/>
      <c r="HR52" s="142" t="str">
        <f t="shared" si="9"/>
        <v/>
      </c>
      <c r="HS52" s="142"/>
      <c r="HT52" s="142"/>
      <c r="HU52" s="142"/>
      <c r="HV52" s="142"/>
      <c r="HW52" s="142"/>
      <c r="HX52" s="142"/>
      <c r="HY52" s="142"/>
      <c r="HZ52" s="142" t="str">
        <f>IFERROR(Calculations!BX53,"")</f>
        <v/>
      </c>
      <c r="IA52" s="142"/>
      <c r="IB52" s="142"/>
      <c r="IC52" s="142"/>
      <c r="ID52" s="142"/>
      <c r="IE52" s="142"/>
      <c r="IF52" s="142"/>
      <c r="IG52" s="142"/>
      <c r="IH52" s="142"/>
      <c r="II52" s="142"/>
      <c r="IJ52" s="142" t="str">
        <f>IFERROR(Calculations!BR53+IX52,"")</f>
        <v/>
      </c>
      <c r="IK52" s="142"/>
      <c r="IL52" s="142"/>
      <c r="IM52" s="142"/>
      <c r="IN52" s="142"/>
      <c r="IO52" s="142"/>
      <c r="IP52" s="142"/>
      <c r="IQ52" s="141">
        <v>0</v>
      </c>
      <c r="IR52" s="141"/>
      <c r="IS52" s="141"/>
      <c r="IT52" s="141"/>
      <c r="IU52" s="141"/>
      <c r="IV52" s="141"/>
      <c r="IW52" s="141"/>
      <c r="IX52" s="141">
        <v>0</v>
      </c>
      <c r="IY52" s="141"/>
      <c r="IZ52" s="141"/>
      <c r="JA52" s="141"/>
      <c r="JB52" s="141"/>
      <c r="JC52" s="141"/>
      <c r="JD52" s="141"/>
      <c r="JE52" s="141"/>
      <c r="JF52" s="142"/>
      <c r="JG52" s="142"/>
      <c r="JH52" s="142"/>
      <c r="JI52" s="142"/>
      <c r="JJ52" s="142"/>
      <c r="JK52" s="143" t="str">
        <f>Calculations!AS53</f>
        <v/>
      </c>
      <c r="JL52" s="143"/>
      <c r="JM52" s="143"/>
      <c r="JN52" s="143"/>
      <c r="JO52" s="143"/>
      <c r="JP52" s="143"/>
      <c r="JQ52" s="143"/>
      <c r="JR52" s="143"/>
      <c r="JS52" s="143"/>
      <c r="JT52" s="143"/>
      <c r="JU52" s="143"/>
      <c r="JV52" s="143"/>
      <c r="JW52" s="143"/>
      <c r="JX52" s="143"/>
      <c r="JY52" s="143"/>
      <c r="JZ52" s="143"/>
      <c r="KA52" s="143"/>
      <c r="KB52" s="143"/>
      <c r="KC52" s="143" t="str">
        <f>Calculations!AW53</f>
        <v/>
      </c>
      <c r="KD52" s="143"/>
      <c r="KE52" s="143"/>
      <c r="KF52" s="143"/>
      <c r="KG52" s="143"/>
      <c r="KH52" s="143"/>
      <c r="KI52" s="143"/>
      <c r="KJ52" s="143"/>
      <c r="KK52" s="143"/>
      <c r="KL52" s="143"/>
      <c r="KM52" s="143"/>
      <c r="KN52" s="143"/>
      <c r="KO52" s="143"/>
      <c r="KP52" s="143"/>
      <c r="KQ52" s="143"/>
      <c r="KR52" s="143"/>
      <c r="KS52" s="143"/>
      <c r="KT52" s="143"/>
      <c r="KU52" s="144"/>
      <c r="KV52" s="144"/>
      <c r="KW52" s="144"/>
      <c r="KX52" s="144"/>
      <c r="KY52" s="144"/>
      <c r="KZ52" s="144"/>
      <c r="LA52" s="144"/>
      <c r="LB52" s="144"/>
      <c r="LC52" s="144"/>
      <c r="LD52" s="144"/>
      <c r="LE52" s="144"/>
      <c r="LF52" s="144"/>
      <c r="LG52" s="144"/>
      <c r="LH52" s="144"/>
      <c r="LI52" s="144"/>
      <c r="LJ52" s="144"/>
      <c r="LK52" s="144"/>
      <c r="LL52" s="144"/>
      <c r="LM52" s="144"/>
      <c r="LN52" s="144"/>
      <c r="LO52" s="144"/>
      <c r="LP52" s="144"/>
      <c r="LQ52" s="144"/>
      <c r="LR52" s="144"/>
      <c r="LS52" s="144"/>
      <c r="LT52" s="144"/>
      <c r="LU52" s="144"/>
      <c r="LV52" s="144"/>
      <c r="LW52" s="144"/>
      <c r="LX52" s="144"/>
      <c r="LY52" s="144"/>
      <c r="LZ52" s="144"/>
      <c r="MA52" s="144"/>
      <c r="MB52" s="144"/>
      <c r="MC52" s="144"/>
      <c r="MD52" s="144"/>
      <c r="ME52" s="144"/>
      <c r="MF52" s="144"/>
      <c r="MG52" s="144"/>
      <c r="MH52" s="144"/>
      <c r="MI52" s="144"/>
      <c r="MJ52" s="144"/>
      <c r="MK52" s="144"/>
      <c r="ML52" s="144"/>
      <c r="MM52" s="144"/>
      <c r="MN52" s="144"/>
      <c r="MO52" s="144"/>
      <c r="MP52" s="144"/>
      <c r="MQ52" s="144"/>
      <c r="MR52" s="144"/>
      <c r="MS52" s="144"/>
      <c r="MT52" s="144"/>
      <c r="MU52" s="144"/>
      <c r="MV52" s="144"/>
      <c r="MW52" s="144"/>
      <c r="MX52" s="144"/>
      <c r="MY52" s="144"/>
      <c r="MZ52" s="145"/>
      <c r="BLR52" s="128" t="s">
        <v>2040</v>
      </c>
      <c r="BLS52" s="128"/>
      <c r="BLT52" s="128"/>
      <c r="BLU52" s="128"/>
      <c r="BLV52" s="128"/>
      <c r="BLW52" s="128"/>
      <c r="BLX52" s="128"/>
      <c r="BLY52" s="128"/>
      <c r="BLZ52" s="128"/>
      <c r="BMA52" s="128"/>
      <c r="BMB52" s="128"/>
      <c r="BMC52" s="128"/>
      <c r="BMD52" s="128"/>
      <c r="BME52" s="128"/>
      <c r="BMF52" s="128"/>
      <c r="BMG52" s="128"/>
      <c r="BMH52" s="128"/>
      <c r="BMI52" s="128"/>
      <c r="BMJ52" s="128"/>
      <c r="BMK52" s="128"/>
      <c r="BML52" s="128"/>
      <c r="BMM52" s="128"/>
      <c r="BMN52" s="128"/>
      <c r="BMO52" s="128"/>
      <c r="BMP52" s="128"/>
      <c r="BMQ52" s="128"/>
      <c r="BMR52" s="128"/>
      <c r="BMS52" s="128"/>
      <c r="BMT52" s="128"/>
      <c r="BMU52" s="128"/>
      <c r="BMV52" s="128"/>
      <c r="BMW52" s="129"/>
      <c r="BMX52" s="129"/>
      <c r="BMY52" s="129"/>
      <c r="BMZ52" s="129"/>
      <c r="BNA52" s="129"/>
      <c r="BNB52" s="129"/>
      <c r="BNC52" s="129"/>
      <c r="BND52" s="129"/>
      <c r="BNE52" s="129"/>
      <c r="BNF52" s="129"/>
      <c r="BNG52" s="129"/>
      <c r="BNH52" s="129"/>
      <c r="BNI52" s="129"/>
      <c r="BNJ52" s="129"/>
      <c r="BNK52" s="129"/>
      <c r="BNL52" s="129"/>
      <c r="BNM52" s="129"/>
      <c r="BNN52" s="129"/>
      <c r="BNO52" s="129"/>
      <c r="BNP52" s="129"/>
      <c r="BNQ52" s="129"/>
      <c r="BNR52" s="128"/>
      <c r="BNS52" s="128"/>
      <c r="BNT52" s="128"/>
      <c r="BNU52" s="128"/>
      <c r="BNV52" s="128"/>
      <c r="BNW52" s="128"/>
      <c r="BNX52" s="129"/>
      <c r="BNY52" s="129"/>
      <c r="BNZ52" s="129"/>
      <c r="BOA52" s="129"/>
      <c r="BOB52" s="129"/>
      <c r="BOC52" s="129"/>
      <c r="BOD52" s="129"/>
      <c r="BOE52" s="129"/>
      <c r="BOF52" s="129"/>
      <c r="BOG52" s="129"/>
      <c r="BOH52" s="129"/>
      <c r="BOI52" s="129"/>
      <c r="BOJ52" s="129"/>
      <c r="BOK52" s="129"/>
      <c r="BOL52" s="129"/>
      <c r="BOM52" s="129"/>
      <c r="BON52" s="129"/>
      <c r="BOO52" s="129"/>
      <c r="BOP52" s="129"/>
      <c r="BOQ52" s="129"/>
      <c r="BOR52" s="129"/>
      <c r="BOS52" s="129"/>
      <c r="BOT52" s="129"/>
      <c r="BOU52" s="129"/>
      <c r="BOV52" s="129"/>
      <c r="BOW52" s="129"/>
      <c r="BOX52" s="129"/>
      <c r="BOY52" s="129"/>
      <c r="BOZ52" s="128"/>
      <c r="BPA52" s="128"/>
      <c r="BPB52" s="128"/>
      <c r="BPC52" s="128"/>
      <c r="BPD52" s="128"/>
      <c r="BPE52" s="128"/>
      <c r="BPF52" s="128"/>
      <c r="COP52" s="128" t="s">
        <v>420</v>
      </c>
      <c r="COQ52" s="128"/>
      <c r="COR52" s="128"/>
      <c r="COS52" s="128"/>
      <c r="COT52" s="128"/>
      <c r="COU52" s="128"/>
      <c r="COV52" s="128"/>
      <c r="COW52" s="128"/>
      <c r="COX52" s="128"/>
      <c r="COY52" s="128"/>
      <c r="COZ52" s="128"/>
      <c r="CPA52" s="128"/>
      <c r="CPB52" s="128"/>
      <c r="CPC52" s="128"/>
      <c r="CPD52" s="128"/>
      <c r="CPE52" s="128"/>
      <c r="CPF52" s="128"/>
      <c r="CPG52" s="128"/>
      <c r="CPH52" s="128"/>
      <c r="CPI52" s="128"/>
      <c r="CPJ52" s="128"/>
      <c r="CPK52" s="128"/>
      <c r="CPL52" s="128"/>
      <c r="CPM52" s="128"/>
      <c r="CPN52" s="128"/>
      <c r="CPO52" s="128"/>
      <c r="CPP52" s="128"/>
      <c r="CPQ52" s="128"/>
      <c r="CPR52" s="128"/>
      <c r="CPS52" s="128"/>
      <c r="CPT52" s="128"/>
      <c r="CPU52" s="129"/>
      <c r="CPV52" s="129"/>
      <c r="CPW52" s="129"/>
      <c r="CPX52" s="129"/>
      <c r="CPY52" s="129"/>
      <c r="CPZ52" s="129"/>
      <c r="CQA52" s="129"/>
      <c r="CQB52" s="129"/>
      <c r="CQC52" s="129"/>
      <c r="CQD52" s="129"/>
      <c r="CQE52" s="129"/>
      <c r="CQF52" s="129"/>
      <c r="CQG52" s="129"/>
      <c r="CQH52" s="129"/>
      <c r="CQI52" s="129"/>
      <c r="CQJ52" s="129"/>
      <c r="CQK52" s="129"/>
      <c r="CQL52" s="129"/>
      <c r="CQM52" s="129"/>
      <c r="CQN52" s="129"/>
      <c r="CQO52" s="129"/>
      <c r="CQP52" s="128"/>
      <c r="CQQ52" s="128"/>
      <c r="CQR52" s="128"/>
      <c r="CQS52" s="128"/>
      <c r="CQT52" s="128"/>
      <c r="CQU52" s="128"/>
      <c r="CQV52" s="129"/>
      <c r="CQW52" s="129"/>
      <c r="CQX52" s="129"/>
      <c r="CQY52" s="129"/>
      <c r="CQZ52" s="129"/>
      <c r="CRA52" s="129"/>
      <c r="CRB52" s="129"/>
      <c r="CRC52" s="129"/>
      <c r="CRD52" s="129"/>
      <c r="CRE52" s="129"/>
      <c r="CRF52" s="129"/>
      <c r="CRG52" s="129"/>
      <c r="CRH52" s="129"/>
      <c r="CRI52" s="129"/>
      <c r="CRJ52" s="129"/>
      <c r="CRK52" s="129"/>
      <c r="CRL52" s="129"/>
      <c r="CRM52" s="129"/>
      <c r="CRN52" s="129"/>
      <c r="CRO52" s="129"/>
      <c r="CRP52" s="129"/>
      <c r="CRQ52" s="129"/>
      <c r="CRR52" s="129"/>
      <c r="CRS52" s="129"/>
      <c r="CRT52" s="129"/>
      <c r="CRU52" s="129"/>
      <c r="CRV52" s="129"/>
      <c r="CRW52" s="129"/>
      <c r="CRX52" s="128"/>
      <c r="CRY52" s="128"/>
      <c r="CRZ52" s="128"/>
      <c r="CSA52" s="128"/>
      <c r="CSB52" s="128"/>
      <c r="CSC52" s="128"/>
      <c r="CSD52" s="128"/>
      <c r="CSF52" s="144" t="s">
        <v>476</v>
      </c>
      <c r="CSG52" s="144"/>
      <c r="CSH52" s="144"/>
      <c r="CSI52" s="144"/>
      <c r="CSJ52" s="144"/>
      <c r="CSK52" s="144"/>
      <c r="CSL52" s="144"/>
      <c r="CSM52" s="144"/>
      <c r="CSN52" s="144"/>
      <c r="CSO52" s="144"/>
      <c r="CSP52" s="144"/>
      <c r="CSQ52" s="144"/>
      <c r="CSR52" s="144"/>
      <c r="CSS52" s="144"/>
      <c r="CST52" s="144"/>
      <c r="CSU52" s="144"/>
      <c r="CSV52" s="144"/>
      <c r="CSW52" s="144"/>
      <c r="CSX52" s="144"/>
      <c r="CSY52" s="144"/>
      <c r="CSZ52" s="144"/>
      <c r="CTA52" s="144"/>
      <c r="CTB52" s="144"/>
      <c r="CTC52" s="144"/>
      <c r="CTD52" s="144"/>
      <c r="CTE52" s="144"/>
      <c r="CTF52" s="144"/>
      <c r="CTG52" s="144"/>
      <c r="CTH52" s="144"/>
      <c r="CTI52" s="144"/>
      <c r="CTJ52" s="144"/>
      <c r="CTK52" s="144"/>
      <c r="CTL52" s="144"/>
      <c r="CTM52" s="144"/>
      <c r="CTN52" s="144"/>
      <c r="CTO52" s="144"/>
      <c r="CTP52" s="144"/>
      <c r="CTQ52" s="144"/>
      <c r="CTR52" s="144"/>
      <c r="CTS52" s="144"/>
      <c r="CTT52" s="144"/>
      <c r="CTU52" s="144"/>
      <c r="CTV52" s="144"/>
      <c r="CTW52" s="144"/>
      <c r="CTX52" s="144"/>
      <c r="CTY52" s="144"/>
      <c r="CTZ52" s="144"/>
      <c r="CUA52" s="144"/>
      <c r="CUB52" s="144"/>
      <c r="CUC52" s="144"/>
      <c r="CUD52" s="144"/>
      <c r="CUE52" s="144"/>
      <c r="CUF52" s="144"/>
      <c r="CUG52" s="144"/>
      <c r="CUH52" s="144"/>
      <c r="CUI52" s="144"/>
      <c r="CUJ52" s="144"/>
      <c r="CUK52" s="144"/>
      <c r="CUL52" s="144"/>
      <c r="CUM52" s="144"/>
      <c r="CUN52" s="144"/>
      <c r="CUO52" s="144"/>
      <c r="CUP52" s="144"/>
      <c r="CUQ52" s="144"/>
      <c r="CUR52" s="144"/>
      <c r="CUS52" s="144"/>
      <c r="CUT52" s="144"/>
      <c r="CUU52" s="144"/>
      <c r="CUV52" s="144"/>
      <c r="CUW52" s="144"/>
      <c r="CUX52" s="144"/>
      <c r="CUY52" s="144"/>
      <c r="CUZ52" s="144"/>
      <c r="CVA52" s="144"/>
      <c r="CVB52" s="144"/>
      <c r="CVC52" s="144"/>
      <c r="CVD52" s="144"/>
      <c r="CVE52" s="144"/>
      <c r="CVF52" s="144"/>
      <c r="CVG52" s="144"/>
      <c r="CVH52" s="144"/>
      <c r="CVI52" s="144"/>
      <c r="CVJ52" s="144"/>
      <c r="CVK52" s="144"/>
      <c r="CVL52" s="144"/>
      <c r="CVM52" s="144"/>
      <c r="CVN52" s="144"/>
      <c r="CVO52" s="144"/>
      <c r="CVP52" s="144"/>
      <c r="CVQ52" s="144"/>
      <c r="CVR52" s="144"/>
      <c r="CVS52" s="144"/>
      <c r="CVT52" s="144"/>
      <c r="DDB52" s="128" t="s">
        <v>552</v>
      </c>
      <c r="DDC52" s="128"/>
      <c r="DDD52" s="128"/>
      <c r="DDE52" s="128"/>
      <c r="DDF52" s="128"/>
      <c r="DDG52" s="128"/>
      <c r="DDH52" s="128"/>
      <c r="DDI52" s="128"/>
      <c r="DDJ52" s="128"/>
      <c r="DDK52" s="128"/>
      <c r="DDL52" s="128"/>
      <c r="DDM52" s="128"/>
      <c r="DDN52" s="128"/>
      <c r="DDO52" s="128"/>
      <c r="DDP52" s="128"/>
      <c r="DDQ52" s="128"/>
      <c r="DDR52" s="128"/>
      <c r="DDS52" s="128"/>
      <c r="DDT52" s="128"/>
      <c r="DDU52" s="128"/>
      <c r="DDV52" s="128"/>
      <c r="DDW52" s="128"/>
      <c r="DDX52" s="128"/>
      <c r="DDY52" s="128"/>
      <c r="DDZ52" s="128"/>
      <c r="DEA52" s="128"/>
      <c r="DEB52" s="128"/>
      <c r="DEC52" s="128"/>
      <c r="DED52" s="128"/>
      <c r="DEE52" s="128"/>
      <c r="DEF52" s="128"/>
      <c r="DEG52" s="129"/>
      <c r="DEH52" s="129"/>
      <c r="DEI52" s="129"/>
      <c r="DEJ52" s="129"/>
      <c r="DEK52" s="129"/>
      <c r="DEL52" s="129"/>
      <c r="DEM52" s="129"/>
      <c r="DEN52" s="129"/>
      <c r="DEO52" s="129"/>
      <c r="DEP52" s="129"/>
      <c r="DEQ52" s="129"/>
      <c r="DER52" s="129"/>
      <c r="DES52" s="129"/>
      <c r="DET52" s="129"/>
      <c r="DEU52" s="129"/>
      <c r="DEV52" s="129"/>
      <c r="DEW52" s="129"/>
      <c r="DEX52" s="129"/>
      <c r="DEY52" s="129"/>
      <c r="DEZ52" s="129"/>
      <c r="DFA52" s="129"/>
      <c r="DFB52" s="128"/>
      <c r="DFC52" s="128"/>
      <c r="DFD52" s="128"/>
      <c r="DFE52" s="128"/>
      <c r="DFF52" s="128"/>
      <c r="DFG52" s="128"/>
      <c r="DFH52" s="129"/>
      <c r="DFI52" s="129"/>
      <c r="DFJ52" s="129"/>
      <c r="DFK52" s="129"/>
      <c r="DFL52" s="129"/>
      <c r="DFM52" s="129"/>
      <c r="DFN52" s="129"/>
      <c r="DFO52" s="129"/>
      <c r="DFP52" s="129"/>
      <c r="DFQ52" s="129"/>
      <c r="DFR52" s="129"/>
      <c r="DFS52" s="129"/>
      <c r="DFT52" s="129"/>
      <c r="DFU52" s="129"/>
      <c r="DFV52" s="129"/>
      <c r="DFW52" s="129"/>
      <c r="DFX52" s="129"/>
      <c r="DFY52" s="129"/>
      <c r="DFZ52" s="129"/>
      <c r="DGA52" s="129"/>
      <c r="DGB52" s="129"/>
      <c r="DGC52" s="129"/>
      <c r="DGD52" s="129"/>
      <c r="DGE52" s="129"/>
      <c r="DGF52" s="129"/>
      <c r="DGG52" s="129"/>
      <c r="DGH52" s="129"/>
      <c r="DGI52" s="129"/>
      <c r="DGJ52" s="128"/>
      <c r="DGK52" s="128"/>
      <c r="DGL52" s="128"/>
      <c r="DGM52" s="128"/>
      <c r="DGN52" s="128"/>
      <c r="DGO52" s="128"/>
      <c r="DGP52" s="128"/>
    </row>
    <row r="53" spans="2:364 1118:1774 2434:2902" ht="15" customHeight="1" x14ac:dyDescent="0.25">
      <c r="B53" s="188" t="s">
        <v>69</v>
      </c>
      <c r="C53" s="189"/>
      <c r="D53" s="189"/>
      <c r="E53" s="189"/>
      <c r="F53" s="189"/>
      <c r="G53" s="189"/>
      <c r="H53" s="189"/>
      <c r="I53" s="189"/>
      <c r="J53" s="189"/>
      <c r="K53" s="189"/>
      <c r="L53" s="189"/>
      <c r="M53" s="189"/>
      <c r="N53" s="189"/>
      <c r="O53" s="189"/>
      <c r="P53" s="311" t="str">
        <f>Calculations!DA7</f>
        <v>Soft Leather</v>
      </c>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192">
        <v>1</v>
      </c>
      <c r="AP53" s="192"/>
      <c r="AQ53" s="192"/>
      <c r="AR53" s="192"/>
      <c r="AS53" s="192"/>
      <c r="AT53" s="192"/>
      <c r="AU53" s="192"/>
      <c r="AV53" s="192"/>
      <c r="AW53" s="130" t="str">
        <f>IF(P53="No Armour","- -",IF(P53=Calculations!DA7,"- -",VLOOKUP(P53,Armour!$B$4:$AU$99,19,FALSE)*'Character Creation'!$Z$18*'Character Sheet'!$AO53))</f>
        <v>- -</v>
      </c>
      <c r="AX53" s="130"/>
      <c r="AY53" s="130"/>
      <c r="AZ53" s="130"/>
      <c r="BA53" s="130"/>
      <c r="BB53" s="130"/>
      <c r="BC53" s="130"/>
      <c r="BD53" s="130"/>
      <c r="BE53" s="130">
        <f>IF(P53="No Armour","- -",VLOOKUP(P53,Armour!$B$4:$AU$99,4,FALSE)+BU53+CC53)</f>
        <v>30</v>
      </c>
      <c r="BF53" s="130"/>
      <c r="BG53" s="130"/>
      <c r="BH53" s="130"/>
      <c r="BI53" s="130"/>
      <c r="BJ53" s="130"/>
      <c r="BK53" s="130"/>
      <c r="BL53" s="130"/>
      <c r="BM53" s="130">
        <f>IF(P53="No Armour","- -",IF(P53="No Armour",0,VLOOKUP(P53,Armour!$B$4:$AU$99,3,FALSE)+VLOOKUP(((AO53*100)-100),Charts!$AW$2:$AX$42,2,FALSE)))</f>
        <v>0</v>
      </c>
      <c r="BN53" s="130"/>
      <c r="BO53" s="130"/>
      <c r="BP53" s="130"/>
      <c r="BQ53" s="130"/>
      <c r="BR53" s="130"/>
      <c r="BS53" s="130"/>
      <c r="BT53" s="130"/>
      <c r="BU53" s="195">
        <f t="shared" si="20"/>
        <v>0</v>
      </c>
      <c r="BV53" s="195"/>
      <c r="BW53" s="195"/>
      <c r="BX53" s="195"/>
      <c r="BY53" s="195"/>
      <c r="BZ53" s="195"/>
      <c r="CA53" s="195"/>
      <c r="CB53" s="195"/>
      <c r="CC53" s="195">
        <f t="shared" si="21"/>
        <v>0</v>
      </c>
      <c r="CD53" s="195"/>
      <c r="CE53" s="195"/>
      <c r="CF53" s="195"/>
      <c r="CG53" s="195"/>
      <c r="CH53" s="195"/>
      <c r="CI53" s="195"/>
      <c r="CJ53" s="195"/>
      <c r="CK53" s="130">
        <f t="shared" si="18"/>
        <v>3</v>
      </c>
      <c r="CL53" s="130"/>
      <c r="CM53" s="130"/>
      <c r="CN53" s="130"/>
      <c r="CO53" s="130"/>
      <c r="CP53" s="130"/>
      <c r="CQ53" s="130"/>
      <c r="CR53" s="130"/>
      <c r="CS53" s="130">
        <f t="shared" si="22"/>
        <v>0</v>
      </c>
      <c r="CT53" s="130"/>
      <c r="CU53" s="130"/>
      <c r="CV53" s="130"/>
      <c r="CW53" s="130"/>
      <c r="CX53" s="130"/>
      <c r="CY53" s="130"/>
      <c r="CZ53" s="130"/>
      <c r="DA53" s="130">
        <f>IF(P53="No Armour","- -",VLOOKUP(P53,Armour!$B$4:$EY$99,51,FALSE)+(ROUNDUP(CC53/3,0)))</f>
        <v>-5</v>
      </c>
      <c r="DB53" s="130"/>
      <c r="DC53" s="130"/>
      <c r="DD53" s="130"/>
      <c r="DE53" s="130"/>
      <c r="DF53" s="130"/>
      <c r="DG53" s="130"/>
      <c r="DH53" s="130"/>
      <c r="DI53" s="130">
        <f t="shared" si="19"/>
        <v>0</v>
      </c>
      <c r="DJ53" s="130"/>
      <c r="DK53" s="130"/>
      <c r="DL53" s="130"/>
      <c r="DM53" s="130"/>
      <c r="DN53" s="130"/>
      <c r="DO53" s="130"/>
      <c r="DP53" s="130"/>
      <c r="DQ53" s="130">
        <f t="shared" si="23"/>
        <v>0</v>
      </c>
      <c r="DR53" s="130"/>
      <c r="DS53" s="130"/>
      <c r="DT53" s="130"/>
      <c r="DU53" s="130"/>
      <c r="DV53" s="130"/>
      <c r="DW53" s="130"/>
      <c r="DX53" s="130"/>
      <c r="DY53" s="306"/>
      <c r="DZ53" s="306"/>
      <c r="EA53" s="306"/>
      <c r="EB53" s="306"/>
      <c r="EC53" s="306"/>
      <c r="ED53" s="306"/>
      <c r="EE53" s="306"/>
      <c r="EF53" s="306"/>
      <c r="EG53" s="306"/>
      <c r="EH53" s="306"/>
      <c r="EI53" s="306"/>
      <c r="EJ53" s="306"/>
      <c r="EK53" s="306"/>
      <c r="EL53" s="306"/>
      <c r="EM53" s="306"/>
      <c r="EN53" s="306"/>
      <c r="EO53" s="306"/>
      <c r="EP53" s="306"/>
      <c r="EQ53" s="306"/>
      <c r="ER53" s="306"/>
      <c r="ES53" s="306"/>
      <c r="ET53" s="306"/>
      <c r="EU53" s="306"/>
      <c r="EV53" s="306"/>
      <c r="EW53" s="306"/>
      <c r="EX53" s="306"/>
      <c r="EY53" s="306"/>
      <c r="EZ53" s="307"/>
      <c r="FB53" s="151"/>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41">
        <v>0</v>
      </c>
      <c r="GU53" s="141"/>
      <c r="GV53" s="141"/>
      <c r="GW53" s="141"/>
      <c r="GX53" s="141"/>
      <c r="GY53" s="141"/>
      <c r="GZ53" s="141"/>
      <c r="HA53" s="141"/>
      <c r="HB53" s="142" t="str">
        <f>IFERROR(ROUND(Calculations!BV54*GT53,2),"")</f>
        <v/>
      </c>
      <c r="HC53" s="142"/>
      <c r="HD53" s="142"/>
      <c r="HE53" s="142"/>
      <c r="HF53" s="142"/>
      <c r="HG53" s="142"/>
      <c r="HH53" s="142"/>
      <c r="HI53" s="142"/>
      <c r="HJ53" s="142">
        <f>IFERROR(Calculations!BS54+IQ53+IX53,"")</f>
        <v>0</v>
      </c>
      <c r="HK53" s="142"/>
      <c r="HL53" s="142"/>
      <c r="HM53" s="142"/>
      <c r="HN53" s="142"/>
      <c r="HO53" s="142"/>
      <c r="HP53" s="142"/>
      <c r="HQ53" s="142"/>
      <c r="HR53" s="142" t="str">
        <f t="shared" si="9"/>
        <v/>
      </c>
      <c r="HS53" s="142"/>
      <c r="HT53" s="142"/>
      <c r="HU53" s="142"/>
      <c r="HV53" s="142"/>
      <c r="HW53" s="142"/>
      <c r="HX53" s="142"/>
      <c r="HY53" s="142"/>
      <c r="HZ53" s="142" t="str">
        <f>IFERROR(Calculations!BX54,"")</f>
        <v/>
      </c>
      <c r="IA53" s="142"/>
      <c r="IB53" s="142"/>
      <c r="IC53" s="142"/>
      <c r="ID53" s="142"/>
      <c r="IE53" s="142"/>
      <c r="IF53" s="142"/>
      <c r="IG53" s="142"/>
      <c r="IH53" s="142"/>
      <c r="II53" s="142"/>
      <c r="IJ53" s="142" t="str">
        <f>IFERROR(Calculations!BR54+IX53,"")</f>
        <v/>
      </c>
      <c r="IK53" s="142"/>
      <c r="IL53" s="142"/>
      <c r="IM53" s="142"/>
      <c r="IN53" s="142"/>
      <c r="IO53" s="142"/>
      <c r="IP53" s="142"/>
      <c r="IQ53" s="141">
        <v>0</v>
      </c>
      <c r="IR53" s="141"/>
      <c r="IS53" s="141"/>
      <c r="IT53" s="141"/>
      <c r="IU53" s="141"/>
      <c r="IV53" s="141"/>
      <c r="IW53" s="141"/>
      <c r="IX53" s="141">
        <v>0</v>
      </c>
      <c r="IY53" s="141"/>
      <c r="IZ53" s="141"/>
      <c r="JA53" s="141"/>
      <c r="JB53" s="141"/>
      <c r="JC53" s="141"/>
      <c r="JD53" s="141"/>
      <c r="JE53" s="141"/>
      <c r="JF53" s="142"/>
      <c r="JG53" s="142"/>
      <c r="JH53" s="142"/>
      <c r="JI53" s="142"/>
      <c r="JJ53" s="142"/>
      <c r="JK53" s="143" t="str">
        <f>Calculations!AS54</f>
        <v/>
      </c>
      <c r="JL53" s="143"/>
      <c r="JM53" s="143"/>
      <c r="JN53" s="143"/>
      <c r="JO53" s="143"/>
      <c r="JP53" s="143"/>
      <c r="JQ53" s="143"/>
      <c r="JR53" s="143"/>
      <c r="JS53" s="143"/>
      <c r="JT53" s="143"/>
      <c r="JU53" s="143"/>
      <c r="JV53" s="143"/>
      <c r="JW53" s="143"/>
      <c r="JX53" s="143"/>
      <c r="JY53" s="143"/>
      <c r="JZ53" s="143"/>
      <c r="KA53" s="143"/>
      <c r="KB53" s="143"/>
      <c r="KC53" s="143" t="str">
        <f>Calculations!AW54</f>
        <v/>
      </c>
      <c r="KD53" s="143"/>
      <c r="KE53" s="143"/>
      <c r="KF53" s="143"/>
      <c r="KG53" s="143"/>
      <c r="KH53" s="143"/>
      <c r="KI53" s="143"/>
      <c r="KJ53" s="143"/>
      <c r="KK53" s="143"/>
      <c r="KL53" s="143"/>
      <c r="KM53" s="143"/>
      <c r="KN53" s="143"/>
      <c r="KO53" s="143"/>
      <c r="KP53" s="143"/>
      <c r="KQ53" s="143"/>
      <c r="KR53" s="143"/>
      <c r="KS53" s="143"/>
      <c r="KT53" s="143"/>
      <c r="KU53" s="144"/>
      <c r="KV53" s="144"/>
      <c r="KW53" s="144"/>
      <c r="KX53" s="144"/>
      <c r="KY53" s="144"/>
      <c r="KZ53" s="144"/>
      <c r="LA53" s="144"/>
      <c r="LB53" s="144"/>
      <c r="LC53" s="144"/>
      <c r="LD53" s="144"/>
      <c r="LE53" s="144"/>
      <c r="LF53" s="144"/>
      <c r="LG53" s="144"/>
      <c r="LH53" s="144"/>
      <c r="LI53" s="144"/>
      <c r="LJ53" s="144"/>
      <c r="LK53" s="144"/>
      <c r="LL53" s="144"/>
      <c r="LM53" s="144"/>
      <c r="LN53" s="144"/>
      <c r="LO53" s="144"/>
      <c r="LP53" s="144"/>
      <c r="LQ53" s="144"/>
      <c r="LR53" s="144"/>
      <c r="LS53" s="144"/>
      <c r="LT53" s="144"/>
      <c r="LU53" s="144"/>
      <c r="LV53" s="144"/>
      <c r="LW53" s="144"/>
      <c r="LX53" s="144"/>
      <c r="LY53" s="144"/>
      <c r="LZ53" s="144"/>
      <c r="MA53" s="144"/>
      <c r="MB53" s="144"/>
      <c r="MC53" s="144"/>
      <c r="MD53" s="144"/>
      <c r="ME53" s="144"/>
      <c r="MF53" s="144"/>
      <c r="MG53" s="144"/>
      <c r="MH53" s="144"/>
      <c r="MI53" s="144"/>
      <c r="MJ53" s="144"/>
      <c r="MK53" s="144"/>
      <c r="ML53" s="144"/>
      <c r="MM53" s="144"/>
      <c r="MN53" s="144"/>
      <c r="MO53" s="144"/>
      <c r="MP53" s="144"/>
      <c r="MQ53" s="144"/>
      <c r="MR53" s="144"/>
      <c r="MS53" s="144"/>
      <c r="MT53" s="144"/>
      <c r="MU53" s="144"/>
      <c r="MV53" s="144"/>
      <c r="MW53" s="144"/>
      <c r="MX53" s="144"/>
      <c r="MY53" s="144"/>
      <c r="MZ53" s="145"/>
      <c r="BLR53" s="128" t="s">
        <v>2041</v>
      </c>
      <c r="BLS53" s="128"/>
      <c r="BLT53" s="128"/>
      <c r="BLU53" s="128"/>
      <c r="BLV53" s="128"/>
      <c r="BLW53" s="128"/>
      <c r="BLX53" s="128"/>
      <c r="BLY53" s="128"/>
      <c r="BLZ53" s="128"/>
      <c r="BMA53" s="128"/>
      <c r="BMB53" s="128"/>
      <c r="BMC53" s="128"/>
      <c r="BMD53" s="128"/>
      <c r="BME53" s="128"/>
      <c r="BMF53" s="128"/>
      <c r="BMG53" s="128"/>
      <c r="BMH53" s="128"/>
      <c r="BMI53" s="128"/>
      <c r="BMJ53" s="128"/>
      <c r="BMK53" s="128"/>
      <c r="BML53" s="128"/>
      <c r="BMM53" s="128"/>
      <c r="BMN53" s="128"/>
      <c r="BMO53" s="128"/>
      <c r="BMP53" s="128"/>
      <c r="BMQ53" s="128"/>
      <c r="BMR53" s="128"/>
      <c r="BMS53" s="128"/>
      <c r="BMT53" s="128"/>
      <c r="BMU53" s="128"/>
      <c r="BMV53" s="128"/>
      <c r="BMW53" s="129"/>
      <c r="BMX53" s="129"/>
      <c r="BMY53" s="129"/>
      <c r="BMZ53" s="129"/>
      <c r="BNA53" s="129"/>
      <c r="BNB53" s="129"/>
      <c r="BNC53" s="129"/>
      <c r="BND53" s="129"/>
      <c r="BNE53" s="129"/>
      <c r="BNF53" s="129"/>
      <c r="BNG53" s="129"/>
      <c r="BNH53" s="129"/>
      <c r="BNI53" s="129"/>
      <c r="BNJ53" s="129"/>
      <c r="BNK53" s="129"/>
      <c r="BNL53" s="129"/>
      <c r="BNM53" s="129"/>
      <c r="BNN53" s="129"/>
      <c r="BNO53" s="129"/>
      <c r="BNP53" s="129"/>
      <c r="BNQ53" s="129"/>
      <c r="BNR53" s="128"/>
      <c r="BNS53" s="128"/>
      <c r="BNT53" s="128"/>
      <c r="BNU53" s="128"/>
      <c r="BNV53" s="128"/>
      <c r="BNW53" s="128"/>
      <c r="BNX53" s="129"/>
      <c r="BNY53" s="129"/>
      <c r="BNZ53" s="129"/>
      <c r="BOA53" s="129"/>
      <c r="BOB53" s="129"/>
      <c r="BOC53" s="129"/>
      <c r="BOD53" s="129"/>
      <c r="BOE53" s="129"/>
      <c r="BOF53" s="129"/>
      <c r="BOG53" s="129"/>
      <c r="BOH53" s="129"/>
      <c r="BOI53" s="129"/>
      <c r="BOJ53" s="129"/>
      <c r="BOK53" s="129"/>
      <c r="BOL53" s="129"/>
      <c r="BOM53" s="129"/>
      <c r="BON53" s="129"/>
      <c r="BOO53" s="129"/>
      <c r="BOP53" s="129"/>
      <c r="BOQ53" s="129"/>
      <c r="BOR53" s="129"/>
      <c r="BOS53" s="129"/>
      <c r="BOT53" s="129"/>
      <c r="BOU53" s="129"/>
      <c r="BOV53" s="129"/>
      <c r="BOW53" s="129"/>
      <c r="BOX53" s="129"/>
      <c r="BOY53" s="129"/>
      <c r="BOZ53" s="128"/>
      <c r="BPA53" s="128"/>
      <c r="BPB53" s="128"/>
      <c r="BPC53" s="128"/>
      <c r="BPD53" s="128"/>
      <c r="BPE53" s="128"/>
      <c r="BPF53" s="128"/>
      <c r="COP53" s="128" t="s">
        <v>421</v>
      </c>
      <c r="COQ53" s="128"/>
      <c r="COR53" s="128"/>
      <c r="COS53" s="128"/>
      <c r="COT53" s="128"/>
      <c r="COU53" s="128"/>
      <c r="COV53" s="128"/>
      <c r="COW53" s="128"/>
      <c r="COX53" s="128"/>
      <c r="COY53" s="128"/>
      <c r="COZ53" s="128"/>
      <c r="CPA53" s="128"/>
      <c r="CPB53" s="128"/>
      <c r="CPC53" s="128"/>
      <c r="CPD53" s="128"/>
      <c r="CPE53" s="128"/>
      <c r="CPF53" s="128"/>
      <c r="CPG53" s="128"/>
      <c r="CPH53" s="128"/>
      <c r="CPI53" s="128"/>
      <c r="CPJ53" s="128"/>
      <c r="CPK53" s="128"/>
      <c r="CPL53" s="128"/>
      <c r="CPM53" s="128"/>
      <c r="CPN53" s="128"/>
      <c r="CPO53" s="128"/>
      <c r="CPP53" s="128"/>
      <c r="CPQ53" s="128"/>
      <c r="CPR53" s="128"/>
      <c r="CPS53" s="128"/>
      <c r="CPT53" s="128"/>
      <c r="CPU53" s="129"/>
      <c r="CPV53" s="129"/>
      <c r="CPW53" s="129"/>
      <c r="CPX53" s="129"/>
      <c r="CPY53" s="129"/>
      <c r="CPZ53" s="129"/>
      <c r="CQA53" s="129"/>
      <c r="CQB53" s="129"/>
      <c r="CQC53" s="129"/>
      <c r="CQD53" s="129"/>
      <c r="CQE53" s="129"/>
      <c r="CQF53" s="129"/>
      <c r="CQG53" s="129"/>
      <c r="CQH53" s="129"/>
      <c r="CQI53" s="129"/>
      <c r="CQJ53" s="129"/>
      <c r="CQK53" s="129"/>
      <c r="CQL53" s="129"/>
      <c r="CQM53" s="129"/>
      <c r="CQN53" s="129"/>
      <c r="CQO53" s="129"/>
      <c r="CQP53" s="128"/>
      <c r="CQQ53" s="128"/>
      <c r="CQR53" s="128"/>
      <c r="CQS53" s="128"/>
      <c r="CQT53" s="128"/>
      <c r="CQU53" s="128"/>
      <c r="CQV53" s="129"/>
      <c r="CQW53" s="129"/>
      <c r="CQX53" s="129"/>
      <c r="CQY53" s="129"/>
      <c r="CQZ53" s="129"/>
      <c r="CRA53" s="129"/>
      <c r="CRB53" s="129"/>
      <c r="CRC53" s="129"/>
      <c r="CRD53" s="129"/>
      <c r="CRE53" s="129"/>
      <c r="CRF53" s="129"/>
      <c r="CRG53" s="129"/>
      <c r="CRH53" s="129"/>
      <c r="CRI53" s="129"/>
      <c r="CRJ53" s="129"/>
      <c r="CRK53" s="129"/>
      <c r="CRL53" s="129"/>
      <c r="CRM53" s="129"/>
      <c r="CRN53" s="129"/>
      <c r="CRO53" s="129"/>
      <c r="CRP53" s="129"/>
      <c r="CRQ53" s="129"/>
      <c r="CRR53" s="129"/>
      <c r="CRS53" s="129"/>
      <c r="CRT53" s="129"/>
      <c r="CRU53" s="129"/>
      <c r="CRV53" s="129"/>
      <c r="CRW53" s="129"/>
      <c r="CRX53" s="128"/>
      <c r="CRY53" s="128"/>
      <c r="CRZ53" s="128"/>
      <c r="CSA53" s="128"/>
      <c r="CSB53" s="128"/>
      <c r="CSC53" s="128"/>
      <c r="CSD53" s="128"/>
      <c r="CSF53" s="144" t="s">
        <v>147</v>
      </c>
      <c r="CSG53" s="144"/>
      <c r="CSH53" s="144"/>
      <c r="CSI53" s="144"/>
      <c r="CSJ53" s="144"/>
      <c r="CSK53" s="144"/>
      <c r="CSL53" s="144"/>
      <c r="CSM53" s="144"/>
      <c r="CSN53" s="144"/>
      <c r="CSO53" s="144"/>
      <c r="CSP53" s="144"/>
      <c r="CSQ53" s="144"/>
      <c r="CSR53" s="144"/>
      <c r="CSS53" s="144"/>
      <c r="CST53" s="144"/>
      <c r="CSU53" s="144"/>
      <c r="CSV53" s="144"/>
      <c r="CSW53" s="144"/>
      <c r="CSX53" s="144"/>
      <c r="CSY53" s="144"/>
      <c r="CSZ53" s="144"/>
      <c r="CTA53" s="144"/>
      <c r="CTB53" s="144"/>
      <c r="CTC53" s="144"/>
      <c r="CTD53" s="144"/>
      <c r="CTE53" s="144"/>
      <c r="CTF53" s="144"/>
      <c r="CTG53" s="144"/>
      <c r="CTH53" s="144"/>
      <c r="CTI53" s="144"/>
      <c r="CTJ53" s="144"/>
      <c r="CTK53" s="129" t="s">
        <v>133</v>
      </c>
      <c r="CTL53" s="129"/>
      <c r="CTM53" s="129"/>
      <c r="CTN53" s="129"/>
      <c r="CTO53" s="129" t="s">
        <v>148</v>
      </c>
      <c r="CTP53" s="129"/>
      <c r="CTQ53" s="129"/>
      <c r="CTR53" s="129"/>
      <c r="CTS53" s="129"/>
      <c r="CTT53" s="129" t="s">
        <v>83</v>
      </c>
      <c r="CTU53" s="129"/>
      <c r="CTV53" s="129"/>
      <c r="CTW53" s="129"/>
      <c r="CTX53" s="129"/>
      <c r="CTY53" s="129"/>
      <c r="CTZ53" s="129" t="s">
        <v>37</v>
      </c>
      <c r="CUA53" s="129"/>
      <c r="CUB53" s="129"/>
      <c r="CUC53" s="129"/>
      <c r="CUD53" s="129"/>
      <c r="CUE53" s="129"/>
      <c r="CUF53" s="129" t="s">
        <v>49</v>
      </c>
      <c r="CUG53" s="129"/>
      <c r="CUH53" s="129"/>
      <c r="CUI53" s="129"/>
      <c r="CUJ53" s="129"/>
      <c r="CUK53" s="129"/>
      <c r="CUL53" s="129" t="s">
        <v>149</v>
      </c>
      <c r="CUM53" s="129"/>
      <c r="CUN53" s="129"/>
      <c r="CUO53" s="129"/>
      <c r="CUP53" s="129"/>
      <c r="CUQ53" s="129"/>
      <c r="CUR53" s="129"/>
      <c r="CUS53" s="129" t="s">
        <v>150</v>
      </c>
      <c r="CUT53" s="129"/>
      <c r="CUU53" s="129"/>
      <c r="CUV53" s="129"/>
      <c r="CUW53" s="129"/>
      <c r="CUX53" s="129"/>
      <c r="CUY53" s="129"/>
      <c r="CUZ53" s="129" t="s">
        <v>151</v>
      </c>
      <c r="CVA53" s="129"/>
      <c r="CVB53" s="129"/>
      <c r="CVC53" s="129"/>
      <c r="CVD53" s="129"/>
      <c r="CVE53" s="129"/>
      <c r="CVF53" s="129"/>
      <c r="CVG53" s="129" t="s">
        <v>37</v>
      </c>
      <c r="CVH53" s="129"/>
      <c r="CVI53" s="129"/>
      <c r="CVJ53" s="129"/>
      <c r="CVK53" s="129"/>
      <c r="CVL53" s="129"/>
      <c r="CVM53" s="129"/>
      <c r="CVN53" s="129" t="s">
        <v>40</v>
      </c>
      <c r="CVO53" s="129"/>
      <c r="CVP53" s="129"/>
      <c r="CVQ53" s="129"/>
      <c r="CVR53" s="129"/>
      <c r="CVS53" s="129"/>
      <c r="CVT53" s="129"/>
      <c r="DDB53" s="128" t="s">
        <v>553</v>
      </c>
      <c r="DDC53" s="128"/>
      <c r="DDD53" s="128"/>
      <c r="DDE53" s="128"/>
      <c r="DDF53" s="128"/>
      <c r="DDG53" s="128"/>
      <c r="DDH53" s="128"/>
      <c r="DDI53" s="128"/>
      <c r="DDJ53" s="128"/>
      <c r="DDK53" s="128"/>
      <c r="DDL53" s="128"/>
      <c r="DDM53" s="128"/>
      <c r="DDN53" s="128"/>
      <c r="DDO53" s="128"/>
      <c r="DDP53" s="128"/>
      <c r="DDQ53" s="128"/>
      <c r="DDR53" s="128"/>
      <c r="DDS53" s="128"/>
      <c r="DDT53" s="128"/>
      <c r="DDU53" s="128"/>
      <c r="DDV53" s="128"/>
      <c r="DDW53" s="128"/>
      <c r="DDX53" s="128"/>
      <c r="DDY53" s="128"/>
      <c r="DDZ53" s="128"/>
      <c r="DEA53" s="128"/>
      <c r="DEB53" s="128"/>
      <c r="DEC53" s="128"/>
      <c r="DED53" s="128"/>
      <c r="DEE53" s="128"/>
      <c r="DEF53" s="128"/>
      <c r="DEG53" s="129"/>
      <c r="DEH53" s="129"/>
      <c r="DEI53" s="129"/>
      <c r="DEJ53" s="129"/>
      <c r="DEK53" s="129"/>
      <c r="DEL53" s="129"/>
      <c r="DEM53" s="129"/>
      <c r="DEN53" s="129"/>
      <c r="DEO53" s="129"/>
      <c r="DEP53" s="129"/>
      <c r="DEQ53" s="129"/>
      <c r="DER53" s="129"/>
      <c r="DES53" s="129"/>
      <c r="DET53" s="129"/>
      <c r="DEU53" s="129"/>
      <c r="DEV53" s="129"/>
      <c r="DEW53" s="129"/>
      <c r="DEX53" s="129"/>
      <c r="DEY53" s="129"/>
      <c r="DEZ53" s="129"/>
      <c r="DFA53" s="129"/>
      <c r="DFB53" s="128"/>
      <c r="DFC53" s="128"/>
      <c r="DFD53" s="128"/>
      <c r="DFE53" s="128"/>
      <c r="DFF53" s="128"/>
      <c r="DFG53" s="128"/>
      <c r="DFH53" s="129"/>
      <c r="DFI53" s="129"/>
      <c r="DFJ53" s="129"/>
      <c r="DFK53" s="129"/>
      <c r="DFL53" s="129"/>
      <c r="DFM53" s="129"/>
      <c r="DFN53" s="129"/>
      <c r="DFO53" s="129"/>
      <c r="DFP53" s="129"/>
      <c r="DFQ53" s="129"/>
      <c r="DFR53" s="129"/>
      <c r="DFS53" s="129"/>
      <c r="DFT53" s="129"/>
      <c r="DFU53" s="129"/>
      <c r="DFV53" s="129"/>
      <c r="DFW53" s="129"/>
      <c r="DFX53" s="129"/>
      <c r="DFY53" s="129"/>
      <c r="DFZ53" s="129"/>
      <c r="DGA53" s="129"/>
      <c r="DGB53" s="129"/>
      <c r="DGC53" s="129"/>
      <c r="DGD53" s="129"/>
      <c r="DGE53" s="129"/>
      <c r="DGF53" s="129"/>
      <c r="DGG53" s="129"/>
      <c r="DGH53" s="129"/>
      <c r="DGI53" s="129"/>
      <c r="DGJ53" s="128"/>
      <c r="DGK53" s="128"/>
      <c r="DGL53" s="128"/>
      <c r="DGM53" s="128"/>
      <c r="DGN53" s="128"/>
      <c r="DGO53" s="128"/>
      <c r="DGP53" s="128"/>
    </row>
    <row r="54" spans="2:364 1118:1774 2434:2902" ht="15" customHeight="1" x14ac:dyDescent="0.25">
      <c r="B54" s="190" t="s">
        <v>70</v>
      </c>
      <c r="C54" s="191"/>
      <c r="D54" s="191"/>
      <c r="E54" s="191"/>
      <c r="F54" s="191"/>
      <c r="G54" s="191"/>
      <c r="H54" s="191"/>
      <c r="I54" s="191"/>
      <c r="J54" s="191"/>
      <c r="K54" s="191"/>
      <c r="L54" s="191"/>
      <c r="M54" s="191"/>
      <c r="N54" s="191"/>
      <c r="O54" s="191"/>
      <c r="P54" s="312" t="str">
        <f>Calculations!DA8</f>
        <v>Soft Leather</v>
      </c>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193">
        <v>1</v>
      </c>
      <c r="AP54" s="193"/>
      <c r="AQ54" s="193"/>
      <c r="AR54" s="193"/>
      <c r="AS54" s="193"/>
      <c r="AT54" s="193"/>
      <c r="AU54" s="193"/>
      <c r="AV54" s="193"/>
      <c r="AW54" s="131" t="str">
        <f>IF(P54="No Armour","- -",IF(P54=Calculations!DA8,"- -",VLOOKUP(P54,Armour!$B$4:$AU$99,19,FALSE)*'Character Creation'!$Z$18*'Character Sheet'!$AO54))</f>
        <v>- -</v>
      </c>
      <c r="AX54" s="131"/>
      <c r="AY54" s="131"/>
      <c r="AZ54" s="131"/>
      <c r="BA54" s="131"/>
      <c r="BB54" s="131"/>
      <c r="BC54" s="131"/>
      <c r="BD54" s="131"/>
      <c r="BE54" s="131">
        <f>IF(P54="No Armour","- -",VLOOKUP(P54,Armour!$B$4:$AU$99,4,FALSE)+BU54+CC54)</f>
        <v>30</v>
      </c>
      <c r="BF54" s="131"/>
      <c r="BG54" s="131"/>
      <c r="BH54" s="131"/>
      <c r="BI54" s="131"/>
      <c r="BJ54" s="131"/>
      <c r="BK54" s="131"/>
      <c r="BL54" s="131"/>
      <c r="BM54" s="131">
        <f>IF(P54="No Armour","- -",IF(P54="No Armour",0,VLOOKUP(P54,Armour!$B$4:$AU$99,3,FALSE)+VLOOKUP(((AO54*100)-100),Charts!$AW$2:$AX$42,2,FALSE)))</f>
        <v>0</v>
      </c>
      <c r="BN54" s="131"/>
      <c r="BO54" s="131"/>
      <c r="BP54" s="131"/>
      <c r="BQ54" s="131"/>
      <c r="BR54" s="131"/>
      <c r="BS54" s="131"/>
      <c r="BT54" s="131"/>
      <c r="BU54" s="194">
        <f t="shared" si="20"/>
        <v>0</v>
      </c>
      <c r="BV54" s="194"/>
      <c r="BW54" s="194"/>
      <c r="BX54" s="194"/>
      <c r="BY54" s="194"/>
      <c r="BZ54" s="194"/>
      <c r="CA54" s="194"/>
      <c r="CB54" s="194"/>
      <c r="CC54" s="194">
        <f t="shared" si="21"/>
        <v>0</v>
      </c>
      <c r="CD54" s="194"/>
      <c r="CE54" s="194"/>
      <c r="CF54" s="194"/>
      <c r="CG54" s="194"/>
      <c r="CH54" s="194"/>
      <c r="CI54" s="194"/>
      <c r="CJ54" s="194"/>
      <c r="CK54" s="131">
        <f t="shared" si="18"/>
        <v>3</v>
      </c>
      <c r="CL54" s="131"/>
      <c r="CM54" s="131"/>
      <c r="CN54" s="131"/>
      <c r="CO54" s="131"/>
      <c r="CP54" s="131"/>
      <c r="CQ54" s="131"/>
      <c r="CR54" s="131"/>
      <c r="CS54" s="131">
        <f t="shared" si="22"/>
        <v>0</v>
      </c>
      <c r="CT54" s="131"/>
      <c r="CU54" s="131"/>
      <c r="CV54" s="131"/>
      <c r="CW54" s="131"/>
      <c r="CX54" s="131"/>
      <c r="CY54" s="131"/>
      <c r="CZ54" s="131"/>
      <c r="DA54" s="131">
        <f>IF(P54="No Armour","- -",VLOOKUP(P54,Armour!$B$4:$EY$99,52,FALSE)+(ROUNDUP(CC54/3,0)))</f>
        <v>-3</v>
      </c>
      <c r="DB54" s="131"/>
      <c r="DC54" s="131"/>
      <c r="DD54" s="131"/>
      <c r="DE54" s="131"/>
      <c r="DF54" s="131"/>
      <c r="DG54" s="131"/>
      <c r="DH54" s="131"/>
      <c r="DI54" s="131">
        <f t="shared" si="19"/>
        <v>0</v>
      </c>
      <c r="DJ54" s="131"/>
      <c r="DK54" s="131"/>
      <c r="DL54" s="131"/>
      <c r="DM54" s="131"/>
      <c r="DN54" s="131"/>
      <c r="DO54" s="131"/>
      <c r="DP54" s="131"/>
      <c r="DQ54" s="131">
        <f t="shared" si="23"/>
        <v>0</v>
      </c>
      <c r="DR54" s="131"/>
      <c r="DS54" s="131"/>
      <c r="DT54" s="131"/>
      <c r="DU54" s="131"/>
      <c r="DV54" s="131"/>
      <c r="DW54" s="131"/>
      <c r="DX54" s="131"/>
      <c r="DY54" s="136"/>
      <c r="DZ54" s="136"/>
      <c r="EA54" s="136"/>
      <c r="EB54" s="136"/>
      <c r="EC54" s="136"/>
      <c r="ED54" s="136"/>
      <c r="EE54" s="136"/>
      <c r="EF54" s="136"/>
      <c r="EG54" s="136"/>
      <c r="EH54" s="136"/>
      <c r="EI54" s="136"/>
      <c r="EJ54" s="136"/>
      <c r="EK54" s="136"/>
      <c r="EL54" s="136"/>
      <c r="EM54" s="136"/>
      <c r="EN54" s="136"/>
      <c r="EO54" s="136"/>
      <c r="EP54" s="136"/>
      <c r="EQ54" s="136"/>
      <c r="ER54" s="136"/>
      <c r="ES54" s="136"/>
      <c r="ET54" s="136"/>
      <c r="EU54" s="136"/>
      <c r="EV54" s="136"/>
      <c r="EW54" s="136"/>
      <c r="EX54" s="136"/>
      <c r="EY54" s="136"/>
      <c r="EZ54" s="313"/>
      <c r="FB54" s="151"/>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41">
        <v>0</v>
      </c>
      <c r="GU54" s="141"/>
      <c r="GV54" s="141"/>
      <c r="GW54" s="141"/>
      <c r="GX54" s="141"/>
      <c r="GY54" s="141"/>
      <c r="GZ54" s="141"/>
      <c r="HA54" s="141"/>
      <c r="HB54" s="142" t="str">
        <f>IFERROR(ROUND(Calculations!BV55*GT54,2),"")</f>
        <v/>
      </c>
      <c r="HC54" s="142"/>
      <c r="HD54" s="142"/>
      <c r="HE54" s="142"/>
      <c r="HF54" s="142"/>
      <c r="HG54" s="142"/>
      <c r="HH54" s="142"/>
      <c r="HI54" s="142"/>
      <c r="HJ54" s="142">
        <f>IFERROR(Calculations!BS55+IQ54+IX54,"")</f>
        <v>0</v>
      </c>
      <c r="HK54" s="142"/>
      <c r="HL54" s="142"/>
      <c r="HM54" s="142"/>
      <c r="HN54" s="142"/>
      <c r="HO54" s="142"/>
      <c r="HP54" s="142"/>
      <c r="HQ54" s="142"/>
      <c r="HR54" s="142" t="str">
        <f t="shared" si="9"/>
        <v/>
      </c>
      <c r="HS54" s="142"/>
      <c r="HT54" s="142"/>
      <c r="HU54" s="142"/>
      <c r="HV54" s="142"/>
      <c r="HW54" s="142"/>
      <c r="HX54" s="142"/>
      <c r="HY54" s="142"/>
      <c r="HZ54" s="142" t="str">
        <f>IFERROR(Calculations!BX55,"")</f>
        <v/>
      </c>
      <c r="IA54" s="142"/>
      <c r="IB54" s="142"/>
      <c r="IC54" s="142"/>
      <c r="ID54" s="142"/>
      <c r="IE54" s="142"/>
      <c r="IF54" s="142"/>
      <c r="IG54" s="142"/>
      <c r="IH54" s="142"/>
      <c r="II54" s="142"/>
      <c r="IJ54" s="142" t="str">
        <f>IFERROR(Calculations!BR55+IX54,"")</f>
        <v/>
      </c>
      <c r="IK54" s="142"/>
      <c r="IL54" s="142"/>
      <c r="IM54" s="142"/>
      <c r="IN54" s="142"/>
      <c r="IO54" s="142"/>
      <c r="IP54" s="142"/>
      <c r="IQ54" s="141">
        <v>0</v>
      </c>
      <c r="IR54" s="141"/>
      <c r="IS54" s="141"/>
      <c r="IT54" s="141"/>
      <c r="IU54" s="141"/>
      <c r="IV54" s="141"/>
      <c r="IW54" s="141"/>
      <c r="IX54" s="141">
        <v>0</v>
      </c>
      <c r="IY54" s="141"/>
      <c r="IZ54" s="141"/>
      <c r="JA54" s="141"/>
      <c r="JB54" s="141"/>
      <c r="JC54" s="141"/>
      <c r="JD54" s="141"/>
      <c r="JE54" s="141"/>
      <c r="JF54" s="142"/>
      <c r="JG54" s="142"/>
      <c r="JH54" s="142"/>
      <c r="JI54" s="142"/>
      <c r="JJ54" s="142"/>
      <c r="JK54" s="143" t="str">
        <f>Calculations!AS55</f>
        <v/>
      </c>
      <c r="JL54" s="143"/>
      <c r="JM54" s="143"/>
      <c r="JN54" s="143"/>
      <c r="JO54" s="143"/>
      <c r="JP54" s="143"/>
      <c r="JQ54" s="143"/>
      <c r="JR54" s="143"/>
      <c r="JS54" s="143"/>
      <c r="JT54" s="143"/>
      <c r="JU54" s="143"/>
      <c r="JV54" s="143"/>
      <c r="JW54" s="143"/>
      <c r="JX54" s="143"/>
      <c r="JY54" s="143"/>
      <c r="JZ54" s="143"/>
      <c r="KA54" s="143"/>
      <c r="KB54" s="143"/>
      <c r="KC54" s="143" t="str">
        <f>Calculations!AW55</f>
        <v/>
      </c>
      <c r="KD54" s="143"/>
      <c r="KE54" s="143"/>
      <c r="KF54" s="143"/>
      <c r="KG54" s="143"/>
      <c r="KH54" s="143"/>
      <c r="KI54" s="143"/>
      <c r="KJ54" s="143"/>
      <c r="KK54" s="143"/>
      <c r="KL54" s="143"/>
      <c r="KM54" s="143"/>
      <c r="KN54" s="143"/>
      <c r="KO54" s="143"/>
      <c r="KP54" s="143"/>
      <c r="KQ54" s="143"/>
      <c r="KR54" s="143"/>
      <c r="KS54" s="143"/>
      <c r="KT54" s="143"/>
      <c r="KU54" s="144"/>
      <c r="KV54" s="144"/>
      <c r="KW54" s="144"/>
      <c r="KX54" s="144"/>
      <c r="KY54" s="144"/>
      <c r="KZ54" s="144"/>
      <c r="LA54" s="144"/>
      <c r="LB54" s="144"/>
      <c r="LC54" s="144"/>
      <c r="LD54" s="144"/>
      <c r="LE54" s="144"/>
      <c r="LF54" s="144"/>
      <c r="LG54" s="144"/>
      <c r="LH54" s="144"/>
      <c r="LI54" s="144"/>
      <c r="LJ54" s="144"/>
      <c r="LK54" s="144"/>
      <c r="LL54" s="144"/>
      <c r="LM54" s="144"/>
      <c r="LN54" s="144"/>
      <c r="LO54" s="144"/>
      <c r="LP54" s="144"/>
      <c r="LQ54" s="144"/>
      <c r="LR54" s="144"/>
      <c r="LS54" s="144"/>
      <c r="LT54" s="144"/>
      <c r="LU54" s="144"/>
      <c r="LV54" s="144"/>
      <c r="LW54" s="144"/>
      <c r="LX54" s="144"/>
      <c r="LY54" s="144"/>
      <c r="LZ54" s="144"/>
      <c r="MA54" s="144"/>
      <c r="MB54" s="144"/>
      <c r="MC54" s="144"/>
      <c r="MD54" s="144"/>
      <c r="ME54" s="144"/>
      <c r="MF54" s="144"/>
      <c r="MG54" s="144"/>
      <c r="MH54" s="144"/>
      <c r="MI54" s="144"/>
      <c r="MJ54" s="144"/>
      <c r="MK54" s="144"/>
      <c r="ML54" s="144"/>
      <c r="MM54" s="144"/>
      <c r="MN54" s="144"/>
      <c r="MO54" s="144"/>
      <c r="MP54" s="144"/>
      <c r="MQ54" s="144"/>
      <c r="MR54" s="144"/>
      <c r="MS54" s="144"/>
      <c r="MT54" s="144"/>
      <c r="MU54" s="144"/>
      <c r="MV54" s="144"/>
      <c r="MW54" s="144"/>
      <c r="MX54" s="144"/>
      <c r="MY54" s="144"/>
      <c r="MZ54" s="145"/>
      <c r="BLR54" s="128" t="s">
        <v>2042</v>
      </c>
      <c r="BLS54" s="128"/>
      <c r="BLT54" s="128"/>
      <c r="BLU54" s="128"/>
      <c r="BLV54" s="128"/>
      <c r="BLW54" s="128"/>
      <c r="BLX54" s="128"/>
      <c r="BLY54" s="128"/>
      <c r="BLZ54" s="128"/>
      <c r="BMA54" s="128"/>
      <c r="BMB54" s="128"/>
      <c r="BMC54" s="128"/>
      <c r="BMD54" s="128"/>
      <c r="BME54" s="128"/>
      <c r="BMF54" s="128"/>
      <c r="BMG54" s="128"/>
      <c r="BMH54" s="128"/>
      <c r="BMI54" s="128"/>
      <c r="BMJ54" s="128"/>
      <c r="BMK54" s="128"/>
      <c r="BML54" s="128"/>
      <c r="BMM54" s="128"/>
      <c r="BMN54" s="128"/>
      <c r="BMO54" s="128"/>
      <c r="BMP54" s="128"/>
      <c r="BMQ54" s="128"/>
      <c r="BMR54" s="128"/>
      <c r="BMS54" s="128"/>
      <c r="BMT54" s="128"/>
      <c r="BMU54" s="128"/>
      <c r="BMV54" s="128"/>
      <c r="BMW54" s="129"/>
      <c r="BMX54" s="129"/>
      <c r="BMY54" s="129"/>
      <c r="BMZ54" s="129"/>
      <c r="BNA54" s="129"/>
      <c r="BNB54" s="129"/>
      <c r="BNC54" s="129"/>
      <c r="BND54" s="129"/>
      <c r="BNE54" s="129"/>
      <c r="BNF54" s="129"/>
      <c r="BNG54" s="129"/>
      <c r="BNH54" s="129"/>
      <c r="BNI54" s="129"/>
      <c r="BNJ54" s="129"/>
      <c r="BNK54" s="129"/>
      <c r="BNL54" s="129"/>
      <c r="BNM54" s="129"/>
      <c r="BNN54" s="129"/>
      <c r="BNO54" s="129"/>
      <c r="BNP54" s="129"/>
      <c r="BNQ54" s="129"/>
      <c r="BNR54" s="128"/>
      <c r="BNS54" s="128"/>
      <c r="BNT54" s="128"/>
      <c r="BNU54" s="128"/>
      <c r="BNV54" s="128"/>
      <c r="BNW54" s="128"/>
      <c r="BNX54" s="129"/>
      <c r="BNY54" s="129"/>
      <c r="BNZ54" s="129"/>
      <c r="BOA54" s="129"/>
      <c r="BOB54" s="129"/>
      <c r="BOC54" s="129"/>
      <c r="BOD54" s="129"/>
      <c r="BOE54" s="129"/>
      <c r="BOF54" s="129"/>
      <c r="BOG54" s="129"/>
      <c r="BOH54" s="129"/>
      <c r="BOI54" s="129"/>
      <c r="BOJ54" s="129"/>
      <c r="BOK54" s="129"/>
      <c r="BOL54" s="129"/>
      <c r="BOM54" s="129"/>
      <c r="BON54" s="129"/>
      <c r="BOO54" s="129"/>
      <c r="BOP54" s="129"/>
      <c r="BOQ54" s="129"/>
      <c r="BOR54" s="129"/>
      <c r="BOS54" s="129"/>
      <c r="BOT54" s="129"/>
      <c r="BOU54" s="129"/>
      <c r="BOV54" s="129"/>
      <c r="BOW54" s="129"/>
      <c r="BOX54" s="129"/>
      <c r="BOY54" s="129"/>
      <c r="BOZ54" s="128"/>
      <c r="BPA54" s="128"/>
      <c r="BPB54" s="128"/>
      <c r="BPC54" s="128"/>
      <c r="BPD54" s="128"/>
      <c r="BPE54" s="128"/>
      <c r="BPF54" s="128"/>
      <c r="COP54" s="128" t="s">
        <v>422</v>
      </c>
      <c r="COQ54" s="128"/>
      <c r="COR54" s="128"/>
      <c r="COS54" s="128"/>
      <c r="COT54" s="128"/>
      <c r="COU54" s="128"/>
      <c r="COV54" s="128"/>
      <c r="COW54" s="128"/>
      <c r="COX54" s="128"/>
      <c r="COY54" s="128"/>
      <c r="COZ54" s="128"/>
      <c r="CPA54" s="128"/>
      <c r="CPB54" s="128"/>
      <c r="CPC54" s="128"/>
      <c r="CPD54" s="128"/>
      <c r="CPE54" s="128"/>
      <c r="CPF54" s="128"/>
      <c r="CPG54" s="128"/>
      <c r="CPH54" s="128"/>
      <c r="CPI54" s="128"/>
      <c r="CPJ54" s="128"/>
      <c r="CPK54" s="128"/>
      <c r="CPL54" s="128"/>
      <c r="CPM54" s="128"/>
      <c r="CPN54" s="128"/>
      <c r="CPO54" s="128"/>
      <c r="CPP54" s="128"/>
      <c r="CPQ54" s="128"/>
      <c r="CPR54" s="128"/>
      <c r="CPS54" s="128"/>
      <c r="CPT54" s="128"/>
      <c r="CPU54" s="129"/>
      <c r="CPV54" s="129"/>
      <c r="CPW54" s="129"/>
      <c r="CPX54" s="129"/>
      <c r="CPY54" s="129"/>
      <c r="CPZ54" s="129"/>
      <c r="CQA54" s="129"/>
      <c r="CQB54" s="129"/>
      <c r="CQC54" s="129"/>
      <c r="CQD54" s="129"/>
      <c r="CQE54" s="129"/>
      <c r="CQF54" s="129"/>
      <c r="CQG54" s="129"/>
      <c r="CQH54" s="129"/>
      <c r="CQI54" s="129"/>
      <c r="CQJ54" s="129"/>
      <c r="CQK54" s="129"/>
      <c r="CQL54" s="129"/>
      <c r="CQM54" s="129"/>
      <c r="CQN54" s="129"/>
      <c r="CQO54" s="129"/>
      <c r="CQP54" s="128"/>
      <c r="CQQ54" s="128"/>
      <c r="CQR54" s="128"/>
      <c r="CQS54" s="128"/>
      <c r="CQT54" s="128"/>
      <c r="CQU54" s="128"/>
      <c r="CQV54" s="129"/>
      <c r="CQW54" s="129"/>
      <c r="CQX54" s="129"/>
      <c r="CQY54" s="129"/>
      <c r="CQZ54" s="129"/>
      <c r="CRA54" s="129"/>
      <c r="CRB54" s="129"/>
      <c r="CRC54" s="129"/>
      <c r="CRD54" s="129"/>
      <c r="CRE54" s="129"/>
      <c r="CRF54" s="129"/>
      <c r="CRG54" s="129"/>
      <c r="CRH54" s="129"/>
      <c r="CRI54" s="129"/>
      <c r="CRJ54" s="129"/>
      <c r="CRK54" s="129"/>
      <c r="CRL54" s="129"/>
      <c r="CRM54" s="129"/>
      <c r="CRN54" s="129"/>
      <c r="CRO54" s="129"/>
      <c r="CRP54" s="129"/>
      <c r="CRQ54" s="129"/>
      <c r="CRR54" s="129"/>
      <c r="CRS54" s="129"/>
      <c r="CRT54" s="129"/>
      <c r="CRU54" s="129"/>
      <c r="CRV54" s="129"/>
      <c r="CRW54" s="129"/>
      <c r="CRX54" s="128"/>
      <c r="CRY54" s="128"/>
      <c r="CRZ54" s="128"/>
      <c r="CSA54" s="128"/>
      <c r="CSB54" s="128"/>
      <c r="CSC54" s="128"/>
      <c r="CSD54" s="128"/>
      <c r="CSF54" s="128" t="s">
        <v>477</v>
      </c>
      <c r="CSG54" s="128"/>
      <c r="CSH54" s="128"/>
      <c r="CSI54" s="128"/>
      <c r="CSJ54" s="128"/>
      <c r="CSK54" s="128"/>
      <c r="CSL54" s="128"/>
      <c r="CSM54" s="128"/>
      <c r="CSN54" s="128"/>
      <c r="CSO54" s="128"/>
      <c r="CSP54" s="128"/>
      <c r="CSQ54" s="128"/>
      <c r="CSR54" s="128"/>
      <c r="CSS54" s="128"/>
      <c r="CST54" s="128"/>
      <c r="CSU54" s="128"/>
      <c r="CSV54" s="128"/>
      <c r="CSW54" s="128"/>
      <c r="CSX54" s="128"/>
      <c r="CSY54" s="128"/>
      <c r="CSZ54" s="128"/>
      <c r="CTA54" s="128"/>
      <c r="CTB54" s="128"/>
      <c r="CTC54" s="128"/>
      <c r="CTD54" s="128"/>
      <c r="CTE54" s="128"/>
      <c r="CTF54" s="128"/>
      <c r="CTG54" s="128"/>
      <c r="CTH54" s="128"/>
      <c r="CTI54" s="128"/>
      <c r="CTJ54" s="128"/>
      <c r="CTK54" s="129"/>
      <c r="CTL54" s="129"/>
      <c r="CTM54" s="129"/>
      <c r="CTN54" s="129"/>
      <c r="CTO54" s="129"/>
      <c r="CTP54" s="129"/>
      <c r="CTQ54" s="129"/>
      <c r="CTR54" s="129"/>
      <c r="CTS54" s="129"/>
      <c r="CTT54" s="129"/>
      <c r="CTU54" s="129"/>
      <c r="CTV54" s="129"/>
      <c r="CTW54" s="129"/>
      <c r="CTX54" s="129"/>
      <c r="CTY54" s="129"/>
      <c r="CTZ54" s="129"/>
      <c r="CUA54" s="129"/>
      <c r="CUB54" s="129"/>
      <c r="CUC54" s="129"/>
      <c r="CUD54" s="129"/>
      <c r="CUE54" s="129"/>
      <c r="CUF54" s="128"/>
      <c r="CUG54" s="128"/>
      <c r="CUH54" s="128"/>
      <c r="CUI54" s="128"/>
      <c r="CUJ54" s="128"/>
      <c r="CUK54" s="128"/>
      <c r="CUL54" s="129"/>
      <c r="CUM54" s="129"/>
      <c r="CUN54" s="129"/>
      <c r="CUO54" s="129"/>
      <c r="CUP54" s="129"/>
      <c r="CUQ54" s="129"/>
      <c r="CUR54" s="129"/>
      <c r="CUS54" s="129"/>
      <c r="CUT54" s="129"/>
      <c r="CUU54" s="129"/>
      <c r="CUV54" s="129"/>
      <c r="CUW54" s="129"/>
      <c r="CUX54" s="129"/>
      <c r="CUY54" s="129"/>
      <c r="CUZ54" s="129"/>
      <c r="CVA54" s="129"/>
      <c r="CVB54" s="129"/>
      <c r="CVC54" s="129"/>
      <c r="CVD54" s="129"/>
      <c r="CVE54" s="129"/>
      <c r="CVF54" s="129"/>
      <c r="CVG54" s="129"/>
      <c r="CVH54" s="129"/>
      <c r="CVI54" s="129"/>
      <c r="CVJ54" s="129"/>
      <c r="CVK54" s="129"/>
      <c r="CVL54" s="129"/>
      <c r="CVM54" s="129"/>
      <c r="CVN54" s="128"/>
      <c r="CVO54" s="128"/>
      <c r="CVP54" s="128"/>
      <c r="CVQ54" s="128"/>
      <c r="CVR54" s="128"/>
      <c r="CVS54" s="128"/>
      <c r="CVT54" s="128"/>
    </row>
    <row r="55" spans="2:364 1118:1774 2434:2902" ht="15" customHeight="1" x14ac:dyDescent="0.25">
      <c r="B55" s="188" t="s">
        <v>2110</v>
      </c>
      <c r="C55" s="189"/>
      <c r="D55" s="189"/>
      <c r="E55" s="189"/>
      <c r="F55" s="189"/>
      <c r="G55" s="189"/>
      <c r="H55" s="189"/>
      <c r="I55" s="189"/>
      <c r="J55" s="189"/>
      <c r="K55" s="189"/>
      <c r="L55" s="189"/>
      <c r="M55" s="189"/>
      <c r="N55" s="189"/>
      <c r="O55" s="189"/>
      <c r="P55" s="311" t="str">
        <f>Calculations!DA9</f>
        <v>Light Cloth</v>
      </c>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192">
        <v>1</v>
      </c>
      <c r="AP55" s="192"/>
      <c r="AQ55" s="192"/>
      <c r="AR55" s="192"/>
      <c r="AS55" s="192"/>
      <c r="AT55" s="192"/>
      <c r="AU55" s="192"/>
      <c r="AV55" s="192"/>
      <c r="AW55" s="130" t="str">
        <f>IF(P55="No Armour","- -",IF(P55=Calculations!DA9,"- -",VLOOKUP(P55,Armour!$B$4:$AU$99,19,FALSE)*'Character Creation'!$Z$18*'Character Sheet'!$AO55))</f>
        <v>- -</v>
      </c>
      <c r="AX55" s="130"/>
      <c r="AY55" s="130"/>
      <c r="AZ55" s="130"/>
      <c r="BA55" s="130"/>
      <c r="BB55" s="130"/>
      <c r="BC55" s="130"/>
      <c r="BD55" s="130"/>
      <c r="BE55" s="130">
        <f>IF(P55="No Armour","- -",VLOOKUP(P55,Armour!$B$4:$AU$99,4,FALSE)+BU55+CC55)</f>
        <v>15</v>
      </c>
      <c r="BF55" s="130"/>
      <c r="BG55" s="130"/>
      <c r="BH55" s="130"/>
      <c r="BI55" s="130"/>
      <c r="BJ55" s="130"/>
      <c r="BK55" s="130"/>
      <c r="BL55" s="130"/>
      <c r="BM55" s="130">
        <f>IF(P55="No Armour","- -",IF(P55="No Armour",0,VLOOKUP(P55,Armour!$B$4:$AU$99,3,FALSE)+VLOOKUP(((AO55*100)-100),Charts!$AW$2:$AX$42,2,FALSE)))</f>
        <v>0</v>
      </c>
      <c r="BN55" s="130"/>
      <c r="BO55" s="130"/>
      <c r="BP55" s="130"/>
      <c r="BQ55" s="130"/>
      <c r="BR55" s="130"/>
      <c r="BS55" s="130"/>
      <c r="BT55" s="130"/>
      <c r="BU55" s="195">
        <f t="shared" si="20"/>
        <v>0</v>
      </c>
      <c r="BV55" s="195"/>
      <c r="BW55" s="195"/>
      <c r="BX55" s="195"/>
      <c r="BY55" s="195"/>
      <c r="BZ55" s="195"/>
      <c r="CA55" s="195"/>
      <c r="CB55" s="195"/>
      <c r="CC55" s="195">
        <f t="shared" si="21"/>
        <v>0</v>
      </c>
      <c r="CD55" s="195"/>
      <c r="CE55" s="195"/>
      <c r="CF55" s="195"/>
      <c r="CG55" s="195"/>
      <c r="CH55" s="195"/>
      <c r="CI55" s="195"/>
      <c r="CJ55" s="195"/>
      <c r="CK55" s="130">
        <f t="shared" si="18"/>
        <v>1</v>
      </c>
      <c r="CL55" s="130"/>
      <c r="CM55" s="130"/>
      <c r="CN55" s="130"/>
      <c r="CO55" s="130"/>
      <c r="CP55" s="130"/>
      <c r="CQ55" s="130"/>
      <c r="CR55" s="130"/>
      <c r="CS55" s="130">
        <f t="shared" si="22"/>
        <v>0</v>
      </c>
      <c r="CT55" s="130"/>
      <c r="CU55" s="130"/>
      <c r="CV55" s="130"/>
      <c r="CW55" s="130"/>
      <c r="CX55" s="130"/>
      <c r="CY55" s="130"/>
      <c r="CZ55" s="130"/>
      <c r="DA55" s="130">
        <f>IF(P55="No Armour","- -",VLOOKUP(P55,Armour!$B$4:$EY$99,54,FALSE)+(ROUNDUP(CC55/3,0)))</f>
        <v>0</v>
      </c>
      <c r="DB55" s="130"/>
      <c r="DC55" s="130"/>
      <c r="DD55" s="130"/>
      <c r="DE55" s="130"/>
      <c r="DF55" s="130"/>
      <c r="DG55" s="130"/>
      <c r="DH55" s="130"/>
      <c r="DI55" s="130">
        <f>IF(P55="No Armour","- -",VLOOKUP(P55,Armour!$B$4:$EY$99,61,FALSE)+(ROUNDUP(CC55/3,0)))</f>
        <v>0</v>
      </c>
      <c r="DJ55" s="130"/>
      <c r="DK55" s="130"/>
      <c r="DL55" s="130"/>
      <c r="DM55" s="130"/>
      <c r="DN55" s="130"/>
      <c r="DO55" s="130"/>
      <c r="DP55" s="130"/>
      <c r="DQ55" s="130">
        <f t="shared" si="23"/>
        <v>0</v>
      </c>
      <c r="DR55" s="130"/>
      <c r="DS55" s="130"/>
      <c r="DT55" s="130"/>
      <c r="DU55" s="130"/>
      <c r="DV55" s="130"/>
      <c r="DW55" s="130"/>
      <c r="DX55" s="130"/>
      <c r="DY55" s="306"/>
      <c r="DZ55" s="306"/>
      <c r="EA55" s="306"/>
      <c r="EB55" s="306"/>
      <c r="EC55" s="306"/>
      <c r="ED55" s="306"/>
      <c r="EE55" s="306"/>
      <c r="EF55" s="306"/>
      <c r="EG55" s="306"/>
      <c r="EH55" s="306"/>
      <c r="EI55" s="306"/>
      <c r="EJ55" s="306"/>
      <c r="EK55" s="306"/>
      <c r="EL55" s="306"/>
      <c r="EM55" s="306"/>
      <c r="EN55" s="306"/>
      <c r="EO55" s="306"/>
      <c r="EP55" s="306"/>
      <c r="EQ55" s="306"/>
      <c r="ER55" s="306"/>
      <c r="ES55" s="306"/>
      <c r="ET55" s="306"/>
      <c r="EU55" s="306"/>
      <c r="EV55" s="306"/>
      <c r="EW55" s="306"/>
      <c r="EX55" s="306"/>
      <c r="EY55" s="306"/>
      <c r="EZ55" s="307"/>
      <c r="FB55" s="301" t="s">
        <v>139</v>
      </c>
      <c r="FC55" s="302"/>
      <c r="FD55" s="302"/>
      <c r="FE55" s="302"/>
      <c r="FF55" s="302"/>
      <c r="FG55" s="302"/>
      <c r="FH55" s="302"/>
      <c r="FI55" s="302"/>
      <c r="FJ55" s="302"/>
      <c r="FK55" s="302"/>
      <c r="FL55" s="302"/>
      <c r="FM55" s="302"/>
      <c r="FN55" s="302"/>
      <c r="FO55" s="302"/>
      <c r="FP55" s="302"/>
      <c r="FQ55" s="302"/>
      <c r="FR55" s="302"/>
      <c r="FS55" s="302"/>
      <c r="FT55" s="302"/>
      <c r="FU55" s="302"/>
      <c r="FV55" s="302"/>
      <c r="FW55" s="302"/>
      <c r="FX55" s="302"/>
      <c r="FY55" s="302"/>
      <c r="FZ55" s="302"/>
      <c r="GA55" s="302"/>
      <c r="GB55" s="302"/>
      <c r="GC55" s="302"/>
      <c r="GD55" s="302"/>
      <c r="GE55" s="302"/>
      <c r="GF55" s="302"/>
      <c r="GG55" s="302"/>
      <c r="GH55" s="302"/>
      <c r="GI55" s="302"/>
      <c r="GJ55" s="302"/>
      <c r="GK55" s="302"/>
      <c r="GL55" s="302"/>
      <c r="GM55" s="302"/>
      <c r="GN55" s="302"/>
      <c r="GO55" s="302"/>
      <c r="GP55" s="302"/>
      <c r="GQ55" s="302"/>
      <c r="GR55" s="302"/>
      <c r="GS55" s="302"/>
      <c r="GT55" s="300" t="s">
        <v>136</v>
      </c>
      <c r="GU55" s="300"/>
      <c r="GV55" s="300"/>
      <c r="GW55" s="300"/>
      <c r="GX55" s="300"/>
      <c r="GY55" s="300"/>
      <c r="GZ55" s="300"/>
      <c r="HA55" s="300"/>
      <c r="HB55" s="300" t="s">
        <v>72</v>
      </c>
      <c r="HC55" s="300"/>
      <c r="HD55" s="300"/>
      <c r="HE55" s="300"/>
      <c r="HF55" s="300"/>
      <c r="HG55" s="300"/>
      <c r="HH55" s="300"/>
      <c r="HI55" s="300"/>
      <c r="HJ55" s="300" t="s">
        <v>61</v>
      </c>
      <c r="HK55" s="300"/>
      <c r="HL55" s="300"/>
      <c r="HM55" s="300"/>
      <c r="HN55" s="300"/>
      <c r="HO55" s="300"/>
      <c r="HP55" s="300"/>
      <c r="HQ55" s="300"/>
      <c r="HR55" s="300" t="s">
        <v>134</v>
      </c>
      <c r="HS55" s="300"/>
      <c r="HT55" s="300"/>
      <c r="HU55" s="300"/>
      <c r="HV55" s="300"/>
      <c r="HW55" s="300"/>
      <c r="HX55" s="300"/>
      <c r="HY55" s="300"/>
      <c r="HZ55" s="300" t="s">
        <v>135</v>
      </c>
      <c r="IA55" s="300"/>
      <c r="IB55" s="300"/>
      <c r="IC55" s="300"/>
      <c r="ID55" s="300"/>
      <c r="IE55" s="300"/>
      <c r="IF55" s="300"/>
      <c r="IG55" s="300"/>
      <c r="IH55" s="300"/>
      <c r="II55" s="300"/>
      <c r="IJ55" s="300" t="s">
        <v>37</v>
      </c>
      <c r="IK55" s="300"/>
      <c r="IL55" s="300"/>
      <c r="IM55" s="300"/>
      <c r="IN55" s="300"/>
      <c r="IO55" s="300"/>
      <c r="IP55" s="300"/>
      <c r="IQ55" s="300" t="s">
        <v>55</v>
      </c>
      <c r="IR55" s="300"/>
      <c r="IS55" s="300"/>
      <c r="IT55" s="300"/>
      <c r="IU55" s="300"/>
      <c r="IV55" s="300"/>
      <c r="IW55" s="300"/>
      <c r="IX55" s="300" t="s">
        <v>60</v>
      </c>
      <c r="IY55" s="300"/>
      <c r="IZ55" s="300"/>
      <c r="JA55" s="300"/>
      <c r="JB55" s="300"/>
      <c r="JC55" s="300"/>
      <c r="JD55" s="300"/>
      <c r="JE55" s="300"/>
      <c r="JF55" s="300" t="s">
        <v>133</v>
      </c>
      <c r="JG55" s="300"/>
      <c r="JH55" s="300"/>
      <c r="JI55" s="300"/>
      <c r="JJ55" s="300"/>
      <c r="JK55" s="300" t="s">
        <v>137</v>
      </c>
      <c r="JL55" s="300"/>
      <c r="JM55" s="300"/>
      <c r="JN55" s="300"/>
      <c r="JO55" s="300"/>
      <c r="JP55" s="300"/>
      <c r="JQ55" s="300"/>
      <c r="JR55" s="300"/>
      <c r="JS55" s="300"/>
      <c r="JT55" s="300"/>
      <c r="JU55" s="300"/>
      <c r="JV55" s="300"/>
      <c r="JW55" s="300"/>
      <c r="JX55" s="300"/>
      <c r="JY55" s="300"/>
      <c r="JZ55" s="300"/>
      <c r="KA55" s="300"/>
      <c r="KB55" s="300"/>
      <c r="KC55" s="300" t="s">
        <v>138</v>
      </c>
      <c r="KD55" s="300"/>
      <c r="KE55" s="300"/>
      <c r="KF55" s="300"/>
      <c r="KG55" s="300"/>
      <c r="KH55" s="300"/>
      <c r="KI55" s="300"/>
      <c r="KJ55" s="300"/>
      <c r="KK55" s="300"/>
      <c r="KL55" s="300"/>
      <c r="KM55" s="300"/>
      <c r="KN55" s="300"/>
      <c r="KO55" s="300"/>
      <c r="KP55" s="300"/>
      <c r="KQ55" s="300"/>
      <c r="KR55" s="300"/>
      <c r="KS55" s="300"/>
      <c r="KT55" s="300"/>
      <c r="KU55" s="298" t="s">
        <v>128</v>
      </c>
      <c r="KV55" s="298"/>
      <c r="KW55" s="298"/>
      <c r="KX55" s="298"/>
      <c r="KY55" s="298"/>
      <c r="KZ55" s="298"/>
      <c r="LA55" s="298"/>
      <c r="LB55" s="298"/>
      <c r="LC55" s="298"/>
      <c r="LD55" s="298"/>
      <c r="LE55" s="298"/>
      <c r="LF55" s="298"/>
      <c r="LG55" s="298"/>
      <c r="LH55" s="298"/>
      <c r="LI55" s="298"/>
      <c r="LJ55" s="298"/>
      <c r="LK55" s="298"/>
      <c r="LL55" s="298"/>
      <c r="LM55" s="298"/>
      <c r="LN55" s="298"/>
      <c r="LO55" s="298"/>
      <c r="LP55" s="298"/>
      <c r="LQ55" s="298"/>
      <c r="LR55" s="298"/>
      <c r="LS55" s="298"/>
      <c r="LT55" s="298"/>
      <c r="LU55" s="298"/>
      <c r="LV55" s="298"/>
      <c r="LW55" s="298"/>
      <c r="LX55" s="298"/>
      <c r="LY55" s="298"/>
      <c r="LZ55" s="298"/>
      <c r="MA55" s="298"/>
      <c r="MB55" s="298"/>
      <c r="MC55" s="298"/>
      <c r="MD55" s="298"/>
      <c r="ME55" s="298"/>
      <c r="MF55" s="298"/>
      <c r="MG55" s="298"/>
      <c r="MH55" s="298"/>
      <c r="MI55" s="298"/>
      <c r="MJ55" s="298"/>
      <c r="MK55" s="298"/>
      <c r="ML55" s="298"/>
      <c r="MM55" s="298"/>
      <c r="MN55" s="298"/>
      <c r="MO55" s="298"/>
      <c r="MP55" s="298"/>
      <c r="MQ55" s="298"/>
      <c r="MR55" s="298"/>
      <c r="MS55" s="298"/>
      <c r="MT55" s="298"/>
      <c r="MU55" s="298"/>
      <c r="MV55" s="298"/>
      <c r="MW55" s="298"/>
      <c r="MX55" s="298"/>
      <c r="MY55" s="298"/>
      <c r="MZ55" s="299"/>
      <c r="COP55" s="128" t="s">
        <v>423</v>
      </c>
      <c r="COQ55" s="128"/>
      <c r="COR55" s="128"/>
      <c r="COS55" s="128"/>
      <c r="COT55" s="128"/>
      <c r="COU55" s="128"/>
      <c r="COV55" s="128"/>
      <c r="COW55" s="128"/>
      <c r="COX55" s="128"/>
      <c r="COY55" s="128"/>
      <c r="COZ55" s="128"/>
      <c r="CPA55" s="128"/>
      <c r="CPB55" s="128"/>
      <c r="CPC55" s="128"/>
      <c r="CPD55" s="128"/>
      <c r="CPE55" s="128"/>
      <c r="CPF55" s="128"/>
      <c r="CPG55" s="128"/>
      <c r="CPH55" s="128"/>
      <c r="CPI55" s="128"/>
      <c r="CPJ55" s="128"/>
      <c r="CPK55" s="128"/>
      <c r="CPL55" s="128"/>
      <c r="CPM55" s="128"/>
      <c r="CPN55" s="128"/>
      <c r="CPO55" s="128"/>
      <c r="CPP55" s="128"/>
      <c r="CPQ55" s="128"/>
      <c r="CPR55" s="128"/>
      <c r="CPS55" s="128"/>
      <c r="CPT55" s="128"/>
      <c r="CPU55" s="129"/>
      <c r="CPV55" s="129"/>
      <c r="CPW55" s="129"/>
      <c r="CPX55" s="129"/>
      <c r="CPY55" s="129"/>
      <c r="CPZ55" s="129"/>
      <c r="CQA55" s="129"/>
      <c r="CQB55" s="129"/>
      <c r="CQC55" s="129"/>
      <c r="CQD55" s="129"/>
      <c r="CQE55" s="129"/>
      <c r="CQF55" s="129"/>
      <c r="CQG55" s="129"/>
      <c r="CQH55" s="129"/>
      <c r="CQI55" s="129"/>
      <c r="CQJ55" s="129"/>
      <c r="CQK55" s="129"/>
      <c r="CQL55" s="129"/>
      <c r="CQM55" s="129"/>
      <c r="CQN55" s="129"/>
      <c r="CQO55" s="129"/>
      <c r="CQP55" s="128"/>
      <c r="CQQ55" s="128"/>
      <c r="CQR55" s="128"/>
      <c r="CQS55" s="128"/>
      <c r="CQT55" s="128"/>
      <c r="CQU55" s="128"/>
      <c r="CQV55" s="129"/>
      <c r="CQW55" s="129"/>
      <c r="CQX55" s="129"/>
      <c r="CQY55" s="129"/>
      <c r="CQZ55" s="129"/>
      <c r="CRA55" s="129"/>
      <c r="CRB55" s="129"/>
      <c r="CRC55" s="129"/>
      <c r="CRD55" s="129"/>
      <c r="CRE55" s="129"/>
      <c r="CRF55" s="129"/>
      <c r="CRG55" s="129"/>
      <c r="CRH55" s="129"/>
      <c r="CRI55" s="129"/>
      <c r="CRJ55" s="129"/>
      <c r="CRK55" s="129"/>
      <c r="CRL55" s="129"/>
      <c r="CRM55" s="129"/>
      <c r="CRN55" s="129"/>
      <c r="CRO55" s="129"/>
      <c r="CRP55" s="129"/>
      <c r="CRQ55" s="129"/>
      <c r="CRR55" s="129"/>
      <c r="CRS55" s="129"/>
      <c r="CRT55" s="129"/>
      <c r="CRU55" s="129"/>
      <c r="CRV55" s="129"/>
      <c r="CRW55" s="129"/>
      <c r="CRX55" s="128"/>
      <c r="CRY55" s="128"/>
      <c r="CRZ55" s="128"/>
      <c r="CSA55" s="128"/>
      <c r="CSB55" s="128"/>
      <c r="CSC55" s="128"/>
      <c r="CSD55" s="128"/>
      <c r="CSF55" s="128" t="s">
        <v>478</v>
      </c>
      <c r="CSG55" s="128"/>
      <c r="CSH55" s="128"/>
      <c r="CSI55" s="128"/>
      <c r="CSJ55" s="128"/>
      <c r="CSK55" s="128"/>
      <c r="CSL55" s="128"/>
      <c r="CSM55" s="128"/>
      <c r="CSN55" s="128"/>
      <c r="CSO55" s="128"/>
      <c r="CSP55" s="128"/>
      <c r="CSQ55" s="128"/>
      <c r="CSR55" s="128"/>
      <c r="CSS55" s="128"/>
      <c r="CST55" s="128"/>
      <c r="CSU55" s="128"/>
      <c r="CSV55" s="128"/>
      <c r="CSW55" s="128"/>
      <c r="CSX55" s="128"/>
      <c r="CSY55" s="128"/>
      <c r="CSZ55" s="128"/>
      <c r="CTA55" s="128"/>
      <c r="CTB55" s="128"/>
      <c r="CTC55" s="128"/>
      <c r="CTD55" s="128"/>
      <c r="CTE55" s="128"/>
      <c r="CTF55" s="128"/>
      <c r="CTG55" s="128"/>
      <c r="CTH55" s="128"/>
      <c r="CTI55" s="128"/>
      <c r="CTJ55" s="128"/>
      <c r="CTK55" s="129"/>
      <c r="CTL55" s="129"/>
      <c r="CTM55" s="129"/>
      <c r="CTN55" s="129"/>
      <c r="CTO55" s="129"/>
      <c r="CTP55" s="129"/>
      <c r="CTQ55" s="129"/>
      <c r="CTR55" s="129"/>
      <c r="CTS55" s="129"/>
      <c r="CTT55" s="129"/>
      <c r="CTU55" s="129"/>
      <c r="CTV55" s="129"/>
      <c r="CTW55" s="129"/>
      <c r="CTX55" s="129"/>
      <c r="CTY55" s="129"/>
      <c r="CTZ55" s="129"/>
      <c r="CUA55" s="129"/>
      <c r="CUB55" s="129"/>
      <c r="CUC55" s="129"/>
      <c r="CUD55" s="129"/>
      <c r="CUE55" s="129"/>
      <c r="CUF55" s="128"/>
      <c r="CUG55" s="128"/>
      <c r="CUH55" s="128"/>
      <c r="CUI55" s="128"/>
      <c r="CUJ55" s="128"/>
      <c r="CUK55" s="128"/>
      <c r="CUL55" s="129"/>
      <c r="CUM55" s="129"/>
      <c r="CUN55" s="129"/>
      <c r="CUO55" s="129"/>
      <c r="CUP55" s="129"/>
      <c r="CUQ55" s="129"/>
      <c r="CUR55" s="129"/>
      <c r="CUS55" s="129"/>
      <c r="CUT55" s="129"/>
      <c r="CUU55" s="129"/>
      <c r="CUV55" s="129"/>
      <c r="CUW55" s="129"/>
      <c r="CUX55" s="129"/>
      <c r="CUY55" s="129"/>
      <c r="CUZ55" s="129"/>
      <c r="CVA55" s="129"/>
      <c r="CVB55" s="129"/>
      <c r="CVC55" s="129"/>
      <c r="CVD55" s="129"/>
      <c r="CVE55" s="129"/>
      <c r="CVF55" s="129"/>
      <c r="CVG55" s="129"/>
      <c r="CVH55" s="129"/>
      <c r="CVI55" s="129"/>
      <c r="CVJ55" s="129"/>
      <c r="CVK55" s="129"/>
      <c r="CVL55" s="129"/>
      <c r="CVM55" s="129"/>
      <c r="CVN55" s="128"/>
      <c r="CVO55" s="128"/>
      <c r="CVP55" s="128"/>
      <c r="CVQ55" s="128"/>
      <c r="CVR55" s="128"/>
      <c r="CVS55" s="128"/>
      <c r="CVT55" s="128"/>
    </row>
    <row r="56" spans="2:364 1118:1774 2434:2902" ht="15" customHeight="1" x14ac:dyDescent="0.25">
      <c r="B56" s="190" t="s">
        <v>2111</v>
      </c>
      <c r="C56" s="191"/>
      <c r="D56" s="191"/>
      <c r="E56" s="191"/>
      <c r="F56" s="191"/>
      <c r="G56" s="191"/>
      <c r="H56" s="191"/>
      <c r="I56" s="191"/>
      <c r="J56" s="191"/>
      <c r="K56" s="191"/>
      <c r="L56" s="191"/>
      <c r="M56" s="191"/>
      <c r="N56" s="191"/>
      <c r="O56" s="191"/>
      <c r="P56" s="312" t="str">
        <f>Calculations!DA10</f>
        <v>Light Cloth</v>
      </c>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193">
        <v>1</v>
      </c>
      <c r="AP56" s="193"/>
      <c r="AQ56" s="193"/>
      <c r="AR56" s="193"/>
      <c r="AS56" s="193"/>
      <c r="AT56" s="193"/>
      <c r="AU56" s="193"/>
      <c r="AV56" s="193"/>
      <c r="AW56" s="131" t="str">
        <f>IF(P56="No Armour","- -",IF(P56=Calculations!DA10,"- -",VLOOKUP(P56,Armour!$B$4:$AU$99,19,FALSE)*'Character Creation'!$Z$18*'Character Sheet'!$AO56))</f>
        <v>- -</v>
      </c>
      <c r="AX56" s="131"/>
      <c r="AY56" s="131"/>
      <c r="AZ56" s="131"/>
      <c r="BA56" s="131"/>
      <c r="BB56" s="131"/>
      <c r="BC56" s="131"/>
      <c r="BD56" s="131"/>
      <c r="BE56" s="131">
        <f>IF(P56="No Armour","- -",VLOOKUP(P56,Armour!$B$4:$AU$99,4,FALSE)+BU56+CC56)</f>
        <v>15</v>
      </c>
      <c r="BF56" s="131"/>
      <c r="BG56" s="131"/>
      <c r="BH56" s="131"/>
      <c r="BI56" s="131"/>
      <c r="BJ56" s="131"/>
      <c r="BK56" s="131"/>
      <c r="BL56" s="131"/>
      <c r="BM56" s="131">
        <f>IF(P56="No Armour","- -",IF(P56="No Armour",0,VLOOKUP(P56,Armour!$B$4:$AU$99,3,FALSE)+VLOOKUP(((AO56*100)-100),Charts!$AW$2:$AX$42,2,FALSE)))</f>
        <v>0</v>
      </c>
      <c r="BN56" s="131"/>
      <c r="BO56" s="131"/>
      <c r="BP56" s="131"/>
      <c r="BQ56" s="131"/>
      <c r="BR56" s="131"/>
      <c r="BS56" s="131"/>
      <c r="BT56" s="131"/>
      <c r="BU56" s="194">
        <f t="shared" si="20"/>
        <v>0</v>
      </c>
      <c r="BV56" s="194"/>
      <c r="BW56" s="194"/>
      <c r="BX56" s="194"/>
      <c r="BY56" s="194"/>
      <c r="BZ56" s="194"/>
      <c r="CA56" s="194"/>
      <c r="CB56" s="194"/>
      <c r="CC56" s="194">
        <f t="shared" si="21"/>
        <v>0</v>
      </c>
      <c r="CD56" s="194"/>
      <c r="CE56" s="194"/>
      <c r="CF56" s="194"/>
      <c r="CG56" s="194"/>
      <c r="CH56" s="194"/>
      <c r="CI56" s="194"/>
      <c r="CJ56" s="194"/>
      <c r="CK56" s="131">
        <f t="shared" si="18"/>
        <v>1</v>
      </c>
      <c r="CL56" s="131"/>
      <c r="CM56" s="131"/>
      <c r="CN56" s="131"/>
      <c r="CO56" s="131"/>
      <c r="CP56" s="131"/>
      <c r="CQ56" s="131"/>
      <c r="CR56" s="131"/>
      <c r="CS56" s="131">
        <f t="shared" si="22"/>
        <v>0</v>
      </c>
      <c r="CT56" s="131"/>
      <c r="CU56" s="131"/>
      <c r="CV56" s="131"/>
      <c r="CW56" s="131"/>
      <c r="CX56" s="131"/>
      <c r="CY56" s="131"/>
      <c r="CZ56" s="131"/>
      <c r="DA56" s="131">
        <f>IF(P56="No Armour","- -",VLOOKUP(P56,Armour!$B$4:$EY$99,54,FALSE)+(ROUNDUP(CC56/3,0)))</f>
        <v>0</v>
      </c>
      <c r="DB56" s="131"/>
      <c r="DC56" s="131"/>
      <c r="DD56" s="131"/>
      <c r="DE56" s="131"/>
      <c r="DF56" s="131"/>
      <c r="DG56" s="131"/>
      <c r="DH56" s="131"/>
      <c r="DI56" s="131">
        <f>IF(P56="No Armour","- -",VLOOKUP(P56,Armour!$B$4:$EY$99,61,FALSE)+(ROUNDUP(CC56/3,0)))</f>
        <v>0</v>
      </c>
      <c r="DJ56" s="131"/>
      <c r="DK56" s="131"/>
      <c r="DL56" s="131"/>
      <c r="DM56" s="131"/>
      <c r="DN56" s="131"/>
      <c r="DO56" s="131"/>
      <c r="DP56" s="131"/>
      <c r="DQ56" s="131">
        <f t="shared" si="23"/>
        <v>0</v>
      </c>
      <c r="DR56" s="131"/>
      <c r="DS56" s="131"/>
      <c r="DT56" s="131"/>
      <c r="DU56" s="131"/>
      <c r="DV56" s="131"/>
      <c r="DW56" s="131"/>
      <c r="DX56" s="131"/>
      <c r="DY56" s="136"/>
      <c r="DZ56" s="136"/>
      <c r="EA56" s="136"/>
      <c r="EB56" s="136"/>
      <c r="EC56" s="136"/>
      <c r="ED56" s="136"/>
      <c r="EE56" s="136"/>
      <c r="EF56" s="136"/>
      <c r="EG56" s="136"/>
      <c r="EH56" s="136"/>
      <c r="EI56" s="136"/>
      <c r="EJ56" s="136"/>
      <c r="EK56" s="136"/>
      <c r="EL56" s="136"/>
      <c r="EM56" s="136"/>
      <c r="EN56" s="136"/>
      <c r="EO56" s="136"/>
      <c r="EP56" s="136"/>
      <c r="EQ56" s="136"/>
      <c r="ER56" s="136"/>
      <c r="ES56" s="136"/>
      <c r="ET56" s="136"/>
      <c r="EU56" s="136"/>
      <c r="EV56" s="136"/>
      <c r="EW56" s="136"/>
      <c r="EX56" s="136"/>
      <c r="EY56" s="136"/>
      <c r="EZ56" s="313"/>
      <c r="FB56" s="139" t="s">
        <v>2399</v>
      </c>
      <c r="FC56" s="140"/>
      <c r="FD56" s="140"/>
      <c r="FE56" s="140"/>
      <c r="FF56" s="140"/>
      <c r="FG56" s="140"/>
      <c r="FH56" s="140"/>
      <c r="FI56" s="140"/>
      <c r="FJ56" s="140"/>
      <c r="FK56" s="140"/>
      <c r="FL56" s="140"/>
      <c r="FM56" s="140"/>
      <c r="FN56" s="140"/>
      <c r="FO56" s="140"/>
      <c r="FP56" s="140"/>
      <c r="FQ56" s="140"/>
      <c r="FR56" s="140"/>
      <c r="FS56" s="140"/>
      <c r="FT56" s="140"/>
      <c r="FU56" s="140"/>
      <c r="FV56" s="140"/>
      <c r="FW56" s="140"/>
      <c r="FX56" s="140"/>
      <c r="FY56" s="140"/>
      <c r="FZ56" s="140"/>
      <c r="GA56" s="140"/>
      <c r="GB56" s="140"/>
      <c r="GC56" s="140"/>
      <c r="GD56" s="140"/>
      <c r="GE56" s="140"/>
      <c r="GF56" s="140"/>
      <c r="GG56" s="140"/>
      <c r="GH56" s="140"/>
      <c r="GI56" s="140"/>
      <c r="GJ56" s="140"/>
      <c r="GK56" s="140"/>
      <c r="GL56" s="140"/>
      <c r="GM56" s="140"/>
      <c r="GN56" s="140"/>
      <c r="GO56" s="140"/>
      <c r="GP56" s="140"/>
      <c r="GQ56" s="140"/>
      <c r="GR56" s="140"/>
      <c r="GS56" s="140"/>
      <c r="GT56" s="141">
        <v>1</v>
      </c>
      <c r="GU56" s="141"/>
      <c r="GV56" s="141"/>
      <c r="GW56" s="141"/>
      <c r="GX56" s="141"/>
      <c r="GY56" s="141"/>
      <c r="GZ56" s="141"/>
      <c r="HA56" s="141"/>
      <c r="HB56" s="142">
        <f>IFERROR(ROUND(Calculations!BV57*GT56,2),"")</f>
        <v>1.5</v>
      </c>
      <c r="HC56" s="142"/>
      <c r="HD56" s="142"/>
      <c r="HE56" s="142"/>
      <c r="HF56" s="142"/>
      <c r="HG56" s="142"/>
      <c r="HH56" s="142"/>
      <c r="HI56" s="142"/>
      <c r="HJ56" s="142">
        <f>IFERROR(Calculations!BS57+IQ56+IX56,"")</f>
        <v>45</v>
      </c>
      <c r="HK56" s="142"/>
      <c r="HL56" s="142"/>
      <c r="HM56" s="142"/>
      <c r="HN56" s="142"/>
      <c r="HO56" s="142"/>
      <c r="HP56" s="142"/>
      <c r="HQ56" s="142"/>
      <c r="HR56" s="142">
        <f t="shared" si="9"/>
        <v>0</v>
      </c>
      <c r="HS56" s="142"/>
      <c r="HT56" s="142"/>
      <c r="HU56" s="142"/>
      <c r="HV56" s="142"/>
      <c r="HW56" s="142"/>
      <c r="HX56" s="142"/>
      <c r="HY56" s="142"/>
      <c r="HZ56" s="142" t="str">
        <f>IFERROR(Calculations!BX57,"")</f>
        <v>$0.75</v>
      </c>
      <c r="IA56" s="142"/>
      <c r="IB56" s="142"/>
      <c r="IC56" s="142"/>
      <c r="ID56" s="142"/>
      <c r="IE56" s="142"/>
      <c r="IF56" s="142"/>
      <c r="IG56" s="142"/>
      <c r="IH56" s="142"/>
      <c r="II56" s="142"/>
      <c r="IJ56" s="142">
        <f>IFERROR(Calculations!BR57+IX56,"")</f>
        <v>0</v>
      </c>
      <c r="IK56" s="142"/>
      <c r="IL56" s="142"/>
      <c r="IM56" s="142"/>
      <c r="IN56" s="142"/>
      <c r="IO56" s="142"/>
      <c r="IP56" s="142"/>
      <c r="IQ56" s="141">
        <v>0</v>
      </c>
      <c r="IR56" s="141"/>
      <c r="IS56" s="141"/>
      <c r="IT56" s="141"/>
      <c r="IU56" s="141"/>
      <c r="IV56" s="141"/>
      <c r="IW56" s="141"/>
      <c r="IX56" s="141">
        <v>0</v>
      </c>
      <c r="IY56" s="141"/>
      <c r="IZ56" s="141"/>
      <c r="JA56" s="141"/>
      <c r="JB56" s="141"/>
      <c r="JC56" s="141"/>
      <c r="JD56" s="141"/>
      <c r="JE56" s="141"/>
      <c r="JF56" s="142"/>
      <c r="JG56" s="142"/>
      <c r="JH56" s="142"/>
      <c r="JI56" s="142"/>
      <c r="JJ56" s="142"/>
      <c r="JK56" s="143" t="str">
        <f>Calculations!AS57</f>
        <v>Soft Leather</v>
      </c>
      <c r="JL56" s="143"/>
      <c r="JM56" s="143"/>
      <c r="JN56" s="143"/>
      <c r="JO56" s="143"/>
      <c r="JP56" s="143"/>
      <c r="JQ56" s="143"/>
      <c r="JR56" s="143"/>
      <c r="JS56" s="143"/>
      <c r="JT56" s="143"/>
      <c r="JU56" s="143"/>
      <c r="JV56" s="143"/>
      <c r="JW56" s="143"/>
      <c r="JX56" s="143"/>
      <c r="JY56" s="143"/>
      <c r="JZ56" s="143"/>
      <c r="KA56" s="143"/>
      <c r="KB56" s="143"/>
      <c r="KC56" s="143" t="str">
        <f>Calculations!AW57</f>
        <v>Heavy Cloth</v>
      </c>
      <c r="KD56" s="143"/>
      <c r="KE56" s="143"/>
      <c r="KF56" s="143"/>
      <c r="KG56" s="143"/>
      <c r="KH56" s="143"/>
      <c r="KI56" s="143"/>
      <c r="KJ56" s="143"/>
      <c r="KK56" s="143"/>
      <c r="KL56" s="143"/>
      <c r="KM56" s="143"/>
      <c r="KN56" s="143"/>
      <c r="KO56" s="143"/>
      <c r="KP56" s="143"/>
      <c r="KQ56" s="143"/>
      <c r="KR56" s="143"/>
      <c r="KS56" s="143"/>
      <c r="KT56" s="143"/>
      <c r="KU56" s="144"/>
      <c r="KV56" s="144"/>
      <c r="KW56" s="144"/>
      <c r="KX56" s="144"/>
      <c r="KY56" s="144"/>
      <c r="KZ56" s="144"/>
      <c r="LA56" s="144"/>
      <c r="LB56" s="144"/>
      <c r="LC56" s="144"/>
      <c r="LD56" s="144"/>
      <c r="LE56" s="144"/>
      <c r="LF56" s="144"/>
      <c r="LG56" s="144"/>
      <c r="LH56" s="144"/>
      <c r="LI56" s="144"/>
      <c r="LJ56" s="144"/>
      <c r="LK56" s="144"/>
      <c r="LL56" s="144"/>
      <c r="LM56" s="144"/>
      <c r="LN56" s="144"/>
      <c r="LO56" s="144"/>
      <c r="LP56" s="144"/>
      <c r="LQ56" s="144"/>
      <c r="LR56" s="144"/>
      <c r="LS56" s="144"/>
      <c r="LT56" s="144"/>
      <c r="LU56" s="144"/>
      <c r="LV56" s="144"/>
      <c r="LW56" s="144"/>
      <c r="LX56" s="144"/>
      <c r="LY56" s="144"/>
      <c r="LZ56" s="144"/>
      <c r="MA56" s="144"/>
      <c r="MB56" s="144"/>
      <c r="MC56" s="144"/>
      <c r="MD56" s="144"/>
      <c r="ME56" s="144"/>
      <c r="MF56" s="144"/>
      <c r="MG56" s="144"/>
      <c r="MH56" s="144"/>
      <c r="MI56" s="144"/>
      <c r="MJ56" s="144"/>
      <c r="MK56" s="144"/>
      <c r="ML56" s="144"/>
      <c r="MM56" s="144"/>
      <c r="MN56" s="144"/>
      <c r="MO56" s="144"/>
      <c r="MP56" s="144"/>
      <c r="MQ56" s="144"/>
      <c r="MR56" s="144"/>
      <c r="MS56" s="144"/>
      <c r="MT56" s="144"/>
      <c r="MU56" s="144"/>
      <c r="MV56" s="144"/>
      <c r="MW56" s="144"/>
      <c r="MX56" s="144"/>
      <c r="MY56" s="144"/>
      <c r="MZ56" s="145"/>
      <c r="BLR56" s="144" t="s">
        <v>343</v>
      </c>
      <c r="BLS56" s="144"/>
      <c r="BLT56" s="144"/>
      <c r="BLU56" s="144"/>
      <c r="BLV56" s="144"/>
      <c r="BLW56" s="144"/>
      <c r="BLX56" s="144"/>
      <c r="BLY56" s="144"/>
      <c r="BLZ56" s="144"/>
      <c r="BMA56" s="144"/>
      <c r="BMB56" s="144"/>
      <c r="BMC56" s="144"/>
      <c r="BMD56" s="144"/>
      <c r="BME56" s="144"/>
      <c r="BMF56" s="144"/>
      <c r="BMG56" s="144"/>
      <c r="BMH56" s="144"/>
      <c r="BMI56" s="144"/>
      <c r="BMJ56" s="144"/>
      <c r="BMK56" s="144"/>
      <c r="BML56" s="144"/>
      <c r="BMM56" s="144"/>
      <c r="BMN56" s="144"/>
      <c r="BMO56" s="144"/>
      <c r="BMP56" s="144"/>
      <c r="BMQ56" s="144"/>
      <c r="BMR56" s="144"/>
      <c r="BMS56" s="144"/>
      <c r="BMT56" s="144"/>
      <c r="BMU56" s="144"/>
      <c r="BMV56" s="144"/>
      <c r="BMW56" s="144"/>
      <c r="BMX56" s="144"/>
      <c r="BMY56" s="144"/>
      <c r="BMZ56" s="144"/>
      <c r="BNA56" s="144"/>
      <c r="BNB56" s="144"/>
      <c r="BNC56" s="144"/>
      <c r="BND56" s="144"/>
      <c r="BNE56" s="144"/>
      <c r="BNF56" s="144"/>
      <c r="BNG56" s="144"/>
      <c r="BNH56" s="144"/>
      <c r="BNI56" s="144"/>
      <c r="BNJ56" s="144"/>
      <c r="BNK56" s="144"/>
      <c r="BNL56" s="144"/>
      <c r="BNM56" s="144"/>
      <c r="BNN56" s="144"/>
      <c r="BNO56" s="144"/>
      <c r="BNP56" s="144"/>
      <c r="BNQ56" s="144"/>
      <c r="BNR56" s="144"/>
      <c r="BNS56" s="144"/>
      <c r="BNT56" s="144"/>
      <c r="BNU56" s="144"/>
      <c r="BNV56" s="144"/>
      <c r="BNW56" s="144"/>
      <c r="BNX56" s="144"/>
      <c r="BNY56" s="144"/>
      <c r="BNZ56" s="144"/>
      <c r="BOA56" s="144"/>
      <c r="BOB56" s="144"/>
      <c r="BOC56" s="144"/>
      <c r="BOD56" s="144"/>
      <c r="BOE56" s="144"/>
      <c r="BOF56" s="144"/>
      <c r="BOG56" s="144"/>
      <c r="BOH56" s="144"/>
      <c r="BOI56" s="144"/>
      <c r="BOJ56" s="144"/>
      <c r="BOK56" s="144"/>
      <c r="BOL56" s="144"/>
      <c r="BOM56" s="144"/>
      <c r="BON56" s="144"/>
      <c r="BOO56" s="144"/>
      <c r="BOP56" s="144"/>
      <c r="BOQ56" s="144"/>
      <c r="BOR56" s="144"/>
      <c r="BOS56" s="144"/>
      <c r="BOT56" s="144"/>
      <c r="BOU56" s="144"/>
      <c r="BOV56" s="144"/>
      <c r="BOW56" s="144"/>
      <c r="BOX56" s="144"/>
      <c r="BOY56" s="144"/>
      <c r="BOZ56" s="144"/>
      <c r="BPA56" s="144"/>
      <c r="BPB56" s="144"/>
      <c r="BPC56" s="144"/>
      <c r="BPD56" s="144"/>
      <c r="BPE56" s="144"/>
      <c r="BPF56" s="144"/>
      <c r="COP56" s="128" t="s">
        <v>424</v>
      </c>
      <c r="COQ56" s="128"/>
      <c r="COR56" s="128"/>
      <c r="COS56" s="128"/>
      <c r="COT56" s="128"/>
      <c r="COU56" s="128"/>
      <c r="COV56" s="128"/>
      <c r="COW56" s="128"/>
      <c r="COX56" s="128"/>
      <c r="COY56" s="128"/>
      <c r="COZ56" s="128"/>
      <c r="CPA56" s="128"/>
      <c r="CPB56" s="128"/>
      <c r="CPC56" s="128"/>
      <c r="CPD56" s="128"/>
      <c r="CPE56" s="128"/>
      <c r="CPF56" s="128"/>
      <c r="CPG56" s="128"/>
      <c r="CPH56" s="128"/>
      <c r="CPI56" s="128"/>
      <c r="CPJ56" s="128"/>
      <c r="CPK56" s="128"/>
      <c r="CPL56" s="128"/>
      <c r="CPM56" s="128"/>
      <c r="CPN56" s="128"/>
      <c r="CPO56" s="128"/>
      <c r="CPP56" s="128"/>
      <c r="CPQ56" s="128"/>
      <c r="CPR56" s="128"/>
      <c r="CPS56" s="128"/>
      <c r="CPT56" s="128"/>
      <c r="CPU56" s="129"/>
      <c r="CPV56" s="129"/>
      <c r="CPW56" s="129"/>
      <c r="CPX56" s="129"/>
      <c r="CPY56" s="129"/>
      <c r="CPZ56" s="129"/>
      <c r="CQA56" s="129"/>
      <c r="CQB56" s="129"/>
      <c r="CQC56" s="129"/>
      <c r="CQD56" s="129"/>
      <c r="CQE56" s="129"/>
      <c r="CQF56" s="129"/>
      <c r="CQG56" s="129"/>
      <c r="CQH56" s="129"/>
      <c r="CQI56" s="129"/>
      <c r="CQJ56" s="129"/>
      <c r="CQK56" s="129"/>
      <c r="CQL56" s="129"/>
      <c r="CQM56" s="129"/>
      <c r="CQN56" s="129"/>
      <c r="CQO56" s="129"/>
      <c r="CQP56" s="128"/>
      <c r="CQQ56" s="128"/>
      <c r="CQR56" s="128"/>
      <c r="CQS56" s="128"/>
      <c r="CQT56" s="128"/>
      <c r="CQU56" s="128"/>
      <c r="CQV56" s="129"/>
      <c r="CQW56" s="129"/>
      <c r="CQX56" s="129"/>
      <c r="CQY56" s="129"/>
      <c r="CQZ56" s="129"/>
      <c r="CRA56" s="129"/>
      <c r="CRB56" s="129"/>
      <c r="CRC56" s="129"/>
      <c r="CRD56" s="129"/>
      <c r="CRE56" s="129"/>
      <c r="CRF56" s="129"/>
      <c r="CRG56" s="129"/>
      <c r="CRH56" s="129"/>
      <c r="CRI56" s="129"/>
      <c r="CRJ56" s="129"/>
      <c r="CRK56" s="129"/>
      <c r="CRL56" s="129"/>
      <c r="CRM56" s="129"/>
      <c r="CRN56" s="129"/>
      <c r="CRO56" s="129"/>
      <c r="CRP56" s="129"/>
      <c r="CRQ56" s="129"/>
      <c r="CRR56" s="129"/>
      <c r="CRS56" s="129"/>
      <c r="CRT56" s="129"/>
      <c r="CRU56" s="129"/>
      <c r="CRV56" s="129"/>
      <c r="CRW56" s="129"/>
      <c r="CRX56" s="128"/>
      <c r="CRY56" s="128"/>
      <c r="CRZ56" s="128"/>
      <c r="CSA56" s="128"/>
      <c r="CSB56" s="128"/>
      <c r="CSC56" s="128"/>
      <c r="CSD56" s="128"/>
    </row>
    <row r="57" spans="2:364 1118:1774 2434:2902" ht="15" customHeight="1" x14ac:dyDescent="0.25">
      <c r="B57" s="188" t="s">
        <v>2112</v>
      </c>
      <c r="C57" s="189"/>
      <c r="D57" s="189"/>
      <c r="E57" s="189"/>
      <c r="F57" s="189"/>
      <c r="G57" s="189"/>
      <c r="H57" s="189"/>
      <c r="I57" s="189"/>
      <c r="J57" s="189"/>
      <c r="K57" s="189"/>
      <c r="L57" s="189"/>
      <c r="M57" s="189"/>
      <c r="N57" s="189"/>
      <c r="O57" s="189"/>
      <c r="P57" s="311" t="str">
        <f>Calculations!DA11</f>
        <v>Light Cloth</v>
      </c>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192">
        <v>1</v>
      </c>
      <c r="AP57" s="192"/>
      <c r="AQ57" s="192"/>
      <c r="AR57" s="192"/>
      <c r="AS57" s="192"/>
      <c r="AT57" s="192"/>
      <c r="AU57" s="192"/>
      <c r="AV57" s="192"/>
      <c r="AW57" s="130" t="str">
        <f>IF(P57="No Armour","- -",IF(P57=Calculations!DA11,"- -",VLOOKUP(P57,Armour!$B$4:$AU$99,19,FALSE)*'Character Creation'!$Z$18*'Character Sheet'!$AO57))</f>
        <v>- -</v>
      </c>
      <c r="AX57" s="130"/>
      <c r="AY57" s="130"/>
      <c r="AZ57" s="130"/>
      <c r="BA57" s="130"/>
      <c r="BB57" s="130"/>
      <c r="BC57" s="130"/>
      <c r="BD57" s="130"/>
      <c r="BE57" s="130">
        <f>IF(P57="No Armour","- -",VLOOKUP(P57,Armour!$B$4:$AU$99,4,FALSE)+BU57+CC57)</f>
        <v>15</v>
      </c>
      <c r="BF57" s="130"/>
      <c r="BG57" s="130"/>
      <c r="BH57" s="130"/>
      <c r="BI57" s="130"/>
      <c r="BJ57" s="130"/>
      <c r="BK57" s="130"/>
      <c r="BL57" s="130"/>
      <c r="BM57" s="130">
        <f>IF(P57="No Armour","- -",IF(P57="No Armour",0,VLOOKUP(P57,Armour!$B$4:$AU$99,3,FALSE)+VLOOKUP(((AO57*100)-100),Charts!$AW$2:$AX$42,2,FALSE)))</f>
        <v>0</v>
      </c>
      <c r="BN57" s="130"/>
      <c r="BO57" s="130"/>
      <c r="BP57" s="130"/>
      <c r="BQ57" s="130"/>
      <c r="BR57" s="130"/>
      <c r="BS57" s="130"/>
      <c r="BT57" s="130"/>
      <c r="BU57" s="195">
        <f t="shared" si="20"/>
        <v>0</v>
      </c>
      <c r="BV57" s="195"/>
      <c r="BW57" s="195"/>
      <c r="BX57" s="195"/>
      <c r="BY57" s="195"/>
      <c r="BZ57" s="195"/>
      <c r="CA57" s="195"/>
      <c r="CB57" s="195"/>
      <c r="CC57" s="195">
        <f t="shared" si="21"/>
        <v>0</v>
      </c>
      <c r="CD57" s="195"/>
      <c r="CE57" s="195"/>
      <c r="CF57" s="195"/>
      <c r="CG57" s="195"/>
      <c r="CH57" s="195"/>
      <c r="CI57" s="195"/>
      <c r="CJ57" s="195"/>
      <c r="CK57" s="130">
        <f t="shared" si="18"/>
        <v>1</v>
      </c>
      <c r="CL57" s="130"/>
      <c r="CM57" s="130"/>
      <c r="CN57" s="130"/>
      <c r="CO57" s="130"/>
      <c r="CP57" s="130"/>
      <c r="CQ57" s="130"/>
      <c r="CR57" s="130"/>
      <c r="CS57" s="130">
        <f t="shared" si="22"/>
        <v>0</v>
      </c>
      <c r="CT57" s="130"/>
      <c r="CU57" s="130"/>
      <c r="CV57" s="130"/>
      <c r="CW57" s="130"/>
      <c r="CX57" s="130"/>
      <c r="CY57" s="130"/>
      <c r="CZ57" s="130"/>
      <c r="DA57" s="130">
        <f>IF(P57="No Armour","- -",VLOOKUP(P57,Armour!$B$4:$EY$99,55,FALSE)+(ROUNDUP(CC57/3,0)))</f>
        <v>0</v>
      </c>
      <c r="DB57" s="130"/>
      <c r="DC57" s="130"/>
      <c r="DD57" s="130"/>
      <c r="DE57" s="130"/>
      <c r="DF57" s="130"/>
      <c r="DG57" s="130"/>
      <c r="DH57" s="130"/>
      <c r="DI57" s="130">
        <f>IF(P57="No Armour","- -",VLOOKUP(P57,Armour!$B$4:$EY$99,62,FALSE)+(ROUNDUP(CC57/3,0)))</f>
        <v>0</v>
      </c>
      <c r="DJ57" s="130"/>
      <c r="DK57" s="130"/>
      <c r="DL57" s="130"/>
      <c r="DM57" s="130"/>
      <c r="DN57" s="130"/>
      <c r="DO57" s="130"/>
      <c r="DP57" s="130"/>
      <c r="DQ57" s="130">
        <f t="shared" si="23"/>
        <v>0</v>
      </c>
      <c r="DR57" s="130"/>
      <c r="DS57" s="130"/>
      <c r="DT57" s="130"/>
      <c r="DU57" s="130"/>
      <c r="DV57" s="130"/>
      <c r="DW57" s="130"/>
      <c r="DX57" s="130"/>
      <c r="DY57" s="306"/>
      <c r="DZ57" s="306"/>
      <c r="EA57" s="306"/>
      <c r="EB57" s="306"/>
      <c r="EC57" s="306"/>
      <c r="ED57" s="306"/>
      <c r="EE57" s="306"/>
      <c r="EF57" s="306"/>
      <c r="EG57" s="306"/>
      <c r="EH57" s="306"/>
      <c r="EI57" s="306"/>
      <c r="EJ57" s="306"/>
      <c r="EK57" s="306"/>
      <c r="EL57" s="306"/>
      <c r="EM57" s="306"/>
      <c r="EN57" s="306"/>
      <c r="EO57" s="306"/>
      <c r="EP57" s="306"/>
      <c r="EQ57" s="306"/>
      <c r="ER57" s="306"/>
      <c r="ES57" s="306"/>
      <c r="ET57" s="306"/>
      <c r="EU57" s="306"/>
      <c r="EV57" s="306"/>
      <c r="EW57" s="306"/>
      <c r="EX57" s="306"/>
      <c r="EY57" s="306"/>
      <c r="EZ57" s="307"/>
      <c r="FB57" s="139" t="s">
        <v>2338</v>
      </c>
      <c r="FC57" s="140"/>
      <c r="FD57" s="140"/>
      <c r="FE57" s="140"/>
      <c r="FF57" s="140"/>
      <c r="FG57" s="140"/>
      <c r="FH57" s="140"/>
      <c r="FI57" s="140"/>
      <c r="FJ57" s="140"/>
      <c r="FK57" s="140"/>
      <c r="FL57" s="140"/>
      <c r="FM57" s="140"/>
      <c r="FN57" s="140"/>
      <c r="FO57" s="140"/>
      <c r="FP57" s="140"/>
      <c r="FQ57" s="140"/>
      <c r="FR57" s="140"/>
      <c r="FS57" s="140"/>
      <c r="FT57" s="140"/>
      <c r="FU57" s="140"/>
      <c r="FV57" s="140"/>
      <c r="FW57" s="140"/>
      <c r="FX57" s="140"/>
      <c r="FY57" s="140"/>
      <c r="FZ57" s="140"/>
      <c r="GA57" s="140"/>
      <c r="GB57" s="140"/>
      <c r="GC57" s="140"/>
      <c r="GD57" s="140"/>
      <c r="GE57" s="140"/>
      <c r="GF57" s="140"/>
      <c r="GG57" s="140"/>
      <c r="GH57" s="140"/>
      <c r="GI57" s="140"/>
      <c r="GJ57" s="140"/>
      <c r="GK57" s="140"/>
      <c r="GL57" s="140"/>
      <c r="GM57" s="140"/>
      <c r="GN57" s="140"/>
      <c r="GO57" s="140"/>
      <c r="GP57" s="140"/>
      <c r="GQ57" s="140"/>
      <c r="GR57" s="140"/>
      <c r="GS57" s="140"/>
      <c r="GT57" s="141">
        <v>1</v>
      </c>
      <c r="GU57" s="141"/>
      <c r="GV57" s="141"/>
      <c r="GW57" s="141"/>
      <c r="GX57" s="141"/>
      <c r="GY57" s="141"/>
      <c r="GZ57" s="141"/>
      <c r="HA57" s="141"/>
      <c r="HB57" s="142">
        <f>IFERROR(ROUND(Calculations!BV58*GT57,2),"")</f>
        <v>1</v>
      </c>
      <c r="HC57" s="142"/>
      <c r="HD57" s="142"/>
      <c r="HE57" s="142"/>
      <c r="HF57" s="142"/>
      <c r="HG57" s="142"/>
      <c r="HH57" s="142"/>
      <c r="HI57" s="142"/>
      <c r="HJ57" s="142">
        <f>IFERROR(Calculations!BS58+IQ57+IX57,"")</f>
        <v>40</v>
      </c>
      <c r="HK57" s="142"/>
      <c r="HL57" s="142"/>
      <c r="HM57" s="142"/>
      <c r="HN57" s="142"/>
      <c r="HO57" s="142"/>
      <c r="HP57" s="142"/>
      <c r="HQ57" s="142"/>
      <c r="HR57" s="142">
        <f t="shared" si="9"/>
        <v>0</v>
      </c>
      <c r="HS57" s="142"/>
      <c r="HT57" s="142"/>
      <c r="HU57" s="142"/>
      <c r="HV57" s="142"/>
      <c r="HW57" s="142"/>
      <c r="HX57" s="142"/>
      <c r="HY57" s="142"/>
      <c r="HZ57" s="142" t="str">
        <f>IFERROR(Calculations!BX58,"")</f>
        <v>$2.75</v>
      </c>
      <c r="IA57" s="142"/>
      <c r="IB57" s="142"/>
      <c r="IC57" s="142"/>
      <c r="ID57" s="142"/>
      <c r="IE57" s="142"/>
      <c r="IF57" s="142"/>
      <c r="IG57" s="142"/>
      <c r="IH57" s="142"/>
      <c r="II57" s="142"/>
      <c r="IJ57" s="142">
        <f>IFERROR(Calculations!BR58+IX57,"")</f>
        <v>0</v>
      </c>
      <c r="IK57" s="142"/>
      <c r="IL57" s="142"/>
      <c r="IM57" s="142"/>
      <c r="IN57" s="142"/>
      <c r="IO57" s="142"/>
      <c r="IP57" s="142"/>
      <c r="IQ57" s="141">
        <v>0</v>
      </c>
      <c r="IR57" s="141"/>
      <c r="IS57" s="141"/>
      <c r="IT57" s="141"/>
      <c r="IU57" s="141"/>
      <c r="IV57" s="141"/>
      <c r="IW57" s="141"/>
      <c r="IX57" s="141">
        <v>0</v>
      </c>
      <c r="IY57" s="141"/>
      <c r="IZ57" s="141"/>
      <c r="JA57" s="141"/>
      <c r="JB57" s="141"/>
      <c r="JC57" s="141"/>
      <c r="JD57" s="141"/>
      <c r="JE57" s="141"/>
      <c r="JF57" s="142"/>
      <c r="JG57" s="142"/>
      <c r="JH57" s="142"/>
      <c r="JI57" s="142"/>
      <c r="JJ57" s="142"/>
      <c r="JK57" s="143" t="str">
        <f>Calculations!AS58</f>
        <v>Brass</v>
      </c>
      <c r="JL57" s="143"/>
      <c r="JM57" s="143"/>
      <c r="JN57" s="143"/>
      <c r="JO57" s="143"/>
      <c r="JP57" s="143"/>
      <c r="JQ57" s="143"/>
      <c r="JR57" s="143"/>
      <c r="JS57" s="143"/>
      <c r="JT57" s="143"/>
      <c r="JU57" s="143"/>
      <c r="JV57" s="143"/>
      <c r="JW57" s="143"/>
      <c r="JX57" s="143"/>
      <c r="JY57" s="143"/>
      <c r="JZ57" s="143"/>
      <c r="KA57" s="143"/>
      <c r="KB57" s="143"/>
      <c r="KC57" s="143" t="str">
        <f>Calculations!AW58</f>
        <v>Brass</v>
      </c>
      <c r="KD57" s="143"/>
      <c r="KE57" s="143"/>
      <c r="KF57" s="143"/>
      <c r="KG57" s="143"/>
      <c r="KH57" s="143"/>
      <c r="KI57" s="143"/>
      <c r="KJ57" s="143"/>
      <c r="KK57" s="143"/>
      <c r="KL57" s="143"/>
      <c r="KM57" s="143"/>
      <c r="KN57" s="143"/>
      <c r="KO57" s="143"/>
      <c r="KP57" s="143"/>
      <c r="KQ57" s="143"/>
      <c r="KR57" s="143"/>
      <c r="KS57" s="143"/>
      <c r="KT57" s="143"/>
      <c r="KU57" s="144"/>
      <c r="KV57" s="144"/>
      <c r="KW57" s="144"/>
      <c r="KX57" s="144"/>
      <c r="KY57" s="144"/>
      <c r="KZ57" s="144"/>
      <c r="LA57" s="144"/>
      <c r="LB57" s="144"/>
      <c r="LC57" s="144"/>
      <c r="LD57" s="144"/>
      <c r="LE57" s="144"/>
      <c r="LF57" s="144"/>
      <c r="LG57" s="144"/>
      <c r="LH57" s="144"/>
      <c r="LI57" s="144"/>
      <c r="LJ57" s="144"/>
      <c r="LK57" s="144"/>
      <c r="LL57" s="144"/>
      <c r="LM57" s="144"/>
      <c r="LN57" s="144"/>
      <c r="LO57" s="144"/>
      <c r="LP57" s="144"/>
      <c r="LQ57" s="144"/>
      <c r="LR57" s="144"/>
      <c r="LS57" s="144"/>
      <c r="LT57" s="144"/>
      <c r="LU57" s="144"/>
      <c r="LV57" s="144"/>
      <c r="LW57" s="144"/>
      <c r="LX57" s="144"/>
      <c r="LY57" s="144"/>
      <c r="LZ57" s="144"/>
      <c r="MA57" s="144"/>
      <c r="MB57" s="144"/>
      <c r="MC57" s="144"/>
      <c r="MD57" s="144"/>
      <c r="ME57" s="144"/>
      <c r="MF57" s="144"/>
      <c r="MG57" s="144"/>
      <c r="MH57" s="144"/>
      <c r="MI57" s="144"/>
      <c r="MJ57" s="144"/>
      <c r="MK57" s="144"/>
      <c r="ML57" s="144"/>
      <c r="MM57" s="144"/>
      <c r="MN57" s="144"/>
      <c r="MO57" s="144"/>
      <c r="MP57" s="144"/>
      <c r="MQ57" s="144"/>
      <c r="MR57" s="144"/>
      <c r="MS57" s="144"/>
      <c r="MT57" s="144"/>
      <c r="MU57" s="144"/>
      <c r="MV57" s="144"/>
      <c r="MW57" s="144"/>
      <c r="MX57" s="144"/>
      <c r="MY57" s="144"/>
      <c r="MZ57" s="145"/>
      <c r="BLR57" s="144" t="s">
        <v>147</v>
      </c>
      <c r="BLS57" s="144"/>
      <c r="BLT57" s="144"/>
      <c r="BLU57" s="144"/>
      <c r="BLV57" s="144"/>
      <c r="BLW57" s="144"/>
      <c r="BLX57" s="144"/>
      <c r="BLY57" s="144"/>
      <c r="BLZ57" s="144"/>
      <c r="BMA57" s="144"/>
      <c r="BMB57" s="144"/>
      <c r="BMC57" s="144"/>
      <c r="BMD57" s="144"/>
      <c r="BME57" s="144"/>
      <c r="BMF57" s="144"/>
      <c r="BMG57" s="144"/>
      <c r="BMH57" s="144"/>
      <c r="BMI57" s="144"/>
      <c r="BMJ57" s="144"/>
      <c r="BMK57" s="144"/>
      <c r="BML57" s="144"/>
      <c r="BMM57" s="144"/>
      <c r="BMN57" s="144"/>
      <c r="BMO57" s="144"/>
      <c r="BMP57" s="144"/>
      <c r="BMQ57" s="144"/>
      <c r="BMR57" s="144"/>
      <c r="BMS57" s="144"/>
      <c r="BMT57" s="144"/>
      <c r="BMU57" s="144"/>
      <c r="BMV57" s="144"/>
      <c r="BMW57" s="129" t="s">
        <v>133</v>
      </c>
      <c r="BMX57" s="129"/>
      <c r="BMY57" s="129"/>
      <c r="BMZ57" s="129"/>
      <c r="BNA57" s="129" t="s">
        <v>148</v>
      </c>
      <c r="BNB57" s="129"/>
      <c r="BNC57" s="129"/>
      <c r="BND57" s="129"/>
      <c r="BNE57" s="129"/>
      <c r="BNF57" s="129" t="s">
        <v>83</v>
      </c>
      <c r="BNG57" s="129"/>
      <c r="BNH57" s="129"/>
      <c r="BNI57" s="129"/>
      <c r="BNJ57" s="129"/>
      <c r="BNK57" s="129"/>
      <c r="BNL57" s="129" t="s">
        <v>37</v>
      </c>
      <c r="BNM57" s="129"/>
      <c r="BNN57" s="129"/>
      <c r="BNO57" s="129"/>
      <c r="BNP57" s="129"/>
      <c r="BNQ57" s="129"/>
      <c r="BNR57" s="129" t="s">
        <v>49</v>
      </c>
      <c r="BNS57" s="129"/>
      <c r="BNT57" s="129"/>
      <c r="BNU57" s="129"/>
      <c r="BNV57" s="129"/>
      <c r="BNW57" s="129"/>
      <c r="BNX57" s="129" t="s">
        <v>149</v>
      </c>
      <c r="BNY57" s="129"/>
      <c r="BNZ57" s="129"/>
      <c r="BOA57" s="129"/>
      <c r="BOB57" s="129"/>
      <c r="BOC57" s="129"/>
      <c r="BOD57" s="129"/>
      <c r="BOE57" s="129" t="s">
        <v>150</v>
      </c>
      <c r="BOF57" s="129"/>
      <c r="BOG57" s="129"/>
      <c r="BOH57" s="129"/>
      <c r="BOI57" s="129"/>
      <c r="BOJ57" s="129"/>
      <c r="BOK57" s="129"/>
      <c r="BOL57" s="129" t="s">
        <v>151</v>
      </c>
      <c r="BOM57" s="129"/>
      <c r="BON57" s="129"/>
      <c r="BOO57" s="129"/>
      <c r="BOP57" s="129"/>
      <c r="BOQ57" s="129"/>
      <c r="BOR57" s="129"/>
      <c r="BOS57" s="129" t="s">
        <v>37</v>
      </c>
      <c r="BOT57" s="129"/>
      <c r="BOU57" s="129"/>
      <c r="BOV57" s="129"/>
      <c r="BOW57" s="129"/>
      <c r="BOX57" s="129"/>
      <c r="BOY57" s="129"/>
      <c r="BOZ57" s="129" t="s">
        <v>40</v>
      </c>
      <c r="BPA57" s="129"/>
      <c r="BPB57" s="129"/>
      <c r="BPC57" s="129"/>
      <c r="BPD57" s="129"/>
      <c r="BPE57" s="129"/>
      <c r="BPF57" s="129"/>
      <c r="COP57" s="128" t="s">
        <v>425</v>
      </c>
      <c r="COQ57" s="128"/>
      <c r="COR57" s="128"/>
      <c r="COS57" s="128"/>
      <c r="COT57" s="128"/>
      <c r="COU57" s="128"/>
      <c r="COV57" s="128"/>
      <c r="COW57" s="128"/>
      <c r="COX57" s="128"/>
      <c r="COY57" s="128"/>
      <c r="COZ57" s="128"/>
      <c r="CPA57" s="128"/>
      <c r="CPB57" s="128"/>
      <c r="CPC57" s="128"/>
      <c r="CPD57" s="128"/>
      <c r="CPE57" s="128"/>
      <c r="CPF57" s="128"/>
      <c r="CPG57" s="128"/>
      <c r="CPH57" s="128"/>
      <c r="CPI57" s="128"/>
      <c r="CPJ57" s="128"/>
      <c r="CPK57" s="128"/>
      <c r="CPL57" s="128"/>
      <c r="CPM57" s="128"/>
      <c r="CPN57" s="128"/>
      <c r="CPO57" s="128"/>
      <c r="CPP57" s="128"/>
      <c r="CPQ57" s="128"/>
      <c r="CPR57" s="128"/>
      <c r="CPS57" s="128"/>
      <c r="CPT57" s="128"/>
      <c r="CPU57" s="129"/>
      <c r="CPV57" s="129"/>
      <c r="CPW57" s="129"/>
      <c r="CPX57" s="129"/>
      <c r="CPY57" s="129"/>
      <c r="CPZ57" s="129"/>
      <c r="CQA57" s="129"/>
      <c r="CQB57" s="129"/>
      <c r="CQC57" s="129"/>
      <c r="CQD57" s="129"/>
      <c r="CQE57" s="129"/>
      <c r="CQF57" s="129"/>
      <c r="CQG57" s="129"/>
      <c r="CQH57" s="129"/>
      <c r="CQI57" s="129"/>
      <c r="CQJ57" s="129"/>
      <c r="CQK57" s="129"/>
      <c r="CQL57" s="129"/>
      <c r="CQM57" s="129"/>
      <c r="CQN57" s="129"/>
      <c r="CQO57" s="129"/>
      <c r="CQP57" s="128"/>
      <c r="CQQ57" s="128"/>
      <c r="CQR57" s="128"/>
      <c r="CQS57" s="128"/>
      <c r="CQT57" s="128"/>
      <c r="CQU57" s="128"/>
      <c r="CQV57" s="129"/>
      <c r="CQW57" s="129"/>
      <c r="CQX57" s="129"/>
      <c r="CQY57" s="129"/>
      <c r="CQZ57" s="129"/>
      <c r="CRA57" s="129"/>
      <c r="CRB57" s="129"/>
      <c r="CRC57" s="129"/>
      <c r="CRD57" s="129"/>
      <c r="CRE57" s="129"/>
      <c r="CRF57" s="129"/>
      <c r="CRG57" s="129"/>
      <c r="CRH57" s="129"/>
      <c r="CRI57" s="129"/>
      <c r="CRJ57" s="129"/>
      <c r="CRK57" s="129"/>
      <c r="CRL57" s="129"/>
      <c r="CRM57" s="129"/>
      <c r="CRN57" s="129"/>
      <c r="CRO57" s="129"/>
      <c r="CRP57" s="129"/>
      <c r="CRQ57" s="129"/>
      <c r="CRR57" s="129"/>
      <c r="CRS57" s="129"/>
      <c r="CRT57" s="129"/>
      <c r="CRU57" s="129"/>
      <c r="CRV57" s="129"/>
      <c r="CRW57" s="129"/>
      <c r="CRX57" s="128"/>
      <c r="CRY57" s="128"/>
      <c r="CRZ57" s="128"/>
      <c r="CSA57" s="128"/>
      <c r="CSB57" s="128"/>
      <c r="CSC57" s="128"/>
      <c r="CSD57" s="128"/>
      <c r="CSF57" s="144" t="s">
        <v>479</v>
      </c>
      <c r="CSG57" s="144"/>
      <c r="CSH57" s="144"/>
      <c r="CSI57" s="144"/>
      <c r="CSJ57" s="144"/>
      <c r="CSK57" s="144"/>
      <c r="CSL57" s="144"/>
      <c r="CSM57" s="144"/>
      <c r="CSN57" s="144"/>
      <c r="CSO57" s="144"/>
      <c r="CSP57" s="144"/>
      <c r="CSQ57" s="144"/>
      <c r="CSR57" s="144"/>
      <c r="CSS57" s="144"/>
      <c r="CST57" s="144"/>
      <c r="CSU57" s="144"/>
      <c r="CSV57" s="144"/>
      <c r="CSW57" s="144"/>
      <c r="CSX57" s="144"/>
      <c r="CSY57" s="144"/>
      <c r="CSZ57" s="144"/>
      <c r="CTA57" s="144"/>
      <c r="CTB57" s="144"/>
      <c r="CTC57" s="144"/>
      <c r="CTD57" s="144"/>
      <c r="CTE57" s="144"/>
      <c r="CTF57" s="144"/>
      <c r="CTG57" s="144"/>
      <c r="CTH57" s="144"/>
      <c r="CTI57" s="144"/>
      <c r="CTJ57" s="144"/>
      <c r="CTK57" s="144"/>
      <c r="CTL57" s="144"/>
      <c r="CTM57" s="144"/>
      <c r="CTN57" s="144"/>
      <c r="CTO57" s="144"/>
      <c r="CTP57" s="144"/>
      <c r="CTQ57" s="144"/>
      <c r="CTR57" s="144"/>
      <c r="CTS57" s="144"/>
      <c r="CTT57" s="144"/>
      <c r="CTU57" s="144"/>
      <c r="CTV57" s="144"/>
      <c r="CTW57" s="144"/>
      <c r="CTX57" s="144"/>
      <c r="CTY57" s="144"/>
      <c r="CTZ57" s="144"/>
      <c r="CUA57" s="144"/>
      <c r="CUB57" s="144"/>
      <c r="CUC57" s="144"/>
      <c r="CUD57" s="144"/>
      <c r="CUE57" s="144"/>
      <c r="CUF57" s="144"/>
      <c r="CUG57" s="144"/>
      <c r="CUH57" s="144"/>
      <c r="CUI57" s="144"/>
      <c r="CUJ57" s="144"/>
      <c r="CUK57" s="144"/>
      <c r="CUL57" s="144"/>
      <c r="CUM57" s="144"/>
      <c r="CUN57" s="144"/>
      <c r="CUO57" s="144"/>
      <c r="CUP57" s="144"/>
      <c r="CUQ57" s="144"/>
      <c r="CUR57" s="144"/>
      <c r="CUS57" s="144"/>
      <c r="CUT57" s="144"/>
      <c r="CUU57" s="144"/>
      <c r="CUV57" s="144"/>
      <c r="CUW57" s="144"/>
      <c r="CUX57" s="144"/>
      <c r="CUY57" s="144"/>
      <c r="CUZ57" s="144"/>
      <c r="CVA57" s="144"/>
      <c r="CVB57" s="144"/>
      <c r="CVC57" s="144"/>
      <c r="CVD57" s="144"/>
      <c r="CVE57" s="144"/>
      <c r="CVF57" s="144"/>
      <c r="CVG57" s="144"/>
      <c r="CVH57" s="144"/>
      <c r="CVI57" s="144"/>
      <c r="CVJ57" s="144"/>
      <c r="CVK57" s="144"/>
      <c r="CVL57" s="144"/>
      <c r="CVM57" s="144"/>
      <c r="CVN57" s="144"/>
      <c r="CVO57" s="144"/>
      <c r="CVP57" s="144"/>
      <c r="CVQ57" s="144"/>
      <c r="CVR57" s="144"/>
      <c r="CVS57" s="144"/>
      <c r="CVT57" s="144"/>
    </row>
    <row r="58" spans="2:364 1118:1774 2434:2902" ht="15" customHeight="1" x14ac:dyDescent="0.25">
      <c r="B58" s="190" t="s">
        <v>2113</v>
      </c>
      <c r="C58" s="191"/>
      <c r="D58" s="191"/>
      <c r="E58" s="191"/>
      <c r="F58" s="191"/>
      <c r="G58" s="191"/>
      <c r="H58" s="191"/>
      <c r="I58" s="191"/>
      <c r="J58" s="191"/>
      <c r="K58" s="191"/>
      <c r="L58" s="191"/>
      <c r="M58" s="191"/>
      <c r="N58" s="191"/>
      <c r="O58" s="191"/>
      <c r="P58" s="312" t="str">
        <f>Calculations!DA12</f>
        <v>Light Cloth</v>
      </c>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193">
        <v>1</v>
      </c>
      <c r="AP58" s="193"/>
      <c r="AQ58" s="193"/>
      <c r="AR58" s="193"/>
      <c r="AS58" s="193"/>
      <c r="AT58" s="193"/>
      <c r="AU58" s="193"/>
      <c r="AV58" s="193"/>
      <c r="AW58" s="131" t="str">
        <f>IF(P58="No Armour","- -",IF(P58=Calculations!DA12,"- -",VLOOKUP(P58,Armour!$B$4:$AU$99,19,FALSE)*'Character Creation'!$Z$18*'Character Sheet'!$AO58))</f>
        <v>- -</v>
      </c>
      <c r="AX58" s="131"/>
      <c r="AY58" s="131"/>
      <c r="AZ58" s="131"/>
      <c r="BA58" s="131"/>
      <c r="BB58" s="131"/>
      <c r="BC58" s="131"/>
      <c r="BD58" s="131"/>
      <c r="BE58" s="131">
        <f>IF(P58="No Armour","- -",VLOOKUP(P58,Armour!$B$4:$AU$99,4,FALSE)+BU58+CC58)</f>
        <v>15</v>
      </c>
      <c r="BF58" s="131"/>
      <c r="BG58" s="131"/>
      <c r="BH58" s="131"/>
      <c r="BI58" s="131"/>
      <c r="BJ58" s="131"/>
      <c r="BK58" s="131"/>
      <c r="BL58" s="131"/>
      <c r="BM58" s="131">
        <f>IF(P58="No Armour","- -",IF(P58="No Armour",0,VLOOKUP(P58,Armour!$B$4:$AU$99,3,FALSE)+VLOOKUP(((AO58*100)-100),Charts!$AW$2:$AX$42,2,FALSE)))</f>
        <v>0</v>
      </c>
      <c r="BN58" s="131"/>
      <c r="BO58" s="131"/>
      <c r="BP58" s="131"/>
      <c r="BQ58" s="131"/>
      <c r="BR58" s="131"/>
      <c r="BS58" s="131"/>
      <c r="BT58" s="131"/>
      <c r="BU58" s="194">
        <f t="shared" si="20"/>
        <v>0</v>
      </c>
      <c r="BV58" s="194"/>
      <c r="BW58" s="194"/>
      <c r="BX58" s="194"/>
      <c r="BY58" s="194"/>
      <c r="BZ58" s="194"/>
      <c r="CA58" s="194"/>
      <c r="CB58" s="194"/>
      <c r="CC58" s="194">
        <f t="shared" si="21"/>
        <v>0</v>
      </c>
      <c r="CD58" s="194"/>
      <c r="CE58" s="194"/>
      <c r="CF58" s="194"/>
      <c r="CG58" s="194"/>
      <c r="CH58" s="194"/>
      <c r="CI58" s="194"/>
      <c r="CJ58" s="194"/>
      <c r="CK58" s="131">
        <f t="shared" si="18"/>
        <v>1</v>
      </c>
      <c r="CL58" s="131"/>
      <c r="CM58" s="131"/>
      <c r="CN58" s="131"/>
      <c r="CO58" s="131"/>
      <c r="CP58" s="131"/>
      <c r="CQ58" s="131"/>
      <c r="CR58" s="131"/>
      <c r="CS58" s="131">
        <f t="shared" si="22"/>
        <v>0</v>
      </c>
      <c r="CT58" s="131"/>
      <c r="CU58" s="131"/>
      <c r="CV58" s="131"/>
      <c r="CW58" s="131"/>
      <c r="CX58" s="131"/>
      <c r="CY58" s="131"/>
      <c r="CZ58" s="131"/>
      <c r="DA58" s="131">
        <f>IF(P58="No Armour","- -",VLOOKUP(P58,Armour!$B$4:$EY$99,55,FALSE)+(ROUNDUP(CC58/3,0)))</f>
        <v>0</v>
      </c>
      <c r="DB58" s="131"/>
      <c r="DC58" s="131"/>
      <c r="DD58" s="131"/>
      <c r="DE58" s="131"/>
      <c r="DF58" s="131"/>
      <c r="DG58" s="131"/>
      <c r="DH58" s="131"/>
      <c r="DI58" s="131">
        <f>IF(P58="No Armour","- -",VLOOKUP(P58,Armour!$B$4:$EY$99,62,FALSE)+(ROUNDUP(CC58/3,0)))</f>
        <v>0</v>
      </c>
      <c r="DJ58" s="131"/>
      <c r="DK58" s="131"/>
      <c r="DL58" s="131"/>
      <c r="DM58" s="131"/>
      <c r="DN58" s="131"/>
      <c r="DO58" s="131"/>
      <c r="DP58" s="131"/>
      <c r="DQ58" s="131">
        <f>IF(P58="No Armour","- -",0)</f>
        <v>0</v>
      </c>
      <c r="DR58" s="131"/>
      <c r="DS58" s="131"/>
      <c r="DT58" s="131"/>
      <c r="DU58" s="131"/>
      <c r="DV58" s="131"/>
      <c r="DW58" s="131"/>
      <c r="DX58" s="131"/>
      <c r="DY58" s="136"/>
      <c r="DZ58" s="136"/>
      <c r="EA58" s="136"/>
      <c r="EB58" s="136"/>
      <c r="EC58" s="136"/>
      <c r="ED58" s="136"/>
      <c r="EE58" s="136"/>
      <c r="EF58" s="136"/>
      <c r="EG58" s="136"/>
      <c r="EH58" s="136"/>
      <c r="EI58" s="136"/>
      <c r="EJ58" s="136"/>
      <c r="EK58" s="136"/>
      <c r="EL58" s="136"/>
      <c r="EM58" s="136"/>
      <c r="EN58" s="136"/>
      <c r="EO58" s="136"/>
      <c r="EP58" s="136"/>
      <c r="EQ58" s="136"/>
      <c r="ER58" s="136"/>
      <c r="ES58" s="136"/>
      <c r="ET58" s="136"/>
      <c r="EU58" s="136"/>
      <c r="EV58" s="136"/>
      <c r="EW58" s="136"/>
      <c r="EX58" s="136"/>
      <c r="EY58" s="136"/>
      <c r="EZ58" s="313"/>
      <c r="FB58" s="139" t="s">
        <v>2341</v>
      </c>
      <c r="FC58" s="140"/>
      <c r="FD58" s="140"/>
      <c r="FE58" s="140"/>
      <c r="FF58" s="140"/>
      <c r="FG58" s="140"/>
      <c r="FH58" s="140"/>
      <c r="FI58" s="140"/>
      <c r="FJ58" s="140"/>
      <c r="FK58" s="140"/>
      <c r="FL58" s="140"/>
      <c r="FM58" s="140"/>
      <c r="FN58" s="140"/>
      <c r="FO58" s="140"/>
      <c r="FP58" s="140"/>
      <c r="FQ58" s="140"/>
      <c r="FR58" s="140"/>
      <c r="FS58" s="140"/>
      <c r="FT58" s="140"/>
      <c r="FU58" s="140"/>
      <c r="FV58" s="140"/>
      <c r="FW58" s="140"/>
      <c r="FX58" s="140"/>
      <c r="FY58" s="140"/>
      <c r="FZ58" s="140"/>
      <c r="GA58" s="140"/>
      <c r="GB58" s="140"/>
      <c r="GC58" s="140"/>
      <c r="GD58" s="140"/>
      <c r="GE58" s="140"/>
      <c r="GF58" s="140"/>
      <c r="GG58" s="140"/>
      <c r="GH58" s="140"/>
      <c r="GI58" s="140"/>
      <c r="GJ58" s="140"/>
      <c r="GK58" s="140"/>
      <c r="GL58" s="140"/>
      <c r="GM58" s="140"/>
      <c r="GN58" s="140"/>
      <c r="GO58" s="140"/>
      <c r="GP58" s="140"/>
      <c r="GQ58" s="140"/>
      <c r="GR58" s="140"/>
      <c r="GS58" s="140"/>
      <c r="GT58" s="141">
        <v>1</v>
      </c>
      <c r="GU58" s="141"/>
      <c r="GV58" s="141"/>
      <c r="GW58" s="141"/>
      <c r="GX58" s="141"/>
      <c r="GY58" s="141"/>
      <c r="GZ58" s="141"/>
      <c r="HA58" s="141"/>
      <c r="HB58" s="142">
        <f>IFERROR(ROUND(Calculations!BV59*GT58,2),"")</f>
        <v>0.5</v>
      </c>
      <c r="HC58" s="142"/>
      <c r="HD58" s="142"/>
      <c r="HE58" s="142"/>
      <c r="HF58" s="142"/>
      <c r="HG58" s="142"/>
      <c r="HH58" s="142"/>
      <c r="HI58" s="142"/>
      <c r="HJ58" s="142">
        <f>IFERROR(Calculations!BS59+IQ58+IX58,"")</f>
        <v>100</v>
      </c>
      <c r="HK58" s="142"/>
      <c r="HL58" s="142"/>
      <c r="HM58" s="142"/>
      <c r="HN58" s="142"/>
      <c r="HO58" s="142"/>
      <c r="HP58" s="142"/>
      <c r="HQ58" s="142"/>
      <c r="HR58" s="142">
        <f t="shared" si="9"/>
        <v>0</v>
      </c>
      <c r="HS58" s="142"/>
      <c r="HT58" s="142"/>
      <c r="HU58" s="142"/>
      <c r="HV58" s="142"/>
      <c r="HW58" s="142"/>
      <c r="HX58" s="142"/>
      <c r="HY58" s="142"/>
      <c r="HZ58" s="142" t="str">
        <f>IFERROR(Calculations!BX59,"")</f>
        <v>$0.53</v>
      </c>
      <c r="IA58" s="142"/>
      <c r="IB58" s="142"/>
      <c r="IC58" s="142"/>
      <c r="ID58" s="142"/>
      <c r="IE58" s="142"/>
      <c r="IF58" s="142"/>
      <c r="IG58" s="142"/>
      <c r="IH58" s="142"/>
      <c r="II58" s="142"/>
      <c r="IJ58" s="142">
        <f>IFERROR(Calculations!BR59+IX58,"")</f>
        <v>0</v>
      </c>
      <c r="IK58" s="142"/>
      <c r="IL58" s="142"/>
      <c r="IM58" s="142"/>
      <c r="IN58" s="142"/>
      <c r="IO58" s="142"/>
      <c r="IP58" s="142"/>
      <c r="IQ58" s="141">
        <v>0</v>
      </c>
      <c r="IR58" s="141"/>
      <c r="IS58" s="141"/>
      <c r="IT58" s="141"/>
      <c r="IU58" s="141"/>
      <c r="IV58" s="141"/>
      <c r="IW58" s="141"/>
      <c r="IX58" s="141">
        <v>0</v>
      </c>
      <c r="IY58" s="141"/>
      <c r="IZ58" s="141"/>
      <c r="JA58" s="141"/>
      <c r="JB58" s="141"/>
      <c r="JC58" s="141"/>
      <c r="JD58" s="141"/>
      <c r="JE58" s="141"/>
      <c r="JF58" s="142"/>
      <c r="JG58" s="142"/>
      <c r="JH58" s="142"/>
      <c r="JI58" s="142"/>
      <c r="JJ58" s="142"/>
      <c r="JK58" s="143" t="str">
        <f>Calculations!AS59</f>
        <v>Flint</v>
      </c>
      <c r="JL58" s="143"/>
      <c r="JM58" s="143"/>
      <c r="JN58" s="143"/>
      <c r="JO58" s="143"/>
      <c r="JP58" s="143"/>
      <c r="JQ58" s="143"/>
      <c r="JR58" s="143"/>
      <c r="JS58" s="143"/>
      <c r="JT58" s="143"/>
      <c r="JU58" s="143"/>
      <c r="JV58" s="143"/>
      <c r="JW58" s="143"/>
      <c r="JX58" s="143"/>
      <c r="JY58" s="143"/>
      <c r="JZ58" s="143"/>
      <c r="KA58" s="143"/>
      <c r="KB58" s="143"/>
      <c r="KC58" s="143" t="str">
        <f>Calculations!AW59</f>
        <v>Low Steel</v>
      </c>
      <c r="KD58" s="143"/>
      <c r="KE58" s="143"/>
      <c r="KF58" s="143"/>
      <c r="KG58" s="143"/>
      <c r="KH58" s="143"/>
      <c r="KI58" s="143"/>
      <c r="KJ58" s="143"/>
      <c r="KK58" s="143"/>
      <c r="KL58" s="143"/>
      <c r="KM58" s="143"/>
      <c r="KN58" s="143"/>
      <c r="KO58" s="143"/>
      <c r="KP58" s="143"/>
      <c r="KQ58" s="143"/>
      <c r="KR58" s="143"/>
      <c r="KS58" s="143"/>
      <c r="KT58" s="143"/>
      <c r="KU58" s="144"/>
      <c r="KV58" s="144"/>
      <c r="KW58" s="144"/>
      <c r="KX58" s="144"/>
      <c r="KY58" s="144"/>
      <c r="KZ58" s="144"/>
      <c r="LA58" s="144"/>
      <c r="LB58" s="144"/>
      <c r="LC58" s="144"/>
      <c r="LD58" s="144"/>
      <c r="LE58" s="144"/>
      <c r="LF58" s="144"/>
      <c r="LG58" s="144"/>
      <c r="LH58" s="144"/>
      <c r="LI58" s="144"/>
      <c r="LJ58" s="144"/>
      <c r="LK58" s="144"/>
      <c r="LL58" s="144"/>
      <c r="LM58" s="144"/>
      <c r="LN58" s="144"/>
      <c r="LO58" s="144"/>
      <c r="LP58" s="144"/>
      <c r="LQ58" s="144"/>
      <c r="LR58" s="144"/>
      <c r="LS58" s="144"/>
      <c r="LT58" s="144"/>
      <c r="LU58" s="144"/>
      <c r="LV58" s="144"/>
      <c r="LW58" s="144"/>
      <c r="LX58" s="144"/>
      <c r="LY58" s="144"/>
      <c r="LZ58" s="144"/>
      <c r="MA58" s="144"/>
      <c r="MB58" s="144"/>
      <c r="MC58" s="144"/>
      <c r="MD58" s="144"/>
      <c r="ME58" s="144"/>
      <c r="MF58" s="144"/>
      <c r="MG58" s="144"/>
      <c r="MH58" s="144"/>
      <c r="MI58" s="144"/>
      <c r="MJ58" s="144"/>
      <c r="MK58" s="144"/>
      <c r="ML58" s="144"/>
      <c r="MM58" s="144"/>
      <c r="MN58" s="144"/>
      <c r="MO58" s="144"/>
      <c r="MP58" s="144"/>
      <c r="MQ58" s="144"/>
      <c r="MR58" s="144"/>
      <c r="MS58" s="144"/>
      <c r="MT58" s="144"/>
      <c r="MU58" s="144"/>
      <c r="MV58" s="144"/>
      <c r="MW58" s="144"/>
      <c r="MX58" s="144"/>
      <c r="MY58" s="144"/>
      <c r="MZ58" s="145"/>
      <c r="BLR58" s="128" t="s">
        <v>344</v>
      </c>
      <c r="BLS58" s="128"/>
      <c r="BLT58" s="128"/>
      <c r="BLU58" s="128"/>
      <c r="BLV58" s="128"/>
      <c r="BLW58" s="128"/>
      <c r="BLX58" s="128"/>
      <c r="BLY58" s="128"/>
      <c r="BLZ58" s="128"/>
      <c r="BMA58" s="128"/>
      <c r="BMB58" s="128"/>
      <c r="BMC58" s="128"/>
      <c r="BMD58" s="128"/>
      <c r="BME58" s="128"/>
      <c r="BMF58" s="128"/>
      <c r="BMG58" s="128"/>
      <c r="BMH58" s="128"/>
      <c r="BMI58" s="128"/>
      <c r="BMJ58" s="128"/>
      <c r="BMK58" s="128"/>
      <c r="BML58" s="128"/>
      <c r="BMM58" s="128"/>
      <c r="BMN58" s="128"/>
      <c r="BMO58" s="128"/>
      <c r="BMP58" s="128"/>
      <c r="BMQ58" s="128"/>
      <c r="BMR58" s="128"/>
      <c r="BMS58" s="128"/>
      <c r="BMT58" s="128"/>
      <c r="BMU58" s="128"/>
      <c r="BMV58" s="128"/>
      <c r="BMW58" s="129"/>
      <c r="BMX58" s="129"/>
      <c r="BMY58" s="129"/>
      <c r="BMZ58" s="129"/>
      <c r="BNA58" s="129"/>
      <c r="BNB58" s="129"/>
      <c r="BNC58" s="129"/>
      <c r="BND58" s="129"/>
      <c r="BNE58" s="129"/>
      <c r="BNF58" s="129"/>
      <c r="BNG58" s="129"/>
      <c r="BNH58" s="129"/>
      <c r="BNI58" s="129"/>
      <c r="BNJ58" s="129"/>
      <c r="BNK58" s="129"/>
      <c r="BNL58" s="129"/>
      <c r="BNM58" s="129"/>
      <c r="BNN58" s="129"/>
      <c r="BNO58" s="129"/>
      <c r="BNP58" s="129"/>
      <c r="BNQ58" s="129"/>
      <c r="BNR58" s="128"/>
      <c r="BNS58" s="128"/>
      <c r="BNT58" s="128"/>
      <c r="BNU58" s="128"/>
      <c r="BNV58" s="128"/>
      <c r="BNW58" s="128"/>
      <c r="BNX58" s="129"/>
      <c r="BNY58" s="129"/>
      <c r="BNZ58" s="129"/>
      <c r="BOA58" s="129"/>
      <c r="BOB58" s="129"/>
      <c r="BOC58" s="129"/>
      <c r="BOD58" s="129"/>
      <c r="BOE58" s="129"/>
      <c r="BOF58" s="129"/>
      <c r="BOG58" s="129"/>
      <c r="BOH58" s="129"/>
      <c r="BOI58" s="129"/>
      <c r="BOJ58" s="129"/>
      <c r="BOK58" s="129"/>
      <c r="BOL58" s="129"/>
      <c r="BOM58" s="129"/>
      <c r="BON58" s="129"/>
      <c r="BOO58" s="129"/>
      <c r="BOP58" s="129"/>
      <c r="BOQ58" s="129"/>
      <c r="BOR58" s="129"/>
      <c r="BOS58" s="129"/>
      <c r="BOT58" s="129"/>
      <c r="BOU58" s="129"/>
      <c r="BOV58" s="129"/>
      <c r="BOW58" s="129"/>
      <c r="BOX58" s="129"/>
      <c r="BOY58" s="129"/>
      <c r="BOZ58" s="128"/>
      <c r="BPA58" s="128"/>
      <c r="BPB58" s="128"/>
      <c r="BPC58" s="128"/>
      <c r="BPD58" s="128"/>
      <c r="BPE58" s="128"/>
      <c r="BPF58" s="128"/>
      <c r="COP58" s="128" t="s">
        <v>426</v>
      </c>
      <c r="COQ58" s="128"/>
      <c r="COR58" s="128"/>
      <c r="COS58" s="128"/>
      <c r="COT58" s="128"/>
      <c r="COU58" s="128"/>
      <c r="COV58" s="128"/>
      <c r="COW58" s="128"/>
      <c r="COX58" s="128"/>
      <c r="COY58" s="128"/>
      <c r="COZ58" s="128"/>
      <c r="CPA58" s="128"/>
      <c r="CPB58" s="128"/>
      <c r="CPC58" s="128"/>
      <c r="CPD58" s="128"/>
      <c r="CPE58" s="128"/>
      <c r="CPF58" s="128"/>
      <c r="CPG58" s="128"/>
      <c r="CPH58" s="128"/>
      <c r="CPI58" s="128"/>
      <c r="CPJ58" s="128"/>
      <c r="CPK58" s="128"/>
      <c r="CPL58" s="128"/>
      <c r="CPM58" s="128"/>
      <c r="CPN58" s="128"/>
      <c r="CPO58" s="128"/>
      <c r="CPP58" s="128"/>
      <c r="CPQ58" s="128"/>
      <c r="CPR58" s="128"/>
      <c r="CPS58" s="128"/>
      <c r="CPT58" s="128"/>
      <c r="CPU58" s="129"/>
      <c r="CPV58" s="129"/>
      <c r="CPW58" s="129"/>
      <c r="CPX58" s="129"/>
      <c r="CPY58" s="129"/>
      <c r="CPZ58" s="129"/>
      <c r="CQA58" s="129"/>
      <c r="CQB58" s="129"/>
      <c r="CQC58" s="129"/>
      <c r="CQD58" s="129"/>
      <c r="CQE58" s="129"/>
      <c r="CQF58" s="129"/>
      <c r="CQG58" s="129"/>
      <c r="CQH58" s="129"/>
      <c r="CQI58" s="129"/>
      <c r="CQJ58" s="129"/>
      <c r="CQK58" s="129"/>
      <c r="CQL58" s="129"/>
      <c r="CQM58" s="129"/>
      <c r="CQN58" s="129"/>
      <c r="CQO58" s="129"/>
      <c r="CQP58" s="128"/>
      <c r="CQQ58" s="128"/>
      <c r="CQR58" s="128"/>
      <c r="CQS58" s="128"/>
      <c r="CQT58" s="128"/>
      <c r="CQU58" s="128"/>
      <c r="CQV58" s="129"/>
      <c r="CQW58" s="129"/>
      <c r="CQX58" s="129"/>
      <c r="CQY58" s="129"/>
      <c r="CQZ58" s="129"/>
      <c r="CRA58" s="129"/>
      <c r="CRB58" s="129"/>
      <c r="CRC58" s="129"/>
      <c r="CRD58" s="129"/>
      <c r="CRE58" s="129"/>
      <c r="CRF58" s="129"/>
      <c r="CRG58" s="129"/>
      <c r="CRH58" s="129"/>
      <c r="CRI58" s="129"/>
      <c r="CRJ58" s="129"/>
      <c r="CRK58" s="129"/>
      <c r="CRL58" s="129"/>
      <c r="CRM58" s="129"/>
      <c r="CRN58" s="129"/>
      <c r="CRO58" s="129"/>
      <c r="CRP58" s="129"/>
      <c r="CRQ58" s="129"/>
      <c r="CRR58" s="129"/>
      <c r="CRS58" s="129"/>
      <c r="CRT58" s="129"/>
      <c r="CRU58" s="129"/>
      <c r="CRV58" s="129"/>
      <c r="CRW58" s="129"/>
      <c r="CRX58" s="128"/>
      <c r="CRY58" s="128"/>
      <c r="CRZ58" s="128"/>
      <c r="CSA58" s="128"/>
      <c r="CSB58" s="128"/>
      <c r="CSC58" s="128"/>
      <c r="CSD58" s="128"/>
      <c r="CSF58" s="144" t="s">
        <v>147</v>
      </c>
      <c r="CSG58" s="144"/>
      <c r="CSH58" s="144"/>
      <c r="CSI58" s="144"/>
      <c r="CSJ58" s="144"/>
      <c r="CSK58" s="144"/>
      <c r="CSL58" s="144"/>
      <c r="CSM58" s="144"/>
      <c r="CSN58" s="144"/>
      <c r="CSO58" s="144"/>
      <c r="CSP58" s="144"/>
      <c r="CSQ58" s="144"/>
      <c r="CSR58" s="144"/>
      <c r="CSS58" s="144"/>
      <c r="CST58" s="144"/>
      <c r="CSU58" s="144"/>
      <c r="CSV58" s="144"/>
      <c r="CSW58" s="144"/>
      <c r="CSX58" s="144"/>
      <c r="CSY58" s="144"/>
      <c r="CSZ58" s="144"/>
      <c r="CTA58" s="144"/>
      <c r="CTB58" s="144"/>
      <c r="CTC58" s="144"/>
      <c r="CTD58" s="144"/>
      <c r="CTE58" s="144"/>
      <c r="CTF58" s="144"/>
      <c r="CTG58" s="144"/>
      <c r="CTH58" s="144"/>
      <c r="CTI58" s="144"/>
      <c r="CTJ58" s="144"/>
      <c r="CTK58" s="129" t="s">
        <v>133</v>
      </c>
      <c r="CTL58" s="129"/>
      <c r="CTM58" s="129"/>
      <c r="CTN58" s="129"/>
      <c r="CTO58" s="129" t="s">
        <v>148</v>
      </c>
      <c r="CTP58" s="129"/>
      <c r="CTQ58" s="129"/>
      <c r="CTR58" s="129"/>
      <c r="CTS58" s="129"/>
      <c r="CTT58" s="129" t="s">
        <v>83</v>
      </c>
      <c r="CTU58" s="129"/>
      <c r="CTV58" s="129"/>
      <c r="CTW58" s="129"/>
      <c r="CTX58" s="129"/>
      <c r="CTY58" s="129"/>
      <c r="CTZ58" s="129" t="s">
        <v>37</v>
      </c>
      <c r="CUA58" s="129"/>
      <c r="CUB58" s="129"/>
      <c r="CUC58" s="129"/>
      <c r="CUD58" s="129"/>
      <c r="CUE58" s="129"/>
      <c r="CUF58" s="129" t="s">
        <v>49</v>
      </c>
      <c r="CUG58" s="129"/>
      <c r="CUH58" s="129"/>
      <c r="CUI58" s="129"/>
      <c r="CUJ58" s="129"/>
      <c r="CUK58" s="129"/>
      <c r="CUL58" s="129" t="s">
        <v>149</v>
      </c>
      <c r="CUM58" s="129"/>
      <c r="CUN58" s="129"/>
      <c r="CUO58" s="129"/>
      <c r="CUP58" s="129"/>
      <c r="CUQ58" s="129"/>
      <c r="CUR58" s="129"/>
      <c r="CUS58" s="129" t="s">
        <v>150</v>
      </c>
      <c r="CUT58" s="129"/>
      <c r="CUU58" s="129"/>
      <c r="CUV58" s="129"/>
      <c r="CUW58" s="129"/>
      <c r="CUX58" s="129"/>
      <c r="CUY58" s="129"/>
      <c r="CUZ58" s="129" t="s">
        <v>151</v>
      </c>
      <c r="CVA58" s="129"/>
      <c r="CVB58" s="129"/>
      <c r="CVC58" s="129"/>
      <c r="CVD58" s="129"/>
      <c r="CVE58" s="129"/>
      <c r="CVF58" s="129"/>
      <c r="CVG58" s="129" t="s">
        <v>37</v>
      </c>
      <c r="CVH58" s="129"/>
      <c r="CVI58" s="129"/>
      <c r="CVJ58" s="129"/>
      <c r="CVK58" s="129"/>
      <c r="CVL58" s="129"/>
      <c r="CVM58" s="129"/>
      <c r="CVN58" s="129" t="s">
        <v>40</v>
      </c>
      <c r="CVO58" s="129"/>
      <c r="CVP58" s="129"/>
      <c r="CVQ58" s="129"/>
      <c r="CVR58" s="129"/>
      <c r="CVS58" s="129"/>
      <c r="CVT58" s="129"/>
    </row>
    <row r="59" spans="2:364 1118:1774 2434:2902" ht="15" customHeight="1" x14ac:dyDescent="0.25">
      <c r="B59" s="188" t="s">
        <v>2114</v>
      </c>
      <c r="C59" s="189"/>
      <c r="D59" s="189"/>
      <c r="E59" s="189"/>
      <c r="F59" s="189"/>
      <c r="G59" s="189"/>
      <c r="H59" s="189"/>
      <c r="I59" s="189"/>
      <c r="J59" s="189"/>
      <c r="K59" s="189"/>
      <c r="L59" s="189"/>
      <c r="M59" s="189"/>
      <c r="N59" s="189"/>
      <c r="O59" s="189"/>
      <c r="P59" s="311" t="str">
        <f>Calculations!DA13</f>
        <v>No Armour</v>
      </c>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192">
        <v>1</v>
      </c>
      <c r="AP59" s="192"/>
      <c r="AQ59" s="192"/>
      <c r="AR59" s="192"/>
      <c r="AS59" s="192"/>
      <c r="AT59" s="192"/>
      <c r="AU59" s="192"/>
      <c r="AV59" s="192"/>
      <c r="AW59" s="130" t="str">
        <f>IF(P59="No Armour","- -",IF(P59=Calculations!DA13,"- -",VLOOKUP(P59,Armour!$B$4:$AU$99,19,FALSE)*'Character Creation'!$Z$18*'Character Sheet'!$AO59))</f>
        <v>- -</v>
      </c>
      <c r="AX59" s="130"/>
      <c r="AY59" s="130"/>
      <c r="AZ59" s="130"/>
      <c r="BA59" s="130"/>
      <c r="BB59" s="130"/>
      <c r="BC59" s="130"/>
      <c r="BD59" s="130"/>
      <c r="BE59" s="130" t="str">
        <f>IF(P59="No Armour","- -",VLOOKUP(P59,Armour!$B$4:$AU$99,4,FALSE)+BU59+CC59)</f>
        <v>- -</v>
      </c>
      <c r="BF59" s="130"/>
      <c r="BG59" s="130"/>
      <c r="BH59" s="130"/>
      <c r="BI59" s="130"/>
      <c r="BJ59" s="130"/>
      <c r="BK59" s="130"/>
      <c r="BL59" s="130"/>
      <c r="BM59" s="130" t="str">
        <f>IF(P59="No Armour","- -",IF(P59="No Armour",0,VLOOKUP(P59,Armour!$B$4:$AU$99,3,FALSE)+VLOOKUP(((AO59*100)-100),Charts!$AW$2:$AX$42,2,FALSE)))</f>
        <v>- -</v>
      </c>
      <c r="BN59" s="130"/>
      <c r="BO59" s="130"/>
      <c r="BP59" s="130"/>
      <c r="BQ59" s="130"/>
      <c r="BR59" s="130"/>
      <c r="BS59" s="130"/>
      <c r="BT59" s="130"/>
      <c r="BU59" s="195" t="str">
        <f t="shared" si="20"/>
        <v>- -</v>
      </c>
      <c r="BV59" s="195"/>
      <c r="BW59" s="195"/>
      <c r="BX59" s="195"/>
      <c r="BY59" s="195"/>
      <c r="BZ59" s="195"/>
      <c r="CA59" s="195"/>
      <c r="CB59" s="195"/>
      <c r="CC59" s="195" t="str">
        <f t="shared" si="21"/>
        <v>- -</v>
      </c>
      <c r="CD59" s="195"/>
      <c r="CE59" s="195"/>
      <c r="CF59" s="195"/>
      <c r="CG59" s="195"/>
      <c r="CH59" s="195"/>
      <c r="CI59" s="195"/>
      <c r="CJ59" s="195"/>
      <c r="CK59" s="130" t="str">
        <f t="shared" si="18"/>
        <v>- -</v>
      </c>
      <c r="CL59" s="130"/>
      <c r="CM59" s="130"/>
      <c r="CN59" s="130"/>
      <c r="CO59" s="130"/>
      <c r="CP59" s="130"/>
      <c r="CQ59" s="130"/>
      <c r="CR59" s="130"/>
      <c r="CS59" s="130" t="str">
        <f t="shared" si="22"/>
        <v>- -</v>
      </c>
      <c r="CT59" s="130"/>
      <c r="CU59" s="130"/>
      <c r="CV59" s="130"/>
      <c r="CW59" s="130"/>
      <c r="CX59" s="130"/>
      <c r="CY59" s="130"/>
      <c r="CZ59" s="130"/>
      <c r="DA59" s="130" t="str">
        <f>IF(P59="No Armour","- -",VLOOKUP(P59,Armour!$B$4:$EY$99,56,FALSE)+(ROUNDUP(CC59/3,0)))</f>
        <v>- -</v>
      </c>
      <c r="DB59" s="130"/>
      <c r="DC59" s="130"/>
      <c r="DD59" s="130"/>
      <c r="DE59" s="130"/>
      <c r="DF59" s="130"/>
      <c r="DG59" s="130"/>
      <c r="DH59" s="130"/>
      <c r="DI59" s="130" t="str">
        <f>IF(P59="No Armour","- -",VLOOKUP(P59,Armour!$B$4:$EY$99,63,FALSE)+(ROUNDUP(CC59/3,0)))</f>
        <v>- -</v>
      </c>
      <c r="DJ59" s="130"/>
      <c r="DK59" s="130"/>
      <c r="DL59" s="130"/>
      <c r="DM59" s="130"/>
      <c r="DN59" s="130"/>
      <c r="DO59" s="130"/>
      <c r="DP59" s="130"/>
      <c r="DQ59" s="130" t="str">
        <f t="shared" si="23"/>
        <v>- -</v>
      </c>
      <c r="DR59" s="130"/>
      <c r="DS59" s="130"/>
      <c r="DT59" s="130"/>
      <c r="DU59" s="130"/>
      <c r="DV59" s="130"/>
      <c r="DW59" s="130"/>
      <c r="DX59" s="130"/>
      <c r="DY59" s="306"/>
      <c r="DZ59" s="306"/>
      <c r="EA59" s="306"/>
      <c r="EB59" s="306"/>
      <c r="EC59" s="306"/>
      <c r="ED59" s="306"/>
      <c r="EE59" s="306"/>
      <c r="EF59" s="306"/>
      <c r="EG59" s="306"/>
      <c r="EH59" s="306"/>
      <c r="EI59" s="306"/>
      <c r="EJ59" s="306"/>
      <c r="EK59" s="306"/>
      <c r="EL59" s="306"/>
      <c r="EM59" s="306"/>
      <c r="EN59" s="306"/>
      <c r="EO59" s="306"/>
      <c r="EP59" s="306"/>
      <c r="EQ59" s="306"/>
      <c r="ER59" s="306"/>
      <c r="ES59" s="306"/>
      <c r="ET59" s="306"/>
      <c r="EU59" s="306"/>
      <c r="EV59" s="306"/>
      <c r="EW59" s="306"/>
      <c r="EX59" s="306"/>
      <c r="EY59" s="306"/>
      <c r="EZ59" s="307"/>
      <c r="FB59" s="139" t="s">
        <v>2342</v>
      </c>
      <c r="FC59" s="140"/>
      <c r="FD59" s="140"/>
      <c r="FE59" s="140"/>
      <c r="FF59" s="140"/>
      <c r="FG59" s="140"/>
      <c r="FH59" s="140"/>
      <c r="FI59" s="140"/>
      <c r="FJ59" s="140"/>
      <c r="FK59" s="140"/>
      <c r="FL59" s="140"/>
      <c r="FM59" s="140"/>
      <c r="FN59" s="140"/>
      <c r="FO59" s="140"/>
      <c r="FP59" s="140"/>
      <c r="FQ59" s="140"/>
      <c r="FR59" s="140"/>
      <c r="FS59" s="140"/>
      <c r="FT59" s="140"/>
      <c r="FU59" s="140"/>
      <c r="FV59" s="140"/>
      <c r="FW59" s="140"/>
      <c r="FX59" s="140"/>
      <c r="FY59" s="140"/>
      <c r="FZ59" s="140"/>
      <c r="GA59" s="140"/>
      <c r="GB59" s="140"/>
      <c r="GC59" s="140"/>
      <c r="GD59" s="140"/>
      <c r="GE59" s="140"/>
      <c r="GF59" s="140"/>
      <c r="GG59" s="140"/>
      <c r="GH59" s="140"/>
      <c r="GI59" s="140"/>
      <c r="GJ59" s="140"/>
      <c r="GK59" s="140"/>
      <c r="GL59" s="140"/>
      <c r="GM59" s="140"/>
      <c r="GN59" s="140"/>
      <c r="GO59" s="140"/>
      <c r="GP59" s="140"/>
      <c r="GQ59" s="140"/>
      <c r="GR59" s="140"/>
      <c r="GS59" s="140"/>
      <c r="GT59" s="141">
        <v>1</v>
      </c>
      <c r="GU59" s="141"/>
      <c r="GV59" s="141"/>
      <c r="GW59" s="141"/>
      <c r="GX59" s="141"/>
      <c r="GY59" s="141"/>
      <c r="GZ59" s="141"/>
      <c r="HA59" s="141"/>
      <c r="HB59" s="142">
        <f>IFERROR(ROUND(Calculations!BV60*GT59,2),"")</f>
        <v>0.25</v>
      </c>
      <c r="HC59" s="142"/>
      <c r="HD59" s="142"/>
      <c r="HE59" s="142"/>
      <c r="HF59" s="142"/>
      <c r="HG59" s="142"/>
      <c r="HH59" s="142"/>
      <c r="HI59" s="142"/>
      <c r="HJ59" s="142">
        <f>IFERROR(Calculations!BS60+IQ59+IX59,"")</f>
        <v>60</v>
      </c>
      <c r="HK59" s="142"/>
      <c r="HL59" s="142"/>
      <c r="HM59" s="142"/>
      <c r="HN59" s="142"/>
      <c r="HO59" s="142"/>
      <c r="HP59" s="142"/>
      <c r="HQ59" s="142"/>
      <c r="HR59" s="142">
        <f t="shared" si="9"/>
        <v>0</v>
      </c>
      <c r="HS59" s="142"/>
      <c r="HT59" s="142"/>
      <c r="HU59" s="142"/>
      <c r="HV59" s="142"/>
      <c r="HW59" s="142"/>
      <c r="HX59" s="142"/>
      <c r="HY59" s="142"/>
      <c r="HZ59" s="142" t="str">
        <f>IFERROR(Calculations!BX60,"")</f>
        <v>$0.2</v>
      </c>
      <c r="IA59" s="142"/>
      <c r="IB59" s="142"/>
      <c r="IC59" s="142"/>
      <c r="ID59" s="142"/>
      <c r="IE59" s="142"/>
      <c r="IF59" s="142"/>
      <c r="IG59" s="142"/>
      <c r="IH59" s="142"/>
      <c r="II59" s="142"/>
      <c r="IJ59" s="142">
        <f>IFERROR(Calculations!BR60+IX59,"")</f>
        <v>0</v>
      </c>
      <c r="IK59" s="142"/>
      <c r="IL59" s="142"/>
      <c r="IM59" s="142"/>
      <c r="IN59" s="142"/>
      <c r="IO59" s="142"/>
      <c r="IP59" s="142"/>
      <c r="IQ59" s="141">
        <v>0</v>
      </c>
      <c r="IR59" s="141"/>
      <c r="IS59" s="141"/>
      <c r="IT59" s="141"/>
      <c r="IU59" s="141"/>
      <c r="IV59" s="141"/>
      <c r="IW59" s="141"/>
      <c r="IX59" s="141">
        <v>0</v>
      </c>
      <c r="IY59" s="141"/>
      <c r="IZ59" s="141"/>
      <c r="JA59" s="141"/>
      <c r="JB59" s="141"/>
      <c r="JC59" s="141"/>
      <c r="JD59" s="141"/>
      <c r="JE59" s="141"/>
      <c r="JF59" s="142"/>
      <c r="JG59" s="142"/>
      <c r="JH59" s="142"/>
      <c r="JI59" s="142"/>
      <c r="JJ59" s="142"/>
      <c r="JK59" s="143" t="str">
        <f>Calculations!AS60</f>
        <v>Ash</v>
      </c>
      <c r="JL59" s="143"/>
      <c r="JM59" s="143"/>
      <c r="JN59" s="143"/>
      <c r="JO59" s="143"/>
      <c r="JP59" s="143"/>
      <c r="JQ59" s="143"/>
      <c r="JR59" s="143"/>
      <c r="JS59" s="143"/>
      <c r="JT59" s="143"/>
      <c r="JU59" s="143"/>
      <c r="JV59" s="143"/>
      <c r="JW59" s="143"/>
      <c r="JX59" s="143"/>
      <c r="JY59" s="143"/>
      <c r="JZ59" s="143"/>
      <c r="KA59" s="143"/>
      <c r="KB59" s="143"/>
      <c r="KC59" s="143" t="str">
        <f>Calculations!AW60</f>
        <v>Ash</v>
      </c>
      <c r="KD59" s="143"/>
      <c r="KE59" s="143"/>
      <c r="KF59" s="143"/>
      <c r="KG59" s="143"/>
      <c r="KH59" s="143"/>
      <c r="KI59" s="143"/>
      <c r="KJ59" s="143"/>
      <c r="KK59" s="143"/>
      <c r="KL59" s="143"/>
      <c r="KM59" s="143"/>
      <c r="KN59" s="143"/>
      <c r="KO59" s="143"/>
      <c r="KP59" s="143"/>
      <c r="KQ59" s="143"/>
      <c r="KR59" s="143"/>
      <c r="KS59" s="143"/>
      <c r="KT59" s="143"/>
      <c r="KU59" s="144"/>
      <c r="KV59" s="144"/>
      <c r="KW59" s="144"/>
      <c r="KX59" s="144"/>
      <c r="KY59" s="144"/>
      <c r="KZ59" s="144"/>
      <c r="LA59" s="144"/>
      <c r="LB59" s="144"/>
      <c r="LC59" s="144"/>
      <c r="LD59" s="144"/>
      <c r="LE59" s="144"/>
      <c r="LF59" s="144"/>
      <c r="LG59" s="144"/>
      <c r="LH59" s="144"/>
      <c r="LI59" s="144"/>
      <c r="LJ59" s="144"/>
      <c r="LK59" s="144"/>
      <c r="LL59" s="144"/>
      <c r="LM59" s="144"/>
      <c r="LN59" s="144"/>
      <c r="LO59" s="144"/>
      <c r="LP59" s="144"/>
      <c r="LQ59" s="144"/>
      <c r="LR59" s="144"/>
      <c r="LS59" s="144"/>
      <c r="LT59" s="144"/>
      <c r="LU59" s="144"/>
      <c r="LV59" s="144"/>
      <c r="LW59" s="144"/>
      <c r="LX59" s="144"/>
      <c r="LY59" s="144"/>
      <c r="LZ59" s="144"/>
      <c r="MA59" s="144"/>
      <c r="MB59" s="144"/>
      <c r="MC59" s="144"/>
      <c r="MD59" s="144"/>
      <c r="ME59" s="144"/>
      <c r="MF59" s="144"/>
      <c r="MG59" s="144"/>
      <c r="MH59" s="144"/>
      <c r="MI59" s="144"/>
      <c r="MJ59" s="144"/>
      <c r="MK59" s="144"/>
      <c r="ML59" s="144"/>
      <c r="MM59" s="144"/>
      <c r="MN59" s="144"/>
      <c r="MO59" s="144"/>
      <c r="MP59" s="144"/>
      <c r="MQ59" s="144"/>
      <c r="MR59" s="144"/>
      <c r="MS59" s="144"/>
      <c r="MT59" s="144"/>
      <c r="MU59" s="144"/>
      <c r="MV59" s="144"/>
      <c r="MW59" s="144"/>
      <c r="MX59" s="144"/>
      <c r="MY59" s="144"/>
      <c r="MZ59" s="145"/>
      <c r="BLR59" s="128" t="s">
        <v>345</v>
      </c>
      <c r="BLS59" s="128"/>
      <c r="BLT59" s="128"/>
      <c r="BLU59" s="128"/>
      <c r="BLV59" s="128"/>
      <c r="BLW59" s="128"/>
      <c r="BLX59" s="128"/>
      <c r="BLY59" s="128"/>
      <c r="BLZ59" s="128"/>
      <c r="BMA59" s="128"/>
      <c r="BMB59" s="128"/>
      <c r="BMC59" s="128"/>
      <c r="BMD59" s="128"/>
      <c r="BME59" s="128"/>
      <c r="BMF59" s="128"/>
      <c r="BMG59" s="128"/>
      <c r="BMH59" s="128"/>
      <c r="BMI59" s="128"/>
      <c r="BMJ59" s="128"/>
      <c r="BMK59" s="128"/>
      <c r="BML59" s="128"/>
      <c r="BMM59" s="128"/>
      <c r="BMN59" s="128"/>
      <c r="BMO59" s="128"/>
      <c r="BMP59" s="128"/>
      <c r="BMQ59" s="128"/>
      <c r="BMR59" s="128"/>
      <c r="BMS59" s="128"/>
      <c r="BMT59" s="128"/>
      <c r="BMU59" s="128"/>
      <c r="BMV59" s="128"/>
      <c r="BMW59" s="129"/>
      <c r="BMX59" s="129"/>
      <c r="BMY59" s="129"/>
      <c r="BMZ59" s="129"/>
      <c r="BNA59" s="129"/>
      <c r="BNB59" s="129"/>
      <c r="BNC59" s="129"/>
      <c r="BND59" s="129"/>
      <c r="BNE59" s="129"/>
      <c r="BNF59" s="129"/>
      <c r="BNG59" s="129"/>
      <c r="BNH59" s="129"/>
      <c r="BNI59" s="129"/>
      <c r="BNJ59" s="129"/>
      <c r="BNK59" s="129"/>
      <c r="BNL59" s="129"/>
      <c r="BNM59" s="129"/>
      <c r="BNN59" s="129"/>
      <c r="BNO59" s="129"/>
      <c r="BNP59" s="129"/>
      <c r="BNQ59" s="129"/>
      <c r="BNR59" s="128"/>
      <c r="BNS59" s="128"/>
      <c r="BNT59" s="128"/>
      <c r="BNU59" s="128"/>
      <c r="BNV59" s="128"/>
      <c r="BNW59" s="128"/>
      <c r="BNX59" s="129"/>
      <c r="BNY59" s="129"/>
      <c r="BNZ59" s="129"/>
      <c r="BOA59" s="129"/>
      <c r="BOB59" s="129"/>
      <c r="BOC59" s="129"/>
      <c r="BOD59" s="129"/>
      <c r="BOE59" s="129"/>
      <c r="BOF59" s="129"/>
      <c r="BOG59" s="129"/>
      <c r="BOH59" s="129"/>
      <c r="BOI59" s="129"/>
      <c r="BOJ59" s="129"/>
      <c r="BOK59" s="129"/>
      <c r="BOL59" s="129"/>
      <c r="BOM59" s="129"/>
      <c r="BON59" s="129"/>
      <c r="BOO59" s="129"/>
      <c r="BOP59" s="129"/>
      <c r="BOQ59" s="129"/>
      <c r="BOR59" s="129"/>
      <c r="BOS59" s="129"/>
      <c r="BOT59" s="129"/>
      <c r="BOU59" s="129"/>
      <c r="BOV59" s="129"/>
      <c r="BOW59" s="129"/>
      <c r="BOX59" s="129"/>
      <c r="BOY59" s="129"/>
      <c r="BOZ59" s="128"/>
      <c r="BPA59" s="128"/>
      <c r="BPB59" s="128"/>
      <c r="BPC59" s="128"/>
      <c r="BPD59" s="128"/>
      <c r="BPE59" s="128"/>
      <c r="BPF59" s="128"/>
      <c r="COP59" s="128" t="s">
        <v>427</v>
      </c>
      <c r="COQ59" s="128"/>
      <c r="COR59" s="128"/>
      <c r="COS59" s="128"/>
      <c r="COT59" s="128"/>
      <c r="COU59" s="128"/>
      <c r="COV59" s="128"/>
      <c r="COW59" s="128"/>
      <c r="COX59" s="128"/>
      <c r="COY59" s="128"/>
      <c r="COZ59" s="128"/>
      <c r="CPA59" s="128"/>
      <c r="CPB59" s="128"/>
      <c r="CPC59" s="128"/>
      <c r="CPD59" s="128"/>
      <c r="CPE59" s="128"/>
      <c r="CPF59" s="128"/>
      <c r="CPG59" s="128"/>
      <c r="CPH59" s="128"/>
      <c r="CPI59" s="128"/>
      <c r="CPJ59" s="128"/>
      <c r="CPK59" s="128"/>
      <c r="CPL59" s="128"/>
      <c r="CPM59" s="128"/>
      <c r="CPN59" s="128"/>
      <c r="CPO59" s="128"/>
      <c r="CPP59" s="128"/>
      <c r="CPQ59" s="128"/>
      <c r="CPR59" s="128"/>
      <c r="CPS59" s="128"/>
      <c r="CPT59" s="128"/>
      <c r="CPU59" s="129"/>
      <c r="CPV59" s="129"/>
      <c r="CPW59" s="129"/>
      <c r="CPX59" s="129"/>
      <c r="CPY59" s="129"/>
      <c r="CPZ59" s="129"/>
      <c r="CQA59" s="129"/>
      <c r="CQB59" s="129"/>
      <c r="CQC59" s="129"/>
      <c r="CQD59" s="129"/>
      <c r="CQE59" s="129"/>
      <c r="CQF59" s="129"/>
      <c r="CQG59" s="129"/>
      <c r="CQH59" s="129"/>
      <c r="CQI59" s="129"/>
      <c r="CQJ59" s="129"/>
      <c r="CQK59" s="129"/>
      <c r="CQL59" s="129"/>
      <c r="CQM59" s="129"/>
      <c r="CQN59" s="129"/>
      <c r="CQO59" s="129"/>
      <c r="CQP59" s="128"/>
      <c r="CQQ59" s="128"/>
      <c r="CQR59" s="128"/>
      <c r="CQS59" s="128"/>
      <c r="CQT59" s="128"/>
      <c r="CQU59" s="128"/>
      <c r="CQV59" s="129"/>
      <c r="CQW59" s="129"/>
      <c r="CQX59" s="129"/>
      <c r="CQY59" s="129"/>
      <c r="CQZ59" s="129"/>
      <c r="CRA59" s="129"/>
      <c r="CRB59" s="129"/>
      <c r="CRC59" s="129"/>
      <c r="CRD59" s="129"/>
      <c r="CRE59" s="129"/>
      <c r="CRF59" s="129"/>
      <c r="CRG59" s="129"/>
      <c r="CRH59" s="129"/>
      <c r="CRI59" s="129"/>
      <c r="CRJ59" s="129"/>
      <c r="CRK59" s="129"/>
      <c r="CRL59" s="129"/>
      <c r="CRM59" s="129"/>
      <c r="CRN59" s="129"/>
      <c r="CRO59" s="129"/>
      <c r="CRP59" s="129"/>
      <c r="CRQ59" s="129"/>
      <c r="CRR59" s="129"/>
      <c r="CRS59" s="129"/>
      <c r="CRT59" s="129"/>
      <c r="CRU59" s="129"/>
      <c r="CRV59" s="129"/>
      <c r="CRW59" s="129"/>
      <c r="CRX59" s="128"/>
      <c r="CRY59" s="128"/>
      <c r="CRZ59" s="128"/>
      <c r="CSA59" s="128"/>
      <c r="CSB59" s="128"/>
      <c r="CSC59" s="128"/>
      <c r="CSD59" s="128"/>
      <c r="CSF59" s="128" t="s">
        <v>590</v>
      </c>
      <c r="CSG59" s="128"/>
      <c r="CSH59" s="128"/>
      <c r="CSI59" s="128"/>
      <c r="CSJ59" s="128"/>
      <c r="CSK59" s="128"/>
      <c r="CSL59" s="128"/>
      <c r="CSM59" s="128"/>
      <c r="CSN59" s="128"/>
      <c r="CSO59" s="128"/>
      <c r="CSP59" s="128"/>
      <c r="CSQ59" s="128"/>
      <c r="CSR59" s="128"/>
      <c r="CSS59" s="128"/>
      <c r="CST59" s="128"/>
      <c r="CSU59" s="128"/>
      <c r="CSV59" s="128"/>
      <c r="CSW59" s="128"/>
      <c r="CSX59" s="128"/>
      <c r="CSY59" s="128"/>
      <c r="CSZ59" s="128"/>
      <c r="CTA59" s="128"/>
      <c r="CTB59" s="128"/>
      <c r="CTC59" s="128"/>
      <c r="CTD59" s="128"/>
      <c r="CTE59" s="128"/>
      <c r="CTF59" s="128"/>
      <c r="CTG59" s="128"/>
      <c r="CTH59" s="128"/>
      <c r="CTI59" s="128"/>
      <c r="CTJ59" s="128"/>
      <c r="CTK59" s="129"/>
      <c r="CTL59" s="129"/>
      <c r="CTM59" s="129"/>
      <c r="CTN59" s="129"/>
      <c r="CTO59" s="129"/>
      <c r="CTP59" s="129"/>
      <c r="CTQ59" s="129"/>
      <c r="CTR59" s="129"/>
      <c r="CTS59" s="129"/>
      <c r="CTT59" s="129"/>
      <c r="CTU59" s="129"/>
      <c r="CTV59" s="129"/>
      <c r="CTW59" s="129"/>
      <c r="CTX59" s="129"/>
      <c r="CTY59" s="129"/>
      <c r="CTZ59" s="129"/>
      <c r="CUA59" s="129"/>
      <c r="CUB59" s="129"/>
      <c r="CUC59" s="129"/>
      <c r="CUD59" s="129"/>
      <c r="CUE59" s="129"/>
      <c r="CUF59" s="128"/>
      <c r="CUG59" s="128"/>
      <c r="CUH59" s="128"/>
      <c r="CUI59" s="128"/>
      <c r="CUJ59" s="128"/>
      <c r="CUK59" s="128"/>
      <c r="CUL59" s="129"/>
      <c r="CUM59" s="129"/>
      <c r="CUN59" s="129"/>
      <c r="CUO59" s="129"/>
      <c r="CUP59" s="129"/>
      <c r="CUQ59" s="129"/>
      <c r="CUR59" s="129"/>
      <c r="CUS59" s="129"/>
      <c r="CUT59" s="129"/>
      <c r="CUU59" s="129"/>
      <c r="CUV59" s="129"/>
      <c r="CUW59" s="129"/>
      <c r="CUX59" s="129"/>
      <c r="CUY59" s="129"/>
      <c r="CUZ59" s="129"/>
      <c r="CVA59" s="129"/>
      <c r="CVB59" s="129"/>
      <c r="CVC59" s="129"/>
      <c r="CVD59" s="129"/>
      <c r="CVE59" s="129"/>
      <c r="CVF59" s="129"/>
      <c r="CVG59" s="129"/>
      <c r="CVH59" s="129"/>
      <c r="CVI59" s="129"/>
      <c r="CVJ59" s="129"/>
      <c r="CVK59" s="129"/>
      <c r="CVL59" s="129"/>
      <c r="CVM59" s="129"/>
      <c r="CVN59" s="128"/>
      <c r="CVO59" s="128"/>
      <c r="CVP59" s="128"/>
      <c r="CVQ59" s="128"/>
      <c r="CVR59" s="128"/>
      <c r="CVS59" s="128"/>
      <c r="CVT59" s="128"/>
    </row>
    <row r="60" spans="2:364 1118:1774 2434:2902" ht="15" customHeight="1" x14ac:dyDescent="0.25">
      <c r="B60" s="190" t="s">
        <v>2115</v>
      </c>
      <c r="C60" s="191"/>
      <c r="D60" s="191"/>
      <c r="E60" s="191"/>
      <c r="F60" s="191"/>
      <c r="G60" s="191"/>
      <c r="H60" s="191"/>
      <c r="I60" s="191"/>
      <c r="J60" s="191"/>
      <c r="K60" s="191"/>
      <c r="L60" s="191"/>
      <c r="M60" s="191"/>
      <c r="N60" s="191"/>
      <c r="O60" s="191"/>
      <c r="P60" s="312" t="str">
        <f>Calculations!DA14</f>
        <v>No Armour</v>
      </c>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193">
        <v>1</v>
      </c>
      <c r="AP60" s="193"/>
      <c r="AQ60" s="193"/>
      <c r="AR60" s="193"/>
      <c r="AS60" s="193"/>
      <c r="AT60" s="193"/>
      <c r="AU60" s="193"/>
      <c r="AV60" s="193"/>
      <c r="AW60" s="131" t="str">
        <f>IF(P60="No Armour","- -",IF(P60=Calculations!DA14,"- -",VLOOKUP(P60,Armour!$B$4:$AU$99,19,FALSE)*'Character Creation'!$Z$18*'Character Sheet'!$AO60))</f>
        <v>- -</v>
      </c>
      <c r="AX60" s="131"/>
      <c r="AY60" s="131"/>
      <c r="AZ60" s="131"/>
      <c r="BA60" s="131"/>
      <c r="BB60" s="131"/>
      <c r="BC60" s="131"/>
      <c r="BD60" s="131"/>
      <c r="BE60" s="131" t="str">
        <f>IF(P60="No Armour","- -",VLOOKUP(P60,Armour!$B$4:$AU$99,4,FALSE)+BU60+CC60)</f>
        <v>- -</v>
      </c>
      <c r="BF60" s="131"/>
      <c r="BG60" s="131"/>
      <c r="BH60" s="131"/>
      <c r="BI60" s="131"/>
      <c r="BJ60" s="131"/>
      <c r="BK60" s="131"/>
      <c r="BL60" s="131"/>
      <c r="BM60" s="131" t="str">
        <f>IF(P60="No Armour","- -",IF(P60="No Armour",0,VLOOKUP(P60,Armour!$B$4:$AU$99,3,FALSE)+VLOOKUP(((AO60*100)-100),Charts!$AW$2:$AX$42,2,FALSE)))</f>
        <v>- -</v>
      </c>
      <c r="BN60" s="131"/>
      <c r="BO60" s="131"/>
      <c r="BP60" s="131"/>
      <c r="BQ60" s="131"/>
      <c r="BR60" s="131"/>
      <c r="BS60" s="131"/>
      <c r="BT60" s="131"/>
      <c r="BU60" s="194" t="str">
        <f t="shared" si="20"/>
        <v>- -</v>
      </c>
      <c r="BV60" s="194"/>
      <c r="BW60" s="194"/>
      <c r="BX60" s="194"/>
      <c r="BY60" s="194"/>
      <c r="BZ60" s="194"/>
      <c r="CA60" s="194"/>
      <c r="CB60" s="194"/>
      <c r="CC60" s="194" t="str">
        <f t="shared" si="21"/>
        <v>- -</v>
      </c>
      <c r="CD60" s="194"/>
      <c r="CE60" s="194"/>
      <c r="CF60" s="194"/>
      <c r="CG60" s="194"/>
      <c r="CH60" s="194"/>
      <c r="CI60" s="194"/>
      <c r="CJ60" s="194"/>
      <c r="CK60" s="131" t="str">
        <f t="shared" si="18"/>
        <v>- -</v>
      </c>
      <c r="CL60" s="131"/>
      <c r="CM60" s="131"/>
      <c r="CN60" s="131"/>
      <c r="CO60" s="131"/>
      <c r="CP60" s="131"/>
      <c r="CQ60" s="131"/>
      <c r="CR60" s="131"/>
      <c r="CS60" s="131" t="str">
        <f t="shared" si="22"/>
        <v>- -</v>
      </c>
      <c r="CT60" s="131"/>
      <c r="CU60" s="131"/>
      <c r="CV60" s="131"/>
      <c r="CW60" s="131"/>
      <c r="CX60" s="131"/>
      <c r="CY60" s="131"/>
      <c r="CZ60" s="131"/>
      <c r="DA60" s="131" t="str">
        <f>IF(P60="No Armour","- -",VLOOKUP(P60,Armour!$B$4:$EY$99,56,FALSE)+(ROUNDUP(CC60/3,0)))</f>
        <v>- -</v>
      </c>
      <c r="DB60" s="131"/>
      <c r="DC60" s="131"/>
      <c r="DD60" s="131"/>
      <c r="DE60" s="131"/>
      <c r="DF60" s="131"/>
      <c r="DG60" s="131"/>
      <c r="DH60" s="131"/>
      <c r="DI60" s="131" t="str">
        <f>IF(P60="No Armour","- -",VLOOKUP(P60,Armour!$B$4:$EY$99,63,FALSE)+(ROUNDUP(CC60/3,0)))</f>
        <v>- -</v>
      </c>
      <c r="DJ60" s="131"/>
      <c r="DK60" s="131"/>
      <c r="DL60" s="131"/>
      <c r="DM60" s="131"/>
      <c r="DN60" s="131"/>
      <c r="DO60" s="131"/>
      <c r="DP60" s="131"/>
      <c r="DQ60" s="131" t="str">
        <f t="shared" si="23"/>
        <v>- -</v>
      </c>
      <c r="DR60" s="131"/>
      <c r="DS60" s="131"/>
      <c r="DT60" s="131"/>
      <c r="DU60" s="131"/>
      <c r="DV60" s="131"/>
      <c r="DW60" s="131"/>
      <c r="DX60" s="131"/>
      <c r="DY60" s="136"/>
      <c r="DZ60" s="136"/>
      <c r="EA60" s="136"/>
      <c r="EB60" s="136"/>
      <c r="EC60" s="136"/>
      <c r="ED60" s="136"/>
      <c r="EE60" s="136"/>
      <c r="EF60" s="136"/>
      <c r="EG60" s="136"/>
      <c r="EH60" s="136"/>
      <c r="EI60" s="136"/>
      <c r="EJ60" s="136"/>
      <c r="EK60" s="136"/>
      <c r="EL60" s="136"/>
      <c r="EM60" s="136"/>
      <c r="EN60" s="136"/>
      <c r="EO60" s="136"/>
      <c r="EP60" s="136"/>
      <c r="EQ60" s="136"/>
      <c r="ER60" s="136"/>
      <c r="ES60" s="136"/>
      <c r="ET60" s="136"/>
      <c r="EU60" s="136"/>
      <c r="EV60" s="136"/>
      <c r="EW60" s="136"/>
      <c r="EX60" s="136"/>
      <c r="EY60" s="136"/>
      <c r="EZ60" s="313"/>
      <c r="FB60" s="139" t="s">
        <v>3087</v>
      </c>
      <c r="FC60" s="140"/>
      <c r="FD60" s="140"/>
      <c r="FE60" s="140"/>
      <c r="FF60" s="140"/>
      <c r="FG60" s="140"/>
      <c r="FH60" s="140"/>
      <c r="FI60" s="140"/>
      <c r="FJ60" s="140"/>
      <c r="FK60" s="140"/>
      <c r="FL60" s="140"/>
      <c r="FM60" s="140"/>
      <c r="FN60" s="140"/>
      <c r="FO60" s="140"/>
      <c r="FP60" s="140"/>
      <c r="FQ60" s="140"/>
      <c r="FR60" s="140"/>
      <c r="FS60" s="140"/>
      <c r="FT60" s="140"/>
      <c r="FU60" s="140"/>
      <c r="FV60" s="140"/>
      <c r="FW60" s="140"/>
      <c r="FX60" s="140"/>
      <c r="FY60" s="140"/>
      <c r="FZ60" s="140"/>
      <c r="GA60" s="140"/>
      <c r="GB60" s="140"/>
      <c r="GC60" s="140"/>
      <c r="GD60" s="140"/>
      <c r="GE60" s="140"/>
      <c r="GF60" s="140"/>
      <c r="GG60" s="140"/>
      <c r="GH60" s="140"/>
      <c r="GI60" s="140"/>
      <c r="GJ60" s="140"/>
      <c r="GK60" s="140"/>
      <c r="GL60" s="140"/>
      <c r="GM60" s="140"/>
      <c r="GN60" s="140"/>
      <c r="GO60" s="140"/>
      <c r="GP60" s="140"/>
      <c r="GQ60" s="140"/>
      <c r="GR60" s="140"/>
      <c r="GS60" s="140"/>
      <c r="GT60" s="141">
        <v>1</v>
      </c>
      <c r="GU60" s="141"/>
      <c r="GV60" s="141"/>
      <c r="GW60" s="141"/>
      <c r="GX60" s="141"/>
      <c r="GY60" s="141"/>
      <c r="GZ60" s="141"/>
      <c r="HA60" s="141"/>
      <c r="HB60" s="142">
        <f>IFERROR(ROUND(Calculations!BV61*GT60,2),"")</f>
        <v>0.5</v>
      </c>
      <c r="HC60" s="142"/>
      <c r="HD60" s="142"/>
      <c r="HE60" s="142"/>
      <c r="HF60" s="142"/>
      <c r="HG60" s="142"/>
      <c r="HH60" s="142"/>
      <c r="HI60" s="142"/>
      <c r="HJ60" s="142">
        <f>IFERROR(Calculations!BS61+IQ60+IX60,"")</f>
        <v>55</v>
      </c>
      <c r="HK60" s="142"/>
      <c r="HL60" s="142"/>
      <c r="HM60" s="142"/>
      <c r="HN60" s="142"/>
      <c r="HO60" s="142"/>
      <c r="HP60" s="142"/>
      <c r="HQ60" s="142"/>
      <c r="HR60" s="142">
        <f t="shared" si="9"/>
        <v>0</v>
      </c>
      <c r="HS60" s="142"/>
      <c r="HT60" s="142"/>
      <c r="HU60" s="142"/>
      <c r="HV60" s="142"/>
      <c r="HW60" s="142"/>
      <c r="HX60" s="142"/>
      <c r="HY60" s="142"/>
      <c r="HZ60" s="142" t="str">
        <f>IFERROR(Calculations!BX61,"")</f>
        <v>$0.57</v>
      </c>
      <c r="IA60" s="142"/>
      <c r="IB60" s="142"/>
      <c r="IC60" s="142"/>
      <c r="ID60" s="142"/>
      <c r="IE60" s="142"/>
      <c r="IF60" s="142"/>
      <c r="IG60" s="142"/>
      <c r="IH60" s="142"/>
      <c r="II60" s="142"/>
      <c r="IJ60" s="142">
        <f>IFERROR(Calculations!BR61+IX60,"")</f>
        <v>0</v>
      </c>
      <c r="IK60" s="142"/>
      <c r="IL60" s="142"/>
      <c r="IM60" s="142"/>
      <c r="IN60" s="142"/>
      <c r="IO60" s="142"/>
      <c r="IP60" s="142"/>
      <c r="IQ60" s="141">
        <v>0</v>
      </c>
      <c r="IR60" s="141"/>
      <c r="IS60" s="141"/>
      <c r="IT60" s="141"/>
      <c r="IU60" s="141"/>
      <c r="IV60" s="141"/>
      <c r="IW60" s="141"/>
      <c r="IX60" s="141">
        <v>0</v>
      </c>
      <c r="IY60" s="141"/>
      <c r="IZ60" s="141"/>
      <c r="JA60" s="141"/>
      <c r="JB60" s="141"/>
      <c r="JC60" s="141"/>
      <c r="JD60" s="141"/>
      <c r="JE60" s="141"/>
      <c r="JF60" s="142"/>
      <c r="JG60" s="142"/>
      <c r="JH60" s="142"/>
      <c r="JI60" s="142"/>
      <c r="JJ60" s="142"/>
      <c r="JK60" s="143" t="str">
        <f>Calculations!AS61</f>
        <v>Brass</v>
      </c>
      <c r="JL60" s="143"/>
      <c r="JM60" s="143"/>
      <c r="JN60" s="143"/>
      <c r="JO60" s="143"/>
      <c r="JP60" s="143"/>
      <c r="JQ60" s="143"/>
      <c r="JR60" s="143"/>
      <c r="JS60" s="143"/>
      <c r="JT60" s="143"/>
      <c r="JU60" s="143"/>
      <c r="JV60" s="143"/>
      <c r="JW60" s="143"/>
      <c r="JX60" s="143"/>
      <c r="JY60" s="143"/>
      <c r="JZ60" s="143"/>
      <c r="KA60" s="143"/>
      <c r="KB60" s="143"/>
      <c r="KC60" s="143" t="str">
        <f>Calculations!AW61</f>
        <v>Brass</v>
      </c>
      <c r="KD60" s="143"/>
      <c r="KE60" s="143"/>
      <c r="KF60" s="143"/>
      <c r="KG60" s="143"/>
      <c r="KH60" s="143"/>
      <c r="KI60" s="143"/>
      <c r="KJ60" s="143"/>
      <c r="KK60" s="143"/>
      <c r="KL60" s="143"/>
      <c r="KM60" s="143"/>
      <c r="KN60" s="143"/>
      <c r="KO60" s="143"/>
      <c r="KP60" s="143"/>
      <c r="KQ60" s="143"/>
      <c r="KR60" s="143"/>
      <c r="KS60" s="143"/>
      <c r="KT60" s="143"/>
      <c r="KU60" s="144"/>
      <c r="KV60" s="144"/>
      <c r="KW60" s="144"/>
      <c r="KX60" s="144"/>
      <c r="KY60" s="144"/>
      <c r="KZ60" s="144"/>
      <c r="LA60" s="144"/>
      <c r="LB60" s="144"/>
      <c r="LC60" s="144"/>
      <c r="LD60" s="144"/>
      <c r="LE60" s="144"/>
      <c r="LF60" s="144"/>
      <c r="LG60" s="144"/>
      <c r="LH60" s="144"/>
      <c r="LI60" s="144"/>
      <c r="LJ60" s="144"/>
      <c r="LK60" s="144"/>
      <c r="LL60" s="144"/>
      <c r="LM60" s="144"/>
      <c r="LN60" s="144"/>
      <c r="LO60" s="144"/>
      <c r="LP60" s="144"/>
      <c r="LQ60" s="144"/>
      <c r="LR60" s="144"/>
      <c r="LS60" s="144"/>
      <c r="LT60" s="144"/>
      <c r="LU60" s="144"/>
      <c r="LV60" s="144"/>
      <c r="LW60" s="144"/>
      <c r="LX60" s="144"/>
      <c r="LY60" s="144"/>
      <c r="LZ60" s="144"/>
      <c r="MA60" s="144"/>
      <c r="MB60" s="144"/>
      <c r="MC60" s="144"/>
      <c r="MD60" s="144"/>
      <c r="ME60" s="144"/>
      <c r="MF60" s="144"/>
      <c r="MG60" s="144"/>
      <c r="MH60" s="144"/>
      <c r="MI60" s="144"/>
      <c r="MJ60" s="144"/>
      <c r="MK60" s="144"/>
      <c r="ML60" s="144"/>
      <c r="MM60" s="144"/>
      <c r="MN60" s="144"/>
      <c r="MO60" s="144"/>
      <c r="MP60" s="144"/>
      <c r="MQ60" s="144"/>
      <c r="MR60" s="144"/>
      <c r="MS60" s="144"/>
      <c r="MT60" s="144"/>
      <c r="MU60" s="144"/>
      <c r="MV60" s="144"/>
      <c r="MW60" s="144"/>
      <c r="MX60" s="144"/>
      <c r="MY60" s="144"/>
      <c r="MZ60" s="145"/>
      <c r="BLR60" s="128" t="s">
        <v>346</v>
      </c>
      <c r="BLS60" s="128"/>
      <c r="BLT60" s="128"/>
      <c r="BLU60" s="128"/>
      <c r="BLV60" s="128"/>
      <c r="BLW60" s="128"/>
      <c r="BLX60" s="128"/>
      <c r="BLY60" s="128"/>
      <c r="BLZ60" s="128"/>
      <c r="BMA60" s="128"/>
      <c r="BMB60" s="128"/>
      <c r="BMC60" s="128"/>
      <c r="BMD60" s="128"/>
      <c r="BME60" s="128"/>
      <c r="BMF60" s="128"/>
      <c r="BMG60" s="128"/>
      <c r="BMH60" s="128"/>
      <c r="BMI60" s="128"/>
      <c r="BMJ60" s="128"/>
      <c r="BMK60" s="128"/>
      <c r="BML60" s="128"/>
      <c r="BMM60" s="128"/>
      <c r="BMN60" s="128"/>
      <c r="BMO60" s="128"/>
      <c r="BMP60" s="128"/>
      <c r="BMQ60" s="128"/>
      <c r="BMR60" s="128"/>
      <c r="BMS60" s="128"/>
      <c r="BMT60" s="128"/>
      <c r="BMU60" s="128"/>
      <c r="BMV60" s="128"/>
      <c r="BMW60" s="129"/>
      <c r="BMX60" s="129"/>
      <c r="BMY60" s="129"/>
      <c r="BMZ60" s="129"/>
      <c r="BNA60" s="129"/>
      <c r="BNB60" s="129"/>
      <c r="BNC60" s="129"/>
      <c r="BND60" s="129"/>
      <c r="BNE60" s="129"/>
      <c r="BNF60" s="129"/>
      <c r="BNG60" s="129"/>
      <c r="BNH60" s="129"/>
      <c r="BNI60" s="129"/>
      <c r="BNJ60" s="129"/>
      <c r="BNK60" s="129"/>
      <c r="BNL60" s="129"/>
      <c r="BNM60" s="129"/>
      <c r="BNN60" s="129"/>
      <c r="BNO60" s="129"/>
      <c r="BNP60" s="129"/>
      <c r="BNQ60" s="129"/>
      <c r="BNR60" s="128"/>
      <c r="BNS60" s="128"/>
      <c r="BNT60" s="128"/>
      <c r="BNU60" s="128"/>
      <c r="BNV60" s="128"/>
      <c r="BNW60" s="128"/>
      <c r="BNX60" s="129"/>
      <c r="BNY60" s="129"/>
      <c r="BNZ60" s="129"/>
      <c r="BOA60" s="129"/>
      <c r="BOB60" s="129"/>
      <c r="BOC60" s="129"/>
      <c r="BOD60" s="129"/>
      <c r="BOE60" s="129"/>
      <c r="BOF60" s="129"/>
      <c r="BOG60" s="129"/>
      <c r="BOH60" s="129"/>
      <c r="BOI60" s="129"/>
      <c r="BOJ60" s="129"/>
      <c r="BOK60" s="129"/>
      <c r="BOL60" s="129"/>
      <c r="BOM60" s="129"/>
      <c r="BON60" s="129"/>
      <c r="BOO60" s="129"/>
      <c r="BOP60" s="129"/>
      <c r="BOQ60" s="129"/>
      <c r="BOR60" s="129"/>
      <c r="BOS60" s="129"/>
      <c r="BOT60" s="129"/>
      <c r="BOU60" s="129"/>
      <c r="BOV60" s="129"/>
      <c r="BOW60" s="129"/>
      <c r="BOX60" s="129"/>
      <c r="BOY60" s="129"/>
      <c r="BOZ60" s="128"/>
      <c r="BPA60" s="128"/>
      <c r="BPB60" s="128"/>
      <c r="BPC60" s="128"/>
      <c r="BPD60" s="128"/>
      <c r="BPE60" s="128"/>
      <c r="BPF60" s="128"/>
      <c r="CSF60" s="128" t="s">
        <v>480</v>
      </c>
      <c r="CSG60" s="128"/>
      <c r="CSH60" s="128"/>
      <c r="CSI60" s="128"/>
      <c r="CSJ60" s="128"/>
      <c r="CSK60" s="128"/>
      <c r="CSL60" s="128"/>
      <c r="CSM60" s="128"/>
      <c r="CSN60" s="128"/>
      <c r="CSO60" s="128"/>
      <c r="CSP60" s="128"/>
      <c r="CSQ60" s="128"/>
      <c r="CSR60" s="128"/>
      <c r="CSS60" s="128"/>
      <c r="CST60" s="128"/>
      <c r="CSU60" s="128"/>
      <c r="CSV60" s="128"/>
      <c r="CSW60" s="128"/>
      <c r="CSX60" s="128"/>
      <c r="CSY60" s="128"/>
      <c r="CSZ60" s="128"/>
      <c r="CTA60" s="128"/>
      <c r="CTB60" s="128"/>
      <c r="CTC60" s="128"/>
      <c r="CTD60" s="128"/>
      <c r="CTE60" s="128"/>
      <c r="CTF60" s="128"/>
      <c r="CTG60" s="128"/>
      <c r="CTH60" s="128"/>
      <c r="CTI60" s="128"/>
      <c r="CTJ60" s="128"/>
      <c r="CTK60" s="129"/>
      <c r="CTL60" s="129"/>
      <c r="CTM60" s="129"/>
      <c r="CTN60" s="129"/>
      <c r="CTO60" s="129"/>
      <c r="CTP60" s="129"/>
      <c r="CTQ60" s="129"/>
      <c r="CTR60" s="129"/>
      <c r="CTS60" s="129"/>
      <c r="CTT60" s="129"/>
      <c r="CTU60" s="129"/>
      <c r="CTV60" s="129"/>
      <c r="CTW60" s="129"/>
      <c r="CTX60" s="129"/>
      <c r="CTY60" s="129"/>
      <c r="CTZ60" s="129"/>
      <c r="CUA60" s="129"/>
      <c r="CUB60" s="129"/>
      <c r="CUC60" s="129"/>
      <c r="CUD60" s="129"/>
      <c r="CUE60" s="129"/>
      <c r="CUF60" s="128"/>
      <c r="CUG60" s="128"/>
      <c r="CUH60" s="128"/>
      <c r="CUI60" s="128"/>
      <c r="CUJ60" s="128"/>
      <c r="CUK60" s="128"/>
      <c r="CUL60" s="129"/>
      <c r="CUM60" s="129"/>
      <c r="CUN60" s="129"/>
      <c r="CUO60" s="129"/>
      <c r="CUP60" s="129"/>
      <c r="CUQ60" s="129"/>
      <c r="CUR60" s="129"/>
      <c r="CUS60" s="129"/>
      <c r="CUT60" s="129"/>
      <c r="CUU60" s="129"/>
      <c r="CUV60" s="129"/>
      <c r="CUW60" s="129"/>
      <c r="CUX60" s="129"/>
      <c r="CUY60" s="129"/>
      <c r="CUZ60" s="129"/>
      <c r="CVA60" s="129"/>
      <c r="CVB60" s="129"/>
      <c r="CVC60" s="129"/>
      <c r="CVD60" s="129"/>
      <c r="CVE60" s="129"/>
      <c r="CVF60" s="129"/>
      <c r="CVG60" s="129"/>
      <c r="CVH60" s="129"/>
      <c r="CVI60" s="129"/>
      <c r="CVJ60" s="129"/>
      <c r="CVK60" s="129"/>
      <c r="CVL60" s="129"/>
      <c r="CVM60" s="129"/>
      <c r="CVN60" s="128"/>
      <c r="CVO60" s="128"/>
      <c r="CVP60" s="128"/>
      <c r="CVQ60" s="128"/>
      <c r="CVR60" s="128"/>
      <c r="CVS60" s="128"/>
      <c r="CVT60" s="128"/>
    </row>
    <row r="61" spans="2:364 1118:1774 2434:2902" ht="15" customHeight="1" x14ac:dyDescent="0.25">
      <c r="B61" s="188" t="s">
        <v>2116</v>
      </c>
      <c r="C61" s="189"/>
      <c r="D61" s="189"/>
      <c r="E61" s="189"/>
      <c r="F61" s="189"/>
      <c r="G61" s="189"/>
      <c r="H61" s="189"/>
      <c r="I61" s="189"/>
      <c r="J61" s="189"/>
      <c r="K61" s="189"/>
      <c r="L61" s="189"/>
      <c r="M61" s="189"/>
      <c r="N61" s="189"/>
      <c r="O61" s="189"/>
      <c r="P61" s="311" t="str">
        <f>Calculations!DA15</f>
        <v>Soft Leather</v>
      </c>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192">
        <v>1</v>
      </c>
      <c r="AP61" s="192"/>
      <c r="AQ61" s="192"/>
      <c r="AR61" s="192"/>
      <c r="AS61" s="192"/>
      <c r="AT61" s="192"/>
      <c r="AU61" s="192"/>
      <c r="AV61" s="192"/>
      <c r="AW61" s="130" t="str">
        <f>IF(P61="No Armour","- -",IF(P61=Calculations!DA15,"- -",VLOOKUP(P61,Armour!$B$4:$AU$99,19,FALSE)*'Character Creation'!$Z$18*'Character Sheet'!$AO61))</f>
        <v>- -</v>
      </c>
      <c r="AX61" s="130"/>
      <c r="AY61" s="130"/>
      <c r="AZ61" s="130"/>
      <c r="BA61" s="130"/>
      <c r="BB61" s="130"/>
      <c r="BC61" s="130"/>
      <c r="BD61" s="130"/>
      <c r="BE61" s="130">
        <f>IF(P61="No Armour","- -",VLOOKUP(P61,Armour!$B$4:$AU$99,4,FALSE)+BU61+CC61)</f>
        <v>30</v>
      </c>
      <c r="BF61" s="130"/>
      <c r="BG61" s="130"/>
      <c r="BH61" s="130"/>
      <c r="BI61" s="130"/>
      <c r="BJ61" s="130"/>
      <c r="BK61" s="130"/>
      <c r="BL61" s="130"/>
      <c r="BM61" s="130">
        <f>IF(P61="No Armour","- -",IF(P61="No Armour",0,VLOOKUP(P61,Armour!$B$4:$AU$99,3,FALSE)+VLOOKUP(((AO61*100)-100),Charts!$AW$2:$AX$42,2,FALSE)))</f>
        <v>0</v>
      </c>
      <c r="BN61" s="130"/>
      <c r="BO61" s="130"/>
      <c r="BP61" s="130"/>
      <c r="BQ61" s="130"/>
      <c r="BR61" s="130"/>
      <c r="BS61" s="130"/>
      <c r="BT61" s="130"/>
      <c r="BU61" s="195">
        <f>IF(P61="No Armour","- -",0)</f>
        <v>0</v>
      </c>
      <c r="BV61" s="195"/>
      <c r="BW61" s="195"/>
      <c r="BX61" s="195"/>
      <c r="BY61" s="195"/>
      <c r="BZ61" s="195"/>
      <c r="CA61" s="195"/>
      <c r="CB61" s="195"/>
      <c r="CC61" s="195">
        <f t="shared" si="21"/>
        <v>0</v>
      </c>
      <c r="CD61" s="195"/>
      <c r="CE61" s="195"/>
      <c r="CF61" s="195"/>
      <c r="CG61" s="195"/>
      <c r="CH61" s="195"/>
      <c r="CI61" s="195"/>
      <c r="CJ61" s="195"/>
      <c r="CK61" s="130">
        <f t="shared" si="18"/>
        <v>3</v>
      </c>
      <c r="CL61" s="130"/>
      <c r="CM61" s="130"/>
      <c r="CN61" s="130"/>
      <c r="CO61" s="130"/>
      <c r="CP61" s="130"/>
      <c r="CQ61" s="130"/>
      <c r="CR61" s="130"/>
      <c r="CS61" s="130">
        <f t="shared" si="22"/>
        <v>0</v>
      </c>
      <c r="CT61" s="130"/>
      <c r="CU61" s="130"/>
      <c r="CV61" s="130"/>
      <c r="CW61" s="130"/>
      <c r="CX61" s="130"/>
      <c r="CY61" s="130"/>
      <c r="CZ61" s="130"/>
      <c r="DA61" s="130">
        <f>IF(P61="No Armour","- -",VLOOKUP(P61,Armour!$B$4:$EY$99,57,FALSE)+(ROUNDUP(CC61/3,0)))</f>
        <v>-0.5</v>
      </c>
      <c r="DB61" s="130"/>
      <c r="DC61" s="130"/>
      <c r="DD61" s="130"/>
      <c r="DE61" s="130"/>
      <c r="DF61" s="130"/>
      <c r="DG61" s="130"/>
      <c r="DH61" s="130"/>
      <c r="DI61" s="130">
        <f>IF(P61="No Armour","- -",VLOOKUP(P61,Armour!$B$4:$EY$99,64,FALSE)+(ROUNDUP(CC61/3,0)))</f>
        <v>-0.5</v>
      </c>
      <c r="DJ61" s="130"/>
      <c r="DK61" s="130"/>
      <c r="DL61" s="130"/>
      <c r="DM61" s="130"/>
      <c r="DN61" s="130"/>
      <c r="DO61" s="130"/>
      <c r="DP61" s="130"/>
      <c r="DQ61" s="130">
        <f t="shared" si="23"/>
        <v>0</v>
      </c>
      <c r="DR61" s="130"/>
      <c r="DS61" s="130"/>
      <c r="DT61" s="130"/>
      <c r="DU61" s="130"/>
      <c r="DV61" s="130"/>
      <c r="DW61" s="130"/>
      <c r="DX61" s="130"/>
      <c r="DY61" s="306"/>
      <c r="DZ61" s="306"/>
      <c r="EA61" s="306"/>
      <c r="EB61" s="306"/>
      <c r="EC61" s="306"/>
      <c r="ED61" s="306"/>
      <c r="EE61" s="306"/>
      <c r="EF61" s="306"/>
      <c r="EG61" s="306"/>
      <c r="EH61" s="306"/>
      <c r="EI61" s="306"/>
      <c r="EJ61" s="306"/>
      <c r="EK61" s="306"/>
      <c r="EL61" s="306"/>
      <c r="EM61" s="306"/>
      <c r="EN61" s="306"/>
      <c r="EO61" s="306"/>
      <c r="EP61" s="306"/>
      <c r="EQ61" s="306"/>
      <c r="ER61" s="306"/>
      <c r="ES61" s="306"/>
      <c r="ET61" s="306"/>
      <c r="EU61" s="306"/>
      <c r="EV61" s="306"/>
      <c r="EW61" s="306"/>
      <c r="EX61" s="306"/>
      <c r="EY61" s="306"/>
      <c r="EZ61" s="307"/>
      <c r="FB61" s="139" t="s">
        <v>2564</v>
      </c>
      <c r="FC61" s="140"/>
      <c r="FD61" s="140"/>
      <c r="FE61" s="140"/>
      <c r="FF61" s="140"/>
      <c r="FG61" s="140"/>
      <c r="FH61" s="140"/>
      <c r="FI61" s="140"/>
      <c r="FJ61" s="140"/>
      <c r="FK61" s="140"/>
      <c r="FL61" s="140"/>
      <c r="FM61" s="140"/>
      <c r="FN61" s="140"/>
      <c r="FO61" s="140"/>
      <c r="FP61" s="140"/>
      <c r="FQ61" s="140"/>
      <c r="FR61" s="140"/>
      <c r="FS61" s="140"/>
      <c r="FT61" s="140"/>
      <c r="FU61" s="140"/>
      <c r="FV61" s="140"/>
      <c r="FW61" s="140"/>
      <c r="FX61" s="140"/>
      <c r="FY61" s="140"/>
      <c r="FZ61" s="140"/>
      <c r="GA61" s="140"/>
      <c r="GB61" s="140"/>
      <c r="GC61" s="140"/>
      <c r="GD61" s="140"/>
      <c r="GE61" s="140"/>
      <c r="GF61" s="140"/>
      <c r="GG61" s="140"/>
      <c r="GH61" s="140"/>
      <c r="GI61" s="140"/>
      <c r="GJ61" s="140"/>
      <c r="GK61" s="140"/>
      <c r="GL61" s="140"/>
      <c r="GM61" s="140"/>
      <c r="GN61" s="140"/>
      <c r="GO61" s="140"/>
      <c r="GP61" s="140"/>
      <c r="GQ61" s="140"/>
      <c r="GR61" s="140"/>
      <c r="GS61" s="140"/>
      <c r="GT61" s="141">
        <v>1</v>
      </c>
      <c r="GU61" s="141"/>
      <c r="GV61" s="141"/>
      <c r="GW61" s="141"/>
      <c r="GX61" s="141"/>
      <c r="GY61" s="141"/>
      <c r="GZ61" s="141"/>
      <c r="HA61" s="141"/>
      <c r="HB61" s="142">
        <f>IFERROR(ROUND(Calculations!BV62*GT61,2),"")</f>
        <v>0.15</v>
      </c>
      <c r="HC61" s="142"/>
      <c r="HD61" s="142"/>
      <c r="HE61" s="142"/>
      <c r="HF61" s="142"/>
      <c r="HG61" s="142"/>
      <c r="HH61" s="142"/>
      <c r="HI61" s="142"/>
      <c r="HJ61" s="142">
        <f>IFERROR(Calculations!BS62+IQ61+IX61,"")</f>
        <v>15</v>
      </c>
      <c r="HK61" s="142"/>
      <c r="HL61" s="142"/>
      <c r="HM61" s="142"/>
      <c r="HN61" s="142"/>
      <c r="HO61" s="142"/>
      <c r="HP61" s="142"/>
      <c r="HQ61" s="142"/>
      <c r="HR61" s="142">
        <f t="shared" si="9"/>
        <v>0</v>
      </c>
      <c r="HS61" s="142"/>
      <c r="HT61" s="142"/>
      <c r="HU61" s="142"/>
      <c r="HV61" s="142"/>
      <c r="HW61" s="142"/>
      <c r="HX61" s="142"/>
      <c r="HY61" s="142"/>
      <c r="HZ61" s="142" t="str">
        <f>IFERROR(Calculations!BX62,"")</f>
        <v>$0.15</v>
      </c>
      <c r="IA61" s="142"/>
      <c r="IB61" s="142"/>
      <c r="IC61" s="142"/>
      <c r="ID61" s="142"/>
      <c r="IE61" s="142"/>
      <c r="IF61" s="142"/>
      <c r="IG61" s="142"/>
      <c r="IH61" s="142"/>
      <c r="II61" s="142"/>
      <c r="IJ61" s="142">
        <f>IFERROR(Calculations!BR62+IX61,"")</f>
        <v>0</v>
      </c>
      <c r="IK61" s="142"/>
      <c r="IL61" s="142"/>
      <c r="IM61" s="142"/>
      <c r="IN61" s="142"/>
      <c r="IO61" s="142"/>
      <c r="IP61" s="142"/>
      <c r="IQ61" s="141">
        <v>0</v>
      </c>
      <c r="IR61" s="141"/>
      <c r="IS61" s="141"/>
      <c r="IT61" s="141"/>
      <c r="IU61" s="141"/>
      <c r="IV61" s="141"/>
      <c r="IW61" s="141"/>
      <c r="IX61" s="141">
        <v>0</v>
      </c>
      <c r="IY61" s="141"/>
      <c r="IZ61" s="141"/>
      <c r="JA61" s="141"/>
      <c r="JB61" s="141"/>
      <c r="JC61" s="141"/>
      <c r="JD61" s="141"/>
      <c r="JE61" s="141"/>
      <c r="JF61" s="142"/>
      <c r="JG61" s="142"/>
      <c r="JH61" s="142"/>
      <c r="JI61" s="142"/>
      <c r="JJ61" s="142"/>
      <c r="JK61" s="143" t="str">
        <f>Calculations!AS62</f>
        <v>Glass</v>
      </c>
      <c r="JL61" s="143"/>
      <c r="JM61" s="143"/>
      <c r="JN61" s="143"/>
      <c r="JO61" s="143"/>
      <c r="JP61" s="143"/>
      <c r="JQ61" s="143"/>
      <c r="JR61" s="143"/>
      <c r="JS61" s="143"/>
      <c r="JT61" s="143"/>
      <c r="JU61" s="143"/>
      <c r="JV61" s="143"/>
      <c r="JW61" s="143"/>
      <c r="JX61" s="143"/>
      <c r="JY61" s="143"/>
      <c r="JZ61" s="143"/>
      <c r="KA61" s="143"/>
      <c r="KB61" s="143"/>
      <c r="KC61" s="143" t="str">
        <f>Calculations!AW62</f>
        <v>Glass</v>
      </c>
      <c r="KD61" s="143"/>
      <c r="KE61" s="143"/>
      <c r="KF61" s="143"/>
      <c r="KG61" s="143"/>
      <c r="KH61" s="143"/>
      <c r="KI61" s="143"/>
      <c r="KJ61" s="143"/>
      <c r="KK61" s="143"/>
      <c r="KL61" s="143"/>
      <c r="KM61" s="143"/>
      <c r="KN61" s="143"/>
      <c r="KO61" s="143"/>
      <c r="KP61" s="143"/>
      <c r="KQ61" s="143"/>
      <c r="KR61" s="143"/>
      <c r="KS61" s="143"/>
      <c r="KT61" s="143"/>
      <c r="KU61" s="144"/>
      <c r="KV61" s="144"/>
      <c r="KW61" s="144"/>
      <c r="KX61" s="144"/>
      <c r="KY61" s="144"/>
      <c r="KZ61" s="144"/>
      <c r="LA61" s="144"/>
      <c r="LB61" s="144"/>
      <c r="LC61" s="144"/>
      <c r="LD61" s="144"/>
      <c r="LE61" s="144"/>
      <c r="LF61" s="144"/>
      <c r="LG61" s="144"/>
      <c r="LH61" s="144"/>
      <c r="LI61" s="144"/>
      <c r="LJ61" s="144"/>
      <c r="LK61" s="144"/>
      <c r="LL61" s="144"/>
      <c r="LM61" s="144"/>
      <c r="LN61" s="144"/>
      <c r="LO61" s="144"/>
      <c r="LP61" s="144"/>
      <c r="LQ61" s="144"/>
      <c r="LR61" s="144"/>
      <c r="LS61" s="144"/>
      <c r="LT61" s="144"/>
      <c r="LU61" s="144"/>
      <c r="LV61" s="144"/>
      <c r="LW61" s="144"/>
      <c r="LX61" s="144"/>
      <c r="LY61" s="144"/>
      <c r="LZ61" s="144"/>
      <c r="MA61" s="144"/>
      <c r="MB61" s="144"/>
      <c r="MC61" s="144"/>
      <c r="MD61" s="144"/>
      <c r="ME61" s="144"/>
      <c r="MF61" s="144"/>
      <c r="MG61" s="144"/>
      <c r="MH61" s="144"/>
      <c r="MI61" s="144"/>
      <c r="MJ61" s="144"/>
      <c r="MK61" s="144"/>
      <c r="ML61" s="144"/>
      <c r="MM61" s="144"/>
      <c r="MN61" s="144"/>
      <c r="MO61" s="144"/>
      <c r="MP61" s="144"/>
      <c r="MQ61" s="144"/>
      <c r="MR61" s="144"/>
      <c r="MS61" s="144"/>
      <c r="MT61" s="144"/>
      <c r="MU61" s="144"/>
      <c r="MV61" s="144"/>
      <c r="MW61" s="144"/>
      <c r="MX61" s="144"/>
      <c r="MY61" s="144"/>
      <c r="MZ61" s="145"/>
      <c r="BLR61" s="128" t="s">
        <v>347</v>
      </c>
      <c r="BLS61" s="128"/>
      <c r="BLT61" s="128"/>
      <c r="BLU61" s="128"/>
      <c r="BLV61" s="128"/>
      <c r="BLW61" s="128"/>
      <c r="BLX61" s="128"/>
      <c r="BLY61" s="128"/>
      <c r="BLZ61" s="128"/>
      <c r="BMA61" s="128"/>
      <c r="BMB61" s="128"/>
      <c r="BMC61" s="128"/>
      <c r="BMD61" s="128"/>
      <c r="BME61" s="128"/>
      <c r="BMF61" s="128"/>
      <c r="BMG61" s="128"/>
      <c r="BMH61" s="128"/>
      <c r="BMI61" s="128"/>
      <c r="BMJ61" s="128"/>
      <c r="BMK61" s="128"/>
      <c r="BML61" s="128"/>
      <c r="BMM61" s="128"/>
      <c r="BMN61" s="128"/>
      <c r="BMO61" s="128"/>
      <c r="BMP61" s="128"/>
      <c r="BMQ61" s="128"/>
      <c r="BMR61" s="128"/>
      <c r="BMS61" s="128"/>
      <c r="BMT61" s="128"/>
      <c r="BMU61" s="128"/>
      <c r="BMV61" s="128"/>
      <c r="BMW61" s="129"/>
      <c r="BMX61" s="129"/>
      <c r="BMY61" s="129"/>
      <c r="BMZ61" s="129"/>
      <c r="BNA61" s="129"/>
      <c r="BNB61" s="129"/>
      <c r="BNC61" s="129"/>
      <c r="BND61" s="129"/>
      <c r="BNE61" s="129"/>
      <c r="BNF61" s="129"/>
      <c r="BNG61" s="129"/>
      <c r="BNH61" s="129"/>
      <c r="BNI61" s="129"/>
      <c r="BNJ61" s="129"/>
      <c r="BNK61" s="129"/>
      <c r="BNL61" s="129"/>
      <c r="BNM61" s="129"/>
      <c r="BNN61" s="129"/>
      <c r="BNO61" s="129"/>
      <c r="BNP61" s="129"/>
      <c r="BNQ61" s="129"/>
      <c r="BNR61" s="128"/>
      <c r="BNS61" s="128"/>
      <c r="BNT61" s="128"/>
      <c r="BNU61" s="128"/>
      <c r="BNV61" s="128"/>
      <c r="BNW61" s="128"/>
      <c r="BNX61" s="129"/>
      <c r="BNY61" s="129"/>
      <c r="BNZ61" s="129"/>
      <c r="BOA61" s="129"/>
      <c r="BOB61" s="129"/>
      <c r="BOC61" s="129"/>
      <c r="BOD61" s="129"/>
      <c r="BOE61" s="129"/>
      <c r="BOF61" s="129"/>
      <c r="BOG61" s="129"/>
      <c r="BOH61" s="129"/>
      <c r="BOI61" s="129"/>
      <c r="BOJ61" s="129"/>
      <c r="BOK61" s="129"/>
      <c r="BOL61" s="129"/>
      <c r="BOM61" s="129"/>
      <c r="BON61" s="129"/>
      <c r="BOO61" s="129"/>
      <c r="BOP61" s="129"/>
      <c r="BOQ61" s="129"/>
      <c r="BOR61" s="129"/>
      <c r="BOS61" s="129"/>
      <c r="BOT61" s="129"/>
      <c r="BOU61" s="129"/>
      <c r="BOV61" s="129"/>
      <c r="BOW61" s="129"/>
      <c r="BOX61" s="129"/>
      <c r="BOY61" s="129"/>
      <c r="BOZ61" s="128"/>
      <c r="BPA61" s="128"/>
      <c r="BPB61" s="128"/>
      <c r="BPC61" s="128"/>
      <c r="BPD61" s="128"/>
      <c r="BPE61" s="128"/>
      <c r="BPF61" s="128"/>
      <c r="CSF61" s="128" t="s">
        <v>481</v>
      </c>
      <c r="CSG61" s="128"/>
      <c r="CSH61" s="128"/>
      <c r="CSI61" s="128"/>
      <c r="CSJ61" s="128"/>
      <c r="CSK61" s="128"/>
      <c r="CSL61" s="128"/>
      <c r="CSM61" s="128"/>
      <c r="CSN61" s="128"/>
      <c r="CSO61" s="128"/>
      <c r="CSP61" s="128"/>
      <c r="CSQ61" s="128"/>
      <c r="CSR61" s="128"/>
      <c r="CSS61" s="128"/>
      <c r="CST61" s="128"/>
      <c r="CSU61" s="128"/>
      <c r="CSV61" s="128"/>
      <c r="CSW61" s="128"/>
      <c r="CSX61" s="128"/>
      <c r="CSY61" s="128"/>
      <c r="CSZ61" s="128"/>
      <c r="CTA61" s="128"/>
      <c r="CTB61" s="128"/>
      <c r="CTC61" s="128"/>
      <c r="CTD61" s="128"/>
      <c r="CTE61" s="128"/>
      <c r="CTF61" s="128"/>
      <c r="CTG61" s="128"/>
      <c r="CTH61" s="128"/>
      <c r="CTI61" s="128"/>
      <c r="CTJ61" s="128"/>
      <c r="CTK61" s="129"/>
      <c r="CTL61" s="129"/>
      <c r="CTM61" s="129"/>
      <c r="CTN61" s="129"/>
      <c r="CTO61" s="129"/>
      <c r="CTP61" s="129"/>
      <c r="CTQ61" s="129"/>
      <c r="CTR61" s="129"/>
      <c r="CTS61" s="129"/>
      <c r="CTT61" s="129"/>
      <c r="CTU61" s="129"/>
      <c r="CTV61" s="129"/>
      <c r="CTW61" s="129"/>
      <c r="CTX61" s="129"/>
      <c r="CTY61" s="129"/>
      <c r="CTZ61" s="129"/>
      <c r="CUA61" s="129"/>
      <c r="CUB61" s="129"/>
      <c r="CUC61" s="129"/>
      <c r="CUD61" s="129"/>
      <c r="CUE61" s="129"/>
      <c r="CUF61" s="128"/>
      <c r="CUG61" s="128"/>
      <c r="CUH61" s="128"/>
      <c r="CUI61" s="128"/>
      <c r="CUJ61" s="128"/>
      <c r="CUK61" s="128"/>
      <c r="CUL61" s="129"/>
      <c r="CUM61" s="129"/>
      <c r="CUN61" s="129"/>
      <c r="CUO61" s="129"/>
      <c r="CUP61" s="129"/>
      <c r="CUQ61" s="129"/>
      <c r="CUR61" s="129"/>
      <c r="CUS61" s="129"/>
      <c r="CUT61" s="129"/>
      <c r="CUU61" s="129"/>
      <c r="CUV61" s="129"/>
      <c r="CUW61" s="129"/>
      <c r="CUX61" s="129"/>
      <c r="CUY61" s="129"/>
      <c r="CUZ61" s="129"/>
      <c r="CVA61" s="129"/>
      <c r="CVB61" s="129"/>
      <c r="CVC61" s="129"/>
      <c r="CVD61" s="129"/>
      <c r="CVE61" s="129"/>
      <c r="CVF61" s="129"/>
      <c r="CVG61" s="129"/>
      <c r="CVH61" s="129"/>
      <c r="CVI61" s="129"/>
      <c r="CVJ61" s="129"/>
      <c r="CVK61" s="129"/>
      <c r="CVL61" s="129"/>
      <c r="CVM61" s="129"/>
      <c r="CVN61" s="128"/>
      <c r="CVO61" s="128"/>
      <c r="CVP61" s="128"/>
      <c r="CVQ61" s="128"/>
      <c r="CVR61" s="128"/>
      <c r="CVS61" s="128"/>
      <c r="CVT61" s="128"/>
    </row>
    <row r="62" spans="2:364 1118:1774 2434:2902" ht="15" customHeight="1" x14ac:dyDescent="0.25">
      <c r="B62" s="190" t="s">
        <v>2117</v>
      </c>
      <c r="C62" s="191"/>
      <c r="D62" s="191"/>
      <c r="E62" s="191"/>
      <c r="F62" s="191"/>
      <c r="G62" s="191"/>
      <c r="H62" s="191"/>
      <c r="I62" s="191"/>
      <c r="J62" s="191"/>
      <c r="K62" s="191"/>
      <c r="L62" s="191"/>
      <c r="M62" s="191"/>
      <c r="N62" s="191"/>
      <c r="O62" s="191"/>
      <c r="P62" s="312" t="str">
        <f>Calculations!DA16</f>
        <v>Soft Leather</v>
      </c>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193">
        <v>1</v>
      </c>
      <c r="AP62" s="193"/>
      <c r="AQ62" s="193"/>
      <c r="AR62" s="193"/>
      <c r="AS62" s="193"/>
      <c r="AT62" s="193"/>
      <c r="AU62" s="193"/>
      <c r="AV62" s="193"/>
      <c r="AW62" s="131" t="str">
        <f>IF(P62="No Armour","- -",IF(P62=Calculations!DA16,"- -",VLOOKUP(P62,Armour!$B$4:$AU$99,19,FALSE)*'Character Creation'!$Z$18*'Character Sheet'!$AO62))</f>
        <v>- -</v>
      </c>
      <c r="AX62" s="131"/>
      <c r="AY62" s="131"/>
      <c r="AZ62" s="131"/>
      <c r="BA62" s="131"/>
      <c r="BB62" s="131"/>
      <c r="BC62" s="131"/>
      <c r="BD62" s="131"/>
      <c r="BE62" s="131">
        <f>IF(P62="No Armour","- -",VLOOKUP(P62,Armour!$B$4:$AU$99,4,FALSE)+BU62+CC62)</f>
        <v>30</v>
      </c>
      <c r="BF62" s="131"/>
      <c r="BG62" s="131"/>
      <c r="BH62" s="131"/>
      <c r="BI62" s="131"/>
      <c r="BJ62" s="131"/>
      <c r="BK62" s="131"/>
      <c r="BL62" s="131"/>
      <c r="BM62" s="131">
        <f>IF(P62="No Armour","- -",IF(P62="No Armour",0,VLOOKUP(P62,Armour!$B$4:$AU$99,3,FALSE)+VLOOKUP(((AO62*100)-100),Charts!$AW$2:$AX$42,2,FALSE)))</f>
        <v>0</v>
      </c>
      <c r="BN62" s="131"/>
      <c r="BO62" s="131"/>
      <c r="BP62" s="131"/>
      <c r="BQ62" s="131"/>
      <c r="BR62" s="131"/>
      <c r="BS62" s="131"/>
      <c r="BT62" s="131"/>
      <c r="BU62" s="194">
        <f t="shared" ref="BU62:BU69" si="24">IF(P62="No Armour","- -",0)</f>
        <v>0</v>
      </c>
      <c r="BV62" s="194"/>
      <c r="BW62" s="194"/>
      <c r="BX62" s="194"/>
      <c r="BY62" s="194"/>
      <c r="BZ62" s="194"/>
      <c r="CA62" s="194"/>
      <c r="CB62" s="194"/>
      <c r="CC62" s="194">
        <f t="shared" ref="CC62:CC69" si="25">IF(P62="No Armour","- -",0)</f>
        <v>0</v>
      </c>
      <c r="CD62" s="194"/>
      <c r="CE62" s="194"/>
      <c r="CF62" s="194"/>
      <c r="CG62" s="194"/>
      <c r="CH62" s="194"/>
      <c r="CI62" s="194"/>
      <c r="CJ62" s="194"/>
      <c r="CK62" s="131">
        <f t="shared" si="18"/>
        <v>3</v>
      </c>
      <c r="CL62" s="131"/>
      <c r="CM62" s="131"/>
      <c r="CN62" s="131"/>
      <c r="CO62" s="131"/>
      <c r="CP62" s="131"/>
      <c r="CQ62" s="131"/>
      <c r="CR62" s="131"/>
      <c r="CS62" s="131">
        <f t="shared" si="22"/>
        <v>0</v>
      </c>
      <c r="CT62" s="131"/>
      <c r="CU62" s="131"/>
      <c r="CV62" s="131"/>
      <c r="CW62" s="131"/>
      <c r="CX62" s="131"/>
      <c r="CY62" s="131"/>
      <c r="CZ62" s="131"/>
      <c r="DA62" s="131">
        <f>IF(P62="No Armour","- -",VLOOKUP(P62,Armour!$B$4:$EY$99,57,FALSE)+(ROUNDUP(CC62/3,0)))</f>
        <v>-0.5</v>
      </c>
      <c r="DB62" s="131"/>
      <c r="DC62" s="131"/>
      <c r="DD62" s="131"/>
      <c r="DE62" s="131"/>
      <c r="DF62" s="131"/>
      <c r="DG62" s="131"/>
      <c r="DH62" s="131"/>
      <c r="DI62" s="131">
        <f>IF(P62="No Armour","- -",VLOOKUP(P62,Armour!$B$4:$EY$99,64,FALSE)+(ROUNDUP(CC62/3,0)))</f>
        <v>-0.5</v>
      </c>
      <c r="DJ62" s="131"/>
      <c r="DK62" s="131"/>
      <c r="DL62" s="131"/>
      <c r="DM62" s="131"/>
      <c r="DN62" s="131"/>
      <c r="DO62" s="131"/>
      <c r="DP62" s="131"/>
      <c r="DQ62" s="131">
        <f t="shared" si="23"/>
        <v>0</v>
      </c>
      <c r="DR62" s="131"/>
      <c r="DS62" s="131"/>
      <c r="DT62" s="131"/>
      <c r="DU62" s="131"/>
      <c r="DV62" s="131"/>
      <c r="DW62" s="131"/>
      <c r="DX62" s="131"/>
      <c r="DY62" s="136"/>
      <c r="DZ62" s="136"/>
      <c r="EA62" s="136"/>
      <c r="EB62" s="136"/>
      <c r="EC62" s="136"/>
      <c r="ED62" s="136"/>
      <c r="EE62" s="136"/>
      <c r="EF62" s="136"/>
      <c r="EG62" s="136"/>
      <c r="EH62" s="136"/>
      <c r="EI62" s="136"/>
      <c r="EJ62" s="136"/>
      <c r="EK62" s="136"/>
      <c r="EL62" s="136"/>
      <c r="EM62" s="136"/>
      <c r="EN62" s="136"/>
      <c r="EO62" s="136"/>
      <c r="EP62" s="136"/>
      <c r="EQ62" s="136"/>
      <c r="ER62" s="136"/>
      <c r="ES62" s="136"/>
      <c r="ET62" s="136"/>
      <c r="EU62" s="136"/>
      <c r="EV62" s="136"/>
      <c r="EW62" s="136"/>
      <c r="EX62" s="136"/>
      <c r="EY62" s="136"/>
      <c r="EZ62" s="313"/>
      <c r="FB62" s="139" t="s">
        <v>2774</v>
      </c>
      <c r="FC62" s="140"/>
      <c r="FD62" s="140"/>
      <c r="FE62" s="140"/>
      <c r="FF62" s="140"/>
      <c r="FG62" s="140"/>
      <c r="FH62" s="140"/>
      <c r="FI62" s="140"/>
      <c r="FJ62" s="140"/>
      <c r="FK62" s="140"/>
      <c r="FL62" s="140"/>
      <c r="FM62" s="140"/>
      <c r="FN62" s="140"/>
      <c r="FO62" s="140"/>
      <c r="FP62" s="140"/>
      <c r="FQ62" s="140"/>
      <c r="FR62" s="140"/>
      <c r="FS62" s="140"/>
      <c r="FT62" s="140"/>
      <c r="FU62" s="140"/>
      <c r="FV62" s="140"/>
      <c r="FW62" s="140"/>
      <c r="FX62" s="140"/>
      <c r="FY62" s="140"/>
      <c r="FZ62" s="140"/>
      <c r="GA62" s="140"/>
      <c r="GB62" s="140"/>
      <c r="GC62" s="140"/>
      <c r="GD62" s="140"/>
      <c r="GE62" s="140"/>
      <c r="GF62" s="140"/>
      <c r="GG62" s="140"/>
      <c r="GH62" s="140"/>
      <c r="GI62" s="140"/>
      <c r="GJ62" s="140"/>
      <c r="GK62" s="140"/>
      <c r="GL62" s="140"/>
      <c r="GM62" s="140"/>
      <c r="GN62" s="140"/>
      <c r="GO62" s="140"/>
      <c r="GP62" s="140"/>
      <c r="GQ62" s="140"/>
      <c r="GR62" s="140"/>
      <c r="GS62" s="140"/>
      <c r="GT62" s="141">
        <v>7</v>
      </c>
      <c r="GU62" s="141"/>
      <c r="GV62" s="141"/>
      <c r="GW62" s="141"/>
      <c r="GX62" s="141"/>
      <c r="GY62" s="141"/>
      <c r="GZ62" s="141"/>
      <c r="HA62" s="141"/>
      <c r="HB62" s="142">
        <f>IFERROR(ROUND(Calculations!BV63*GT62,2),"")</f>
        <v>0</v>
      </c>
      <c r="HC62" s="142"/>
      <c r="HD62" s="142"/>
      <c r="HE62" s="142"/>
      <c r="HF62" s="142"/>
      <c r="HG62" s="142"/>
      <c r="HH62" s="142"/>
      <c r="HI62" s="142"/>
      <c r="HJ62" s="142">
        <f>IFERROR(Calculations!BS63+IQ62+IX62,"")</f>
        <v>5</v>
      </c>
      <c r="HK62" s="142"/>
      <c r="HL62" s="142"/>
      <c r="HM62" s="142"/>
      <c r="HN62" s="142"/>
      <c r="HO62" s="142"/>
      <c r="HP62" s="142"/>
      <c r="HQ62" s="142"/>
      <c r="HR62" s="142">
        <f t="shared" si="9"/>
        <v>0</v>
      </c>
      <c r="HS62" s="142"/>
      <c r="HT62" s="142"/>
      <c r="HU62" s="142"/>
      <c r="HV62" s="142"/>
      <c r="HW62" s="142"/>
      <c r="HX62" s="142"/>
      <c r="HY62" s="142"/>
      <c r="HZ62" s="142" t="str">
        <f>IFERROR(Calculations!BX63,"")</f>
        <v>$1.75</v>
      </c>
      <c r="IA62" s="142"/>
      <c r="IB62" s="142"/>
      <c r="IC62" s="142"/>
      <c r="ID62" s="142"/>
      <c r="IE62" s="142"/>
      <c r="IF62" s="142"/>
      <c r="IG62" s="142"/>
      <c r="IH62" s="142"/>
      <c r="II62" s="142"/>
      <c r="IJ62" s="142">
        <f>IFERROR(Calculations!BR63+IX62,"")</f>
        <v>0</v>
      </c>
      <c r="IK62" s="142"/>
      <c r="IL62" s="142"/>
      <c r="IM62" s="142"/>
      <c r="IN62" s="142"/>
      <c r="IO62" s="142"/>
      <c r="IP62" s="142"/>
      <c r="IQ62" s="141">
        <v>0</v>
      </c>
      <c r="IR62" s="141"/>
      <c r="IS62" s="141"/>
      <c r="IT62" s="141"/>
      <c r="IU62" s="141"/>
      <c r="IV62" s="141"/>
      <c r="IW62" s="141"/>
      <c r="IX62" s="141">
        <v>0</v>
      </c>
      <c r="IY62" s="141"/>
      <c r="IZ62" s="141"/>
      <c r="JA62" s="141"/>
      <c r="JB62" s="141"/>
      <c r="JC62" s="141"/>
      <c r="JD62" s="141"/>
      <c r="JE62" s="141"/>
      <c r="JF62" s="142"/>
      <c r="JG62" s="142"/>
      <c r="JH62" s="142"/>
      <c r="JI62" s="142"/>
      <c r="JJ62" s="142"/>
      <c r="JK62" s="143" t="str">
        <f>Calculations!AS63</f>
        <v>Acid</v>
      </c>
      <c r="JL62" s="143"/>
      <c r="JM62" s="143"/>
      <c r="JN62" s="143"/>
      <c r="JO62" s="143"/>
      <c r="JP62" s="143"/>
      <c r="JQ62" s="143"/>
      <c r="JR62" s="143"/>
      <c r="JS62" s="143"/>
      <c r="JT62" s="143"/>
      <c r="JU62" s="143"/>
      <c r="JV62" s="143"/>
      <c r="JW62" s="143"/>
      <c r="JX62" s="143"/>
      <c r="JY62" s="143"/>
      <c r="JZ62" s="143"/>
      <c r="KA62" s="143"/>
      <c r="KB62" s="143"/>
      <c r="KC62" s="143" t="str">
        <f>Calculations!AW63</f>
        <v>Acid</v>
      </c>
      <c r="KD62" s="143"/>
      <c r="KE62" s="143"/>
      <c r="KF62" s="143"/>
      <c r="KG62" s="143"/>
      <c r="KH62" s="143"/>
      <c r="KI62" s="143"/>
      <c r="KJ62" s="143"/>
      <c r="KK62" s="143"/>
      <c r="KL62" s="143"/>
      <c r="KM62" s="143"/>
      <c r="KN62" s="143"/>
      <c r="KO62" s="143"/>
      <c r="KP62" s="143"/>
      <c r="KQ62" s="143"/>
      <c r="KR62" s="143"/>
      <c r="KS62" s="143"/>
      <c r="KT62" s="143"/>
      <c r="KU62" s="144"/>
      <c r="KV62" s="144"/>
      <c r="KW62" s="144"/>
      <c r="KX62" s="144"/>
      <c r="KY62" s="144"/>
      <c r="KZ62" s="144"/>
      <c r="LA62" s="144"/>
      <c r="LB62" s="144"/>
      <c r="LC62" s="144"/>
      <c r="LD62" s="144"/>
      <c r="LE62" s="144"/>
      <c r="LF62" s="144"/>
      <c r="LG62" s="144"/>
      <c r="LH62" s="144"/>
      <c r="LI62" s="144"/>
      <c r="LJ62" s="144"/>
      <c r="LK62" s="144"/>
      <c r="LL62" s="144"/>
      <c r="LM62" s="144"/>
      <c r="LN62" s="144"/>
      <c r="LO62" s="144"/>
      <c r="LP62" s="144"/>
      <c r="LQ62" s="144"/>
      <c r="LR62" s="144"/>
      <c r="LS62" s="144"/>
      <c r="LT62" s="144"/>
      <c r="LU62" s="144"/>
      <c r="LV62" s="144"/>
      <c r="LW62" s="144"/>
      <c r="LX62" s="144"/>
      <c r="LY62" s="144"/>
      <c r="LZ62" s="144"/>
      <c r="MA62" s="144"/>
      <c r="MB62" s="144"/>
      <c r="MC62" s="144"/>
      <c r="MD62" s="144"/>
      <c r="ME62" s="144"/>
      <c r="MF62" s="144"/>
      <c r="MG62" s="144"/>
      <c r="MH62" s="144"/>
      <c r="MI62" s="144"/>
      <c r="MJ62" s="144"/>
      <c r="MK62" s="144"/>
      <c r="ML62" s="144"/>
      <c r="MM62" s="144"/>
      <c r="MN62" s="144"/>
      <c r="MO62" s="144"/>
      <c r="MP62" s="144"/>
      <c r="MQ62" s="144"/>
      <c r="MR62" s="144"/>
      <c r="MS62" s="144"/>
      <c r="MT62" s="144"/>
      <c r="MU62" s="144"/>
      <c r="MV62" s="144"/>
      <c r="MW62" s="144"/>
      <c r="MX62" s="144"/>
      <c r="MY62" s="144"/>
      <c r="MZ62" s="145"/>
      <c r="BLR62" s="128" t="s">
        <v>348</v>
      </c>
      <c r="BLS62" s="128"/>
      <c r="BLT62" s="128"/>
      <c r="BLU62" s="128"/>
      <c r="BLV62" s="128"/>
      <c r="BLW62" s="128"/>
      <c r="BLX62" s="128"/>
      <c r="BLY62" s="128"/>
      <c r="BLZ62" s="128"/>
      <c r="BMA62" s="128"/>
      <c r="BMB62" s="128"/>
      <c r="BMC62" s="128"/>
      <c r="BMD62" s="128"/>
      <c r="BME62" s="128"/>
      <c r="BMF62" s="128"/>
      <c r="BMG62" s="128"/>
      <c r="BMH62" s="128"/>
      <c r="BMI62" s="128"/>
      <c r="BMJ62" s="128"/>
      <c r="BMK62" s="128"/>
      <c r="BML62" s="128"/>
      <c r="BMM62" s="128"/>
      <c r="BMN62" s="128"/>
      <c r="BMO62" s="128"/>
      <c r="BMP62" s="128"/>
      <c r="BMQ62" s="128"/>
      <c r="BMR62" s="128"/>
      <c r="BMS62" s="128"/>
      <c r="BMT62" s="128"/>
      <c r="BMU62" s="128"/>
      <c r="BMV62" s="128"/>
      <c r="BMW62" s="129"/>
      <c r="BMX62" s="129"/>
      <c r="BMY62" s="129"/>
      <c r="BMZ62" s="129"/>
      <c r="BNA62" s="129"/>
      <c r="BNB62" s="129"/>
      <c r="BNC62" s="129"/>
      <c r="BND62" s="129"/>
      <c r="BNE62" s="129"/>
      <c r="BNF62" s="129"/>
      <c r="BNG62" s="129"/>
      <c r="BNH62" s="129"/>
      <c r="BNI62" s="129"/>
      <c r="BNJ62" s="129"/>
      <c r="BNK62" s="129"/>
      <c r="BNL62" s="129"/>
      <c r="BNM62" s="129"/>
      <c r="BNN62" s="129"/>
      <c r="BNO62" s="129"/>
      <c r="BNP62" s="129"/>
      <c r="BNQ62" s="129"/>
      <c r="BNR62" s="128"/>
      <c r="BNS62" s="128"/>
      <c r="BNT62" s="128"/>
      <c r="BNU62" s="128"/>
      <c r="BNV62" s="128"/>
      <c r="BNW62" s="128"/>
      <c r="BNX62" s="129"/>
      <c r="BNY62" s="129"/>
      <c r="BNZ62" s="129"/>
      <c r="BOA62" s="129"/>
      <c r="BOB62" s="129"/>
      <c r="BOC62" s="129"/>
      <c r="BOD62" s="129"/>
      <c r="BOE62" s="129"/>
      <c r="BOF62" s="129"/>
      <c r="BOG62" s="129"/>
      <c r="BOH62" s="129"/>
      <c r="BOI62" s="129"/>
      <c r="BOJ62" s="129"/>
      <c r="BOK62" s="129"/>
      <c r="BOL62" s="129"/>
      <c r="BOM62" s="129"/>
      <c r="BON62" s="129"/>
      <c r="BOO62" s="129"/>
      <c r="BOP62" s="129"/>
      <c r="BOQ62" s="129"/>
      <c r="BOR62" s="129"/>
      <c r="BOS62" s="129"/>
      <c r="BOT62" s="129"/>
      <c r="BOU62" s="129"/>
      <c r="BOV62" s="129"/>
      <c r="BOW62" s="129"/>
      <c r="BOX62" s="129"/>
      <c r="BOY62" s="129"/>
      <c r="BOZ62" s="128"/>
      <c r="BPA62" s="128"/>
      <c r="BPB62" s="128"/>
      <c r="BPC62" s="128"/>
      <c r="BPD62" s="128"/>
      <c r="BPE62" s="128"/>
      <c r="BPF62" s="128"/>
    </row>
    <row r="63" spans="2:364 1118:1774 2434:2902" ht="15" customHeight="1" x14ac:dyDescent="0.25">
      <c r="B63" s="188" t="s">
        <v>71</v>
      </c>
      <c r="C63" s="189"/>
      <c r="D63" s="189"/>
      <c r="E63" s="189"/>
      <c r="F63" s="189"/>
      <c r="G63" s="189"/>
      <c r="H63" s="189"/>
      <c r="I63" s="189"/>
      <c r="J63" s="189"/>
      <c r="K63" s="189"/>
      <c r="L63" s="189"/>
      <c r="M63" s="189"/>
      <c r="N63" s="189"/>
      <c r="O63" s="189"/>
      <c r="P63" s="311" t="str">
        <f>Calculations!DA17</f>
        <v>Heavy Cloth</v>
      </c>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192">
        <v>1</v>
      </c>
      <c r="AP63" s="192"/>
      <c r="AQ63" s="192"/>
      <c r="AR63" s="192"/>
      <c r="AS63" s="192"/>
      <c r="AT63" s="192"/>
      <c r="AU63" s="192"/>
      <c r="AV63" s="192"/>
      <c r="AW63" s="130" t="str">
        <f>IF(P63="No Armour","- -",IF(P63=Calculations!DA17,"- -",VLOOKUP(P63,Armour!$B$4:$AU$99,19,FALSE)*'Character Creation'!$Z$18*'Character Sheet'!$AO63))</f>
        <v>- -</v>
      </c>
      <c r="AX63" s="130"/>
      <c r="AY63" s="130"/>
      <c r="AZ63" s="130"/>
      <c r="BA63" s="130"/>
      <c r="BB63" s="130"/>
      <c r="BC63" s="130"/>
      <c r="BD63" s="130"/>
      <c r="BE63" s="130">
        <f>IF(P63="No Armour","- -",VLOOKUP(P63,Armour!$B$4:$AU$99,4,FALSE)+BU63+CC63)</f>
        <v>30</v>
      </c>
      <c r="BF63" s="130"/>
      <c r="BG63" s="130"/>
      <c r="BH63" s="130"/>
      <c r="BI63" s="130"/>
      <c r="BJ63" s="130"/>
      <c r="BK63" s="130"/>
      <c r="BL63" s="130"/>
      <c r="BM63" s="130">
        <f>IF(P63="No Armour","- -",IF(P63="No Armour",0,VLOOKUP(P63,Armour!$B$4:$AU$99,3,FALSE)+VLOOKUP(((AO63*100)-100),Charts!$AW$2:$AX$42,2,FALSE)))</f>
        <v>0</v>
      </c>
      <c r="BN63" s="130"/>
      <c r="BO63" s="130"/>
      <c r="BP63" s="130"/>
      <c r="BQ63" s="130"/>
      <c r="BR63" s="130"/>
      <c r="BS63" s="130"/>
      <c r="BT63" s="130"/>
      <c r="BU63" s="195">
        <f t="shared" si="24"/>
        <v>0</v>
      </c>
      <c r="BV63" s="195"/>
      <c r="BW63" s="195"/>
      <c r="BX63" s="195"/>
      <c r="BY63" s="195"/>
      <c r="BZ63" s="195"/>
      <c r="CA63" s="195"/>
      <c r="CB63" s="195"/>
      <c r="CC63" s="195">
        <f t="shared" si="25"/>
        <v>0</v>
      </c>
      <c r="CD63" s="195"/>
      <c r="CE63" s="195"/>
      <c r="CF63" s="195"/>
      <c r="CG63" s="195"/>
      <c r="CH63" s="195"/>
      <c r="CI63" s="195"/>
      <c r="CJ63" s="195"/>
      <c r="CK63" s="130">
        <f t="shared" si="18"/>
        <v>2</v>
      </c>
      <c r="CL63" s="130"/>
      <c r="CM63" s="130"/>
      <c r="CN63" s="130"/>
      <c r="CO63" s="130"/>
      <c r="CP63" s="130"/>
      <c r="CQ63" s="130"/>
      <c r="CR63" s="130"/>
      <c r="CS63" s="130">
        <f t="shared" si="22"/>
        <v>0</v>
      </c>
      <c r="CT63" s="130"/>
      <c r="CU63" s="130"/>
      <c r="CV63" s="130"/>
      <c r="CW63" s="130"/>
      <c r="CX63" s="130"/>
      <c r="CY63" s="130"/>
      <c r="CZ63" s="130"/>
      <c r="DA63" s="130">
        <f>IF(P63="No Armour","- -",VLOOKUP(P63,Armour!$B$4:$EY$99,53,FALSE)+(ROUNDUP(CC63/3,0)))</f>
        <v>0</v>
      </c>
      <c r="DB63" s="130"/>
      <c r="DC63" s="130"/>
      <c r="DD63" s="130"/>
      <c r="DE63" s="130"/>
      <c r="DF63" s="130"/>
      <c r="DG63" s="130"/>
      <c r="DH63" s="130"/>
      <c r="DI63" s="130">
        <f t="shared" ref="DI63:DI69" si="26">IF(P63="No Armour","- -",0)</f>
        <v>0</v>
      </c>
      <c r="DJ63" s="130"/>
      <c r="DK63" s="130"/>
      <c r="DL63" s="130"/>
      <c r="DM63" s="130"/>
      <c r="DN63" s="130"/>
      <c r="DO63" s="130"/>
      <c r="DP63" s="130"/>
      <c r="DQ63" s="130">
        <f t="shared" si="23"/>
        <v>0</v>
      </c>
      <c r="DR63" s="130"/>
      <c r="DS63" s="130"/>
      <c r="DT63" s="130"/>
      <c r="DU63" s="130"/>
      <c r="DV63" s="130"/>
      <c r="DW63" s="130"/>
      <c r="DX63" s="130"/>
      <c r="DY63" s="306"/>
      <c r="DZ63" s="306"/>
      <c r="EA63" s="306"/>
      <c r="EB63" s="306"/>
      <c r="EC63" s="306"/>
      <c r="ED63" s="306"/>
      <c r="EE63" s="306"/>
      <c r="EF63" s="306"/>
      <c r="EG63" s="306"/>
      <c r="EH63" s="306"/>
      <c r="EI63" s="306"/>
      <c r="EJ63" s="306"/>
      <c r="EK63" s="306"/>
      <c r="EL63" s="306"/>
      <c r="EM63" s="306"/>
      <c r="EN63" s="306"/>
      <c r="EO63" s="306"/>
      <c r="EP63" s="306"/>
      <c r="EQ63" s="306"/>
      <c r="ER63" s="306"/>
      <c r="ES63" s="306"/>
      <c r="ET63" s="306"/>
      <c r="EU63" s="306"/>
      <c r="EV63" s="306"/>
      <c r="EW63" s="306"/>
      <c r="EX63" s="306"/>
      <c r="EY63" s="306"/>
      <c r="EZ63" s="307"/>
      <c r="FB63" s="139" t="s">
        <v>2775</v>
      </c>
      <c r="FC63" s="140"/>
      <c r="FD63" s="140"/>
      <c r="FE63" s="140"/>
      <c r="FF63" s="140"/>
      <c r="FG63" s="140"/>
      <c r="FH63" s="140"/>
      <c r="FI63" s="140"/>
      <c r="FJ63" s="140"/>
      <c r="FK63" s="140"/>
      <c r="FL63" s="140"/>
      <c r="FM63" s="140"/>
      <c r="FN63" s="140"/>
      <c r="FO63" s="140"/>
      <c r="FP63" s="140"/>
      <c r="FQ63" s="140"/>
      <c r="FR63" s="140"/>
      <c r="FS63" s="140"/>
      <c r="FT63" s="140"/>
      <c r="FU63" s="140"/>
      <c r="FV63" s="140"/>
      <c r="FW63" s="140"/>
      <c r="FX63" s="140"/>
      <c r="FY63" s="140"/>
      <c r="FZ63" s="140"/>
      <c r="GA63" s="140"/>
      <c r="GB63" s="140"/>
      <c r="GC63" s="140"/>
      <c r="GD63" s="140"/>
      <c r="GE63" s="140"/>
      <c r="GF63" s="140"/>
      <c r="GG63" s="140"/>
      <c r="GH63" s="140"/>
      <c r="GI63" s="140"/>
      <c r="GJ63" s="140"/>
      <c r="GK63" s="140"/>
      <c r="GL63" s="140"/>
      <c r="GM63" s="140"/>
      <c r="GN63" s="140"/>
      <c r="GO63" s="140"/>
      <c r="GP63" s="140"/>
      <c r="GQ63" s="140"/>
      <c r="GR63" s="140"/>
      <c r="GS63" s="140"/>
      <c r="GT63" s="141">
        <v>4</v>
      </c>
      <c r="GU63" s="141"/>
      <c r="GV63" s="141"/>
      <c r="GW63" s="141"/>
      <c r="GX63" s="141"/>
      <c r="GY63" s="141"/>
      <c r="GZ63" s="141"/>
      <c r="HA63" s="141"/>
      <c r="HB63" s="142">
        <f>IFERROR(ROUND(Calculations!BV64*GT63,2),"")</f>
        <v>0.13</v>
      </c>
      <c r="HC63" s="142"/>
      <c r="HD63" s="142"/>
      <c r="HE63" s="142"/>
      <c r="HF63" s="142"/>
      <c r="HG63" s="142"/>
      <c r="HH63" s="142"/>
      <c r="HI63" s="142"/>
      <c r="HJ63" s="142">
        <f>IFERROR(Calculations!BS64+IQ63+IX63,"")</f>
        <v>30</v>
      </c>
      <c r="HK63" s="142"/>
      <c r="HL63" s="142"/>
      <c r="HM63" s="142"/>
      <c r="HN63" s="142"/>
      <c r="HO63" s="142"/>
      <c r="HP63" s="142"/>
      <c r="HQ63" s="142"/>
      <c r="HR63" s="142">
        <f t="shared" si="9"/>
        <v>0</v>
      </c>
      <c r="HS63" s="142"/>
      <c r="HT63" s="142"/>
      <c r="HU63" s="142"/>
      <c r="HV63" s="142"/>
      <c r="HW63" s="142"/>
      <c r="HX63" s="142"/>
      <c r="HY63" s="142"/>
      <c r="HZ63" s="142" t="str">
        <f>IFERROR(Calculations!BX64,"")</f>
        <v>$0.01</v>
      </c>
      <c r="IA63" s="142"/>
      <c r="IB63" s="142"/>
      <c r="IC63" s="142"/>
      <c r="ID63" s="142"/>
      <c r="IE63" s="142"/>
      <c r="IF63" s="142"/>
      <c r="IG63" s="142"/>
      <c r="IH63" s="142"/>
      <c r="II63" s="142"/>
      <c r="IJ63" s="142">
        <f>IFERROR(Calculations!BR64+IX63,"")</f>
        <v>0</v>
      </c>
      <c r="IK63" s="142"/>
      <c r="IL63" s="142"/>
      <c r="IM63" s="142"/>
      <c r="IN63" s="142"/>
      <c r="IO63" s="142"/>
      <c r="IP63" s="142"/>
      <c r="IQ63" s="141">
        <v>0</v>
      </c>
      <c r="IR63" s="141"/>
      <c r="IS63" s="141"/>
      <c r="IT63" s="141"/>
      <c r="IU63" s="141"/>
      <c r="IV63" s="141"/>
      <c r="IW63" s="141"/>
      <c r="IX63" s="141">
        <v>0</v>
      </c>
      <c r="IY63" s="141"/>
      <c r="IZ63" s="141"/>
      <c r="JA63" s="141"/>
      <c r="JB63" s="141"/>
      <c r="JC63" s="141"/>
      <c r="JD63" s="141"/>
      <c r="JE63" s="141"/>
      <c r="JF63" s="142"/>
      <c r="JG63" s="142"/>
      <c r="JH63" s="142"/>
      <c r="JI63" s="142"/>
      <c r="JJ63" s="142"/>
      <c r="JK63" s="143" t="str">
        <f>Calculations!AS64</f>
        <v>Light Cloth</v>
      </c>
      <c r="JL63" s="143"/>
      <c r="JM63" s="143"/>
      <c r="JN63" s="143"/>
      <c r="JO63" s="143"/>
      <c r="JP63" s="143"/>
      <c r="JQ63" s="143"/>
      <c r="JR63" s="143"/>
      <c r="JS63" s="143"/>
      <c r="JT63" s="143"/>
      <c r="JU63" s="143"/>
      <c r="JV63" s="143"/>
      <c r="JW63" s="143"/>
      <c r="JX63" s="143"/>
      <c r="JY63" s="143"/>
      <c r="JZ63" s="143"/>
      <c r="KA63" s="143"/>
      <c r="KB63" s="143"/>
      <c r="KC63" s="143" t="str">
        <f>Calculations!AW64</f>
        <v>Light Cloth</v>
      </c>
      <c r="KD63" s="143"/>
      <c r="KE63" s="143"/>
      <c r="KF63" s="143"/>
      <c r="KG63" s="143"/>
      <c r="KH63" s="143"/>
      <c r="KI63" s="143"/>
      <c r="KJ63" s="143"/>
      <c r="KK63" s="143"/>
      <c r="KL63" s="143"/>
      <c r="KM63" s="143"/>
      <c r="KN63" s="143"/>
      <c r="KO63" s="143"/>
      <c r="KP63" s="143"/>
      <c r="KQ63" s="143"/>
      <c r="KR63" s="143"/>
      <c r="KS63" s="143"/>
      <c r="KT63" s="143"/>
      <c r="KU63" s="144"/>
      <c r="KV63" s="144"/>
      <c r="KW63" s="144"/>
      <c r="KX63" s="144"/>
      <c r="KY63" s="144"/>
      <c r="KZ63" s="144"/>
      <c r="LA63" s="144"/>
      <c r="LB63" s="144"/>
      <c r="LC63" s="144"/>
      <c r="LD63" s="144"/>
      <c r="LE63" s="144"/>
      <c r="LF63" s="144"/>
      <c r="LG63" s="144"/>
      <c r="LH63" s="144"/>
      <c r="LI63" s="144"/>
      <c r="LJ63" s="144"/>
      <c r="LK63" s="144"/>
      <c r="LL63" s="144"/>
      <c r="LM63" s="144"/>
      <c r="LN63" s="144"/>
      <c r="LO63" s="144"/>
      <c r="LP63" s="144"/>
      <c r="LQ63" s="144"/>
      <c r="LR63" s="144"/>
      <c r="LS63" s="144"/>
      <c r="LT63" s="144"/>
      <c r="LU63" s="144"/>
      <c r="LV63" s="144"/>
      <c r="LW63" s="144"/>
      <c r="LX63" s="144"/>
      <c r="LY63" s="144"/>
      <c r="LZ63" s="144"/>
      <c r="MA63" s="144"/>
      <c r="MB63" s="144"/>
      <c r="MC63" s="144"/>
      <c r="MD63" s="144"/>
      <c r="ME63" s="144"/>
      <c r="MF63" s="144"/>
      <c r="MG63" s="144"/>
      <c r="MH63" s="144"/>
      <c r="MI63" s="144"/>
      <c r="MJ63" s="144"/>
      <c r="MK63" s="144"/>
      <c r="ML63" s="144"/>
      <c r="MM63" s="144"/>
      <c r="MN63" s="144"/>
      <c r="MO63" s="144"/>
      <c r="MP63" s="144"/>
      <c r="MQ63" s="144"/>
      <c r="MR63" s="144"/>
      <c r="MS63" s="144"/>
      <c r="MT63" s="144"/>
      <c r="MU63" s="144"/>
      <c r="MV63" s="144"/>
      <c r="MW63" s="144"/>
      <c r="MX63" s="144"/>
      <c r="MY63" s="144"/>
      <c r="MZ63" s="145"/>
      <c r="BLR63" s="128" t="s">
        <v>349</v>
      </c>
      <c r="BLS63" s="128"/>
      <c r="BLT63" s="128"/>
      <c r="BLU63" s="128"/>
      <c r="BLV63" s="128"/>
      <c r="BLW63" s="128"/>
      <c r="BLX63" s="128"/>
      <c r="BLY63" s="128"/>
      <c r="BLZ63" s="128"/>
      <c r="BMA63" s="128"/>
      <c r="BMB63" s="128"/>
      <c r="BMC63" s="128"/>
      <c r="BMD63" s="128"/>
      <c r="BME63" s="128"/>
      <c r="BMF63" s="128"/>
      <c r="BMG63" s="128"/>
      <c r="BMH63" s="128"/>
      <c r="BMI63" s="128"/>
      <c r="BMJ63" s="128"/>
      <c r="BMK63" s="128"/>
      <c r="BML63" s="128"/>
      <c r="BMM63" s="128"/>
      <c r="BMN63" s="128"/>
      <c r="BMO63" s="128"/>
      <c r="BMP63" s="128"/>
      <c r="BMQ63" s="128"/>
      <c r="BMR63" s="128"/>
      <c r="BMS63" s="128"/>
      <c r="BMT63" s="128"/>
      <c r="BMU63" s="128"/>
      <c r="BMV63" s="128"/>
      <c r="BMW63" s="129"/>
      <c r="BMX63" s="129"/>
      <c r="BMY63" s="129"/>
      <c r="BMZ63" s="129"/>
      <c r="BNA63" s="129"/>
      <c r="BNB63" s="129"/>
      <c r="BNC63" s="129"/>
      <c r="BND63" s="129"/>
      <c r="BNE63" s="129"/>
      <c r="BNF63" s="129"/>
      <c r="BNG63" s="129"/>
      <c r="BNH63" s="129"/>
      <c r="BNI63" s="129"/>
      <c r="BNJ63" s="129"/>
      <c r="BNK63" s="129"/>
      <c r="BNL63" s="129"/>
      <c r="BNM63" s="129"/>
      <c r="BNN63" s="129"/>
      <c r="BNO63" s="129"/>
      <c r="BNP63" s="129"/>
      <c r="BNQ63" s="129"/>
      <c r="BNR63" s="128"/>
      <c r="BNS63" s="128"/>
      <c r="BNT63" s="128"/>
      <c r="BNU63" s="128"/>
      <c r="BNV63" s="128"/>
      <c r="BNW63" s="128"/>
      <c r="BNX63" s="129"/>
      <c r="BNY63" s="129"/>
      <c r="BNZ63" s="129"/>
      <c r="BOA63" s="129"/>
      <c r="BOB63" s="129"/>
      <c r="BOC63" s="129"/>
      <c r="BOD63" s="129"/>
      <c r="BOE63" s="129"/>
      <c r="BOF63" s="129"/>
      <c r="BOG63" s="129"/>
      <c r="BOH63" s="129"/>
      <c r="BOI63" s="129"/>
      <c r="BOJ63" s="129"/>
      <c r="BOK63" s="129"/>
      <c r="BOL63" s="129"/>
      <c r="BOM63" s="129"/>
      <c r="BON63" s="129"/>
      <c r="BOO63" s="129"/>
      <c r="BOP63" s="129"/>
      <c r="BOQ63" s="129"/>
      <c r="BOR63" s="129"/>
      <c r="BOS63" s="129"/>
      <c r="BOT63" s="129"/>
      <c r="BOU63" s="129"/>
      <c r="BOV63" s="129"/>
      <c r="BOW63" s="129"/>
      <c r="BOX63" s="129"/>
      <c r="BOY63" s="129"/>
      <c r="BOZ63" s="128"/>
      <c r="BPA63" s="128"/>
      <c r="BPB63" s="128"/>
      <c r="BPC63" s="128"/>
      <c r="BPD63" s="128"/>
      <c r="BPE63" s="128"/>
      <c r="BPF63" s="128"/>
    </row>
    <row r="64" spans="2:364 1118:1774 2434:2902" ht="15" customHeight="1" x14ac:dyDescent="0.25">
      <c r="B64" s="190" t="s">
        <v>2118</v>
      </c>
      <c r="C64" s="191"/>
      <c r="D64" s="191"/>
      <c r="E64" s="191"/>
      <c r="F64" s="191"/>
      <c r="G64" s="191"/>
      <c r="H64" s="191"/>
      <c r="I64" s="191"/>
      <c r="J64" s="191"/>
      <c r="K64" s="191"/>
      <c r="L64" s="191"/>
      <c r="M64" s="191"/>
      <c r="N64" s="191"/>
      <c r="O64" s="191"/>
      <c r="P64" s="312" t="str">
        <f>Calculations!DA18</f>
        <v>Heavy Cloth</v>
      </c>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193">
        <v>1</v>
      </c>
      <c r="AP64" s="193"/>
      <c r="AQ64" s="193"/>
      <c r="AR64" s="193"/>
      <c r="AS64" s="193"/>
      <c r="AT64" s="193"/>
      <c r="AU64" s="193"/>
      <c r="AV64" s="193"/>
      <c r="AW64" s="131" t="str">
        <f>IF(P64="No Armour","- -",IF(P64=Calculations!DA18,"- -",VLOOKUP(P64,Armour!$B$4:$AU$99,19,FALSE)*'Character Creation'!$Z$18*'Character Sheet'!$AO64))</f>
        <v>- -</v>
      </c>
      <c r="AX64" s="131"/>
      <c r="AY64" s="131"/>
      <c r="AZ64" s="131"/>
      <c r="BA64" s="131"/>
      <c r="BB64" s="131"/>
      <c r="BC64" s="131"/>
      <c r="BD64" s="131"/>
      <c r="BE64" s="131">
        <f>IF(P64="No Armour","- -",VLOOKUP(P64,Armour!$B$4:$AU$99,4,FALSE)+BU64+CC64)</f>
        <v>30</v>
      </c>
      <c r="BF64" s="131"/>
      <c r="BG64" s="131"/>
      <c r="BH64" s="131"/>
      <c r="BI64" s="131"/>
      <c r="BJ64" s="131"/>
      <c r="BK64" s="131"/>
      <c r="BL64" s="131"/>
      <c r="BM64" s="131">
        <f>IF(P64="No Armour","- -",IF(P64="No Armour",0,VLOOKUP(P64,Armour!$B$4:$AU$99,3,FALSE)+VLOOKUP(((AO64*100)-100),Charts!$AW$2:$AX$42,2,FALSE)))</f>
        <v>0</v>
      </c>
      <c r="BN64" s="131"/>
      <c r="BO64" s="131"/>
      <c r="BP64" s="131"/>
      <c r="BQ64" s="131"/>
      <c r="BR64" s="131"/>
      <c r="BS64" s="131"/>
      <c r="BT64" s="131"/>
      <c r="BU64" s="194">
        <f t="shared" si="24"/>
        <v>0</v>
      </c>
      <c r="BV64" s="194"/>
      <c r="BW64" s="194"/>
      <c r="BX64" s="194"/>
      <c r="BY64" s="194"/>
      <c r="BZ64" s="194"/>
      <c r="CA64" s="194"/>
      <c r="CB64" s="194"/>
      <c r="CC64" s="194">
        <f t="shared" si="25"/>
        <v>0</v>
      </c>
      <c r="CD64" s="194"/>
      <c r="CE64" s="194"/>
      <c r="CF64" s="194"/>
      <c r="CG64" s="194"/>
      <c r="CH64" s="194"/>
      <c r="CI64" s="194"/>
      <c r="CJ64" s="194"/>
      <c r="CK64" s="131">
        <f t="shared" si="18"/>
        <v>2</v>
      </c>
      <c r="CL64" s="131"/>
      <c r="CM64" s="131"/>
      <c r="CN64" s="131"/>
      <c r="CO64" s="131"/>
      <c r="CP64" s="131"/>
      <c r="CQ64" s="131"/>
      <c r="CR64" s="131"/>
      <c r="CS64" s="131">
        <f t="shared" si="22"/>
        <v>0</v>
      </c>
      <c r="CT64" s="131"/>
      <c r="CU64" s="131"/>
      <c r="CV64" s="131"/>
      <c r="CW64" s="131"/>
      <c r="CX64" s="131"/>
      <c r="CY64" s="131"/>
      <c r="CZ64" s="131"/>
      <c r="DA64" s="131">
        <f>IF(P64="No Armour","- -",VLOOKUP(P64,Armour!$B$4:$EY$99,58,FALSE)+(ROUNDUP(CC64/3,0)))</f>
        <v>-2.5</v>
      </c>
      <c r="DB64" s="131"/>
      <c r="DC64" s="131"/>
      <c r="DD64" s="131"/>
      <c r="DE64" s="131"/>
      <c r="DF64" s="131"/>
      <c r="DG64" s="131"/>
      <c r="DH64" s="131"/>
      <c r="DI64" s="131">
        <f t="shared" si="26"/>
        <v>0</v>
      </c>
      <c r="DJ64" s="131"/>
      <c r="DK64" s="131"/>
      <c r="DL64" s="131"/>
      <c r="DM64" s="131"/>
      <c r="DN64" s="131"/>
      <c r="DO64" s="131"/>
      <c r="DP64" s="131"/>
      <c r="DQ64" s="131">
        <f t="shared" si="23"/>
        <v>0</v>
      </c>
      <c r="DR64" s="131"/>
      <c r="DS64" s="131"/>
      <c r="DT64" s="131"/>
      <c r="DU64" s="131"/>
      <c r="DV64" s="131"/>
      <c r="DW64" s="131"/>
      <c r="DX64" s="131"/>
      <c r="DY64" s="136"/>
      <c r="DZ64" s="136"/>
      <c r="EA64" s="136"/>
      <c r="EB64" s="136"/>
      <c r="EC64" s="136"/>
      <c r="ED64" s="136"/>
      <c r="EE64" s="136"/>
      <c r="EF64" s="136"/>
      <c r="EG64" s="136"/>
      <c r="EH64" s="136"/>
      <c r="EI64" s="136"/>
      <c r="EJ64" s="136"/>
      <c r="EK64" s="136"/>
      <c r="EL64" s="136"/>
      <c r="EM64" s="136"/>
      <c r="EN64" s="136"/>
      <c r="EO64" s="136"/>
      <c r="EP64" s="136"/>
      <c r="EQ64" s="136"/>
      <c r="ER64" s="136"/>
      <c r="ES64" s="136"/>
      <c r="ET64" s="136"/>
      <c r="EU64" s="136"/>
      <c r="EV64" s="136"/>
      <c r="EW64" s="136"/>
      <c r="EX64" s="136"/>
      <c r="EY64" s="136"/>
      <c r="EZ64" s="313"/>
      <c r="FB64" s="139" t="s">
        <v>2844</v>
      </c>
      <c r="FC64" s="140"/>
      <c r="FD64" s="140"/>
      <c r="FE64" s="140"/>
      <c r="FF64" s="140"/>
      <c r="FG64" s="140"/>
      <c r="FH64" s="140"/>
      <c r="FI64" s="140"/>
      <c r="FJ64" s="140"/>
      <c r="FK64" s="140"/>
      <c r="FL64" s="140"/>
      <c r="FM64" s="140"/>
      <c r="FN64" s="140"/>
      <c r="FO64" s="140"/>
      <c r="FP64" s="140"/>
      <c r="FQ64" s="140"/>
      <c r="FR64" s="140"/>
      <c r="FS64" s="140"/>
      <c r="FT64" s="140"/>
      <c r="FU64" s="140"/>
      <c r="FV64" s="140"/>
      <c r="FW64" s="140"/>
      <c r="FX64" s="140"/>
      <c r="FY64" s="140"/>
      <c r="FZ64" s="140"/>
      <c r="GA64" s="140"/>
      <c r="GB64" s="140"/>
      <c r="GC64" s="140"/>
      <c r="GD64" s="140"/>
      <c r="GE64" s="140"/>
      <c r="GF64" s="140"/>
      <c r="GG64" s="140"/>
      <c r="GH64" s="140"/>
      <c r="GI64" s="140"/>
      <c r="GJ64" s="140"/>
      <c r="GK64" s="140"/>
      <c r="GL64" s="140"/>
      <c r="GM64" s="140"/>
      <c r="GN64" s="140"/>
      <c r="GO64" s="140"/>
      <c r="GP64" s="140"/>
      <c r="GQ64" s="140"/>
      <c r="GR64" s="140"/>
      <c r="GS64" s="140"/>
      <c r="GT64" s="141">
        <v>1</v>
      </c>
      <c r="GU64" s="141"/>
      <c r="GV64" s="141"/>
      <c r="GW64" s="141"/>
      <c r="GX64" s="141"/>
      <c r="GY64" s="141"/>
      <c r="GZ64" s="141"/>
      <c r="HA64" s="141"/>
      <c r="HB64" s="142">
        <f>IFERROR(ROUND(Calculations!BV65*GT64,2),"")</f>
        <v>0.5</v>
      </c>
      <c r="HC64" s="142"/>
      <c r="HD64" s="142"/>
      <c r="HE64" s="142"/>
      <c r="HF64" s="142"/>
      <c r="HG64" s="142"/>
      <c r="HH64" s="142"/>
      <c r="HI64" s="142"/>
      <c r="HJ64" s="142">
        <f>IFERROR(Calculations!BS65+IQ64+IX64,"")</f>
        <v>30</v>
      </c>
      <c r="HK64" s="142"/>
      <c r="HL64" s="142"/>
      <c r="HM64" s="142"/>
      <c r="HN64" s="142"/>
      <c r="HO64" s="142"/>
      <c r="HP64" s="142"/>
      <c r="HQ64" s="142"/>
      <c r="HR64" s="142">
        <f t="shared" si="9"/>
        <v>0</v>
      </c>
      <c r="HS64" s="142"/>
      <c r="HT64" s="142"/>
      <c r="HU64" s="142"/>
      <c r="HV64" s="142"/>
      <c r="HW64" s="142"/>
      <c r="HX64" s="142"/>
      <c r="HY64" s="142"/>
      <c r="HZ64" s="142" t="str">
        <f>IFERROR(Calculations!BX65,"")</f>
        <v>$0.1</v>
      </c>
      <c r="IA64" s="142"/>
      <c r="IB64" s="142"/>
      <c r="IC64" s="142"/>
      <c r="ID64" s="142"/>
      <c r="IE64" s="142"/>
      <c r="IF64" s="142"/>
      <c r="IG64" s="142"/>
      <c r="IH64" s="142"/>
      <c r="II64" s="142"/>
      <c r="IJ64" s="142">
        <f>IFERROR(Calculations!BR65+IX64,"")</f>
        <v>0</v>
      </c>
      <c r="IK64" s="142"/>
      <c r="IL64" s="142"/>
      <c r="IM64" s="142"/>
      <c r="IN64" s="142"/>
      <c r="IO64" s="142"/>
      <c r="IP64" s="142"/>
      <c r="IQ64" s="141">
        <v>0</v>
      </c>
      <c r="IR64" s="141"/>
      <c r="IS64" s="141"/>
      <c r="IT64" s="141"/>
      <c r="IU64" s="141"/>
      <c r="IV64" s="141"/>
      <c r="IW64" s="141"/>
      <c r="IX64" s="141">
        <v>0</v>
      </c>
      <c r="IY64" s="141"/>
      <c r="IZ64" s="141"/>
      <c r="JA64" s="141"/>
      <c r="JB64" s="141"/>
      <c r="JC64" s="141"/>
      <c r="JD64" s="141"/>
      <c r="JE64" s="141"/>
      <c r="JF64" s="142"/>
      <c r="JG64" s="142"/>
      <c r="JH64" s="142"/>
      <c r="JI64" s="142"/>
      <c r="JJ64" s="142"/>
      <c r="JK64" s="143" t="str">
        <f>Calculations!AS65</f>
        <v>Tin</v>
      </c>
      <c r="JL64" s="143"/>
      <c r="JM64" s="143"/>
      <c r="JN64" s="143"/>
      <c r="JO64" s="143"/>
      <c r="JP64" s="143"/>
      <c r="JQ64" s="143"/>
      <c r="JR64" s="143"/>
      <c r="JS64" s="143"/>
      <c r="JT64" s="143"/>
      <c r="JU64" s="143"/>
      <c r="JV64" s="143"/>
      <c r="JW64" s="143"/>
      <c r="JX64" s="143"/>
      <c r="JY64" s="143"/>
      <c r="JZ64" s="143"/>
      <c r="KA64" s="143"/>
      <c r="KB64" s="143"/>
      <c r="KC64" s="143" t="str">
        <f>Calculations!AW65</f>
        <v>Heavy Cloth</v>
      </c>
      <c r="KD64" s="143"/>
      <c r="KE64" s="143"/>
      <c r="KF64" s="143"/>
      <c r="KG64" s="143"/>
      <c r="KH64" s="143"/>
      <c r="KI64" s="143"/>
      <c r="KJ64" s="143"/>
      <c r="KK64" s="143"/>
      <c r="KL64" s="143"/>
      <c r="KM64" s="143"/>
      <c r="KN64" s="143"/>
      <c r="KO64" s="143"/>
      <c r="KP64" s="143"/>
      <c r="KQ64" s="143"/>
      <c r="KR64" s="143"/>
      <c r="KS64" s="143"/>
      <c r="KT64" s="143"/>
      <c r="KU64" s="144"/>
      <c r="KV64" s="144"/>
      <c r="KW64" s="144"/>
      <c r="KX64" s="144"/>
      <c r="KY64" s="144"/>
      <c r="KZ64" s="144"/>
      <c r="LA64" s="144"/>
      <c r="LB64" s="144"/>
      <c r="LC64" s="144"/>
      <c r="LD64" s="144"/>
      <c r="LE64" s="144"/>
      <c r="LF64" s="144"/>
      <c r="LG64" s="144"/>
      <c r="LH64" s="144"/>
      <c r="LI64" s="144"/>
      <c r="LJ64" s="144"/>
      <c r="LK64" s="144"/>
      <c r="LL64" s="144"/>
      <c r="LM64" s="144"/>
      <c r="LN64" s="144"/>
      <c r="LO64" s="144"/>
      <c r="LP64" s="144"/>
      <c r="LQ64" s="144"/>
      <c r="LR64" s="144"/>
      <c r="LS64" s="144"/>
      <c r="LT64" s="144"/>
      <c r="LU64" s="144"/>
      <c r="LV64" s="144"/>
      <c r="LW64" s="144"/>
      <c r="LX64" s="144"/>
      <c r="LY64" s="144"/>
      <c r="LZ64" s="144"/>
      <c r="MA64" s="144"/>
      <c r="MB64" s="144"/>
      <c r="MC64" s="144"/>
      <c r="MD64" s="144"/>
      <c r="ME64" s="144"/>
      <c r="MF64" s="144"/>
      <c r="MG64" s="144"/>
      <c r="MH64" s="144"/>
      <c r="MI64" s="144"/>
      <c r="MJ64" s="144"/>
      <c r="MK64" s="144"/>
      <c r="ML64" s="144"/>
      <c r="MM64" s="144"/>
      <c r="MN64" s="144"/>
      <c r="MO64" s="144"/>
      <c r="MP64" s="144"/>
      <c r="MQ64" s="144"/>
      <c r="MR64" s="144"/>
      <c r="MS64" s="144"/>
      <c r="MT64" s="144"/>
      <c r="MU64" s="144"/>
      <c r="MV64" s="144"/>
      <c r="MW64" s="144"/>
      <c r="MX64" s="144"/>
      <c r="MY64" s="144"/>
      <c r="MZ64" s="145"/>
    </row>
    <row r="65" spans="2:364 1682:1774" ht="15" customHeight="1" x14ac:dyDescent="0.25">
      <c r="B65" s="188" t="s">
        <v>2119</v>
      </c>
      <c r="C65" s="189"/>
      <c r="D65" s="189"/>
      <c r="E65" s="189"/>
      <c r="F65" s="189"/>
      <c r="G65" s="189"/>
      <c r="H65" s="189"/>
      <c r="I65" s="189"/>
      <c r="J65" s="189"/>
      <c r="K65" s="189"/>
      <c r="L65" s="189"/>
      <c r="M65" s="189"/>
      <c r="N65" s="189"/>
      <c r="O65" s="189"/>
      <c r="P65" s="311" t="str">
        <f>Calculations!DA19</f>
        <v>Heavy Cloth</v>
      </c>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192">
        <v>1</v>
      </c>
      <c r="AP65" s="192"/>
      <c r="AQ65" s="192"/>
      <c r="AR65" s="192"/>
      <c r="AS65" s="192"/>
      <c r="AT65" s="192"/>
      <c r="AU65" s="192"/>
      <c r="AV65" s="192"/>
      <c r="AW65" s="130" t="str">
        <f>IF(P65="No Armour","- -",IF(P65=Calculations!DA19,"- -",VLOOKUP(P65,Armour!$B$4:$AU$99,19,FALSE)*'Character Creation'!$Z$18*'Character Sheet'!$AO65))</f>
        <v>- -</v>
      </c>
      <c r="AX65" s="130"/>
      <c r="AY65" s="130"/>
      <c r="AZ65" s="130"/>
      <c r="BA65" s="130"/>
      <c r="BB65" s="130"/>
      <c r="BC65" s="130"/>
      <c r="BD65" s="130"/>
      <c r="BE65" s="130">
        <f>IF(P65="No Armour","- -",VLOOKUP(P65,Armour!$B$4:$AU$99,4,FALSE)+BU65+CC65)</f>
        <v>30</v>
      </c>
      <c r="BF65" s="130"/>
      <c r="BG65" s="130"/>
      <c r="BH65" s="130"/>
      <c r="BI65" s="130"/>
      <c r="BJ65" s="130"/>
      <c r="BK65" s="130"/>
      <c r="BL65" s="130"/>
      <c r="BM65" s="130">
        <f>IF(P65="No Armour","- -",IF(P65="No Armour",0,VLOOKUP(P65,Armour!$B$4:$AU$99,3,FALSE)+VLOOKUP(((AO65*100)-100),Charts!$AW$2:$AX$42,2,FALSE)))</f>
        <v>0</v>
      </c>
      <c r="BN65" s="130"/>
      <c r="BO65" s="130"/>
      <c r="BP65" s="130"/>
      <c r="BQ65" s="130"/>
      <c r="BR65" s="130"/>
      <c r="BS65" s="130"/>
      <c r="BT65" s="130"/>
      <c r="BU65" s="195">
        <f t="shared" si="24"/>
        <v>0</v>
      </c>
      <c r="BV65" s="195"/>
      <c r="BW65" s="195"/>
      <c r="BX65" s="195"/>
      <c r="BY65" s="195"/>
      <c r="BZ65" s="195"/>
      <c r="CA65" s="195"/>
      <c r="CB65" s="195"/>
      <c r="CC65" s="195">
        <f t="shared" si="25"/>
        <v>0</v>
      </c>
      <c r="CD65" s="195"/>
      <c r="CE65" s="195"/>
      <c r="CF65" s="195"/>
      <c r="CG65" s="195"/>
      <c r="CH65" s="195"/>
      <c r="CI65" s="195"/>
      <c r="CJ65" s="195"/>
      <c r="CK65" s="130">
        <f t="shared" si="18"/>
        <v>2</v>
      </c>
      <c r="CL65" s="130"/>
      <c r="CM65" s="130"/>
      <c r="CN65" s="130"/>
      <c r="CO65" s="130"/>
      <c r="CP65" s="130"/>
      <c r="CQ65" s="130"/>
      <c r="CR65" s="130"/>
      <c r="CS65" s="130">
        <f t="shared" si="22"/>
        <v>0</v>
      </c>
      <c r="CT65" s="130"/>
      <c r="CU65" s="130"/>
      <c r="CV65" s="130"/>
      <c r="CW65" s="130"/>
      <c r="CX65" s="130"/>
      <c r="CY65" s="130"/>
      <c r="CZ65" s="130"/>
      <c r="DA65" s="130">
        <f>IF(P65="No Armour","- -",VLOOKUP(P65,Armour!$B$4:$EY$99,58,FALSE)+(ROUNDUP(CC65/3,0)))</f>
        <v>-2.5</v>
      </c>
      <c r="DB65" s="130"/>
      <c r="DC65" s="130"/>
      <c r="DD65" s="130"/>
      <c r="DE65" s="130"/>
      <c r="DF65" s="130"/>
      <c r="DG65" s="130"/>
      <c r="DH65" s="130"/>
      <c r="DI65" s="130">
        <f t="shared" si="26"/>
        <v>0</v>
      </c>
      <c r="DJ65" s="130"/>
      <c r="DK65" s="130"/>
      <c r="DL65" s="130"/>
      <c r="DM65" s="130"/>
      <c r="DN65" s="130"/>
      <c r="DO65" s="130"/>
      <c r="DP65" s="130"/>
      <c r="DQ65" s="130">
        <f t="shared" si="23"/>
        <v>0</v>
      </c>
      <c r="DR65" s="130"/>
      <c r="DS65" s="130"/>
      <c r="DT65" s="130"/>
      <c r="DU65" s="130"/>
      <c r="DV65" s="130"/>
      <c r="DW65" s="130"/>
      <c r="DX65" s="130"/>
      <c r="DY65" s="306"/>
      <c r="DZ65" s="306"/>
      <c r="EA65" s="306"/>
      <c r="EB65" s="306"/>
      <c r="EC65" s="306"/>
      <c r="ED65" s="306"/>
      <c r="EE65" s="306"/>
      <c r="EF65" s="306"/>
      <c r="EG65" s="306"/>
      <c r="EH65" s="306"/>
      <c r="EI65" s="306"/>
      <c r="EJ65" s="306"/>
      <c r="EK65" s="306"/>
      <c r="EL65" s="306"/>
      <c r="EM65" s="306"/>
      <c r="EN65" s="306"/>
      <c r="EO65" s="306"/>
      <c r="EP65" s="306"/>
      <c r="EQ65" s="306"/>
      <c r="ER65" s="306"/>
      <c r="ES65" s="306"/>
      <c r="ET65" s="306"/>
      <c r="EU65" s="306"/>
      <c r="EV65" s="306"/>
      <c r="EW65" s="306"/>
      <c r="EX65" s="306"/>
      <c r="EY65" s="306"/>
      <c r="EZ65" s="307"/>
      <c r="FB65" s="139" t="s">
        <v>2847</v>
      </c>
      <c r="FC65" s="140"/>
      <c r="FD65" s="140"/>
      <c r="FE65" s="140"/>
      <c r="FF65" s="140"/>
      <c r="FG65" s="140"/>
      <c r="FH65" s="140"/>
      <c r="FI65" s="140"/>
      <c r="FJ65" s="140"/>
      <c r="FK65" s="140"/>
      <c r="FL65" s="140"/>
      <c r="FM65" s="140"/>
      <c r="FN65" s="140"/>
      <c r="FO65" s="140"/>
      <c r="FP65" s="140"/>
      <c r="FQ65" s="140"/>
      <c r="FR65" s="140"/>
      <c r="FS65" s="140"/>
      <c r="FT65" s="140"/>
      <c r="FU65" s="140"/>
      <c r="FV65" s="140"/>
      <c r="FW65" s="140"/>
      <c r="FX65" s="140"/>
      <c r="FY65" s="140"/>
      <c r="FZ65" s="140"/>
      <c r="GA65" s="140"/>
      <c r="GB65" s="140"/>
      <c r="GC65" s="140"/>
      <c r="GD65" s="140"/>
      <c r="GE65" s="140"/>
      <c r="GF65" s="140"/>
      <c r="GG65" s="140"/>
      <c r="GH65" s="140"/>
      <c r="GI65" s="140"/>
      <c r="GJ65" s="140"/>
      <c r="GK65" s="140"/>
      <c r="GL65" s="140"/>
      <c r="GM65" s="140"/>
      <c r="GN65" s="140"/>
      <c r="GO65" s="140"/>
      <c r="GP65" s="140"/>
      <c r="GQ65" s="140"/>
      <c r="GR65" s="140"/>
      <c r="GS65" s="140"/>
      <c r="GT65" s="141">
        <v>1</v>
      </c>
      <c r="GU65" s="141"/>
      <c r="GV65" s="141"/>
      <c r="GW65" s="141"/>
      <c r="GX65" s="141"/>
      <c r="GY65" s="141"/>
      <c r="GZ65" s="141"/>
      <c r="HA65" s="141"/>
      <c r="HB65" s="142">
        <f>IFERROR(ROUND(Calculations!BV66*GT65,2),"")</f>
        <v>0.5</v>
      </c>
      <c r="HC65" s="142"/>
      <c r="HD65" s="142"/>
      <c r="HE65" s="142"/>
      <c r="HF65" s="142"/>
      <c r="HG65" s="142"/>
      <c r="HH65" s="142"/>
      <c r="HI65" s="142"/>
      <c r="HJ65" s="142">
        <f>IFERROR(Calculations!BS66+IQ65+IX65,"")</f>
        <v>30</v>
      </c>
      <c r="HK65" s="142"/>
      <c r="HL65" s="142"/>
      <c r="HM65" s="142"/>
      <c r="HN65" s="142"/>
      <c r="HO65" s="142"/>
      <c r="HP65" s="142"/>
      <c r="HQ65" s="142"/>
      <c r="HR65" s="142">
        <f t="shared" si="9"/>
        <v>0</v>
      </c>
      <c r="HS65" s="142"/>
      <c r="HT65" s="142"/>
      <c r="HU65" s="142"/>
      <c r="HV65" s="142"/>
      <c r="HW65" s="142"/>
      <c r="HX65" s="142"/>
      <c r="HY65" s="142"/>
      <c r="HZ65" s="142" t="str">
        <f>IFERROR(Calculations!BX66,"")</f>
        <v>$0.18</v>
      </c>
      <c r="IA65" s="142"/>
      <c r="IB65" s="142"/>
      <c r="IC65" s="142"/>
      <c r="ID65" s="142"/>
      <c r="IE65" s="142"/>
      <c r="IF65" s="142"/>
      <c r="IG65" s="142"/>
      <c r="IH65" s="142"/>
      <c r="II65" s="142"/>
      <c r="IJ65" s="142">
        <f>IFERROR(Calculations!BR66+IX65,"")</f>
        <v>0</v>
      </c>
      <c r="IK65" s="142"/>
      <c r="IL65" s="142"/>
      <c r="IM65" s="142"/>
      <c r="IN65" s="142"/>
      <c r="IO65" s="142"/>
      <c r="IP65" s="142"/>
      <c r="IQ65" s="141">
        <v>0</v>
      </c>
      <c r="IR65" s="141"/>
      <c r="IS65" s="141"/>
      <c r="IT65" s="141"/>
      <c r="IU65" s="141"/>
      <c r="IV65" s="141"/>
      <c r="IW65" s="141"/>
      <c r="IX65" s="141">
        <v>0</v>
      </c>
      <c r="IY65" s="141"/>
      <c r="IZ65" s="141"/>
      <c r="JA65" s="141"/>
      <c r="JB65" s="141"/>
      <c r="JC65" s="141"/>
      <c r="JD65" s="141"/>
      <c r="JE65" s="141"/>
      <c r="JF65" s="142"/>
      <c r="JG65" s="142"/>
      <c r="JH65" s="142"/>
      <c r="JI65" s="142"/>
      <c r="JJ65" s="142"/>
      <c r="JK65" s="143" t="str">
        <f>Calculations!AS66</f>
        <v>Tin</v>
      </c>
      <c r="JL65" s="143"/>
      <c r="JM65" s="143"/>
      <c r="JN65" s="143"/>
      <c r="JO65" s="143"/>
      <c r="JP65" s="143"/>
      <c r="JQ65" s="143"/>
      <c r="JR65" s="143"/>
      <c r="JS65" s="143"/>
      <c r="JT65" s="143"/>
      <c r="JU65" s="143"/>
      <c r="JV65" s="143"/>
      <c r="JW65" s="143"/>
      <c r="JX65" s="143"/>
      <c r="JY65" s="143"/>
      <c r="JZ65" s="143"/>
      <c r="KA65" s="143"/>
      <c r="KB65" s="143"/>
      <c r="KC65" s="143" t="str">
        <f>Calculations!AW66</f>
        <v>Heavy Cloth</v>
      </c>
      <c r="KD65" s="143"/>
      <c r="KE65" s="143"/>
      <c r="KF65" s="143"/>
      <c r="KG65" s="143"/>
      <c r="KH65" s="143"/>
      <c r="KI65" s="143"/>
      <c r="KJ65" s="143"/>
      <c r="KK65" s="143"/>
      <c r="KL65" s="143"/>
      <c r="KM65" s="143"/>
      <c r="KN65" s="143"/>
      <c r="KO65" s="143"/>
      <c r="KP65" s="143"/>
      <c r="KQ65" s="143"/>
      <c r="KR65" s="143"/>
      <c r="KS65" s="143"/>
      <c r="KT65" s="143"/>
      <c r="KU65" s="144"/>
      <c r="KV65" s="144"/>
      <c r="KW65" s="144"/>
      <c r="KX65" s="144"/>
      <c r="KY65" s="144"/>
      <c r="KZ65" s="144"/>
      <c r="LA65" s="144"/>
      <c r="LB65" s="144"/>
      <c r="LC65" s="144"/>
      <c r="LD65" s="144"/>
      <c r="LE65" s="144"/>
      <c r="LF65" s="144"/>
      <c r="LG65" s="144"/>
      <c r="LH65" s="144"/>
      <c r="LI65" s="144"/>
      <c r="LJ65" s="144"/>
      <c r="LK65" s="144"/>
      <c r="LL65" s="144"/>
      <c r="LM65" s="144"/>
      <c r="LN65" s="144"/>
      <c r="LO65" s="144"/>
      <c r="LP65" s="144"/>
      <c r="LQ65" s="144"/>
      <c r="LR65" s="144"/>
      <c r="LS65" s="144"/>
      <c r="LT65" s="144"/>
      <c r="LU65" s="144"/>
      <c r="LV65" s="144"/>
      <c r="LW65" s="144"/>
      <c r="LX65" s="144"/>
      <c r="LY65" s="144"/>
      <c r="LZ65" s="144"/>
      <c r="MA65" s="144"/>
      <c r="MB65" s="144"/>
      <c r="MC65" s="144"/>
      <c r="MD65" s="144"/>
      <c r="ME65" s="144"/>
      <c r="MF65" s="144"/>
      <c r="MG65" s="144"/>
      <c r="MH65" s="144"/>
      <c r="MI65" s="144"/>
      <c r="MJ65" s="144"/>
      <c r="MK65" s="144"/>
      <c r="ML65" s="144"/>
      <c r="MM65" s="144"/>
      <c r="MN65" s="144"/>
      <c r="MO65" s="144"/>
      <c r="MP65" s="144"/>
      <c r="MQ65" s="144"/>
      <c r="MR65" s="144"/>
      <c r="MS65" s="144"/>
      <c r="MT65" s="144"/>
      <c r="MU65" s="144"/>
      <c r="MV65" s="144"/>
      <c r="MW65" s="144"/>
      <c r="MX65" s="144"/>
      <c r="MY65" s="144"/>
      <c r="MZ65" s="145"/>
      <c r="BLR65" s="144" t="s">
        <v>350</v>
      </c>
      <c r="BLS65" s="144"/>
      <c r="BLT65" s="144"/>
      <c r="BLU65" s="144"/>
      <c r="BLV65" s="144"/>
      <c r="BLW65" s="144"/>
      <c r="BLX65" s="144"/>
      <c r="BLY65" s="144"/>
      <c r="BLZ65" s="144"/>
      <c r="BMA65" s="144"/>
      <c r="BMB65" s="144"/>
      <c r="BMC65" s="144"/>
      <c r="BMD65" s="144"/>
      <c r="BME65" s="144"/>
      <c r="BMF65" s="144"/>
      <c r="BMG65" s="144"/>
      <c r="BMH65" s="144"/>
      <c r="BMI65" s="144"/>
      <c r="BMJ65" s="144"/>
      <c r="BMK65" s="144"/>
      <c r="BML65" s="144"/>
      <c r="BMM65" s="144"/>
      <c r="BMN65" s="144"/>
      <c r="BMO65" s="144"/>
      <c r="BMP65" s="144"/>
      <c r="BMQ65" s="144"/>
      <c r="BMR65" s="144"/>
      <c r="BMS65" s="144"/>
      <c r="BMT65" s="144"/>
      <c r="BMU65" s="144"/>
      <c r="BMV65" s="144"/>
      <c r="BMW65" s="144"/>
      <c r="BMX65" s="144"/>
      <c r="BMY65" s="144"/>
      <c r="BMZ65" s="144"/>
      <c r="BNA65" s="144"/>
      <c r="BNB65" s="144"/>
      <c r="BNC65" s="144"/>
      <c r="BND65" s="144"/>
      <c r="BNE65" s="144"/>
      <c r="BNF65" s="144"/>
      <c r="BNG65" s="144"/>
      <c r="BNH65" s="144"/>
      <c r="BNI65" s="144"/>
      <c r="BNJ65" s="144"/>
      <c r="BNK65" s="144"/>
      <c r="BNL65" s="144"/>
      <c r="BNM65" s="144"/>
      <c r="BNN65" s="144"/>
      <c r="BNO65" s="144"/>
      <c r="BNP65" s="144"/>
      <c r="BNQ65" s="144"/>
      <c r="BNR65" s="144"/>
      <c r="BNS65" s="144"/>
      <c r="BNT65" s="144"/>
      <c r="BNU65" s="144"/>
      <c r="BNV65" s="144"/>
      <c r="BNW65" s="144"/>
      <c r="BNX65" s="144"/>
      <c r="BNY65" s="144"/>
      <c r="BNZ65" s="144"/>
      <c r="BOA65" s="144"/>
      <c r="BOB65" s="144"/>
      <c r="BOC65" s="144"/>
      <c r="BOD65" s="144"/>
      <c r="BOE65" s="144"/>
      <c r="BOF65" s="144"/>
      <c r="BOG65" s="144"/>
      <c r="BOH65" s="144"/>
      <c r="BOI65" s="144"/>
      <c r="BOJ65" s="144"/>
      <c r="BOK65" s="144"/>
      <c r="BOL65" s="144"/>
      <c r="BOM65" s="144"/>
      <c r="BON65" s="144"/>
      <c r="BOO65" s="144"/>
      <c r="BOP65" s="144"/>
      <c r="BOQ65" s="144"/>
      <c r="BOR65" s="144"/>
      <c r="BOS65" s="144"/>
      <c r="BOT65" s="144"/>
      <c r="BOU65" s="144"/>
      <c r="BOV65" s="144"/>
      <c r="BOW65" s="144"/>
      <c r="BOX65" s="144"/>
      <c r="BOY65" s="144"/>
      <c r="BOZ65" s="144"/>
      <c r="BPA65" s="144"/>
      <c r="BPB65" s="144"/>
      <c r="BPC65" s="144"/>
      <c r="BPD65" s="144"/>
      <c r="BPE65" s="144"/>
      <c r="BPF65" s="144"/>
    </row>
    <row r="66" spans="2:364 1682:1774" ht="15" customHeight="1" x14ac:dyDescent="0.25">
      <c r="B66" s="190" t="s">
        <v>2120</v>
      </c>
      <c r="C66" s="191"/>
      <c r="D66" s="191"/>
      <c r="E66" s="191"/>
      <c r="F66" s="191"/>
      <c r="G66" s="191"/>
      <c r="H66" s="191"/>
      <c r="I66" s="191"/>
      <c r="J66" s="191"/>
      <c r="K66" s="191"/>
      <c r="L66" s="191"/>
      <c r="M66" s="191"/>
      <c r="N66" s="191"/>
      <c r="O66" s="191"/>
      <c r="P66" s="312" t="str">
        <f>Calculations!DA20</f>
        <v>Heavy Cloth</v>
      </c>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193">
        <v>1</v>
      </c>
      <c r="AP66" s="193"/>
      <c r="AQ66" s="193"/>
      <c r="AR66" s="193"/>
      <c r="AS66" s="193"/>
      <c r="AT66" s="193"/>
      <c r="AU66" s="193"/>
      <c r="AV66" s="193"/>
      <c r="AW66" s="131" t="str">
        <f>IF(P66="No Armour","- -",IF(P66=Calculations!DA20,"- -",VLOOKUP(P66,Armour!$B$4:$AU$99,19,FALSE)*'Character Creation'!$Z$18*'Character Sheet'!$AO66))</f>
        <v>- -</v>
      </c>
      <c r="AX66" s="131"/>
      <c r="AY66" s="131"/>
      <c r="AZ66" s="131"/>
      <c r="BA66" s="131"/>
      <c r="BB66" s="131"/>
      <c r="BC66" s="131"/>
      <c r="BD66" s="131"/>
      <c r="BE66" s="131">
        <f>IF(P66="No Armour","- -",VLOOKUP(P66,Armour!$B$4:$AU$99,4,FALSE)+BU66+CC66)</f>
        <v>30</v>
      </c>
      <c r="BF66" s="131"/>
      <c r="BG66" s="131"/>
      <c r="BH66" s="131"/>
      <c r="BI66" s="131"/>
      <c r="BJ66" s="131"/>
      <c r="BK66" s="131"/>
      <c r="BL66" s="131"/>
      <c r="BM66" s="131">
        <f>IF(P66="No Armour","- -",IF(P66="No Armour",0,VLOOKUP(P66,Armour!$B$4:$AU$99,3,FALSE)+VLOOKUP(((AO66*100)-100),Charts!$AW$2:$AX$42,2,FALSE)))</f>
        <v>0</v>
      </c>
      <c r="BN66" s="131"/>
      <c r="BO66" s="131"/>
      <c r="BP66" s="131"/>
      <c r="BQ66" s="131"/>
      <c r="BR66" s="131"/>
      <c r="BS66" s="131"/>
      <c r="BT66" s="131"/>
      <c r="BU66" s="194">
        <f t="shared" si="24"/>
        <v>0</v>
      </c>
      <c r="BV66" s="194"/>
      <c r="BW66" s="194"/>
      <c r="BX66" s="194"/>
      <c r="BY66" s="194"/>
      <c r="BZ66" s="194"/>
      <c r="CA66" s="194"/>
      <c r="CB66" s="194"/>
      <c r="CC66" s="194">
        <f t="shared" si="25"/>
        <v>0</v>
      </c>
      <c r="CD66" s="194"/>
      <c r="CE66" s="194"/>
      <c r="CF66" s="194"/>
      <c r="CG66" s="194"/>
      <c r="CH66" s="194"/>
      <c r="CI66" s="194"/>
      <c r="CJ66" s="194"/>
      <c r="CK66" s="131">
        <f t="shared" si="18"/>
        <v>2</v>
      </c>
      <c r="CL66" s="131"/>
      <c r="CM66" s="131"/>
      <c r="CN66" s="131"/>
      <c r="CO66" s="131"/>
      <c r="CP66" s="131"/>
      <c r="CQ66" s="131"/>
      <c r="CR66" s="131"/>
      <c r="CS66" s="131">
        <f t="shared" si="22"/>
        <v>0</v>
      </c>
      <c r="CT66" s="131"/>
      <c r="CU66" s="131"/>
      <c r="CV66" s="131"/>
      <c r="CW66" s="131"/>
      <c r="CX66" s="131"/>
      <c r="CY66" s="131"/>
      <c r="CZ66" s="131"/>
      <c r="DA66" s="131">
        <f>IF(P66="No Armour","- -",VLOOKUP(P66,Armour!$B$4:$EY$99,59,FALSE)+(ROUNDUP(CC66/3,0)))</f>
        <v>-2.5</v>
      </c>
      <c r="DB66" s="131"/>
      <c r="DC66" s="131"/>
      <c r="DD66" s="131"/>
      <c r="DE66" s="131"/>
      <c r="DF66" s="131"/>
      <c r="DG66" s="131"/>
      <c r="DH66" s="131"/>
      <c r="DI66" s="131">
        <f t="shared" si="26"/>
        <v>0</v>
      </c>
      <c r="DJ66" s="131"/>
      <c r="DK66" s="131"/>
      <c r="DL66" s="131"/>
      <c r="DM66" s="131"/>
      <c r="DN66" s="131"/>
      <c r="DO66" s="131"/>
      <c r="DP66" s="131"/>
      <c r="DQ66" s="131">
        <f t="shared" si="23"/>
        <v>0</v>
      </c>
      <c r="DR66" s="131"/>
      <c r="DS66" s="131"/>
      <c r="DT66" s="131"/>
      <c r="DU66" s="131"/>
      <c r="DV66" s="131"/>
      <c r="DW66" s="131"/>
      <c r="DX66" s="131"/>
      <c r="DY66" s="136"/>
      <c r="DZ66" s="136"/>
      <c r="EA66" s="136"/>
      <c r="EB66" s="136"/>
      <c r="EC66" s="136"/>
      <c r="ED66" s="136"/>
      <c r="EE66" s="136"/>
      <c r="EF66" s="136"/>
      <c r="EG66" s="136"/>
      <c r="EH66" s="136"/>
      <c r="EI66" s="136"/>
      <c r="EJ66" s="136"/>
      <c r="EK66" s="136"/>
      <c r="EL66" s="136"/>
      <c r="EM66" s="136"/>
      <c r="EN66" s="136"/>
      <c r="EO66" s="136"/>
      <c r="EP66" s="136"/>
      <c r="EQ66" s="136"/>
      <c r="ER66" s="136"/>
      <c r="ES66" s="136"/>
      <c r="ET66" s="136"/>
      <c r="EU66" s="136"/>
      <c r="EV66" s="136"/>
      <c r="EW66" s="136"/>
      <c r="EX66" s="136"/>
      <c r="EY66" s="136"/>
      <c r="EZ66" s="313"/>
      <c r="FB66" s="139" t="s">
        <v>2860</v>
      </c>
      <c r="FC66" s="140"/>
      <c r="FD66" s="140"/>
      <c r="FE66" s="140"/>
      <c r="FF66" s="140"/>
      <c r="FG66" s="140"/>
      <c r="FH66" s="140"/>
      <c r="FI66" s="140"/>
      <c r="FJ66" s="140"/>
      <c r="FK66" s="140"/>
      <c r="FL66" s="140"/>
      <c r="FM66" s="140"/>
      <c r="FN66" s="140"/>
      <c r="FO66" s="140"/>
      <c r="FP66" s="140"/>
      <c r="FQ66" s="140"/>
      <c r="FR66" s="140"/>
      <c r="FS66" s="140"/>
      <c r="FT66" s="140"/>
      <c r="FU66" s="140"/>
      <c r="FV66" s="140"/>
      <c r="FW66" s="140"/>
      <c r="FX66" s="140"/>
      <c r="FY66" s="140"/>
      <c r="FZ66" s="140"/>
      <c r="GA66" s="140"/>
      <c r="GB66" s="140"/>
      <c r="GC66" s="140"/>
      <c r="GD66" s="140"/>
      <c r="GE66" s="140"/>
      <c r="GF66" s="140"/>
      <c r="GG66" s="140"/>
      <c r="GH66" s="140"/>
      <c r="GI66" s="140"/>
      <c r="GJ66" s="140"/>
      <c r="GK66" s="140"/>
      <c r="GL66" s="140"/>
      <c r="GM66" s="140"/>
      <c r="GN66" s="140"/>
      <c r="GO66" s="140"/>
      <c r="GP66" s="140"/>
      <c r="GQ66" s="140"/>
      <c r="GR66" s="140"/>
      <c r="GS66" s="140"/>
      <c r="GT66" s="141">
        <v>1</v>
      </c>
      <c r="GU66" s="141"/>
      <c r="GV66" s="141"/>
      <c r="GW66" s="141"/>
      <c r="GX66" s="141"/>
      <c r="GY66" s="141"/>
      <c r="GZ66" s="141"/>
      <c r="HA66" s="141"/>
      <c r="HB66" s="142">
        <f>IFERROR(ROUND(Calculations!BV67*GT66,2),"")</f>
        <v>5</v>
      </c>
      <c r="HC66" s="142"/>
      <c r="HD66" s="142"/>
      <c r="HE66" s="142"/>
      <c r="HF66" s="142"/>
      <c r="HG66" s="142"/>
      <c r="HH66" s="142"/>
      <c r="HI66" s="142"/>
      <c r="HJ66" s="142">
        <f>IFERROR(Calculations!BS67+IQ66+IX66,"")</f>
        <v>30</v>
      </c>
      <c r="HK66" s="142"/>
      <c r="HL66" s="142"/>
      <c r="HM66" s="142"/>
      <c r="HN66" s="142"/>
      <c r="HO66" s="142"/>
      <c r="HP66" s="142"/>
      <c r="HQ66" s="142"/>
      <c r="HR66" s="142">
        <f t="shared" si="9"/>
        <v>0</v>
      </c>
      <c r="HS66" s="142"/>
      <c r="HT66" s="142"/>
      <c r="HU66" s="142"/>
      <c r="HV66" s="142"/>
      <c r="HW66" s="142"/>
      <c r="HX66" s="142"/>
      <c r="HY66" s="142"/>
      <c r="HZ66" s="142" t="str">
        <f>IFERROR(Calculations!BX67,"")</f>
        <v>$3.13</v>
      </c>
      <c r="IA66" s="142"/>
      <c r="IB66" s="142"/>
      <c r="IC66" s="142"/>
      <c r="ID66" s="142"/>
      <c r="IE66" s="142"/>
      <c r="IF66" s="142"/>
      <c r="IG66" s="142"/>
      <c r="IH66" s="142"/>
      <c r="II66" s="142"/>
      <c r="IJ66" s="142">
        <f>IFERROR(Calculations!BR67+IX66,"")</f>
        <v>0</v>
      </c>
      <c r="IK66" s="142"/>
      <c r="IL66" s="142"/>
      <c r="IM66" s="142"/>
      <c r="IN66" s="142"/>
      <c r="IO66" s="142"/>
      <c r="IP66" s="142"/>
      <c r="IQ66" s="141">
        <v>0</v>
      </c>
      <c r="IR66" s="141"/>
      <c r="IS66" s="141"/>
      <c r="IT66" s="141"/>
      <c r="IU66" s="141"/>
      <c r="IV66" s="141"/>
      <c r="IW66" s="141"/>
      <c r="IX66" s="141">
        <v>0</v>
      </c>
      <c r="IY66" s="141"/>
      <c r="IZ66" s="141"/>
      <c r="JA66" s="141"/>
      <c r="JB66" s="141"/>
      <c r="JC66" s="141"/>
      <c r="JD66" s="141"/>
      <c r="JE66" s="141"/>
      <c r="JF66" s="142"/>
      <c r="JG66" s="142"/>
      <c r="JH66" s="142"/>
      <c r="JI66" s="142"/>
      <c r="JJ66" s="142"/>
      <c r="JK66" s="143" t="str">
        <f>Calculations!AS67</f>
        <v>Tin</v>
      </c>
      <c r="JL66" s="143"/>
      <c r="JM66" s="143"/>
      <c r="JN66" s="143"/>
      <c r="JO66" s="143"/>
      <c r="JP66" s="143"/>
      <c r="JQ66" s="143"/>
      <c r="JR66" s="143"/>
      <c r="JS66" s="143"/>
      <c r="JT66" s="143"/>
      <c r="JU66" s="143"/>
      <c r="JV66" s="143"/>
      <c r="JW66" s="143"/>
      <c r="JX66" s="143"/>
      <c r="JY66" s="143"/>
      <c r="JZ66" s="143"/>
      <c r="KA66" s="143"/>
      <c r="KB66" s="143"/>
      <c r="KC66" s="143" t="str">
        <f>Calculations!AW67</f>
        <v>Glass</v>
      </c>
      <c r="KD66" s="143"/>
      <c r="KE66" s="143"/>
      <c r="KF66" s="143"/>
      <c r="KG66" s="143"/>
      <c r="KH66" s="143"/>
      <c r="KI66" s="143"/>
      <c r="KJ66" s="143"/>
      <c r="KK66" s="143"/>
      <c r="KL66" s="143"/>
      <c r="KM66" s="143"/>
      <c r="KN66" s="143"/>
      <c r="KO66" s="143"/>
      <c r="KP66" s="143"/>
      <c r="KQ66" s="143"/>
      <c r="KR66" s="143"/>
      <c r="KS66" s="143"/>
      <c r="KT66" s="143"/>
      <c r="KU66" s="144"/>
      <c r="KV66" s="144"/>
      <c r="KW66" s="144"/>
      <c r="KX66" s="144"/>
      <c r="KY66" s="144"/>
      <c r="KZ66" s="144"/>
      <c r="LA66" s="144"/>
      <c r="LB66" s="144"/>
      <c r="LC66" s="144"/>
      <c r="LD66" s="144"/>
      <c r="LE66" s="144"/>
      <c r="LF66" s="144"/>
      <c r="LG66" s="144"/>
      <c r="LH66" s="144"/>
      <c r="LI66" s="144"/>
      <c r="LJ66" s="144"/>
      <c r="LK66" s="144"/>
      <c r="LL66" s="144"/>
      <c r="LM66" s="144"/>
      <c r="LN66" s="144"/>
      <c r="LO66" s="144"/>
      <c r="LP66" s="144"/>
      <c r="LQ66" s="144"/>
      <c r="LR66" s="144"/>
      <c r="LS66" s="144"/>
      <c r="LT66" s="144"/>
      <c r="LU66" s="144"/>
      <c r="LV66" s="144"/>
      <c r="LW66" s="144"/>
      <c r="LX66" s="144"/>
      <c r="LY66" s="144"/>
      <c r="LZ66" s="144"/>
      <c r="MA66" s="144"/>
      <c r="MB66" s="144"/>
      <c r="MC66" s="144"/>
      <c r="MD66" s="144"/>
      <c r="ME66" s="144"/>
      <c r="MF66" s="144"/>
      <c r="MG66" s="144"/>
      <c r="MH66" s="144"/>
      <c r="MI66" s="144"/>
      <c r="MJ66" s="144"/>
      <c r="MK66" s="144"/>
      <c r="ML66" s="144"/>
      <c r="MM66" s="144"/>
      <c r="MN66" s="144"/>
      <c r="MO66" s="144"/>
      <c r="MP66" s="144"/>
      <c r="MQ66" s="144"/>
      <c r="MR66" s="144"/>
      <c r="MS66" s="144"/>
      <c r="MT66" s="144"/>
      <c r="MU66" s="144"/>
      <c r="MV66" s="144"/>
      <c r="MW66" s="144"/>
      <c r="MX66" s="144"/>
      <c r="MY66" s="144"/>
      <c r="MZ66" s="145"/>
      <c r="BLR66" s="144" t="s">
        <v>147</v>
      </c>
      <c r="BLS66" s="144"/>
      <c r="BLT66" s="144"/>
      <c r="BLU66" s="144"/>
      <c r="BLV66" s="144"/>
      <c r="BLW66" s="144"/>
      <c r="BLX66" s="144"/>
      <c r="BLY66" s="144"/>
      <c r="BLZ66" s="144"/>
      <c r="BMA66" s="144"/>
      <c r="BMB66" s="144"/>
      <c r="BMC66" s="144"/>
      <c r="BMD66" s="144"/>
      <c r="BME66" s="144"/>
      <c r="BMF66" s="144"/>
      <c r="BMG66" s="144"/>
      <c r="BMH66" s="144"/>
      <c r="BMI66" s="144"/>
      <c r="BMJ66" s="144"/>
      <c r="BMK66" s="144"/>
      <c r="BML66" s="144"/>
      <c r="BMM66" s="144"/>
      <c r="BMN66" s="144"/>
      <c r="BMO66" s="144"/>
      <c r="BMP66" s="144"/>
      <c r="BMQ66" s="144"/>
      <c r="BMR66" s="144"/>
      <c r="BMS66" s="144"/>
      <c r="BMT66" s="144"/>
      <c r="BMU66" s="144"/>
      <c r="BMV66" s="144"/>
      <c r="BMW66" s="129" t="s">
        <v>133</v>
      </c>
      <c r="BMX66" s="129"/>
      <c r="BMY66" s="129"/>
      <c r="BMZ66" s="129"/>
      <c r="BNA66" s="129" t="s">
        <v>148</v>
      </c>
      <c r="BNB66" s="129"/>
      <c r="BNC66" s="129"/>
      <c r="BND66" s="129"/>
      <c r="BNE66" s="129"/>
      <c r="BNF66" s="129" t="s">
        <v>83</v>
      </c>
      <c r="BNG66" s="129"/>
      <c r="BNH66" s="129"/>
      <c r="BNI66" s="129"/>
      <c r="BNJ66" s="129"/>
      <c r="BNK66" s="129"/>
      <c r="BNL66" s="129" t="s">
        <v>37</v>
      </c>
      <c r="BNM66" s="129"/>
      <c r="BNN66" s="129"/>
      <c r="BNO66" s="129"/>
      <c r="BNP66" s="129"/>
      <c r="BNQ66" s="129"/>
      <c r="BNR66" s="129" t="s">
        <v>49</v>
      </c>
      <c r="BNS66" s="129"/>
      <c r="BNT66" s="129"/>
      <c r="BNU66" s="129"/>
      <c r="BNV66" s="129"/>
      <c r="BNW66" s="129"/>
      <c r="BNX66" s="129" t="s">
        <v>149</v>
      </c>
      <c r="BNY66" s="129"/>
      <c r="BNZ66" s="129"/>
      <c r="BOA66" s="129"/>
      <c r="BOB66" s="129"/>
      <c r="BOC66" s="129"/>
      <c r="BOD66" s="129"/>
      <c r="BOE66" s="129" t="s">
        <v>150</v>
      </c>
      <c r="BOF66" s="129"/>
      <c r="BOG66" s="129"/>
      <c r="BOH66" s="129"/>
      <c r="BOI66" s="129"/>
      <c r="BOJ66" s="129"/>
      <c r="BOK66" s="129"/>
      <c r="BOL66" s="129" t="s">
        <v>151</v>
      </c>
      <c r="BOM66" s="129"/>
      <c r="BON66" s="129"/>
      <c r="BOO66" s="129"/>
      <c r="BOP66" s="129"/>
      <c r="BOQ66" s="129"/>
      <c r="BOR66" s="129"/>
      <c r="BOS66" s="129" t="s">
        <v>37</v>
      </c>
      <c r="BOT66" s="129"/>
      <c r="BOU66" s="129"/>
      <c r="BOV66" s="129"/>
      <c r="BOW66" s="129"/>
      <c r="BOX66" s="129"/>
      <c r="BOY66" s="129"/>
      <c r="BOZ66" s="129" t="s">
        <v>40</v>
      </c>
      <c r="BPA66" s="129"/>
      <c r="BPB66" s="129"/>
      <c r="BPC66" s="129"/>
      <c r="BPD66" s="129"/>
      <c r="BPE66" s="129"/>
      <c r="BPF66" s="129"/>
    </row>
    <row r="67" spans="2:364 1682:1774" ht="15" customHeight="1" x14ac:dyDescent="0.25">
      <c r="B67" s="188" t="s">
        <v>2121</v>
      </c>
      <c r="C67" s="189"/>
      <c r="D67" s="189"/>
      <c r="E67" s="189"/>
      <c r="F67" s="189"/>
      <c r="G67" s="189"/>
      <c r="H67" s="189"/>
      <c r="I67" s="189"/>
      <c r="J67" s="189"/>
      <c r="K67" s="189"/>
      <c r="L67" s="189"/>
      <c r="M67" s="189"/>
      <c r="N67" s="189"/>
      <c r="O67" s="189"/>
      <c r="P67" s="311" t="str">
        <f>Calculations!DA21</f>
        <v>Heavy Cloth</v>
      </c>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192">
        <v>1</v>
      </c>
      <c r="AP67" s="192"/>
      <c r="AQ67" s="192"/>
      <c r="AR67" s="192"/>
      <c r="AS67" s="192"/>
      <c r="AT67" s="192"/>
      <c r="AU67" s="192"/>
      <c r="AV67" s="192"/>
      <c r="AW67" s="130" t="str">
        <f>IF(P67="No Armour","- -",IF(P67=Calculations!DA21,"- -",VLOOKUP(P67,Armour!$B$4:$AU$99,19,FALSE)*'Character Creation'!$Z$18*'Character Sheet'!$AO67))</f>
        <v>- -</v>
      </c>
      <c r="AX67" s="130"/>
      <c r="AY67" s="130"/>
      <c r="AZ67" s="130"/>
      <c r="BA67" s="130"/>
      <c r="BB67" s="130"/>
      <c r="BC67" s="130"/>
      <c r="BD67" s="130"/>
      <c r="BE67" s="130">
        <f>IF(P67="No Armour","- -",VLOOKUP(P67,Armour!$B$4:$AU$99,4,FALSE)+BU67+CC67)</f>
        <v>30</v>
      </c>
      <c r="BF67" s="130"/>
      <c r="BG67" s="130"/>
      <c r="BH67" s="130"/>
      <c r="BI67" s="130"/>
      <c r="BJ67" s="130"/>
      <c r="BK67" s="130"/>
      <c r="BL67" s="130"/>
      <c r="BM67" s="130">
        <f>IF(P67="No Armour","- -",IF(P67="No Armour",0,VLOOKUP(P67,Armour!$B$4:$AU$99,3,FALSE)+VLOOKUP(((AO67*100)-100),Charts!$AW$2:$AX$42,2,FALSE)))</f>
        <v>0</v>
      </c>
      <c r="BN67" s="130"/>
      <c r="BO67" s="130"/>
      <c r="BP67" s="130"/>
      <c r="BQ67" s="130"/>
      <c r="BR67" s="130"/>
      <c r="BS67" s="130"/>
      <c r="BT67" s="130"/>
      <c r="BU67" s="195">
        <f t="shared" si="24"/>
        <v>0</v>
      </c>
      <c r="BV67" s="195"/>
      <c r="BW67" s="195"/>
      <c r="BX67" s="195"/>
      <c r="BY67" s="195"/>
      <c r="BZ67" s="195"/>
      <c r="CA67" s="195"/>
      <c r="CB67" s="195"/>
      <c r="CC67" s="195">
        <f t="shared" si="25"/>
        <v>0</v>
      </c>
      <c r="CD67" s="195"/>
      <c r="CE67" s="195"/>
      <c r="CF67" s="195"/>
      <c r="CG67" s="195"/>
      <c r="CH67" s="195"/>
      <c r="CI67" s="195"/>
      <c r="CJ67" s="195"/>
      <c r="CK67" s="130">
        <f t="shared" si="18"/>
        <v>2</v>
      </c>
      <c r="CL67" s="130"/>
      <c r="CM67" s="130"/>
      <c r="CN67" s="130"/>
      <c r="CO67" s="130"/>
      <c r="CP67" s="130"/>
      <c r="CQ67" s="130"/>
      <c r="CR67" s="130"/>
      <c r="CS67" s="130">
        <f t="shared" si="22"/>
        <v>0</v>
      </c>
      <c r="CT67" s="130"/>
      <c r="CU67" s="130"/>
      <c r="CV67" s="130"/>
      <c r="CW67" s="130"/>
      <c r="CX67" s="130"/>
      <c r="CY67" s="130"/>
      <c r="CZ67" s="130"/>
      <c r="DA67" s="130">
        <f>IF(P67="No Armour","- -",VLOOKUP(P67,Armour!$B$4:$EY$99,59,FALSE)+(ROUNDUP(CC67/3,0)))</f>
        <v>-2.5</v>
      </c>
      <c r="DB67" s="130"/>
      <c r="DC67" s="130"/>
      <c r="DD67" s="130"/>
      <c r="DE67" s="130"/>
      <c r="DF67" s="130"/>
      <c r="DG67" s="130"/>
      <c r="DH67" s="130"/>
      <c r="DI67" s="130">
        <f t="shared" si="26"/>
        <v>0</v>
      </c>
      <c r="DJ67" s="130"/>
      <c r="DK67" s="130"/>
      <c r="DL67" s="130"/>
      <c r="DM67" s="130"/>
      <c r="DN67" s="130"/>
      <c r="DO67" s="130"/>
      <c r="DP67" s="130"/>
      <c r="DQ67" s="130">
        <f t="shared" si="23"/>
        <v>0</v>
      </c>
      <c r="DR67" s="130"/>
      <c r="DS67" s="130"/>
      <c r="DT67" s="130"/>
      <c r="DU67" s="130"/>
      <c r="DV67" s="130"/>
      <c r="DW67" s="130"/>
      <c r="DX67" s="130"/>
      <c r="DY67" s="306"/>
      <c r="DZ67" s="306"/>
      <c r="EA67" s="306"/>
      <c r="EB67" s="306"/>
      <c r="EC67" s="306"/>
      <c r="ED67" s="306"/>
      <c r="EE67" s="306"/>
      <c r="EF67" s="306"/>
      <c r="EG67" s="306"/>
      <c r="EH67" s="306"/>
      <c r="EI67" s="306"/>
      <c r="EJ67" s="306"/>
      <c r="EK67" s="306"/>
      <c r="EL67" s="306"/>
      <c r="EM67" s="306"/>
      <c r="EN67" s="306"/>
      <c r="EO67" s="306"/>
      <c r="EP67" s="306"/>
      <c r="EQ67" s="306"/>
      <c r="ER67" s="306"/>
      <c r="ES67" s="306"/>
      <c r="ET67" s="306"/>
      <c r="EU67" s="306"/>
      <c r="EV67" s="306"/>
      <c r="EW67" s="306"/>
      <c r="EX67" s="306"/>
      <c r="EY67" s="306"/>
      <c r="EZ67" s="307"/>
      <c r="FB67" s="139" t="s">
        <v>2872</v>
      </c>
      <c r="FC67" s="140"/>
      <c r="FD67" s="140"/>
      <c r="FE67" s="140"/>
      <c r="FF67" s="140"/>
      <c r="FG67" s="140"/>
      <c r="FH67" s="140"/>
      <c r="FI67" s="140"/>
      <c r="FJ67" s="140"/>
      <c r="FK67" s="140"/>
      <c r="FL67" s="140"/>
      <c r="FM67" s="140"/>
      <c r="FN67" s="140"/>
      <c r="FO67" s="140"/>
      <c r="FP67" s="140"/>
      <c r="FQ67" s="140"/>
      <c r="FR67" s="140"/>
      <c r="FS67" s="140"/>
      <c r="FT67" s="140"/>
      <c r="FU67" s="140"/>
      <c r="FV67" s="140"/>
      <c r="FW67" s="140"/>
      <c r="FX67" s="140"/>
      <c r="FY67" s="140"/>
      <c r="FZ67" s="140"/>
      <c r="GA67" s="140"/>
      <c r="GB67" s="140"/>
      <c r="GC67" s="140"/>
      <c r="GD67" s="140"/>
      <c r="GE67" s="140"/>
      <c r="GF67" s="140"/>
      <c r="GG67" s="140"/>
      <c r="GH67" s="140"/>
      <c r="GI67" s="140"/>
      <c r="GJ67" s="140"/>
      <c r="GK67" s="140"/>
      <c r="GL67" s="140"/>
      <c r="GM67" s="140"/>
      <c r="GN67" s="140"/>
      <c r="GO67" s="140"/>
      <c r="GP67" s="140"/>
      <c r="GQ67" s="140"/>
      <c r="GR67" s="140"/>
      <c r="GS67" s="140"/>
      <c r="GT67" s="141">
        <v>1</v>
      </c>
      <c r="GU67" s="141"/>
      <c r="GV67" s="141"/>
      <c r="GW67" s="141"/>
      <c r="GX67" s="141"/>
      <c r="GY67" s="141"/>
      <c r="GZ67" s="141"/>
      <c r="HA67" s="141"/>
      <c r="HB67" s="142">
        <f>IFERROR(ROUND(Calculations!BV68*GT67,2),"")</f>
        <v>0.5</v>
      </c>
      <c r="HC67" s="142"/>
      <c r="HD67" s="142"/>
      <c r="HE67" s="142"/>
      <c r="HF67" s="142"/>
      <c r="HG67" s="142"/>
      <c r="HH67" s="142"/>
      <c r="HI67" s="142"/>
      <c r="HJ67" s="142">
        <f>IFERROR(Calculations!BS68+IQ67+IX67,"")</f>
        <v>40</v>
      </c>
      <c r="HK67" s="142"/>
      <c r="HL67" s="142"/>
      <c r="HM67" s="142"/>
      <c r="HN67" s="142"/>
      <c r="HO67" s="142"/>
      <c r="HP67" s="142"/>
      <c r="HQ67" s="142"/>
      <c r="HR67" s="142">
        <f t="shared" si="9"/>
        <v>0</v>
      </c>
      <c r="HS67" s="142"/>
      <c r="HT67" s="142"/>
      <c r="HU67" s="142"/>
      <c r="HV67" s="142"/>
      <c r="HW67" s="142"/>
      <c r="HX67" s="142"/>
      <c r="HY67" s="142"/>
      <c r="HZ67" s="142" t="str">
        <f>IFERROR(Calculations!BX68,"")</f>
        <v>$0.25</v>
      </c>
      <c r="IA67" s="142"/>
      <c r="IB67" s="142"/>
      <c r="IC67" s="142"/>
      <c r="ID67" s="142"/>
      <c r="IE67" s="142"/>
      <c r="IF67" s="142"/>
      <c r="IG67" s="142"/>
      <c r="IH67" s="142"/>
      <c r="II67" s="142"/>
      <c r="IJ67" s="142">
        <f>IFERROR(Calculations!BR68+IX67,"")</f>
        <v>0</v>
      </c>
      <c r="IK67" s="142"/>
      <c r="IL67" s="142"/>
      <c r="IM67" s="142"/>
      <c r="IN67" s="142"/>
      <c r="IO67" s="142"/>
      <c r="IP67" s="142"/>
      <c r="IQ67" s="141">
        <v>0</v>
      </c>
      <c r="IR67" s="141"/>
      <c r="IS67" s="141"/>
      <c r="IT67" s="141"/>
      <c r="IU67" s="141"/>
      <c r="IV67" s="141"/>
      <c r="IW67" s="141"/>
      <c r="IX67" s="141">
        <v>0</v>
      </c>
      <c r="IY67" s="141"/>
      <c r="IZ67" s="141"/>
      <c r="JA67" s="141"/>
      <c r="JB67" s="141"/>
      <c r="JC67" s="141"/>
      <c r="JD67" s="141"/>
      <c r="JE67" s="141"/>
      <c r="JF67" s="142"/>
      <c r="JG67" s="142"/>
      <c r="JH67" s="142"/>
      <c r="JI67" s="142"/>
      <c r="JJ67" s="142"/>
      <c r="JK67" s="143" t="str">
        <f>Calculations!AS68</f>
        <v>Tin</v>
      </c>
      <c r="JL67" s="143"/>
      <c r="JM67" s="143"/>
      <c r="JN67" s="143"/>
      <c r="JO67" s="143"/>
      <c r="JP67" s="143"/>
      <c r="JQ67" s="143"/>
      <c r="JR67" s="143"/>
      <c r="JS67" s="143"/>
      <c r="JT67" s="143"/>
      <c r="JU67" s="143"/>
      <c r="JV67" s="143"/>
      <c r="JW67" s="143"/>
      <c r="JX67" s="143"/>
      <c r="JY67" s="143"/>
      <c r="JZ67" s="143"/>
      <c r="KA67" s="143"/>
      <c r="KB67" s="143"/>
      <c r="KC67" s="143" t="str">
        <f>Calculations!AW68</f>
        <v>Tin</v>
      </c>
      <c r="KD67" s="143"/>
      <c r="KE67" s="143"/>
      <c r="KF67" s="143"/>
      <c r="KG67" s="143"/>
      <c r="KH67" s="143"/>
      <c r="KI67" s="143"/>
      <c r="KJ67" s="143"/>
      <c r="KK67" s="143"/>
      <c r="KL67" s="143"/>
      <c r="KM67" s="143"/>
      <c r="KN67" s="143"/>
      <c r="KO67" s="143"/>
      <c r="KP67" s="143"/>
      <c r="KQ67" s="143"/>
      <c r="KR67" s="143"/>
      <c r="KS67" s="143"/>
      <c r="KT67" s="143"/>
      <c r="KU67" s="144"/>
      <c r="KV67" s="144"/>
      <c r="KW67" s="144"/>
      <c r="KX67" s="144"/>
      <c r="KY67" s="144"/>
      <c r="KZ67" s="144"/>
      <c r="LA67" s="144"/>
      <c r="LB67" s="144"/>
      <c r="LC67" s="144"/>
      <c r="LD67" s="144"/>
      <c r="LE67" s="144"/>
      <c r="LF67" s="144"/>
      <c r="LG67" s="144"/>
      <c r="LH67" s="144"/>
      <c r="LI67" s="144"/>
      <c r="LJ67" s="144"/>
      <c r="LK67" s="144"/>
      <c r="LL67" s="144"/>
      <c r="LM67" s="144"/>
      <c r="LN67" s="144"/>
      <c r="LO67" s="144"/>
      <c r="LP67" s="144"/>
      <c r="LQ67" s="144"/>
      <c r="LR67" s="144"/>
      <c r="LS67" s="144"/>
      <c r="LT67" s="144"/>
      <c r="LU67" s="144"/>
      <c r="LV67" s="144"/>
      <c r="LW67" s="144"/>
      <c r="LX67" s="144"/>
      <c r="LY67" s="144"/>
      <c r="LZ67" s="144"/>
      <c r="MA67" s="144"/>
      <c r="MB67" s="144"/>
      <c r="MC67" s="144"/>
      <c r="MD67" s="144"/>
      <c r="ME67" s="144"/>
      <c r="MF67" s="144"/>
      <c r="MG67" s="144"/>
      <c r="MH67" s="144"/>
      <c r="MI67" s="144"/>
      <c r="MJ67" s="144"/>
      <c r="MK67" s="144"/>
      <c r="ML67" s="144"/>
      <c r="MM67" s="144"/>
      <c r="MN67" s="144"/>
      <c r="MO67" s="144"/>
      <c r="MP67" s="144"/>
      <c r="MQ67" s="144"/>
      <c r="MR67" s="144"/>
      <c r="MS67" s="144"/>
      <c r="MT67" s="144"/>
      <c r="MU67" s="144"/>
      <c r="MV67" s="144"/>
      <c r="MW67" s="144"/>
      <c r="MX67" s="144"/>
      <c r="MY67" s="144"/>
      <c r="MZ67" s="145"/>
      <c r="BLR67" s="128" t="s">
        <v>355</v>
      </c>
      <c r="BLS67" s="128"/>
      <c r="BLT67" s="128"/>
      <c r="BLU67" s="128"/>
      <c r="BLV67" s="128"/>
      <c r="BLW67" s="128"/>
      <c r="BLX67" s="128"/>
      <c r="BLY67" s="128"/>
      <c r="BLZ67" s="128"/>
      <c r="BMA67" s="128"/>
      <c r="BMB67" s="128"/>
      <c r="BMC67" s="128"/>
      <c r="BMD67" s="128"/>
      <c r="BME67" s="128"/>
      <c r="BMF67" s="128"/>
      <c r="BMG67" s="128"/>
      <c r="BMH67" s="128"/>
      <c r="BMI67" s="128"/>
      <c r="BMJ67" s="128"/>
      <c r="BMK67" s="128"/>
      <c r="BML67" s="128"/>
      <c r="BMM67" s="128"/>
      <c r="BMN67" s="128"/>
      <c r="BMO67" s="128"/>
      <c r="BMP67" s="128"/>
      <c r="BMQ67" s="128"/>
      <c r="BMR67" s="128"/>
      <c r="BMS67" s="128"/>
      <c r="BMT67" s="128"/>
      <c r="BMU67" s="128"/>
      <c r="BMV67" s="128"/>
      <c r="BMW67" s="129"/>
      <c r="BMX67" s="129"/>
      <c r="BMY67" s="129"/>
      <c r="BMZ67" s="129"/>
      <c r="BNA67" s="129"/>
      <c r="BNB67" s="129"/>
      <c r="BNC67" s="129"/>
      <c r="BND67" s="129"/>
      <c r="BNE67" s="129"/>
      <c r="BNF67" s="129"/>
      <c r="BNG67" s="129"/>
      <c r="BNH67" s="129"/>
      <c r="BNI67" s="129"/>
      <c r="BNJ67" s="129"/>
      <c r="BNK67" s="129"/>
      <c r="BNL67" s="129"/>
      <c r="BNM67" s="129"/>
      <c r="BNN67" s="129"/>
      <c r="BNO67" s="129"/>
      <c r="BNP67" s="129"/>
      <c r="BNQ67" s="129"/>
      <c r="BNR67" s="128"/>
      <c r="BNS67" s="128"/>
      <c r="BNT67" s="128"/>
      <c r="BNU67" s="128"/>
      <c r="BNV67" s="128"/>
      <c r="BNW67" s="128"/>
      <c r="BNX67" s="129"/>
      <c r="BNY67" s="129"/>
      <c r="BNZ67" s="129"/>
      <c r="BOA67" s="129"/>
      <c r="BOB67" s="129"/>
      <c r="BOC67" s="129"/>
      <c r="BOD67" s="129"/>
      <c r="BOE67" s="129"/>
      <c r="BOF67" s="129"/>
      <c r="BOG67" s="129"/>
      <c r="BOH67" s="129"/>
      <c r="BOI67" s="129"/>
      <c r="BOJ67" s="129"/>
      <c r="BOK67" s="129"/>
      <c r="BOL67" s="129"/>
      <c r="BOM67" s="129"/>
      <c r="BON67" s="129"/>
      <c r="BOO67" s="129"/>
      <c r="BOP67" s="129"/>
      <c r="BOQ67" s="129"/>
      <c r="BOR67" s="129"/>
      <c r="BOS67" s="129"/>
      <c r="BOT67" s="129"/>
      <c r="BOU67" s="129"/>
      <c r="BOV67" s="129"/>
      <c r="BOW67" s="129"/>
      <c r="BOX67" s="129"/>
      <c r="BOY67" s="129"/>
      <c r="BOZ67" s="128"/>
      <c r="BPA67" s="128"/>
      <c r="BPB67" s="128"/>
      <c r="BPC67" s="128"/>
      <c r="BPD67" s="128"/>
      <c r="BPE67" s="128"/>
      <c r="BPF67" s="128"/>
    </row>
    <row r="68" spans="2:364 1682:1774" ht="15" customHeight="1" x14ac:dyDescent="0.25">
      <c r="B68" s="190" t="s">
        <v>2122</v>
      </c>
      <c r="C68" s="191"/>
      <c r="D68" s="191"/>
      <c r="E68" s="191"/>
      <c r="F68" s="191"/>
      <c r="G68" s="191"/>
      <c r="H68" s="191"/>
      <c r="I68" s="191"/>
      <c r="J68" s="191"/>
      <c r="K68" s="191"/>
      <c r="L68" s="191"/>
      <c r="M68" s="191"/>
      <c r="N68" s="191"/>
      <c r="O68" s="191"/>
      <c r="P68" s="312" t="str">
        <f>Calculations!DA22</f>
        <v>Heavy Cloth</v>
      </c>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193">
        <v>1</v>
      </c>
      <c r="AP68" s="193"/>
      <c r="AQ68" s="193"/>
      <c r="AR68" s="193"/>
      <c r="AS68" s="193"/>
      <c r="AT68" s="193"/>
      <c r="AU68" s="193"/>
      <c r="AV68" s="193"/>
      <c r="AW68" s="131" t="str">
        <f>IF(P68="No Armour","- -",IF(P68=Calculations!DA22,"- -",VLOOKUP(P68,Armour!$B$4:$AU$99,19,FALSE)*'Character Creation'!$Z$18*'Character Sheet'!$AO68))</f>
        <v>- -</v>
      </c>
      <c r="AX68" s="131"/>
      <c r="AY68" s="131"/>
      <c r="AZ68" s="131"/>
      <c r="BA68" s="131"/>
      <c r="BB68" s="131"/>
      <c r="BC68" s="131"/>
      <c r="BD68" s="131"/>
      <c r="BE68" s="131">
        <f>IF(P68="No Armour","- -",VLOOKUP(P68,Armour!$B$4:$AU$99,4,FALSE)+BU68+CC68)</f>
        <v>30</v>
      </c>
      <c r="BF68" s="131"/>
      <c r="BG68" s="131"/>
      <c r="BH68" s="131"/>
      <c r="BI68" s="131"/>
      <c r="BJ68" s="131"/>
      <c r="BK68" s="131"/>
      <c r="BL68" s="131"/>
      <c r="BM68" s="131">
        <f>IF(P68="No Armour","- -",IF(P68="No Armour",0,VLOOKUP(P68,Armour!$B$4:$AU$99,3,FALSE)+VLOOKUP(((AO68*100)-100),Charts!$AW$2:$AX$42,2,FALSE)))</f>
        <v>0</v>
      </c>
      <c r="BN68" s="131"/>
      <c r="BO68" s="131"/>
      <c r="BP68" s="131"/>
      <c r="BQ68" s="131"/>
      <c r="BR68" s="131"/>
      <c r="BS68" s="131"/>
      <c r="BT68" s="131"/>
      <c r="BU68" s="194">
        <f t="shared" si="24"/>
        <v>0</v>
      </c>
      <c r="BV68" s="194"/>
      <c r="BW68" s="194"/>
      <c r="BX68" s="194"/>
      <c r="BY68" s="194"/>
      <c r="BZ68" s="194"/>
      <c r="CA68" s="194"/>
      <c r="CB68" s="194"/>
      <c r="CC68" s="194">
        <f t="shared" si="25"/>
        <v>0</v>
      </c>
      <c r="CD68" s="194"/>
      <c r="CE68" s="194"/>
      <c r="CF68" s="194"/>
      <c r="CG68" s="194"/>
      <c r="CH68" s="194"/>
      <c r="CI68" s="194"/>
      <c r="CJ68" s="194"/>
      <c r="CK68" s="131">
        <f t="shared" si="18"/>
        <v>2</v>
      </c>
      <c r="CL68" s="131"/>
      <c r="CM68" s="131"/>
      <c r="CN68" s="131"/>
      <c r="CO68" s="131"/>
      <c r="CP68" s="131"/>
      <c r="CQ68" s="131"/>
      <c r="CR68" s="131"/>
      <c r="CS68" s="131">
        <f t="shared" si="22"/>
        <v>0</v>
      </c>
      <c r="CT68" s="131"/>
      <c r="CU68" s="131"/>
      <c r="CV68" s="131"/>
      <c r="CW68" s="131"/>
      <c r="CX68" s="131"/>
      <c r="CY68" s="131"/>
      <c r="CZ68" s="131"/>
      <c r="DA68" s="131">
        <f>IF(P68="No Armour","- -",VLOOKUP(P68,Armour!$B$4:$EY$99,60,FALSE)+(ROUNDUP(CC68/3,0)))</f>
        <v>-0.5</v>
      </c>
      <c r="DB68" s="131"/>
      <c r="DC68" s="131"/>
      <c r="DD68" s="131"/>
      <c r="DE68" s="131"/>
      <c r="DF68" s="131"/>
      <c r="DG68" s="131"/>
      <c r="DH68" s="131"/>
      <c r="DI68" s="131">
        <f t="shared" si="26"/>
        <v>0</v>
      </c>
      <c r="DJ68" s="131"/>
      <c r="DK68" s="131"/>
      <c r="DL68" s="131"/>
      <c r="DM68" s="131"/>
      <c r="DN68" s="131"/>
      <c r="DO68" s="131"/>
      <c r="DP68" s="131"/>
      <c r="DQ68" s="131">
        <f t="shared" si="23"/>
        <v>0</v>
      </c>
      <c r="DR68" s="131"/>
      <c r="DS68" s="131"/>
      <c r="DT68" s="131"/>
      <c r="DU68" s="131"/>
      <c r="DV68" s="131"/>
      <c r="DW68" s="131"/>
      <c r="DX68" s="131"/>
      <c r="DY68" s="136"/>
      <c r="DZ68" s="136"/>
      <c r="EA68" s="136"/>
      <c r="EB68" s="136"/>
      <c r="EC68" s="136"/>
      <c r="ED68" s="136"/>
      <c r="EE68" s="136"/>
      <c r="EF68" s="136"/>
      <c r="EG68" s="136"/>
      <c r="EH68" s="136"/>
      <c r="EI68" s="136"/>
      <c r="EJ68" s="136"/>
      <c r="EK68" s="136"/>
      <c r="EL68" s="136"/>
      <c r="EM68" s="136"/>
      <c r="EN68" s="136"/>
      <c r="EO68" s="136"/>
      <c r="EP68" s="136"/>
      <c r="EQ68" s="136"/>
      <c r="ER68" s="136"/>
      <c r="ES68" s="136"/>
      <c r="ET68" s="136"/>
      <c r="EU68" s="136"/>
      <c r="EV68" s="136"/>
      <c r="EW68" s="136"/>
      <c r="EX68" s="136"/>
      <c r="EY68" s="136"/>
      <c r="EZ68" s="313"/>
      <c r="FB68" s="139" t="s">
        <v>2871</v>
      </c>
      <c r="FC68" s="140"/>
      <c r="FD68" s="140"/>
      <c r="FE68" s="140"/>
      <c r="FF68" s="140"/>
      <c r="FG68" s="140"/>
      <c r="FH68" s="140"/>
      <c r="FI68" s="140"/>
      <c r="FJ68" s="140"/>
      <c r="FK68" s="140"/>
      <c r="FL68" s="140"/>
      <c r="FM68" s="140"/>
      <c r="FN68" s="140"/>
      <c r="FO68" s="140"/>
      <c r="FP68" s="140"/>
      <c r="FQ68" s="140"/>
      <c r="FR68" s="140"/>
      <c r="FS68" s="140"/>
      <c r="FT68" s="140"/>
      <c r="FU68" s="140"/>
      <c r="FV68" s="140"/>
      <c r="FW68" s="140"/>
      <c r="FX68" s="140"/>
      <c r="FY68" s="140"/>
      <c r="FZ68" s="140"/>
      <c r="GA68" s="140"/>
      <c r="GB68" s="140"/>
      <c r="GC68" s="140"/>
      <c r="GD68" s="140"/>
      <c r="GE68" s="140"/>
      <c r="GF68" s="140"/>
      <c r="GG68" s="140"/>
      <c r="GH68" s="140"/>
      <c r="GI68" s="140"/>
      <c r="GJ68" s="140"/>
      <c r="GK68" s="140"/>
      <c r="GL68" s="140"/>
      <c r="GM68" s="140"/>
      <c r="GN68" s="140"/>
      <c r="GO68" s="140"/>
      <c r="GP68" s="140"/>
      <c r="GQ68" s="140"/>
      <c r="GR68" s="140"/>
      <c r="GS68" s="140"/>
      <c r="GT68" s="141">
        <v>1</v>
      </c>
      <c r="GU68" s="141"/>
      <c r="GV68" s="141"/>
      <c r="GW68" s="141"/>
      <c r="GX68" s="141"/>
      <c r="GY68" s="141"/>
      <c r="GZ68" s="141"/>
      <c r="HA68" s="141"/>
      <c r="HB68" s="142">
        <f>IFERROR(ROUND(Calculations!BV69*GT68,2),"")</f>
        <v>0.25</v>
      </c>
      <c r="HC68" s="142"/>
      <c r="HD68" s="142"/>
      <c r="HE68" s="142"/>
      <c r="HF68" s="142"/>
      <c r="HG68" s="142"/>
      <c r="HH68" s="142"/>
      <c r="HI68" s="142"/>
      <c r="HJ68" s="142">
        <f>IFERROR(Calculations!BS69+IQ68+IX68,"")</f>
        <v>5</v>
      </c>
      <c r="HK68" s="142"/>
      <c r="HL68" s="142"/>
      <c r="HM68" s="142"/>
      <c r="HN68" s="142"/>
      <c r="HO68" s="142"/>
      <c r="HP68" s="142"/>
      <c r="HQ68" s="142"/>
      <c r="HR68" s="142">
        <f t="shared" si="9"/>
        <v>0</v>
      </c>
      <c r="HS68" s="142"/>
      <c r="HT68" s="142"/>
      <c r="HU68" s="142"/>
      <c r="HV68" s="142"/>
      <c r="HW68" s="142"/>
      <c r="HX68" s="142"/>
      <c r="HY68" s="142"/>
      <c r="HZ68" s="142" t="str">
        <f>IFERROR(Calculations!BX69,"")</f>
        <v>$0.45</v>
      </c>
      <c r="IA68" s="142"/>
      <c r="IB68" s="142"/>
      <c r="IC68" s="142"/>
      <c r="ID68" s="142"/>
      <c r="IE68" s="142"/>
      <c r="IF68" s="142"/>
      <c r="IG68" s="142"/>
      <c r="IH68" s="142"/>
      <c r="II68" s="142"/>
      <c r="IJ68" s="142">
        <f>IFERROR(Calculations!BR69+IX68,"")</f>
        <v>0</v>
      </c>
      <c r="IK68" s="142"/>
      <c r="IL68" s="142"/>
      <c r="IM68" s="142"/>
      <c r="IN68" s="142"/>
      <c r="IO68" s="142"/>
      <c r="IP68" s="142"/>
      <c r="IQ68" s="141">
        <v>0</v>
      </c>
      <c r="IR68" s="141"/>
      <c r="IS68" s="141"/>
      <c r="IT68" s="141"/>
      <c r="IU68" s="141"/>
      <c r="IV68" s="141"/>
      <c r="IW68" s="141"/>
      <c r="IX68" s="141">
        <v>0</v>
      </c>
      <c r="IY68" s="141"/>
      <c r="IZ68" s="141"/>
      <c r="JA68" s="141"/>
      <c r="JB68" s="141"/>
      <c r="JC68" s="141"/>
      <c r="JD68" s="141"/>
      <c r="JE68" s="141"/>
      <c r="JF68" s="142"/>
      <c r="JG68" s="142"/>
      <c r="JH68" s="142"/>
      <c r="JI68" s="142"/>
      <c r="JJ68" s="142"/>
      <c r="JK68" s="143" t="str">
        <f>Calculations!AS69</f>
        <v>Acid</v>
      </c>
      <c r="JL68" s="143"/>
      <c r="JM68" s="143"/>
      <c r="JN68" s="143"/>
      <c r="JO68" s="143"/>
      <c r="JP68" s="143"/>
      <c r="JQ68" s="143"/>
      <c r="JR68" s="143"/>
      <c r="JS68" s="143"/>
      <c r="JT68" s="143"/>
      <c r="JU68" s="143"/>
      <c r="JV68" s="143"/>
      <c r="JW68" s="143"/>
      <c r="JX68" s="143"/>
      <c r="JY68" s="143"/>
      <c r="JZ68" s="143"/>
      <c r="KA68" s="143"/>
      <c r="KB68" s="143"/>
      <c r="KC68" s="143" t="str">
        <f>Calculations!AW69</f>
        <v>Acid</v>
      </c>
      <c r="KD68" s="143"/>
      <c r="KE68" s="143"/>
      <c r="KF68" s="143"/>
      <c r="KG68" s="143"/>
      <c r="KH68" s="143"/>
      <c r="KI68" s="143"/>
      <c r="KJ68" s="143"/>
      <c r="KK68" s="143"/>
      <c r="KL68" s="143"/>
      <c r="KM68" s="143"/>
      <c r="KN68" s="143"/>
      <c r="KO68" s="143"/>
      <c r="KP68" s="143"/>
      <c r="KQ68" s="143"/>
      <c r="KR68" s="143"/>
      <c r="KS68" s="143"/>
      <c r="KT68" s="143"/>
      <c r="KU68" s="144"/>
      <c r="KV68" s="144"/>
      <c r="KW68" s="144"/>
      <c r="KX68" s="144"/>
      <c r="KY68" s="144"/>
      <c r="KZ68" s="144"/>
      <c r="LA68" s="144"/>
      <c r="LB68" s="144"/>
      <c r="LC68" s="144"/>
      <c r="LD68" s="144"/>
      <c r="LE68" s="144"/>
      <c r="LF68" s="144"/>
      <c r="LG68" s="144"/>
      <c r="LH68" s="144"/>
      <c r="LI68" s="144"/>
      <c r="LJ68" s="144"/>
      <c r="LK68" s="144"/>
      <c r="LL68" s="144"/>
      <c r="LM68" s="144"/>
      <c r="LN68" s="144"/>
      <c r="LO68" s="144"/>
      <c r="LP68" s="144"/>
      <c r="LQ68" s="144"/>
      <c r="LR68" s="144"/>
      <c r="LS68" s="144"/>
      <c r="LT68" s="144"/>
      <c r="LU68" s="144"/>
      <c r="LV68" s="144"/>
      <c r="LW68" s="144"/>
      <c r="LX68" s="144"/>
      <c r="LY68" s="144"/>
      <c r="LZ68" s="144"/>
      <c r="MA68" s="144"/>
      <c r="MB68" s="144"/>
      <c r="MC68" s="144"/>
      <c r="MD68" s="144"/>
      <c r="ME68" s="144"/>
      <c r="MF68" s="144"/>
      <c r="MG68" s="144"/>
      <c r="MH68" s="144"/>
      <c r="MI68" s="144"/>
      <c r="MJ68" s="144"/>
      <c r="MK68" s="144"/>
      <c r="ML68" s="144"/>
      <c r="MM68" s="144"/>
      <c r="MN68" s="144"/>
      <c r="MO68" s="144"/>
      <c r="MP68" s="144"/>
      <c r="MQ68" s="144"/>
      <c r="MR68" s="144"/>
      <c r="MS68" s="144"/>
      <c r="MT68" s="144"/>
      <c r="MU68" s="144"/>
      <c r="MV68" s="144"/>
      <c r="MW68" s="144"/>
      <c r="MX68" s="144"/>
      <c r="MY68" s="144"/>
      <c r="MZ68" s="145"/>
      <c r="BLR68" s="128" t="s">
        <v>351</v>
      </c>
      <c r="BLS68" s="128"/>
      <c r="BLT68" s="128"/>
      <c r="BLU68" s="128"/>
      <c r="BLV68" s="128"/>
      <c r="BLW68" s="128"/>
      <c r="BLX68" s="128"/>
      <c r="BLY68" s="128"/>
      <c r="BLZ68" s="128"/>
      <c r="BMA68" s="128"/>
      <c r="BMB68" s="128"/>
      <c r="BMC68" s="128"/>
      <c r="BMD68" s="128"/>
      <c r="BME68" s="128"/>
      <c r="BMF68" s="128"/>
      <c r="BMG68" s="128"/>
      <c r="BMH68" s="128"/>
      <c r="BMI68" s="128"/>
      <c r="BMJ68" s="128"/>
      <c r="BMK68" s="128"/>
      <c r="BML68" s="128"/>
      <c r="BMM68" s="128"/>
      <c r="BMN68" s="128"/>
      <c r="BMO68" s="128"/>
      <c r="BMP68" s="128"/>
      <c r="BMQ68" s="128"/>
      <c r="BMR68" s="128"/>
      <c r="BMS68" s="128"/>
      <c r="BMT68" s="128"/>
      <c r="BMU68" s="128"/>
      <c r="BMV68" s="128"/>
      <c r="BMW68" s="129"/>
      <c r="BMX68" s="129"/>
      <c r="BMY68" s="129"/>
      <c r="BMZ68" s="129"/>
      <c r="BNA68" s="129"/>
      <c r="BNB68" s="129"/>
      <c r="BNC68" s="129"/>
      <c r="BND68" s="129"/>
      <c r="BNE68" s="129"/>
      <c r="BNF68" s="129"/>
      <c r="BNG68" s="129"/>
      <c r="BNH68" s="129"/>
      <c r="BNI68" s="129"/>
      <c r="BNJ68" s="129"/>
      <c r="BNK68" s="129"/>
      <c r="BNL68" s="129"/>
      <c r="BNM68" s="129"/>
      <c r="BNN68" s="129"/>
      <c r="BNO68" s="129"/>
      <c r="BNP68" s="129"/>
      <c r="BNQ68" s="129"/>
      <c r="BNR68" s="128"/>
      <c r="BNS68" s="128"/>
      <c r="BNT68" s="128"/>
      <c r="BNU68" s="128"/>
      <c r="BNV68" s="128"/>
      <c r="BNW68" s="128"/>
      <c r="BNX68" s="129"/>
      <c r="BNY68" s="129"/>
      <c r="BNZ68" s="129"/>
      <c r="BOA68" s="129"/>
      <c r="BOB68" s="129"/>
      <c r="BOC68" s="129"/>
      <c r="BOD68" s="129"/>
      <c r="BOE68" s="129"/>
      <c r="BOF68" s="129"/>
      <c r="BOG68" s="129"/>
      <c r="BOH68" s="129"/>
      <c r="BOI68" s="129"/>
      <c r="BOJ68" s="129"/>
      <c r="BOK68" s="129"/>
      <c r="BOL68" s="129"/>
      <c r="BOM68" s="129"/>
      <c r="BON68" s="129"/>
      <c r="BOO68" s="129"/>
      <c r="BOP68" s="129"/>
      <c r="BOQ68" s="129"/>
      <c r="BOR68" s="129"/>
      <c r="BOS68" s="129"/>
      <c r="BOT68" s="129"/>
      <c r="BOU68" s="129"/>
      <c r="BOV68" s="129"/>
      <c r="BOW68" s="129"/>
      <c r="BOX68" s="129"/>
      <c r="BOY68" s="129"/>
      <c r="BOZ68" s="128"/>
      <c r="BPA68" s="128"/>
      <c r="BPB68" s="128"/>
      <c r="BPC68" s="128"/>
      <c r="BPD68" s="128"/>
      <c r="BPE68" s="128"/>
      <c r="BPF68" s="128"/>
    </row>
    <row r="69" spans="2:364 1682:1774" ht="15" customHeight="1" x14ac:dyDescent="0.25">
      <c r="B69" s="188" t="s">
        <v>2123</v>
      </c>
      <c r="C69" s="189"/>
      <c r="D69" s="189"/>
      <c r="E69" s="189"/>
      <c r="F69" s="189"/>
      <c r="G69" s="189"/>
      <c r="H69" s="189"/>
      <c r="I69" s="189"/>
      <c r="J69" s="189"/>
      <c r="K69" s="189"/>
      <c r="L69" s="189"/>
      <c r="M69" s="189"/>
      <c r="N69" s="189"/>
      <c r="O69" s="189"/>
      <c r="P69" s="311" t="str">
        <f>Calculations!DA23</f>
        <v>Heavy Cloth</v>
      </c>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192">
        <v>1</v>
      </c>
      <c r="AP69" s="192"/>
      <c r="AQ69" s="192"/>
      <c r="AR69" s="192"/>
      <c r="AS69" s="192"/>
      <c r="AT69" s="192"/>
      <c r="AU69" s="192"/>
      <c r="AV69" s="192"/>
      <c r="AW69" s="130" t="str">
        <f>IF(P69="No Armour","- -",IF(P69=Calculations!DA23,"- -",VLOOKUP(P69,Armour!$B$4:$AU$99,19,FALSE)*'Character Creation'!$Z$18*'Character Sheet'!$AO69))</f>
        <v>- -</v>
      </c>
      <c r="AX69" s="130"/>
      <c r="AY69" s="130"/>
      <c r="AZ69" s="130"/>
      <c r="BA69" s="130"/>
      <c r="BB69" s="130"/>
      <c r="BC69" s="130"/>
      <c r="BD69" s="130"/>
      <c r="BE69" s="130">
        <f>IF(P69="No Armour","- -",VLOOKUP(P69,Armour!$B$4:$AU$99,4,FALSE)+BU69+CC69)</f>
        <v>30</v>
      </c>
      <c r="BF69" s="130"/>
      <c r="BG69" s="130"/>
      <c r="BH69" s="130"/>
      <c r="BI69" s="130"/>
      <c r="BJ69" s="130"/>
      <c r="BK69" s="130"/>
      <c r="BL69" s="130"/>
      <c r="BM69" s="130">
        <f>IF(P69="No Armour","- -",IF(P69="No Armour",0,VLOOKUP(P69,Armour!$B$4:$AU$99,3,FALSE)+VLOOKUP(((AO69*100)-100),Charts!$AW$2:$AX$42,2,FALSE)))</f>
        <v>0</v>
      </c>
      <c r="BN69" s="130"/>
      <c r="BO69" s="130"/>
      <c r="BP69" s="130"/>
      <c r="BQ69" s="130"/>
      <c r="BR69" s="130"/>
      <c r="BS69" s="130"/>
      <c r="BT69" s="130"/>
      <c r="BU69" s="195">
        <f t="shared" si="24"/>
        <v>0</v>
      </c>
      <c r="BV69" s="195"/>
      <c r="BW69" s="195"/>
      <c r="BX69" s="195"/>
      <c r="BY69" s="195"/>
      <c r="BZ69" s="195"/>
      <c r="CA69" s="195"/>
      <c r="CB69" s="195"/>
      <c r="CC69" s="195">
        <f t="shared" si="25"/>
        <v>0</v>
      </c>
      <c r="CD69" s="195"/>
      <c r="CE69" s="195"/>
      <c r="CF69" s="195"/>
      <c r="CG69" s="195"/>
      <c r="CH69" s="195"/>
      <c r="CI69" s="195"/>
      <c r="CJ69" s="195"/>
      <c r="CK69" s="130">
        <f t="shared" si="18"/>
        <v>2</v>
      </c>
      <c r="CL69" s="130"/>
      <c r="CM69" s="130"/>
      <c r="CN69" s="130"/>
      <c r="CO69" s="130"/>
      <c r="CP69" s="130"/>
      <c r="CQ69" s="130"/>
      <c r="CR69" s="130"/>
      <c r="CS69" s="130">
        <f t="shared" si="22"/>
        <v>0</v>
      </c>
      <c r="CT69" s="130"/>
      <c r="CU69" s="130"/>
      <c r="CV69" s="130"/>
      <c r="CW69" s="130"/>
      <c r="CX69" s="130"/>
      <c r="CY69" s="130"/>
      <c r="CZ69" s="130"/>
      <c r="DA69" s="130">
        <f>IF(P69="No Armour","- -",VLOOKUP(P69,Armour!$B$4:$EY$99,60,FALSE)+(ROUNDUP(CC69/3,0)))</f>
        <v>-0.5</v>
      </c>
      <c r="DB69" s="130"/>
      <c r="DC69" s="130"/>
      <c r="DD69" s="130"/>
      <c r="DE69" s="130"/>
      <c r="DF69" s="130"/>
      <c r="DG69" s="130"/>
      <c r="DH69" s="130"/>
      <c r="DI69" s="130">
        <f t="shared" si="26"/>
        <v>0</v>
      </c>
      <c r="DJ69" s="130"/>
      <c r="DK69" s="130"/>
      <c r="DL69" s="130"/>
      <c r="DM69" s="130"/>
      <c r="DN69" s="130"/>
      <c r="DO69" s="130"/>
      <c r="DP69" s="130"/>
      <c r="DQ69" s="130">
        <f t="shared" si="23"/>
        <v>0</v>
      </c>
      <c r="DR69" s="130"/>
      <c r="DS69" s="130"/>
      <c r="DT69" s="130"/>
      <c r="DU69" s="130"/>
      <c r="DV69" s="130"/>
      <c r="DW69" s="130"/>
      <c r="DX69" s="130"/>
      <c r="DY69" s="306"/>
      <c r="DZ69" s="306"/>
      <c r="EA69" s="306"/>
      <c r="EB69" s="306"/>
      <c r="EC69" s="306"/>
      <c r="ED69" s="306"/>
      <c r="EE69" s="306"/>
      <c r="EF69" s="306"/>
      <c r="EG69" s="306"/>
      <c r="EH69" s="306"/>
      <c r="EI69" s="306"/>
      <c r="EJ69" s="306"/>
      <c r="EK69" s="306"/>
      <c r="EL69" s="306"/>
      <c r="EM69" s="306"/>
      <c r="EN69" s="306"/>
      <c r="EO69" s="306"/>
      <c r="EP69" s="306"/>
      <c r="EQ69" s="306"/>
      <c r="ER69" s="306"/>
      <c r="ES69" s="306"/>
      <c r="ET69" s="306"/>
      <c r="EU69" s="306"/>
      <c r="EV69" s="306"/>
      <c r="EW69" s="306"/>
      <c r="EX69" s="306"/>
      <c r="EY69" s="306"/>
      <c r="EZ69" s="307"/>
      <c r="FB69" s="151"/>
      <c r="FC69" s="128"/>
      <c r="FD69" s="128"/>
      <c r="FE69" s="128"/>
      <c r="FF69" s="128"/>
      <c r="FG69" s="128"/>
      <c r="FH69" s="128"/>
      <c r="FI69" s="128"/>
      <c r="FJ69" s="128"/>
      <c r="FK69" s="128"/>
      <c r="FL69" s="128"/>
      <c r="FM69" s="128"/>
      <c r="FN69" s="128"/>
      <c r="FO69" s="128"/>
      <c r="FP69" s="128"/>
      <c r="FQ69" s="128"/>
      <c r="FR69" s="128"/>
      <c r="FS69" s="128"/>
      <c r="FT69" s="128"/>
      <c r="FU69" s="128"/>
      <c r="FV69" s="128"/>
      <c r="FW69" s="128"/>
      <c r="FX69" s="128"/>
      <c r="FY69" s="128"/>
      <c r="FZ69" s="128"/>
      <c r="GA69" s="128"/>
      <c r="GB69" s="128"/>
      <c r="GC69" s="128"/>
      <c r="GD69" s="128"/>
      <c r="GE69" s="128"/>
      <c r="GF69" s="128"/>
      <c r="GG69" s="128"/>
      <c r="GH69" s="128"/>
      <c r="GI69" s="128"/>
      <c r="GJ69" s="128"/>
      <c r="GK69" s="128"/>
      <c r="GL69" s="128"/>
      <c r="GM69" s="128"/>
      <c r="GN69" s="128"/>
      <c r="GO69" s="128"/>
      <c r="GP69" s="128"/>
      <c r="GQ69" s="128"/>
      <c r="GR69" s="128"/>
      <c r="GS69" s="128"/>
      <c r="GT69" s="141">
        <v>0</v>
      </c>
      <c r="GU69" s="141"/>
      <c r="GV69" s="141"/>
      <c r="GW69" s="141"/>
      <c r="GX69" s="141"/>
      <c r="GY69" s="141"/>
      <c r="GZ69" s="141"/>
      <c r="HA69" s="141"/>
      <c r="HB69" s="142" t="str">
        <f>IFERROR(ROUND(Calculations!BV70*GT69,2),"")</f>
        <v/>
      </c>
      <c r="HC69" s="142"/>
      <c r="HD69" s="142"/>
      <c r="HE69" s="142"/>
      <c r="HF69" s="142"/>
      <c r="HG69" s="142"/>
      <c r="HH69" s="142"/>
      <c r="HI69" s="142"/>
      <c r="HJ69" s="142">
        <f>IFERROR(Calculations!BS70+IQ69+IX69,"")</f>
        <v>0</v>
      </c>
      <c r="HK69" s="142"/>
      <c r="HL69" s="142"/>
      <c r="HM69" s="142"/>
      <c r="HN69" s="142"/>
      <c r="HO69" s="142"/>
      <c r="HP69" s="142"/>
      <c r="HQ69" s="142"/>
      <c r="HR69" s="142" t="str">
        <f t="shared" si="9"/>
        <v/>
      </c>
      <c r="HS69" s="142"/>
      <c r="HT69" s="142"/>
      <c r="HU69" s="142"/>
      <c r="HV69" s="142"/>
      <c r="HW69" s="142"/>
      <c r="HX69" s="142"/>
      <c r="HY69" s="142"/>
      <c r="HZ69" s="142" t="str">
        <f>IFERROR(Calculations!BX70,"")</f>
        <v/>
      </c>
      <c r="IA69" s="142"/>
      <c r="IB69" s="142"/>
      <c r="IC69" s="142"/>
      <c r="ID69" s="142"/>
      <c r="IE69" s="142"/>
      <c r="IF69" s="142"/>
      <c r="IG69" s="142"/>
      <c r="IH69" s="142"/>
      <c r="II69" s="142"/>
      <c r="IJ69" s="142" t="str">
        <f>IFERROR(Calculations!BR70+IX69,"")</f>
        <v/>
      </c>
      <c r="IK69" s="142"/>
      <c r="IL69" s="142"/>
      <c r="IM69" s="142"/>
      <c r="IN69" s="142"/>
      <c r="IO69" s="142"/>
      <c r="IP69" s="142"/>
      <c r="IQ69" s="141">
        <v>0</v>
      </c>
      <c r="IR69" s="141"/>
      <c r="IS69" s="141"/>
      <c r="IT69" s="141"/>
      <c r="IU69" s="141"/>
      <c r="IV69" s="141"/>
      <c r="IW69" s="141"/>
      <c r="IX69" s="141">
        <v>0</v>
      </c>
      <c r="IY69" s="141"/>
      <c r="IZ69" s="141"/>
      <c r="JA69" s="141"/>
      <c r="JB69" s="141"/>
      <c r="JC69" s="141"/>
      <c r="JD69" s="141"/>
      <c r="JE69" s="141"/>
      <c r="JF69" s="142"/>
      <c r="JG69" s="142"/>
      <c r="JH69" s="142"/>
      <c r="JI69" s="142"/>
      <c r="JJ69" s="142"/>
      <c r="JK69" s="143" t="str">
        <f>Calculations!AS70</f>
        <v/>
      </c>
      <c r="JL69" s="143"/>
      <c r="JM69" s="143"/>
      <c r="JN69" s="143"/>
      <c r="JO69" s="143"/>
      <c r="JP69" s="143"/>
      <c r="JQ69" s="143"/>
      <c r="JR69" s="143"/>
      <c r="JS69" s="143"/>
      <c r="JT69" s="143"/>
      <c r="JU69" s="143"/>
      <c r="JV69" s="143"/>
      <c r="JW69" s="143"/>
      <c r="JX69" s="143"/>
      <c r="JY69" s="143"/>
      <c r="JZ69" s="143"/>
      <c r="KA69" s="143"/>
      <c r="KB69" s="143"/>
      <c r="KC69" s="143" t="str">
        <f>Calculations!AW70</f>
        <v/>
      </c>
      <c r="KD69" s="143"/>
      <c r="KE69" s="143"/>
      <c r="KF69" s="143"/>
      <c r="KG69" s="143"/>
      <c r="KH69" s="143"/>
      <c r="KI69" s="143"/>
      <c r="KJ69" s="143"/>
      <c r="KK69" s="143"/>
      <c r="KL69" s="143"/>
      <c r="KM69" s="143"/>
      <c r="KN69" s="143"/>
      <c r="KO69" s="143"/>
      <c r="KP69" s="143"/>
      <c r="KQ69" s="143"/>
      <c r="KR69" s="143"/>
      <c r="KS69" s="143"/>
      <c r="KT69" s="143"/>
      <c r="KU69" s="144"/>
      <c r="KV69" s="144"/>
      <c r="KW69" s="144"/>
      <c r="KX69" s="144"/>
      <c r="KY69" s="144"/>
      <c r="KZ69" s="144"/>
      <c r="LA69" s="144"/>
      <c r="LB69" s="144"/>
      <c r="LC69" s="144"/>
      <c r="LD69" s="144"/>
      <c r="LE69" s="144"/>
      <c r="LF69" s="144"/>
      <c r="LG69" s="144"/>
      <c r="LH69" s="144"/>
      <c r="LI69" s="144"/>
      <c r="LJ69" s="144"/>
      <c r="LK69" s="144"/>
      <c r="LL69" s="144"/>
      <c r="LM69" s="144"/>
      <c r="LN69" s="144"/>
      <c r="LO69" s="144"/>
      <c r="LP69" s="144"/>
      <c r="LQ69" s="144"/>
      <c r="LR69" s="144"/>
      <c r="LS69" s="144"/>
      <c r="LT69" s="144"/>
      <c r="LU69" s="144"/>
      <c r="LV69" s="144"/>
      <c r="LW69" s="144"/>
      <c r="LX69" s="144"/>
      <c r="LY69" s="144"/>
      <c r="LZ69" s="144"/>
      <c r="MA69" s="144"/>
      <c r="MB69" s="144"/>
      <c r="MC69" s="144"/>
      <c r="MD69" s="144"/>
      <c r="ME69" s="144"/>
      <c r="MF69" s="144"/>
      <c r="MG69" s="144"/>
      <c r="MH69" s="144"/>
      <c r="MI69" s="144"/>
      <c r="MJ69" s="144"/>
      <c r="MK69" s="144"/>
      <c r="ML69" s="144"/>
      <c r="MM69" s="144"/>
      <c r="MN69" s="144"/>
      <c r="MO69" s="144"/>
      <c r="MP69" s="144"/>
      <c r="MQ69" s="144"/>
      <c r="MR69" s="144"/>
      <c r="MS69" s="144"/>
      <c r="MT69" s="144"/>
      <c r="MU69" s="144"/>
      <c r="MV69" s="144"/>
      <c r="MW69" s="144"/>
      <c r="MX69" s="144"/>
      <c r="MY69" s="144"/>
      <c r="MZ69" s="145"/>
      <c r="BLR69" s="128" t="s">
        <v>354</v>
      </c>
      <c r="BLS69" s="128"/>
      <c r="BLT69" s="128"/>
      <c r="BLU69" s="128"/>
      <c r="BLV69" s="128"/>
      <c r="BLW69" s="128"/>
      <c r="BLX69" s="128"/>
      <c r="BLY69" s="128"/>
      <c r="BLZ69" s="128"/>
      <c r="BMA69" s="128"/>
      <c r="BMB69" s="128"/>
      <c r="BMC69" s="128"/>
      <c r="BMD69" s="128"/>
      <c r="BME69" s="128"/>
      <c r="BMF69" s="128"/>
      <c r="BMG69" s="128"/>
      <c r="BMH69" s="128"/>
      <c r="BMI69" s="128"/>
      <c r="BMJ69" s="128"/>
      <c r="BMK69" s="128"/>
      <c r="BML69" s="128"/>
      <c r="BMM69" s="128"/>
      <c r="BMN69" s="128"/>
      <c r="BMO69" s="128"/>
      <c r="BMP69" s="128"/>
      <c r="BMQ69" s="128"/>
      <c r="BMR69" s="128"/>
      <c r="BMS69" s="128"/>
      <c r="BMT69" s="128"/>
      <c r="BMU69" s="128"/>
      <c r="BMV69" s="128"/>
      <c r="BMW69" s="129"/>
      <c r="BMX69" s="129"/>
      <c r="BMY69" s="129"/>
      <c r="BMZ69" s="129"/>
      <c r="BNA69" s="129"/>
      <c r="BNB69" s="129"/>
      <c r="BNC69" s="129"/>
      <c r="BND69" s="129"/>
      <c r="BNE69" s="129"/>
      <c r="BNF69" s="129"/>
      <c r="BNG69" s="129"/>
      <c r="BNH69" s="129"/>
      <c r="BNI69" s="129"/>
      <c r="BNJ69" s="129"/>
      <c r="BNK69" s="129"/>
      <c r="BNL69" s="129"/>
      <c r="BNM69" s="129"/>
      <c r="BNN69" s="129"/>
      <c r="BNO69" s="129"/>
      <c r="BNP69" s="129"/>
      <c r="BNQ69" s="129"/>
      <c r="BNR69" s="128"/>
      <c r="BNS69" s="128"/>
      <c r="BNT69" s="128"/>
      <c r="BNU69" s="128"/>
      <c r="BNV69" s="128"/>
      <c r="BNW69" s="128"/>
      <c r="BNX69" s="129"/>
      <c r="BNY69" s="129"/>
      <c r="BNZ69" s="129"/>
      <c r="BOA69" s="129"/>
      <c r="BOB69" s="129"/>
      <c r="BOC69" s="129"/>
      <c r="BOD69" s="129"/>
      <c r="BOE69" s="129"/>
      <c r="BOF69" s="129"/>
      <c r="BOG69" s="129"/>
      <c r="BOH69" s="129"/>
      <c r="BOI69" s="129"/>
      <c r="BOJ69" s="129"/>
      <c r="BOK69" s="129"/>
      <c r="BOL69" s="129"/>
      <c r="BOM69" s="129"/>
      <c r="BON69" s="129"/>
      <c r="BOO69" s="129"/>
      <c r="BOP69" s="129"/>
      <c r="BOQ69" s="129"/>
      <c r="BOR69" s="129"/>
      <c r="BOS69" s="129"/>
      <c r="BOT69" s="129"/>
      <c r="BOU69" s="129"/>
      <c r="BOV69" s="129"/>
      <c r="BOW69" s="129"/>
      <c r="BOX69" s="129"/>
      <c r="BOY69" s="129"/>
      <c r="BOZ69" s="128"/>
      <c r="BPA69" s="128"/>
      <c r="BPB69" s="128"/>
      <c r="BPC69" s="128"/>
      <c r="BPD69" s="128"/>
      <c r="BPE69" s="128"/>
      <c r="BPF69" s="128"/>
    </row>
    <row r="70" spans="2:364 1682:1774" ht="15" customHeight="1" x14ac:dyDescent="0.25">
      <c r="B70" s="314" t="s">
        <v>81</v>
      </c>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t="s">
        <v>73</v>
      </c>
      <c r="AP70" s="131"/>
      <c r="AQ70" s="131"/>
      <c r="AR70" s="131"/>
      <c r="AS70" s="131"/>
      <c r="AT70" s="131"/>
      <c r="AU70" s="131"/>
      <c r="AV70" s="131"/>
      <c r="AW70" s="131" t="s">
        <v>72</v>
      </c>
      <c r="AX70" s="131"/>
      <c r="AY70" s="131"/>
      <c r="AZ70" s="131"/>
      <c r="BA70" s="131"/>
      <c r="BB70" s="131"/>
      <c r="BC70" s="131"/>
      <c r="BD70" s="131"/>
      <c r="BE70" s="131" t="s">
        <v>61</v>
      </c>
      <c r="BF70" s="131"/>
      <c r="BG70" s="131"/>
      <c r="BH70" s="131"/>
      <c r="BI70" s="131"/>
      <c r="BJ70" s="131"/>
      <c r="BK70" s="131"/>
      <c r="BL70" s="131"/>
      <c r="BM70" s="131" t="s">
        <v>37</v>
      </c>
      <c r="BN70" s="131"/>
      <c r="BO70" s="131"/>
      <c r="BP70" s="131"/>
      <c r="BQ70" s="131"/>
      <c r="BR70" s="131"/>
      <c r="BS70" s="131"/>
      <c r="BT70" s="131"/>
      <c r="BU70" s="131" t="s">
        <v>55</v>
      </c>
      <c r="BV70" s="131"/>
      <c r="BW70" s="131"/>
      <c r="BX70" s="131"/>
      <c r="BY70" s="131"/>
      <c r="BZ70" s="131"/>
      <c r="CA70" s="131"/>
      <c r="CB70" s="131"/>
      <c r="CC70" s="131" t="s">
        <v>60</v>
      </c>
      <c r="CD70" s="131"/>
      <c r="CE70" s="131"/>
      <c r="CF70" s="131"/>
      <c r="CG70" s="131"/>
      <c r="CH70" s="131"/>
      <c r="CI70" s="131"/>
      <c r="CJ70" s="131"/>
      <c r="CK70" s="131" t="s">
        <v>83</v>
      </c>
      <c r="CL70" s="131"/>
      <c r="CM70" s="131"/>
      <c r="CN70" s="131"/>
      <c r="CO70" s="131"/>
      <c r="CP70" s="131"/>
      <c r="CQ70" s="131"/>
      <c r="CR70" s="131"/>
      <c r="CS70" s="131" t="s">
        <v>84</v>
      </c>
      <c r="CT70" s="131"/>
      <c r="CU70" s="131"/>
      <c r="CV70" s="131"/>
      <c r="CW70" s="131"/>
      <c r="CX70" s="131"/>
      <c r="CY70" s="131"/>
      <c r="CZ70" s="131"/>
      <c r="DA70" s="131" t="s">
        <v>85</v>
      </c>
      <c r="DB70" s="131"/>
      <c r="DC70" s="131"/>
      <c r="DD70" s="131"/>
      <c r="DE70" s="131"/>
      <c r="DF70" s="131"/>
      <c r="DG70" s="131"/>
      <c r="DH70" s="131"/>
      <c r="DI70" s="131" t="s">
        <v>86</v>
      </c>
      <c r="DJ70" s="131"/>
      <c r="DK70" s="131"/>
      <c r="DL70" s="131"/>
      <c r="DM70" s="131"/>
      <c r="DN70" s="131"/>
      <c r="DO70" s="131"/>
      <c r="DP70" s="131"/>
      <c r="DQ70" s="131" t="s">
        <v>87</v>
      </c>
      <c r="DR70" s="131"/>
      <c r="DS70" s="131"/>
      <c r="DT70" s="131"/>
      <c r="DU70" s="131"/>
      <c r="DV70" s="131"/>
      <c r="DW70" s="131"/>
      <c r="DX70" s="131"/>
      <c r="DY70" s="136" t="s">
        <v>80</v>
      </c>
      <c r="DZ70" s="136"/>
      <c r="EA70" s="136"/>
      <c r="EB70" s="136"/>
      <c r="EC70" s="136"/>
      <c r="ED70" s="136"/>
      <c r="EE70" s="136"/>
      <c r="EF70" s="136"/>
      <c r="EG70" s="136"/>
      <c r="EH70" s="136"/>
      <c r="EI70" s="136"/>
      <c r="EJ70" s="136"/>
      <c r="EK70" s="136"/>
      <c r="EL70" s="136"/>
      <c r="EM70" s="136"/>
      <c r="EN70" s="136"/>
      <c r="EO70" s="136"/>
      <c r="EP70" s="136"/>
      <c r="EQ70" s="136"/>
      <c r="ER70" s="136"/>
      <c r="ES70" s="136"/>
      <c r="ET70" s="136"/>
      <c r="EU70" s="136"/>
      <c r="EV70" s="136"/>
      <c r="EW70" s="136"/>
      <c r="EX70" s="136"/>
      <c r="EY70" s="136"/>
      <c r="EZ70" s="313"/>
      <c r="FB70" s="151"/>
      <c r="FC70" s="128"/>
      <c r="FD70" s="128"/>
      <c r="FE70" s="128"/>
      <c r="FF70" s="128"/>
      <c r="FG70" s="128"/>
      <c r="FH70" s="128"/>
      <c r="FI70" s="128"/>
      <c r="FJ70" s="128"/>
      <c r="FK70" s="128"/>
      <c r="FL70" s="128"/>
      <c r="FM70" s="128"/>
      <c r="FN70" s="128"/>
      <c r="FO70" s="128"/>
      <c r="FP70" s="128"/>
      <c r="FQ70" s="128"/>
      <c r="FR70" s="128"/>
      <c r="FS70" s="128"/>
      <c r="FT70" s="128"/>
      <c r="FU70" s="128"/>
      <c r="FV70" s="128"/>
      <c r="FW70" s="128"/>
      <c r="FX70" s="128"/>
      <c r="FY70" s="128"/>
      <c r="FZ70" s="128"/>
      <c r="GA70" s="128"/>
      <c r="GB70" s="128"/>
      <c r="GC70" s="128"/>
      <c r="GD70" s="128"/>
      <c r="GE70" s="128"/>
      <c r="GF70" s="128"/>
      <c r="GG70" s="128"/>
      <c r="GH70" s="128"/>
      <c r="GI70" s="128"/>
      <c r="GJ70" s="128"/>
      <c r="GK70" s="128"/>
      <c r="GL70" s="128"/>
      <c r="GM70" s="128"/>
      <c r="GN70" s="128"/>
      <c r="GO70" s="128"/>
      <c r="GP70" s="128"/>
      <c r="GQ70" s="128"/>
      <c r="GR70" s="128"/>
      <c r="GS70" s="128"/>
      <c r="GT70" s="141">
        <v>0</v>
      </c>
      <c r="GU70" s="141"/>
      <c r="GV70" s="141"/>
      <c r="GW70" s="141"/>
      <c r="GX70" s="141"/>
      <c r="GY70" s="141"/>
      <c r="GZ70" s="141"/>
      <c r="HA70" s="141"/>
      <c r="HB70" s="142" t="str">
        <f>IFERROR(ROUND(Calculations!BV71*GT70,2),"")</f>
        <v/>
      </c>
      <c r="HC70" s="142"/>
      <c r="HD70" s="142"/>
      <c r="HE70" s="142"/>
      <c r="HF70" s="142"/>
      <c r="HG70" s="142"/>
      <c r="HH70" s="142"/>
      <c r="HI70" s="142"/>
      <c r="HJ70" s="142">
        <f>IFERROR(Calculations!BS71+IQ70+IX70,"")</f>
        <v>0</v>
      </c>
      <c r="HK70" s="142"/>
      <c r="HL70" s="142"/>
      <c r="HM70" s="142"/>
      <c r="HN70" s="142"/>
      <c r="HO70" s="142"/>
      <c r="HP70" s="142"/>
      <c r="HQ70" s="142"/>
      <c r="HR70" s="142" t="str">
        <f t="shared" si="9"/>
        <v/>
      </c>
      <c r="HS70" s="142"/>
      <c r="HT70" s="142"/>
      <c r="HU70" s="142"/>
      <c r="HV70" s="142"/>
      <c r="HW70" s="142"/>
      <c r="HX70" s="142"/>
      <c r="HY70" s="142"/>
      <c r="HZ70" s="142" t="str">
        <f>IFERROR(Calculations!BX71,"")</f>
        <v/>
      </c>
      <c r="IA70" s="142"/>
      <c r="IB70" s="142"/>
      <c r="IC70" s="142"/>
      <c r="ID70" s="142"/>
      <c r="IE70" s="142"/>
      <c r="IF70" s="142"/>
      <c r="IG70" s="142"/>
      <c r="IH70" s="142"/>
      <c r="II70" s="142"/>
      <c r="IJ70" s="142" t="str">
        <f>IFERROR(Calculations!BR71+IX70,"")</f>
        <v/>
      </c>
      <c r="IK70" s="142"/>
      <c r="IL70" s="142"/>
      <c r="IM70" s="142"/>
      <c r="IN70" s="142"/>
      <c r="IO70" s="142"/>
      <c r="IP70" s="142"/>
      <c r="IQ70" s="141">
        <v>0</v>
      </c>
      <c r="IR70" s="141"/>
      <c r="IS70" s="141"/>
      <c r="IT70" s="141"/>
      <c r="IU70" s="141"/>
      <c r="IV70" s="141"/>
      <c r="IW70" s="141"/>
      <c r="IX70" s="141">
        <v>0</v>
      </c>
      <c r="IY70" s="141"/>
      <c r="IZ70" s="141"/>
      <c r="JA70" s="141"/>
      <c r="JB70" s="141"/>
      <c r="JC70" s="141"/>
      <c r="JD70" s="141"/>
      <c r="JE70" s="141"/>
      <c r="JF70" s="142"/>
      <c r="JG70" s="142"/>
      <c r="JH70" s="142"/>
      <c r="JI70" s="142"/>
      <c r="JJ70" s="142"/>
      <c r="JK70" s="143" t="str">
        <f>Calculations!AS71</f>
        <v/>
      </c>
      <c r="JL70" s="143"/>
      <c r="JM70" s="143"/>
      <c r="JN70" s="143"/>
      <c r="JO70" s="143"/>
      <c r="JP70" s="143"/>
      <c r="JQ70" s="143"/>
      <c r="JR70" s="143"/>
      <c r="JS70" s="143"/>
      <c r="JT70" s="143"/>
      <c r="JU70" s="143"/>
      <c r="JV70" s="143"/>
      <c r="JW70" s="143"/>
      <c r="JX70" s="143"/>
      <c r="JY70" s="143"/>
      <c r="JZ70" s="143"/>
      <c r="KA70" s="143"/>
      <c r="KB70" s="143"/>
      <c r="KC70" s="143" t="str">
        <f>Calculations!AW71</f>
        <v/>
      </c>
      <c r="KD70" s="143"/>
      <c r="KE70" s="143"/>
      <c r="KF70" s="143"/>
      <c r="KG70" s="143"/>
      <c r="KH70" s="143"/>
      <c r="KI70" s="143"/>
      <c r="KJ70" s="143"/>
      <c r="KK70" s="143"/>
      <c r="KL70" s="143"/>
      <c r="KM70" s="143"/>
      <c r="KN70" s="143"/>
      <c r="KO70" s="143"/>
      <c r="KP70" s="143"/>
      <c r="KQ70" s="143"/>
      <c r="KR70" s="143"/>
      <c r="KS70" s="143"/>
      <c r="KT70" s="143"/>
      <c r="KU70" s="144"/>
      <c r="KV70" s="144"/>
      <c r="KW70" s="144"/>
      <c r="KX70" s="144"/>
      <c r="KY70" s="144"/>
      <c r="KZ70" s="144"/>
      <c r="LA70" s="144"/>
      <c r="LB70" s="144"/>
      <c r="LC70" s="144"/>
      <c r="LD70" s="144"/>
      <c r="LE70" s="144"/>
      <c r="LF70" s="144"/>
      <c r="LG70" s="144"/>
      <c r="LH70" s="144"/>
      <c r="LI70" s="144"/>
      <c r="LJ70" s="144"/>
      <c r="LK70" s="144"/>
      <c r="LL70" s="144"/>
      <c r="LM70" s="144"/>
      <c r="LN70" s="144"/>
      <c r="LO70" s="144"/>
      <c r="LP70" s="144"/>
      <c r="LQ70" s="144"/>
      <c r="LR70" s="144"/>
      <c r="LS70" s="144"/>
      <c r="LT70" s="144"/>
      <c r="LU70" s="144"/>
      <c r="LV70" s="144"/>
      <c r="LW70" s="144"/>
      <c r="LX70" s="144"/>
      <c r="LY70" s="144"/>
      <c r="LZ70" s="144"/>
      <c r="MA70" s="144"/>
      <c r="MB70" s="144"/>
      <c r="MC70" s="144"/>
      <c r="MD70" s="144"/>
      <c r="ME70" s="144"/>
      <c r="MF70" s="144"/>
      <c r="MG70" s="144"/>
      <c r="MH70" s="144"/>
      <c r="MI70" s="144"/>
      <c r="MJ70" s="144"/>
      <c r="MK70" s="144"/>
      <c r="ML70" s="144"/>
      <c r="MM70" s="144"/>
      <c r="MN70" s="144"/>
      <c r="MO70" s="144"/>
      <c r="MP70" s="144"/>
      <c r="MQ70" s="144"/>
      <c r="MR70" s="144"/>
      <c r="MS70" s="144"/>
      <c r="MT70" s="144"/>
      <c r="MU70" s="144"/>
      <c r="MV70" s="144"/>
      <c r="MW70" s="144"/>
      <c r="MX70" s="144"/>
      <c r="MY70" s="144"/>
      <c r="MZ70" s="145"/>
      <c r="BLR70" s="128" t="s">
        <v>356</v>
      </c>
      <c r="BLS70" s="128"/>
      <c r="BLT70" s="128"/>
      <c r="BLU70" s="128"/>
      <c r="BLV70" s="128"/>
      <c r="BLW70" s="128"/>
      <c r="BLX70" s="128"/>
      <c r="BLY70" s="128"/>
      <c r="BLZ70" s="128"/>
      <c r="BMA70" s="128"/>
      <c r="BMB70" s="128"/>
      <c r="BMC70" s="128"/>
      <c r="BMD70" s="128"/>
      <c r="BME70" s="128"/>
      <c r="BMF70" s="128"/>
      <c r="BMG70" s="128"/>
      <c r="BMH70" s="128"/>
      <c r="BMI70" s="128"/>
      <c r="BMJ70" s="128"/>
      <c r="BMK70" s="128"/>
      <c r="BML70" s="128"/>
      <c r="BMM70" s="128"/>
      <c r="BMN70" s="128"/>
      <c r="BMO70" s="128"/>
      <c r="BMP70" s="128"/>
      <c r="BMQ70" s="128"/>
      <c r="BMR70" s="128"/>
      <c r="BMS70" s="128"/>
      <c r="BMT70" s="128"/>
      <c r="BMU70" s="128"/>
      <c r="BMV70" s="128"/>
      <c r="BMW70" s="129"/>
      <c r="BMX70" s="129"/>
      <c r="BMY70" s="129"/>
      <c r="BMZ70" s="129"/>
      <c r="BNA70" s="129"/>
      <c r="BNB70" s="129"/>
      <c r="BNC70" s="129"/>
      <c r="BND70" s="129"/>
      <c r="BNE70" s="129"/>
      <c r="BNF70" s="129"/>
      <c r="BNG70" s="129"/>
      <c r="BNH70" s="129"/>
      <c r="BNI70" s="129"/>
      <c r="BNJ70" s="129"/>
      <c r="BNK70" s="129"/>
      <c r="BNL70" s="129"/>
      <c r="BNM70" s="129"/>
      <c r="BNN70" s="129"/>
      <c r="BNO70" s="129"/>
      <c r="BNP70" s="129"/>
      <c r="BNQ70" s="129"/>
      <c r="BNR70" s="128"/>
      <c r="BNS70" s="128"/>
      <c r="BNT70" s="128"/>
      <c r="BNU70" s="128"/>
      <c r="BNV70" s="128"/>
      <c r="BNW70" s="128"/>
      <c r="BNX70" s="129"/>
      <c r="BNY70" s="129"/>
      <c r="BNZ70" s="129"/>
      <c r="BOA70" s="129"/>
      <c r="BOB70" s="129"/>
      <c r="BOC70" s="129"/>
      <c r="BOD70" s="129"/>
      <c r="BOE70" s="129"/>
      <c r="BOF70" s="129"/>
      <c r="BOG70" s="129"/>
      <c r="BOH70" s="129"/>
      <c r="BOI70" s="129"/>
      <c r="BOJ70" s="129"/>
      <c r="BOK70" s="129"/>
      <c r="BOL70" s="129"/>
      <c r="BOM70" s="129"/>
      <c r="BON70" s="129"/>
      <c r="BOO70" s="129"/>
      <c r="BOP70" s="129"/>
      <c r="BOQ70" s="129"/>
      <c r="BOR70" s="129"/>
      <c r="BOS70" s="129"/>
      <c r="BOT70" s="129"/>
      <c r="BOU70" s="129"/>
      <c r="BOV70" s="129"/>
      <c r="BOW70" s="129"/>
      <c r="BOX70" s="129"/>
      <c r="BOY70" s="129"/>
      <c r="BOZ70" s="128"/>
      <c r="BPA70" s="128"/>
      <c r="BPB70" s="128"/>
      <c r="BPC70" s="128"/>
      <c r="BPD70" s="128"/>
      <c r="BPE70" s="128"/>
      <c r="BPF70" s="128"/>
    </row>
    <row r="71" spans="2:364 1682:1774" ht="15" customHeight="1" x14ac:dyDescent="0.25">
      <c r="B71" s="230" t="s">
        <v>82</v>
      </c>
      <c r="C71" s="207"/>
      <c r="D71" s="207"/>
      <c r="E71" s="207"/>
      <c r="F71" s="207"/>
      <c r="G71" s="207"/>
      <c r="H71" s="207"/>
      <c r="I71" s="207"/>
      <c r="J71" s="315" t="s">
        <v>2242</v>
      </c>
      <c r="K71" s="315"/>
      <c r="L71" s="315"/>
      <c r="M71" s="315"/>
      <c r="N71" s="315"/>
      <c r="O71" s="315"/>
      <c r="P71" s="315"/>
      <c r="Q71" s="315"/>
      <c r="R71" s="315"/>
      <c r="S71" s="315"/>
      <c r="T71" s="315"/>
      <c r="U71" s="315"/>
      <c r="V71" s="315"/>
      <c r="W71" s="315"/>
      <c r="X71" s="315"/>
      <c r="Y71" s="315"/>
      <c r="Z71" s="315"/>
      <c r="AA71" s="315"/>
      <c r="AB71" s="315"/>
      <c r="AC71" s="315"/>
      <c r="AD71" s="315"/>
      <c r="AE71" s="315"/>
      <c r="AF71" s="315"/>
      <c r="AG71" s="315"/>
      <c r="AH71" s="315"/>
      <c r="AI71" s="315"/>
      <c r="AJ71" s="315"/>
      <c r="AK71" s="315"/>
      <c r="AL71" s="315"/>
      <c r="AM71" s="315"/>
      <c r="AN71" s="315"/>
      <c r="AO71" s="248">
        <v>0</v>
      </c>
      <c r="AP71" s="248"/>
      <c r="AQ71" s="248"/>
      <c r="AR71" s="248"/>
      <c r="AS71" s="248"/>
      <c r="AT71" s="248"/>
      <c r="AU71" s="248"/>
      <c r="AV71" s="248"/>
      <c r="AW71" s="245">
        <f>VLOOKUP(J71,Armour!$B$102:$H$182,2,FALSE)*'Character Creation'!$Z$18*'Character Sheet'!$AO71</f>
        <v>0</v>
      </c>
      <c r="AX71" s="245"/>
      <c r="AY71" s="245"/>
      <c r="AZ71" s="245"/>
      <c r="BA71" s="245"/>
      <c r="BB71" s="245"/>
      <c r="BC71" s="245"/>
      <c r="BD71" s="245"/>
      <c r="BE71" s="245">
        <f>VLOOKUP(J71,Armour!$B$102:$H$182,6,FALSE)+BU71+CC71</f>
        <v>0</v>
      </c>
      <c r="BF71" s="245"/>
      <c r="BG71" s="245"/>
      <c r="BH71" s="245"/>
      <c r="BI71" s="245"/>
      <c r="BJ71" s="245"/>
      <c r="BK71" s="245"/>
      <c r="BL71" s="245"/>
      <c r="BM71" s="245">
        <f>IF(J71="No Shield",0,VLOOKUP(J71,Armour!$B$102:$H$182,7,FALSE)+VLOOKUP(((AO71*100)-100),Charts!$AZ$2:$BA$42,2,FALSE))</f>
        <v>0</v>
      </c>
      <c r="BN71" s="245"/>
      <c r="BO71" s="245"/>
      <c r="BP71" s="245"/>
      <c r="BQ71" s="245"/>
      <c r="BR71" s="245"/>
      <c r="BS71" s="245"/>
      <c r="BT71" s="245"/>
      <c r="BU71" s="249">
        <v>0</v>
      </c>
      <c r="BV71" s="249"/>
      <c r="BW71" s="249"/>
      <c r="BX71" s="249"/>
      <c r="BY71" s="249"/>
      <c r="BZ71" s="249"/>
      <c r="CA71" s="249"/>
      <c r="CB71" s="249"/>
      <c r="CC71" s="249">
        <v>0</v>
      </c>
      <c r="CD71" s="249"/>
      <c r="CE71" s="249"/>
      <c r="CF71" s="249"/>
      <c r="CG71" s="249"/>
      <c r="CH71" s="249"/>
      <c r="CI71" s="249"/>
      <c r="CJ71" s="249"/>
      <c r="CK71" s="245">
        <f>IF(J71="No Shield",0,Skills!$S$85)</f>
        <v>0</v>
      </c>
      <c r="CL71" s="245"/>
      <c r="CM71" s="245"/>
      <c r="CN71" s="245"/>
      <c r="CO71" s="245"/>
      <c r="CP71" s="245"/>
      <c r="CQ71" s="245"/>
      <c r="CR71" s="245"/>
      <c r="CS71" s="244">
        <f>IF(J71="No Shield",0,(MIN(50,SUM(BM71:CR71))))</f>
        <v>0</v>
      </c>
      <c r="CT71" s="244"/>
      <c r="CU71" s="244"/>
      <c r="CV71" s="244"/>
      <c r="CW71" s="244"/>
      <c r="CX71" s="244"/>
      <c r="CY71" s="244"/>
      <c r="CZ71" s="244"/>
      <c r="DA71" s="244">
        <f>IF(J71="No Shield",0,(MIN(50,SUM(BM71:CR71)+(Skills!$AF$85/2))))</f>
        <v>0</v>
      </c>
      <c r="DB71" s="244"/>
      <c r="DC71" s="244"/>
      <c r="DD71" s="244"/>
      <c r="DE71" s="244"/>
      <c r="DF71" s="244"/>
      <c r="DG71" s="244"/>
      <c r="DH71" s="244"/>
      <c r="DI71" s="244">
        <f>IF(J71="No Shield",0,(MIN(50,SUM(BM71:CR71)+(Skills!$AF$85))))</f>
        <v>0</v>
      </c>
      <c r="DJ71" s="244"/>
      <c r="DK71" s="244"/>
      <c r="DL71" s="244"/>
      <c r="DM71" s="244"/>
      <c r="DN71" s="244"/>
      <c r="DO71" s="244"/>
      <c r="DP71" s="244"/>
      <c r="DQ71" s="245">
        <f>IF(J71="No Shield",0,VLOOKUP(J71,Armour!$B$102:$H$182,5,FALSE))</f>
        <v>0</v>
      </c>
      <c r="DR71" s="245"/>
      <c r="DS71" s="245"/>
      <c r="DT71" s="245"/>
      <c r="DU71" s="245"/>
      <c r="DV71" s="245"/>
      <c r="DW71" s="245"/>
      <c r="DX71" s="245"/>
      <c r="DY71" s="316"/>
      <c r="DZ71" s="316"/>
      <c r="EA71" s="316"/>
      <c r="EB71" s="316"/>
      <c r="EC71" s="316"/>
      <c r="ED71" s="316"/>
      <c r="EE71" s="316"/>
      <c r="EF71" s="316"/>
      <c r="EG71" s="316"/>
      <c r="EH71" s="316"/>
      <c r="EI71" s="316"/>
      <c r="EJ71" s="316"/>
      <c r="EK71" s="316"/>
      <c r="EL71" s="316"/>
      <c r="EM71" s="316"/>
      <c r="EN71" s="316"/>
      <c r="EO71" s="316"/>
      <c r="EP71" s="316"/>
      <c r="EQ71" s="316"/>
      <c r="ER71" s="316"/>
      <c r="ES71" s="316"/>
      <c r="ET71" s="316"/>
      <c r="EU71" s="316"/>
      <c r="EV71" s="316"/>
      <c r="EW71" s="316"/>
      <c r="EX71" s="316"/>
      <c r="EY71" s="316"/>
      <c r="EZ71" s="317"/>
      <c r="FB71" s="151"/>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41">
        <v>0</v>
      </c>
      <c r="GU71" s="141"/>
      <c r="GV71" s="141"/>
      <c r="GW71" s="141"/>
      <c r="GX71" s="141"/>
      <c r="GY71" s="141"/>
      <c r="GZ71" s="141"/>
      <c r="HA71" s="141"/>
      <c r="HB71" s="142" t="str">
        <f>IFERROR(ROUND(Calculations!BV72*GT71,2),"")</f>
        <v/>
      </c>
      <c r="HC71" s="142"/>
      <c r="HD71" s="142"/>
      <c r="HE71" s="142"/>
      <c r="HF71" s="142"/>
      <c r="HG71" s="142"/>
      <c r="HH71" s="142"/>
      <c r="HI71" s="142"/>
      <c r="HJ71" s="142">
        <f>IFERROR(Calculations!BS72+IQ71+IX71,"")</f>
        <v>0</v>
      </c>
      <c r="HK71" s="142"/>
      <c r="HL71" s="142"/>
      <c r="HM71" s="142"/>
      <c r="HN71" s="142"/>
      <c r="HO71" s="142"/>
      <c r="HP71" s="142"/>
      <c r="HQ71" s="142"/>
      <c r="HR71" s="142" t="str">
        <f t="shared" si="9"/>
        <v/>
      </c>
      <c r="HS71" s="142"/>
      <c r="HT71" s="142"/>
      <c r="HU71" s="142"/>
      <c r="HV71" s="142"/>
      <c r="HW71" s="142"/>
      <c r="HX71" s="142"/>
      <c r="HY71" s="142"/>
      <c r="HZ71" s="142" t="str">
        <f>IFERROR(Calculations!BX72,"")</f>
        <v/>
      </c>
      <c r="IA71" s="142"/>
      <c r="IB71" s="142"/>
      <c r="IC71" s="142"/>
      <c r="ID71" s="142"/>
      <c r="IE71" s="142"/>
      <c r="IF71" s="142"/>
      <c r="IG71" s="142"/>
      <c r="IH71" s="142"/>
      <c r="II71" s="142"/>
      <c r="IJ71" s="142" t="str">
        <f>IFERROR(Calculations!BR72+IX71,"")</f>
        <v/>
      </c>
      <c r="IK71" s="142"/>
      <c r="IL71" s="142"/>
      <c r="IM71" s="142"/>
      <c r="IN71" s="142"/>
      <c r="IO71" s="142"/>
      <c r="IP71" s="142"/>
      <c r="IQ71" s="141">
        <v>0</v>
      </c>
      <c r="IR71" s="141"/>
      <c r="IS71" s="141"/>
      <c r="IT71" s="141"/>
      <c r="IU71" s="141"/>
      <c r="IV71" s="141"/>
      <c r="IW71" s="141"/>
      <c r="IX71" s="141">
        <v>0</v>
      </c>
      <c r="IY71" s="141"/>
      <c r="IZ71" s="141"/>
      <c r="JA71" s="141"/>
      <c r="JB71" s="141"/>
      <c r="JC71" s="141"/>
      <c r="JD71" s="141"/>
      <c r="JE71" s="141"/>
      <c r="JF71" s="142"/>
      <c r="JG71" s="142"/>
      <c r="JH71" s="142"/>
      <c r="JI71" s="142"/>
      <c r="JJ71" s="142"/>
      <c r="JK71" s="143" t="str">
        <f>Calculations!AS72</f>
        <v/>
      </c>
      <c r="JL71" s="143"/>
      <c r="JM71" s="143"/>
      <c r="JN71" s="143"/>
      <c r="JO71" s="143"/>
      <c r="JP71" s="143"/>
      <c r="JQ71" s="143"/>
      <c r="JR71" s="143"/>
      <c r="JS71" s="143"/>
      <c r="JT71" s="143"/>
      <c r="JU71" s="143"/>
      <c r="JV71" s="143"/>
      <c r="JW71" s="143"/>
      <c r="JX71" s="143"/>
      <c r="JY71" s="143"/>
      <c r="JZ71" s="143"/>
      <c r="KA71" s="143"/>
      <c r="KB71" s="143"/>
      <c r="KC71" s="143" t="str">
        <f>Calculations!AW72</f>
        <v/>
      </c>
      <c r="KD71" s="143"/>
      <c r="KE71" s="143"/>
      <c r="KF71" s="143"/>
      <c r="KG71" s="143"/>
      <c r="KH71" s="143"/>
      <c r="KI71" s="143"/>
      <c r="KJ71" s="143"/>
      <c r="KK71" s="143"/>
      <c r="KL71" s="143"/>
      <c r="KM71" s="143"/>
      <c r="KN71" s="143"/>
      <c r="KO71" s="143"/>
      <c r="KP71" s="143"/>
      <c r="KQ71" s="143"/>
      <c r="KR71" s="143"/>
      <c r="KS71" s="143"/>
      <c r="KT71" s="143"/>
      <c r="KU71" s="144"/>
      <c r="KV71" s="144"/>
      <c r="KW71" s="144"/>
      <c r="KX71" s="144"/>
      <c r="KY71" s="144"/>
      <c r="KZ71" s="144"/>
      <c r="LA71" s="144"/>
      <c r="LB71" s="144"/>
      <c r="LC71" s="144"/>
      <c r="LD71" s="144"/>
      <c r="LE71" s="144"/>
      <c r="LF71" s="144"/>
      <c r="LG71" s="144"/>
      <c r="LH71" s="144"/>
      <c r="LI71" s="144"/>
      <c r="LJ71" s="144"/>
      <c r="LK71" s="144"/>
      <c r="LL71" s="144"/>
      <c r="LM71" s="144"/>
      <c r="LN71" s="144"/>
      <c r="LO71" s="144"/>
      <c r="LP71" s="144"/>
      <c r="LQ71" s="144"/>
      <c r="LR71" s="144"/>
      <c r="LS71" s="144"/>
      <c r="LT71" s="144"/>
      <c r="LU71" s="144"/>
      <c r="LV71" s="144"/>
      <c r="LW71" s="144"/>
      <c r="LX71" s="144"/>
      <c r="LY71" s="144"/>
      <c r="LZ71" s="144"/>
      <c r="MA71" s="144"/>
      <c r="MB71" s="144"/>
      <c r="MC71" s="144"/>
      <c r="MD71" s="144"/>
      <c r="ME71" s="144"/>
      <c r="MF71" s="144"/>
      <c r="MG71" s="144"/>
      <c r="MH71" s="144"/>
      <c r="MI71" s="144"/>
      <c r="MJ71" s="144"/>
      <c r="MK71" s="144"/>
      <c r="ML71" s="144"/>
      <c r="MM71" s="144"/>
      <c r="MN71" s="144"/>
      <c r="MO71" s="144"/>
      <c r="MP71" s="144"/>
      <c r="MQ71" s="144"/>
      <c r="MR71" s="144"/>
      <c r="MS71" s="144"/>
      <c r="MT71" s="144"/>
      <c r="MU71" s="144"/>
      <c r="MV71" s="144"/>
      <c r="MW71" s="144"/>
      <c r="MX71" s="144"/>
      <c r="MY71" s="144"/>
      <c r="MZ71" s="145"/>
      <c r="BLR71" s="128" t="s">
        <v>353</v>
      </c>
      <c r="BLS71" s="128"/>
      <c r="BLT71" s="128"/>
      <c r="BLU71" s="128"/>
      <c r="BLV71" s="128"/>
      <c r="BLW71" s="128"/>
      <c r="BLX71" s="128"/>
      <c r="BLY71" s="128"/>
      <c r="BLZ71" s="128"/>
      <c r="BMA71" s="128"/>
      <c r="BMB71" s="128"/>
      <c r="BMC71" s="128"/>
      <c r="BMD71" s="128"/>
      <c r="BME71" s="128"/>
      <c r="BMF71" s="128"/>
      <c r="BMG71" s="128"/>
      <c r="BMH71" s="128"/>
      <c r="BMI71" s="128"/>
      <c r="BMJ71" s="128"/>
      <c r="BMK71" s="128"/>
      <c r="BML71" s="128"/>
      <c r="BMM71" s="128"/>
      <c r="BMN71" s="128"/>
      <c r="BMO71" s="128"/>
      <c r="BMP71" s="128"/>
      <c r="BMQ71" s="128"/>
      <c r="BMR71" s="128"/>
      <c r="BMS71" s="128"/>
      <c r="BMT71" s="128"/>
      <c r="BMU71" s="128"/>
      <c r="BMV71" s="128"/>
      <c r="BMW71" s="129"/>
      <c r="BMX71" s="129"/>
      <c r="BMY71" s="129"/>
      <c r="BMZ71" s="129"/>
      <c r="BNA71" s="129"/>
      <c r="BNB71" s="129"/>
      <c r="BNC71" s="129"/>
      <c r="BND71" s="129"/>
      <c r="BNE71" s="129"/>
      <c r="BNF71" s="129"/>
      <c r="BNG71" s="129"/>
      <c r="BNH71" s="129"/>
      <c r="BNI71" s="129"/>
      <c r="BNJ71" s="129"/>
      <c r="BNK71" s="129"/>
      <c r="BNL71" s="129"/>
      <c r="BNM71" s="129"/>
      <c r="BNN71" s="129"/>
      <c r="BNO71" s="129"/>
      <c r="BNP71" s="129"/>
      <c r="BNQ71" s="129"/>
      <c r="BNR71" s="128"/>
      <c r="BNS71" s="128"/>
      <c r="BNT71" s="128"/>
      <c r="BNU71" s="128"/>
      <c r="BNV71" s="128"/>
      <c r="BNW71" s="128"/>
      <c r="BNX71" s="129"/>
      <c r="BNY71" s="129"/>
      <c r="BNZ71" s="129"/>
      <c r="BOA71" s="129"/>
      <c r="BOB71" s="129"/>
      <c r="BOC71" s="129"/>
      <c r="BOD71" s="129"/>
      <c r="BOE71" s="129"/>
      <c r="BOF71" s="129"/>
      <c r="BOG71" s="129"/>
      <c r="BOH71" s="129"/>
      <c r="BOI71" s="129"/>
      <c r="BOJ71" s="129"/>
      <c r="BOK71" s="129"/>
      <c r="BOL71" s="129"/>
      <c r="BOM71" s="129"/>
      <c r="BON71" s="129"/>
      <c r="BOO71" s="129"/>
      <c r="BOP71" s="129"/>
      <c r="BOQ71" s="129"/>
      <c r="BOR71" s="129"/>
      <c r="BOS71" s="129"/>
      <c r="BOT71" s="129"/>
      <c r="BOU71" s="129"/>
      <c r="BOV71" s="129"/>
      <c r="BOW71" s="129"/>
      <c r="BOX71" s="129"/>
      <c r="BOY71" s="129"/>
      <c r="BOZ71" s="128"/>
      <c r="BPA71" s="128"/>
      <c r="BPB71" s="128"/>
      <c r="BPC71" s="128"/>
      <c r="BPD71" s="128"/>
      <c r="BPE71" s="128"/>
      <c r="BPF71" s="128"/>
    </row>
    <row r="72" spans="2:364 1682:1774" ht="15" customHeight="1" x14ac:dyDescent="0.25">
      <c r="FB72" s="151"/>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41">
        <v>0</v>
      </c>
      <c r="GU72" s="141"/>
      <c r="GV72" s="141"/>
      <c r="GW72" s="141"/>
      <c r="GX72" s="141"/>
      <c r="GY72" s="141"/>
      <c r="GZ72" s="141"/>
      <c r="HA72" s="141"/>
      <c r="HB72" s="142" t="str">
        <f>IFERROR(ROUND(Calculations!BV73*GT72,2),"")</f>
        <v/>
      </c>
      <c r="HC72" s="142"/>
      <c r="HD72" s="142"/>
      <c r="HE72" s="142"/>
      <c r="HF72" s="142"/>
      <c r="HG72" s="142"/>
      <c r="HH72" s="142"/>
      <c r="HI72" s="142"/>
      <c r="HJ72" s="142">
        <f>IFERROR(Calculations!BS73+IQ72+IX72,"")</f>
        <v>0</v>
      </c>
      <c r="HK72" s="142"/>
      <c r="HL72" s="142"/>
      <c r="HM72" s="142"/>
      <c r="HN72" s="142"/>
      <c r="HO72" s="142"/>
      <c r="HP72" s="142"/>
      <c r="HQ72" s="142"/>
      <c r="HR72" s="142" t="str">
        <f t="shared" si="9"/>
        <v/>
      </c>
      <c r="HS72" s="142"/>
      <c r="HT72" s="142"/>
      <c r="HU72" s="142"/>
      <c r="HV72" s="142"/>
      <c r="HW72" s="142"/>
      <c r="HX72" s="142"/>
      <c r="HY72" s="142"/>
      <c r="HZ72" s="142" t="str">
        <f>IFERROR(Calculations!BX73,"")</f>
        <v/>
      </c>
      <c r="IA72" s="142"/>
      <c r="IB72" s="142"/>
      <c r="IC72" s="142"/>
      <c r="ID72" s="142"/>
      <c r="IE72" s="142"/>
      <c r="IF72" s="142"/>
      <c r="IG72" s="142"/>
      <c r="IH72" s="142"/>
      <c r="II72" s="142"/>
      <c r="IJ72" s="142" t="str">
        <f>IFERROR(Calculations!BR73+IX72,"")</f>
        <v/>
      </c>
      <c r="IK72" s="142"/>
      <c r="IL72" s="142"/>
      <c r="IM72" s="142"/>
      <c r="IN72" s="142"/>
      <c r="IO72" s="142"/>
      <c r="IP72" s="142"/>
      <c r="IQ72" s="141">
        <v>0</v>
      </c>
      <c r="IR72" s="141"/>
      <c r="IS72" s="141"/>
      <c r="IT72" s="141"/>
      <c r="IU72" s="141"/>
      <c r="IV72" s="141"/>
      <c r="IW72" s="141"/>
      <c r="IX72" s="141">
        <v>0</v>
      </c>
      <c r="IY72" s="141"/>
      <c r="IZ72" s="141"/>
      <c r="JA72" s="141"/>
      <c r="JB72" s="141"/>
      <c r="JC72" s="141"/>
      <c r="JD72" s="141"/>
      <c r="JE72" s="141"/>
      <c r="JF72" s="142"/>
      <c r="JG72" s="142"/>
      <c r="JH72" s="142"/>
      <c r="JI72" s="142"/>
      <c r="JJ72" s="142"/>
      <c r="JK72" s="143" t="str">
        <f>Calculations!AS73</f>
        <v/>
      </c>
      <c r="JL72" s="143"/>
      <c r="JM72" s="143"/>
      <c r="JN72" s="143"/>
      <c r="JO72" s="143"/>
      <c r="JP72" s="143"/>
      <c r="JQ72" s="143"/>
      <c r="JR72" s="143"/>
      <c r="JS72" s="143"/>
      <c r="JT72" s="143"/>
      <c r="JU72" s="143"/>
      <c r="JV72" s="143"/>
      <c r="JW72" s="143"/>
      <c r="JX72" s="143"/>
      <c r="JY72" s="143"/>
      <c r="JZ72" s="143"/>
      <c r="KA72" s="143"/>
      <c r="KB72" s="143"/>
      <c r="KC72" s="143" t="str">
        <f>Calculations!AW73</f>
        <v/>
      </c>
      <c r="KD72" s="143"/>
      <c r="KE72" s="143"/>
      <c r="KF72" s="143"/>
      <c r="KG72" s="143"/>
      <c r="KH72" s="143"/>
      <c r="KI72" s="143"/>
      <c r="KJ72" s="143"/>
      <c r="KK72" s="143"/>
      <c r="KL72" s="143"/>
      <c r="KM72" s="143"/>
      <c r="KN72" s="143"/>
      <c r="KO72" s="143"/>
      <c r="KP72" s="143"/>
      <c r="KQ72" s="143"/>
      <c r="KR72" s="143"/>
      <c r="KS72" s="143"/>
      <c r="KT72" s="143"/>
      <c r="KU72" s="144"/>
      <c r="KV72" s="144"/>
      <c r="KW72" s="144"/>
      <c r="KX72" s="144"/>
      <c r="KY72" s="144"/>
      <c r="KZ72" s="144"/>
      <c r="LA72" s="144"/>
      <c r="LB72" s="144"/>
      <c r="LC72" s="144"/>
      <c r="LD72" s="144"/>
      <c r="LE72" s="144"/>
      <c r="LF72" s="144"/>
      <c r="LG72" s="144"/>
      <c r="LH72" s="144"/>
      <c r="LI72" s="144"/>
      <c r="LJ72" s="144"/>
      <c r="LK72" s="144"/>
      <c r="LL72" s="144"/>
      <c r="LM72" s="144"/>
      <c r="LN72" s="144"/>
      <c r="LO72" s="144"/>
      <c r="LP72" s="144"/>
      <c r="LQ72" s="144"/>
      <c r="LR72" s="144"/>
      <c r="LS72" s="144"/>
      <c r="LT72" s="144"/>
      <c r="LU72" s="144"/>
      <c r="LV72" s="144"/>
      <c r="LW72" s="144"/>
      <c r="LX72" s="144"/>
      <c r="LY72" s="144"/>
      <c r="LZ72" s="144"/>
      <c r="MA72" s="144"/>
      <c r="MB72" s="144"/>
      <c r="MC72" s="144"/>
      <c r="MD72" s="144"/>
      <c r="ME72" s="144"/>
      <c r="MF72" s="144"/>
      <c r="MG72" s="144"/>
      <c r="MH72" s="144"/>
      <c r="MI72" s="144"/>
      <c r="MJ72" s="144"/>
      <c r="MK72" s="144"/>
      <c r="ML72" s="144"/>
      <c r="MM72" s="144"/>
      <c r="MN72" s="144"/>
      <c r="MO72" s="144"/>
      <c r="MP72" s="144"/>
      <c r="MQ72" s="144"/>
      <c r="MR72" s="144"/>
      <c r="MS72" s="144"/>
      <c r="MT72" s="144"/>
      <c r="MU72" s="144"/>
      <c r="MV72" s="144"/>
      <c r="MW72" s="144"/>
      <c r="MX72" s="144"/>
      <c r="MY72" s="144"/>
      <c r="MZ72" s="145"/>
      <c r="BLR72" s="128" t="s">
        <v>357</v>
      </c>
      <c r="BLS72" s="128"/>
      <c r="BLT72" s="128"/>
      <c r="BLU72" s="128"/>
      <c r="BLV72" s="128"/>
      <c r="BLW72" s="128"/>
      <c r="BLX72" s="128"/>
      <c r="BLY72" s="128"/>
      <c r="BLZ72" s="128"/>
      <c r="BMA72" s="128"/>
      <c r="BMB72" s="128"/>
      <c r="BMC72" s="128"/>
      <c r="BMD72" s="128"/>
      <c r="BME72" s="128"/>
      <c r="BMF72" s="128"/>
      <c r="BMG72" s="128"/>
      <c r="BMH72" s="128"/>
      <c r="BMI72" s="128"/>
      <c r="BMJ72" s="128"/>
      <c r="BMK72" s="128"/>
      <c r="BML72" s="128"/>
      <c r="BMM72" s="128"/>
      <c r="BMN72" s="128"/>
      <c r="BMO72" s="128"/>
      <c r="BMP72" s="128"/>
      <c r="BMQ72" s="128"/>
      <c r="BMR72" s="128"/>
      <c r="BMS72" s="128"/>
      <c r="BMT72" s="128"/>
      <c r="BMU72" s="128"/>
      <c r="BMV72" s="128"/>
      <c r="BMW72" s="129"/>
      <c r="BMX72" s="129"/>
      <c r="BMY72" s="129"/>
      <c r="BMZ72" s="129"/>
      <c r="BNA72" s="129"/>
      <c r="BNB72" s="129"/>
      <c r="BNC72" s="129"/>
      <c r="BND72" s="129"/>
      <c r="BNE72" s="129"/>
      <c r="BNF72" s="129"/>
      <c r="BNG72" s="129"/>
      <c r="BNH72" s="129"/>
      <c r="BNI72" s="129"/>
      <c r="BNJ72" s="129"/>
      <c r="BNK72" s="129"/>
      <c r="BNL72" s="129"/>
      <c r="BNM72" s="129"/>
      <c r="BNN72" s="129"/>
      <c r="BNO72" s="129"/>
      <c r="BNP72" s="129"/>
      <c r="BNQ72" s="129"/>
      <c r="BNR72" s="128"/>
      <c r="BNS72" s="128"/>
      <c r="BNT72" s="128"/>
      <c r="BNU72" s="128"/>
      <c r="BNV72" s="128"/>
      <c r="BNW72" s="128"/>
      <c r="BNX72" s="129"/>
      <c r="BNY72" s="129"/>
      <c r="BNZ72" s="129"/>
      <c r="BOA72" s="129"/>
      <c r="BOB72" s="129"/>
      <c r="BOC72" s="129"/>
      <c r="BOD72" s="129"/>
      <c r="BOE72" s="129"/>
      <c r="BOF72" s="129"/>
      <c r="BOG72" s="129"/>
      <c r="BOH72" s="129"/>
      <c r="BOI72" s="129"/>
      <c r="BOJ72" s="129"/>
      <c r="BOK72" s="129"/>
      <c r="BOL72" s="129"/>
      <c r="BOM72" s="129"/>
      <c r="BON72" s="129"/>
      <c r="BOO72" s="129"/>
      <c r="BOP72" s="129"/>
      <c r="BOQ72" s="129"/>
      <c r="BOR72" s="129"/>
      <c r="BOS72" s="129"/>
      <c r="BOT72" s="129"/>
      <c r="BOU72" s="129"/>
      <c r="BOV72" s="129"/>
      <c r="BOW72" s="129"/>
      <c r="BOX72" s="129"/>
      <c r="BOY72" s="129"/>
      <c r="BOZ72" s="128"/>
      <c r="BPA72" s="128"/>
      <c r="BPB72" s="128"/>
      <c r="BPC72" s="128"/>
      <c r="BPD72" s="128"/>
      <c r="BPE72" s="128"/>
      <c r="BPF72" s="128"/>
    </row>
    <row r="73" spans="2:364 1682:1774" ht="15" customHeight="1" x14ac:dyDescent="0.25">
      <c r="B73" s="240" t="s">
        <v>89</v>
      </c>
      <c r="C73" s="241"/>
      <c r="D73" s="241"/>
      <c r="E73" s="241"/>
      <c r="F73" s="241"/>
      <c r="G73" s="241"/>
      <c r="H73" s="241"/>
      <c r="I73" s="241"/>
      <c r="J73" s="241"/>
      <c r="K73" s="241"/>
      <c r="L73" s="241"/>
      <c r="M73" s="241"/>
      <c r="N73" s="241"/>
      <c r="O73" s="241"/>
      <c r="P73" s="241"/>
      <c r="Q73" s="241"/>
      <c r="R73" s="241"/>
      <c r="S73" s="241"/>
      <c r="T73" s="241"/>
      <c r="U73" s="241"/>
      <c r="V73" s="241"/>
      <c r="W73" s="241"/>
      <c r="X73" s="241"/>
      <c r="Y73" s="241"/>
      <c r="Z73" s="241"/>
      <c r="AA73" s="241"/>
      <c r="AB73" s="241"/>
      <c r="AC73" s="241"/>
      <c r="AD73" s="241"/>
      <c r="AE73" s="241"/>
      <c r="AF73" s="241"/>
      <c r="AG73" s="241"/>
      <c r="AH73" s="241"/>
      <c r="AI73" s="241"/>
      <c r="AJ73" s="241"/>
      <c r="AK73" s="241"/>
      <c r="AL73" s="241"/>
      <c r="AM73" s="241"/>
      <c r="AN73" s="241"/>
      <c r="AO73" s="241"/>
      <c r="AP73" s="241"/>
      <c r="AQ73" s="241"/>
      <c r="AR73" s="241"/>
      <c r="AS73" s="241"/>
      <c r="AT73" s="241"/>
      <c r="AU73" s="241"/>
      <c r="AV73" s="241"/>
      <c r="AW73" s="241"/>
      <c r="AX73" s="241"/>
      <c r="AY73" s="241"/>
      <c r="AZ73" s="241"/>
      <c r="BA73" s="241"/>
      <c r="BB73" s="241"/>
      <c r="BC73" s="241"/>
      <c r="BD73" s="241"/>
      <c r="BE73" s="241"/>
      <c r="BF73" s="241"/>
      <c r="BG73" s="241"/>
      <c r="BH73" s="241"/>
      <c r="BI73" s="241"/>
      <c r="BJ73" s="241"/>
      <c r="BK73" s="241"/>
      <c r="BL73" s="241"/>
      <c r="BM73" s="241"/>
      <c r="BN73" s="241"/>
      <c r="BO73" s="241"/>
      <c r="BP73" s="241"/>
      <c r="BQ73" s="241"/>
      <c r="BR73" s="241"/>
      <c r="BS73" s="241"/>
      <c r="BT73" s="241"/>
      <c r="BU73" s="241"/>
      <c r="BV73" s="241"/>
      <c r="BW73" s="241"/>
      <c r="BX73" s="241"/>
      <c r="BY73" s="241"/>
      <c r="BZ73" s="242"/>
      <c r="CA73" s="1"/>
      <c r="CB73" s="240" t="s">
        <v>105</v>
      </c>
      <c r="CC73" s="241"/>
      <c r="CD73" s="241"/>
      <c r="CE73" s="241"/>
      <c r="CF73" s="241"/>
      <c r="CG73" s="241"/>
      <c r="CH73" s="241"/>
      <c r="CI73" s="241"/>
      <c r="CJ73" s="241"/>
      <c r="CK73" s="241"/>
      <c r="CL73" s="241"/>
      <c r="CM73" s="241"/>
      <c r="CN73" s="241"/>
      <c r="CO73" s="241"/>
      <c r="CP73" s="241"/>
      <c r="CQ73" s="241"/>
      <c r="CR73" s="241"/>
      <c r="CS73" s="241"/>
      <c r="CT73" s="241"/>
      <c r="CU73" s="241"/>
      <c r="CV73" s="241"/>
      <c r="CW73" s="241"/>
      <c r="CX73" s="241"/>
      <c r="CY73" s="241"/>
      <c r="CZ73" s="241"/>
      <c r="DA73" s="241"/>
      <c r="DB73" s="241"/>
      <c r="DC73" s="241"/>
      <c r="DD73" s="241"/>
      <c r="DE73" s="241"/>
      <c r="DF73" s="241"/>
      <c r="DG73" s="241"/>
      <c r="DH73" s="241"/>
      <c r="DI73" s="241"/>
      <c r="DJ73" s="241"/>
      <c r="DK73" s="241"/>
      <c r="DL73" s="241"/>
      <c r="DM73" s="241"/>
      <c r="DN73" s="241"/>
      <c r="DO73" s="241"/>
      <c r="DP73" s="241"/>
      <c r="DQ73" s="241"/>
      <c r="DR73" s="241"/>
      <c r="DS73" s="241"/>
      <c r="DT73" s="241"/>
      <c r="DU73" s="241"/>
      <c r="DV73" s="241"/>
      <c r="DW73" s="241"/>
      <c r="DX73" s="241"/>
      <c r="DY73" s="241"/>
      <c r="DZ73" s="241"/>
      <c r="EA73" s="241"/>
      <c r="EB73" s="241"/>
      <c r="EC73" s="241"/>
      <c r="ED73" s="241"/>
      <c r="EE73" s="241"/>
      <c r="EF73" s="241"/>
      <c r="EG73" s="241"/>
      <c r="EH73" s="241"/>
      <c r="EI73" s="241"/>
      <c r="EJ73" s="241"/>
      <c r="EK73" s="241"/>
      <c r="EL73" s="241"/>
      <c r="EM73" s="241"/>
      <c r="EN73" s="241"/>
      <c r="EO73" s="241"/>
      <c r="EP73" s="241"/>
      <c r="EQ73" s="241"/>
      <c r="ER73" s="241"/>
      <c r="ES73" s="241"/>
      <c r="ET73" s="241"/>
      <c r="EU73" s="241"/>
      <c r="EV73" s="241"/>
      <c r="EW73" s="241"/>
      <c r="EX73" s="241"/>
      <c r="EY73" s="241"/>
      <c r="EZ73" s="242"/>
      <c r="FB73" s="151"/>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41">
        <v>0</v>
      </c>
      <c r="GU73" s="141"/>
      <c r="GV73" s="141"/>
      <c r="GW73" s="141"/>
      <c r="GX73" s="141"/>
      <c r="GY73" s="141"/>
      <c r="GZ73" s="141"/>
      <c r="HA73" s="141"/>
      <c r="HB73" s="142" t="str">
        <f>IFERROR(ROUND(Calculations!BV74*GT73,2),"")</f>
        <v/>
      </c>
      <c r="HC73" s="142"/>
      <c r="HD73" s="142"/>
      <c r="HE73" s="142"/>
      <c r="HF73" s="142"/>
      <c r="HG73" s="142"/>
      <c r="HH73" s="142"/>
      <c r="HI73" s="142"/>
      <c r="HJ73" s="142">
        <f>IFERROR(Calculations!BS74+IQ73+IX73,"")</f>
        <v>0</v>
      </c>
      <c r="HK73" s="142"/>
      <c r="HL73" s="142"/>
      <c r="HM73" s="142"/>
      <c r="HN73" s="142"/>
      <c r="HO73" s="142"/>
      <c r="HP73" s="142"/>
      <c r="HQ73" s="142"/>
      <c r="HR73" s="142" t="str">
        <f t="shared" si="9"/>
        <v/>
      </c>
      <c r="HS73" s="142"/>
      <c r="HT73" s="142"/>
      <c r="HU73" s="142"/>
      <c r="HV73" s="142"/>
      <c r="HW73" s="142"/>
      <c r="HX73" s="142"/>
      <c r="HY73" s="142"/>
      <c r="HZ73" s="142" t="str">
        <f>IFERROR(Calculations!BX74,"")</f>
        <v/>
      </c>
      <c r="IA73" s="142"/>
      <c r="IB73" s="142"/>
      <c r="IC73" s="142"/>
      <c r="ID73" s="142"/>
      <c r="IE73" s="142"/>
      <c r="IF73" s="142"/>
      <c r="IG73" s="142"/>
      <c r="IH73" s="142"/>
      <c r="II73" s="142"/>
      <c r="IJ73" s="142" t="str">
        <f>IFERROR(Calculations!BR74+IX73,"")</f>
        <v/>
      </c>
      <c r="IK73" s="142"/>
      <c r="IL73" s="142"/>
      <c r="IM73" s="142"/>
      <c r="IN73" s="142"/>
      <c r="IO73" s="142"/>
      <c r="IP73" s="142"/>
      <c r="IQ73" s="141">
        <v>0</v>
      </c>
      <c r="IR73" s="141"/>
      <c r="IS73" s="141"/>
      <c r="IT73" s="141"/>
      <c r="IU73" s="141"/>
      <c r="IV73" s="141"/>
      <c r="IW73" s="141"/>
      <c r="IX73" s="141">
        <v>0</v>
      </c>
      <c r="IY73" s="141"/>
      <c r="IZ73" s="141"/>
      <c r="JA73" s="141"/>
      <c r="JB73" s="141"/>
      <c r="JC73" s="141"/>
      <c r="JD73" s="141"/>
      <c r="JE73" s="141"/>
      <c r="JF73" s="142"/>
      <c r="JG73" s="142"/>
      <c r="JH73" s="142"/>
      <c r="JI73" s="142"/>
      <c r="JJ73" s="142"/>
      <c r="JK73" s="143" t="str">
        <f>Calculations!AS74</f>
        <v/>
      </c>
      <c r="JL73" s="143"/>
      <c r="JM73" s="143"/>
      <c r="JN73" s="143"/>
      <c r="JO73" s="143"/>
      <c r="JP73" s="143"/>
      <c r="JQ73" s="143"/>
      <c r="JR73" s="143"/>
      <c r="JS73" s="143"/>
      <c r="JT73" s="143"/>
      <c r="JU73" s="143"/>
      <c r="JV73" s="143"/>
      <c r="JW73" s="143"/>
      <c r="JX73" s="143"/>
      <c r="JY73" s="143"/>
      <c r="JZ73" s="143"/>
      <c r="KA73" s="143"/>
      <c r="KB73" s="143"/>
      <c r="KC73" s="143" t="str">
        <f>Calculations!AW74</f>
        <v/>
      </c>
      <c r="KD73" s="143"/>
      <c r="KE73" s="143"/>
      <c r="KF73" s="143"/>
      <c r="KG73" s="143"/>
      <c r="KH73" s="143"/>
      <c r="KI73" s="143"/>
      <c r="KJ73" s="143"/>
      <c r="KK73" s="143"/>
      <c r="KL73" s="143"/>
      <c r="KM73" s="143"/>
      <c r="KN73" s="143"/>
      <c r="KO73" s="143"/>
      <c r="KP73" s="143"/>
      <c r="KQ73" s="143"/>
      <c r="KR73" s="143"/>
      <c r="KS73" s="143"/>
      <c r="KT73" s="143"/>
      <c r="KU73" s="144"/>
      <c r="KV73" s="144"/>
      <c r="KW73" s="144"/>
      <c r="KX73" s="144"/>
      <c r="KY73" s="144"/>
      <c r="KZ73" s="144"/>
      <c r="LA73" s="144"/>
      <c r="LB73" s="144"/>
      <c r="LC73" s="144"/>
      <c r="LD73" s="144"/>
      <c r="LE73" s="144"/>
      <c r="LF73" s="144"/>
      <c r="LG73" s="144"/>
      <c r="LH73" s="144"/>
      <c r="LI73" s="144"/>
      <c r="LJ73" s="144"/>
      <c r="LK73" s="144"/>
      <c r="LL73" s="144"/>
      <c r="LM73" s="144"/>
      <c r="LN73" s="144"/>
      <c r="LO73" s="144"/>
      <c r="LP73" s="144"/>
      <c r="LQ73" s="144"/>
      <c r="LR73" s="144"/>
      <c r="LS73" s="144"/>
      <c r="LT73" s="144"/>
      <c r="LU73" s="144"/>
      <c r="LV73" s="144"/>
      <c r="LW73" s="144"/>
      <c r="LX73" s="144"/>
      <c r="LY73" s="144"/>
      <c r="LZ73" s="144"/>
      <c r="MA73" s="144"/>
      <c r="MB73" s="144"/>
      <c r="MC73" s="144"/>
      <c r="MD73" s="144"/>
      <c r="ME73" s="144"/>
      <c r="MF73" s="144"/>
      <c r="MG73" s="144"/>
      <c r="MH73" s="144"/>
      <c r="MI73" s="144"/>
      <c r="MJ73" s="144"/>
      <c r="MK73" s="144"/>
      <c r="ML73" s="144"/>
      <c r="MM73" s="144"/>
      <c r="MN73" s="144"/>
      <c r="MO73" s="144"/>
      <c r="MP73" s="144"/>
      <c r="MQ73" s="144"/>
      <c r="MR73" s="144"/>
      <c r="MS73" s="144"/>
      <c r="MT73" s="144"/>
      <c r="MU73" s="144"/>
      <c r="MV73" s="144"/>
      <c r="MW73" s="144"/>
      <c r="MX73" s="144"/>
      <c r="MY73" s="144"/>
      <c r="MZ73" s="145"/>
    </row>
    <row r="74" spans="2:364 1682:1774" ht="15" customHeight="1" x14ac:dyDescent="0.25">
      <c r="B74" s="190" t="s">
        <v>90</v>
      </c>
      <c r="C74" s="191"/>
      <c r="D74" s="191"/>
      <c r="E74" s="191"/>
      <c r="F74" s="191"/>
      <c r="G74" s="191"/>
      <c r="H74" s="191"/>
      <c r="I74" s="191"/>
      <c r="J74" s="191"/>
      <c r="K74" s="191"/>
      <c r="L74" s="131">
        <f>Qu*3+Skills!$S$348+L76+L77</f>
        <v>-1</v>
      </c>
      <c r="M74" s="131"/>
      <c r="N74" s="131"/>
      <c r="O74" s="131"/>
      <c r="P74" s="131"/>
      <c r="Q74" s="131"/>
      <c r="R74" s="131"/>
      <c r="S74" s="131"/>
      <c r="T74" s="131"/>
      <c r="U74" s="191" t="s">
        <v>93</v>
      </c>
      <c r="V74" s="191"/>
      <c r="W74" s="191"/>
      <c r="X74" s="191"/>
      <c r="Y74" s="191"/>
      <c r="Z74" s="191"/>
      <c r="AA74" s="191"/>
      <c r="AB74" s="191"/>
      <c r="AC74" s="191"/>
      <c r="AD74" s="191"/>
      <c r="AE74" s="191"/>
      <c r="AF74" s="191"/>
      <c r="AG74" s="191"/>
      <c r="AH74" s="254" t="str">
        <f>IF(J71="No Shield","- -",L74+DA71)</f>
        <v>- -</v>
      </c>
      <c r="AI74" s="131"/>
      <c r="AJ74" s="131"/>
      <c r="AK74" s="131"/>
      <c r="AL74" s="131"/>
      <c r="AM74" s="131"/>
      <c r="AN74" s="131"/>
      <c r="AO74" s="131"/>
      <c r="AP74" s="131"/>
      <c r="AQ74" s="199" t="s">
        <v>97</v>
      </c>
      <c r="AR74" s="199"/>
      <c r="AS74" s="199"/>
      <c r="AT74" s="199"/>
      <c r="AU74" s="199"/>
      <c r="AV74" s="199"/>
      <c r="AW74" s="199"/>
      <c r="AX74" s="199"/>
      <c r="AY74" s="199"/>
      <c r="AZ74" s="199"/>
      <c r="BA74" s="199"/>
      <c r="BB74" s="199"/>
      <c r="BC74" s="199"/>
      <c r="BD74" s="199"/>
      <c r="BE74" s="199"/>
      <c r="BF74" s="199"/>
      <c r="BG74" s="251" t="s">
        <v>101</v>
      </c>
      <c r="BH74" s="251"/>
      <c r="BI74" s="251"/>
      <c r="BJ74" s="251"/>
      <c r="BK74" s="251"/>
      <c r="BL74" s="251"/>
      <c r="BM74" s="251"/>
      <c r="BN74" s="251"/>
      <c r="BO74" s="251"/>
      <c r="BP74" s="251"/>
      <c r="BQ74" s="251"/>
      <c r="BR74" s="131">
        <f ca="1">MIN(-75+Skills!$AF$66,0)</f>
        <v>-75</v>
      </c>
      <c r="BS74" s="131"/>
      <c r="BT74" s="131"/>
      <c r="BU74" s="131"/>
      <c r="BV74" s="131"/>
      <c r="BW74" s="131"/>
      <c r="BX74" s="131"/>
      <c r="BY74" s="131"/>
      <c r="BZ74" s="239"/>
      <c r="CB74" s="246" t="s">
        <v>106</v>
      </c>
      <c r="CC74" s="247"/>
      <c r="CD74" s="247"/>
      <c r="CE74" s="247"/>
      <c r="CF74" s="247"/>
      <c r="CG74" s="247"/>
      <c r="CH74" s="247"/>
      <c r="CI74" s="247"/>
      <c r="CJ74" s="247"/>
      <c r="CK74" s="247"/>
      <c r="CL74" s="247"/>
      <c r="CM74" s="247"/>
      <c r="CN74" s="247"/>
      <c r="CO74" s="247"/>
      <c r="CP74" s="247"/>
      <c r="CQ74" s="247"/>
      <c r="CR74" s="247"/>
      <c r="CS74" s="247"/>
      <c r="CT74" s="247"/>
      <c r="CU74" s="247"/>
      <c r="CV74" s="247"/>
      <c r="CW74" s="247"/>
      <c r="CX74" s="247"/>
      <c r="CY74" s="247"/>
      <c r="CZ74" s="247"/>
      <c r="DA74" s="247"/>
      <c r="DB74" s="247"/>
      <c r="DC74" s="247"/>
      <c r="DD74" s="247"/>
      <c r="DE74" s="259" t="s">
        <v>37</v>
      </c>
      <c r="DF74" s="259"/>
      <c r="DG74" s="259"/>
      <c r="DH74" s="259"/>
      <c r="DI74" s="259"/>
      <c r="DJ74" s="259"/>
      <c r="DK74" s="259"/>
      <c r="DL74" s="259"/>
      <c r="DM74" s="259"/>
      <c r="DN74" s="118"/>
      <c r="DO74" s="247" t="s">
        <v>106</v>
      </c>
      <c r="DP74" s="247"/>
      <c r="DQ74" s="247"/>
      <c r="DR74" s="247"/>
      <c r="DS74" s="247"/>
      <c r="DT74" s="247"/>
      <c r="DU74" s="247"/>
      <c r="DV74" s="247"/>
      <c r="DW74" s="247"/>
      <c r="DX74" s="247"/>
      <c r="DY74" s="247"/>
      <c r="DZ74" s="247"/>
      <c r="EA74" s="247"/>
      <c r="EB74" s="247"/>
      <c r="EC74" s="247"/>
      <c r="ED74" s="247"/>
      <c r="EE74" s="247"/>
      <c r="EF74" s="247"/>
      <c r="EG74" s="247"/>
      <c r="EH74" s="247"/>
      <c r="EI74" s="247"/>
      <c r="EJ74" s="247"/>
      <c r="EK74" s="247"/>
      <c r="EL74" s="247"/>
      <c r="EM74" s="247"/>
      <c r="EN74" s="247"/>
      <c r="EO74" s="247"/>
      <c r="EP74" s="247"/>
      <c r="EQ74" s="247"/>
      <c r="ER74" s="259" t="s">
        <v>37</v>
      </c>
      <c r="ES74" s="259"/>
      <c r="ET74" s="259"/>
      <c r="EU74" s="259"/>
      <c r="EV74" s="259"/>
      <c r="EW74" s="259"/>
      <c r="EX74" s="259"/>
      <c r="EY74" s="259"/>
      <c r="EZ74" s="308"/>
      <c r="FB74" s="151"/>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41">
        <v>0</v>
      </c>
      <c r="GU74" s="141"/>
      <c r="GV74" s="141"/>
      <c r="GW74" s="141"/>
      <c r="GX74" s="141"/>
      <c r="GY74" s="141"/>
      <c r="GZ74" s="141"/>
      <c r="HA74" s="141"/>
      <c r="HB74" s="142" t="str">
        <f>IFERROR(ROUND(Calculations!BV75*GT74,2),"")</f>
        <v/>
      </c>
      <c r="HC74" s="142"/>
      <c r="HD74" s="142"/>
      <c r="HE74" s="142"/>
      <c r="HF74" s="142"/>
      <c r="HG74" s="142"/>
      <c r="HH74" s="142"/>
      <c r="HI74" s="142"/>
      <c r="HJ74" s="142">
        <f>IFERROR(Calculations!BS75+IQ74+IX74,"")</f>
        <v>0</v>
      </c>
      <c r="HK74" s="142"/>
      <c r="HL74" s="142"/>
      <c r="HM74" s="142"/>
      <c r="HN74" s="142"/>
      <c r="HO74" s="142"/>
      <c r="HP74" s="142"/>
      <c r="HQ74" s="142"/>
      <c r="HR74" s="142" t="str">
        <f t="shared" si="9"/>
        <v/>
      </c>
      <c r="HS74" s="142"/>
      <c r="HT74" s="142"/>
      <c r="HU74" s="142"/>
      <c r="HV74" s="142"/>
      <c r="HW74" s="142"/>
      <c r="HX74" s="142"/>
      <c r="HY74" s="142"/>
      <c r="HZ74" s="142" t="str">
        <f>IFERROR(Calculations!BX75,"")</f>
        <v/>
      </c>
      <c r="IA74" s="142"/>
      <c r="IB74" s="142"/>
      <c r="IC74" s="142"/>
      <c r="ID74" s="142"/>
      <c r="IE74" s="142"/>
      <c r="IF74" s="142"/>
      <c r="IG74" s="142"/>
      <c r="IH74" s="142"/>
      <c r="II74" s="142"/>
      <c r="IJ74" s="142" t="str">
        <f>IFERROR(Calculations!BR75+IX74,"")</f>
        <v/>
      </c>
      <c r="IK74" s="142"/>
      <c r="IL74" s="142"/>
      <c r="IM74" s="142"/>
      <c r="IN74" s="142"/>
      <c r="IO74" s="142"/>
      <c r="IP74" s="142"/>
      <c r="IQ74" s="141">
        <v>0</v>
      </c>
      <c r="IR74" s="141"/>
      <c r="IS74" s="141"/>
      <c r="IT74" s="141"/>
      <c r="IU74" s="141"/>
      <c r="IV74" s="141"/>
      <c r="IW74" s="141"/>
      <c r="IX74" s="141">
        <v>0</v>
      </c>
      <c r="IY74" s="141"/>
      <c r="IZ74" s="141"/>
      <c r="JA74" s="141"/>
      <c r="JB74" s="141"/>
      <c r="JC74" s="141"/>
      <c r="JD74" s="141"/>
      <c r="JE74" s="141"/>
      <c r="JF74" s="142"/>
      <c r="JG74" s="142"/>
      <c r="JH74" s="142"/>
      <c r="JI74" s="142"/>
      <c r="JJ74" s="142"/>
      <c r="JK74" s="143" t="str">
        <f>Calculations!AS75</f>
        <v/>
      </c>
      <c r="JL74" s="143"/>
      <c r="JM74" s="143"/>
      <c r="JN74" s="143"/>
      <c r="JO74" s="143"/>
      <c r="JP74" s="143"/>
      <c r="JQ74" s="143"/>
      <c r="JR74" s="143"/>
      <c r="JS74" s="143"/>
      <c r="JT74" s="143"/>
      <c r="JU74" s="143"/>
      <c r="JV74" s="143"/>
      <c r="JW74" s="143"/>
      <c r="JX74" s="143"/>
      <c r="JY74" s="143"/>
      <c r="JZ74" s="143"/>
      <c r="KA74" s="143"/>
      <c r="KB74" s="143"/>
      <c r="KC74" s="143" t="str">
        <f>Calculations!AW75</f>
        <v/>
      </c>
      <c r="KD74" s="143"/>
      <c r="KE74" s="143"/>
      <c r="KF74" s="143"/>
      <c r="KG74" s="143"/>
      <c r="KH74" s="143"/>
      <c r="KI74" s="143"/>
      <c r="KJ74" s="143"/>
      <c r="KK74" s="143"/>
      <c r="KL74" s="143"/>
      <c r="KM74" s="143"/>
      <c r="KN74" s="143"/>
      <c r="KO74" s="143"/>
      <c r="KP74" s="143"/>
      <c r="KQ74" s="143"/>
      <c r="KR74" s="143"/>
      <c r="KS74" s="143"/>
      <c r="KT74" s="143"/>
      <c r="KU74" s="144"/>
      <c r="KV74" s="144"/>
      <c r="KW74" s="144"/>
      <c r="KX74" s="144"/>
      <c r="KY74" s="144"/>
      <c r="KZ74" s="144"/>
      <c r="LA74" s="144"/>
      <c r="LB74" s="144"/>
      <c r="LC74" s="144"/>
      <c r="LD74" s="144"/>
      <c r="LE74" s="144"/>
      <c r="LF74" s="144"/>
      <c r="LG74" s="144"/>
      <c r="LH74" s="144"/>
      <c r="LI74" s="144"/>
      <c r="LJ74" s="144"/>
      <c r="LK74" s="144"/>
      <c r="LL74" s="144"/>
      <c r="LM74" s="144"/>
      <c r="LN74" s="144"/>
      <c r="LO74" s="144"/>
      <c r="LP74" s="144"/>
      <c r="LQ74" s="144"/>
      <c r="LR74" s="144"/>
      <c r="LS74" s="144"/>
      <c r="LT74" s="144"/>
      <c r="LU74" s="144"/>
      <c r="LV74" s="144"/>
      <c r="LW74" s="144"/>
      <c r="LX74" s="144"/>
      <c r="LY74" s="144"/>
      <c r="LZ74" s="144"/>
      <c r="MA74" s="144"/>
      <c r="MB74" s="144"/>
      <c r="MC74" s="144"/>
      <c r="MD74" s="144"/>
      <c r="ME74" s="144"/>
      <c r="MF74" s="144"/>
      <c r="MG74" s="144"/>
      <c r="MH74" s="144"/>
      <c r="MI74" s="144"/>
      <c r="MJ74" s="144"/>
      <c r="MK74" s="144"/>
      <c r="ML74" s="144"/>
      <c r="MM74" s="144"/>
      <c r="MN74" s="144"/>
      <c r="MO74" s="144"/>
      <c r="MP74" s="144"/>
      <c r="MQ74" s="144"/>
      <c r="MR74" s="144"/>
      <c r="MS74" s="144"/>
      <c r="MT74" s="144"/>
      <c r="MU74" s="144"/>
      <c r="MV74" s="144"/>
      <c r="MW74" s="144"/>
      <c r="MX74" s="144"/>
      <c r="MY74" s="144"/>
      <c r="MZ74" s="145"/>
      <c r="BLR74" s="144" t="s">
        <v>358</v>
      </c>
      <c r="BLS74" s="144"/>
      <c r="BLT74" s="144"/>
      <c r="BLU74" s="144"/>
      <c r="BLV74" s="144"/>
      <c r="BLW74" s="144"/>
      <c r="BLX74" s="144"/>
      <c r="BLY74" s="144"/>
      <c r="BLZ74" s="144"/>
      <c r="BMA74" s="144"/>
      <c r="BMB74" s="144"/>
      <c r="BMC74" s="144"/>
      <c r="BMD74" s="144"/>
      <c r="BME74" s="144"/>
      <c r="BMF74" s="144"/>
      <c r="BMG74" s="144"/>
      <c r="BMH74" s="144"/>
      <c r="BMI74" s="144"/>
      <c r="BMJ74" s="144"/>
      <c r="BMK74" s="144"/>
      <c r="BML74" s="144"/>
      <c r="BMM74" s="144"/>
      <c r="BMN74" s="144"/>
      <c r="BMO74" s="144"/>
      <c r="BMP74" s="144"/>
      <c r="BMQ74" s="144"/>
      <c r="BMR74" s="144"/>
      <c r="BMS74" s="144"/>
      <c r="BMT74" s="144"/>
      <c r="BMU74" s="144"/>
      <c r="BMV74" s="144"/>
      <c r="BMW74" s="144"/>
      <c r="BMX74" s="144"/>
      <c r="BMY74" s="144"/>
      <c r="BMZ74" s="144"/>
      <c r="BNA74" s="144"/>
      <c r="BNB74" s="144"/>
      <c r="BNC74" s="144"/>
      <c r="BND74" s="144"/>
      <c r="BNE74" s="144"/>
      <c r="BNF74" s="144"/>
      <c r="BNG74" s="144"/>
      <c r="BNH74" s="144"/>
      <c r="BNI74" s="144"/>
      <c r="BNJ74" s="144"/>
      <c r="BNK74" s="144"/>
      <c r="BNL74" s="144"/>
      <c r="BNM74" s="144"/>
      <c r="BNN74" s="144"/>
      <c r="BNO74" s="144"/>
      <c r="BNP74" s="144"/>
      <c r="BNQ74" s="144"/>
      <c r="BNR74" s="144"/>
      <c r="BNS74" s="144"/>
      <c r="BNT74" s="144"/>
      <c r="BNU74" s="144"/>
      <c r="BNV74" s="144"/>
      <c r="BNW74" s="144"/>
      <c r="BNX74" s="144"/>
      <c r="BNY74" s="144"/>
      <c r="BNZ74" s="144"/>
      <c r="BOA74" s="144"/>
      <c r="BOB74" s="144"/>
      <c r="BOC74" s="144"/>
      <c r="BOD74" s="144"/>
      <c r="BOE74" s="144"/>
      <c r="BOF74" s="144"/>
      <c r="BOG74" s="144"/>
      <c r="BOH74" s="144"/>
      <c r="BOI74" s="144"/>
      <c r="BOJ74" s="144"/>
      <c r="BOK74" s="144"/>
      <c r="BOL74" s="144"/>
      <c r="BOM74" s="144"/>
      <c r="BON74" s="144"/>
      <c r="BOO74" s="144"/>
      <c r="BOP74" s="144"/>
      <c r="BOQ74" s="144"/>
      <c r="BOR74" s="144"/>
      <c r="BOS74" s="144"/>
      <c r="BOT74" s="144"/>
      <c r="BOU74" s="144"/>
      <c r="BOV74" s="144"/>
      <c r="BOW74" s="144"/>
      <c r="BOX74" s="144"/>
      <c r="BOY74" s="144"/>
      <c r="BOZ74" s="144"/>
      <c r="BPA74" s="144"/>
      <c r="BPB74" s="144"/>
      <c r="BPC74" s="144"/>
      <c r="BPD74" s="144"/>
      <c r="BPE74" s="144"/>
      <c r="BPF74" s="144"/>
    </row>
    <row r="75" spans="2:364 1682:1774" ht="15" customHeight="1" x14ac:dyDescent="0.25">
      <c r="B75" s="188" t="s">
        <v>82</v>
      </c>
      <c r="C75" s="189"/>
      <c r="D75" s="189"/>
      <c r="E75" s="189"/>
      <c r="F75" s="189"/>
      <c r="G75" s="189"/>
      <c r="H75" s="189"/>
      <c r="I75" s="189"/>
      <c r="J75" s="189"/>
      <c r="K75" s="189"/>
      <c r="L75" s="256" t="str">
        <f>IF(J71="No Shield","- -",L74+CS71)</f>
        <v>- -</v>
      </c>
      <c r="M75" s="257"/>
      <c r="N75" s="257"/>
      <c r="O75" s="257"/>
      <c r="P75" s="257"/>
      <c r="Q75" s="257"/>
      <c r="R75" s="257"/>
      <c r="S75" s="257"/>
      <c r="T75" s="257"/>
      <c r="U75" s="189" t="s">
        <v>94</v>
      </c>
      <c r="V75" s="189"/>
      <c r="W75" s="189"/>
      <c r="X75" s="189"/>
      <c r="Y75" s="189"/>
      <c r="Z75" s="189"/>
      <c r="AA75" s="189"/>
      <c r="AB75" s="189"/>
      <c r="AC75" s="189"/>
      <c r="AD75" s="189"/>
      <c r="AE75" s="189"/>
      <c r="AF75" s="189"/>
      <c r="AG75" s="189"/>
      <c r="AH75" s="255" t="str">
        <f>IF(J71="No Shield","- -",L74+DI71)</f>
        <v>- -</v>
      </c>
      <c r="AI75" s="130"/>
      <c r="AJ75" s="130"/>
      <c r="AK75" s="130"/>
      <c r="AL75" s="130"/>
      <c r="AM75" s="130"/>
      <c r="AN75" s="130"/>
      <c r="AO75" s="130"/>
      <c r="AP75" s="130"/>
      <c r="AQ75" s="189" t="s">
        <v>98</v>
      </c>
      <c r="AR75" s="189"/>
      <c r="AS75" s="189"/>
      <c r="AT75" s="189"/>
      <c r="AU75" s="189"/>
      <c r="AV75" s="189"/>
      <c r="AW75" s="189"/>
      <c r="AX75" s="189"/>
      <c r="AY75" s="130">
        <f>$L$74+10</f>
        <v>9</v>
      </c>
      <c r="AZ75" s="130"/>
      <c r="BA75" s="130"/>
      <c r="BB75" s="130"/>
      <c r="BC75" s="130"/>
      <c r="BD75" s="130"/>
      <c r="BE75" s="130"/>
      <c r="BF75" s="130"/>
      <c r="BG75" s="252" t="s">
        <v>102</v>
      </c>
      <c r="BH75" s="252"/>
      <c r="BI75" s="252"/>
      <c r="BJ75" s="252"/>
      <c r="BK75" s="252"/>
      <c r="BL75" s="252"/>
      <c r="BM75" s="252"/>
      <c r="BN75" s="252"/>
      <c r="BO75" s="252"/>
      <c r="BP75" s="252"/>
      <c r="BQ75" s="252"/>
      <c r="BR75" s="130">
        <f ca="1">MIN(-100+Skills!$AF$66,0)</f>
        <v>-100</v>
      </c>
      <c r="BS75" s="130"/>
      <c r="BT75" s="130"/>
      <c r="BU75" s="130"/>
      <c r="BV75" s="130"/>
      <c r="BW75" s="130"/>
      <c r="BX75" s="130"/>
      <c r="BY75" s="130"/>
      <c r="BZ75" s="238"/>
      <c r="CB75" s="133" t="str">
        <f ca="1">Calculations!AN2</f>
        <v/>
      </c>
      <c r="CC75" s="134"/>
      <c r="CD75" s="134"/>
      <c r="CE75" s="134"/>
      <c r="CF75" s="134"/>
      <c r="CG75" s="134"/>
      <c r="CH75" s="134"/>
      <c r="CI75" s="134"/>
      <c r="CJ75" s="134"/>
      <c r="CK75" s="134"/>
      <c r="CL75" s="134"/>
      <c r="CM75" s="134"/>
      <c r="CN75" s="134"/>
      <c r="CO75" s="134"/>
      <c r="CP75" s="134"/>
      <c r="CQ75" s="134"/>
      <c r="CR75" s="134"/>
      <c r="CS75" s="134"/>
      <c r="CT75" s="134"/>
      <c r="CU75" s="134"/>
      <c r="CV75" s="134"/>
      <c r="CW75" s="134"/>
      <c r="CX75" s="134"/>
      <c r="CY75" s="134"/>
      <c r="CZ75" s="134"/>
      <c r="DA75" s="134"/>
      <c r="DB75" s="134"/>
      <c r="DC75" s="134"/>
      <c r="DD75" s="134"/>
      <c r="DE75" s="130" t="str">
        <f ca="1">Calculations!AO2</f>
        <v/>
      </c>
      <c r="DF75" s="130"/>
      <c r="DG75" s="130"/>
      <c r="DH75" s="130"/>
      <c r="DI75" s="130"/>
      <c r="DJ75" s="130"/>
      <c r="DK75" s="130"/>
      <c r="DL75" s="130"/>
      <c r="DM75" s="130"/>
      <c r="DN75" s="117"/>
      <c r="DO75" s="134" t="str">
        <f ca="1">Calculations!AN3</f>
        <v/>
      </c>
      <c r="DP75" s="134"/>
      <c r="DQ75" s="134"/>
      <c r="DR75" s="134"/>
      <c r="DS75" s="134"/>
      <c r="DT75" s="134"/>
      <c r="DU75" s="134"/>
      <c r="DV75" s="134"/>
      <c r="DW75" s="134"/>
      <c r="DX75" s="134"/>
      <c r="DY75" s="134"/>
      <c r="DZ75" s="134"/>
      <c r="EA75" s="134"/>
      <c r="EB75" s="134"/>
      <c r="EC75" s="134"/>
      <c r="ED75" s="134"/>
      <c r="EE75" s="134"/>
      <c r="EF75" s="134"/>
      <c r="EG75" s="134"/>
      <c r="EH75" s="134"/>
      <c r="EI75" s="134"/>
      <c r="EJ75" s="134"/>
      <c r="EK75" s="134"/>
      <c r="EL75" s="134"/>
      <c r="EM75" s="134"/>
      <c r="EN75" s="134"/>
      <c r="EO75" s="134"/>
      <c r="EP75" s="134"/>
      <c r="EQ75" s="134"/>
      <c r="ER75" s="130" t="str">
        <f ca="1">Calculations!AO3</f>
        <v/>
      </c>
      <c r="ES75" s="130"/>
      <c r="ET75" s="130"/>
      <c r="EU75" s="130"/>
      <c r="EV75" s="130"/>
      <c r="EW75" s="130"/>
      <c r="EX75" s="130"/>
      <c r="EY75" s="130"/>
      <c r="EZ75" s="238"/>
      <c r="FB75" s="151"/>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41">
        <v>0</v>
      </c>
      <c r="GU75" s="141"/>
      <c r="GV75" s="141"/>
      <c r="GW75" s="141"/>
      <c r="GX75" s="141"/>
      <c r="GY75" s="141"/>
      <c r="GZ75" s="141"/>
      <c r="HA75" s="141"/>
      <c r="HB75" s="142" t="str">
        <f>IFERROR(ROUND(Calculations!BV76*GT75,2),"")</f>
        <v/>
      </c>
      <c r="HC75" s="142"/>
      <c r="HD75" s="142"/>
      <c r="HE75" s="142"/>
      <c r="HF75" s="142"/>
      <c r="HG75" s="142"/>
      <c r="HH75" s="142"/>
      <c r="HI75" s="142"/>
      <c r="HJ75" s="142">
        <f>IFERROR(Calculations!BS76+IQ75+IX75,"")</f>
        <v>0</v>
      </c>
      <c r="HK75" s="142"/>
      <c r="HL75" s="142"/>
      <c r="HM75" s="142"/>
      <c r="HN75" s="142"/>
      <c r="HO75" s="142"/>
      <c r="HP75" s="142"/>
      <c r="HQ75" s="142"/>
      <c r="HR75" s="142" t="str">
        <f t="shared" si="9"/>
        <v/>
      </c>
      <c r="HS75" s="142"/>
      <c r="HT75" s="142"/>
      <c r="HU75" s="142"/>
      <c r="HV75" s="142"/>
      <c r="HW75" s="142"/>
      <c r="HX75" s="142"/>
      <c r="HY75" s="142"/>
      <c r="HZ75" s="142" t="str">
        <f>IFERROR(Calculations!BX76,"")</f>
        <v/>
      </c>
      <c r="IA75" s="142"/>
      <c r="IB75" s="142"/>
      <c r="IC75" s="142"/>
      <c r="ID75" s="142"/>
      <c r="IE75" s="142"/>
      <c r="IF75" s="142"/>
      <c r="IG75" s="142"/>
      <c r="IH75" s="142"/>
      <c r="II75" s="142"/>
      <c r="IJ75" s="142" t="str">
        <f>IFERROR(Calculations!BR76+IX75,"")</f>
        <v/>
      </c>
      <c r="IK75" s="142"/>
      <c r="IL75" s="142"/>
      <c r="IM75" s="142"/>
      <c r="IN75" s="142"/>
      <c r="IO75" s="142"/>
      <c r="IP75" s="142"/>
      <c r="IQ75" s="141">
        <v>0</v>
      </c>
      <c r="IR75" s="141"/>
      <c r="IS75" s="141"/>
      <c r="IT75" s="141"/>
      <c r="IU75" s="141"/>
      <c r="IV75" s="141"/>
      <c r="IW75" s="141"/>
      <c r="IX75" s="141">
        <v>0</v>
      </c>
      <c r="IY75" s="141"/>
      <c r="IZ75" s="141"/>
      <c r="JA75" s="141"/>
      <c r="JB75" s="141"/>
      <c r="JC75" s="141"/>
      <c r="JD75" s="141"/>
      <c r="JE75" s="141"/>
      <c r="JF75" s="142"/>
      <c r="JG75" s="142"/>
      <c r="JH75" s="142"/>
      <c r="JI75" s="142"/>
      <c r="JJ75" s="142"/>
      <c r="JK75" s="143" t="str">
        <f>Calculations!AS76</f>
        <v/>
      </c>
      <c r="JL75" s="143"/>
      <c r="JM75" s="143"/>
      <c r="JN75" s="143"/>
      <c r="JO75" s="143"/>
      <c r="JP75" s="143"/>
      <c r="JQ75" s="143"/>
      <c r="JR75" s="143"/>
      <c r="JS75" s="143"/>
      <c r="JT75" s="143"/>
      <c r="JU75" s="143"/>
      <c r="JV75" s="143"/>
      <c r="JW75" s="143"/>
      <c r="JX75" s="143"/>
      <c r="JY75" s="143"/>
      <c r="JZ75" s="143"/>
      <c r="KA75" s="143"/>
      <c r="KB75" s="143"/>
      <c r="KC75" s="143" t="str">
        <f>Calculations!AW76</f>
        <v/>
      </c>
      <c r="KD75" s="143"/>
      <c r="KE75" s="143"/>
      <c r="KF75" s="143"/>
      <c r="KG75" s="143"/>
      <c r="KH75" s="143"/>
      <c r="KI75" s="143"/>
      <c r="KJ75" s="143"/>
      <c r="KK75" s="143"/>
      <c r="KL75" s="143"/>
      <c r="KM75" s="143"/>
      <c r="KN75" s="143"/>
      <c r="KO75" s="143"/>
      <c r="KP75" s="143"/>
      <c r="KQ75" s="143"/>
      <c r="KR75" s="143"/>
      <c r="KS75" s="143"/>
      <c r="KT75" s="143"/>
      <c r="KU75" s="144"/>
      <c r="KV75" s="144"/>
      <c r="KW75" s="144"/>
      <c r="KX75" s="144"/>
      <c r="KY75" s="144"/>
      <c r="KZ75" s="144"/>
      <c r="LA75" s="144"/>
      <c r="LB75" s="144"/>
      <c r="LC75" s="144"/>
      <c r="LD75" s="144"/>
      <c r="LE75" s="144"/>
      <c r="LF75" s="144"/>
      <c r="LG75" s="144"/>
      <c r="LH75" s="144"/>
      <c r="LI75" s="144"/>
      <c r="LJ75" s="144"/>
      <c r="LK75" s="144"/>
      <c r="LL75" s="144"/>
      <c r="LM75" s="144"/>
      <c r="LN75" s="144"/>
      <c r="LO75" s="144"/>
      <c r="LP75" s="144"/>
      <c r="LQ75" s="144"/>
      <c r="LR75" s="144"/>
      <c r="LS75" s="144"/>
      <c r="LT75" s="144"/>
      <c r="LU75" s="144"/>
      <c r="LV75" s="144"/>
      <c r="LW75" s="144"/>
      <c r="LX75" s="144"/>
      <c r="LY75" s="144"/>
      <c r="LZ75" s="144"/>
      <c r="MA75" s="144"/>
      <c r="MB75" s="144"/>
      <c r="MC75" s="144"/>
      <c r="MD75" s="144"/>
      <c r="ME75" s="144"/>
      <c r="MF75" s="144"/>
      <c r="MG75" s="144"/>
      <c r="MH75" s="144"/>
      <c r="MI75" s="144"/>
      <c r="MJ75" s="144"/>
      <c r="MK75" s="144"/>
      <c r="ML75" s="144"/>
      <c r="MM75" s="144"/>
      <c r="MN75" s="144"/>
      <c r="MO75" s="144"/>
      <c r="MP75" s="144"/>
      <c r="MQ75" s="144"/>
      <c r="MR75" s="144"/>
      <c r="MS75" s="144"/>
      <c r="MT75" s="144"/>
      <c r="MU75" s="144"/>
      <c r="MV75" s="144"/>
      <c r="MW75" s="144"/>
      <c r="MX75" s="144"/>
      <c r="MY75" s="144"/>
      <c r="MZ75" s="145"/>
      <c r="BLR75" s="144" t="s">
        <v>147</v>
      </c>
      <c r="BLS75" s="144"/>
      <c r="BLT75" s="144"/>
      <c r="BLU75" s="144"/>
      <c r="BLV75" s="144"/>
      <c r="BLW75" s="144"/>
      <c r="BLX75" s="144"/>
      <c r="BLY75" s="144"/>
      <c r="BLZ75" s="144"/>
      <c r="BMA75" s="144"/>
      <c r="BMB75" s="144"/>
      <c r="BMC75" s="144"/>
      <c r="BMD75" s="144"/>
      <c r="BME75" s="144"/>
      <c r="BMF75" s="144"/>
      <c r="BMG75" s="144"/>
      <c r="BMH75" s="144"/>
      <c r="BMI75" s="144"/>
      <c r="BMJ75" s="144"/>
      <c r="BMK75" s="144"/>
      <c r="BML75" s="144"/>
      <c r="BMM75" s="144"/>
      <c r="BMN75" s="144"/>
      <c r="BMO75" s="144"/>
      <c r="BMP75" s="144"/>
      <c r="BMQ75" s="144"/>
      <c r="BMR75" s="144"/>
      <c r="BMS75" s="144"/>
      <c r="BMT75" s="144"/>
      <c r="BMU75" s="144"/>
      <c r="BMV75" s="144"/>
      <c r="BMW75" s="129" t="s">
        <v>133</v>
      </c>
      <c r="BMX75" s="129"/>
      <c r="BMY75" s="129"/>
      <c r="BMZ75" s="129"/>
      <c r="BNA75" s="129" t="s">
        <v>148</v>
      </c>
      <c r="BNB75" s="129"/>
      <c r="BNC75" s="129"/>
      <c r="BND75" s="129"/>
      <c r="BNE75" s="129"/>
      <c r="BNF75" s="129" t="s">
        <v>83</v>
      </c>
      <c r="BNG75" s="129"/>
      <c r="BNH75" s="129"/>
      <c r="BNI75" s="129"/>
      <c r="BNJ75" s="129"/>
      <c r="BNK75" s="129"/>
      <c r="BNL75" s="129" t="s">
        <v>37</v>
      </c>
      <c r="BNM75" s="129"/>
      <c r="BNN75" s="129"/>
      <c r="BNO75" s="129"/>
      <c r="BNP75" s="129"/>
      <c r="BNQ75" s="129"/>
      <c r="BNR75" s="129" t="s">
        <v>49</v>
      </c>
      <c r="BNS75" s="129"/>
      <c r="BNT75" s="129"/>
      <c r="BNU75" s="129"/>
      <c r="BNV75" s="129"/>
      <c r="BNW75" s="129"/>
      <c r="BNX75" s="129" t="s">
        <v>149</v>
      </c>
      <c r="BNY75" s="129"/>
      <c r="BNZ75" s="129"/>
      <c r="BOA75" s="129"/>
      <c r="BOB75" s="129"/>
      <c r="BOC75" s="129"/>
      <c r="BOD75" s="129"/>
      <c r="BOE75" s="129" t="s">
        <v>150</v>
      </c>
      <c r="BOF75" s="129"/>
      <c r="BOG75" s="129"/>
      <c r="BOH75" s="129"/>
      <c r="BOI75" s="129"/>
      <c r="BOJ75" s="129"/>
      <c r="BOK75" s="129"/>
      <c r="BOL75" s="129" t="s">
        <v>151</v>
      </c>
      <c r="BOM75" s="129"/>
      <c r="BON75" s="129"/>
      <c r="BOO75" s="129"/>
      <c r="BOP75" s="129"/>
      <c r="BOQ75" s="129"/>
      <c r="BOR75" s="129"/>
      <c r="BOS75" s="129" t="s">
        <v>37</v>
      </c>
      <c r="BOT75" s="129"/>
      <c r="BOU75" s="129"/>
      <c r="BOV75" s="129"/>
      <c r="BOW75" s="129"/>
      <c r="BOX75" s="129"/>
      <c r="BOY75" s="129"/>
      <c r="BOZ75" s="129" t="s">
        <v>40</v>
      </c>
      <c r="BPA75" s="129"/>
      <c r="BPB75" s="129"/>
      <c r="BPC75" s="129"/>
      <c r="BPD75" s="129"/>
      <c r="BPE75" s="129"/>
      <c r="BPF75" s="129"/>
    </row>
    <row r="76" spans="2:364 1682:1774" ht="15" customHeight="1" x14ac:dyDescent="0.25">
      <c r="B76" s="190" t="s">
        <v>91</v>
      </c>
      <c r="C76" s="191"/>
      <c r="D76" s="191"/>
      <c r="E76" s="191"/>
      <c r="F76" s="191"/>
      <c r="G76" s="191"/>
      <c r="H76" s="191"/>
      <c r="I76" s="191"/>
      <c r="J76" s="191"/>
      <c r="K76" s="191"/>
      <c r="L76" s="258">
        <v>0</v>
      </c>
      <c r="M76" s="194"/>
      <c r="N76" s="194"/>
      <c r="O76" s="194"/>
      <c r="P76" s="194"/>
      <c r="Q76" s="194"/>
      <c r="R76" s="194"/>
      <c r="S76" s="194"/>
      <c r="T76" s="194"/>
      <c r="U76" s="191" t="s">
        <v>95</v>
      </c>
      <c r="V76" s="191"/>
      <c r="W76" s="191"/>
      <c r="X76" s="191"/>
      <c r="Y76" s="191"/>
      <c r="Z76" s="191"/>
      <c r="AA76" s="191"/>
      <c r="AB76" s="191"/>
      <c r="AC76" s="191"/>
      <c r="AD76" s="191"/>
      <c r="AE76" s="191"/>
      <c r="AF76" s="191"/>
      <c r="AG76" s="191"/>
      <c r="AH76" s="131">
        <f ca="1">ROUND(L74+((MAX(0,Skills!$AF$348))/2),0)</f>
        <v>-1</v>
      </c>
      <c r="AI76" s="131"/>
      <c r="AJ76" s="131"/>
      <c r="AK76" s="131"/>
      <c r="AL76" s="131"/>
      <c r="AM76" s="131"/>
      <c r="AN76" s="131"/>
      <c r="AO76" s="131"/>
      <c r="AP76" s="131"/>
      <c r="AQ76" s="191" t="s">
        <v>99</v>
      </c>
      <c r="AR76" s="191"/>
      <c r="AS76" s="191"/>
      <c r="AT76" s="191"/>
      <c r="AU76" s="191"/>
      <c r="AV76" s="191"/>
      <c r="AW76" s="191"/>
      <c r="AX76" s="191"/>
      <c r="AY76" s="131">
        <f>$L$74+25</f>
        <v>24</v>
      </c>
      <c r="AZ76" s="131"/>
      <c r="BA76" s="131"/>
      <c r="BB76" s="131"/>
      <c r="BC76" s="131"/>
      <c r="BD76" s="131"/>
      <c r="BE76" s="131"/>
      <c r="BF76" s="131"/>
      <c r="BG76" s="251" t="s">
        <v>103</v>
      </c>
      <c r="BH76" s="251"/>
      <c r="BI76" s="251"/>
      <c r="BJ76" s="251"/>
      <c r="BK76" s="251"/>
      <c r="BL76" s="251"/>
      <c r="BM76" s="251"/>
      <c r="BN76" s="251"/>
      <c r="BO76" s="251"/>
      <c r="BP76" s="251"/>
      <c r="BQ76" s="251"/>
      <c r="BR76" s="131">
        <f ca="1">MIN(-125+Skills!$AF$66,0)</f>
        <v>-125</v>
      </c>
      <c r="BS76" s="131"/>
      <c r="BT76" s="131"/>
      <c r="BU76" s="131"/>
      <c r="BV76" s="131"/>
      <c r="BW76" s="131"/>
      <c r="BX76" s="131"/>
      <c r="BY76" s="131"/>
      <c r="BZ76" s="239"/>
      <c r="CB76" s="135" t="str">
        <f ca="1">Calculations!AN4</f>
        <v/>
      </c>
      <c r="CC76" s="136"/>
      <c r="CD76" s="136"/>
      <c r="CE76" s="136"/>
      <c r="CF76" s="136"/>
      <c r="CG76" s="136"/>
      <c r="CH76" s="136"/>
      <c r="CI76" s="136"/>
      <c r="CJ76" s="136"/>
      <c r="CK76" s="136"/>
      <c r="CL76" s="136"/>
      <c r="CM76" s="136"/>
      <c r="CN76" s="136"/>
      <c r="CO76" s="136"/>
      <c r="CP76" s="136"/>
      <c r="CQ76" s="136"/>
      <c r="CR76" s="136"/>
      <c r="CS76" s="136"/>
      <c r="CT76" s="136"/>
      <c r="CU76" s="136"/>
      <c r="CV76" s="136"/>
      <c r="CW76" s="136"/>
      <c r="CX76" s="136"/>
      <c r="CY76" s="136"/>
      <c r="CZ76" s="136"/>
      <c r="DA76" s="136"/>
      <c r="DB76" s="136"/>
      <c r="DC76" s="136"/>
      <c r="DD76" s="136"/>
      <c r="DE76" s="131" t="str">
        <f ca="1">Calculations!AO4</f>
        <v/>
      </c>
      <c r="DF76" s="131"/>
      <c r="DG76" s="131"/>
      <c r="DH76" s="131"/>
      <c r="DI76" s="131"/>
      <c r="DJ76" s="131"/>
      <c r="DK76" s="131"/>
      <c r="DL76" s="131"/>
      <c r="DM76" s="131"/>
      <c r="DN76" s="116"/>
      <c r="DO76" s="136" t="str">
        <f ca="1">Calculations!AN5</f>
        <v/>
      </c>
      <c r="DP76" s="136"/>
      <c r="DQ76" s="136"/>
      <c r="DR76" s="136"/>
      <c r="DS76" s="136"/>
      <c r="DT76" s="136"/>
      <c r="DU76" s="136"/>
      <c r="DV76" s="136"/>
      <c r="DW76" s="136"/>
      <c r="DX76" s="136"/>
      <c r="DY76" s="136"/>
      <c r="DZ76" s="136"/>
      <c r="EA76" s="136"/>
      <c r="EB76" s="136"/>
      <c r="EC76" s="136"/>
      <c r="ED76" s="136"/>
      <c r="EE76" s="136"/>
      <c r="EF76" s="136"/>
      <c r="EG76" s="136"/>
      <c r="EH76" s="136"/>
      <c r="EI76" s="136"/>
      <c r="EJ76" s="136"/>
      <c r="EK76" s="136"/>
      <c r="EL76" s="136"/>
      <c r="EM76" s="136"/>
      <c r="EN76" s="136"/>
      <c r="EO76" s="136"/>
      <c r="EP76" s="136"/>
      <c r="EQ76" s="136"/>
      <c r="ER76" s="131" t="str">
        <f ca="1">Calculations!AO5</f>
        <v/>
      </c>
      <c r="ES76" s="131"/>
      <c r="ET76" s="131"/>
      <c r="EU76" s="131"/>
      <c r="EV76" s="131"/>
      <c r="EW76" s="131"/>
      <c r="EX76" s="131"/>
      <c r="EY76" s="131"/>
      <c r="EZ76" s="239"/>
      <c r="FB76" s="151"/>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41">
        <v>0</v>
      </c>
      <c r="GU76" s="141"/>
      <c r="GV76" s="141"/>
      <c r="GW76" s="141"/>
      <c r="GX76" s="141"/>
      <c r="GY76" s="141"/>
      <c r="GZ76" s="141"/>
      <c r="HA76" s="141"/>
      <c r="HB76" s="142" t="str">
        <f>IFERROR(ROUND(Calculations!BV77*GT76,2),"")</f>
        <v/>
      </c>
      <c r="HC76" s="142"/>
      <c r="HD76" s="142"/>
      <c r="HE76" s="142"/>
      <c r="HF76" s="142"/>
      <c r="HG76" s="142"/>
      <c r="HH76" s="142"/>
      <c r="HI76" s="142"/>
      <c r="HJ76" s="142">
        <f>IFERROR(Calculations!BS77+IQ76+IX76,"")</f>
        <v>0</v>
      </c>
      <c r="HK76" s="142"/>
      <c r="HL76" s="142"/>
      <c r="HM76" s="142"/>
      <c r="HN76" s="142"/>
      <c r="HO76" s="142"/>
      <c r="HP76" s="142"/>
      <c r="HQ76" s="142"/>
      <c r="HR76" s="142" t="str">
        <f t="shared" si="9"/>
        <v/>
      </c>
      <c r="HS76" s="142"/>
      <c r="HT76" s="142"/>
      <c r="HU76" s="142"/>
      <c r="HV76" s="142"/>
      <c r="HW76" s="142"/>
      <c r="HX76" s="142"/>
      <c r="HY76" s="142"/>
      <c r="HZ76" s="142" t="str">
        <f>IFERROR(Calculations!BX77,"")</f>
        <v/>
      </c>
      <c r="IA76" s="142"/>
      <c r="IB76" s="142"/>
      <c r="IC76" s="142"/>
      <c r="ID76" s="142"/>
      <c r="IE76" s="142"/>
      <c r="IF76" s="142"/>
      <c r="IG76" s="142"/>
      <c r="IH76" s="142"/>
      <c r="II76" s="142"/>
      <c r="IJ76" s="142" t="str">
        <f>IFERROR(Calculations!BR77+IX76,"")</f>
        <v/>
      </c>
      <c r="IK76" s="142"/>
      <c r="IL76" s="142"/>
      <c r="IM76" s="142"/>
      <c r="IN76" s="142"/>
      <c r="IO76" s="142"/>
      <c r="IP76" s="142"/>
      <c r="IQ76" s="141">
        <v>0</v>
      </c>
      <c r="IR76" s="141"/>
      <c r="IS76" s="141"/>
      <c r="IT76" s="141"/>
      <c r="IU76" s="141"/>
      <c r="IV76" s="141"/>
      <c r="IW76" s="141"/>
      <c r="IX76" s="141">
        <v>0</v>
      </c>
      <c r="IY76" s="141"/>
      <c r="IZ76" s="141"/>
      <c r="JA76" s="141"/>
      <c r="JB76" s="141"/>
      <c r="JC76" s="141"/>
      <c r="JD76" s="141"/>
      <c r="JE76" s="141"/>
      <c r="JF76" s="142"/>
      <c r="JG76" s="142"/>
      <c r="JH76" s="142"/>
      <c r="JI76" s="142"/>
      <c r="JJ76" s="142"/>
      <c r="JK76" s="143" t="str">
        <f>Calculations!AS77</f>
        <v/>
      </c>
      <c r="JL76" s="143"/>
      <c r="JM76" s="143"/>
      <c r="JN76" s="143"/>
      <c r="JO76" s="143"/>
      <c r="JP76" s="143"/>
      <c r="JQ76" s="143"/>
      <c r="JR76" s="143"/>
      <c r="JS76" s="143"/>
      <c r="JT76" s="143"/>
      <c r="JU76" s="143"/>
      <c r="JV76" s="143"/>
      <c r="JW76" s="143"/>
      <c r="JX76" s="143"/>
      <c r="JY76" s="143"/>
      <c r="JZ76" s="143"/>
      <c r="KA76" s="143"/>
      <c r="KB76" s="143"/>
      <c r="KC76" s="143" t="str">
        <f>Calculations!AW77</f>
        <v/>
      </c>
      <c r="KD76" s="143"/>
      <c r="KE76" s="143"/>
      <c r="KF76" s="143"/>
      <c r="KG76" s="143"/>
      <c r="KH76" s="143"/>
      <c r="KI76" s="143"/>
      <c r="KJ76" s="143"/>
      <c r="KK76" s="143"/>
      <c r="KL76" s="143"/>
      <c r="KM76" s="143"/>
      <c r="KN76" s="143"/>
      <c r="KO76" s="143"/>
      <c r="KP76" s="143"/>
      <c r="KQ76" s="143"/>
      <c r="KR76" s="143"/>
      <c r="KS76" s="143"/>
      <c r="KT76" s="143"/>
      <c r="KU76" s="144"/>
      <c r="KV76" s="144"/>
      <c r="KW76" s="144"/>
      <c r="KX76" s="144"/>
      <c r="KY76" s="144"/>
      <c r="KZ76" s="144"/>
      <c r="LA76" s="144"/>
      <c r="LB76" s="144"/>
      <c r="LC76" s="144"/>
      <c r="LD76" s="144"/>
      <c r="LE76" s="144"/>
      <c r="LF76" s="144"/>
      <c r="LG76" s="144"/>
      <c r="LH76" s="144"/>
      <c r="LI76" s="144"/>
      <c r="LJ76" s="144"/>
      <c r="LK76" s="144"/>
      <c r="LL76" s="144"/>
      <c r="LM76" s="144"/>
      <c r="LN76" s="144"/>
      <c r="LO76" s="144"/>
      <c r="LP76" s="144"/>
      <c r="LQ76" s="144"/>
      <c r="LR76" s="144"/>
      <c r="LS76" s="144"/>
      <c r="LT76" s="144"/>
      <c r="LU76" s="144"/>
      <c r="LV76" s="144"/>
      <c r="LW76" s="144"/>
      <c r="LX76" s="144"/>
      <c r="LY76" s="144"/>
      <c r="LZ76" s="144"/>
      <c r="MA76" s="144"/>
      <c r="MB76" s="144"/>
      <c r="MC76" s="144"/>
      <c r="MD76" s="144"/>
      <c r="ME76" s="144"/>
      <c r="MF76" s="144"/>
      <c r="MG76" s="144"/>
      <c r="MH76" s="144"/>
      <c r="MI76" s="144"/>
      <c r="MJ76" s="144"/>
      <c r="MK76" s="144"/>
      <c r="ML76" s="144"/>
      <c r="MM76" s="144"/>
      <c r="MN76" s="144"/>
      <c r="MO76" s="144"/>
      <c r="MP76" s="144"/>
      <c r="MQ76" s="144"/>
      <c r="MR76" s="144"/>
      <c r="MS76" s="144"/>
      <c r="MT76" s="144"/>
      <c r="MU76" s="144"/>
      <c r="MV76" s="144"/>
      <c r="MW76" s="144"/>
      <c r="MX76" s="144"/>
      <c r="MY76" s="144"/>
      <c r="MZ76" s="145"/>
      <c r="BLR76" s="128" t="s">
        <v>2236</v>
      </c>
      <c r="BLS76" s="128"/>
      <c r="BLT76" s="128"/>
      <c r="BLU76" s="128"/>
      <c r="BLV76" s="128"/>
      <c r="BLW76" s="128"/>
      <c r="BLX76" s="128"/>
      <c r="BLY76" s="128"/>
      <c r="BLZ76" s="128"/>
      <c r="BMA76" s="128"/>
      <c r="BMB76" s="128"/>
      <c r="BMC76" s="128"/>
      <c r="BMD76" s="128"/>
      <c r="BME76" s="128"/>
      <c r="BMF76" s="128"/>
      <c r="BMG76" s="128"/>
      <c r="BMH76" s="128"/>
      <c r="BMI76" s="128"/>
      <c r="BMJ76" s="128"/>
      <c r="BMK76" s="128"/>
      <c r="BML76" s="128"/>
      <c r="BMM76" s="128"/>
      <c r="BMN76" s="128"/>
      <c r="BMO76" s="128"/>
      <c r="BMP76" s="128"/>
      <c r="BMQ76" s="128"/>
      <c r="BMR76" s="128"/>
      <c r="BMS76" s="128"/>
      <c r="BMT76" s="128"/>
      <c r="BMU76" s="128"/>
      <c r="BMV76" s="128"/>
      <c r="BMW76" s="129"/>
      <c r="BMX76" s="129"/>
      <c r="BMY76" s="129"/>
      <c r="BMZ76" s="129"/>
      <c r="BNA76" s="129"/>
      <c r="BNB76" s="129"/>
      <c r="BNC76" s="129"/>
      <c r="BND76" s="129"/>
      <c r="BNE76" s="129"/>
      <c r="BNF76" s="129"/>
      <c r="BNG76" s="129"/>
      <c r="BNH76" s="129"/>
      <c r="BNI76" s="129"/>
      <c r="BNJ76" s="129"/>
      <c r="BNK76" s="129"/>
      <c r="BNL76" s="129"/>
      <c r="BNM76" s="129"/>
      <c r="BNN76" s="129"/>
      <c r="BNO76" s="129"/>
      <c r="BNP76" s="129"/>
      <c r="BNQ76" s="129"/>
      <c r="BNR76" s="128"/>
      <c r="BNS76" s="128"/>
      <c r="BNT76" s="128"/>
      <c r="BNU76" s="128"/>
      <c r="BNV76" s="128"/>
      <c r="BNW76" s="128"/>
      <c r="BNX76" s="129"/>
      <c r="BNY76" s="129"/>
      <c r="BNZ76" s="129"/>
      <c r="BOA76" s="129"/>
      <c r="BOB76" s="129"/>
      <c r="BOC76" s="129"/>
      <c r="BOD76" s="129"/>
      <c r="BOE76" s="129"/>
      <c r="BOF76" s="129"/>
      <c r="BOG76" s="129"/>
      <c r="BOH76" s="129"/>
      <c r="BOI76" s="129"/>
      <c r="BOJ76" s="129"/>
      <c r="BOK76" s="129"/>
      <c r="BOL76" s="129"/>
      <c r="BOM76" s="129"/>
      <c r="BON76" s="129"/>
      <c r="BOO76" s="129"/>
      <c r="BOP76" s="129"/>
      <c r="BOQ76" s="129"/>
      <c r="BOR76" s="129"/>
      <c r="BOS76" s="129"/>
      <c r="BOT76" s="129"/>
      <c r="BOU76" s="129"/>
      <c r="BOV76" s="129"/>
      <c r="BOW76" s="129"/>
      <c r="BOX76" s="129"/>
      <c r="BOY76" s="129"/>
      <c r="BOZ76" s="128"/>
      <c r="BPA76" s="128"/>
      <c r="BPB76" s="128"/>
      <c r="BPC76" s="128"/>
      <c r="BPD76" s="128"/>
      <c r="BPE76" s="128"/>
      <c r="BPF76" s="128"/>
    </row>
    <row r="77" spans="2:364 1682:1774" ht="15" customHeight="1" x14ac:dyDescent="0.25">
      <c r="B77" s="230" t="s">
        <v>92</v>
      </c>
      <c r="C77" s="207"/>
      <c r="D77" s="207"/>
      <c r="E77" s="207"/>
      <c r="F77" s="207"/>
      <c r="G77" s="207"/>
      <c r="H77" s="207"/>
      <c r="I77" s="207"/>
      <c r="J77" s="207"/>
      <c r="K77" s="207"/>
      <c r="L77" s="249">
        <v>0</v>
      </c>
      <c r="M77" s="249"/>
      <c r="N77" s="249"/>
      <c r="O77" s="249"/>
      <c r="P77" s="249"/>
      <c r="Q77" s="249"/>
      <c r="R77" s="249"/>
      <c r="S77" s="249"/>
      <c r="T77" s="249"/>
      <c r="U77" s="207" t="s">
        <v>96</v>
      </c>
      <c r="V77" s="207"/>
      <c r="W77" s="207"/>
      <c r="X77" s="207"/>
      <c r="Y77" s="207"/>
      <c r="Z77" s="207"/>
      <c r="AA77" s="207"/>
      <c r="AB77" s="207"/>
      <c r="AC77" s="207"/>
      <c r="AD77" s="207"/>
      <c r="AE77" s="207"/>
      <c r="AF77" s="207"/>
      <c r="AG77" s="207"/>
      <c r="AH77" s="245">
        <f ca="1">L74+MAX(0,Skills!$AF$348)</f>
        <v>-1</v>
      </c>
      <c r="AI77" s="245"/>
      <c r="AJ77" s="245"/>
      <c r="AK77" s="245"/>
      <c r="AL77" s="245"/>
      <c r="AM77" s="245"/>
      <c r="AN77" s="245"/>
      <c r="AO77" s="245"/>
      <c r="AP77" s="245"/>
      <c r="AQ77" s="207" t="s">
        <v>100</v>
      </c>
      <c r="AR77" s="207"/>
      <c r="AS77" s="207"/>
      <c r="AT77" s="207"/>
      <c r="AU77" s="207"/>
      <c r="AV77" s="207"/>
      <c r="AW77" s="207"/>
      <c r="AX77" s="207"/>
      <c r="AY77" s="245">
        <f>$L$74+50</f>
        <v>49</v>
      </c>
      <c r="AZ77" s="245"/>
      <c r="BA77" s="245"/>
      <c r="BB77" s="245"/>
      <c r="BC77" s="245"/>
      <c r="BD77" s="245"/>
      <c r="BE77" s="245"/>
      <c r="BF77" s="245"/>
      <c r="BG77" s="253" t="s">
        <v>104</v>
      </c>
      <c r="BH77" s="253"/>
      <c r="BI77" s="253"/>
      <c r="BJ77" s="253"/>
      <c r="BK77" s="253"/>
      <c r="BL77" s="253"/>
      <c r="BM77" s="253"/>
      <c r="BN77" s="253"/>
      <c r="BO77" s="253"/>
      <c r="BP77" s="253"/>
      <c r="BQ77" s="253"/>
      <c r="BR77" s="245">
        <f ca="1">MIN(-150+Skills!$AF$66,0)</f>
        <v>-150</v>
      </c>
      <c r="BS77" s="245"/>
      <c r="BT77" s="245"/>
      <c r="BU77" s="245"/>
      <c r="BV77" s="245"/>
      <c r="BW77" s="245"/>
      <c r="BX77" s="245"/>
      <c r="BY77" s="245"/>
      <c r="BZ77" s="250"/>
      <c r="CB77" s="133" t="str">
        <f ca="1">Calculations!AN6</f>
        <v/>
      </c>
      <c r="CC77" s="134"/>
      <c r="CD77" s="134"/>
      <c r="CE77" s="134"/>
      <c r="CF77" s="134"/>
      <c r="CG77" s="134"/>
      <c r="CH77" s="134"/>
      <c r="CI77" s="134"/>
      <c r="CJ77" s="134"/>
      <c r="CK77" s="134"/>
      <c r="CL77" s="134"/>
      <c r="CM77" s="134"/>
      <c r="CN77" s="134"/>
      <c r="CO77" s="134"/>
      <c r="CP77" s="134"/>
      <c r="CQ77" s="134"/>
      <c r="CR77" s="134"/>
      <c r="CS77" s="134"/>
      <c r="CT77" s="134"/>
      <c r="CU77" s="134"/>
      <c r="CV77" s="134"/>
      <c r="CW77" s="134"/>
      <c r="CX77" s="134"/>
      <c r="CY77" s="134"/>
      <c r="CZ77" s="134"/>
      <c r="DA77" s="134"/>
      <c r="DB77" s="134"/>
      <c r="DC77" s="134"/>
      <c r="DD77" s="134"/>
      <c r="DE77" s="130" t="str">
        <f ca="1">Calculations!AO6</f>
        <v/>
      </c>
      <c r="DF77" s="130"/>
      <c r="DG77" s="130"/>
      <c r="DH77" s="130"/>
      <c r="DI77" s="130"/>
      <c r="DJ77" s="130"/>
      <c r="DK77" s="130"/>
      <c r="DL77" s="130"/>
      <c r="DM77" s="130"/>
      <c r="DN77" s="117"/>
      <c r="DO77" s="134" t="str">
        <f ca="1">Calculations!AN7</f>
        <v/>
      </c>
      <c r="DP77" s="134"/>
      <c r="DQ77" s="134"/>
      <c r="DR77" s="134"/>
      <c r="DS77" s="134"/>
      <c r="DT77" s="134"/>
      <c r="DU77" s="134"/>
      <c r="DV77" s="134"/>
      <c r="DW77" s="134"/>
      <c r="DX77" s="134"/>
      <c r="DY77" s="134"/>
      <c r="DZ77" s="134"/>
      <c r="EA77" s="134"/>
      <c r="EB77" s="134"/>
      <c r="EC77" s="134"/>
      <c r="ED77" s="134"/>
      <c r="EE77" s="134"/>
      <c r="EF77" s="134"/>
      <c r="EG77" s="134"/>
      <c r="EH77" s="134"/>
      <c r="EI77" s="134"/>
      <c r="EJ77" s="134"/>
      <c r="EK77" s="134"/>
      <c r="EL77" s="134"/>
      <c r="EM77" s="134"/>
      <c r="EN77" s="134"/>
      <c r="EO77" s="134"/>
      <c r="EP77" s="134"/>
      <c r="EQ77" s="134"/>
      <c r="ER77" s="130" t="str">
        <f ca="1">Calculations!AO7</f>
        <v/>
      </c>
      <c r="ES77" s="130"/>
      <c r="ET77" s="130"/>
      <c r="EU77" s="130"/>
      <c r="EV77" s="130"/>
      <c r="EW77" s="130"/>
      <c r="EX77" s="130"/>
      <c r="EY77" s="130"/>
      <c r="EZ77" s="238"/>
      <c r="FB77" s="151"/>
      <c r="FC77" s="128"/>
      <c r="FD77" s="128"/>
      <c r="FE77" s="128"/>
      <c r="FF77" s="128"/>
      <c r="FG77" s="128"/>
      <c r="FH77" s="128"/>
      <c r="FI77" s="128"/>
      <c r="FJ77" s="128"/>
      <c r="FK77" s="128"/>
      <c r="FL77" s="128"/>
      <c r="FM77" s="128"/>
      <c r="FN77" s="128"/>
      <c r="FO77" s="128"/>
      <c r="FP77" s="128"/>
      <c r="FQ77" s="128"/>
      <c r="FR77" s="128"/>
      <c r="FS77" s="128"/>
      <c r="FT77" s="128"/>
      <c r="FU77" s="128"/>
      <c r="FV77" s="128"/>
      <c r="FW77" s="128"/>
      <c r="FX77" s="128"/>
      <c r="FY77" s="128"/>
      <c r="FZ77" s="128"/>
      <c r="GA77" s="128"/>
      <c r="GB77" s="128"/>
      <c r="GC77" s="128"/>
      <c r="GD77" s="128"/>
      <c r="GE77" s="128"/>
      <c r="GF77" s="128"/>
      <c r="GG77" s="128"/>
      <c r="GH77" s="128"/>
      <c r="GI77" s="128"/>
      <c r="GJ77" s="128"/>
      <c r="GK77" s="128"/>
      <c r="GL77" s="128"/>
      <c r="GM77" s="128"/>
      <c r="GN77" s="128"/>
      <c r="GO77" s="128"/>
      <c r="GP77" s="128"/>
      <c r="GQ77" s="128"/>
      <c r="GR77" s="128"/>
      <c r="GS77" s="128"/>
      <c r="GT77" s="141">
        <v>0</v>
      </c>
      <c r="GU77" s="141"/>
      <c r="GV77" s="141"/>
      <c r="GW77" s="141"/>
      <c r="GX77" s="141"/>
      <c r="GY77" s="141"/>
      <c r="GZ77" s="141"/>
      <c r="HA77" s="141"/>
      <c r="HB77" s="142" t="str">
        <f>IFERROR(ROUND(Calculations!BV78*GT77,2),"")</f>
        <v/>
      </c>
      <c r="HC77" s="142"/>
      <c r="HD77" s="142"/>
      <c r="HE77" s="142"/>
      <c r="HF77" s="142"/>
      <c r="HG77" s="142"/>
      <c r="HH77" s="142"/>
      <c r="HI77" s="142"/>
      <c r="HJ77" s="142">
        <f>IFERROR(Calculations!BS78+IQ77+IX77,"")</f>
        <v>0</v>
      </c>
      <c r="HK77" s="142"/>
      <c r="HL77" s="142"/>
      <c r="HM77" s="142"/>
      <c r="HN77" s="142"/>
      <c r="HO77" s="142"/>
      <c r="HP77" s="142"/>
      <c r="HQ77" s="142"/>
      <c r="HR77" s="142" t="str">
        <f t="shared" si="9"/>
        <v/>
      </c>
      <c r="HS77" s="142"/>
      <c r="HT77" s="142"/>
      <c r="HU77" s="142"/>
      <c r="HV77" s="142"/>
      <c r="HW77" s="142"/>
      <c r="HX77" s="142"/>
      <c r="HY77" s="142"/>
      <c r="HZ77" s="142" t="str">
        <f>IFERROR(Calculations!BX78,"")</f>
        <v/>
      </c>
      <c r="IA77" s="142"/>
      <c r="IB77" s="142"/>
      <c r="IC77" s="142"/>
      <c r="ID77" s="142"/>
      <c r="IE77" s="142"/>
      <c r="IF77" s="142"/>
      <c r="IG77" s="142"/>
      <c r="IH77" s="142"/>
      <c r="II77" s="142"/>
      <c r="IJ77" s="142" t="str">
        <f>IFERROR(Calculations!BR78+IX77,"")</f>
        <v/>
      </c>
      <c r="IK77" s="142"/>
      <c r="IL77" s="142"/>
      <c r="IM77" s="142"/>
      <c r="IN77" s="142"/>
      <c r="IO77" s="142"/>
      <c r="IP77" s="142"/>
      <c r="IQ77" s="141">
        <v>0</v>
      </c>
      <c r="IR77" s="141"/>
      <c r="IS77" s="141"/>
      <c r="IT77" s="141"/>
      <c r="IU77" s="141"/>
      <c r="IV77" s="141"/>
      <c r="IW77" s="141"/>
      <c r="IX77" s="141">
        <v>0</v>
      </c>
      <c r="IY77" s="141"/>
      <c r="IZ77" s="141"/>
      <c r="JA77" s="141"/>
      <c r="JB77" s="141"/>
      <c r="JC77" s="141"/>
      <c r="JD77" s="141"/>
      <c r="JE77" s="141"/>
      <c r="JF77" s="142"/>
      <c r="JG77" s="142"/>
      <c r="JH77" s="142"/>
      <c r="JI77" s="142"/>
      <c r="JJ77" s="142"/>
      <c r="JK77" s="143" t="str">
        <f>Calculations!AS78</f>
        <v/>
      </c>
      <c r="JL77" s="143"/>
      <c r="JM77" s="143"/>
      <c r="JN77" s="143"/>
      <c r="JO77" s="143"/>
      <c r="JP77" s="143"/>
      <c r="JQ77" s="143"/>
      <c r="JR77" s="143"/>
      <c r="JS77" s="143"/>
      <c r="JT77" s="143"/>
      <c r="JU77" s="143"/>
      <c r="JV77" s="143"/>
      <c r="JW77" s="143"/>
      <c r="JX77" s="143"/>
      <c r="JY77" s="143"/>
      <c r="JZ77" s="143"/>
      <c r="KA77" s="143"/>
      <c r="KB77" s="143"/>
      <c r="KC77" s="143" t="str">
        <f>Calculations!AW78</f>
        <v/>
      </c>
      <c r="KD77" s="143"/>
      <c r="KE77" s="143"/>
      <c r="KF77" s="143"/>
      <c r="KG77" s="143"/>
      <c r="KH77" s="143"/>
      <c r="KI77" s="143"/>
      <c r="KJ77" s="143"/>
      <c r="KK77" s="143"/>
      <c r="KL77" s="143"/>
      <c r="KM77" s="143"/>
      <c r="KN77" s="143"/>
      <c r="KO77" s="143"/>
      <c r="KP77" s="143"/>
      <c r="KQ77" s="143"/>
      <c r="KR77" s="143"/>
      <c r="KS77" s="143"/>
      <c r="KT77" s="143"/>
      <c r="KU77" s="144"/>
      <c r="KV77" s="144"/>
      <c r="KW77" s="144"/>
      <c r="KX77" s="144"/>
      <c r="KY77" s="144"/>
      <c r="KZ77" s="144"/>
      <c r="LA77" s="144"/>
      <c r="LB77" s="144"/>
      <c r="LC77" s="144"/>
      <c r="LD77" s="144"/>
      <c r="LE77" s="144"/>
      <c r="LF77" s="144"/>
      <c r="LG77" s="144"/>
      <c r="LH77" s="144"/>
      <c r="LI77" s="144"/>
      <c r="LJ77" s="144"/>
      <c r="LK77" s="144"/>
      <c r="LL77" s="144"/>
      <c r="LM77" s="144"/>
      <c r="LN77" s="144"/>
      <c r="LO77" s="144"/>
      <c r="LP77" s="144"/>
      <c r="LQ77" s="144"/>
      <c r="LR77" s="144"/>
      <c r="LS77" s="144"/>
      <c r="LT77" s="144"/>
      <c r="LU77" s="144"/>
      <c r="LV77" s="144"/>
      <c r="LW77" s="144"/>
      <c r="LX77" s="144"/>
      <c r="LY77" s="144"/>
      <c r="LZ77" s="144"/>
      <c r="MA77" s="144"/>
      <c r="MB77" s="144"/>
      <c r="MC77" s="144"/>
      <c r="MD77" s="144"/>
      <c r="ME77" s="144"/>
      <c r="MF77" s="144"/>
      <c r="MG77" s="144"/>
      <c r="MH77" s="144"/>
      <c r="MI77" s="144"/>
      <c r="MJ77" s="144"/>
      <c r="MK77" s="144"/>
      <c r="ML77" s="144"/>
      <c r="MM77" s="144"/>
      <c r="MN77" s="144"/>
      <c r="MO77" s="144"/>
      <c r="MP77" s="144"/>
      <c r="MQ77" s="144"/>
      <c r="MR77" s="144"/>
      <c r="MS77" s="144"/>
      <c r="MT77" s="144"/>
      <c r="MU77" s="144"/>
      <c r="MV77" s="144"/>
      <c r="MW77" s="144"/>
      <c r="MX77" s="144"/>
      <c r="MY77" s="144"/>
      <c r="MZ77" s="145"/>
      <c r="BLR77" s="128" t="s">
        <v>2237</v>
      </c>
      <c r="BLS77" s="128"/>
      <c r="BLT77" s="128"/>
      <c r="BLU77" s="128"/>
      <c r="BLV77" s="128"/>
      <c r="BLW77" s="128"/>
      <c r="BLX77" s="128"/>
      <c r="BLY77" s="128"/>
      <c r="BLZ77" s="128"/>
      <c r="BMA77" s="128"/>
      <c r="BMB77" s="128"/>
      <c r="BMC77" s="128"/>
      <c r="BMD77" s="128"/>
      <c r="BME77" s="128"/>
      <c r="BMF77" s="128"/>
      <c r="BMG77" s="128"/>
      <c r="BMH77" s="128"/>
      <c r="BMI77" s="128"/>
      <c r="BMJ77" s="128"/>
      <c r="BMK77" s="128"/>
      <c r="BML77" s="128"/>
      <c r="BMM77" s="128"/>
      <c r="BMN77" s="128"/>
      <c r="BMO77" s="128"/>
      <c r="BMP77" s="128"/>
      <c r="BMQ77" s="128"/>
      <c r="BMR77" s="128"/>
      <c r="BMS77" s="128"/>
      <c r="BMT77" s="128"/>
      <c r="BMU77" s="128"/>
      <c r="BMV77" s="128"/>
      <c r="BMW77" s="129"/>
      <c r="BMX77" s="129"/>
      <c r="BMY77" s="129"/>
      <c r="BMZ77" s="129"/>
      <c r="BNA77" s="129"/>
      <c r="BNB77" s="129"/>
      <c r="BNC77" s="129"/>
      <c r="BND77" s="129"/>
      <c r="BNE77" s="129"/>
      <c r="BNF77" s="129"/>
      <c r="BNG77" s="129"/>
      <c r="BNH77" s="129"/>
      <c r="BNI77" s="129"/>
      <c r="BNJ77" s="129"/>
      <c r="BNK77" s="129"/>
      <c r="BNL77" s="129"/>
      <c r="BNM77" s="129"/>
      <c r="BNN77" s="129"/>
      <c r="BNO77" s="129"/>
      <c r="BNP77" s="129"/>
      <c r="BNQ77" s="129"/>
      <c r="BNR77" s="128"/>
      <c r="BNS77" s="128"/>
      <c r="BNT77" s="128"/>
      <c r="BNU77" s="128"/>
      <c r="BNV77" s="128"/>
      <c r="BNW77" s="128"/>
      <c r="BNX77" s="129"/>
      <c r="BNY77" s="129"/>
      <c r="BNZ77" s="129"/>
      <c r="BOA77" s="129"/>
      <c r="BOB77" s="129"/>
      <c r="BOC77" s="129"/>
      <c r="BOD77" s="129"/>
      <c r="BOE77" s="129"/>
      <c r="BOF77" s="129"/>
      <c r="BOG77" s="129"/>
      <c r="BOH77" s="129"/>
      <c r="BOI77" s="129"/>
      <c r="BOJ77" s="129"/>
      <c r="BOK77" s="129"/>
      <c r="BOL77" s="129"/>
      <c r="BOM77" s="129"/>
      <c r="BON77" s="129"/>
      <c r="BOO77" s="129"/>
      <c r="BOP77" s="129"/>
      <c r="BOQ77" s="129"/>
      <c r="BOR77" s="129"/>
      <c r="BOS77" s="129"/>
      <c r="BOT77" s="129"/>
      <c r="BOU77" s="129"/>
      <c r="BOV77" s="129"/>
      <c r="BOW77" s="129"/>
      <c r="BOX77" s="129"/>
      <c r="BOY77" s="129"/>
      <c r="BOZ77" s="128"/>
      <c r="BPA77" s="128"/>
      <c r="BPB77" s="128"/>
      <c r="BPC77" s="128"/>
      <c r="BPD77" s="128"/>
      <c r="BPE77" s="128"/>
      <c r="BPF77" s="128"/>
    </row>
    <row r="78" spans="2:364 1682:1774" ht="15" customHeight="1" x14ac:dyDescent="0.25">
      <c r="CB78" s="135" t="str">
        <f ca="1">Calculations!AN8</f>
        <v/>
      </c>
      <c r="CC78" s="136"/>
      <c r="CD78" s="136"/>
      <c r="CE78" s="136"/>
      <c r="CF78" s="136"/>
      <c r="CG78" s="136"/>
      <c r="CH78" s="136"/>
      <c r="CI78" s="136"/>
      <c r="CJ78" s="136"/>
      <c r="CK78" s="136"/>
      <c r="CL78" s="136"/>
      <c r="CM78" s="136"/>
      <c r="CN78" s="136"/>
      <c r="CO78" s="136"/>
      <c r="CP78" s="136"/>
      <c r="CQ78" s="136"/>
      <c r="CR78" s="136"/>
      <c r="CS78" s="136"/>
      <c r="CT78" s="136"/>
      <c r="CU78" s="136"/>
      <c r="CV78" s="136"/>
      <c r="CW78" s="136"/>
      <c r="CX78" s="136"/>
      <c r="CY78" s="136"/>
      <c r="CZ78" s="136"/>
      <c r="DA78" s="136"/>
      <c r="DB78" s="136"/>
      <c r="DC78" s="136"/>
      <c r="DD78" s="136"/>
      <c r="DE78" s="131" t="str">
        <f ca="1">Calculations!AO8</f>
        <v/>
      </c>
      <c r="DF78" s="131"/>
      <c r="DG78" s="131"/>
      <c r="DH78" s="131"/>
      <c r="DI78" s="131"/>
      <c r="DJ78" s="131"/>
      <c r="DK78" s="131"/>
      <c r="DL78" s="131"/>
      <c r="DM78" s="131"/>
      <c r="DN78" s="116"/>
      <c r="DO78" s="136" t="str">
        <f ca="1">Calculations!AN9</f>
        <v/>
      </c>
      <c r="DP78" s="136"/>
      <c r="DQ78" s="136"/>
      <c r="DR78" s="136"/>
      <c r="DS78" s="136"/>
      <c r="DT78" s="136"/>
      <c r="DU78" s="136"/>
      <c r="DV78" s="136"/>
      <c r="DW78" s="136"/>
      <c r="DX78" s="136"/>
      <c r="DY78" s="136"/>
      <c r="DZ78" s="136"/>
      <c r="EA78" s="136"/>
      <c r="EB78" s="136"/>
      <c r="EC78" s="136"/>
      <c r="ED78" s="136"/>
      <c r="EE78" s="136"/>
      <c r="EF78" s="136"/>
      <c r="EG78" s="136"/>
      <c r="EH78" s="136"/>
      <c r="EI78" s="136"/>
      <c r="EJ78" s="136"/>
      <c r="EK78" s="136"/>
      <c r="EL78" s="136"/>
      <c r="EM78" s="136"/>
      <c r="EN78" s="136"/>
      <c r="EO78" s="136"/>
      <c r="EP78" s="136"/>
      <c r="EQ78" s="136"/>
      <c r="ER78" s="131" t="str">
        <f ca="1">Calculations!AO9</f>
        <v/>
      </c>
      <c r="ES78" s="131"/>
      <c r="ET78" s="131"/>
      <c r="EU78" s="131"/>
      <c r="EV78" s="131"/>
      <c r="EW78" s="131"/>
      <c r="EX78" s="131"/>
      <c r="EY78" s="131"/>
      <c r="EZ78" s="239"/>
      <c r="FB78" s="151"/>
      <c r="FC78" s="128"/>
      <c r="FD78" s="128"/>
      <c r="FE78" s="128"/>
      <c r="FF78" s="128"/>
      <c r="FG78" s="128"/>
      <c r="FH78" s="128"/>
      <c r="FI78" s="128"/>
      <c r="FJ78" s="128"/>
      <c r="FK78" s="128"/>
      <c r="FL78" s="128"/>
      <c r="FM78" s="128"/>
      <c r="FN78" s="128"/>
      <c r="FO78" s="128"/>
      <c r="FP78" s="128"/>
      <c r="FQ78" s="128"/>
      <c r="FR78" s="128"/>
      <c r="FS78" s="128"/>
      <c r="FT78" s="128"/>
      <c r="FU78" s="128"/>
      <c r="FV78" s="128"/>
      <c r="FW78" s="128"/>
      <c r="FX78" s="128"/>
      <c r="FY78" s="128"/>
      <c r="FZ78" s="128"/>
      <c r="GA78" s="128"/>
      <c r="GB78" s="128"/>
      <c r="GC78" s="128"/>
      <c r="GD78" s="128"/>
      <c r="GE78" s="128"/>
      <c r="GF78" s="128"/>
      <c r="GG78" s="128"/>
      <c r="GH78" s="128"/>
      <c r="GI78" s="128"/>
      <c r="GJ78" s="128"/>
      <c r="GK78" s="128"/>
      <c r="GL78" s="128"/>
      <c r="GM78" s="128"/>
      <c r="GN78" s="128"/>
      <c r="GO78" s="128"/>
      <c r="GP78" s="128"/>
      <c r="GQ78" s="128"/>
      <c r="GR78" s="128"/>
      <c r="GS78" s="128"/>
      <c r="GT78" s="141">
        <v>0</v>
      </c>
      <c r="GU78" s="141"/>
      <c r="GV78" s="141"/>
      <c r="GW78" s="141"/>
      <c r="GX78" s="141"/>
      <c r="GY78" s="141"/>
      <c r="GZ78" s="141"/>
      <c r="HA78" s="141"/>
      <c r="HB78" s="142" t="str">
        <f>IFERROR(ROUND(Calculations!BV79*GT78,2),"")</f>
        <v/>
      </c>
      <c r="HC78" s="142"/>
      <c r="HD78" s="142"/>
      <c r="HE78" s="142"/>
      <c r="HF78" s="142"/>
      <c r="HG78" s="142"/>
      <c r="HH78" s="142"/>
      <c r="HI78" s="142"/>
      <c r="HJ78" s="142">
        <f>IFERROR(Calculations!BS79+IQ78+IX78,"")</f>
        <v>0</v>
      </c>
      <c r="HK78" s="142"/>
      <c r="HL78" s="142"/>
      <c r="HM78" s="142"/>
      <c r="HN78" s="142"/>
      <c r="HO78" s="142"/>
      <c r="HP78" s="142"/>
      <c r="HQ78" s="142"/>
      <c r="HR78" s="142" t="str">
        <f t="shared" si="9"/>
        <v/>
      </c>
      <c r="HS78" s="142"/>
      <c r="HT78" s="142"/>
      <c r="HU78" s="142"/>
      <c r="HV78" s="142"/>
      <c r="HW78" s="142"/>
      <c r="HX78" s="142"/>
      <c r="HY78" s="142"/>
      <c r="HZ78" s="142" t="str">
        <f>IFERROR(Calculations!BX79,"")</f>
        <v/>
      </c>
      <c r="IA78" s="142"/>
      <c r="IB78" s="142"/>
      <c r="IC78" s="142"/>
      <c r="ID78" s="142"/>
      <c r="IE78" s="142"/>
      <c r="IF78" s="142"/>
      <c r="IG78" s="142"/>
      <c r="IH78" s="142"/>
      <c r="II78" s="142"/>
      <c r="IJ78" s="142" t="str">
        <f>IFERROR(Calculations!BR79+IX78,"")</f>
        <v/>
      </c>
      <c r="IK78" s="142"/>
      <c r="IL78" s="142"/>
      <c r="IM78" s="142"/>
      <c r="IN78" s="142"/>
      <c r="IO78" s="142"/>
      <c r="IP78" s="142"/>
      <c r="IQ78" s="141">
        <v>0</v>
      </c>
      <c r="IR78" s="141"/>
      <c r="IS78" s="141"/>
      <c r="IT78" s="141"/>
      <c r="IU78" s="141"/>
      <c r="IV78" s="141"/>
      <c r="IW78" s="141"/>
      <c r="IX78" s="141">
        <v>0</v>
      </c>
      <c r="IY78" s="141"/>
      <c r="IZ78" s="141"/>
      <c r="JA78" s="141"/>
      <c r="JB78" s="141"/>
      <c r="JC78" s="141"/>
      <c r="JD78" s="141"/>
      <c r="JE78" s="141"/>
      <c r="JF78" s="142"/>
      <c r="JG78" s="142"/>
      <c r="JH78" s="142"/>
      <c r="JI78" s="142"/>
      <c r="JJ78" s="142"/>
      <c r="JK78" s="143" t="str">
        <f>Calculations!AS79</f>
        <v/>
      </c>
      <c r="JL78" s="143"/>
      <c r="JM78" s="143"/>
      <c r="JN78" s="143"/>
      <c r="JO78" s="143"/>
      <c r="JP78" s="143"/>
      <c r="JQ78" s="143"/>
      <c r="JR78" s="143"/>
      <c r="JS78" s="143"/>
      <c r="JT78" s="143"/>
      <c r="JU78" s="143"/>
      <c r="JV78" s="143"/>
      <c r="JW78" s="143"/>
      <c r="JX78" s="143"/>
      <c r="JY78" s="143"/>
      <c r="JZ78" s="143"/>
      <c r="KA78" s="143"/>
      <c r="KB78" s="143"/>
      <c r="KC78" s="143" t="str">
        <f>Calculations!AW79</f>
        <v/>
      </c>
      <c r="KD78" s="143"/>
      <c r="KE78" s="143"/>
      <c r="KF78" s="143"/>
      <c r="KG78" s="143"/>
      <c r="KH78" s="143"/>
      <c r="KI78" s="143"/>
      <c r="KJ78" s="143"/>
      <c r="KK78" s="143"/>
      <c r="KL78" s="143"/>
      <c r="KM78" s="143"/>
      <c r="KN78" s="143"/>
      <c r="KO78" s="143"/>
      <c r="KP78" s="143"/>
      <c r="KQ78" s="143"/>
      <c r="KR78" s="143"/>
      <c r="KS78" s="143"/>
      <c r="KT78" s="143"/>
      <c r="KU78" s="144"/>
      <c r="KV78" s="144"/>
      <c r="KW78" s="144"/>
      <c r="KX78" s="144"/>
      <c r="KY78" s="144"/>
      <c r="KZ78" s="144"/>
      <c r="LA78" s="144"/>
      <c r="LB78" s="144"/>
      <c r="LC78" s="144"/>
      <c r="LD78" s="144"/>
      <c r="LE78" s="144"/>
      <c r="LF78" s="144"/>
      <c r="LG78" s="144"/>
      <c r="LH78" s="144"/>
      <c r="LI78" s="144"/>
      <c r="LJ78" s="144"/>
      <c r="LK78" s="144"/>
      <c r="LL78" s="144"/>
      <c r="LM78" s="144"/>
      <c r="LN78" s="144"/>
      <c r="LO78" s="144"/>
      <c r="LP78" s="144"/>
      <c r="LQ78" s="144"/>
      <c r="LR78" s="144"/>
      <c r="LS78" s="144"/>
      <c r="LT78" s="144"/>
      <c r="LU78" s="144"/>
      <c r="LV78" s="144"/>
      <c r="LW78" s="144"/>
      <c r="LX78" s="144"/>
      <c r="LY78" s="144"/>
      <c r="LZ78" s="144"/>
      <c r="MA78" s="144"/>
      <c r="MB78" s="144"/>
      <c r="MC78" s="144"/>
      <c r="MD78" s="144"/>
      <c r="ME78" s="144"/>
      <c r="MF78" s="144"/>
      <c r="MG78" s="144"/>
      <c r="MH78" s="144"/>
      <c r="MI78" s="144"/>
      <c r="MJ78" s="144"/>
      <c r="MK78" s="144"/>
      <c r="ML78" s="144"/>
      <c r="MM78" s="144"/>
      <c r="MN78" s="144"/>
      <c r="MO78" s="144"/>
      <c r="MP78" s="144"/>
      <c r="MQ78" s="144"/>
      <c r="MR78" s="144"/>
      <c r="MS78" s="144"/>
      <c r="MT78" s="144"/>
      <c r="MU78" s="144"/>
      <c r="MV78" s="144"/>
      <c r="MW78" s="144"/>
      <c r="MX78" s="144"/>
      <c r="MY78" s="144"/>
      <c r="MZ78" s="145"/>
      <c r="BLR78" s="128" t="s">
        <v>2238</v>
      </c>
      <c r="BLS78" s="128"/>
      <c r="BLT78" s="128"/>
      <c r="BLU78" s="128"/>
      <c r="BLV78" s="128"/>
      <c r="BLW78" s="128"/>
      <c r="BLX78" s="128"/>
      <c r="BLY78" s="128"/>
      <c r="BLZ78" s="128"/>
      <c r="BMA78" s="128"/>
      <c r="BMB78" s="128"/>
      <c r="BMC78" s="128"/>
      <c r="BMD78" s="128"/>
      <c r="BME78" s="128"/>
      <c r="BMF78" s="128"/>
      <c r="BMG78" s="128"/>
      <c r="BMH78" s="128"/>
      <c r="BMI78" s="128"/>
      <c r="BMJ78" s="128"/>
      <c r="BMK78" s="128"/>
      <c r="BML78" s="128"/>
      <c r="BMM78" s="128"/>
      <c r="BMN78" s="128"/>
      <c r="BMO78" s="128"/>
      <c r="BMP78" s="128"/>
      <c r="BMQ78" s="128"/>
      <c r="BMR78" s="128"/>
      <c r="BMS78" s="128"/>
      <c r="BMT78" s="128"/>
      <c r="BMU78" s="128"/>
      <c r="BMV78" s="128"/>
      <c r="BMW78" s="129"/>
      <c r="BMX78" s="129"/>
      <c r="BMY78" s="129"/>
      <c r="BMZ78" s="129"/>
      <c r="BNA78" s="129"/>
      <c r="BNB78" s="129"/>
      <c r="BNC78" s="129"/>
      <c r="BND78" s="129"/>
      <c r="BNE78" s="129"/>
      <c r="BNF78" s="129"/>
      <c r="BNG78" s="129"/>
      <c r="BNH78" s="129"/>
      <c r="BNI78" s="129"/>
      <c r="BNJ78" s="129"/>
      <c r="BNK78" s="129"/>
      <c r="BNL78" s="129"/>
      <c r="BNM78" s="129"/>
      <c r="BNN78" s="129"/>
      <c r="BNO78" s="129"/>
      <c r="BNP78" s="129"/>
      <c r="BNQ78" s="129"/>
      <c r="BNR78" s="128"/>
      <c r="BNS78" s="128"/>
      <c r="BNT78" s="128"/>
      <c r="BNU78" s="128"/>
      <c r="BNV78" s="128"/>
      <c r="BNW78" s="128"/>
      <c r="BNX78" s="129"/>
      <c r="BNY78" s="129"/>
      <c r="BNZ78" s="129"/>
      <c r="BOA78" s="129"/>
      <c r="BOB78" s="129"/>
      <c r="BOC78" s="129"/>
      <c r="BOD78" s="129"/>
      <c r="BOE78" s="129"/>
      <c r="BOF78" s="129"/>
      <c r="BOG78" s="129"/>
      <c r="BOH78" s="129"/>
      <c r="BOI78" s="129"/>
      <c r="BOJ78" s="129"/>
      <c r="BOK78" s="129"/>
      <c r="BOL78" s="129"/>
      <c r="BOM78" s="129"/>
      <c r="BON78" s="129"/>
      <c r="BOO78" s="129"/>
      <c r="BOP78" s="129"/>
      <c r="BOQ78" s="129"/>
      <c r="BOR78" s="129"/>
      <c r="BOS78" s="129"/>
      <c r="BOT78" s="129"/>
      <c r="BOU78" s="129"/>
      <c r="BOV78" s="129"/>
      <c r="BOW78" s="129"/>
      <c r="BOX78" s="129"/>
      <c r="BOY78" s="129"/>
      <c r="BOZ78" s="128"/>
      <c r="BPA78" s="128"/>
      <c r="BPB78" s="128"/>
      <c r="BPC78" s="128"/>
      <c r="BPD78" s="128"/>
      <c r="BPE78" s="128"/>
      <c r="BPF78" s="128"/>
    </row>
    <row r="79" spans="2:364 1682:1774" ht="15" customHeight="1" x14ac:dyDescent="0.25">
      <c r="B79" s="240" t="s">
        <v>107</v>
      </c>
      <c r="C79" s="241"/>
      <c r="D79" s="241"/>
      <c r="E79" s="241"/>
      <c r="F79" s="241"/>
      <c r="G79" s="241"/>
      <c r="H79" s="241"/>
      <c r="I79" s="241"/>
      <c r="J79" s="241"/>
      <c r="K79" s="241"/>
      <c r="L79" s="241"/>
      <c r="M79" s="241"/>
      <c r="N79" s="241"/>
      <c r="O79" s="241"/>
      <c r="P79" s="241"/>
      <c r="Q79" s="241"/>
      <c r="R79" s="241"/>
      <c r="S79" s="241"/>
      <c r="T79" s="241"/>
      <c r="U79" s="241"/>
      <c r="V79" s="241"/>
      <c r="W79" s="241"/>
      <c r="X79" s="241"/>
      <c r="Y79" s="241"/>
      <c r="Z79" s="241"/>
      <c r="AA79" s="241"/>
      <c r="AB79" s="241"/>
      <c r="AC79" s="241"/>
      <c r="AD79" s="241"/>
      <c r="AE79" s="241"/>
      <c r="AF79" s="241"/>
      <c r="AG79" s="241"/>
      <c r="AH79" s="241"/>
      <c r="AI79" s="241"/>
      <c r="AJ79" s="241"/>
      <c r="AK79" s="241"/>
      <c r="AL79" s="241"/>
      <c r="AM79" s="241"/>
      <c r="AN79" s="241"/>
      <c r="AO79" s="241"/>
      <c r="AP79" s="241"/>
      <c r="AQ79" s="241"/>
      <c r="AR79" s="241"/>
      <c r="AS79" s="241"/>
      <c r="AT79" s="241"/>
      <c r="AU79" s="241"/>
      <c r="AV79" s="241"/>
      <c r="AW79" s="241"/>
      <c r="AX79" s="241"/>
      <c r="AY79" s="241"/>
      <c r="AZ79" s="241"/>
      <c r="BA79" s="241"/>
      <c r="BB79" s="241"/>
      <c r="BC79" s="241"/>
      <c r="BD79" s="241"/>
      <c r="BE79" s="241"/>
      <c r="BF79" s="241"/>
      <c r="BG79" s="241"/>
      <c r="BH79" s="241"/>
      <c r="BI79" s="241"/>
      <c r="BJ79" s="241"/>
      <c r="BK79" s="241"/>
      <c r="BL79" s="241"/>
      <c r="BM79" s="241"/>
      <c r="BN79" s="241"/>
      <c r="BO79" s="241"/>
      <c r="BP79" s="241"/>
      <c r="BQ79" s="241"/>
      <c r="BR79" s="241"/>
      <c r="BS79" s="241"/>
      <c r="BT79" s="241"/>
      <c r="BU79" s="241"/>
      <c r="BV79" s="241"/>
      <c r="BW79" s="241"/>
      <c r="BX79" s="241"/>
      <c r="BY79" s="241"/>
      <c r="BZ79" s="242"/>
      <c r="CB79" s="133" t="str">
        <f ca="1">Calculations!AN10</f>
        <v/>
      </c>
      <c r="CC79" s="134"/>
      <c r="CD79" s="134"/>
      <c r="CE79" s="134"/>
      <c r="CF79" s="134"/>
      <c r="CG79" s="134"/>
      <c r="CH79" s="134"/>
      <c r="CI79" s="134"/>
      <c r="CJ79" s="134"/>
      <c r="CK79" s="134"/>
      <c r="CL79" s="134"/>
      <c r="CM79" s="134"/>
      <c r="CN79" s="134"/>
      <c r="CO79" s="134"/>
      <c r="CP79" s="134"/>
      <c r="CQ79" s="134"/>
      <c r="CR79" s="134"/>
      <c r="CS79" s="134"/>
      <c r="CT79" s="134"/>
      <c r="CU79" s="134"/>
      <c r="CV79" s="134"/>
      <c r="CW79" s="134"/>
      <c r="CX79" s="134"/>
      <c r="CY79" s="134"/>
      <c r="CZ79" s="134"/>
      <c r="DA79" s="134"/>
      <c r="DB79" s="134"/>
      <c r="DC79" s="134"/>
      <c r="DD79" s="134"/>
      <c r="DE79" s="130" t="str">
        <f ca="1">Calculations!AO10</f>
        <v/>
      </c>
      <c r="DF79" s="130"/>
      <c r="DG79" s="130"/>
      <c r="DH79" s="130"/>
      <c r="DI79" s="130"/>
      <c r="DJ79" s="130"/>
      <c r="DK79" s="130"/>
      <c r="DL79" s="130"/>
      <c r="DM79" s="130"/>
      <c r="DN79" s="117"/>
      <c r="DO79" s="134" t="str">
        <f ca="1">Calculations!AN11</f>
        <v/>
      </c>
      <c r="DP79" s="134"/>
      <c r="DQ79" s="134"/>
      <c r="DR79" s="134"/>
      <c r="DS79" s="134"/>
      <c r="DT79" s="134"/>
      <c r="DU79" s="134"/>
      <c r="DV79" s="134"/>
      <c r="DW79" s="134"/>
      <c r="DX79" s="134"/>
      <c r="DY79" s="134"/>
      <c r="DZ79" s="134"/>
      <c r="EA79" s="134"/>
      <c r="EB79" s="134"/>
      <c r="EC79" s="134"/>
      <c r="ED79" s="134"/>
      <c r="EE79" s="134"/>
      <c r="EF79" s="134"/>
      <c r="EG79" s="134"/>
      <c r="EH79" s="134"/>
      <c r="EI79" s="134"/>
      <c r="EJ79" s="134"/>
      <c r="EK79" s="134"/>
      <c r="EL79" s="134"/>
      <c r="EM79" s="134"/>
      <c r="EN79" s="134"/>
      <c r="EO79" s="134"/>
      <c r="EP79" s="134"/>
      <c r="EQ79" s="134"/>
      <c r="ER79" s="130" t="str">
        <f ca="1">Calculations!AO11</f>
        <v/>
      </c>
      <c r="ES79" s="130"/>
      <c r="ET79" s="130"/>
      <c r="EU79" s="130"/>
      <c r="EV79" s="130"/>
      <c r="EW79" s="130"/>
      <c r="EX79" s="130"/>
      <c r="EY79" s="130"/>
      <c r="EZ79" s="238"/>
      <c r="FB79" s="151"/>
      <c r="FC79" s="128"/>
      <c r="FD79" s="128"/>
      <c r="FE79" s="128"/>
      <c r="FF79" s="128"/>
      <c r="FG79" s="128"/>
      <c r="FH79" s="128"/>
      <c r="FI79" s="128"/>
      <c r="FJ79" s="128"/>
      <c r="FK79" s="128"/>
      <c r="FL79" s="128"/>
      <c r="FM79" s="128"/>
      <c r="FN79" s="128"/>
      <c r="FO79" s="128"/>
      <c r="FP79" s="128"/>
      <c r="FQ79" s="128"/>
      <c r="FR79" s="128"/>
      <c r="FS79" s="128"/>
      <c r="FT79" s="128"/>
      <c r="FU79" s="128"/>
      <c r="FV79" s="128"/>
      <c r="FW79" s="128"/>
      <c r="FX79" s="128"/>
      <c r="FY79" s="128"/>
      <c r="FZ79" s="128"/>
      <c r="GA79" s="128"/>
      <c r="GB79" s="128"/>
      <c r="GC79" s="128"/>
      <c r="GD79" s="128"/>
      <c r="GE79" s="128"/>
      <c r="GF79" s="128"/>
      <c r="GG79" s="128"/>
      <c r="GH79" s="128"/>
      <c r="GI79" s="128"/>
      <c r="GJ79" s="128"/>
      <c r="GK79" s="128"/>
      <c r="GL79" s="128"/>
      <c r="GM79" s="128"/>
      <c r="GN79" s="128"/>
      <c r="GO79" s="128"/>
      <c r="GP79" s="128"/>
      <c r="GQ79" s="128"/>
      <c r="GR79" s="128"/>
      <c r="GS79" s="128"/>
      <c r="GT79" s="141">
        <v>0</v>
      </c>
      <c r="GU79" s="141"/>
      <c r="GV79" s="141"/>
      <c r="GW79" s="141"/>
      <c r="GX79" s="141"/>
      <c r="GY79" s="141"/>
      <c r="GZ79" s="141"/>
      <c r="HA79" s="141"/>
      <c r="HB79" s="142" t="str">
        <f>IFERROR(ROUND(Calculations!BV80*GT79,2),"")</f>
        <v/>
      </c>
      <c r="HC79" s="142"/>
      <c r="HD79" s="142"/>
      <c r="HE79" s="142"/>
      <c r="HF79" s="142"/>
      <c r="HG79" s="142"/>
      <c r="HH79" s="142"/>
      <c r="HI79" s="142"/>
      <c r="HJ79" s="142">
        <f>IFERROR(Calculations!BS80+IQ79+IX79,"")</f>
        <v>0</v>
      </c>
      <c r="HK79" s="142"/>
      <c r="HL79" s="142"/>
      <c r="HM79" s="142"/>
      <c r="HN79" s="142"/>
      <c r="HO79" s="142"/>
      <c r="HP79" s="142"/>
      <c r="HQ79" s="142"/>
      <c r="HR79" s="142" t="str">
        <f t="shared" si="9"/>
        <v/>
      </c>
      <c r="HS79" s="142"/>
      <c r="HT79" s="142"/>
      <c r="HU79" s="142"/>
      <c r="HV79" s="142"/>
      <c r="HW79" s="142"/>
      <c r="HX79" s="142"/>
      <c r="HY79" s="142"/>
      <c r="HZ79" s="142" t="str">
        <f>IFERROR(Calculations!BX80,"")</f>
        <v/>
      </c>
      <c r="IA79" s="142"/>
      <c r="IB79" s="142"/>
      <c r="IC79" s="142"/>
      <c r="ID79" s="142"/>
      <c r="IE79" s="142"/>
      <c r="IF79" s="142"/>
      <c r="IG79" s="142"/>
      <c r="IH79" s="142"/>
      <c r="II79" s="142"/>
      <c r="IJ79" s="142" t="str">
        <f>IFERROR(Calculations!BR80+IX79,"")</f>
        <v/>
      </c>
      <c r="IK79" s="142"/>
      <c r="IL79" s="142"/>
      <c r="IM79" s="142"/>
      <c r="IN79" s="142"/>
      <c r="IO79" s="142"/>
      <c r="IP79" s="142"/>
      <c r="IQ79" s="141">
        <v>0</v>
      </c>
      <c r="IR79" s="141"/>
      <c r="IS79" s="141"/>
      <c r="IT79" s="141"/>
      <c r="IU79" s="141"/>
      <c r="IV79" s="141"/>
      <c r="IW79" s="141"/>
      <c r="IX79" s="141">
        <v>0</v>
      </c>
      <c r="IY79" s="141"/>
      <c r="IZ79" s="141"/>
      <c r="JA79" s="141"/>
      <c r="JB79" s="141"/>
      <c r="JC79" s="141"/>
      <c r="JD79" s="141"/>
      <c r="JE79" s="141"/>
      <c r="JF79" s="142"/>
      <c r="JG79" s="142"/>
      <c r="JH79" s="142"/>
      <c r="JI79" s="142"/>
      <c r="JJ79" s="142"/>
      <c r="JK79" s="143" t="str">
        <f>Calculations!AS80</f>
        <v/>
      </c>
      <c r="JL79" s="143"/>
      <c r="JM79" s="143"/>
      <c r="JN79" s="143"/>
      <c r="JO79" s="143"/>
      <c r="JP79" s="143"/>
      <c r="JQ79" s="143"/>
      <c r="JR79" s="143"/>
      <c r="JS79" s="143"/>
      <c r="JT79" s="143"/>
      <c r="JU79" s="143"/>
      <c r="JV79" s="143"/>
      <c r="JW79" s="143"/>
      <c r="JX79" s="143"/>
      <c r="JY79" s="143"/>
      <c r="JZ79" s="143"/>
      <c r="KA79" s="143"/>
      <c r="KB79" s="143"/>
      <c r="KC79" s="143" t="str">
        <f>Calculations!AW80</f>
        <v/>
      </c>
      <c r="KD79" s="143"/>
      <c r="KE79" s="143"/>
      <c r="KF79" s="143"/>
      <c r="KG79" s="143"/>
      <c r="KH79" s="143"/>
      <c r="KI79" s="143"/>
      <c r="KJ79" s="143"/>
      <c r="KK79" s="143"/>
      <c r="KL79" s="143"/>
      <c r="KM79" s="143"/>
      <c r="KN79" s="143"/>
      <c r="KO79" s="143"/>
      <c r="KP79" s="143"/>
      <c r="KQ79" s="143"/>
      <c r="KR79" s="143"/>
      <c r="KS79" s="143"/>
      <c r="KT79" s="143"/>
      <c r="KU79" s="144"/>
      <c r="KV79" s="144"/>
      <c r="KW79" s="144"/>
      <c r="KX79" s="144"/>
      <c r="KY79" s="144"/>
      <c r="KZ79" s="144"/>
      <c r="LA79" s="144"/>
      <c r="LB79" s="144"/>
      <c r="LC79" s="144"/>
      <c r="LD79" s="144"/>
      <c r="LE79" s="144"/>
      <c r="LF79" s="144"/>
      <c r="LG79" s="144"/>
      <c r="LH79" s="144"/>
      <c r="LI79" s="144"/>
      <c r="LJ79" s="144"/>
      <c r="LK79" s="144"/>
      <c r="LL79" s="144"/>
      <c r="LM79" s="144"/>
      <c r="LN79" s="144"/>
      <c r="LO79" s="144"/>
      <c r="LP79" s="144"/>
      <c r="LQ79" s="144"/>
      <c r="LR79" s="144"/>
      <c r="LS79" s="144"/>
      <c r="LT79" s="144"/>
      <c r="LU79" s="144"/>
      <c r="LV79" s="144"/>
      <c r="LW79" s="144"/>
      <c r="LX79" s="144"/>
      <c r="LY79" s="144"/>
      <c r="LZ79" s="144"/>
      <c r="MA79" s="144"/>
      <c r="MB79" s="144"/>
      <c r="MC79" s="144"/>
      <c r="MD79" s="144"/>
      <c r="ME79" s="144"/>
      <c r="MF79" s="144"/>
      <c r="MG79" s="144"/>
      <c r="MH79" s="144"/>
      <c r="MI79" s="144"/>
      <c r="MJ79" s="144"/>
      <c r="MK79" s="144"/>
      <c r="ML79" s="144"/>
      <c r="MM79" s="144"/>
      <c r="MN79" s="144"/>
      <c r="MO79" s="144"/>
      <c r="MP79" s="144"/>
      <c r="MQ79" s="144"/>
      <c r="MR79" s="144"/>
      <c r="MS79" s="144"/>
      <c r="MT79" s="144"/>
      <c r="MU79" s="144"/>
      <c r="MV79" s="144"/>
      <c r="MW79" s="144"/>
      <c r="MX79" s="144"/>
      <c r="MY79" s="144"/>
      <c r="MZ79" s="145"/>
      <c r="BLR79" s="128"/>
      <c r="BLS79" s="128"/>
      <c r="BLT79" s="128"/>
      <c r="BLU79" s="128"/>
      <c r="BLV79" s="128"/>
      <c r="BLW79" s="128"/>
      <c r="BLX79" s="128"/>
      <c r="BLY79" s="128"/>
      <c r="BLZ79" s="128"/>
      <c r="BMA79" s="128"/>
      <c r="BMB79" s="128"/>
      <c r="BMC79" s="128"/>
      <c r="BMD79" s="128"/>
      <c r="BME79" s="128"/>
      <c r="BMF79" s="128"/>
      <c r="BMG79" s="128"/>
      <c r="BMH79" s="128"/>
      <c r="BMI79" s="128"/>
      <c r="BMJ79" s="128"/>
      <c r="BMK79" s="128"/>
      <c r="BML79" s="128"/>
      <c r="BMM79" s="128"/>
      <c r="BMN79" s="128"/>
      <c r="BMO79" s="128"/>
      <c r="BMP79" s="128"/>
      <c r="BMQ79" s="128"/>
      <c r="BMR79" s="128"/>
      <c r="BMS79" s="128"/>
      <c r="BMT79" s="128"/>
      <c r="BMU79" s="128"/>
      <c r="BMV79" s="128"/>
      <c r="BMW79" s="129"/>
      <c r="BMX79" s="129"/>
      <c r="BMY79" s="129"/>
      <c r="BMZ79" s="129"/>
      <c r="BNA79" s="129"/>
      <c r="BNB79" s="129"/>
      <c r="BNC79" s="129"/>
      <c r="BND79" s="129"/>
      <c r="BNE79" s="129"/>
      <c r="BNF79" s="129"/>
      <c r="BNG79" s="129"/>
      <c r="BNH79" s="129"/>
      <c r="BNI79" s="129"/>
      <c r="BNJ79" s="129"/>
      <c r="BNK79" s="129"/>
      <c r="BNL79" s="129"/>
      <c r="BNM79" s="129"/>
      <c r="BNN79" s="129"/>
      <c r="BNO79" s="129"/>
      <c r="BNP79" s="129"/>
      <c r="BNQ79" s="129"/>
      <c r="BNR79" s="128"/>
      <c r="BNS79" s="128"/>
      <c r="BNT79" s="128"/>
      <c r="BNU79" s="128"/>
      <c r="BNV79" s="128"/>
      <c r="BNW79" s="128"/>
      <c r="BNX79" s="129"/>
      <c r="BNY79" s="129"/>
      <c r="BNZ79" s="129"/>
      <c r="BOA79" s="129"/>
      <c r="BOB79" s="129"/>
      <c r="BOC79" s="129"/>
      <c r="BOD79" s="129"/>
      <c r="BOE79" s="129"/>
      <c r="BOF79" s="129"/>
      <c r="BOG79" s="129"/>
      <c r="BOH79" s="129"/>
      <c r="BOI79" s="129"/>
      <c r="BOJ79" s="129"/>
      <c r="BOK79" s="129"/>
      <c r="BOL79" s="129"/>
      <c r="BOM79" s="129"/>
      <c r="BON79" s="129"/>
      <c r="BOO79" s="129"/>
      <c r="BOP79" s="129"/>
      <c r="BOQ79" s="129"/>
      <c r="BOR79" s="129"/>
      <c r="BOS79" s="129"/>
      <c r="BOT79" s="129"/>
      <c r="BOU79" s="129"/>
      <c r="BOV79" s="129"/>
      <c r="BOW79" s="129"/>
      <c r="BOX79" s="129"/>
      <c r="BOY79" s="129"/>
      <c r="BOZ79" s="128"/>
      <c r="BPA79" s="128"/>
      <c r="BPB79" s="128"/>
      <c r="BPC79" s="128"/>
      <c r="BPD79" s="128"/>
      <c r="BPE79" s="128"/>
      <c r="BPF79" s="128"/>
    </row>
    <row r="80" spans="2:364 1682:1774" ht="15" customHeight="1" x14ac:dyDescent="0.25">
      <c r="B80" s="260" t="s">
        <v>108</v>
      </c>
      <c r="C80" s="261"/>
      <c r="D80" s="261"/>
      <c r="E80" s="261"/>
      <c r="F80" s="261"/>
      <c r="G80" s="261"/>
      <c r="H80" s="261"/>
      <c r="I80" s="261"/>
      <c r="J80" s="261"/>
      <c r="K80" s="261"/>
      <c r="L80" s="261"/>
      <c r="M80" s="261"/>
      <c r="N80" s="261"/>
      <c r="O80" s="261"/>
      <c r="P80" s="261"/>
      <c r="Q80" s="261"/>
      <c r="R80" s="261"/>
      <c r="S80" s="261"/>
      <c r="T80" s="261"/>
      <c r="U80" s="261"/>
      <c r="V80" s="261"/>
      <c r="W80" s="208" t="s">
        <v>3910</v>
      </c>
      <c r="X80" s="208"/>
      <c r="Y80" s="208"/>
      <c r="Z80" s="208"/>
      <c r="AA80" s="208"/>
      <c r="AB80" s="208"/>
      <c r="AC80" s="208"/>
      <c r="AD80" s="208"/>
      <c r="AE80" s="208" t="s">
        <v>110</v>
      </c>
      <c r="AF80" s="208"/>
      <c r="AG80" s="208"/>
      <c r="AH80" s="208"/>
      <c r="AI80" s="208"/>
      <c r="AJ80" s="208"/>
      <c r="AK80" s="208" t="s">
        <v>111</v>
      </c>
      <c r="AL80" s="208"/>
      <c r="AM80" s="208"/>
      <c r="AN80" s="208"/>
      <c r="AO80" s="208"/>
      <c r="AP80" s="208"/>
      <c r="AQ80" s="208"/>
      <c r="AR80" s="208" t="s">
        <v>83</v>
      </c>
      <c r="AS80" s="208"/>
      <c r="AT80" s="208"/>
      <c r="AU80" s="208"/>
      <c r="AV80" s="208"/>
      <c r="AW80" s="208"/>
      <c r="AX80" s="208"/>
      <c r="AY80" s="229" t="s">
        <v>50</v>
      </c>
      <c r="AZ80" s="229"/>
      <c r="BA80" s="229"/>
      <c r="BB80" s="229"/>
      <c r="BC80" s="229"/>
      <c r="BD80" s="229"/>
      <c r="BE80" s="229"/>
      <c r="BF80" s="208" t="s">
        <v>112</v>
      </c>
      <c r="BG80" s="208"/>
      <c r="BH80" s="208"/>
      <c r="BI80" s="208"/>
      <c r="BJ80" s="208"/>
      <c r="BK80" s="208"/>
      <c r="BL80" s="208"/>
      <c r="BM80" s="208" t="s">
        <v>113</v>
      </c>
      <c r="BN80" s="208"/>
      <c r="BO80" s="208"/>
      <c r="BP80" s="208"/>
      <c r="BQ80" s="208"/>
      <c r="BR80" s="208"/>
      <c r="BS80" s="208"/>
      <c r="BT80" s="208" t="s">
        <v>109</v>
      </c>
      <c r="BU80" s="208"/>
      <c r="BV80" s="208"/>
      <c r="BW80" s="208"/>
      <c r="BX80" s="208"/>
      <c r="BY80" s="208"/>
      <c r="BZ80" s="209"/>
      <c r="CB80" s="135" t="str">
        <f ca="1">Calculations!AN12</f>
        <v/>
      </c>
      <c r="CC80" s="136"/>
      <c r="CD80" s="136"/>
      <c r="CE80" s="136"/>
      <c r="CF80" s="136"/>
      <c r="CG80" s="136"/>
      <c r="CH80" s="136"/>
      <c r="CI80" s="136"/>
      <c r="CJ80" s="136"/>
      <c r="CK80" s="136"/>
      <c r="CL80" s="136"/>
      <c r="CM80" s="136"/>
      <c r="CN80" s="136"/>
      <c r="CO80" s="136"/>
      <c r="CP80" s="136"/>
      <c r="CQ80" s="136"/>
      <c r="CR80" s="136"/>
      <c r="CS80" s="136"/>
      <c r="CT80" s="136"/>
      <c r="CU80" s="136"/>
      <c r="CV80" s="136"/>
      <c r="CW80" s="136"/>
      <c r="CX80" s="136"/>
      <c r="CY80" s="136"/>
      <c r="CZ80" s="136"/>
      <c r="DA80" s="136"/>
      <c r="DB80" s="136"/>
      <c r="DC80" s="136"/>
      <c r="DD80" s="136"/>
      <c r="DE80" s="131" t="str">
        <f ca="1">Calculations!AO12</f>
        <v/>
      </c>
      <c r="DF80" s="131"/>
      <c r="DG80" s="131"/>
      <c r="DH80" s="131"/>
      <c r="DI80" s="131"/>
      <c r="DJ80" s="131"/>
      <c r="DK80" s="131"/>
      <c r="DL80" s="131"/>
      <c r="DM80" s="131"/>
      <c r="DN80" s="116"/>
      <c r="DO80" s="136" t="str">
        <f ca="1">Calculations!AN13</f>
        <v/>
      </c>
      <c r="DP80" s="136"/>
      <c r="DQ80" s="136"/>
      <c r="DR80" s="136"/>
      <c r="DS80" s="136"/>
      <c r="DT80" s="136"/>
      <c r="DU80" s="136"/>
      <c r="DV80" s="136"/>
      <c r="DW80" s="136"/>
      <c r="DX80" s="136"/>
      <c r="DY80" s="136"/>
      <c r="DZ80" s="136"/>
      <c r="EA80" s="136"/>
      <c r="EB80" s="136"/>
      <c r="EC80" s="136"/>
      <c r="ED80" s="136"/>
      <c r="EE80" s="136"/>
      <c r="EF80" s="136"/>
      <c r="EG80" s="136"/>
      <c r="EH80" s="136"/>
      <c r="EI80" s="136"/>
      <c r="EJ80" s="136"/>
      <c r="EK80" s="136"/>
      <c r="EL80" s="136"/>
      <c r="EM80" s="136"/>
      <c r="EN80" s="136"/>
      <c r="EO80" s="136"/>
      <c r="EP80" s="136"/>
      <c r="EQ80" s="136"/>
      <c r="ER80" s="131" t="str">
        <f ca="1">Calculations!AO13</f>
        <v/>
      </c>
      <c r="ES80" s="131"/>
      <c r="ET80" s="131"/>
      <c r="EU80" s="131"/>
      <c r="EV80" s="131"/>
      <c r="EW80" s="131"/>
      <c r="EX80" s="131"/>
      <c r="EY80" s="131"/>
      <c r="EZ80" s="239"/>
      <c r="FB80" s="151"/>
      <c r="FC80" s="128"/>
      <c r="FD80" s="128"/>
      <c r="FE80" s="128"/>
      <c r="FF80" s="128"/>
      <c r="FG80" s="128"/>
      <c r="FH80" s="128"/>
      <c r="FI80" s="128"/>
      <c r="FJ80" s="128"/>
      <c r="FK80" s="128"/>
      <c r="FL80" s="128"/>
      <c r="FM80" s="128"/>
      <c r="FN80" s="128"/>
      <c r="FO80" s="128"/>
      <c r="FP80" s="128"/>
      <c r="FQ80" s="128"/>
      <c r="FR80" s="128"/>
      <c r="FS80" s="128"/>
      <c r="FT80" s="128"/>
      <c r="FU80" s="128"/>
      <c r="FV80" s="128"/>
      <c r="FW80" s="128"/>
      <c r="FX80" s="128"/>
      <c r="FY80" s="128"/>
      <c r="FZ80" s="128"/>
      <c r="GA80" s="128"/>
      <c r="GB80" s="128"/>
      <c r="GC80" s="128"/>
      <c r="GD80" s="128"/>
      <c r="GE80" s="128"/>
      <c r="GF80" s="128"/>
      <c r="GG80" s="128"/>
      <c r="GH80" s="128"/>
      <c r="GI80" s="128"/>
      <c r="GJ80" s="128"/>
      <c r="GK80" s="128"/>
      <c r="GL80" s="128"/>
      <c r="GM80" s="128"/>
      <c r="GN80" s="128"/>
      <c r="GO80" s="128"/>
      <c r="GP80" s="128"/>
      <c r="GQ80" s="128"/>
      <c r="GR80" s="128"/>
      <c r="GS80" s="128"/>
      <c r="GT80" s="141">
        <v>0</v>
      </c>
      <c r="GU80" s="141"/>
      <c r="GV80" s="141"/>
      <c r="GW80" s="141"/>
      <c r="GX80" s="141"/>
      <c r="GY80" s="141"/>
      <c r="GZ80" s="141"/>
      <c r="HA80" s="141"/>
      <c r="HB80" s="142" t="str">
        <f>IFERROR(ROUND(Calculations!BV81*GT80,2),"")</f>
        <v/>
      </c>
      <c r="HC80" s="142"/>
      <c r="HD80" s="142"/>
      <c r="HE80" s="142"/>
      <c r="HF80" s="142"/>
      <c r="HG80" s="142"/>
      <c r="HH80" s="142"/>
      <c r="HI80" s="142"/>
      <c r="HJ80" s="142">
        <f>IFERROR(Calculations!BS81+IQ80+IX80,"")</f>
        <v>0</v>
      </c>
      <c r="HK80" s="142"/>
      <c r="HL80" s="142"/>
      <c r="HM80" s="142"/>
      <c r="HN80" s="142"/>
      <c r="HO80" s="142"/>
      <c r="HP80" s="142"/>
      <c r="HQ80" s="142"/>
      <c r="HR80" s="142" t="str">
        <f t="shared" si="9"/>
        <v/>
      </c>
      <c r="HS80" s="142"/>
      <c r="HT80" s="142"/>
      <c r="HU80" s="142"/>
      <c r="HV80" s="142"/>
      <c r="HW80" s="142"/>
      <c r="HX80" s="142"/>
      <c r="HY80" s="142"/>
      <c r="HZ80" s="142" t="str">
        <f>IFERROR(Calculations!BX81,"")</f>
        <v/>
      </c>
      <c r="IA80" s="142"/>
      <c r="IB80" s="142"/>
      <c r="IC80" s="142"/>
      <c r="ID80" s="142"/>
      <c r="IE80" s="142"/>
      <c r="IF80" s="142"/>
      <c r="IG80" s="142"/>
      <c r="IH80" s="142"/>
      <c r="II80" s="142"/>
      <c r="IJ80" s="142" t="str">
        <f>IFERROR(Calculations!BR81+IX80,"")</f>
        <v/>
      </c>
      <c r="IK80" s="142"/>
      <c r="IL80" s="142"/>
      <c r="IM80" s="142"/>
      <c r="IN80" s="142"/>
      <c r="IO80" s="142"/>
      <c r="IP80" s="142"/>
      <c r="IQ80" s="141">
        <v>0</v>
      </c>
      <c r="IR80" s="141"/>
      <c r="IS80" s="141"/>
      <c r="IT80" s="141"/>
      <c r="IU80" s="141"/>
      <c r="IV80" s="141"/>
      <c r="IW80" s="141"/>
      <c r="IX80" s="141">
        <v>0</v>
      </c>
      <c r="IY80" s="141"/>
      <c r="IZ80" s="141"/>
      <c r="JA80" s="141"/>
      <c r="JB80" s="141"/>
      <c r="JC80" s="141"/>
      <c r="JD80" s="141"/>
      <c r="JE80" s="141"/>
      <c r="JF80" s="142"/>
      <c r="JG80" s="142"/>
      <c r="JH80" s="142"/>
      <c r="JI80" s="142"/>
      <c r="JJ80" s="142"/>
      <c r="JK80" s="143" t="str">
        <f>Calculations!AS81</f>
        <v/>
      </c>
      <c r="JL80" s="143"/>
      <c r="JM80" s="143"/>
      <c r="JN80" s="143"/>
      <c r="JO80" s="143"/>
      <c r="JP80" s="143"/>
      <c r="JQ80" s="143"/>
      <c r="JR80" s="143"/>
      <c r="JS80" s="143"/>
      <c r="JT80" s="143"/>
      <c r="JU80" s="143"/>
      <c r="JV80" s="143"/>
      <c r="JW80" s="143"/>
      <c r="JX80" s="143"/>
      <c r="JY80" s="143"/>
      <c r="JZ80" s="143"/>
      <c r="KA80" s="143"/>
      <c r="KB80" s="143"/>
      <c r="KC80" s="143" t="str">
        <f>Calculations!AW81</f>
        <v/>
      </c>
      <c r="KD80" s="143"/>
      <c r="KE80" s="143"/>
      <c r="KF80" s="143"/>
      <c r="KG80" s="143"/>
      <c r="KH80" s="143"/>
      <c r="KI80" s="143"/>
      <c r="KJ80" s="143"/>
      <c r="KK80" s="143"/>
      <c r="KL80" s="143"/>
      <c r="KM80" s="143"/>
      <c r="KN80" s="143"/>
      <c r="KO80" s="143"/>
      <c r="KP80" s="143"/>
      <c r="KQ80" s="143"/>
      <c r="KR80" s="143"/>
      <c r="KS80" s="143"/>
      <c r="KT80" s="143"/>
      <c r="KU80" s="144"/>
      <c r="KV80" s="144"/>
      <c r="KW80" s="144"/>
      <c r="KX80" s="144"/>
      <c r="KY80" s="144"/>
      <c r="KZ80" s="144"/>
      <c r="LA80" s="144"/>
      <c r="LB80" s="144"/>
      <c r="LC80" s="144"/>
      <c r="LD80" s="144"/>
      <c r="LE80" s="144"/>
      <c r="LF80" s="144"/>
      <c r="LG80" s="144"/>
      <c r="LH80" s="144"/>
      <c r="LI80" s="144"/>
      <c r="LJ80" s="144"/>
      <c r="LK80" s="144"/>
      <c r="LL80" s="144"/>
      <c r="LM80" s="144"/>
      <c r="LN80" s="144"/>
      <c r="LO80" s="144"/>
      <c r="LP80" s="144"/>
      <c r="LQ80" s="144"/>
      <c r="LR80" s="144"/>
      <c r="LS80" s="144"/>
      <c r="LT80" s="144"/>
      <c r="LU80" s="144"/>
      <c r="LV80" s="144"/>
      <c r="LW80" s="144"/>
      <c r="LX80" s="144"/>
      <c r="LY80" s="144"/>
      <c r="LZ80" s="144"/>
      <c r="MA80" s="144"/>
      <c r="MB80" s="144"/>
      <c r="MC80" s="144"/>
      <c r="MD80" s="144"/>
      <c r="ME80" s="144"/>
      <c r="MF80" s="144"/>
      <c r="MG80" s="144"/>
      <c r="MH80" s="144"/>
      <c r="MI80" s="144"/>
      <c r="MJ80" s="144"/>
      <c r="MK80" s="144"/>
      <c r="ML80" s="144"/>
      <c r="MM80" s="144"/>
      <c r="MN80" s="144"/>
      <c r="MO80" s="144"/>
      <c r="MP80" s="144"/>
      <c r="MQ80" s="144"/>
      <c r="MR80" s="144"/>
      <c r="MS80" s="144"/>
      <c r="MT80" s="144"/>
      <c r="MU80" s="144"/>
      <c r="MV80" s="144"/>
      <c r="MW80" s="144"/>
      <c r="MX80" s="144"/>
      <c r="MY80" s="144"/>
      <c r="MZ80" s="145"/>
      <c r="BLR80" s="128"/>
      <c r="BLS80" s="128"/>
      <c r="BLT80" s="128"/>
      <c r="BLU80" s="128"/>
      <c r="BLV80" s="128"/>
      <c r="BLW80" s="128"/>
      <c r="BLX80" s="128"/>
      <c r="BLY80" s="128"/>
      <c r="BLZ80" s="128"/>
      <c r="BMA80" s="128"/>
      <c r="BMB80" s="128"/>
      <c r="BMC80" s="128"/>
      <c r="BMD80" s="128"/>
      <c r="BME80" s="128"/>
      <c r="BMF80" s="128"/>
      <c r="BMG80" s="128"/>
      <c r="BMH80" s="128"/>
      <c r="BMI80" s="128"/>
      <c r="BMJ80" s="128"/>
      <c r="BMK80" s="128"/>
      <c r="BML80" s="128"/>
      <c r="BMM80" s="128"/>
      <c r="BMN80" s="128"/>
      <c r="BMO80" s="128"/>
      <c r="BMP80" s="128"/>
      <c r="BMQ80" s="128"/>
      <c r="BMR80" s="128"/>
      <c r="BMS80" s="128"/>
      <c r="BMT80" s="128"/>
      <c r="BMU80" s="128"/>
      <c r="BMV80" s="128"/>
      <c r="BMW80" s="129"/>
      <c r="BMX80" s="129"/>
      <c r="BMY80" s="129"/>
      <c r="BMZ80" s="129"/>
      <c r="BNA80" s="129"/>
      <c r="BNB80" s="129"/>
      <c r="BNC80" s="129"/>
      <c r="BND80" s="129"/>
      <c r="BNE80" s="129"/>
      <c r="BNF80" s="129"/>
      <c r="BNG80" s="129"/>
      <c r="BNH80" s="129"/>
      <c r="BNI80" s="129"/>
      <c r="BNJ80" s="129"/>
      <c r="BNK80" s="129"/>
      <c r="BNL80" s="129"/>
      <c r="BNM80" s="129"/>
      <c r="BNN80" s="129"/>
      <c r="BNO80" s="129"/>
      <c r="BNP80" s="129"/>
      <c r="BNQ80" s="129"/>
      <c r="BNR80" s="128"/>
      <c r="BNS80" s="128"/>
      <c r="BNT80" s="128"/>
      <c r="BNU80" s="128"/>
      <c r="BNV80" s="128"/>
      <c r="BNW80" s="128"/>
      <c r="BNX80" s="129"/>
      <c r="BNY80" s="129"/>
      <c r="BNZ80" s="129"/>
      <c r="BOA80" s="129"/>
      <c r="BOB80" s="129"/>
      <c r="BOC80" s="129"/>
      <c r="BOD80" s="129"/>
      <c r="BOE80" s="129"/>
      <c r="BOF80" s="129"/>
      <c r="BOG80" s="129"/>
      <c r="BOH80" s="129"/>
      <c r="BOI80" s="129"/>
      <c r="BOJ80" s="129"/>
      <c r="BOK80" s="129"/>
      <c r="BOL80" s="129"/>
      <c r="BOM80" s="129"/>
      <c r="BON80" s="129"/>
      <c r="BOO80" s="129"/>
      <c r="BOP80" s="129"/>
      <c r="BOQ80" s="129"/>
      <c r="BOR80" s="129"/>
      <c r="BOS80" s="129"/>
      <c r="BOT80" s="129"/>
      <c r="BOU80" s="129"/>
      <c r="BOV80" s="129"/>
      <c r="BOW80" s="129"/>
      <c r="BOX80" s="129"/>
      <c r="BOY80" s="129"/>
      <c r="BOZ80" s="128"/>
      <c r="BPA80" s="128"/>
      <c r="BPB80" s="128"/>
      <c r="BPC80" s="128"/>
      <c r="BPD80" s="128"/>
      <c r="BPE80" s="128"/>
      <c r="BPF80" s="128"/>
    </row>
    <row r="81" spans="1:364 1682:1774" ht="15" customHeight="1" x14ac:dyDescent="0.25">
      <c r="A81" s="2">
        <v>1</v>
      </c>
      <c r="B81" s="133" t="str">
        <f ca="1">IFERROR(VLOOKUP(A81,Calculations!$ER$2:$ET$31,2,FALSE),"")</f>
        <v/>
      </c>
      <c r="C81" s="134"/>
      <c r="D81" s="134"/>
      <c r="E81" s="134"/>
      <c r="F81" s="134"/>
      <c r="G81" s="134"/>
      <c r="H81" s="134"/>
      <c r="I81" s="134"/>
      <c r="J81" s="134"/>
      <c r="K81" s="134"/>
      <c r="L81" s="134"/>
      <c r="M81" s="134"/>
      <c r="N81" s="134"/>
      <c r="O81" s="134"/>
      <c r="P81" s="134"/>
      <c r="Q81" s="134"/>
      <c r="R81" s="134"/>
      <c r="S81" s="134"/>
      <c r="T81" s="134"/>
      <c r="U81" s="134"/>
      <c r="V81" s="134"/>
      <c r="W81" s="130" t="str">
        <f ca="1">IFERROR(VLOOKUP(B81,Skills!$N$405:$AF$440,19,FALSE),"")</f>
        <v/>
      </c>
      <c r="X81" s="130"/>
      <c r="Y81" s="130"/>
      <c r="Z81" s="130"/>
      <c r="AA81" s="130"/>
      <c r="AB81" s="130"/>
      <c r="AC81" s="130"/>
      <c r="AD81" s="130"/>
      <c r="AE81" s="130" t="str">
        <f ca="1">IF(B81="","",MAX(0,IFERROR(VLOOKUP(B81,Skills!$N$376:$AF$380,19,FALSE),0)))</f>
        <v/>
      </c>
      <c r="AF81" s="130"/>
      <c r="AG81" s="130"/>
      <c r="AH81" s="130"/>
      <c r="AI81" s="130"/>
      <c r="AJ81" s="130"/>
      <c r="AK81" s="130" t="str">
        <f ca="1">IF(B81="","",IFERROR(VLOOKUP(B81,Skills!$N$383:$AF$387,19,FALSE),0))</f>
        <v/>
      </c>
      <c r="AL81" s="130"/>
      <c r="AM81" s="130"/>
      <c r="AN81" s="130"/>
      <c r="AO81" s="130"/>
      <c r="AP81" s="130"/>
      <c r="AQ81" s="130"/>
      <c r="AR81" s="130" t="str">
        <f ca="1">IF(B81="","",(VLOOKUP(B81,Skills!$N$405:$S$440,6,FALSE)))</f>
        <v/>
      </c>
      <c r="AS81" s="130"/>
      <c r="AT81" s="130"/>
      <c r="AU81" s="130"/>
      <c r="AV81" s="130"/>
      <c r="AW81" s="130"/>
      <c r="AX81" s="130"/>
      <c r="AY81" s="130" t="str">
        <f ca="1">IF(B81="","",Calculations!$H$10)</f>
        <v/>
      </c>
      <c r="AZ81" s="130"/>
      <c r="BA81" s="130"/>
      <c r="BB81" s="130"/>
      <c r="BC81" s="130"/>
      <c r="BD81" s="130"/>
      <c r="BE81" s="130"/>
      <c r="BF81" s="130" t="str">
        <f ca="1">SUBSTITUTE(IFERROR(VLOOKUP(A81,Calculations!$ER$2:$ET$31,3,FALSE),""),"Restricted","Rest.")</f>
        <v/>
      </c>
      <c r="BG81" s="130"/>
      <c r="BH81" s="130"/>
      <c r="BI81" s="130"/>
      <c r="BJ81" s="130"/>
      <c r="BK81" s="130"/>
      <c r="BL81" s="130"/>
      <c r="BM81" s="130"/>
      <c r="BN81" s="130"/>
      <c r="BO81" s="130"/>
      <c r="BP81" s="130"/>
      <c r="BQ81" s="130"/>
      <c r="BR81" s="130"/>
      <c r="BS81" s="130"/>
      <c r="BT81" s="130" t="str">
        <f ca="1">IF(B81="","",((AR81)+(AY81)+(VLOOKUP(BF81,Charts!$BV$2:$BW$6,2,FALSE))+(BM81)&amp;"/"&amp;((AR81)+(AY81)+(VLOOKUP(BF81,Charts!$BV$2:$BW$6,2,FALSE))+(BM81)+($BJ$5*2))))</f>
        <v/>
      </c>
      <c r="BU81" s="130"/>
      <c r="BV81" s="130"/>
      <c r="BW81" s="130"/>
      <c r="BX81" s="130"/>
      <c r="BY81" s="130"/>
      <c r="BZ81" s="238"/>
      <c r="CB81" s="133" t="str">
        <f ca="1">Calculations!AN14</f>
        <v/>
      </c>
      <c r="CC81" s="134"/>
      <c r="CD81" s="134"/>
      <c r="CE81" s="134"/>
      <c r="CF81" s="134"/>
      <c r="CG81" s="134"/>
      <c r="CH81" s="134"/>
      <c r="CI81" s="134"/>
      <c r="CJ81" s="134"/>
      <c r="CK81" s="134"/>
      <c r="CL81" s="134"/>
      <c r="CM81" s="134"/>
      <c r="CN81" s="134"/>
      <c r="CO81" s="134"/>
      <c r="CP81" s="134"/>
      <c r="CQ81" s="134"/>
      <c r="CR81" s="134"/>
      <c r="CS81" s="134"/>
      <c r="CT81" s="134"/>
      <c r="CU81" s="134"/>
      <c r="CV81" s="134"/>
      <c r="CW81" s="134"/>
      <c r="CX81" s="134"/>
      <c r="CY81" s="134"/>
      <c r="CZ81" s="134"/>
      <c r="DA81" s="134"/>
      <c r="DB81" s="134"/>
      <c r="DC81" s="134"/>
      <c r="DD81" s="134"/>
      <c r="DE81" s="130" t="str">
        <f ca="1">Calculations!AO14</f>
        <v/>
      </c>
      <c r="DF81" s="130"/>
      <c r="DG81" s="130"/>
      <c r="DH81" s="130"/>
      <c r="DI81" s="130"/>
      <c r="DJ81" s="130"/>
      <c r="DK81" s="130"/>
      <c r="DL81" s="130"/>
      <c r="DM81" s="130"/>
      <c r="DN81" s="117"/>
      <c r="DO81" s="134" t="str">
        <f ca="1">Calculations!AN15</f>
        <v/>
      </c>
      <c r="DP81" s="134"/>
      <c r="DQ81" s="134"/>
      <c r="DR81" s="134"/>
      <c r="DS81" s="134"/>
      <c r="DT81" s="134"/>
      <c r="DU81" s="134"/>
      <c r="DV81" s="134"/>
      <c r="DW81" s="134"/>
      <c r="DX81" s="134"/>
      <c r="DY81" s="134"/>
      <c r="DZ81" s="134"/>
      <c r="EA81" s="134"/>
      <c r="EB81" s="134"/>
      <c r="EC81" s="134"/>
      <c r="ED81" s="134"/>
      <c r="EE81" s="134"/>
      <c r="EF81" s="134"/>
      <c r="EG81" s="134"/>
      <c r="EH81" s="134"/>
      <c r="EI81" s="134"/>
      <c r="EJ81" s="134"/>
      <c r="EK81" s="134"/>
      <c r="EL81" s="134"/>
      <c r="EM81" s="134"/>
      <c r="EN81" s="134"/>
      <c r="EO81" s="134"/>
      <c r="EP81" s="134"/>
      <c r="EQ81" s="134"/>
      <c r="ER81" s="130" t="str">
        <f ca="1">Calculations!AO15</f>
        <v/>
      </c>
      <c r="ES81" s="130"/>
      <c r="ET81" s="130"/>
      <c r="EU81" s="130"/>
      <c r="EV81" s="130"/>
      <c r="EW81" s="130"/>
      <c r="EX81" s="130"/>
      <c r="EY81" s="130"/>
      <c r="EZ81" s="238"/>
      <c r="FB81" s="151"/>
      <c r="FC81" s="128"/>
      <c r="FD81" s="128"/>
      <c r="FE81" s="128"/>
      <c r="FF81" s="128"/>
      <c r="FG81" s="128"/>
      <c r="FH81" s="128"/>
      <c r="FI81" s="128"/>
      <c r="FJ81" s="128"/>
      <c r="FK81" s="128"/>
      <c r="FL81" s="128"/>
      <c r="FM81" s="128"/>
      <c r="FN81" s="128"/>
      <c r="FO81" s="128"/>
      <c r="FP81" s="128"/>
      <c r="FQ81" s="128"/>
      <c r="FR81" s="128"/>
      <c r="FS81" s="128"/>
      <c r="FT81" s="128"/>
      <c r="FU81" s="128"/>
      <c r="FV81" s="128"/>
      <c r="FW81" s="128"/>
      <c r="FX81" s="128"/>
      <c r="FY81" s="128"/>
      <c r="FZ81" s="128"/>
      <c r="GA81" s="128"/>
      <c r="GB81" s="128"/>
      <c r="GC81" s="128"/>
      <c r="GD81" s="128"/>
      <c r="GE81" s="128"/>
      <c r="GF81" s="128"/>
      <c r="GG81" s="128"/>
      <c r="GH81" s="128"/>
      <c r="GI81" s="128"/>
      <c r="GJ81" s="128"/>
      <c r="GK81" s="128"/>
      <c r="GL81" s="128"/>
      <c r="GM81" s="128"/>
      <c r="GN81" s="128"/>
      <c r="GO81" s="128"/>
      <c r="GP81" s="128"/>
      <c r="GQ81" s="128"/>
      <c r="GR81" s="128"/>
      <c r="GS81" s="128"/>
      <c r="GT81" s="141">
        <v>0</v>
      </c>
      <c r="GU81" s="141"/>
      <c r="GV81" s="141"/>
      <c r="GW81" s="141"/>
      <c r="GX81" s="141"/>
      <c r="GY81" s="141"/>
      <c r="GZ81" s="141"/>
      <c r="HA81" s="141"/>
      <c r="HB81" s="142" t="str">
        <f>IFERROR(ROUND(Calculations!BV82*GT81,2),"")</f>
        <v/>
      </c>
      <c r="HC81" s="142"/>
      <c r="HD81" s="142"/>
      <c r="HE81" s="142"/>
      <c r="HF81" s="142"/>
      <c r="HG81" s="142"/>
      <c r="HH81" s="142"/>
      <c r="HI81" s="142"/>
      <c r="HJ81" s="142">
        <f>IFERROR(Calculations!BS82+IQ81+IX81,"")</f>
        <v>0</v>
      </c>
      <c r="HK81" s="142"/>
      <c r="HL81" s="142"/>
      <c r="HM81" s="142"/>
      <c r="HN81" s="142"/>
      <c r="HO81" s="142"/>
      <c r="HP81" s="142"/>
      <c r="HQ81" s="142"/>
      <c r="HR81" s="142" t="str">
        <f t="shared" si="9"/>
        <v/>
      </c>
      <c r="HS81" s="142"/>
      <c r="HT81" s="142"/>
      <c r="HU81" s="142"/>
      <c r="HV81" s="142"/>
      <c r="HW81" s="142"/>
      <c r="HX81" s="142"/>
      <c r="HY81" s="142"/>
      <c r="HZ81" s="142" t="str">
        <f>IFERROR(Calculations!BX82,"")</f>
        <v/>
      </c>
      <c r="IA81" s="142"/>
      <c r="IB81" s="142"/>
      <c r="IC81" s="142"/>
      <c r="ID81" s="142"/>
      <c r="IE81" s="142"/>
      <c r="IF81" s="142"/>
      <c r="IG81" s="142"/>
      <c r="IH81" s="142"/>
      <c r="II81" s="142"/>
      <c r="IJ81" s="142" t="str">
        <f>IFERROR(Calculations!BR82+IX81,"")</f>
        <v/>
      </c>
      <c r="IK81" s="142"/>
      <c r="IL81" s="142"/>
      <c r="IM81" s="142"/>
      <c r="IN81" s="142"/>
      <c r="IO81" s="142"/>
      <c r="IP81" s="142"/>
      <c r="IQ81" s="141">
        <v>0</v>
      </c>
      <c r="IR81" s="141"/>
      <c r="IS81" s="141"/>
      <c r="IT81" s="141"/>
      <c r="IU81" s="141"/>
      <c r="IV81" s="141"/>
      <c r="IW81" s="141"/>
      <c r="IX81" s="141">
        <v>0</v>
      </c>
      <c r="IY81" s="141"/>
      <c r="IZ81" s="141"/>
      <c r="JA81" s="141"/>
      <c r="JB81" s="141"/>
      <c r="JC81" s="141"/>
      <c r="JD81" s="141"/>
      <c r="JE81" s="141"/>
      <c r="JF81" s="142"/>
      <c r="JG81" s="142"/>
      <c r="JH81" s="142"/>
      <c r="JI81" s="142"/>
      <c r="JJ81" s="142"/>
      <c r="JK81" s="143" t="str">
        <f>Calculations!AS82</f>
        <v/>
      </c>
      <c r="JL81" s="143"/>
      <c r="JM81" s="143"/>
      <c r="JN81" s="143"/>
      <c r="JO81" s="143"/>
      <c r="JP81" s="143"/>
      <c r="JQ81" s="143"/>
      <c r="JR81" s="143"/>
      <c r="JS81" s="143"/>
      <c r="JT81" s="143"/>
      <c r="JU81" s="143"/>
      <c r="JV81" s="143"/>
      <c r="JW81" s="143"/>
      <c r="JX81" s="143"/>
      <c r="JY81" s="143"/>
      <c r="JZ81" s="143"/>
      <c r="KA81" s="143"/>
      <c r="KB81" s="143"/>
      <c r="KC81" s="143" t="str">
        <f>Calculations!AW82</f>
        <v/>
      </c>
      <c r="KD81" s="143"/>
      <c r="KE81" s="143"/>
      <c r="KF81" s="143"/>
      <c r="KG81" s="143"/>
      <c r="KH81" s="143"/>
      <c r="KI81" s="143"/>
      <c r="KJ81" s="143"/>
      <c r="KK81" s="143"/>
      <c r="KL81" s="143"/>
      <c r="KM81" s="143"/>
      <c r="KN81" s="143"/>
      <c r="KO81" s="143"/>
      <c r="KP81" s="143"/>
      <c r="KQ81" s="143"/>
      <c r="KR81" s="143"/>
      <c r="KS81" s="143"/>
      <c r="KT81" s="143"/>
      <c r="KU81" s="144"/>
      <c r="KV81" s="144"/>
      <c r="KW81" s="144"/>
      <c r="KX81" s="144"/>
      <c r="KY81" s="144"/>
      <c r="KZ81" s="144"/>
      <c r="LA81" s="144"/>
      <c r="LB81" s="144"/>
      <c r="LC81" s="144"/>
      <c r="LD81" s="144"/>
      <c r="LE81" s="144"/>
      <c r="LF81" s="144"/>
      <c r="LG81" s="144"/>
      <c r="LH81" s="144"/>
      <c r="LI81" s="144"/>
      <c r="LJ81" s="144"/>
      <c r="LK81" s="144"/>
      <c r="LL81" s="144"/>
      <c r="LM81" s="144"/>
      <c r="LN81" s="144"/>
      <c r="LO81" s="144"/>
      <c r="LP81" s="144"/>
      <c r="LQ81" s="144"/>
      <c r="LR81" s="144"/>
      <c r="LS81" s="144"/>
      <c r="LT81" s="144"/>
      <c r="LU81" s="144"/>
      <c r="LV81" s="144"/>
      <c r="LW81" s="144"/>
      <c r="LX81" s="144"/>
      <c r="LY81" s="144"/>
      <c r="LZ81" s="144"/>
      <c r="MA81" s="144"/>
      <c r="MB81" s="144"/>
      <c r="MC81" s="144"/>
      <c r="MD81" s="144"/>
      <c r="ME81" s="144"/>
      <c r="MF81" s="144"/>
      <c r="MG81" s="144"/>
      <c r="MH81" s="144"/>
      <c r="MI81" s="144"/>
      <c r="MJ81" s="144"/>
      <c r="MK81" s="144"/>
      <c r="ML81" s="144"/>
      <c r="MM81" s="144"/>
      <c r="MN81" s="144"/>
      <c r="MO81" s="144"/>
      <c r="MP81" s="144"/>
      <c r="MQ81" s="144"/>
      <c r="MR81" s="144"/>
      <c r="MS81" s="144"/>
      <c r="MT81" s="144"/>
      <c r="MU81" s="144"/>
      <c r="MV81" s="144"/>
      <c r="MW81" s="144"/>
      <c r="MX81" s="144"/>
      <c r="MY81" s="144"/>
      <c r="MZ81" s="145"/>
      <c r="BLR81" s="128"/>
      <c r="BLS81" s="128"/>
      <c r="BLT81" s="128"/>
      <c r="BLU81" s="128"/>
      <c r="BLV81" s="128"/>
      <c r="BLW81" s="128"/>
      <c r="BLX81" s="128"/>
      <c r="BLY81" s="128"/>
      <c r="BLZ81" s="128"/>
      <c r="BMA81" s="128"/>
      <c r="BMB81" s="128"/>
      <c r="BMC81" s="128"/>
      <c r="BMD81" s="128"/>
      <c r="BME81" s="128"/>
      <c r="BMF81" s="128"/>
      <c r="BMG81" s="128"/>
      <c r="BMH81" s="128"/>
      <c r="BMI81" s="128"/>
      <c r="BMJ81" s="128"/>
      <c r="BMK81" s="128"/>
      <c r="BML81" s="128"/>
      <c r="BMM81" s="128"/>
      <c r="BMN81" s="128"/>
      <c r="BMO81" s="128"/>
      <c r="BMP81" s="128"/>
      <c r="BMQ81" s="128"/>
      <c r="BMR81" s="128"/>
      <c r="BMS81" s="128"/>
      <c r="BMT81" s="128"/>
      <c r="BMU81" s="128"/>
      <c r="BMV81" s="128"/>
      <c r="BMW81" s="129"/>
      <c r="BMX81" s="129"/>
      <c r="BMY81" s="129"/>
      <c r="BMZ81" s="129"/>
      <c r="BNA81" s="129"/>
      <c r="BNB81" s="129"/>
      <c r="BNC81" s="129"/>
      <c r="BND81" s="129"/>
      <c r="BNE81" s="129"/>
      <c r="BNF81" s="129"/>
      <c r="BNG81" s="129"/>
      <c r="BNH81" s="129"/>
      <c r="BNI81" s="129"/>
      <c r="BNJ81" s="129"/>
      <c r="BNK81" s="129"/>
      <c r="BNL81" s="129"/>
      <c r="BNM81" s="129"/>
      <c r="BNN81" s="129"/>
      <c r="BNO81" s="129"/>
      <c r="BNP81" s="129"/>
      <c r="BNQ81" s="129"/>
      <c r="BNR81" s="128"/>
      <c r="BNS81" s="128"/>
      <c r="BNT81" s="128"/>
      <c r="BNU81" s="128"/>
      <c r="BNV81" s="128"/>
      <c r="BNW81" s="128"/>
      <c r="BNX81" s="129"/>
      <c r="BNY81" s="129"/>
      <c r="BNZ81" s="129"/>
      <c r="BOA81" s="129"/>
      <c r="BOB81" s="129"/>
      <c r="BOC81" s="129"/>
      <c r="BOD81" s="129"/>
      <c r="BOE81" s="129"/>
      <c r="BOF81" s="129"/>
      <c r="BOG81" s="129"/>
      <c r="BOH81" s="129"/>
      <c r="BOI81" s="129"/>
      <c r="BOJ81" s="129"/>
      <c r="BOK81" s="129"/>
      <c r="BOL81" s="129"/>
      <c r="BOM81" s="129"/>
      <c r="BON81" s="129"/>
      <c r="BOO81" s="129"/>
      <c r="BOP81" s="129"/>
      <c r="BOQ81" s="129"/>
      <c r="BOR81" s="129"/>
      <c r="BOS81" s="129"/>
      <c r="BOT81" s="129"/>
      <c r="BOU81" s="129"/>
      <c r="BOV81" s="129"/>
      <c r="BOW81" s="129"/>
      <c r="BOX81" s="129"/>
      <c r="BOY81" s="129"/>
      <c r="BOZ81" s="128"/>
      <c r="BPA81" s="128"/>
      <c r="BPB81" s="128"/>
      <c r="BPC81" s="128"/>
      <c r="BPD81" s="128"/>
      <c r="BPE81" s="128"/>
      <c r="BPF81" s="128"/>
    </row>
    <row r="82" spans="1:364 1682:1774" ht="15" customHeight="1" x14ac:dyDescent="0.25">
      <c r="A82" s="2">
        <v>2</v>
      </c>
      <c r="B82" s="135" t="str">
        <f ca="1">IFERROR(VLOOKUP(A82,Calculations!$ER$2:$ET$31,2,FALSE),"")</f>
        <v/>
      </c>
      <c r="C82" s="136"/>
      <c r="D82" s="136"/>
      <c r="E82" s="136"/>
      <c r="F82" s="136"/>
      <c r="G82" s="136"/>
      <c r="H82" s="136"/>
      <c r="I82" s="136"/>
      <c r="J82" s="136"/>
      <c r="K82" s="136"/>
      <c r="L82" s="136"/>
      <c r="M82" s="136"/>
      <c r="N82" s="136"/>
      <c r="O82" s="136"/>
      <c r="P82" s="136"/>
      <c r="Q82" s="136"/>
      <c r="R82" s="136"/>
      <c r="S82" s="136"/>
      <c r="T82" s="136"/>
      <c r="U82" s="136"/>
      <c r="V82" s="136"/>
      <c r="W82" s="131" t="str">
        <f ca="1">IFERROR(VLOOKUP(B82,Skills!$N$405:$AF$440,19,FALSE),"")</f>
        <v/>
      </c>
      <c r="X82" s="131"/>
      <c r="Y82" s="131"/>
      <c r="Z82" s="131"/>
      <c r="AA82" s="131"/>
      <c r="AB82" s="131"/>
      <c r="AC82" s="131"/>
      <c r="AD82" s="131"/>
      <c r="AE82" s="131" t="str">
        <f ca="1">IF(B82="","",MAX(0,IFERROR(VLOOKUP(B82,Skills!$N$376:$AF$380,19,FALSE),0)))</f>
        <v/>
      </c>
      <c r="AF82" s="131"/>
      <c r="AG82" s="131"/>
      <c r="AH82" s="131"/>
      <c r="AI82" s="131"/>
      <c r="AJ82" s="131"/>
      <c r="AK82" s="131" t="str">
        <f ca="1">IF(B82="","",IFERROR(VLOOKUP(B82,Skills!$N$383:$AF$387,19,FALSE),0))</f>
        <v/>
      </c>
      <c r="AL82" s="131"/>
      <c r="AM82" s="131"/>
      <c r="AN82" s="131"/>
      <c r="AO82" s="131"/>
      <c r="AP82" s="131"/>
      <c r="AQ82" s="131"/>
      <c r="AR82" s="131" t="str">
        <f ca="1">IF(B82="","",(VLOOKUP(B82,Skills!$N$405:$S$440,6,FALSE)))</f>
        <v/>
      </c>
      <c r="AS82" s="131"/>
      <c r="AT82" s="131"/>
      <c r="AU82" s="131"/>
      <c r="AV82" s="131"/>
      <c r="AW82" s="131"/>
      <c r="AX82" s="131"/>
      <c r="AY82" s="131" t="str">
        <f ca="1">IF(B82="","",Calculations!$H$10)</f>
        <v/>
      </c>
      <c r="AZ82" s="131"/>
      <c r="BA82" s="131"/>
      <c r="BB82" s="131"/>
      <c r="BC82" s="131"/>
      <c r="BD82" s="131"/>
      <c r="BE82" s="131"/>
      <c r="BF82" s="131" t="str">
        <f ca="1">SUBSTITUTE(IFERROR(VLOOKUP(A82,Calculations!$ER$2:$ET$31,3,FALSE),""),"Restricted","Rest.")</f>
        <v/>
      </c>
      <c r="BG82" s="131"/>
      <c r="BH82" s="131"/>
      <c r="BI82" s="131"/>
      <c r="BJ82" s="131"/>
      <c r="BK82" s="131"/>
      <c r="BL82" s="131"/>
      <c r="BM82" s="131"/>
      <c r="BN82" s="131"/>
      <c r="BO82" s="131"/>
      <c r="BP82" s="131"/>
      <c r="BQ82" s="131"/>
      <c r="BR82" s="131"/>
      <c r="BS82" s="131"/>
      <c r="BT82" s="131" t="str">
        <f ca="1">IF(B82="","",((AR82)+(AY82)+(VLOOKUP(BF82,Charts!$BV$2:$BW$6,2,FALSE))+(BM82)&amp;"/"&amp;((AR82)+(AY82)+(VLOOKUP(BF82,Charts!$BV$2:$BW$6,2,FALSE))+(BM82)+($BJ$5*2))))</f>
        <v/>
      </c>
      <c r="BU82" s="131"/>
      <c r="BV82" s="131"/>
      <c r="BW82" s="131"/>
      <c r="BX82" s="131"/>
      <c r="BY82" s="131"/>
      <c r="BZ82" s="239"/>
      <c r="CB82" s="135" t="str">
        <f ca="1">Calculations!AN16</f>
        <v/>
      </c>
      <c r="CC82" s="136"/>
      <c r="CD82" s="136"/>
      <c r="CE82" s="136"/>
      <c r="CF82" s="136"/>
      <c r="CG82" s="136"/>
      <c r="CH82" s="136"/>
      <c r="CI82" s="136"/>
      <c r="CJ82" s="136"/>
      <c r="CK82" s="136"/>
      <c r="CL82" s="136"/>
      <c r="CM82" s="136"/>
      <c r="CN82" s="136"/>
      <c r="CO82" s="136"/>
      <c r="CP82" s="136"/>
      <c r="CQ82" s="136"/>
      <c r="CR82" s="136"/>
      <c r="CS82" s="136"/>
      <c r="CT82" s="136"/>
      <c r="CU82" s="136"/>
      <c r="CV82" s="136"/>
      <c r="CW82" s="136"/>
      <c r="CX82" s="136"/>
      <c r="CY82" s="136"/>
      <c r="CZ82" s="136"/>
      <c r="DA82" s="136"/>
      <c r="DB82" s="136"/>
      <c r="DC82" s="136"/>
      <c r="DD82" s="136"/>
      <c r="DE82" s="131" t="str">
        <f ca="1">Calculations!AO16</f>
        <v/>
      </c>
      <c r="DF82" s="131"/>
      <c r="DG82" s="131"/>
      <c r="DH82" s="131"/>
      <c r="DI82" s="131"/>
      <c r="DJ82" s="131"/>
      <c r="DK82" s="131"/>
      <c r="DL82" s="131"/>
      <c r="DM82" s="131"/>
      <c r="DN82" s="116"/>
      <c r="DO82" s="136" t="str">
        <f ca="1">Calculations!AN17</f>
        <v/>
      </c>
      <c r="DP82" s="136"/>
      <c r="DQ82" s="136"/>
      <c r="DR82" s="136"/>
      <c r="DS82" s="136"/>
      <c r="DT82" s="136"/>
      <c r="DU82" s="136"/>
      <c r="DV82" s="136"/>
      <c r="DW82" s="136"/>
      <c r="DX82" s="136"/>
      <c r="DY82" s="136"/>
      <c r="DZ82" s="136"/>
      <c r="EA82" s="136"/>
      <c r="EB82" s="136"/>
      <c r="EC82" s="136"/>
      <c r="ED82" s="136"/>
      <c r="EE82" s="136"/>
      <c r="EF82" s="136"/>
      <c r="EG82" s="136"/>
      <c r="EH82" s="136"/>
      <c r="EI82" s="136"/>
      <c r="EJ82" s="136"/>
      <c r="EK82" s="136"/>
      <c r="EL82" s="136"/>
      <c r="EM82" s="136"/>
      <c r="EN82" s="136"/>
      <c r="EO82" s="136"/>
      <c r="EP82" s="136"/>
      <c r="EQ82" s="136"/>
      <c r="ER82" s="131" t="str">
        <f ca="1">Calculations!AO17</f>
        <v/>
      </c>
      <c r="ES82" s="131"/>
      <c r="ET82" s="131"/>
      <c r="EU82" s="131"/>
      <c r="EV82" s="131"/>
      <c r="EW82" s="131"/>
      <c r="EX82" s="131"/>
      <c r="EY82" s="131"/>
      <c r="EZ82" s="239"/>
      <c r="FB82" s="301" t="s">
        <v>2001</v>
      </c>
      <c r="FC82" s="302"/>
      <c r="FD82" s="302"/>
      <c r="FE82" s="302"/>
      <c r="FF82" s="302"/>
      <c r="FG82" s="302"/>
      <c r="FH82" s="302"/>
      <c r="FI82" s="302"/>
      <c r="FJ82" s="302"/>
      <c r="FK82" s="302"/>
      <c r="FL82" s="302"/>
      <c r="FM82" s="302"/>
      <c r="FN82" s="302"/>
      <c r="FO82" s="302"/>
      <c r="FP82" s="302"/>
      <c r="FQ82" s="302"/>
      <c r="FR82" s="302"/>
      <c r="FS82" s="302"/>
      <c r="FT82" s="302"/>
      <c r="FU82" s="302"/>
      <c r="FV82" s="302"/>
      <c r="FW82" s="302"/>
      <c r="FX82" s="302"/>
      <c r="FY82" s="302"/>
      <c r="FZ82" s="302"/>
      <c r="GA82" s="302"/>
      <c r="GB82" s="302"/>
      <c r="GC82" s="302"/>
      <c r="GD82" s="302"/>
      <c r="GE82" s="302"/>
      <c r="GF82" s="302"/>
      <c r="GG82" s="302"/>
      <c r="GH82" s="302"/>
      <c r="GI82" s="302"/>
      <c r="GJ82" s="302"/>
      <c r="GK82" s="302"/>
      <c r="GL82" s="302"/>
      <c r="GM82" s="302"/>
      <c r="GN82" s="302"/>
      <c r="GO82" s="302"/>
      <c r="GP82" s="302"/>
      <c r="GQ82" s="302"/>
      <c r="GR82" s="302"/>
      <c r="GS82" s="302"/>
      <c r="GT82" s="300" t="s">
        <v>136</v>
      </c>
      <c r="GU82" s="300"/>
      <c r="GV82" s="300"/>
      <c r="GW82" s="300"/>
      <c r="GX82" s="300"/>
      <c r="GY82" s="300"/>
      <c r="GZ82" s="300"/>
      <c r="HA82" s="300"/>
      <c r="HB82" s="300" t="s">
        <v>72</v>
      </c>
      <c r="HC82" s="300"/>
      <c r="HD82" s="300"/>
      <c r="HE82" s="300"/>
      <c r="HF82" s="300"/>
      <c r="HG82" s="300"/>
      <c r="HH82" s="300"/>
      <c r="HI82" s="300"/>
      <c r="HJ82" s="300" t="s">
        <v>61</v>
      </c>
      <c r="HK82" s="300"/>
      <c r="HL82" s="300"/>
      <c r="HM82" s="300"/>
      <c r="HN82" s="300"/>
      <c r="HO82" s="300"/>
      <c r="HP82" s="300"/>
      <c r="HQ82" s="300"/>
      <c r="HR82" s="300" t="s">
        <v>134</v>
      </c>
      <c r="HS82" s="300"/>
      <c r="HT82" s="300"/>
      <c r="HU82" s="300"/>
      <c r="HV82" s="300"/>
      <c r="HW82" s="300"/>
      <c r="HX82" s="300"/>
      <c r="HY82" s="300"/>
      <c r="HZ82" s="300" t="s">
        <v>135</v>
      </c>
      <c r="IA82" s="300"/>
      <c r="IB82" s="300"/>
      <c r="IC82" s="300"/>
      <c r="ID82" s="300"/>
      <c r="IE82" s="300"/>
      <c r="IF82" s="300"/>
      <c r="IG82" s="300"/>
      <c r="IH82" s="300"/>
      <c r="II82" s="300"/>
      <c r="IJ82" s="300" t="s">
        <v>37</v>
      </c>
      <c r="IK82" s="300"/>
      <c r="IL82" s="300"/>
      <c r="IM82" s="300"/>
      <c r="IN82" s="300"/>
      <c r="IO82" s="300"/>
      <c r="IP82" s="300"/>
      <c r="IQ82" s="300" t="s">
        <v>55</v>
      </c>
      <c r="IR82" s="300"/>
      <c r="IS82" s="300"/>
      <c r="IT82" s="300"/>
      <c r="IU82" s="300"/>
      <c r="IV82" s="300"/>
      <c r="IW82" s="300"/>
      <c r="IX82" s="300" t="s">
        <v>60</v>
      </c>
      <c r="IY82" s="300"/>
      <c r="IZ82" s="300"/>
      <c r="JA82" s="300"/>
      <c r="JB82" s="300"/>
      <c r="JC82" s="300"/>
      <c r="JD82" s="300"/>
      <c r="JE82" s="300"/>
      <c r="JF82" s="300" t="s">
        <v>133</v>
      </c>
      <c r="JG82" s="300"/>
      <c r="JH82" s="300"/>
      <c r="JI82" s="300"/>
      <c r="JJ82" s="300"/>
      <c r="JK82" s="300" t="s">
        <v>137</v>
      </c>
      <c r="JL82" s="300"/>
      <c r="JM82" s="300"/>
      <c r="JN82" s="300"/>
      <c r="JO82" s="300"/>
      <c r="JP82" s="300"/>
      <c r="JQ82" s="300"/>
      <c r="JR82" s="300"/>
      <c r="JS82" s="300"/>
      <c r="JT82" s="300"/>
      <c r="JU82" s="300"/>
      <c r="JV82" s="300"/>
      <c r="JW82" s="300"/>
      <c r="JX82" s="300"/>
      <c r="JY82" s="300"/>
      <c r="JZ82" s="300"/>
      <c r="KA82" s="300"/>
      <c r="KB82" s="300"/>
      <c r="KC82" s="300" t="s">
        <v>138</v>
      </c>
      <c r="KD82" s="300"/>
      <c r="KE82" s="300"/>
      <c r="KF82" s="300"/>
      <c r="KG82" s="300"/>
      <c r="KH82" s="300"/>
      <c r="KI82" s="300"/>
      <c r="KJ82" s="300"/>
      <c r="KK82" s="300"/>
      <c r="KL82" s="300"/>
      <c r="KM82" s="300"/>
      <c r="KN82" s="300"/>
      <c r="KO82" s="300"/>
      <c r="KP82" s="300"/>
      <c r="KQ82" s="300"/>
      <c r="KR82" s="300"/>
      <c r="KS82" s="300"/>
      <c r="KT82" s="300"/>
      <c r="KU82" s="298" t="s">
        <v>128</v>
      </c>
      <c r="KV82" s="298"/>
      <c r="KW82" s="298"/>
      <c r="KX82" s="298"/>
      <c r="KY82" s="298"/>
      <c r="KZ82" s="298"/>
      <c r="LA82" s="298"/>
      <c r="LB82" s="298"/>
      <c r="LC82" s="298"/>
      <c r="LD82" s="298"/>
      <c r="LE82" s="298"/>
      <c r="LF82" s="298"/>
      <c r="LG82" s="298"/>
      <c r="LH82" s="298"/>
      <c r="LI82" s="298"/>
      <c r="LJ82" s="298"/>
      <c r="LK82" s="298"/>
      <c r="LL82" s="298"/>
      <c r="LM82" s="298"/>
      <c r="LN82" s="298"/>
      <c r="LO82" s="298"/>
      <c r="LP82" s="298"/>
      <c r="LQ82" s="298"/>
      <c r="LR82" s="298"/>
      <c r="LS82" s="298"/>
      <c r="LT82" s="298"/>
      <c r="LU82" s="298"/>
      <c r="LV82" s="298"/>
      <c r="LW82" s="298"/>
      <c r="LX82" s="298"/>
      <c r="LY82" s="298"/>
      <c r="LZ82" s="298"/>
      <c r="MA82" s="298"/>
      <c r="MB82" s="298"/>
      <c r="MC82" s="298"/>
      <c r="MD82" s="298"/>
      <c r="ME82" s="298"/>
      <c r="MF82" s="298"/>
      <c r="MG82" s="298"/>
      <c r="MH82" s="298"/>
      <c r="MI82" s="298"/>
      <c r="MJ82" s="298"/>
      <c r="MK82" s="298"/>
      <c r="ML82" s="298"/>
      <c r="MM82" s="298"/>
      <c r="MN82" s="298"/>
      <c r="MO82" s="298"/>
      <c r="MP82" s="298"/>
      <c r="MQ82" s="298"/>
      <c r="MR82" s="298"/>
      <c r="MS82" s="298"/>
      <c r="MT82" s="298"/>
      <c r="MU82" s="298"/>
      <c r="MV82" s="298"/>
      <c r="MW82" s="298"/>
      <c r="MX82" s="298"/>
      <c r="MY82" s="298"/>
      <c r="MZ82" s="299"/>
    </row>
    <row r="83" spans="1:364 1682:1774" ht="15" customHeight="1" x14ac:dyDescent="0.25">
      <c r="A83" s="2">
        <v>3</v>
      </c>
      <c r="B83" s="133" t="str">
        <f ca="1">IFERROR(VLOOKUP(A83,Calculations!$ER$2:$ET$31,2,FALSE),"")</f>
        <v/>
      </c>
      <c r="C83" s="134"/>
      <c r="D83" s="134"/>
      <c r="E83" s="134"/>
      <c r="F83" s="134"/>
      <c r="G83" s="134"/>
      <c r="H83" s="134"/>
      <c r="I83" s="134"/>
      <c r="J83" s="134"/>
      <c r="K83" s="134"/>
      <c r="L83" s="134"/>
      <c r="M83" s="134"/>
      <c r="N83" s="134"/>
      <c r="O83" s="134"/>
      <c r="P83" s="134"/>
      <c r="Q83" s="134"/>
      <c r="R83" s="134"/>
      <c r="S83" s="134"/>
      <c r="T83" s="134"/>
      <c r="U83" s="134"/>
      <c r="V83" s="134"/>
      <c r="W83" s="130" t="str">
        <f ca="1">IFERROR(VLOOKUP(B83,Skills!$N$405:$AF$440,19,FALSE),"")</f>
        <v/>
      </c>
      <c r="X83" s="130"/>
      <c r="Y83" s="130"/>
      <c r="Z83" s="130"/>
      <c r="AA83" s="130"/>
      <c r="AB83" s="130"/>
      <c r="AC83" s="130"/>
      <c r="AD83" s="130"/>
      <c r="AE83" s="130" t="str">
        <f ca="1">IF(B83="","",MAX(0,IFERROR(VLOOKUP(B83,Skills!$N$376:$AF$380,19,FALSE),0)))</f>
        <v/>
      </c>
      <c r="AF83" s="130"/>
      <c r="AG83" s="130"/>
      <c r="AH83" s="130"/>
      <c r="AI83" s="130"/>
      <c r="AJ83" s="130"/>
      <c r="AK83" s="130" t="str">
        <f ca="1">IF(B83="","",IFERROR(VLOOKUP(B83,Skills!$N$383:$AF$387,19,FALSE),0))</f>
        <v/>
      </c>
      <c r="AL83" s="130"/>
      <c r="AM83" s="130"/>
      <c r="AN83" s="130"/>
      <c r="AO83" s="130"/>
      <c r="AP83" s="130"/>
      <c r="AQ83" s="130"/>
      <c r="AR83" s="130" t="str">
        <f ca="1">IF(B83="","",(VLOOKUP(B83,Skills!$N$405:$S$440,6,FALSE)))</f>
        <v/>
      </c>
      <c r="AS83" s="130"/>
      <c r="AT83" s="130"/>
      <c r="AU83" s="130"/>
      <c r="AV83" s="130"/>
      <c r="AW83" s="130"/>
      <c r="AX83" s="130"/>
      <c r="AY83" s="130" t="str">
        <f ca="1">IF(B83="","",Calculations!$H$10)</f>
        <v/>
      </c>
      <c r="AZ83" s="130"/>
      <c r="BA83" s="130"/>
      <c r="BB83" s="130"/>
      <c r="BC83" s="130"/>
      <c r="BD83" s="130"/>
      <c r="BE83" s="130"/>
      <c r="BF83" s="130" t="str">
        <f ca="1">SUBSTITUTE(IFERROR(VLOOKUP(A83,Calculations!$ER$2:$ET$31,3,FALSE),""),"Restricted","Rest.")</f>
        <v/>
      </c>
      <c r="BG83" s="130"/>
      <c r="BH83" s="130"/>
      <c r="BI83" s="130"/>
      <c r="BJ83" s="130"/>
      <c r="BK83" s="130"/>
      <c r="BL83" s="130"/>
      <c r="BM83" s="130"/>
      <c r="BN83" s="130"/>
      <c r="BO83" s="130"/>
      <c r="BP83" s="130"/>
      <c r="BQ83" s="130"/>
      <c r="BR83" s="130"/>
      <c r="BS83" s="130"/>
      <c r="BT83" s="130" t="str">
        <f ca="1">IF(B83="","",((AR83)+(AY83)+(VLOOKUP(BF83,Charts!$BV$2:$BW$6,2,FALSE))+(BM83)&amp;"/"&amp;((AR83)+(AY83)+(VLOOKUP(BF83,Charts!$BV$2:$BW$6,2,FALSE))+(BM83)+($BJ$5*2))))</f>
        <v/>
      </c>
      <c r="BU83" s="130"/>
      <c r="BV83" s="130"/>
      <c r="BW83" s="130"/>
      <c r="BX83" s="130"/>
      <c r="BY83" s="130"/>
      <c r="BZ83" s="238"/>
      <c r="CB83" s="133" t="str">
        <f ca="1">Calculations!AN18</f>
        <v/>
      </c>
      <c r="CC83" s="134"/>
      <c r="CD83" s="134"/>
      <c r="CE83" s="134"/>
      <c r="CF83" s="134"/>
      <c r="CG83" s="134"/>
      <c r="CH83" s="134"/>
      <c r="CI83" s="134"/>
      <c r="CJ83" s="134"/>
      <c r="CK83" s="134"/>
      <c r="CL83" s="134"/>
      <c r="CM83" s="134"/>
      <c r="CN83" s="134"/>
      <c r="CO83" s="134"/>
      <c r="CP83" s="134"/>
      <c r="CQ83" s="134"/>
      <c r="CR83" s="134"/>
      <c r="CS83" s="134"/>
      <c r="CT83" s="134"/>
      <c r="CU83" s="134"/>
      <c r="CV83" s="134"/>
      <c r="CW83" s="134"/>
      <c r="CX83" s="134"/>
      <c r="CY83" s="134"/>
      <c r="CZ83" s="134"/>
      <c r="DA83" s="134"/>
      <c r="DB83" s="134"/>
      <c r="DC83" s="134"/>
      <c r="DD83" s="134"/>
      <c r="DE83" s="130" t="str">
        <f ca="1">Calculations!AO18</f>
        <v/>
      </c>
      <c r="DF83" s="130"/>
      <c r="DG83" s="130"/>
      <c r="DH83" s="130"/>
      <c r="DI83" s="130"/>
      <c r="DJ83" s="130"/>
      <c r="DK83" s="130"/>
      <c r="DL83" s="130"/>
      <c r="DM83" s="130"/>
      <c r="DN83" s="117"/>
      <c r="DO83" s="134" t="str">
        <f ca="1">Calculations!AN19</f>
        <v/>
      </c>
      <c r="DP83" s="134"/>
      <c r="DQ83" s="134"/>
      <c r="DR83" s="134"/>
      <c r="DS83" s="134"/>
      <c r="DT83" s="134"/>
      <c r="DU83" s="134"/>
      <c r="DV83" s="134"/>
      <c r="DW83" s="134"/>
      <c r="DX83" s="134"/>
      <c r="DY83" s="134"/>
      <c r="DZ83" s="134"/>
      <c r="EA83" s="134"/>
      <c r="EB83" s="134"/>
      <c r="EC83" s="134"/>
      <c r="ED83" s="134"/>
      <c r="EE83" s="134"/>
      <c r="EF83" s="134"/>
      <c r="EG83" s="134"/>
      <c r="EH83" s="134"/>
      <c r="EI83" s="134"/>
      <c r="EJ83" s="134"/>
      <c r="EK83" s="134"/>
      <c r="EL83" s="134"/>
      <c r="EM83" s="134"/>
      <c r="EN83" s="134"/>
      <c r="EO83" s="134"/>
      <c r="EP83" s="134"/>
      <c r="EQ83" s="134"/>
      <c r="ER83" s="130" t="str">
        <f ca="1">Calculations!AO19</f>
        <v/>
      </c>
      <c r="ES83" s="130"/>
      <c r="ET83" s="130"/>
      <c r="EU83" s="130"/>
      <c r="EV83" s="130"/>
      <c r="EW83" s="130"/>
      <c r="EX83" s="130"/>
      <c r="EY83" s="130"/>
      <c r="EZ83" s="238"/>
      <c r="FB83" s="139" t="s">
        <v>2468</v>
      </c>
      <c r="FC83" s="140"/>
      <c r="FD83" s="140"/>
      <c r="FE83" s="140"/>
      <c r="FF83" s="140"/>
      <c r="FG83" s="140"/>
      <c r="FH83" s="140"/>
      <c r="FI83" s="140"/>
      <c r="FJ83" s="140"/>
      <c r="FK83" s="140"/>
      <c r="FL83" s="140"/>
      <c r="FM83" s="140"/>
      <c r="FN83" s="140"/>
      <c r="FO83" s="140"/>
      <c r="FP83" s="140"/>
      <c r="FQ83" s="140"/>
      <c r="FR83" s="140"/>
      <c r="FS83" s="140"/>
      <c r="FT83" s="140"/>
      <c r="FU83" s="140"/>
      <c r="FV83" s="140"/>
      <c r="FW83" s="140"/>
      <c r="FX83" s="140"/>
      <c r="FY83" s="140"/>
      <c r="FZ83" s="140"/>
      <c r="GA83" s="140"/>
      <c r="GB83" s="140"/>
      <c r="GC83" s="140"/>
      <c r="GD83" s="140"/>
      <c r="GE83" s="140"/>
      <c r="GF83" s="140"/>
      <c r="GG83" s="140"/>
      <c r="GH83" s="140"/>
      <c r="GI83" s="140"/>
      <c r="GJ83" s="140"/>
      <c r="GK83" s="140"/>
      <c r="GL83" s="140"/>
      <c r="GM83" s="140"/>
      <c r="GN83" s="140"/>
      <c r="GO83" s="140"/>
      <c r="GP83" s="140"/>
      <c r="GQ83" s="140"/>
      <c r="GR83" s="140"/>
      <c r="GS83" s="140"/>
      <c r="GT83" s="141">
        <v>1</v>
      </c>
      <c r="GU83" s="141"/>
      <c r="GV83" s="141"/>
      <c r="GW83" s="141"/>
      <c r="GX83" s="141"/>
      <c r="GY83" s="141"/>
      <c r="GZ83" s="141"/>
      <c r="HA83" s="141"/>
      <c r="HB83" s="142">
        <f>IFERROR(ROUND(Calculations!BV84*GT83,2),"")</f>
        <v>2</v>
      </c>
      <c r="HC83" s="142"/>
      <c r="HD83" s="142"/>
      <c r="HE83" s="142"/>
      <c r="HF83" s="142"/>
      <c r="HG83" s="142"/>
      <c r="HH83" s="142"/>
      <c r="HI83" s="142"/>
      <c r="HJ83" s="142">
        <f>IFERROR(Calculations!BS84+IQ83+IX83,"")</f>
        <v>40</v>
      </c>
      <c r="HK83" s="142"/>
      <c r="HL83" s="142"/>
      <c r="HM83" s="142"/>
      <c r="HN83" s="142"/>
      <c r="HO83" s="142"/>
      <c r="HP83" s="142"/>
      <c r="HQ83" s="142"/>
      <c r="HR83" s="142">
        <f t="shared" si="9"/>
        <v>0</v>
      </c>
      <c r="HS83" s="142"/>
      <c r="HT83" s="142"/>
      <c r="HU83" s="142"/>
      <c r="HV83" s="142"/>
      <c r="HW83" s="142"/>
      <c r="HX83" s="142"/>
      <c r="HY83" s="142"/>
      <c r="HZ83" s="142" t="str">
        <f>IFERROR(Calculations!BX84,"")</f>
        <v>$2.36</v>
      </c>
      <c r="IA83" s="142"/>
      <c r="IB83" s="142"/>
      <c r="IC83" s="142"/>
      <c r="ID83" s="142"/>
      <c r="IE83" s="142"/>
      <c r="IF83" s="142"/>
      <c r="IG83" s="142"/>
      <c r="IH83" s="142"/>
      <c r="II83" s="142"/>
      <c r="IJ83" s="142">
        <f>IFERROR(Calculations!BR84+IX83,"")</f>
        <v>0</v>
      </c>
      <c r="IK83" s="142"/>
      <c r="IL83" s="142"/>
      <c r="IM83" s="142"/>
      <c r="IN83" s="142"/>
      <c r="IO83" s="142"/>
      <c r="IP83" s="142"/>
      <c r="IQ83" s="141">
        <v>0</v>
      </c>
      <c r="IR83" s="141"/>
      <c r="IS83" s="141"/>
      <c r="IT83" s="141"/>
      <c r="IU83" s="141"/>
      <c r="IV83" s="141"/>
      <c r="IW83" s="141"/>
      <c r="IX83" s="141">
        <v>0</v>
      </c>
      <c r="IY83" s="141"/>
      <c r="IZ83" s="141"/>
      <c r="JA83" s="141"/>
      <c r="JB83" s="141"/>
      <c r="JC83" s="141"/>
      <c r="JD83" s="141"/>
      <c r="JE83" s="141"/>
      <c r="JF83" s="142"/>
      <c r="JG83" s="142"/>
      <c r="JH83" s="142"/>
      <c r="JI83" s="142"/>
      <c r="JJ83" s="142"/>
      <c r="JK83" s="143" t="str">
        <f>Calculations!AS84</f>
        <v>Soft Leather</v>
      </c>
      <c r="JL83" s="143"/>
      <c r="JM83" s="143"/>
      <c r="JN83" s="143"/>
      <c r="JO83" s="143"/>
      <c r="JP83" s="143"/>
      <c r="JQ83" s="143"/>
      <c r="JR83" s="143"/>
      <c r="JS83" s="143"/>
      <c r="JT83" s="143"/>
      <c r="JU83" s="143"/>
      <c r="JV83" s="143"/>
      <c r="JW83" s="143"/>
      <c r="JX83" s="143"/>
      <c r="JY83" s="143"/>
      <c r="JZ83" s="143"/>
      <c r="KA83" s="143"/>
      <c r="KB83" s="143"/>
      <c r="KC83" s="143" t="str">
        <f>Calculations!AW84</f>
        <v>Low Steel</v>
      </c>
      <c r="KD83" s="143"/>
      <c r="KE83" s="143"/>
      <c r="KF83" s="143"/>
      <c r="KG83" s="143"/>
      <c r="KH83" s="143"/>
      <c r="KI83" s="143"/>
      <c r="KJ83" s="143"/>
      <c r="KK83" s="143"/>
      <c r="KL83" s="143"/>
      <c r="KM83" s="143"/>
      <c r="KN83" s="143"/>
      <c r="KO83" s="143"/>
      <c r="KP83" s="143"/>
      <c r="KQ83" s="143"/>
      <c r="KR83" s="143"/>
      <c r="KS83" s="143"/>
      <c r="KT83" s="143"/>
      <c r="KU83" s="144"/>
      <c r="KV83" s="144"/>
      <c r="KW83" s="144"/>
      <c r="KX83" s="144"/>
      <c r="KY83" s="144"/>
      <c r="KZ83" s="144"/>
      <c r="LA83" s="144"/>
      <c r="LB83" s="144"/>
      <c r="LC83" s="144"/>
      <c r="LD83" s="144"/>
      <c r="LE83" s="144"/>
      <c r="LF83" s="144"/>
      <c r="LG83" s="144"/>
      <c r="LH83" s="144"/>
      <c r="LI83" s="144"/>
      <c r="LJ83" s="144"/>
      <c r="LK83" s="144"/>
      <c r="LL83" s="144"/>
      <c r="LM83" s="144"/>
      <c r="LN83" s="144"/>
      <c r="LO83" s="144"/>
      <c r="LP83" s="144"/>
      <c r="LQ83" s="144"/>
      <c r="LR83" s="144"/>
      <c r="LS83" s="144"/>
      <c r="LT83" s="144"/>
      <c r="LU83" s="144"/>
      <c r="LV83" s="144"/>
      <c r="LW83" s="144"/>
      <c r="LX83" s="144"/>
      <c r="LY83" s="144"/>
      <c r="LZ83" s="144"/>
      <c r="MA83" s="144"/>
      <c r="MB83" s="144"/>
      <c r="MC83" s="144"/>
      <c r="MD83" s="144"/>
      <c r="ME83" s="144"/>
      <c r="MF83" s="144"/>
      <c r="MG83" s="144"/>
      <c r="MH83" s="144"/>
      <c r="MI83" s="144"/>
      <c r="MJ83" s="144"/>
      <c r="MK83" s="144"/>
      <c r="ML83" s="144"/>
      <c r="MM83" s="144"/>
      <c r="MN83" s="144"/>
      <c r="MO83" s="144"/>
      <c r="MP83" s="144"/>
      <c r="MQ83" s="144"/>
      <c r="MR83" s="144"/>
      <c r="MS83" s="144"/>
      <c r="MT83" s="144"/>
      <c r="MU83" s="144"/>
      <c r="MV83" s="144"/>
      <c r="MW83" s="144"/>
      <c r="MX83" s="144"/>
      <c r="MY83" s="144"/>
      <c r="MZ83" s="145"/>
      <c r="BLR83" s="144" t="s">
        <v>359</v>
      </c>
      <c r="BLS83" s="144"/>
      <c r="BLT83" s="144"/>
      <c r="BLU83" s="144"/>
      <c r="BLV83" s="144"/>
      <c r="BLW83" s="144"/>
      <c r="BLX83" s="144"/>
      <c r="BLY83" s="144"/>
      <c r="BLZ83" s="144"/>
      <c r="BMA83" s="144"/>
      <c r="BMB83" s="144"/>
      <c r="BMC83" s="144"/>
      <c r="BMD83" s="144"/>
      <c r="BME83" s="144"/>
      <c r="BMF83" s="144"/>
      <c r="BMG83" s="144"/>
      <c r="BMH83" s="144"/>
      <c r="BMI83" s="144"/>
      <c r="BMJ83" s="144"/>
      <c r="BMK83" s="144"/>
      <c r="BML83" s="144"/>
      <c r="BMM83" s="144"/>
      <c r="BMN83" s="144"/>
      <c r="BMO83" s="144"/>
      <c r="BMP83" s="144"/>
      <c r="BMQ83" s="144"/>
      <c r="BMR83" s="144"/>
      <c r="BMS83" s="144"/>
      <c r="BMT83" s="144"/>
      <c r="BMU83" s="144"/>
      <c r="BMV83" s="144"/>
      <c r="BMW83" s="144"/>
      <c r="BMX83" s="144"/>
      <c r="BMY83" s="144"/>
      <c r="BMZ83" s="144"/>
      <c r="BNA83" s="144"/>
      <c r="BNB83" s="144"/>
      <c r="BNC83" s="144"/>
      <c r="BND83" s="144"/>
      <c r="BNE83" s="144"/>
      <c r="BNF83" s="144"/>
      <c r="BNG83" s="144"/>
      <c r="BNH83" s="144"/>
      <c r="BNI83" s="144"/>
      <c r="BNJ83" s="144"/>
      <c r="BNK83" s="144"/>
      <c r="BNL83" s="144"/>
      <c r="BNM83" s="144"/>
      <c r="BNN83" s="144"/>
      <c r="BNO83" s="144"/>
      <c r="BNP83" s="144"/>
      <c r="BNQ83" s="144"/>
      <c r="BNR83" s="144"/>
      <c r="BNS83" s="144"/>
      <c r="BNT83" s="144"/>
      <c r="BNU83" s="144"/>
      <c r="BNV83" s="144"/>
      <c r="BNW83" s="144"/>
      <c r="BNX83" s="144"/>
      <c r="BNY83" s="144"/>
      <c r="BNZ83" s="144"/>
      <c r="BOA83" s="144"/>
      <c r="BOB83" s="144"/>
      <c r="BOC83" s="144"/>
      <c r="BOD83" s="144"/>
      <c r="BOE83" s="144"/>
      <c r="BOF83" s="144"/>
      <c r="BOG83" s="144"/>
      <c r="BOH83" s="144"/>
      <c r="BOI83" s="144"/>
      <c r="BOJ83" s="144"/>
      <c r="BOK83" s="144"/>
      <c r="BOL83" s="144"/>
      <c r="BOM83" s="144"/>
      <c r="BON83" s="144"/>
      <c r="BOO83" s="144"/>
      <c r="BOP83" s="144"/>
      <c r="BOQ83" s="144"/>
      <c r="BOR83" s="144"/>
      <c r="BOS83" s="144"/>
      <c r="BOT83" s="144"/>
      <c r="BOU83" s="144"/>
      <c r="BOV83" s="144"/>
      <c r="BOW83" s="144"/>
      <c r="BOX83" s="144"/>
      <c r="BOY83" s="144"/>
      <c r="BOZ83" s="144"/>
      <c r="BPA83" s="144"/>
      <c r="BPB83" s="144"/>
      <c r="BPC83" s="144"/>
      <c r="BPD83" s="144"/>
      <c r="BPE83" s="144"/>
      <c r="BPF83" s="144"/>
    </row>
    <row r="84" spans="1:364 1682:1774" ht="15" customHeight="1" x14ac:dyDescent="0.25">
      <c r="A84" s="2">
        <v>4</v>
      </c>
      <c r="B84" s="135" t="str">
        <f ca="1">IFERROR(VLOOKUP(A84,Calculations!$ER$2:$ET$31,2,FALSE),"")</f>
        <v/>
      </c>
      <c r="C84" s="136"/>
      <c r="D84" s="136"/>
      <c r="E84" s="136"/>
      <c r="F84" s="136"/>
      <c r="G84" s="136"/>
      <c r="H84" s="136"/>
      <c r="I84" s="136"/>
      <c r="J84" s="136"/>
      <c r="K84" s="136"/>
      <c r="L84" s="136"/>
      <c r="M84" s="136"/>
      <c r="N84" s="136"/>
      <c r="O84" s="136"/>
      <c r="P84" s="136"/>
      <c r="Q84" s="136"/>
      <c r="R84" s="136"/>
      <c r="S84" s="136"/>
      <c r="T84" s="136"/>
      <c r="U84" s="136"/>
      <c r="V84" s="136"/>
      <c r="W84" s="131" t="str">
        <f ca="1">IFERROR(VLOOKUP(B84,Skills!$N$405:$AF$440,19,FALSE),"")</f>
        <v/>
      </c>
      <c r="X84" s="131"/>
      <c r="Y84" s="131"/>
      <c r="Z84" s="131"/>
      <c r="AA84" s="131"/>
      <c r="AB84" s="131"/>
      <c r="AC84" s="131"/>
      <c r="AD84" s="131"/>
      <c r="AE84" s="131" t="str">
        <f ca="1">IF(B84="","",MAX(0,IFERROR(VLOOKUP(B84,Skills!$N$376:$AF$380,19,FALSE),0)))</f>
        <v/>
      </c>
      <c r="AF84" s="131"/>
      <c r="AG84" s="131"/>
      <c r="AH84" s="131"/>
      <c r="AI84" s="131"/>
      <c r="AJ84" s="131"/>
      <c r="AK84" s="131" t="str">
        <f ca="1">IF(B84="","",IFERROR(VLOOKUP(B84,Skills!$N$383:$AF$387,19,FALSE),0))</f>
        <v/>
      </c>
      <c r="AL84" s="131"/>
      <c r="AM84" s="131"/>
      <c r="AN84" s="131"/>
      <c r="AO84" s="131"/>
      <c r="AP84" s="131"/>
      <c r="AQ84" s="131"/>
      <c r="AR84" s="131" t="str">
        <f ca="1">IF(B84="","",(VLOOKUP(B84,Skills!$N$405:$S$440,6,FALSE)))</f>
        <v/>
      </c>
      <c r="AS84" s="131"/>
      <c r="AT84" s="131"/>
      <c r="AU84" s="131"/>
      <c r="AV84" s="131"/>
      <c r="AW84" s="131"/>
      <c r="AX84" s="131"/>
      <c r="AY84" s="131" t="str">
        <f ca="1">IF(B84="","",Calculations!$H$10)</f>
        <v/>
      </c>
      <c r="AZ84" s="131"/>
      <c r="BA84" s="131"/>
      <c r="BB84" s="131"/>
      <c r="BC84" s="131"/>
      <c r="BD84" s="131"/>
      <c r="BE84" s="131"/>
      <c r="BF84" s="131" t="str">
        <f ca="1">SUBSTITUTE(IFERROR(VLOOKUP(A84,Calculations!$ER$2:$ET$31,3,FALSE),""),"Restricted","Rest.")</f>
        <v/>
      </c>
      <c r="BG84" s="131"/>
      <c r="BH84" s="131"/>
      <c r="BI84" s="131"/>
      <c r="BJ84" s="131"/>
      <c r="BK84" s="131"/>
      <c r="BL84" s="131"/>
      <c r="BM84" s="131"/>
      <c r="BN84" s="131"/>
      <c r="BO84" s="131"/>
      <c r="BP84" s="131"/>
      <c r="BQ84" s="131"/>
      <c r="BR84" s="131"/>
      <c r="BS84" s="131"/>
      <c r="BT84" s="131" t="str">
        <f ca="1">IF(B84="","",((AR84)+(AY84)+(VLOOKUP(BF84,Charts!$BV$2:$BW$6,2,FALSE))+(BM84)&amp;"/"&amp;((AR84)+(AY84)+(VLOOKUP(BF84,Charts!$BV$2:$BW$6,2,FALSE))+(BM84)+($BJ$5*2))))</f>
        <v/>
      </c>
      <c r="BU84" s="131"/>
      <c r="BV84" s="131"/>
      <c r="BW84" s="131"/>
      <c r="BX84" s="131"/>
      <c r="BY84" s="131"/>
      <c r="BZ84" s="239"/>
      <c r="CB84" s="135" t="str">
        <f ca="1">Calculations!AN20</f>
        <v/>
      </c>
      <c r="CC84" s="136"/>
      <c r="CD84" s="136"/>
      <c r="CE84" s="136"/>
      <c r="CF84" s="136"/>
      <c r="CG84" s="136"/>
      <c r="CH84" s="136"/>
      <c r="CI84" s="136"/>
      <c r="CJ84" s="136"/>
      <c r="CK84" s="136"/>
      <c r="CL84" s="136"/>
      <c r="CM84" s="136"/>
      <c r="CN84" s="136"/>
      <c r="CO84" s="136"/>
      <c r="CP84" s="136"/>
      <c r="CQ84" s="136"/>
      <c r="CR84" s="136"/>
      <c r="CS84" s="136"/>
      <c r="CT84" s="136"/>
      <c r="CU84" s="136"/>
      <c r="CV84" s="136"/>
      <c r="CW84" s="136"/>
      <c r="CX84" s="136"/>
      <c r="CY84" s="136"/>
      <c r="CZ84" s="136"/>
      <c r="DA84" s="136"/>
      <c r="DB84" s="136"/>
      <c r="DC84" s="136"/>
      <c r="DD84" s="136"/>
      <c r="DE84" s="131" t="str">
        <f ca="1">Calculations!AO20</f>
        <v/>
      </c>
      <c r="DF84" s="131"/>
      <c r="DG84" s="131"/>
      <c r="DH84" s="131"/>
      <c r="DI84" s="131"/>
      <c r="DJ84" s="131"/>
      <c r="DK84" s="131"/>
      <c r="DL84" s="131"/>
      <c r="DM84" s="131"/>
      <c r="DN84" s="116"/>
      <c r="DO84" s="136" t="str">
        <f ca="1">Calculations!AN21</f>
        <v/>
      </c>
      <c r="DP84" s="136"/>
      <c r="DQ84" s="136"/>
      <c r="DR84" s="136"/>
      <c r="DS84" s="136"/>
      <c r="DT84" s="136"/>
      <c r="DU84" s="136"/>
      <c r="DV84" s="136"/>
      <c r="DW84" s="136"/>
      <c r="DX84" s="136"/>
      <c r="DY84" s="136"/>
      <c r="DZ84" s="136"/>
      <c r="EA84" s="136"/>
      <c r="EB84" s="136"/>
      <c r="EC84" s="136"/>
      <c r="ED84" s="136"/>
      <c r="EE84" s="136"/>
      <c r="EF84" s="136"/>
      <c r="EG84" s="136"/>
      <c r="EH84" s="136"/>
      <c r="EI84" s="136"/>
      <c r="EJ84" s="136"/>
      <c r="EK84" s="136"/>
      <c r="EL84" s="136"/>
      <c r="EM84" s="136"/>
      <c r="EN84" s="136"/>
      <c r="EO84" s="136"/>
      <c r="EP84" s="136"/>
      <c r="EQ84" s="136"/>
      <c r="ER84" s="131" t="str">
        <f ca="1">Calculations!AO21</f>
        <v/>
      </c>
      <c r="ES84" s="131"/>
      <c r="ET84" s="131"/>
      <c r="EU84" s="131"/>
      <c r="EV84" s="131"/>
      <c r="EW84" s="131"/>
      <c r="EX84" s="131"/>
      <c r="EY84" s="131"/>
      <c r="EZ84" s="239"/>
      <c r="FB84" s="139" t="s">
        <v>2472</v>
      </c>
      <c r="FC84" s="140"/>
      <c r="FD84" s="140"/>
      <c r="FE84" s="140"/>
      <c r="FF84" s="140"/>
      <c r="FG84" s="140"/>
      <c r="FH84" s="140"/>
      <c r="FI84" s="140"/>
      <c r="FJ84" s="140"/>
      <c r="FK84" s="140"/>
      <c r="FL84" s="140"/>
      <c r="FM84" s="140"/>
      <c r="FN84" s="140"/>
      <c r="FO84" s="140"/>
      <c r="FP84" s="140"/>
      <c r="FQ84" s="140"/>
      <c r="FR84" s="140"/>
      <c r="FS84" s="140"/>
      <c r="FT84" s="140"/>
      <c r="FU84" s="140"/>
      <c r="FV84" s="140"/>
      <c r="FW84" s="140"/>
      <c r="FX84" s="140"/>
      <c r="FY84" s="140"/>
      <c r="FZ84" s="140"/>
      <c r="GA84" s="140"/>
      <c r="GB84" s="140"/>
      <c r="GC84" s="140"/>
      <c r="GD84" s="140"/>
      <c r="GE84" s="140"/>
      <c r="GF84" s="140"/>
      <c r="GG84" s="140"/>
      <c r="GH84" s="140"/>
      <c r="GI84" s="140"/>
      <c r="GJ84" s="140"/>
      <c r="GK84" s="140"/>
      <c r="GL84" s="140"/>
      <c r="GM84" s="140"/>
      <c r="GN84" s="140"/>
      <c r="GO84" s="140"/>
      <c r="GP84" s="140"/>
      <c r="GQ84" s="140"/>
      <c r="GR84" s="140"/>
      <c r="GS84" s="140"/>
      <c r="GT84" s="141">
        <v>1</v>
      </c>
      <c r="GU84" s="141"/>
      <c r="GV84" s="141"/>
      <c r="GW84" s="141"/>
      <c r="GX84" s="141"/>
      <c r="GY84" s="141"/>
      <c r="GZ84" s="141"/>
      <c r="HA84" s="141"/>
      <c r="HB84" s="142">
        <f>IFERROR(ROUND(Calculations!BV85*GT84,2),"")</f>
        <v>15</v>
      </c>
      <c r="HC84" s="142"/>
      <c r="HD84" s="142"/>
      <c r="HE84" s="142"/>
      <c r="HF84" s="142"/>
      <c r="HG84" s="142"/>
      <c r="HH84" s="142"/>
      <c r="HI84" s="142"/>
      <c r="HJ84" s="142">
        <f>IFERROR(Calculations!BS85+IQ84+IX84,"")</f>
        <v>40</v>
      </c>
      <c r="HK84" s="142"/>
      <c r="HL84" s="142"/>
      <c r="HM84" s="142"/>
      <c r="HN84" s="142"/>
      <c r="HO84" s="142"/>
      <c r="HP84" s="142"/>
      <c r="HQ84" s="142"/>
      <c r="HR84" s="142">
        <f t="shared" si="9"/>
        <v>0</v>
      </c>
      <c r="HS84" s="142"/>
      <c r="HT84" s="142"/>
      <c r="HU84" s="142"/>
      <c r="HV84" s="142"/>
      <c r="HW84" s="142"/>
      <c r="HX84" s="142"/>
      <c r="HY84" s="142"/>
      <c r="HZ84" s="142" t="str">
        <f>IFERROR(Calculations!BX85,"")</f>
        <v>$8.65</v>
      </c>
      <c r="IA84" s="142"/>
      <c r="IB84" s="142"/>
      <c r="IC84" s="142"/>
      <c r="ID84" s="142"/>
      <c r="IE84" s="142"/>
      <c r="IF84" s="142"/>
      <c r="IG84" s="142"/>
      <c r="IH84" s="142"/>
      <c r="II84" s="142"/>
      <c r="IJ84" s="142">
        <f>IFERROR(Calculations!BR85+IX84,"")</f>
        <v>0</v>
      </c>
      <c r="IK84" s="142"/>
      <c r="IL84" s="142"/>
      <c r="IM84" s="142"/>
      <c r="IN84" s="142"/>
      <c r="IO84" s="142"/>
      <c r="IP84" s="142"/>
      <c r="IQ84" s="141">
        <v>0</v>
      </c>
      <c r="IR84" s="141"/>
      <c r="IS84" s="141"/>
      <c r="IT84" s="141"/>
      <c r="IU84" s="141"/>
      <c r="IV84" s="141"/>
      <c r="IW84" s="141"/>
      <c r="IX84" s="141">
        <v>0</v>
      </c>
      <c r="IY84" s="141"/>
      <c r="IZ84" s="141"/>
      <c r="JA84" s="141"/>
      <c r="JB84" s="141"/>
      <c r="JC84" s="141"/>
      <c r="JD84" s="141"/>
      <c r="JE84" s="141"/>
      <c r="JF84" s="142"/>
      <c r="JG84" s="142"/>
      <c r="JH84" s="142"/>
      <c r="JI84" s="142"/>
      <c r="JJ84" s="142"/>
      <c r="JK84" s="143" t="str">
        <f>Calculations!AS85</f>
        <v>Soft Leather</v>
      </c>
      <c r="JL84" s="143"/>
      <c r="JM84" s="143"/>
      <c r="JN84" s="143"/>
      <c r="JO84" s="143"/>
      <c r="JP84" s="143"/>
      <c r="JQ84" s="143"/>
      <c r="JR84" s="143"/>
      <c r="JS84" s="143"/>
      <c r="JT84" s="143"/>
      <c r="JU84" s="143"/>
      <c r="JV84" s="143"/>
      <c r="JW84" s="143"/>
      <c r="JX84" s="143"/>
      <c r="JY84" s="143"/>
      <c r="JZ84" s="143"/>
      <c r="KA84" s="143"/>
      <c r="KB84" s="143"/>
      <c r="KC84" s="143" t="str">
        <f>Calculations!AW85</f>
        <v>Heavy Cloth</v>
      </c>
      <c r="KD84" s="143"/>
      <c r="KE84" s="143"/>
      <c r="KF84" s="143"/>
      <c r="KG84" s="143"/>
      <c r="KH84" s="143"/>
      <c r="KI84" s="143"/>
      <c r="KJ84" s="143"/>
      <c r="KK84" s="143"/>
      <c r="KL84" s="143"/>
      <c r="KM84" s="143"/>
      <c r="KN84" s="143"/>
      <c r="KO84" s="143"/>
      <c r="KP84" s="143"/>
      <c r="KQ84" s="143"/>
      <c r="KR84" s="143"/>
      <c r="KS84" s="143"/>
      <c r="KT84" s="143"/>
      <c r="KU84" s="144"/>
      <c r="KV84" s="144"/>
      <c r="KW84" s="144"/>
      <c r="KX84" s="144"/>
      <c r="KY84" s="144"/>
      <c r="KZ84" s="144"/>
      <c r="LA84" s="144"/>
      <c r="LB84" s="144"/>
      <c r="LC84" s="144"/>
      <c r="LD84" s="144"/>
      <c r="LE84" s="144"/>
      <c r="LF84" s="144"/>
      <c r="LG84" s="144"/>
      <c r="LH84" s="144"/>
      <c r="LI84" s="144"/>
      <c r="LJ84" s="144"/>
      <c r="LK84" s="144"/>
      <c r="LL84" s="144"/>
      <c r="LM84" s="144"/>
      <c r="LN84" s="144"/>
      <c r="LO84" s="144"/>
      <c r="LP84" s="144"/>
      <c r="LQ84" s="144"/>
      <c r="LR84" s="144"/>
      <c r="LS84" s="144"/>
      <c r="LT84" s="144"/>
      <c r="LU84" s="144"/>
      <c r="LV84" s="144"/>
      <c r="LW84" s="144"/>
      <c r="LX84" s="144"/>
      <c r="LY84" s="144"/>
      <c r="LZ84" s="144"/>
      <c r="MA84" s="144"/>
      <c r="MB84" s="144"/>
      <c r="MC84" s="144"/>
      <c r="MD84" s="144"/>
      <c r="ME84" s="144"/>
      <c r="MF84" s="144"/>
      <c r="MG84" s="144"/>
      <c r="MH84" s="144"/>
      <c r="MI84" s="144"/>
      <c r="MJ84" s="144"/>
      <c r="MK84" s="144"/>
      <c r="ML84" s="144"/>
      <c r="MM84" s="144"/>
      <c r="MN84" s="144"/>
      <c r="MO84" s="144"/>
      <c r="MP84" s="144"/>
      <c r="MQ84" s="144"/>
      <c r="MR84" s="144"/>
      <c r="MS84" s="144"/>
      <c r="MT84" s="144"/>
      <c r="MU84" s="144"/>
      <c r="MV84" s="144"/>
      <c r="MW84" s="144"/>
      <c r="MX84" s="144"/>
      <c r="MY84" s="144"/>
      <c r="MZ84" s="145"/>
      <c r="BLR84" s="144" t="s">
        <v>147</v>
      </c>
      <c r="BLS84" s="144"/>
      <c r="BLT84" s="144"/>
      <c r="BLU84" s="144"/>
      <c r="BLV84" s="144"/>
      <c r="BLW84" s="144"/>
      <c r="BLX84" s="144"/>
      <c r="BLY84" s="144"/>
      <c r="BLZ84" s="144"/>
      <c r="BMA84" s="144"/>
      <c r="BMB84" s="144"/>
      <c r="BMC84" s="144"/>
      <c r="BMD84" s="144"/>
      <c r="BME84" s="144"/>
      <c r="BMF84" s="144"/>
      <c r="BMG84" s="144"/>
      <c r="BMH84" s="144"/>
      <c r="BMI84" s="144"/>
      <c r="BMJ84" s="144"/>
      <c r="BMK84" s="144"/>
      <c r="BML84" s="144"/>
      <c r="BMM84" s="144"/>
      <c r="BMN84" s="144"/>
      <c r="BMO84" s="144"/>
      <c r="BMP84" s="144"/>
      <c r="BMQ84" s="144"/>
      <c r="BMR84" s="144"/>
      <c r="BMS84" s="144"/>
      <c r="BMT84" s="144"/>
      <c r="BMU84" s="144"/>
      <c r="BMV84" s="144"/>
      <c r="BMW84" s="129" t="s">
        <v>133</v>
      </c>
      <c r="BMX84" s="129"/>
      <c r="BMY84" s="129"/>
      <c r="BMZ84" s="129"/>
      <c r="BNA84" s="129" t="s">
        <v>148</v>
      </c>
      <c r="BNB84" s="129"/>
      <c r="BNC84" s="129"/>
      <c r="BND84" s="129"/>
      <c r="BNE84" s="129"/>
      <c r="BNF84" s="129" t="s">
        <v>83</v>
      </c>
      <c r="BNG84" s="129"/>
      <c r="BNH84" s="129"/>
      <c r="BNI84" s="129"/>
      <c r="BNJ84" s="129"/>
      <c r="BNK84" s="129"/>
      <c r="BNL84" s="129" t="s">
        <v>37</v>
      </c>
      <c r="BNM84" s="129"/>
      <c r="BNN84" s="129"/>
      <c r="BNO84" s="129"/>
      <c r="BNP84" s="129"/>
      <c r="BNQ84" s="129"/>
      <c r="BNR84" s="129" t="s">
        <v>49</v>
      </c>
      <c r="BNS84" s="129"/>
      <c r="BNT84" s="129"/>
      <c r="BNU84" s="129"/>
      <c r="BNV84" s="129"/>
      <c r="BNW84" s="129"/>
      <c r="BNX84" s="129" t="s">
        <v>149</v>
      </c>
      <c r="BNY84" s="129"/>
      <c r="BNZ84" s="129"/>
      <c r="BOA84" s="129"/>
      <c r="BOB84" s="129"/>
      <c r="BOC84" s="129"/>
      <c r="BOD84" s="129"/>
      <c r="BOE84" s="129" t="s">
        <v>150</v>
      </c>
      <c r="BOF84" s="129"/>
      <c r="BOG84" s="129"/>
      <c r="BOH84" s="129"/>
      <c r="BOI84" s="129"/>
      <c r="BOJ84" s="129"/>
      <c r="BOK84" s="129"/>
      <c r="BOL84" s="129" t="s">
        <v>151</v>
      </c>
      <c r="BOM84" s="129"/>
      <c r="BON84" s="129"/>
      <c r="BOO84" s="129"/>
      <c r="BOP84" s="129"/>
      <c r="BOQ84" s="129"/>
      <c r="BOR84" s="129"/>
      <c r="BOS84" s="129" t="s">
        <v>37</v>
      </c>
      <c r="BOT84" s="129"/>
      <c r="BOU84" s="129"/>
      <c r="BOV84" s="129"/>
      <c r="BOW84" s="129"/>
      <c r="BOX84" s="129"/>
      <c r="BOY84" s="129"/>
      <c r="BOZ84" s="129" t="s">
        <v>40</v>
      </c>
      <c r="BPA84" s="129"/>
      <c r="BPB84" s="129"/>
      <c r="BPC84" s="129"/>
      <c r="BPD84" s="129"/>
      <c r="BPE84" s="129"/>
      <c r="BPF84" s="129"/>
    </row>
    <row r="85" spans="1:364 1682:1774" ht="15" customHeight="1" x14ac:dyDescent="0.25">
      <c r="A85" s="2">
        <v>5</v>
      </c>
      <c r="B85" s="133" t="str">
        <f ca="1">IFERROR(VLOOKUP(A85,Calculations!$ER$2:$ET$31,2,FALSE),"")</f>
        <v/>
      </c>
      <c r="C85" s="134"/>
      <c r="D85" s="134"/>
      <c r="E85" s="134"/>
      <c r="F85" s="134"/>
      <c r="G85" s="134"/>
      <c r="H85" s="134"/>
      <c r="I85" s="134"/>
      <c r="J85" s="134"/>
      <c r="K85" s="134"/>
      <c r="L85" s="134"/>
      <c r="M85" s="134"/>
      <c r="N85" s="134"/>
      <c r="O85" s="134"/>
      <c r="P85" s="134"/>
      <c r="Q85" s="134"/>
      <c r="R85" s="134"/>
      <c r="S85" s="134"/>
      <c r="T85" s="134"/>
      <c r="U85" s="134"/>
      <c r="V85" s="134"/>
      <c r="W85" s="130" t="str">
        <f ca="1">IFERROR(VLOOKUP(B85,Skills!$N$405:$AF$440,19,FALSE),"")</f>
        <v/>
      </c>
      <c r="X85" s="130"/>
      <c r="Y85" s="130"/>
      <c r="Z85" s="130"/>
      <c r="AA85" s="130"/>
      <c r="AB85" s="130"/>
      <c r="AC85" s="130"/>
      <c r="AD85" s="130"/>
      <c r="AE85" s="130" t="str">
        <f ca="1">IF(B85="","",MAX(0,IFERROR(VLOOKUP(B85,Skills!$N$376:$AF$380,19,FALSE),0)))</f>
        <v/>
      </c>
      <c r="AF85" s="130"/>
      <c r="AG85" s="130"/>
      <c r="AH85" s="130"/>
      <c r="AI85" s="130"/>
      <c r="AJ85" s="130"/>
      <c r="AK85" s="130" t="str">
        <f ca="1">IF(B85="","",IFERROR(VLOOKUP(B85,Skills!$N$383:$AF$387,19,FALSE),0))</f>
        <v/>
      </c>
      <c r="AL85" s="130"/>
      <c r="AM85" s="130"/>
      <c r="AN85" s="130"/>
      <c r="AO85" s="130"/>
      <c r="AP85" s="130"/>
      <c r="AQ85" s="130"/>
      <c r="AR85" s="130" t="str">
        <f ca="1">IF(B85="","",(VLOOKUP(B85,Skills!$N$405:$S$440,6,FALSE)))</f>
        <v/>
      </c>
      <c r="AS85" s="130"/>
      <c r="AT85" s="130"/>
      <c r="AU85" s="130"/>
      <c r="AV85" s="130"/>
      <c r="AW85" s="130"/>
      <c r="AX85" s="130"/>
      <c r="AY85" s="130" t="str">
        <f ca="1">IF(B85="","",Calculations!$H$10)</f>
        <v/>
      </c>
      <c r="AZ85" s="130"/>
      <c r="BA85" s="130"/>
      <c r="BB85" s="130"/>
      <c r="BC85" s="130"/>
      <c r="BD85" s="130"/>
      <c r="BE85" s="130"/>
      <c r="BF85" s="130" t="str">
        <f ca="1">SUBSTITUTE(IFERROR(VLOOKUP(A85,Calculations!$ER$2:$ET$31,3,FALSE),""),"Restricted","Rest.")</f>
        <v/>
      </c>
      <c r="BG85" s="130"/>
      <c r="BH85" s="130"/>
      <c r="BI85" s="130"/>
      <c r="BJ85" s="130"/>
      <c r="BK85" s="130"/>
      <c r="BL85" s="130"/>
      <c r="BM85" s="130"/>
      <c r="BN85" s="130"/>
      <c r="BO85" s="130"/>
      <c r="BP85" s="130"/>
      <c r="BQ85" s="130"/>
      <c r="BR85" s="130"/>
      <c r="BS85" s="130"/>
      <c r="BT85" s="130" t="str">
        <f ca="1">IF(B85="","",((AR85)+(AY85)+(VLOOKUP(BF85,Charts!$BV$2:$BW$6,2,FALSE))+(BM85)&amp;"/"&amp;((AR85)+(AY85)+(VLOOKUP(BF85,Charts!$BV$2:$BW$6,2,FALSE))+(BM85)+($BJ$5*2))))</f>
        <v/>
      </c>
      <c r="BU85" s="130"/>
      <c r="BV85" s="130"/>
      <c r="BW85" s="130"/>
      <c r="BX85" s="130"/>
      <c r="BY85" s="130"/>
      <c r="BZ85" s="238"/>
      <c r="CB85" s="133" t="str">
        <f ca="1">Calculations!AN22</f>
        <v/>
      </c>
      <c r="CC85" s="134"/>
      <c r="CD85" s="134"/>
      <c r="CE85" s="134"/>
      <c r="CF85" s="134"/>
      <c r="CG85" s="134"/>
      <c r="CH85" s="134"/>
      <c r="CI85" s="134"/>
      <c r="CJ85" s="134"/>
      <c r="CK85" s="134"/>
      <c r="CL85" s="134"/>
      <c r="CM85" s="134"/>
      <c r="CN85" s="134"/>
      <c r="CO85" s="134"/>
      <c r="CP85" s="134"/>
      <c r="CQ85" s="134"/>
      <c r="CR85" s="134"/>
      <c r="CS85" s="134"/>
      <c r="CT85" s="134"/>
      <c r="CU85" s="134"/>
      <c r="CV85" s="134"/>
      <c r="CW85" s="134"/>
      <c r="CX85" s="134"/>
      <c r="CY85" s="134"/>
      <c r="CZ85" s="134"/>
      <c r="DA85" s="134"/>
      <c r="DB85" s="134"/>
      <c r="DC85" s="134"/>
      <c r="DD85" s="134"/>
      <c r="DE85" s="130" t="str">
        <f ca="1">Calculations!AO22</f>
        <v/>
      </c>
      <c r="DF85" s="130"/>
      <c r="DG85" s="130"/>
      <c r="DH85" s="130"/>
      <c r="DI85" s="130"/>
      <c r="DJ85" s="130"/>
      <c r="DK85" s="130"/>
      <c r="DL85" s="130"/>
      <c r="DM85" s="130"/>
      <c r="DN85" s="117"/>
      <c r="DO85" s="134" t="str">
        <f ca="1">Calculations!AN23</f>
        <v/>
      </c>
      <c r="DP85" s="134"/>
      <c r="DQ85" s="134"/>
      <c r="DR85" s="134"/>
      <c r="DS85" s="134"/>
      <c r="DT85" s="134"/>
      <c r="DU85" s="134"/>
      <c r="DV85" s="134"/>
      <c r="DW85" s="134"/>
      <c r="DX85" s="134"/>
      <c r="DY85" s="134"/>
      <c r="DZ85" s="134"/>
      <c r="EA85" s="134"/>
      <c r="EB85" s="134"/>
      <c r="EC85" s="134"/>
      <c r="ED85" s="134"/>
      <c r="EE85" s="134"/>
      <c r="EF85" s="134"/>
      <c r="EG85" s="134"/>
      <c r="EH85" s="134"/>
      <c r="EI85" s="134"/>
      <c r="EJ85" s="134"/>
      <c r="EK85" s="134"/>
      <c r="EL85" s="134"/>
      <c r="EM85" s="134"/>
      <c r="EN85" s="134"/>
      <c r="EO85" s="134"/>
      <c r="EP85" s="134"/>
      <c r="EQ85" s="134"/>
      <c r="ER85" s="130" t="str">
        <f ca="1">Calculations!AO23</f>
        <v/>
      </c>
      <c r="ES85" s="130"/>
      <c r="ET85" s="130"/>
      <c r="EU85" s="130"/>
      <c r="EV85" s="130"/>
      <c r="EW85" s="130"/>
      <c r="EX85" s="130"/>
      <c r="EY85" s="130"/>
      <c r="EZ85" s="238"/>
      <c r="FB85" s="139" t="s">
        <v>2473</v>
      </c>
      <c r="FC85" s="140"/>
      <c r="FD85" s="140"/>
      <c r="FE85" s="140"/>
      <c r="FF85" s="140"/>
      <c r="FG85" s="140"/>
      <c r="FH85" s="140"/>
      <c r="FI85" s="140"/>
      <c r="FJ85" s="140"/>
      <c r="FK85" s="140"/>
      <c r="FL85" s="140"/>
      <c r="FM85" s="140"/>
      <c r="FN85" s="140"/>
      <c r="FO85" s="140"/>
      <c r="FP85" s="140"/>
      <c r="FQ85" s="140"/>
      <c r="FR85" s="140"/>
      <c r="FS85" s="140"/>
      <c r="FT85" s="140"/>
      <c r="FU85" s="140"/>
      <c r="FV85" s="140"/>
      <c r="FW85" s="140"/>
      <c r="FX85" s="140"/>
      <c r="FY85" s="140"/>
      <c r="FZ85" s="140"/>
      <c r="GA85" s="140"/>
      <c r="GB85" s="140"/>
      <c r="GC85" s="140"/>
      <c r="GD85" s="140"/>
      <c r="GE85" s="140"/>
      <c r="GF85" s="140"/>
      <c r="GG85" s="140"/>
      <c r="GH85" s="140"/>
      <c r="GI85" s="140"/>
      <c r="GJ85" s="140"/>
      <c r="GK85" s="140"/>
      <c r="GL85" s="140"/>
      <c r="GM85" s="140"/>
      <c r="GN85" s="140"/>
      <c r="GO85" s="140"/>
      <c r="GP85" s="140"/>
      <c r="GQ85" s="140"/>
      <c r="GR85" s="140"/>
      <c r="GS85" s="140"/>
      <c r="GT85" s="141">
        <v>1</v>
      </c>
      <c r="GU85" s="141"/>
      <c r="GV85" s="141"/>
      <c r="GW85" s="141"/>
      <c r="GX85" s="141"/>
      <c r="GY85" s="141"/>
      <c r="GZ85" s="141"/>
      <c r="HA85" s="141"/>
      <c r="HB85" s="142">
        <f>IFERROR(ROUND(Calculations!BV86*GT85,2),"")</f>
        <v>7</v>
      </c>
      <c r="HC85" s="142"/>
      <c r="HD85" s="142"/>
      <c r="HE85" s="142"/>
      <c r="HF85" s="142"/>
      <c r="HG85" s="142"/>
      <c r="HH85" s="142"/>
      <c r="HI85" s="142"/>
      <c r="HJ85" s="142">
        <f>IFERROR(Calculations!BS86+IQ85+IX85,"")</f>
        <v>30</v>
      </c>
      <c r="HK85" s="142"/>
      <c r="HL85" s="142"/>
      <c r="HM85" s="142"/>
      <c r="HN85" s="142"/>
      <c r="HO85" s="142"/>
      <c r="HP85" s="142"/>
      <c r="HQ85" s="142"/>
      <c r="HR85" s="142">
        <f t="shared" si="9"/>
        <v>0</v>
      </c>
      <c r="HS85" s="142"/>
      <c r="HT85" s="142"/>
      <c r="HU85" s="142"/>
      <c r="HV85" s="142"/>
      <c r="HW85" s="142"/>
      <c r="HX85" s="142"/>
      <c r="HY85" s="142"/>
      <c r="HZ85" s="142" t="str">
        <f>IFERROR(Calculations!BX86,"")</f>
        <v>$5</v>
      </c>
      <c r="IA85" s="142"/>
      <c r="IB85" s="142"/>
      <c r="IC85" s="142"/>
      <c r="ID85" s="142"/>
      <c r="IE85" s="142"/>
      <c r="IF85" s="142"/>
      <c r="IG85" s="142"/>
      <c r="IH85" s="142"/>
      <c r="II85" s="142"/>
      <c r="IJ85" s="142">
        <f>IFERROR(Calculations!BR86+IX85,"")</f>
        <v>0</v>
      </c>
      <c r="IK85" s="142"/>
      <c r="IL85" s="142"/>
      <c r="IM85" s="142"/>
      <c r="IN85" s="142"/>
      <c r="IO85" s="142"/>
      <c r="IP85" s="142"/>
      <c r="IQ85" s="141">
        <v>0</v>
      </c>
      <c r="IR85" s="141"/>
      <c r="IS85" s="141"/>
      <c r="IT85" s="141"/>
      <c r="IU85" s="141"/>
      <c r="IV85" s="141"/>
      <c r="IW85" s="141"/>
      <c r="IX85" s="141">
        <v>0</v>
      </c>
      <c r="IY85" s="141"/>
      <c r="IZ85" s="141"/>
      <c r="JA85" s="141"/>
      <c r="JB85" s="141"/>
      <c r="JC85" s="141"/>
      <c r="JD85" s="141"/>
      <c r="JE85" s="141"/>
      <c r="JF85" s="142"/>
      <c r="JG85" s="142"/>
      <c r="JH85" s="142"/>
      <c r="JI85" s="142"/>
      <c r="JJ85" s="142"/>
      <c r="JK85" s="143" t="str">
        <f>Calculations!AS86</f>
        <v>Heavy Cloth</v>
      </c>
      <c r="JL85" s="143"/>
      <c r="JM85" s="143"/>
      <c r="JN85" s="143"/>
      <c r="JO85" s="143"/>
      <c r="JP85" s="143"/>
      <c r="JQ85" s="143"/>
      <c r="JR85" s="143"/>
      <c r="JS85" s="143"/>
      <c r="JT85" s="143"/>
      <c r="JU85" s="143"/>
      <c r="JV85" s="143"/>
      <c r="JW85" s="143"/>
      <c r="JX85" s="143"/>
      <c r="JY85" s="143"/>
      <c r="JZ85" s="143"/>
      <c r="KA85" s="143"/>
      <c r="KB85" s="143"/>
      <c r="KC85" s="143" t="str">
        <f>Calculations!AW86</f>
        <v>Soft Leather</v>
      </c>
      <c r="KD85" s="143"/>
      <c r="KE85" s="143"/>
      <c r="KF85" s="143"/>
      <c r="KG85" s="143"/>
      <c r="KH85" s="143"/>
      <c r="KI85" s="143"/>
      <c r="KJ85" s="143"/>
      <c r="KK85" s="143"/>
      <c r="KL85" s="143"/>
      <c r="KM85" s="143"/>
      <c r="KN85" s="143"/>
      <c r="KO85" s="143"/>
      <c r="KP85" s="143"/>
      <c r="KQ85" s="143"/>
      <c r="KR85" s="143"/>
      <c r="KS85" s="143"/>
      <c r="KT85" s="143"/>
      <c r="KU85" s="144"/>
      <c r="KV85" s="144"/>
      <c r="KW85" s="144"/>
      <c r="KX85" s="144"/>
      <c r="KY85" s="144"/>
      <c r="KZ85" s="144"/>
      <c r="LA85" s="144"/>
      <c r="LB85" s="144"/>
      <c r="LC85" s="144"/>
      <c r="LD85" s="144"/>
      <c r="LE85" s="144"/>
      <c r="LF85" s="144"/>
      <c r="LG85" s="144"/>
      <c r="LH85" s="144"/>
      <c r="LI85" s="144"/>
      <c r="LJ85" s="144"/>
      <c r="LK85" s="144"/>
      <c r="LL85" s="144"/>
      <c r="LM85" s="144"/>
      <c r="LN85" s="144"/>
      <c r="LO85" s="144"/>
      <c r="LP85" s="144"/>
      <c r="LQ85" s="144"/>
      <c r="LR85" s="144"/>
      <c r="LS85" s="144"/>
      <c r="LT85" s="144"/>
      <c r="LU85" s="144"/>
      <c r="LV85" s="144"/>
      <c r="LW85" s="144"/>
      <c r="LX85" s="144"/>
      <c r="LY85" s="144"/>
      <c r="LZ85" s="144"/>
      <c r="MA85" s="144"/>
      <c r="MB85" s="144"/>
      <c r="MC85" s="144"/>
      <c r="MD85" s="144"/>
      <c r="ME85" s="144"/>
      <c r="MF85" s="144"/>
      <c r="MG85" s="144"/>
      <c r="MH85" s="144"/>
      <c r="MI85" s="144"/>
      <c r="MJ85" s="144"/>
      <c r="MK85" s="144"/>
      <c r="ML85" s="144"/>
      <c r="MM85" s="144"/>
      <c r="MN85" s="144"/>
      <c r="MO85" s="144"/>
      <c r="MP85" s="144"/>
      <c r="MQ85" s="144"/>
      <c r="MR85" s="144"/>
      <c r="MS85" s="144"/>
      <c r="MT85" s="144"/>
      <c r="MU85" s="144"/>
      <c r="MV85" s="144"/>
      <c r="MW85" s="144"/>
      <c r="MX85" s="144"/>
      <c r="MY85" s="144"/>
      <c r="MZ85" s="145"/>
      <c r="BLR85" s="128" t="s">
        <v>360</v>
      </c>
      <c r="BLS85" s="128"/>
      <c r="BLT85" s="128"/>
      <c r="BLU85" s="128"/>
      <c r="BLV85" s="128"/>
      <c r="BLW85" s="128"/>
      <c r="BLX85" s="128"/>
      <c r="BLY85" s="128"/>
      <c r="BLZ85" s="128"/>
      <c r="BMA85" s="128"/>
      <c r="BMB85" s="128"/>
      <c r="BMC85" s="128"/>
      <c r="BMD85" s="128"/>
      <c r="BME85" s="128"/>
      <c r="BMF85" s="128"/>
      <c r="BMG85" s="128"/>
      <c r="BMH85" s="128"/>
      <c r="BMI85" s="128"/>
      <c r="BMJ85" s="128"/>
      <c r="BMK85" s="128"/>
      <c r="BML85" s="128"/>
      <c r="BMM85" s="128"/>
      <c r="BMN85" s="128"/>
      <c r="BMO85" s="128"/>
      <c r="BMP85" s="128"/>
      <c r="BMQ85" s="128"/>
      <c r="BMR85" s="128"/>
      <c r="BMS85" s="128"/>
      <c r="BMT85" s="128"/>
      <c r="BMU85" s="128"/>
      <c r="BMV85" s="128"/>
      <c r="BMW85" s="129"/>
      <c r="BMX85" s="129"/>
      <c r="BMY85" s="129"/>
      <c r="BMZ85" s="129"/>
      <c r="BNA85" s="129"/>
      <c r="BNB85" s="129"/>
      <c r="BNC85" s="129"/>
      <c r="BND85" s="129"/>
      <c r="BNE85" s="129"/>
      <c r="BNF85" s="129"/>
      <c r="BNG85" s="129"/>
      <c r="BNH85" s="129"/>
      <c r="BNI85" s="129"/>
      <c r="BNJ85" s="129"/>
      <c r="BNK85" s="129"/>
      <c r="BNL85" s="129"/>
      <c r="BNM85" s="129"/>
      <c r="BNN85" s="129"/>
      <c r="BNO85" s="129"/>
      <c r="BNP85" s="129"/>
      <c r="BNQ85" s="129"/>
      <c r="BNR85" s="128"/>
      <c r="BNS85" s="128"/>
      <c r="BNT85" s="128"/>
      <c r="BNU85" s="128"/>
      <c r="BNV85" s="128"/>
      <c r="BNW85" s="128"/>
      <c r="BNX85" s="129"/>
      <c r="BNY85" s="129"/>
      <c r="BNZ85" s="129"/>
      <c r="BOA85" s="129"/>
      <c r="BOB85" s="129"/>
      <c r="BOC85" s="129"/>
      <c r="BOD85" s="129"/>
      <c r="BOE85" s="129"/>
      <c r="BOF85" s="129"/>
      <c r="BOG85" s="129"/>
      <c r="BOH85" s="129"/>
      <c r="BOI85" s="129"/>
      <c r="BOJ85" s="129"/>
      <c r="BOK85" s="129"/>
      <c r="BOL85" s="129"/>
      <c r="BOM85" s="129"/>
      <c r="BON85" s="129"/>
      <c r="BOO85" s="129"/>
      <c r="BOP85" s="129"/>
      <c r="BOQ85" s="129"/>
      <c r="BOR85" s="129"/>
      <c r="BOS85" s="129"/>
      <c r="BOT85" s="129"/>
      <c r="BOU85" s="129"/>
      <c r="BOV85" s="129"/>
      <c r="BOW85" s="129"/>
      <c r="BOX85" s="129"/>
      <c r="BOY85" s="129"/>
      <c r="BOZ85" s="128"/>
      <c r="BPA85" s="128"/>
      <c r="BPB85" s="128"/>
      <c r="BPC85" s="128"/>
      <c r="BPD85" s="128"/>
      <c r="BPE85" s="128"/>
      <c r="BPF85" s="128"/>
    </row>
    <row r="86" spans="1:364 1682:1774" ht="15" customHeight="1" x14ac:dyDescent="0.25">
      <c r="A86" s="2">
        <v>6</v>
      </c>
      <c r="B86" s="135" t="str">
        <f ca="1">IFERROR(VLOOKUP(A86,Calculations!$ER$2:$ET$31,2,FALSE),"")</f>
        <v/>
      </c>
      <c r="C86" s="136"/>
      <c r="D86" s="136"/>
      <c r="E86" s="136"/>
      <c r="F86" s="136"/>
      <c r="G86" s="136"/>
      <c r="H86" s="136"/>
      <c r="I86" s="136"/>
      <c r="J86" s="136"/>
      <c r="K86" s="136"/>
      <c r="L86" s="136"/>
      <c r="M86" s="136"/>
      <c r="N86" s="136"/>
      <c r="O86" s="136"/>
      <c r="P86" s="136"/>
      <c r="Q86" s="136"/>
      <c r="R86" s="136"/>
      <c r="S86" s="136"/>
      <c r="T86" s="136"/>
      <c r="U86" s="136"/>
      <c r="V86" s="136"/>
      <c r="W86" s="131" t="str">
        <f ca="1">IFERROR(VLOOKUP(B86,Skills!$N$405:$AF$440,19,FALSE),"")</f>
        <v/>
      </c>
      <c r="X86" s="131"/>
      <c r="Y86" s="131"/>
      <c r="Z86" s="131"/>
      <c r="AA86" s="131"/>
      <c r="AB86" s="131"/>
      <c r="AC86" s="131"/>
      <c r="AD86" s="131"/>
      <c r="AE86" s="131" t="str">
        <f ca="1">IF(B86="","",MAX(0,IFERROR(VLOOKUP(B86,Skills!$N$376:$AF$380,19,FALSE),0)))</f>
        <v/>
      </c>
      <c r="AF86" s="131"/>
      <c r="AG86" s="131"/>
      <c r="AH86" s="131"/>
      <c r="AI86" s="131"/>
      <c r="AJ86" s="131"/>
      <c r="AK86" s="131" t="str">
        <f ca="1">IF(B86="","",IFERROR(VLOOKUP(B86,Skills!$N$383:$AF$387,19,FALSE),0))</f>
        <v/>
      </c>
      <c r="AL86" s="131"/>
      <c r="AM86" s="131"/>
      <c r="AN86" s="131"/>
      <c r="AO86" s="131"/>
      <c r="AP86" s="131"/>
      <c r="AQ86" s="131"/>
      <c r="AR86" s="131" t="str">
        <f ca="1">IF(B86="","",(VLOOKUP(B86,Skills!$N$405:$S$440,6,FALSE)))</f>
        <v/>
      </c>
      <c r="AS86" s="131"/>
      <c r="AT86" s="131"/>
      <c r="AU86" s="131"/>
      <c r="AV86" s="131"/>
      <c r="AW86" s="131"/>
      <c r="AX86" s="131"/>
      <c r="AY86" s="131" t="str">
        <f ca="1">IF(B86="","",Calculations!$H$10)</f>
        <v/>
      </c>
      <c r="AZ86" s="131"/>
      <c r="BA86" s="131"/>
      <c r="BB86" s="131"/>
      <c r="BC86" s="131"/>
      <c r="BD86" s="131"/>
      <c r="BE86" s="131"/>
      <c r="BF86" s="131" t="str">
        <f ca="1">SUBSTITUTE(IFERROR(VLOOKUP(A86,Calculations!$ER$2:$ET$31,3,FALSE),""),"Restricted","Rest.")</f>
        <v/>
      </c>
      <c r="BG86" s="131"/>
      <c r="BH86" s="131"/>
      <c r="BI86" s="131"/>
      <c r="BJ86" s="131"/>
      <c r="BK86" s="131"/>
      <c r="BL86" s="131"/>
      <c r="BM86" s="131"/>
      <c r="BN86" s="131"/>
      <c r="BO86" s="131"/>
      <c r="BP86" s="131"/>
      <c r="BQ86" s="131"/>
      <c r="BR86" s="131"/>
      <c r="BS86" s="131"/>
      <c r="BT86" s="131" t="str">
        <f ca="1">IF(B86="","",((AR86)+(AY86)+(VLOOKUP(BF86,Charts!$BV$2:$BW$6,2,FALSE))+(BM86)&amp;"/"&amp;((AR86)+(AY86)+(VLOOKUP(BF86,Charts!$BV$2:$BW$6,2,FALSE))+(BM86)+($BJ$5*2))))</f>
        <v/>
      </c>
      <c r="BU86" s="131"/>
      <c r="BV86" s="131"/>
      <c r="BW86" s="131"/>
      <c r="BX86" s="131"/>
      <c r="BY86" s="131"/>
      <c r="BZ86" s="239"/>
      <c r="CB86" s="135" t="str">
        <f ca="1">Calculations!AN24</f>
        <v/>
      </c>
      <c r="CC86" s="136"/>
      <c r="CD86" s="136"/>
      <c r="CE86" s="136"/>
      <c r="CF86" s="136"/>
      <c r="CG86" s="136"/>
      <c r="CH86" s="136"/>
      <c r="CI86" s="136"/>
      <c r="CJ86" s="136"/>
      <c r="CK86" s="136"/>
      <c r="CL86" s="136"/>
      <c r="CM86" s="136"/>
      <c r="CN86" s="136"/>
      <c r="CO86" s="136"/>
      <c r="CP86" s="136"/>
      <c r="CQ86" s="136"/>
      <c r="CR86" s="136"/>
      <c r="CS86" s="136"/>
      <c r="CT86" s="136"/>
      <c r="CU86" s="136"/>
      <c r="CV86" s="136"/>
      <c r="CW86" s="136"/>
      <c r="CX86" s="136"/>
      <c r="CY86" s="136"/>
      <c r="CZ86" s="136"/>
      <c r="DA86" s="136"/>
      <c r="DB86" s="136"/>
      <c r="DC86" s="136"/>
      <c r="DD86" s="136"/>
      <c r="DE86" s="131" t="str">
        <f ca="1">Calculations!AO24</f>
        <v/>
      </c>
      <c r="DF86" s="131"/>
      <c r="DG86" s="131"/>
      <c r="DH86" s="131"/>
      <c r="DI86" s="131"/>
      <c r="DJ86" s="131"/>
      <c r="DK86" s="131"/>
      <c r="DL86" s="131"/>
      <c r="DM86" s="131"/>
      <c r="DN86" s="116"/>
      <c r="DO86" s="136" t="str">
        <f ca="1">Calculations!AN25</f>
        <v/>
      </c>
      <c r="DP86" s="136"/>
      <c r="DQ86" s="136"/>
      <c r="DR86" s="136"/>
      <c r="DS86" s="136"/>
      <c r="DT86" s="136"/>
      <c r="DU86" s="136"/>
      <c r="DV86" s="136"/>
      <c r="DW86" s="136"/>
      <c r="DX86" s="136"/>
      <c r="DY86" s="136"/>
      <c r="DZ86" s="136"/>
      <c r="EA86" s="136"/>
      <c r="EB86" s="136"/>
      <c r="EC86" s="136"/>
      <c r="ED86" s="136"/>
      <c r="EE86" s="136"/>
      <c r="EF86" s="136"/>
      <c r="EG86" s="136"/>
      <c r="EH86" s="136"/>
      <c r="EI86" s="136"/>
      <c r="EJ86" s="136"/>
      <c r="EK86" s="136"/>
      <c r="EL86" s="136"/>
      <c r="EM86" s="136"/>
      <c r="EN86" s="136"/>
      <c r="EO86" s="136"/>
      <c r="EP86" s="136"/>
      <c r="EQ86" s="136"/>
      <c r="ER86" s="131" t="str">
        <f ca="1">Calculations!AO25</f>
        <v/>
      </c>
      <c r="ES86" s="131"/>
      <c r="ET86" s="131"/>
      <c r="EU86" s="131"/>
      <c r="EV86" s="131"/>
      <c r="EW86" s="131"/>
      <c r="EX86" s="131"/>
      <c r="EY86" s="131"/>
      <c r="EZ86" s="239"/>
      <c r="FB86" s="139" t="s">
        <v>2474</v>
      </c>
      <c r="FC86" s="140"/>
      <c r="FD86" s="140"/>
      <c r="FE86" s="140"/>
      <c r="FF86" s="140"/>
      <c r="FG86" s="140"/>
      <c r="FH86" s="140"/>
      <c r="FI86" s="140"/>
      <c r="FJ86" s="140"/>
      <c r="FK86" s="140"/>
      <c r="FL86" s="140"/>
      <c r="FM86" s="140"/>
      <c r="FN86" s="140"/>
      <c r="FO86" s="140"/>
      <c r="FP86" s="140"/>
      <c r="FQ86" s="140"/>
      <c r="FR86" s="140"/>
      <c r="FS86" s="140"/>
      <c r="FT86" s="140"/>
      <c r="FU86" s="140"/>
      <c r="FV86" s="140"/>
      <c r="FW86" s="140"/>
      <c r="FX86" s="140"/>
      <c r="FY86" s="140"/>
      <c r="FZ86" s="140"/>
      <c r="GA86" s="140"/>
      <c r="GB86" s="140"/>
      <c r="GC86" s="140"/>
      <c r="GD86" s="140"/>
      <c r="GE86" s="140"/>
      <c r="GF86" s="140"/>
      <c r="GG86" s="140"/>
      <c r="GH86" s="140"/>
      <c r="GI86" s="140"/>
      <c r="GJ86" s="140"/>
      <c r="GK86" s="140"/>
      <c r="GL86" s="140"/>
      <c r="GM86" s="140"/>
      <c r="GN86" s="140"/>
      <c r="GO86" s="140"/>
      <c r="GP86" s="140"/>
      <c r="GQ86" s="140"/>
      <c r="GR86" s="140"/>
      <c r="GS86" s="140"/>
      <c r="GT86" s="141">
        <v>1</v>
      </c>
      <c r="GU86" s="141"/>
      <c r="GV86" s="141"/>
      <c r="GW86" s="141"/>
      <c r="GX86" s="141"/>
      <c r="GY86" s="141"/>
      <c r="GZ86" s="141"/>
      <c r="HA86" s="141"/>
      <c r="HB86" s="142">
        <f>IFERROR(ROUND(Calculations!BV87*GT86,2),"")</f>
        <v>1</v>
      </c>
      <c r="HC86" s="142"/>
      <c r="HD86" s="142"/>
      <c r="HE86" s="142"/>
      <c r="HF86" s="142"/>
      <c r="HG86" s="142"/>
      <c r="HH86" s="142"/>
      <c r="HI86" s="142"/>
      <c r="HJ86" s="142">
        <f>IFERROR(Calculations!BS87+IQ86+IX86,"")</f>
        <v>30</v>
      </c>
      <c r="HK86" s="142"/>
      <c r="HL86" s="142"/>
      <c r="HM86" s="142"/>
      <c r="HN86" s="142"/>
      <c r="HO86" s="142"/>
      <c r="HP86" s="142"/>
      <c r="HQ86" s="142"/>
      <c r="HR86" s="142">
        <f t="shared" si="9"/>
        <v>0</v>
      </c>
      <c r="HS86" s="142"/>
      <c r="HT86" s="142"/>
      <c r="HU86" s="142"/>
      <c r="HV86" s="142"/>
      <c r="HW86" s="142"/>
      <c r="HX86" s="142"/>
      <c r="HY86" s="142"/>
      <c r="HZ86" s="142" t="str">
        <f>IFERROR(Calculations!BX87,"")</f>
        <v>$0.5</v>
      </c>
      <c r="IA86" s="142"/>
      <c r="IB86" s="142"/>
      <c r="IC86" s="142"/>
      <c r="ID86" s="142"/>
      <c r="IE86" s="142"/>
      <c r="IF86" s="142"/>
      <c r="IG86" s="142"/>
      <c r="IH86" s="142"/>
      <c r="II86" s="142"/>
      <c r="IJ86" s="142">
        <f>IFERROR(Calculations!BR87+IX86,"")</f>
        <v>0</v>
      </c>
      <c r="IK86" s="142"/>
      <c r="IL86" s="142"/>
      <c r="IM86" s="142"/>
      <c r="IN86" s="142"/>
      <c r="IO86" s="142"/>
      <c r="IP86" s="142"/>
      <c r="IQ86" s="141">
        <v>0</v>
      </c>
      <c r="IR86" s="141"/>
      <c r="IS86" s="141"/>
      <c r="IT86" s="141"/>
      <c r="IU86" s="141"/>
      <c r="IV86" s="141"/>
      <c r="IW86" s="141"/>
      <c r="IX86" s="141">
        <v>0</v>
      </c>
      <c r="IY86" s="141"/>
      <c r="IZ86" s="141"/>
      <c r="JA86" s="141"/>
      <c r="JB86" s="141"/>
      <c r="JC86" s="141"/>
      <c r="JD86" s="141"/>
      <c r="JE86" s="141"/>
      <c r="JF86" s="142"/>
      <c r="JG86" s="142"/>
      <c r="JH86" s="142"/>
      <c r="JI86" s="142"/>
      <c r="JJ86" s="142"/>
      <c r="JK86" s="143" t="str">
        <f>Calculations!AS87</f>
        <v>Heavy Cloth</v>
      </c>
      <c r="JL86" s="143"/>
      <c r="JM86" s="143"/>
      <c r="JN86" s="143"/>
      <c r="JO86" s="143"/>
      <c r="JP86" s="143"/>
      <c r="JQ86" s="143"/>
      <c r="JR86" s="143"/>
      <c r="JS86" s="143"/>
      <c r="JT86" s="143"/>
      <c r="JU86" s="143"/>
      <c r="JV86" s="143"/>
      <c r="JW86" s="143"/>
      <c r="JX86" s="143"/>
      <c r="JY86" s="143"/>
      <c r="JZ86" s="143"/>
      <c r="KA86" s="143"/>
      <c r="KB86" s="143"/>
      <c r="KC86" s="143" t="str">
        <f>Calculations!AW87</f>
        <v>Heavy Cloth</v>
      </c>
      <c r="KD86" s="143"/>
      <c r="KE86" s="143"/>
      <c r="KF86" s="143"/>
      <c r="KG86" s="143"/>
      <c r="KH86" s="143"/>
      <c r="KI86" s="143"/>
      <c r="KJ86" s="143"/>
      <c r="KK86" s="143"/>
      <c r="KL86" s="143"/>
      <c r="KM86" s="143"/>
      <c r="KN86" s="143"/>
      <c r="KO86" s="143"/>
      <c r="KP86" s="143"/>
      <c r="KQ86" s="143"/>
      <c r="KR86" s="143"/>
      <c r="KS86" s="143"/>
      <c r="KT86" s="143"/>
      <c r="KU86" s="144"/>
      <c r="KV86" s="144"/>
      <c r="KW86" s="144"/>
      <c r="KX86" s="144"/>
      <c r="KY86" s="144"/>
      <c r="KZ86" s="144"/>
      <c r="LA86" s="144"/>
      <c r="LB86" s="144"/>
      <c r="LC86" s="144"/>
      <c r="LD86" s="144"/>
      <c r="LE86" s="144"/>
      <c r="LF86" s="144"/>
      <c r="LG86" s="144"/>
      <c r="LH86" s="144"/>
      <c r="LI86" s="144"/>
      <c r="LJ86" s="144"/>
      <c r="LK86" s="144"/>
      <c r="LL86" s="144"/>
      <c r="LM86" s="144"/>
      <c r="LN86" s="144"/>
      <c r="LO86" s="144"/>
      <c r="LP86" s="144"/>
      <c r="LQ86" s="144"/>
      <c r="LR86" s="144"/>
      <c r="LS86" s="144"/>
      <c r="LT86" s="144"/>
      <c r="LU86" s="144"/>
      <c r="LV86" s="144"/>
      <c r="LW86" s="144"/>
      <c r="LX86" s="144"/>
      <c r="LY86" s="144"/>
      <c r="LZ86" s="144"/>
      <c r="MA86" s="144"/>
      <c r="MB86" s="144"/>
      <c r="MC86" s="144"/>
      <c r="MD86" s="144"/>
      <c r="ME86" s="144"/>
      <c r="MF86" s="144"/>
      <c r="MG86" s="144"/>
      <c r="MH86" s="144"/>
      <c r="MI86" s="144"/>
      <c r="MJ86" s="144"/>
      <c r="MK86" s="144"/>
      <c r="ML86" s="144"/>
      <c r="MM86" s="144"/>
      <c r="MN86" s="144"/>
      <c r="MO86" s="144"/>
      <c r="MP86" s="144"/>
      <c r="MQ86" s="144"/>
      <c r="MR86" s="144"/>
      <c r="MS86" s="144"/>
      <c r="MT86" s="144"/>
      <c r="MU86" s="144"/>
      <c r="MV86" s="144"/>
      <c r="MW86" s="144"/>
      <c r="MX86" s="144"/>
      <c r="MY86" s="144"/>
      <c r="MZ86" s="145"/>
      <c r="BLR86" s="128" t="s">
        <v>361</v>
      </c>
      <c r="BLS86" s="128"/>
      <c r="BLT86" s="128"/>
      <c r="BLU86" s="128"/>
      <c r="BLV86" s="128"/>
      <c r="BLW86" s="128"/>
      <c r="BLX86" s="128"/>
      <c r="BLY86" s="128"/>
      <c r="BLZ86" s="128"/>
      <c r="BMA86" s="128"/>
      <c r="BMB86" s="128"/>
      <c r="BMC86" s="128"/>
      <c r="BMD86" s="128"/>
      <c r="BME86" s="128"/>
      <c r="BMF86" s="128"/>
      <c r="BMG86" s="128"/>
      <c r="BMH86" s="128"/>
      <c r="BMI86" s="128"/>
      <c r="BMJ86" s="128"/>
      <c r="BMK86" s="128"/>
      <c r="BML86" s="128"/>
      <c r="BMM86" s="128"/>
      <c r="BMN86" s="128"/>
      <c r="BMO86" s="128"/>
      <c r="BMP86" s="128"/>
      <c r="BMQ86" s="128"/>
      <c r="BMR86" s="128"/>
      <c r="BMS86" s="128"/>
      <c r="BMT86" s="128"/>
      <c r="BMU86" s="128"/>
      <c r="BMV86" s="128"/>
      <c r="BMW86" s="129"/>
      <c r="BMX86" s="129"/>
      <c r="BMY86" s="129"/>
      <c r="BMZ86" s="129"/>
      <c r="BNA86" s="129"/>
      <c r="BNB86" s="129"/>
      <c r="BNC86" s="129"/>
      <c r="BND86" s="129"/>
      <c r="BNE86" s="129"/>
      <c r="BNF86" s="129"/>
      <c r="BNG86" s="129"/>
      <c r="BNH86" s="129"/>
      <c r="BNI86" s="129"/>
      <c r="BNJ86" s="129"/>
      <c r="BNK86" s="129"/>
      <c r="BNL86" s="129"/>
      <c r="BNM86" s="129"/>
      <c r="BNN86" s="129"/>
      <c r="BNO86" s="129"/>
      <c r="BNP86" s="129"/>
      <c r="BNQ86" s="129"/>
      <c r="BNR86" s="128"/>
      <c r="BNS86" s="128"/>
      <c r="BNT86" s="128"/>
      <c r="BNU86" s="128"/>
      <c r="BNV86" s="128"/>
      <c r="BNW86" s="128"/>
      <c r="BNX86" s="129"/>
      <c r="BNY86" s="129"/>
      <c r="BNZ86" s="129"/>
      <c r="BOA86" s="129"/>
      <c r="BOB86" s="129"/>
      <c r="BOC86" s="129"/>
      <c r="BOD86" s="129"/>
      <c r="BOE86" s="129"/>
      <c r="BOF86" s="129"/>
      <c r="BOG86" s="129"/>
      <c r="BOH86" s="129"/>
      <c r="BOI86" s="129"/>
      <c r="BOJ86" s="129"/>
      <c r="BOK86" s="129"/>
      <c r="BOL86" s="129"/>
      <c r="BOM86" s="129"/>
      <c r="BON86" s="129"/>
      <c r="BOO86" s="129"/>
      <c r="BOP86" s="129"/>
      <c r="BOQ86" s="129"/>
      <c r="BOR86" s="129"/>
      <c r="BOS86" s="129"/>
      <c r="BOT86" s="129"/>
      <c r="BOU86" s="129"/>
      <c r="BOV86" s="129"/>
      <c r="BOW86" s="129"/>
      <c r="BOX86" s="129"/>
      <c r="BOY86" s="129"/>
      <c r="BOZ86" s="128"/>
      <c r="BPA86" s="128"/>
      <c r="BPB86" s="128"/>
      <c r="BPC86" s="128"/>
      <c r="BPD86" s="128"/>
      <c r="BPE86" s="128"/>
      <c r="BPF86" s="128"/>
    </row>
    <row r="87" spans="1:364 1682:1774" ht="15" customHeight="1" x14ac:dyDescent="0.25">
      <c r="A87" s="2">
        <v>7</v>
      </c>
      <c r="B87" s="133" t="str">
        <f ca="1">IFERROR(VLOOKUP(A87,Calculations!$ER$2:$ET$31,2,FALSE),"")</f>
        <v/>
      </c>
      <c r="C87" s="134"/>
      <c r="D87" s="134"/>
      <c r="E87" s="134"/>
      <c r="F87" s="134"/>
      <c r="G87" s="134"/>
      <c r="H87" s="134"/>
      <c r="I87" s="134"/>
      <c r="J87" s="134"/>
      <c r="K87" s="134"/>
      <c r="L87" s="134"/>
      <c r="M87" s="134"/>
      <c r="N87" s="134"/>
      <c r="O87" s="134"/>
      <c r="P87" s="134"/>
      <c r="Q87" s="134"/>
      <c r="R87" s="134"/>
      <c r="S87" s="134"/>
      <c r="T87" s="134"/>
      <c r="U87" s="134"/>
      <c r="V87" s="134"/>
      <c r="W87" s="130" t="str">
        <f ca="1">IFERROR(VLOOKUP(B87,Skills!$N$405:$AF$440,19,FALSE),"")</f>
        <v/>
      </c>
      <c r="X87" s="130"/>
      <c r="Y87" s="130"/>
      <c r="Z87" s="130"/>
      <c r="AA87" s="130"/>
      <c r="AB87" s="130"/>
      <c r="AC87" s="130"/>
      <c r="AD87" s="130"/>
      <c r="AE87" s="130" t="str">
        <f ca="1">IF(B87="","",MAX(0,IFERROR(VLOOKUP(B87,Skills!$N$376:$AF$380,19,FALSE),0)))</f>
        <v/>
      </c>
      <c r="AF87" s="130"/>
      <c r="AG87" s="130"/>
      <c r="AH87" s="130"/>
      <c r="AI87" s="130"/>
      <c r="AJ87" s="130"/>
      <c r="AK87" s="130" t="str">
        <f ca="1">IF(B87="","",IFERROR(VLOOKUP(B87,Skills!$N$383:$AF$387,19,FALSE),0))</f>
        <v/>
      </c>
      <c r="AL87" s="130"/>
      <c r="AM87" s="130"/>
      <c r="AN87" s="130"/>
      <c r="AO87" s="130"/>
      <c r="AP87" s="130"/>
      <c r="AQ87" s="130"/>
      <c r="AR87" s="130" t="str">
        <f ca="1">IF(B87="","",(VLOOKUP(B87,Skills!$N$405:$S$440,6,FALSE)))</f>
        <v/>
      </c>
      <c r="AS87" s="130"/>
      <c r="AT87" s="130"/>
      <c r="AU87" s="130"/>
      <c r="AV87" s="130"/>
      <c r="AW87" s="130"/>
      <c r="AX87" s="130"/>
      <c r="AY87" s="130" t="str">
        <f ca="1">IF(B87="","",Calculations!$H$10)</f>
        <v/>
      </c>
      <c r="AZ87" s="130"/>
      <c r="BA87" s="130"/>
      <c r="BB87" s="130"/>
      <c r="BC87" s="130"/>
      <c r="BD87" s="130"/>
      <c r="BE87" s="130"/>
      <c r="BF87" s="130" t="str">
        <f ca="1">SUBSTITUTE(IFERROR(VLOOKUP(A87,Calculations!$ER$2:$ET$31,3,FALSE),""),"Restricted","Rest.")</f>
        <v/>
      </c>
      <c r="BG87" s="130"/>
      <c r="BH87" s="130"/>
      <c r="BI87" s="130"/>
      <c r="BJ87" s="130"/>
      <c r="BK87" s="130"/>
      <c r="BL87" s="130"/>
      <c r="BM87" s="130"/>
      <c r="BN87" s="130"/>
      <c r="BO87" s="130"/>
      <c r="BP87" s="130"/>
      <c r="BQ87" s="130"/>
      <c r="BR87" s="130"/>
      <c r="BS87" s="130"/>
      <c r="BT87" s="130" t="str">
        <f ca="1">IF(B87="","",((AR87)+(AY87)+(VLOOKUP(BF87,Charts!$BV$2:$BW$6,2,FALSE))+(BM87)&amp;"/"&amp;((AR87)+(AY87)+(VLOOKUP(BF87,Charts!$BV$2:$BW$6,2,FALSE))+(BM87)+($BJ$5*2))))</f>
        <v/>
      </c>
      <c r="BU87" s="130"/>
      <c r="BV87" s="130"/>
      <c r="BW87" s="130"/>
      <c r="BX87" s="130"/>
      <c r="BY87" s="130"/>
      <c r="BZ87" s="238"/>
      <c r="CB87" s="133" t="str">
        <f ca="1">Calculations!AN26</f>
        <v/>
      </c>
      <c r="CC87" s="134"/>
      <c r="CD87" s="134"/>
      <c r="CE87" s="134"/>
      <c r="CF87" s="134"/>
      <c r="CG87" s="134"/>
      <c r="CH87" s="134"/>
      <c r="CI87" s="134"/>
      <c r="CJ87" s="134"/>
      <c r="CK87" s="134"/>
      <c r="CL87" s="134"/>
      <c r="CM87" s="134"/>
      <c r="CN87" s="134"/>
      <c r="CO87" s="134"/>
      <c r="CP87" s="134"/>
      <c r="CQ87" s="134"/>
      <c r="CR87" s="134"/>
      <c r="CS87" s="134"/>
      <c r="CT87" s="134"/>
      <c r="CU87" s="134"/>
      <c r="CV87" s="134"/>
      <c r="CW87" s="134"/>
      <c r="CX87" s="134"/>
      <c r="CY87" s="134"/>
      <c r="CZ87" s="134"/>
      <c r="DA87" s="134"/>
      <c r="DB87" s="134"/>
      <c r="DC87" s="134"/>
      <c r="DD87" s="134"/>
      <c r="DE87" s="130" t="str">
        <f ca="1">Calculations!AO26</f>
        <v/>
      </c>
      <c r="DF87" s="130"/>
      <c r="DG87" s="130"/>
      <c r="DH87" s="130"/>
      <c r="DI87" s="130"/>
      <c r="DJ87" s="130"/>
      <c r="DK87" s="130"/>
      <c r="DL87" s="130"/>
      <c r="DM87" s="130"/>
      <c r="DN87" s="117"/>
      <c r="DO87" s="134" t="str">
        <f ca="1">Calculations!AN27</f>
        <v/>
      </c>
      <c r="DP87" s="134"/>
      <c r="DQ87" s="134"/>
      <c r="DR87" s="134"/>
      <c r="DS87" s="134"/>
      <c r="DT87" s="134"/>
      <c r="DU87" s="134"/>
      <c r="DV87" s="134"/>
      <c r="DW87" s="134"/>
      <c r="DX87" s="134"/>
      <c r="DY87" s="134"/>
      <c r="DZ87" s="134"/>
      <c r="EA87" s="134"/>
      <c r="EB87" s="134"/>
      <c r="EC87" s="134"/>
      <c r="ED87" s="134"/>
      <c r="EE87" s="134"/>
      <c r="EF87" s="134"/>
      <c r="EG87" s="134"/>
      <c r="EH87" s="134"/>
      <c r="EI87" s="134"/>
      <c r="EJ87" s="134"/>
      <c r="EK87" s="134"/>
      <c r="EL87" s="134"/>
      <c r="EM87" s="134"/>
      <c r="EN87" s="134"/>
      <c r="EO87" s="134"/>
      <c r="EP87" s="134"/>
      <c r="EQ87" s="134"/>
      <c r="ER87" s="130" t="str">
        <f ca="1">Calculations!AO27</f>
        <v/>
      </c>
      <c r="ES87" s="130"/>
      <c r="ET87" s="130"/>
      <c r="EU87" s="130"/>
      <c r="EV87" s="130"/>
      <c r="EW87" s="130"/>
      <c r="EX87" s="130"/>
      <c r="EY87" s="130"/>
      <c r="EZ87" s="238"/>
      <c r="FB87" s="139" t="s">
        <v>2475</v>
      </c>
      <c r="FC87" s="140"/>
      <c r="FD87" s="140"/>
      <c r="FE87" s="140"/>
      <c r="FF87" s="140"/>
      <c r="FG87" s="140"/>
      <c r="FH87" s="140"/>
      <c r="FI87" s="140"/>
      <c r="FJ87" s="140"/>
      <c r="FK87" s="140"/>
      <c r="FL87" s="140"/>
      <c r="FM87" s="140"/>
      <c r="FN87" s="140"/>
      <c r="FO87" s="140"/>
      <c r="FP87" s="140"/>
      <c r="FQ87" s="140"/>
      <c r="FR87" s="140"/>
      <c r="FS87" s="140"/>
      <c r="FT87" s="140"/>
      <c r="FU87" s="140"/>
      <c r="FV87" s="140"/>
      <c r="FW87" s="140"/>
      <c r="FX87" s="140"/>
      <c r="FY87" s="140"/>
      <c r="FZ87" s="140"/>
      <c r="GA87" s="140"/>
      <c r="GB87" s="140"/>
      <c r="GC87" s="140"/>
      <c r="GD87" s="140"/>
      <c r="GE87" s="140"/>
      <c r="GF87" s="140"/>
      <c r="GG87" s="140"/>
      <c r="GH87" s="140"/>
      <c r="GI87" s="140"/>
      <c r="GJ87" s="140"/>
      <c r="GK87" s="140"/>
      <c r="GL87" s="140"/>
      <c r="GM87" s="140"/>
      <c r="GN87" s="140"/>
      <c r="GO87" s="140"/>
      <c r="GP87" s="140"/>
      <c r="GQ87" s="140"/>
      <c r="GR87" s="140"/>
      <c r="GS87" s="140"/>
      <c r="GT87" s="141">
        <v>2</v>
      </c>
      <c r="GU87" s="141"/>
      <c r="GV87" s="141"/>
      <c r="GW87" s="141"/>
      <c r="GX87" s="141"/>
      <c r="GY87" s="141"/>
      <c r="GZ87" s="141"/>
      <c r="HA87" s="141"/>
      <c r="HB87" s="142">
        <f>IFERROR(ROUND(Calculations!BV88*GT87,2),"")</f>
        <v>5</v>
      </c>
      <c r="HC87" s="142"/>
      <c r="HD87" s="142"/>
      <c r="HE87" s="142"/>
      <c r="HF87" s="142"/>
      <c r="HG87" s="142"/>
      <c r="HH87" s="142"/>
      <c r="HI87" s="142"/>
      <c r="HJ87" s="142">
        <f>IFERROR(Calculations!BS88+IQ87+IX87,"")</f>
        <v>40</v>
      </c>
      <c r="HK87" s="142"/>
      <c r="HL87" s="142"/>
      <c r="HM87" s="142"/>
      <c r="HN87" s="142"/>
      <c r="HO87" s="142"/>
      <c r="HP87" s="142"/>
      <c r="HQ87" s="142"/>
      <c r="HR87" s="142">
        <f t="shared" si="9"/>
        <v>0</v>
      </c>
      <c r="HS87" s="142"/>
      <c r="HT87" s="142"/>
      <c r="HU87" s="142"/>
      <c r="HV87" s="142"/>
      <c r="HW87" s="142"/>
      <c r="HX87" s="142"/>
      <c r="HY87" s="142"/>
      <c r="HZ87" s="142" t="str">
        <f>IFERROR(Calculations!BX88,"")</f>
        <v>$3.15</v>
      </c>
      <c r="IA87" s="142"/>
      <c r="IB87" s="142"/>
      <c r="IC87" s="142"/>
      <c r="ID87" s="142"/>
      <c r="IE87" s="142"/>
      <c r="IF87" s="142"/>
      <c r="IG87" s="142"/>
      <c r="IH87" s="142"/>
      <c r="II87" s="142"/>
      <c r="IJ87" s="142">
        <f>IFERROR(Calculations!BR88+IX87,"")</f>
        <v>0</v>
      </c>
      <c r="IK87" s="142"/>
      <c r="IL87" s="142"/>
      <c r="IM87" s="142"/>
      <c r="IN87" s="142"/>
      <c r="IO87" s="142"/>
      <c r="IP87" s="142"/>
      <c r="IQ87" s="141">
        <v>0</v>
      </c>
      <c r="IR87" s="141"/>
      <c r="IS87" s="141"/>
      <c r="IT87" s="141"/>
      <c r="IU87" s="141"/>
      <c r="IV87" s="141"/>
      <c r="IW87" s="141"/>
      <c r="IX87" s="141">
        <v>0</v>
      </c>
      <c r="IY87" s="141"/>
      <c r="IZ87" s="141"/>
      <c r="JA87" s="141"/>
      <c r="JB87" s="141"/>
      <c r="JC87" s="141"/>
      <c r="JD87" s="141"/>
      <c r="JE87" s="141"/>
      <c r="JF87" s="142"/>
      <c r="JG87" s="142"/>
      <c r="JH87" s="142"/>
      <c r="JI87" s="142"/>
      <c r="JJ87" s="142"/>
      <c r="JK87" s="143" t="str">
        <f>Calculations!AS88</f>
        <v>Heavy Cloth</v>
      </c>
      <c r="JL87" s="143"/>
      <c r="JM87" s="143"/>
      <c r="JN87" s="143"/>
      <c r="JO87" s="143"/>
      <c r="JP87" s="143"/>
      <c r="JQ87" s="143"/>
      <c r="JR87" s="143"/>
      <c r="JS87" s="143"/>
      <c r="JT87" s="143"/>
      <c r="JU87" s="143"/>
      <c r="JV87" s="143"/>
      <c r="JW87" s="143"/>
      <c r="JX87" s="143"/>
      <c r="JY87" s="143"/>
      <c r="JZ87" s="143"/>
      <c r="KA87" s="143"/>
      <c r="KB87" s="143"/>
      <c r="KC87" s="143" t="str">
        <f>Calculations!AW88</f>
        <v>Low Steel</v>
      </c>
      <c r="KD87" s="143"/>
      <c r="KE87" s="143"/>
      <c r="KF87" s="143"/>
      <c r="KG87" s="143"/>
      <c r="KH87" s="143"/>
      <c r="KI87" s="143"/>
      <c r="KJ87" s="143"/>
      <c r="KK87" s="143"/>
      <c r="KL87" s="143"/>
      <c r="KM87" s="143"/>
      <c r="KN87" s="143"/>
      <c r="KO87" s="143"/>
      <c r="KP87" s="143"/>
      <c r="KQ87" s="143"/>
      <c r="KR87" s="143"/>
      <c r="KS87" s="143"/>
      <c r="KT87" s="143"/>
      <c r="KU87" s="144"/>
      <c r="KV87" s="144"/>
      <c r="KW87" s="144"/>
      <c r="KX87" s="144"/>
      <c r="KY87" s="144"/>
      <c r="KZ87" s="144"/>
      <c r="LA87" s="144"/>
      <c r="LB87" s="144"/>
      <c r="LC87" s="144"/>
      <c r="LD87" s="144"/>
      <c r="LE87" s="144"/>
      <c r="LF87" s="144"/>
      <c r="LG87" s="144"/>
      <c r="LH87" s="144"/>
      <c r="LI87" s="144"/>
      <c r="LJ87" s="144"/>
      <c r="LK87" s="144"/>
      <c r="LL87" s="144"/>
      <c r="LM87" s="144"/>
      <c r="LN87" s="144"/>
      <c r="LO87" s="144"/>
      <c r="LP87" s="144"/>
      <c r="LQ87" s="144"/>
      <c r="LR87" s="144"/>
      <c r="LS87" s="144"/>
      <c r="LT87" s="144"/>
      <c r="LU87" s="144"/>
      <c r="LV87" s="144"/>
      <c r="LW87" s="144"/>
      <c r="LX87" s="144"/>
      <c r="LY87" s="144"/>
      <c r="LZ87" s="144"/>
      <c r="MA87" s="144"/>
      <c r="MB87" s="144"/>
      <c r="MC87" s="144"/>
      <c r="MD87" s="144"/>
      <c r="ME87" s="144"/>
      <c r="MF87" s="144"/>
      <c r="MG87" s="144"/>
      <c r="MH87" s="144"/>
      <c r="MI87" s="144"/>
      <c r="MJ87" s="144"/>
      <c r="MK87" s="144"/>
      <c r="ML87" s="144"/>
      <c r="MM87" s="144"/>
      <c r="MN87" s="144"/>
      <c r="MO87" s="144"/>
      <c r="MP87" s="144"/>
      <c r="MQ87" s="144"/>
      <c r="MR87" s="144"/>
      <c r="MS87" s="144"/>
      <c r="MT87" s="144"/>
      <c r="MU87" s="144"/>
      <c r="MV87" s="144"/>
      <c r="MW87" s="144"/>
      <c r="MX87" s="144"/>
      <c r="MY87" s="144"/>
      <c r="MZ87" s="145"/>
      <c r="BLR87" s="128" t="s">
        <v>362</v>
      </c>
      <c r="BLS87" s="128"/>
      <c r="BLT87" s="128"/>
      <c r="BLU87" s="128"/>
      <c r="BLV87" s="128"/>
      <c r="BLW87" s="128"/>
      <c r="BLX87" s="128"/>
      <c r="BLY87" s="128"/>
      <c r="BLZ87" s="128"/>
      <c r="BMA87" s="128"/>
      <c r="BMB87" s="128"/>
      <c r="BMC87" s="128"/>
      <c r="BMD87" s="128"/>
      <c r="BME87" s="128"/>
      <c r="BMF87" s="128"/>
      <c r="BMG87" s="128"/>
      <c r="BMH87" s="128"/>
      <c r="BMI87" s="128"/>
      <c r="BMJ87" s="128"/>
      <c r="BMK87" s="128"/>
      <c r="BML87" s="128"/>
      <c r="BMM87" s="128"/>
      <c r="BMN87" s="128"/>
      <c r="BMO87" s="128"/>
      <c r="BMP87" s="128"/>
      <c r="BMQ87" s="128"/>
      <c r="BMR87" s="128"/>
      <c r="BMS87" s="128"/>
      <c r="BMT87" s="128"/>
      <c r="BMU87" s="128"/>
      <c r="BMV87" s="128"/>
      <c r="BMW87" s="129"/>
      <c r="BMX87" s="129"/>
      <c r="BMY87" s="129"/>
      <c r="BMZ87" s="129"/>
      <c r="BNA87" s="129"/>
      <c r="BNB87" s="129"/>
      <c r="BNC87" s="129"/>
      <c r="BND87" s="129"/>
      <c r="BNE87" s="129"/>
      <c r="BNF87" s="129"/>
      <c r="BNG87" s="129"/>
      <c r="BNH87" s="129"/>
      <c r="BNI87" s="129"/>
      <c r="BNJ87" s="129"/>
      <c r="BNK87" s="129"/>
      <c r="BNL87" s="129"/>
      <c r="BNM87" s="129"/>
      <c r="BNN87" s="129"/>
      <c r="BNO87" s="129"/>
      <c r="BNP87" s="129"/>
      <c r="BNQ87" s="129"/>
      <c r="BNR87" s="128"/>
      <c r="BNS87" s="128"/>
      <c r="BNT87" s="128"/>
      <c r="BNU87" s="128"/>
      <c r="BNV87" s="128"/>
      <c r="BNW87" s="128"/>
      <c r="BNX87" s="129"/>
      <c r="BNY87" s="129"/>
      <c r="BNZ87" s="129"/>
      <c r="BOA87" s="129"/>
      <c r="BOB87" s="129"/>
      <c r="BOC87" s="129"/>
      <c r="BOD87" s="129"/>
      <c r="BOE87" s="129"/>
      <c r="BOF87" s="129"/>
      <c r="BOG87" s="129"/>
      <c r="BOH87" s="129"/>
      <c r="BOI87" s="129"/>
      <c r="BOJ87" s="129"/>
      <c r="BOK87" s="129"/>
      <c r="BOL87" s="129"/>
      <c r="BOM87" s="129"/>
      <c r="BON87" s="129"/>
      <c r="BOO87" s="129"/>
      <c r="BOP87" s="129"/>
      <c r="BOQ87" s="129"/>
      <c r="BOR87" s="129"/>
      <c r="BOS87" s="129"/>
      <c r="BOT87" s="129"/>
      <c r="BOU87" s="129"/>
      <c r="BOV87" s="129"/>
      <c r="BOW87" s="129"/>
      <c r="BOX87" s="129"/>
      <c r="BOY87" s="129"/>
      <c r="BOZ87" s="128"/>
      <c r="BPA87" s="128"/>
      <c r="BPB87" s="128"/>
      <c r="BPC87" s="128"/>
      <c r="BPD87" s="128"/>
      <c r="BPE87" s="128"/>
      <c r="BPF87" s="128"/>
    </row>
    <row r="88" spans="1:364 1682:1774" ht="15" customHeight="1" x14ac:dyDescent="0.25">
      <c r="A88" s="2">
        <v>8</v>
      </c>
      <c r="B88" s="135" t="str">
        <f ca="1">IFERROR(VLOOKUP(A88,Calculations!$ER$2:$ET$31,2,FALSE),"")</f>
        <v/>
      </c>
      <c r="C88" s="136"/>
      <c r="D88" s="136"/>
      <c r="E88" s="136"/>
      <c r="F88" s="136"/>
      <c r="G88" s="136"/>
      <c r="H88" s="136"/>
      <c r="I88" s="136"/>
      <c r="J88" s="136"/>
      <c r="K88" s="136"/>
      <c r="L88" s="136"/>
      <c r="M88" s="136"/>
      <c r="N88" s="136"/>
      <c r="O88" s="136"/>
      <c r="P88" s="136"/>
      <c r="Q88" s="136"/>
      <c r="R88" s="136"/>
      <c r="S88" s="136"/>
      <c r="T88" s="136"/>
      <c r="U88" s="136"/>
      <c r="V88" s="136"/>
      <c r="W88" s="131" t="str">
        <f ca="1">IFERROR(VLOOKUP(B88,Skills!$N$405:$AF$440,19,FALSE),"")</f>
        <v/>
      </c>
      <c r="X88" s="131"/>
      <c r="Y88" s="131"/>
      <c r="Z88" s="131"/>
      <c r="AA88" s="131"/>
      <c r="AB88" s="131"/>
      <c r="AC88" s="131"/>
      <c r="AD88" s="131"/>
      <c r="AE88" s="131" t="str">
        <f ca="1">IF(B88="","",MAX(0,IFERROR(VLOOKUP(B88,Skills!$N$376:$AF$380,19,FALSE),0)))</f>
        <v/>
      </c>
      <c r="AF88" s="131"/>
      <c r="AG88" s="131"/>
      <c r="AH88" s="131"/>
      <c r="AI88" s="131"/>
      <c r="AJ88" s="131"/>
      <c r="AK88" s="131" t="str">
        <f ca="1">IF(B88="","",IFERROR(VLOOKUP(B88,Skills!$N$383:$AF$387,19,FALSE),0))</f>
        <v/>
      </c>
      <c r="AL88" s="131"/>
      <c r="AM88" s="131"/>
      <c r="AN88" s="131"/>
      <c r="AO88" s="131"/>
      <c r="AP88" s="131"/>
      <c r="AQ88" s="131"/>
      <c r="AR88" s="131" t="str">
        <f ca="1">IF(B88="","",(VLOOKUP(B88,Skills!$N$405:$S$440,6,FALSE)))</f>
        <v/>
      </c>
      <c r="AS88" s="131"/>
      <c r="AT88" s="131"/>
      <c r="AU88" s="131"/>
      <c r="AV88" s="131"/>
      <c r="AW88" s="131"/>
      <c r="AX88" s="131"/>
      <c r="AY88" s="131" t="str">
        <f ca="1">IF(B88="","",Calculations!$H$10)</f>
        <v/>
      </c>
      <c r="AZ88" s="131"/>
      <c r="BA88" s="131"/>
      <c r="BB88" s="131"/>
      <c r="BC88" s="131"/>
      <c r="BD88" s="131"/>
      <c r="BE88" s="131"/>
      <c r="BF88" s="131" t="str">
        <f ca="1">SUBSTITUTE(IFERROR(VLOOKUP(A88,Calculations!$ER$2:$ET$31,3,FALSE),""),"Restricted","Rest.")</f>
        <v/>
      </c>
      <c r="BG88" s="131"/>
      <c r="BH88" s="131"/>
      <c r="BI88" s="131"/>
      <c r="BJ88" s="131"/>
      <c r="BK88" s="131"/>
      <c r="BL88" s="131"/>
      <c r="BM88" s="131"/>
      <c r="BN88" s="131"/>
      <c r="BO88" s="131"/>
      <c r="BP88" s="131"/>
      <c r="BQ88" s="131"/>
      <c r="BR88" s="131"/>
      <c r="BS88" s="131"/>
      <c r="BT88" s="131" t="str">
        <f ca="1">IF(B88="","",((AR88)+(AY88)+(VLOOKUP(BF88,Charts!$BV$2:$BW$6,2,FALSE))+(BM88)&amp;"/"&amp;((AR88)+(AY88)+(VLOOKUP(BF88,Charts!$BV$2:$BW$6,2,FALSE))+(BM88)+($BJ$5*2))))</f>
        <v/>
      </c>
      <c r="BU88" s="131"/>
      <c r="BV88" s="131"/>
      <c r="BW88" s="131"/>
      <c r="BX88" s="131"/>
      <c r="BY88" s="131"/>
      <c r="BZ88" s="239"/>
      <c r="CB88" s="135" t="str">
        <f ca="1">Calculations!AN28</f>
        <v/>
      </c>
      <c r="CC88" s="136"/>
      <c r="CD88" s="136"/>
      <c r="CE88" s="136"/>
      <c r="CF88" s="136"/>
      <c r="CG88" s="136"/>
      <c r="CH88" s="136"/>
      <c r="CI88" s="136"/>
      <c r="CJ88" s="136"/>
      <c r="CK88" s="136"/>
      <c r="CL88" s="136"/>
      <c r="CM88" s="136"/>
      <c r="CN88" s="136"/>
      <c r="CO88" s="136"/>
      <c r="CP88" s="136"/>
      <c r="CQ88" s="136"/>
      <c r="CR88" s="136"/>
      <c r="CS88" s="136"/>
      <c r="CT88" s="136"/>
      <c r="CU88" s="136"/>
      <c r="CV88" s="136"/>
      <c r="CW88" s="136"/>
      <c r="CX88" s="136"/>
      <c r="CY88" s="136"/>
      <c r="CZ88" s="136"/>
      <c r="DA88" s="136"/>
      <c r="DB88" s="136"/>
      <c r="DC88" s="136"/>
      <c r="DD88" s="136"/>
      <c r="DE88" s="131" t="str">
        <f ca="1">Calculations!AO28</f>
        <v/>
      </c>
      <c r="DF88" s="131"/>
      <c r="DG88" s="131"/>
      <c r="DH88" s="131"/>
      <c r="DI88" s="131"/>
      <c r="DJ88" s="131"/>
      <c r="DK88" s="131"/>
      <c r="DL88" s="131"/>
      <c r="DM88" s="131"/>
      <c r="DN88" s="116"/>
      <c r="DO88" s="136" t="str">
        <f ca="1">Calculations!AN29</f>
        <v/>
      </c>
      <c r="DP88" s="136"/>
      <c r="DQ88" s="136"/>
      <c r="DR88" s="136"/>
      <c r="DS88" s="136"/>
      <c r="DT88" s="136"/>
      <c r="DU88" s="136"/>
      <c r="DV88" s="136"/>
      <c r="DW88" s="136"/>
      <c r="DX88" s="136"/>
      <c r="DY88" s="136"/>
      <c r="DZ88" s="136"/>
      <c r="EA88" s="136"/>
      <c r="EB88" s="136"/>
      <c r="EC88" s="136"/>
      <c r="ED88" s="136"/>
      <c r="EE88" s="136"/>
      <c r="EF88" s="136"/>
      <c r="EG88" s="136"/>
      <c r="EH88" s="136"/>
      <c r="EI88" s="136"/>
      <c r="EJ88" s="136"/>
      <c r="EK88" s="136"/>
      <c r="EL88" s="136"/>
      <c r="EM88" s="136"/>
      <c r="EN88" s="136"/>
      <c r="EO88" s="136"/>
      <c r="EP88" s="136"/>
      <c r="EQ88" s="136"/>
      <c r="ER88" s="131" t="str">
        <f ca="1">Calculations!AO29</f>
        <v/>
      </c>
      <c r="ES88" s="131"/>
      <c r="ET88" s="131"/>
      <c r="EU88" s="131"/>
      <c r="EV88" s="131"/>
      <c r="EW88" s="131"/>
      <c r="EX88" s="131"/>
      <c r="EY88" s="131"/>
      <c r="EZ88" s="239"/>
      <c r="FB88" s="139" t="s">
        <v>2478</v>
      </c>
      <c r="FC88" s="140"/>
      <c r="FD88" s="140"/>
      <c r="FE88" s="140"/>
      <c r="FF88" s="140"/>
      <c r="FG88" s="140"/>
      <c r="FH88" s="140"/>
      <c r="FI88" s="140"/>
      <c r="FJ88" s="140"/>
      <c r="FK88" s="140"/>
      <c r="FL88" s="140"/>
      <c r="FM88" s="140"/>
      <c r="FN88" s="140"/>
      <c r="FO88" s="140"/>
      <c r="FP88" s="140"/>
      <c r="FQ88" s="140"/>
      <c r="FR88" s="140"/>
      <c r="FS88" s="140"/>
      <c r="FT88" s="140"/>
      <c r="FU88" s="140"/>
      <c r="FV88" s="140"/>
      <c r="FW88" s="140"/>
      <c r="FX88" s="140"/>
      <c r="FY88" s="140"/>
      <c r="FZ88" s="140"/>
      <c r="GA88" s="140"/>
      <c r="GB88" s="140"/>
      <c r="GC88" s="140"/>
      <c r="GD88" s="140"/>
      <c r="GE88" s="140"/>
      <c r="GF88" s="140"/>
      <c r="GG88" s="140"/>
      <c r="GH88" s="140"/>
      <c r="GI88" s="140"/>
      <c r="GJ88" s="140"/>
      <c r="GK88" s="140"/>
      <c r="GL88" s="140"/>
      <c r="GM88" s="140"/>
      <c r="GN88" s="140"/>
      <c r="GO88" s="140"/>
      <c r="GP88" s="140"/>
      <c r="GQ88" s="140"/>
      <c r="GR88" s="140"/>
      <c r="GS88" s="140"/>
      <c r="GT88" s="141">
        <v>1</v>
      </c>
      <c r="GU88" s="141"/>
      <c r="GV88" s="141"/>
      <c r="GW88" s="141"/>
      <c r="GX88" s="141"/>
      <c r="GY88" s="141"/>
      <c r="GZ88" s="141"/>
      <c r="HA88" s="141"/>
      <c r="HB88" s="142">
        <f>IFERROR(ROUND(Calculations!BV89*GT88,2),"")</f>
        <v>10</v>
      </c>
      <c r="HC88" s="142"/>
      <c r="HD88" s="142"/>
      <c r="HE88" s="142"/>
      <c r="HF88" s="142"/>
      <c r="HG88" s="142"/>
      <c r="HH88" s="142"/>
      <c r="HI88" s="142"/>
      <c r="HJ88" s="142">
        <f>IFERROR(Calculations!BS89+IQ88+IX88,"")</f>
        <v>40</v>
      </c>
      <c r="HK88" s="142"/>
      <c r="HL88" s="142"/>
      <c r="HM88" s="142"/>
      <c r="HN88" s="142"/>
      <c r="HO88" s="142"/>
      <c r="HP88" s="142"/>
      <c r="HQ88" s="142"/>
      <c r="HR88" s="142">
        <f t="shared" ref="HR88:HR108" si="27">IFERROR(VLOOKUP(FB88,ItemChart,4,FALSE),"")</f>
        <v>0</v>
      </c>
      <c r="HS88" s="142"/>
      <c r="HT88" s="142"/>
      <c r="HU88" s="142"/>
      <c r="HV88" s="142"/>
      <c r="HW88" s="142"/>
      <c r="HX88" s="142"/>
      <c r="HY88" s="142"/>
      <c r="HZ88" s="142" t="str">
        <f>IFERROR(Calculations!BX89,"")</f>
        <v>$1.84</v>
      </c>
      <c r="IA88" s="142"/>
      <c r="IB88" s="142"/>
      <c r="IC88" s="142"/>
      <c r="ID88" s="142"/>
      <c r="IE88" s="142"/>
      <c r="IF88" s="142"/>
      <c r="IG88" s="142"/>
      <c r="IH88" s="142"/>
      <c r="II88" s="142"/>
      <c r="IJ88" s="142">
        <f>IFERROR(Calculations!BR89+IX88,"")</f>
        <v>0</v>
      </c>
      <c r="IK88" s="142"/>
      <c r="IL88" s="142"/>
      <c r="IM88" s="142"/>
      <c r="IN88" s="142"/>
      <c r="IO88" s="142"/>
      <c r="IP88" s="142"/>
      <c r="IQ88" s="141">
        <v>0</v>
      </c>
      <c r="IR88" s="141"/>
      <c r="IS88" s="141"/>
      <c r="IT88" s="141"/>
      <c r="IU88" s="141"/>
      <c r="IV88" s="141"/>
      <c r="IW88" s="141"/>
      <c r="IX88" s="141">
        <v>0</v>
      </c>
      <c r="IY88" s="141"/>
      <c r="IZ88" s="141"/>
      <c r="JA88" s="141"/>
      <c r="JB88" s="141"/>
      <c r="JC88" s="141"/>
      <c r="JD88" s="141"/>
      <c r="JE88" s="141"/>
      <c r="JF88" s="142"/>
      <c r="JG88" s="142"/>
      <c r="JH88" s="142"/>
      <c r="JI88" s="142"/>
      <c r="JJ88" s="142"/>
      <c r="JK88" s="143" t="str">
        <f>Calculations!AS89</f>
        <v>Soft Leather</v>
      </c>
      <c r="JL88" s="143"/>
      <c r="JM88" s="143"/>
      <c r="JN88" s="143"/>
      <c r="JO88" s="143"/>
      <c r="JP88" s="143"/>
      <c r="JQ88" s="143"/>
      <c r="JR88" s="143"/>
      <c r="JS88" s="143"/>
      <c r="JT88" s="143"/>
      <c r="JU88" s="143"/>
      <c r="JV88" s="143"/>
      <c r="JW88" s="143"/>
      <c r="JX88" s="143"/>
      <c r="JY88" s="143"/>
      <c r="JZ88" s="143"/>
      <c r="KA88" s="143"/>
      <c r="KB88" s="143"/>
      <c r="KC88" s="143" t="str">
        <f>Calculations!AW89</f>
        <v>Low Steel</v>
      </c>
      <c r="KD88" s="143"/>
      <c r="KE88" s="143"/>
      <c r="KF88" s="143"/>
      <c r="KG88" s="143"/>
      <c r="KH88" s="143"/>
      <c r="KI88" s="143"/>
      <c r="KJ88" s="143"/>
      <c r="KK88" s="143"/>
      <c r="KL88" s="143"/>
      <c r="KM88" s="143"/>
      <c r="KN88" s="143"/>
      <c r="KO88" s="143"/>
      <c r="KP88" s="143"/>
      <c r="KQ88" s="143"/>
      <c r="KR88" s="143"/>
      <c r="KS88" s="143"/>
      <c r="KT88" s="143"/>
      <c r="KU88" s="144"/>
      <c r="KV88" s="144"/>
      <c r="KW88" s="144"/>
      <c r="KX88" s="144"/>
      <c r="KY88" s="144"/>
      <c r="KZ88" s="144"/>
      <c r="LA88" s="144"/>
      <c r="LB88" s="144"/>
      <c r="LC88" s="144"/>
      <c r="LD88" s="144"/>
      <c r="LE88" s="144"/>
      <c r="LF88" s="144"/>
      <c r="LG88" s="144"/>
      <c r="LH88" s="144"/>
      <c r="LI88" s="144"/>
      <c r="LJ88" s="144"/>
      <c r="LK88" s="144"/>
      <c r="LL88" s="144"/>
      <c r="LM88" s="144"/>
      <c r="LN88" s="144"/>
      <c r="LO88" s="144"/>
      <c r="LP88" s="144"/>
      <c r="LQ88" s="144"/>
      <c r="LR88" s="144"/>
      <c r="LS88" s="144"/>
      <c r="LT88" s="144"/>
      <c r="LU88" s="144"/>
      <c r="LV88" s="144"/>
      <c r="LW88" s="144"/>
      <c r="LX88" s="144"/>
      <c r="LY88" s="144"/>
      <c r="LZ88" s="144"/>
      <c r="MA88" s="144"/>
      <c r="MB88" s="144"/>
      <c r="MC88" s="144"/>
      <c r="MD88" s="144"/>
      <c r="ME88" s="144"/>
      <c r="MF88" s="144"/>
      <c r="MG88" s="144"/>
      <c r="MH88" s="144"/>
      <c r="MI88" s="144"/>
      <c r="MJ88" s="144"/>
      <c r="MK88" s="144"/>
      <c r="ML88" s="144"/>
      <c r="MM88" s="144"/>
      <c r="MN88" s="144"/>
      <c r="MO88" s="144"/>
      <c r="MP88" s="144"/>
      <c r="MQ88" s="144"/>
      <c r="MR88" s="144"/>
      <c r="MS88" s="144"/>
      <c r="MT88" s="144"/>
      <c r="MU88" s="144"/>
      <c r="MV88" s="144"/>
      <c r="MW88" s="144"/>
      <c r="MX88" s="144"/>
      <c r="MY88" s="144"/>
      <c r="MZ88" s="145"/>
      <c r="BLR88" s="128" t="s">
        <v>363</v>
      </c>
      <c r="BLS88" s="128"/>
      <c r="BLT88" s="128"/>
      <c r="BLU88" s="128"/>
      <c r="BLV88" s="128"/>
      <c r="BLW88" s="128"/>
      <c r="BLX88" s="128"/>
      <c r="BLY88" s="128"/>
      <c r="BLZ88" s="128"/>
      <c r="BMA88" s="128"/>
      <c r="BMB88" s="128"/>
      <c r="BMC88" s="128"/>
      <c r="BMD88" s="128"/>
      <c r="BME88" s="128"/>
      <c r="BMF88" s="128"/>
      <c r="BMG88" s="128"/>
      <c r="BMH88" s="128"/>
      <c r="BMI88" s="128"/>
      <c r="BMJ88" s="128"/>
      <c r="BMK88" s="128"/>
      <c r="BML88" s="128"/>
      <c r="BMM88" s="128"/>
      <c r="BMN88" s="128"/>
      <c r="BMO88" s="128"/>
      <c r="BMP88" s="128"/>
      <c r="BMQ88" s="128"/>
      <c r="BMR88" s="128"/>
      <c r="BMS88" s="128"/>
      <c r="BMT88" s="128"/>
      <c r="BMU88" s="128"/>
      <c r="BMV88" s="128"/>
      <c r="BMW88" s="129"/>
      <c r="BMX88" s="129"/>
      <c r="BMY88" s="129"/>
      <c r="BMZ88" s="129"/>
      <c r="BNA88" s="129"/>
      <c r="BNB88" s="129"/>
      <c r="BNC88" s="129"/>
      <c r="BND88" s="129"/>
      <c r="BNE88" s="129"/>
      <c r="BNF88" s="129"/>
      <c r="BNG88" s="129"/>
      <c r="BNH88" s="129"/>
      <c r="BNI88" s="129"/>
      <c r="BNJ88" s="129"/>
      <c r="BNK88" s="129"/>
      <c r="BNL88" s="129"/>
      <c r="BNM88" s="129"/>
      <c r="BNN88" s="129"/>
      <c r="BNO88" s="129"/>
      <c r="BNP88" s="129"/>
      <c r="BNQ88" s="129"/>
      <c r="BNR88" s="128"/>
      <c r="BNS88" s="128"/>
      <c r="BNT88" s="128"/>
      <c r="BNU88" s="128"/>
      <c r="BNV88" s="128"/>
      <c r="BNW88" s="128"/>
      <c r="BNX88" s="129"/>
      <c r="BNY88" s="129"/>
      <c r="BNZ88" s="129"/>
      <c r="BOA88" s="129"/>
      <c r="BOB88" s="129"/>
      <c r="BOC88" s="129"/>
      <c r="BOD88" s="129"/>
      <c r="BOE88" s="129"/>
      <c r="BOF88" s="129"/>
      <c r="BOG88" s="129"/>
      <c r="BOH88" s="129"/>
      <c r="BOI88" s="129"/>
      <c r="BOJ88" s="129"/>
      <c r="BOK88" s="129"/>
      <c r="BOL88" s="129"/>
      <c r="BOM88" s="129"/>
      <c r="BON88" s="129"/>
      <c r="BOO88" s="129"/>
      <c r="BOP88" s="129"/>
      <c r="BOQ88" s="129"/>
      <c r="BOR88" s="129"/>
      <c r="BOS88" s="129"/>
      <c r="BOT88" s="129"/>
      <c r="BOU88" s="129"/>
      <c r="BOV88" s="129"/>
      <c r="BOW88" s="129"/>
      <c r="BOX88" s="129"/>
      <c r="BOY88" s="129"/>
      <c r="BOZ88" s="128"/>
      <c r="BPA88" s="128"/>
      <c r="BPB88" s="128"/>
      <c r="BPC88" s="128"/>
      <c r="BPD88" s="128"/>
      <c r="BPE88" s="128"/>
      <c r="BPF88" s="128"/>
    </row>
    <row r="89" spans="1:364 1682:1774" ht="15" customHeight="1" x14ac:dyDescent="0.25">
      <c r="A89" s="2">
        <v>9</v>
      </c>
      <c r="B89" s="133" t="str">
        <f ca="1">IFERROR(VLOOKUP(A89,Calculations!$ER$2:$ET$31,2,FALSE),"")</f>
        <v/>
      </c>
      <c r="C89" s="134"/>
      <c r="D89" s="134"/>
      <c r="E89" s="134"/>
      <c r="F89" s="134"/>
      <c r="G89" s="134"/>
      <c r="H89" s="134"/>
      <c r="I89" s="134"/>
      <c r="J89" s="134"/>
      <c r="K89" s="134"/>
      <c r="L89" s="134"/>
      <c r="M89" s="134"/>
      <c r="N89" s="134"/>
      <c r="O89" s="134"/>
      <c r="P89" s="134"/>
      <c r="Q89" s="134"/>
      <c r="R89" s="134"/>
      <c r="S89" s="134"/>
      <c r="T89" s="134"/>
      <c r="U89" s="134"/>
      <c r="V89" s="134"/>
      <c r="W89" s="130" t="str">
        <f ca="1">IFERROR(VLOOKUP(B89,Skills!$N$405:$AF$440,19,FALSE),"")</f>
        <v/>
      </c>
      <c r="X89" s="130"/>
      <c r="Y89" s="130"/>
      <c r="Z89" s="130"/>
      <c r="AA89" s="130"/>
      <c r="AB89" s="130"/>
      <c r="AC89" s="130"/>
      <c r="AD89" s="130"/>
      <c r="AE89" s="130" t="str">
        <f ca="1">IF(B89="","",MAX(0,IFERROR(VLOOKUP(B89,Skills!$N$376:$AF$380,19,FALSE),0)))</f>
        <v/>
      </c>
      <c r="AF89" s="130"/>
      <c r="AG89" s="130"/>
      <c r="AH89" s="130"/>
      <c r="AI89" s="130"/>
      <c r="AJ89" s="130"/>
      <c r="AK89" s="130" t="str">
        <f ca="1">IF(B89="","",IFERROR(VLOOKUP(B89,Skills!$N$383:$AF$387,19,FALSE),0))</f>
        <v/>
      </c>
      <c r="AL89" s="130"/>
      <c r="AM89" s="130"/>
      <c r="AN89" s="130"/>
      <c r="AO89" s="130"/>
      <c r="AP89" s="130"/>
      <c r="AQ89" s="130"/>
      <c r="AR89" s="130" t="str">
        <f ca="1">IF(B89="","",(VLOOKUP(B89,Skills!$N$405:$S$440,6,FALSE)))</f>
        <v/>
      </c>
      <c r="AS89" s="130"/>
      <c r="AT89" s="130"/>
      <c r="AU89" s="130"/>
      <c r="AV89" s="130"/>
      <c r="AW89" s="130"/>
      <c r="AX89" s="130"/>
      <c r="AY89" s="130" t="str">
        <f ca="1">IF(B89="","",Calculations!$H$10)</f>
        <v/>
      </c>
      <c r="AZ89" s="130"/>
      <c r="BA89" s="130"/>
      <c r="BB89" s="130"/>
      <c r="BC89" s="130"/>
      <c r="BD89" s="130"/>
      <c r="BE89" s="130"/>
      <c r="BF89" s="130" t="str">
        <f ca="1">SUBSTITUTE(IFERROR(VLOOKUP(A89,Calculations!$ER$2:$ET$31,3,FALSE),""),"Restricted","Rest.")</f>
        <v/>
      </c>
      <c r="BG89" s="130"/>
      <c r="BH89" s="130"/>
      <c r="BI89" s="130"/>
      <c r="BJ89" s="130"/>
      <c r="BK89" s="130"/>
      <c r="BL89" s="130"/>
      <c r="BM89" s="130"/>
      <c r="BN89" s="130"/>
      <c r="BO89" s="130"/>
      <c r="BP89" s="130"/>
      <c r="BQ89" s="130"/>
      <c r="BR89" s="130"/>
      <c r="BS89" s="130"/>
      <c r="BT89" s="130" t="str">
        <f ca="1">IF(B89="","",((AR89)+(AY89)+(VLOOKUP(BF89,Charts!$BV$2:$BW$6,2,FALSE))+(BM89)&amp;"/"&amp;((AR89)+(AY89)+(VLOOKUP(BF89,Charts!$BV$2:$BW$6,2,FALSE))+(BM89)+($BJ$5*2))))</f>
        <v/>
      </c>
      <c r="BU89" s="130"/>
      <c r="BV89" s="130"/>
      <c r="BW89" s="130"/>
      <c r="BX89" s="130"/>
      <c r="BY89" s="130"/>
      <c r="BZ89" s="238"/>
      <c r="CB89" s="133" t="str">
        <f ca="1">Calculations!AN30</f>
        <v/>
      </c>
      <c r="CC89" s="134"/>
      <c r="CD89" s="134"/>
      <c r="CE89" s="134"/>
      <c r="CF89" s="134"/>
      <c r="CG89" s="134"/>
      <c r="CH89" s="134"/>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0" t="str">
        <f ca="1">Calculations!AO30</f>
        <v/>
      </c>
      <c r="DF89" s="130"/>
      <c r="DG89" s="130"/>
      <c r="DH89" s="130"/>
      <c r="DI89" s="130"/>
      <c r="DJ89" s="130"/>
      <c r="DK89" s="130"/>
      <c r="DL89" s="130"/>
      <c r="DM89" s="130"/>
      <c r="DN89" s="117"/>
      <c r="DO89" s="134" t="str">
        <f ca="1">Calculations!AN31</f>
        <v/>
      </c>
      <c r="DP89" s="134"/>
      <c r="DQ89" s="134"/>
      <c r="DR89" s="134"/>
      <c r="DS89" s="134"/>
      <c r="DT89" s="134"/>
      <c r="DU89" s="134"/>
      <c r="DV89" s="134"/>
      <c r="DW89" s="134"/>
      <c r="DX89" s="134"/>
      <c r="DY89" s="134"/>
      <c r="DZ89" s="134"/>
      <c r="EA89" s="134"/>
      <c r="EB89" s="134"/>
      <c r="EC89" s="134"/>
      <c r="ED89" s="134"/>
      <c r="EE89" s="134"/>
      <c r="EF89" s="134"/>
      <c r="EG89" s="134"/>
      <c r="EH89" s="134"/>
      <c r="EI89" s="134"/>
      <c r="EJ89" s="134"/>
      <c r="EK89" s="134"/>
      <c r="EL89" s="134"/>
      <c r="EM89" s="134"/>
      <c r="EN89" s="134"/>
      <c r="EO89" s="134"/>
      <c r="EP89" s="134"/>
      <c r="EQ89" s="134"/>
      <c r="ER89" s="130" t="str">
        <f ca="1">Calculations!AO31</f>
        <v/>
      </c>
      <c r="ES89" s="130"/>
      <c r="ET89" s="130"/>
      <c r="EU89" s="130"/>
      <c r="EV89" s="130"/>
      <c r="EW89" s="130"/>
      <c r="EX89" s="130"/>
      <c r="EY89" s="130"/>
      <c r="EZ89" s="238"/>
      <c r="FB89" s="139" t="s">
        <v>2481</v>
      </c>
      <c r="FC89" s="140"/>
      <c r="FD89" s="140"/>
      <c r="FE89" s="140"/>
      <c r="FF89" s="140"/>
      <c r="FG89" s="140"/>
      <c r="FH89" s="140"/>
      <c r="FI89" s="140"/>
      <c r="FJ89" s="140"/>
      <c r="FK89" s="140"/>
      <c r="FL89" s="140"/>
      <c r="FM89" s="140"/>
      <c r="FN89" s="140"/>
      <c r="FO89" s="140"/>
      <c r="FP89" s="140"/>
      <c r="FQ89" s="140"/>
      <c r="FR89" s="140"/>
      <c r="FS89" s="140"/>
      <c r="FT89" s="140"/>
      <c r="FU89" s="140"/>
      <c r="FV89" s="140"/>
      <c r="FW89" s="140"/>
      <c r="FX89" s="140"/>
      <c r="FY89" s="140"/>
      <c r="FZ89" s="140"/>
      <c r="GA89" s="140"/>
      <c r="GB89" s="140"/>
      <c r="GC89" s="140"/>
      <c r="GD89" s="140"/>
      <c r="GE89" s="140"/>
      <c r="GF89" s="140"/>
      <c r="GG89" s="140"/>
      <c r="GH89" s="140"/>
      <c r="GI89" s="140"/>
      <c r="GJ89" s="140"/>
      <c r="GK89" s="140"/>
      <c r="GL89" s="140"/>
      <c r="GM89" s="140"/>
      <c r="GN89" s="140"/>
      <c r="GO89" s="140"/>
      <c r="GP89" s="140"/>
      <c r="GQ89" s="140"/>
      <c r="GR89" s="140"/>
      <c r="GS89" s="140"/>
      <c r="GT89" s="141">
        <v>4</v>
      </c>
      <c r="GU89" s="141"/>
      <c r="GV89" s="141"/>
      <c r="GW89" s="141"/>
      <c r="GX89" s="141"/>
      <c r="GY89" s="141"/>
      <c r="GZ89" s="141"/>
      <c r="HA89" s="141"/>
      <c r="HB89" s="142">
        <f>IFERROR(ROUND(Calculations!BV90*GT89,2),"")</f>
        <v>0.8</v>
      </c>
      <c r="HC89" s="142"/>
      <c r="HD89" s="142"/>
      <c r="HE89" s="142"/>
      <c r="HF89" s="142"/>
      <c r="HG89" s="142"/>
      <c r="HH89" s="142"/>
      <c r="HI89" s="142"/>
      <c r="HJ89" s="142">
        <f>IFERROR(Calculations!BS90+IQ89+IX89,"")</f>
        <v>40</v>
      </c>
      <c r="HK89" s="142"/>
      <c r="HL89" s="142"/>
      <c r="HM89" s="142"/>
      <c r="HN89" s="142"/>
      <c r="HO89" s="142"/>
      <c r="HP89" s="142"/>
      <c r="HQ89" s="142"/>
      <c r="HR89" s="142">
        <f t="shared" si="27"/>
        <v>0</v>
      </c>
      <c r="HS89" s="142"/>
      <c r="HT89" s="142"/>
      <c r="HU89" s="142"/>
      <c r="HV89" s="142"/>
      <c r="HW89" s="142"/>
      <c r="HX89" s="142"/>
      <c r="HY89" s="142"/>
      <c r="HZ89" s="142" t="str">
        <f>IFERROR(Calculations!BX90,"")</f>
        <v>$0.4</v>
      </c>
      <c r="IA89" s="142"/>
      <c r="IB89" s="142"/>
      <c r="IC89" s="142"/>
      <c r="ID89" s="142"/>
      <c r="IE89" s="142"/>
      <c r="IF89" s="142"/>
      <c r="IG89" s="142"/>
      <c r="IH89" s="142"/>
      <c r="II89" s="142"/>
      <c r="IJ89" s="142">
        <f>IFERROR(Calculations!BR90+IX89,"")</f>
        <v>0</v>
      </c>
      <c r="IK89" s="142"/>
      <c r="IL89" s="142"/>
      <c r="IM89" s="142"/>
      <c r="IN89" s="142"/>
      <c r="IO89" s="142"/>
      <c r="IP89" s="142"/>
      <c r="IQ89" s="141">
        <v>0</v>
      </c>
      <c r="IR89" s="141"/>
      <c r="IS89" s="141"/>
      <c r="IT89" s="141"/>
      <c r="IU89" s="141"/>
      <c r="IV89" s="141"/>
      <c r="IW89" s="141"/>
      <c r="IX89" s="141">
        <v>0</v>
      </c>
      <c r="IY89" s="141"/>
      <c r="IZ89" s="141"/>
      <c r="JA89" s="141"/>
      <c r="JB89" s="141"/>
      <c r="JC89" s="141"/>
      <c r="JD89" s="141"/>
      <c r="JE89" s="141"/>
      <c r="JF89" s="142"/>
      <c r="JG89" s="142"/>
      <c r="JH89" s="142"/>
      <c r="JI89" s="142"/>
      <c r="JJ89" s="142"/>
      <c r="JK89" s="143" t="str">
        <f>Calculations!AS90</f>
        <v>Iron</v>
      </c>
      <c r="JL89" s="143"/>
      <c r="JM89" s="143"/>
      <c r="JN89" s="143"/>
      <c r="JO89" s="143"/>
      <c r="JP89" s="143"/>
      <c r="JQ89" s="143"/>
      <c r="JR89" s="143"/>
      <c r="JS89" s="143"/>
      <c r="JT89" s="143"/>
      <c r="JU89" s="143"/>
      <c r="JV89" s="143"/>
      <c r="JW89" s="143"/>
      <c r="JX89" s="143"/>
      <c r="JY89" s="143"/>
      <c r="JZ89" s="143"/>
      <c r="KA89" s="143"/>
      <c r="KB89" s="143"/>
      <c r="KC89" s="143" t="str">
        <f>Calculations!AW90</f>
        <v>Iron</v>
      </c>
      <c r="KD89" s="143"/>
      <c r="KE89" s="143"/>
      <c r="KF89" s="143"/>
      <c r="KG89" s="143"/>
      <c r="KH89" s="143"/>
      <c r="KI89" s="143"/>
      <c r="KJ89" s="143"/>
      <c r="KK89" s="143"/>
      <c r="KL89" s="143"/>
      <c r="KM89" s="143"/>
      <c r="KN89" s="143"/>
      <c r="KO89" s="143"/>
      <c r="KP89" s="143"/>
      <c r="KQ89" s="143"/>
      <c r="KR89" s="143"/>
      <c r="KS89" s="143"/>
      <c r="KT89" s="143"/>
      <c r="KU89" s="144"/>
      <c r="KV89" s="144"/>
      <c r="KW89" s="144"/>
      <c r="KX89" s="144"/>
      <c r="KY89" s="144"/>
      <c r="KZ89" s="144"/>
      <c r="LA89" s="144"/>
      <c r="LB89" s="144"/>
      <c r="LC89" s="144"/>
      <c r="LD89" s="144"/>
      <c r="LE89" s="144"/>
      <c r="LF89" s="144"/>
      <c r="LG89" s="144"/>
      <c r="LH89" s="144"/>
      <c r="LI89" s="144"/>
      <c r="LJ89" s="144"/>
      <c r="LK89" s="144"/>
      <c r="LL89" s="144"/>
      <c r="LM89" s="144"/>
      <c r="LN89" s="144"/>
      <c r="LO89" s="144"/>
      <c r="LP89" s="144"/>
      <c r="LQ89" s="144"/>
      <c r="LR89" s="144"/>
      <c r="LS89" s="144"/>
      <c r="LT89" s="144"/>
      <c r="LU89" s="144"/>
      <c r="LV89" s="144"/>
      <c r="LW89" s="144"/>
      <c r="LX89" s="144"/>
      <c r="LY89" s="144"/>
      <c r="LZ89" s="144"/>
      <c r="MA89" s="144"/>
      <c r="MB89" s="144"/>
      <c r="MC89" s="144"/>
      <c r="MD89" s="144"/>
      <c r="ME89" s="144"/>
      <c r="MF89" s="144"/>
      <c r="MG89" s="144"/>
      <c r="MH89" s="144"/>
      <c r="MI89" s="144"/>
      <c r="MJ89" s="144"/>
      <c r="MK89" s="144"/>
      <c r="ML89" s="144"/>
      <c r="MM89" s="144"/>
      <c r="MN89" s="144"/>
      <c r="MO89" s="144"/>
      <c r="MP89" s="144"/>
      <c r="MQ89" s="144"/>
      <c r="MR89" s="144"/>
      <c r="MS89" s="144"/>
      <c r="MT89" s="144"/>
      <c r="MU89" s="144"/>
      <c r="MV89" s="144"/>
      <c r="MW89" s="144"/>
      <c r="MX89" s="144"/>
      <c r="MY89" s="144"/>
      <c r="MZ89" s="145"/>
      <c r="BLR89" s="128" t="s">
        <v>364</v>
      </c>
      <c r="BLS89" s="128"/>
      <c r="BLT89" s="128"/>
      <c r="BLU89" s="128"/>
      <c r="BLV89" s="128"/>
      <c r="BLW89" s="128"/>
      <c r="BLX89" s="128"/>
      <c r="BLY89" s="128"/>
      <c r="BLZ89" s="128"/>
      <c r="BMA89" s="128"/>
      <c r="BMB89" s="128"/>
      <c r="BMC89" s="128"/>
      <c r="BMD89" s="128"/>
      <c r="BME89" s="128"/>
      <c r="BMF89" s="128"/>
      <c r="BMG89" s="128"/>
      <c r="BMH89" s="128"/>
      <c r="BMI89" s="128"/>
      <c r="BMJ89" s="128"/>
      <c r="BMK89" s="128"/>
      <c r="BML89" s="128"/>
      <c r="BMM89" s="128"/>
      <c r="BMN89" s="128"/>
      <c r="BMO89" s="128"/>
      <c r="BMP89" s="128"/>
      <c r="BMQ89" s="128"/>
      <c r="BMR89" s="128"/>
      <c r="BMS89" s="128"/>
      <c r="BMT89" s="128"/>
      <c r="BMU89" s="128"/>
      <c r="BMV89" s="128"/>
      <c r="BMW89" s="129"/>
      <c r="BMX89" s="129"/>
      <c r="BMY89" s="129"/>
      <c r="BMZ89" s="129"/>
      <c r="BNA89" s="129"/>
      <c r="BNB89" s="129"/>
      <c r="BNC89" s="129"/>
      <c r="BND89" s="129"/>
      <c r="BNE89" s="129"/>
      <c r="BNF89" s="129"/>
      <c r="BNG89" s="129"/>
      <c r="BNH89" s="129"/>
      <c r="BNI89" s="129"/>
      <c r="BNJ89" s="129"/>
      <c r="BNK89" s="129"/>
      <c r="BNL89" s="129"/>
      <c r="BNM89" s="129"/>
      <c r="BNN89" s="129"/>
      <c r="BNO89" s="129"/>
      <c r="BNP89" s="129"/>
      <c r="BNQ89" s="129"/>
      <c r="BNR89" s="128"/>
      <c r="BNS89" s="128"/>
      <c r="BNT89" s="128"/>
      <c r="BNU89" s="128"/>
      <c r="BNV89" s="128"/>
      <c r="BNW89" s="128"/>
      <c r="BNX89" s="129"/>
      <c r="BNY89" s="129"/>
      <c r="BNZ89" s="129"/>
      <c r="BOA89" s="129"/>
      <c r="BOB89" s="129"/>
      <c r="BOC89" s="129"/>
      <c r="BOD89" s="129"/>
      <c r="BOE89" s="129"/>
      <c r="BOF89" s="129"/>
      <c r="BOG89" s="129"/>
      <c r="BOH89" s="129"/>
      <c r="BOI89" s="129"/>
      <c r="BOJ89" s="129"/>
      <c r="BOK89" s="129"/>
      <c r="BOL89" s="129"/>
      <c r="BOM89" s="129"/>
      <c r="BON89" s="129"/>
      <c r="BOO89" s="129"/>
      <c r="BOP89" s="129"/>
      <c r="BOQ89" s="129"/>
      <c r="BOR89" s="129"/>
      <c r="BOS89" s="129"/>
      <c r="BOT89" s="129"/>
      <c r="BOU89" s="129"/>
      <c r="BOV89" s="129"/>
      <c r="BOW89" s="129"/>
      <c r="BOX89" s="129"/>
      <c r="BOY89" s="129"/>
      <c r="BOZ89" s="128"/>
      <c r="BPA89" s="128"/>
      <c r="BPB89" s="128"/>
      <c r="BPC89" s="128"/>
      <c r="BPD89" s="128"/>
      <c r="BPE89" s="128"/>
      <c r="BPF89" s="128"/>
    </row>
    <row r="90" spans="1:364 1682:1774" ht="15" customHeight="1" x14ac:dyDescent="0.25">
      <c r="A90" s="2">
        <v>10</v>
      </c>
      <c r="B90" s="135" t="str">
        <f ca="1">IFERROR(VLOOKUP(A90,Calculations!$ER$2:$ET$31,2,FALSE),"")</f>
        <v/>
      </c>
      <c r="C90" s="136"/>
      <c r="D90" s="136"/>
      <c r="E90" s="136"/>
      <c r="F90" s="136"/>
      <c r="G90" s="136"/>
      <c r="H90" s="136"/>
      <c r="I90" s="136"/>
      <c r="J90" s="136"/>
      <c r="K90" s="136"/>
      <c r="L90" s="136"/>
      <c r="M90" s="136"/>
      <c r="N90" s="136"/>
      <c r="O90" s="136"/>
      <c r="P90" s="136"/>
      <c r="Q90" s="136"/>
      <c r="R90" s="136"/>
      <c r="S90" s="136"/>
      <c r="T90" s="136"/>
      <c r="U90" s="136"/>
      <c r="V90" s="136"/>
      <c r="W90" s="131" t="str">
        <f ca="1">IFERROR(VLOOKUP(B90,Skills!$N$405:$AF$440,19,FALSE),"")</f>
        <v/>
      </c>
      <c r="X90" s="131"/>
      <c r="Y90" s="131"/>
      <c r="Z90" s="131"/>
      <c r="AA90" s="131"/>
      <c r="AB90" s="131"/>
      <c r="AC90" s="131"/>
      <c r="AD90" s="131"/>
      <c r="AE90" s="131" t="str">
        <f ca="1">IF(B90="","",MAX(0,IFERROR(VLOOKUP(B90,Skills!$N$376:$AF$380,19,FALSE),0)))</f>
        <v/>
      </c>
      <c r="AF90" s="131"/>
      <c r="AG90" s="131"/>
      <c r="AH90" s="131"/>
      <c r="AI90" s="131"/>
      <c r="AJ90" s="131"/>
      <c r="AK90" s="131" t="str">
        <f ca="1">IF(B90="","",IFERROR(VLOOKUP(B90,Skills!$N$383:$AF$387,19,FALSE),0))</f>
        <v/>
      </c>
      <c r="AL90" s="131"/>
      <c r="AM90" s="131"/>
      <c r="AN90" s="131"/>
      <c r="AO90" s="131"/>
      <c r="AP90" s="131"/>
      <c r="AQ90" s="131"/>
      <c r="AR90" s="131" t="str">
        <f ca="1">IF(B90="","",(VLOOKUP(B90,Skills!$N$405:$S$440,6,FALSE)))</f>
        <v/>
      </c>
      <c r="AS90" s="131"/>
      <c r="AT90" s="131"/>
      <c r="AU90" s="131"/>
      <c r="AV90" s="131"/>
      <c r="AW90" s="131"/>
      <c r="AX90" s="131"/>
      <c r="AY90" s="131" t="str">
        <f ca="1">IF(B90="","",Calculations!$H$10)</f>
        <v/>
      </c>
      <c r="AZ90" s="131"/>
      <c r="BA90" s="131"/>
      <c r="BB90" s="131"/>
      <c r="BC90" s="131"/>
      <c r="BD90" s="131"/>
      <c r="BE90" s="131"/>
      <c r="BF90" s="131" t="str">
        <f ca="1">SUBSTITUTE(IFERROR(VLOOKUP(A90,Calculations!$ER$2:$ET$31,3,FALSE),""),"Restricted","Rest.")</f>
        <v/>
      </c>
      <c r="BG90" s="131"/>
      <c r="BH90" s="131"/>
      <c r="BI90" s="131"/>
      <c r="BJ90" s="131"/>
      <c r="BK90" s="131"/>
      <c r="BL90" s="131"/>
      <c r="BM90" s="131"/>
      <c r="BN90" s="131"/>
      <c r="BO90" s="131"/>
      <c r="BP90" s="131"/>
      <c r="BQ90" s="131"/>
      <c r="BR90" s="131"/>
      <c r="BS90" s="131"/>
      <c r="BT90" s="131" t="str">
        <f ca="1">IF(B90="","",((AR90)+(AY90)+(VLOOKUP(BF90,Charts!$BV$2:$BW$6,2,FALSE))+(BM90)&amp;"/"&amp;((AR90)+(AY90)+(VLOOKUP(BF90,Charts!$BV$2:$BW$6,2,FALSE))+(BM90)+($BJ$5*2))))</f>
        <v/>
      </c>
      <c r="BU90" s="131"/>
      <c r="BV90" s="131"/>
      <c r="BW90" s="131"/>
      <c r="BX90" s="131"/>
      <c r="BY90" s="131"/>
      <c r="BZ90" s="239"/>
      <c r="CB90" s="135" t="str">
        <f ca="1">Calculations!AN32</f>
        <v/>
      </c>
      <c r="CC90" s="136"/>
      <c r="CD90" s="136"/>
      <c r="CE90" s="136"/>
      <c r="CF90" s="136"/>
      <c r="CG90" s="136"/>
      <c r="CH90" s="136"/>
      <c r="CI90" s="136"/>
      <c r="CJ90" s="136"/>
      <c r="CK90" s="136"/>
      <c r="CL90" s="136"/>
      <c r="CM90" s="136"/>
      <c r="CN90" s="136"/>
      <c r="CO90" s="136"/>
      <c r="CP90" s="136"/>
      <c r="CQ90" s="136"/>
      <c r="CR90" s="136"/>
      <c r="CS90" s="136"/>
      <c r="CT90" s="136"/>
      <c r="CU90" s="136"/>
      <c r="CV90" s="136"/>
      <c r="CW90" s="136"/>
      <c r="CX90" s="136"/>
      <c r="CY90" s="136"/>
      <c r="CZ90" s="136"/>
      <c r="DA90" s="136"/>
      <c r="DB90" s="136"/>
      <c r="DC90" s="136"/>
      <c r="DD90" s="136"/>
      <c r="DE90" s="131" t="str">
        <f ca="1">Calculations!AO32</f>
        <v/>
      </c>
      <c r="DF90" s="131"/>
      <c r="DG90" s="131"/>
      <c r="DH90" s="131"/>
      <c r="DI90" s="131"/>
      <c r="DJ90" s="131"/>
      <c r="DK90" s="131"/>
      <c r="DL90" s="131"/>
      <c r="DM90" s="131"/>
      <c r="DN90" s="116"/>
      <c r="DO90" s="136" t="str">
        <f ca="1">Calculations!AN33</f>
        <v/>
      </c>
      <c r="DP90" s="136"/>
      <c r="DQ90" s="136"/>
      <c r="DR90" s="136"/>
      <c r="DS90" s="136"/>
      <c r="DT90" s="136"/>
      <c r="DU90" s="136"/>
      <c r="DV90" s="136"/>
      <c r="DW90" s="136"/>
      <c r="DX90" s="136"/>
      <c r="DY90" s="136"/>
      <c r="DZ90" s="136"/>
      <c r="EA90" s="136"/>
      <c r="EB90" s="136"/>
      <c r="EC90" s="136"/>
      <c r="ED90" s="136"/>
      <c r="EE90" s="136"/>
      <c r="EF90" s="136"/>
      <c r="EG90" s="136"/>
      <c r="EH90" s="136"/>
      <c r="EI90" s="136"/>
      <c r="EJ90" s="136"/>
      <c r="EK90" s="136"/>
      <c r="EL90" s="136"/>
      <c r="EM90" s="136"/>
      <c r="EN90" s="136"/>
      <c r="EO90" s="136"/>
      <c r="EP90" s="136"/>
      <c r="EQ90" s="136"/>
      <c r="ER90" s="131" t="str">
        <f ca="1">Calculations!AO33</f>
        <v/>
      </c>
      <c r="ES90" s="131"/>
      <c r="ET90" s="131"/>
      <c r="EU90" s="131"/>
      <c r="EV90" s="131"/>
      <c r="EW90" s="131"/>
      <c r="EX90" s="131"/>
      <c r="EY90" s="131"/>
      <c r="EZ90" s="239"/>
      <c r="FB90" s="139" t="s">
        <v>2482</v>
      </c>
      <c r="FC90" s="140"/>
      <c r="FD90" s="140"/>
      <c r="FE90" s="140"/>
      <c r="FF90" s="140"/>
      <c r="FG90" s="140"/>
      <c r="FH90" s="140"/>
      <c r="FI90" s="140"/>
      <c r="FJ90" s="140"/>
      <c r="FK90" s="140"/>
      <c r="FL90" s="140"/>
      <c r="FM90" s="140"/>
      <c r="FN90" s="140"/>
      <c r="FO90" s="140"/>
      <c r="FP90" s="140"/>
      <c r="FQ90" s="140"/>
      <c r="FR90" s="140"/>
      <c r="FS90" s="140"/>
      <c r="FT90" s="140"/>
      <c r="FU90" s="140"/>
      <c r="FV90" s="140"/>
      <c r="FW90" s="140"/>
      <c r="FX90" s="140"/>
      <c r="FY90" s="140"/>
      <c r="FZ90" s="140"/>
      <c r="GA90" s="140"/>
      <c r="GB90" s="140"/>
      <c r="GC90" s="140"/>
      <c r="GD90" s="140"/>
      <c r="GE90" s="140"/>
      <c r="GF90" s="140"/>
      <c r="GG90" s="140"/>
      <c r="GH90" s="140"/>
      <c r="GI90" s="140"/>
      <c r="GJ90" s="140"/>
      <c r="GK90" s="140"/>
      <c r="GL90" s="140"/>
      <c r="GM90" s="140"/>
      <c r="GN90" s="140"/>
      <c r="GO90" s="140"/>
      <c r="GP90" s="140"/>
      <c r="GQ90" s="140"/>
      <c r="GR90" s="140"/>
      <c r="GS90" s="140"/>
      <c r="GT90" s="141">
        <v>1</v>
      </c>
      <c r="GU90" s="141"/>
      <c r="GV90" s="141"/>
      <c r="GW90" s="141"/>
      <c r="GX90" s="141"/>
      <c r="GY90" s="141"/>
      <c r="GZ90" s="141"/>
      <c r="HA90" s="141"/>
      <c r="HB90" s="142">
        <f>IFERROR(ROUND(Calculations!BV91*GT90,2),"")</f>
        <v>0.5</v>
      </c>
      <c r="HC90" s="142"/>
      <c r="HD90" s="142"/>
      <c r="HE90" s="142"/>
      <c r="HF90" s="142"/>
      <c r="HG90" s="142"/>
      <c r="HH90" s="142"/>
      <c r="HI90" s="142"/>
      <c r="HJ90" s="142">
        <f>IFERROR(Calculations!BS91+IQ90+IX90,"")</f>
        <v>40</v>
      </c>
      <c r="HK90" s="142"/>
      <c r="HL90" s="142"/>
      <c r="HM90" s="142"/>
      <c r="HN90" s="142"/>
      <c r="HO90" s="142"/>
      <c r="HP90" s="142"/>
      <c r="HQ90" s="142"/>
      <c r="HR90" s="142">
        <f t="shared" si="27"/>
        <v>0</v>
      </c>
      <c r="HS90" s="142"/>
      <c r="HT90" s="142"/>
      <c r="HU90" s="142"/>
      <c r="HV90" s="142"/>
      <c r="HW90" s="142"/>
      <c r="HX90" s="142"/>
      <c r="HY90" s="142"/>
      <c r="HZ90" s="142" t="str">
        <f>IFERROR(Calculations!BX91,"")</f>
        <v>$2</v>
      </c>
      <c r="IA90" s="142"/>
      <c r="IB90" s="142"/>
      <c r="IC90" s="142"/>
      <c r="ID90" s="142"/>
      <c r="IE90" s="142"/>
      <c r="IF90" s="142"/>
      <c r="IG90" s="142"/>
      <c r="IH90" s="142"/>
      <c r="II90" s="142"/>
      <c r="IJ90" s="142">
        <f>IFERROR(Calculations!BR91+IX90,"")</f>
        <v>0</v>
      </c>
      <c r="IK90" s="142"/>
      <c r="IL90" s="142"/>
      <c r="IM90" s="142"/>
      <c r="IN90" s="142"/>
      <c r="IO90" s="142"/>
      <c r="IP90" s="142"/>
      <c r="IQ90" s="141">
        <v>0</v>
      </c>
      <c r="IR90" s="141"/>
      <c r="IS90" s="141"/>
      <c r="IT90" s="141"/>
      <c r="IU90" s="141"/>
      <c r="IV90" s="141"/>
      <c r="IW90" s="141"/>
      <c r="IX90" s="141">
        <v>0</v>
      </c>
      <c r="IY90" s="141"/>
      <c r="IZ90" s="141"/>
      <c r="JA90" s="141"/>
      <c r="JB90" s="141"/>
      <c r="JC90" s="141"/>
      <c r="JD90" s="141"/>
      <c r="JE90" s="141"/>
      <c r="JF90" s="142"/>
      <c r="JG90" s="142"/>
      <c r="JH90" s="142"/>
      <c r="JI90" s="142"/>
      <c r="JJ90" s="142"/>
      <c r="JK90" s="143" t="str">
        <f>Calculations!AS91</f>
        <v>Soft Leather</v>
      </c>
      <c r="JL90" s="143"/>
      <c r="JM90" s="143"/>
      <c r="JN90" s="143"/>
      <c r="JO90" s="143"/>
      <c r="JP90" s="143"/>
      <c r="JQ90" s="143"/>
      <c r="JR90" s="143"/>
      <c r="JS90" s="143"/>
      <c r="JT90" s="143"/>
      <c r="JU90" s="143"/>
      <c r="JV90" s="143"/>
      <c r="JW90" s="143"/>
      <c r="JX90" s="143"/>
      <c r="JY90" s="143"/>
      <c r="JZ90" s="143"/>
      <c r="KA90" s="143"/>
      <c r="KB90" s="143"/>
      <c r="KC90" s="143" t="str">
        <f>Calculations!AW91</f>
        <v>Soft Leather</v>
      </c>
      <c r="KD90" s="143"/>
      <c r="KE90" s="143"/>
      <c r="KF90" s="143"/>
      <c r="KG90" s="143"/>
      <c r="KH90" s="143"/>
      <c r="KI90" s="143"/>
      <c r="KJ90" s="143"/>
      <c r="KK90" s="143"/>
      <c r="KL90" s="143"/>
      <c r="KM90" s="143"/>
      <c r="KN90" s="143"/>
      <c r="KO90" s="143"/>
      <c r="KP90" s="143"/>
      <c r="KQ90" s="143"/>
      <c r="KR90" s="143"/>
      <c r="KS90" s="143"/>
      <c r="KT90" s="143"/>
      <c r="KU90" s="144"/>
      <c r="KV90" s="144"/>
      <c r="KW90" s="144"/>
      <c r="KX90" s="144"/>
      <c r="KY90" s="144"/>
      <c r="KZ90" s="144"/>
      <c r="LA90" s="144"/>
      <c r="LB90" s="144"/>
      <c r="LC90" s="144"/>
      <c r="LD90" s="144"/>
      <c r="LE90" s="144"/>
      <c r="LF90" s="144"/>
      <c r="LG90" s="144"/>
      <c r="LH90" s="144"/>
      <c r="LI90" s="144"/>
      <c r="LJ90" s="144"/>
      <c r="LK90" s="144"/>
      <c r="LL90" s="144"/>
      <c r="LM90" s="144"/>
      <c r="LN90" s="144"/>
      <c r="LO90" s="144"/>
      <c r="LP90" s="144"/>
      <c r="LQ90" s="144"/>
      <c r="LR90" s="144"/>
      <c r="LS90" s="144"/>
      <c r="LT90" s="144"/>
      <c r="LU90" s="144"/>
      <c r="LV90" s="144"/>
      <c r="LW90" s="144"/>
      <c r="LX90" s="144"/>
      <c r="LY90" s="144"/>
      <c r="LZ90" s="144"/>
      <c r="MA90" s="144"/>
      <c r="MB90" s="144"/>
      <c r="MC90" s="144"/>
      <c r="MD90" s="144"/>
      <c r="ME90" s="144"/>
      <c r="MF90" s="144"/>
      <c r="MG90" s="144"/>
      <c r="MH90" s="144"/>
      <c r="MI90" s="144"/>
      <c r="MJ90" s="144"/>
      <c r="MK90" s="144"/>
      <c r="ML90" s="144"/>
      <c r="MM90" s="144"/>
      <c r="MN90" s="144"/>
      <c r="MO90" s="144"/>
      <c r="MP90" s="144"/>
      <c r="MQ90" s="144"/>
      <c r="MR90" s="144"/>
      <c r="MS90" s="144"/>
      <c r="MT90" s="144"/>
      <c r="MU90" s="144"/>
      <c r="MV90" s="144"/>
      <c r="MW90" s="144"/>
      <c r="MX90" s="144"/>
      <c r="MY90" s="144"/>
      <c r="MZ90" s="145"/>
      <c r="BLR90" s="128" t="s">
        <v>365</v>
      </c>
      <c r="BLS90" s="128"/>
      <c r="BLT90" s="128"/>
      <c r="BLU90" s="128"/>
      <c r="BLV90" s="128"/>
      <c r="BLW90" s="128"/>
      <c r="BLX90" s="128"/>
      <c r="BLY90" s="128"/>
      <c r="BLZ90" s="128"/>
      <c r="BMA90" s="128"/>
      <c r="BMB90" s="128"/>
      <c r="BMC90" s="128"/>
      <c r="BMD90" s="128"/>
      <c r="BME90" s="128"/>
      <c r="BMF90" s="128"/>
      <c r="BMG90" s="128"/>
      <c r="BMH90" s="128"/>
      <c r="BMI90" s="128"/>
      <c r="BMJ90" s="128"/>
      <c r="BMK90" s="128"/>
      <c r="BML90" s="128"/>
      <c r="BMM90" s="128"/>
      <c r="BMN90" s="128"/>
      <c r="BMO90" s="128"/>
      <c r="BMP90" s="128"/>
      <c r="BMQ90" s="128"/>
      <c r="BMR90" s="128"/>
      <c r="BMS90" s="128"/>
      <c r="BMT90" s="128"/>
      <c r="BMU90" s="128"/>
      <c r="BMV90" s="128"/>
      <c r="BMW90" s="129"/>
      <c r="BMX90" s="129"/>
      <c r="BMY90" s="129"/>
      <c r="BMZ90" s="129"/>
      <c r="BNA90" s="129"/>
      <c r="BNB90" s="129"/>
      <c r="BNC90" s="129"/>
      <c r="BND90" s="129"/>
      <c r="BNE90" s="129"/>
      <c r="BNF90" s="129"/>
      <c r="BNG90" s="129"/>
      <c r="BNH90" s="129"/>
      <c r="BNI90" s="129"/>
      <c r="BNJ90" s="129"/>
      <c r="BNK90" s="129"/>
      <c r="BNL90" s="129"/>
      <c r="BNM90" s="129"/>
      <c r="BNN90" s="129"/>
      <c r="BNO90" s="129"/>
      <c r="BNP90" s="129"/>
      <c r="BNQ90" s="129"/>
      <c r="BNR90" s="128"/>
      <c r="BNS90" s="128"/>
      <c r="BNT90" s="128"/>
      <c r="BNU90" s="128"/>
      <c r="BNV90" s="128"/>
      <c r="BNW90" s="128"/>
      <c r="BNX90" s="129"/>
      <c r="BNY90" s="129"/>
      <c r="BNZ90" s="129"/>
      <c r="BOA90" s="129"/>
      <c r="BOB90" s="129"/>
      <c r="BOC90" s="129"/>
      <c r="BOD90" s="129"/>
      <c r="BOE90" s="129"/>
      <c r="BOF90" s="129"/>
      <c r="BOG90" s="129"/>
      <c r="BOH90" s="129"/>
      <c r="BOI90" s="129"/>
      <c r="BOJ90" s="129"/>
      <c r="BOK90" s="129"/>
      <c r="BOL90" s="129"/>
      <c r="BOM90" s="129"/>
      <c r="BON90" s="129"/>
      <c r="BOO90" s="129"/>
      <c r="BOP90" s="129"/>
      <c r="BOQ90" s="129"/>
      <c r="BOR90" s="129"/>
      <c r="BOS90" s="129"/>
      <c r="BOT90" s="129"/>
      <c r="BOU90" s="129"/>
      <c r="BOV90" s="129"/>
      <c r="BOW90" s="129"/>
      <c r="BOX90" s="129"/>
      <c r="BOY90" s="129"/>
      <c r="BOZ90" s="128"/>
      <c r="BPA90" s="128"/>
      <c r="BPB90" s="128"/>
      <c r="BPC90" s="128"/>
      <c r="BPD90" s="128"/>
      <c r="BPE90" s="128"/>
      <c r="BPF90" s="128"/>
    </row>
    <row r="91" spans="1:364 1682:1774" ht="15" customHeight="1" x14ac:dyDescent="0.25">
      <c r="A91" s="2">
        <v>11</v>
      </c>
      <c r="B91" s="133" t="str">
        <f ca="1">IFERROR(VLOOKUP(A91,Calculations!$ER$2:$ET$31,2,FALSE),"")</f>
        <v/>
      </c>
      <c r="C91" s="134"/>
      <c r="D91" s="134"/>
      <c r="E91" s="134"/>
      <c r="F91" s="134"/>
      <c r="G91" s="134"/>
      <c r="H91" s="134"/>
      <c r="I91" s="134"/>
      <c r="J91" s="134"/>
      <c r="K91" s="134"/>
      <c r="L91" s="134"/>
      <c r="M91" s="134"/>
      <c r="N91" s="134"/>
      <c r="O91" s="134"/>
      <c r="P91" s="134"/>
      <c r="Q91" s="134"/>
      <c r="R91" s="134"/>
      <c r="S91" s="134"/>
      <c r="T91" s="134"/>
      <c r="U91" s="134"/>
      <c r="V91" s="134"/>
      <c r="W91" s="130" t="str">
        <f ca="1">IFERROR(VLOOKUP(B91,Skills!$N$405:$AF$440,19,FALSE),"")</f>
        <v/>
      </c>
      <c r="X91" s="130"/>
      <c r="Y91" s="130"/>
      <c r="Z91" s="130"/>
      <c r="AA91" s="130"/>
      <c r="AB91" s="130"/>
      <c r="AC91" s="130"/>
      <c r="AD91" s="130"/>
      <c r="AE91" s="130" t="str">
        <f ca="1">IF(B91="","",MAX(0,IFERROR(VLOOKUP(B91,Skills!$N$376:$AF$380,19,FALSE),0)))</f>
        <v/>
      </c>
      <c r="AF91" s="130"/>
      <c r="AG91" s="130"/>
      <c r="AH91" s="130"/>
      <c r="AI91" s="130"/>
      <c r="AJ91" s="130"/>
      <c r="AK91" s="130" t="str">
        <f ca="1">IF(B91="","",IFERROR(VLOOKUP(B91,Skills!$N$383:$AF$387,19,FALSE),0))</f>
        <v/>
      </c>
      <c r="AL91" s="130"/>
      <c r="AM91" s="130"/>
      <c r="AN91" s="130"/>
      <c r="AO91" s="130"/>
      <c r="AP91" s="130"/>
      <c r="AQ91" s="130"/>
      <c r="AR91" s="130" t="str">
        <f ca="1">IF(B91="","",(VLOOKUP(B91,Skills!$N$405:$S$440,6,FALSE)))</f>
        <v/>
      </c>
      <c r="AS91" s="130"/>
      <c r="AT91" s="130"/>
      <c r="AU91" s="130"/>
      <c r="AV91" s="130"/>
      <c r="AW91" s="130"/>
      <c r="AX91" s="130"/>
      <c r="AY91" s="130" t="str">
        <f ca="1">IF(B91="","",Calculations!$H$10)</f>
        <v/>
      </c>
      <c r="AZ91" s="130"/>
      <c r="BA91" s="130"/>
      <c r="BB91" s="130"/>
      <c r="BC91" s="130"/>
      <c r="BD91" s="130"/>
      <c r="BE91" s="130"/>
      <c r="BF91" s="130" t="str">
        <f ca="1">SUBSTITUTE(IFERROR(VLOOKUP(A91,Calculations!$ER$2:$ET$31,3,FALSE),""),"Restricted","Rest.")</f>
        <v/>
      </c>
      <c r="BG91" s="130"/>
      <c r="BH91" s="130"/>
      <c r="BI91" s="130"/>
      <c r="BJ91" s="130"/>
      <c r="BK91" s="130"/>
      <c r="BL91" s="130"/>
      <c r="BM91" s="130"/>
      <c r="BN91" s="130"/>
      <c r="BO91" s="130"/>
      <c r="BP91" s="130"/>
      <c r="BQ91" s="130"/>
      <c r="BR91" s="130"/>
      <c r="BS91" s="130"/>
      <c r="BT91" s="130" t="str">
        <f ca="1">IF(B91="","",((AR91)+(AY91)+(VLOOKUP(BF91,Charts!$BV$2:$BW$6,2,FALSE))+(BM91)&amp;"/"&amp;((AR91)+(AY91)+(VLOOKUP(BF91,Charts!$BV$2:$BW$6,2,FALSE))+(BM91)+($BJ$5*2))))</f>
        <v/>
      </c>
      <c r="BU91" s="130"/>
      <c r="BV91" s="130"/>
      <c r="BW91" s="130"/>
      <c r="BX91" s="130"/>
      <c r="BY91" s="130"/>
      <c r="BZ91" s="238"/>
      <c r="CB91" s="133" t="str">
        <f ca="1">Calculations!AN34</f>
        <v/>
      </c>
      <c r="CC91" s="134"/>
      <c r="CD91" s="134"/>
      <c r="CE91" s="134"/>
      <c r="CF91" s="134"/>
      <c r="CG91" s="134"/>
      <c r="CH91" s="134"/>
      <c r="CI91" s="134"/>
      <c r="CJ91" s="134"/>
      <c r="CK91" s="134"/>
      <c r="CL91" s="134"/>
      <c r="CM91" s="134"/>
      <c r="CN91" s="134"/>
      <c r="CO91" s="134"/>
      <c r="CP91" s="134"/>
      <c r="CQ91" s="134"/>
      <c r="CR91" s="134"/>
      <c r="CS91" s="134"/>
      <c r="CT91" s="134"/>
      <c r="CU91" s="134"/>
      <c r="CV91" s="134"/>
      <c r="CW91" s="134"/>
      <c r="CX91" s="134"/>
      <c r="CY91" s="134"/>
      <c r="CZ91" s="134"/>
      <c r="DA91" s="134"/>
      <c r="DB91" s="134"/>
      <c r="DC91" s="134"/>
      <c r="DD91" s="134"/>
      <c r="DE91" s="130" t="str">
        <f ca="1">Calculations!AO34</f>
        <v/>
      </c>
      <c r="DF91" s="130"/>
      <c r="DG91" s="130"/>
      <c r="DH91" s="130"/>
      <c r="DI91" s="130"/>
      <c r="DJ91" s="130"/>
      <c r="DK91" s="130"/>
      <c r="DL91" s="130"/>
      <c r="DM91" s="130"/>
      <c r="DN91" s="117"/>
      <c r="DO91" s="134" t="str">
        <f ca="1">Calculations!AN35</f>
        <v/>
      </c>
      <c r="DP91" s="134"/>
      <c r="DQ91" s="134"/>
      <c r="DR91" s="134"/>
      <c r="DS91" s="134"/>
      <c r="DT91" s="134"/>
      <c r="DU91" s="134"/>
      <c r="DV91" s="134"/>
      <c r="DW91" s="134"/>
      <c r="DX91" s="134"/>
      <c r="DY91" s="134"/>
      <c r="DZ91" s="134"/>
      <c r="EA91" s="134"/>
      <c r="EB91" s="134"/>
      <c r="EC91" s="134"/>
      <c r="ED91" s="134"/>
      <c r="EE91" s="134"/>
      <c r="EF91" s="134"/>
      <c r="EG91" s="134"/>
      <c r="EH91" s="134"/>
      <c r="EI91" s="134"/>
      <c r="EJ91" s="134"/>
      <c r="EK91" s="134"/>
      <c r="EL91" s="134"/>
      <c r="EM91" s="134"/>
      <c r="EN91" s="134"/>
      <c r="EO91" s="134"/>
      <c r="EP91" s="134"/>
      <c r="EQ91" s="134"/>
      <c r="ER91" s="130" t="str">
        <f ca="1">Calculations!AO35</f>
        <v/>
      </c>
      <c r="ES91" s="130"/>
      <c r="ET91" s="130"/>
      <c r="EU91" s="130"/>
      <c r="EV91" s="130"/>
      <c r="EW91" s="130"/>
      <c r="EX91" s="130"/>
      <c r="EY91" s="130"/>
      <c r="EZ91" s="238"/>
      <c r="FB91" s="139" t="s">
        <v>2484</v>
      </c>
      <c r="FC91" s="140"/>
      <c r="FD91" s="140"/>
      <c r="FE91" s="140"/>
      <c r="FF91" s="140"/>
      <c r="FG91" s="140"/>
      <c r="FH91" s="140"/>
      <c r="FI91" s="140"/>
      <c r="FJ91" s="140"/>
      <c r="FK91" s="140"/>
      <c r="FL91" s="140"/>
      <c r="FM91" s="140"/>
      <c r="FN91" s="140"/>
      <c r="FO91" s="140"/>
      <c r="FP91" s="140"/>
      <c r="FQ91" s="140"/>
      <c r="FR91" s="140"/>
      <c r="FS91" s="140"/>
      <c r="FT91" s="140"/>
      <c r="FU91" s="140"/>
      <c r="FV91" s="140"/>
      <c r="FW91" s="140"/>
      <c r="FX91" s="140"/>
      <c r="FY91" s="140"/>
      <c r="FZ91" s="140"/>
      <c r="GA91" s="140"/>
      <c r="GB91" s="140"/>
      <c r="GC91" s="140"/>
      <c r="GD91" s="140"/>
      <c r="GE91" s="140"/>
      <c r="GF91" s="140"/>
      <c r="GG91" s="140"/>
      <c r="GH91" s="140"/>
      <c r="GI91" s="140"/>
      <c r="GJ91" s="140"/>
      <c r="GK91" s="140"/>
      <c r="GL91" s="140"/>
      <c r="GM91" s="140"/>
      <c r="GN91" s="140"/>
      <c r="GO91" s="140"/>
      <c r="GP91" s="140"/>
      <c r="GQ91" s="140"/>
      <c r="GR91" s="140"/>
      <c r="GS91" s="140"/>
      <c r="GT91" s="141">
        <v>1</v>
      </c>
      <c r="GU91" s="141"/>
      <c r="GV91" s="141"/>
      <c r="GW91" s="141"/>
      <c r="GX91" s="141"/>
      <c r="GY91" s="141"/>
      <c r="GZ91" s="141"/>
      <c r="HA91" s="141"/>
      <c r="HB91" s="142">
        <f>IFERROR(ROUND(Calculations!BV92*GT91,2),"")</f>
        <v>2.5</v>
      </c>
      <c r="HC91" s="142"/>
      <c r="HD91" s="142"/>
      <c r="HE91" s="142"/>
      <c r="HF91" s="142"/>
      <c r="HG91" s="142"/>
      <c r="HH91" s="142"/>
      <c r="HI91" s="142"/>
      <c r="HJ91" s="142">
        <f>IFERROR(Calculations!BS92+IQ91+IX91,"")</f>
        <v>40</v>
      </c>
      <c r="HK91" s="142"/>
      <c r="HL91" s="142"/>
      <c r="HM91" s="142"/>
      <c r="HN91" s="142"/>
      <c r="HO91" s="142"/>
      <c r="HP91" s="142"/>
      <c r="HQ91" s="142"/>
      <c r="HR91" s="142">
        <f t="shared" si="27"/>
        <v>0</v>
      </c>
      <c r="HS91" s="142"/>
      <c r="HT91" s="142"/>
      <c r="HU91" s="142"/>
      <c r="HV91" s="142"/>
      <c r="HW91" s="142"/>
      <c r="HX91" s="142"/>
      <c r="HY91" s="142"/>
      <c r="HZ91" s="142" t="str">
        <f>IFERROR(Calculations!BX92,"")</f>
        <v>$2</v>
      </c>
      <c r="IA91" s="142"/>
      <c r="IB91" s="142"/>
      <c r="IC91" s="142"/>
      <c r="ID91" s="142"/>
      <c r="IE91" s="142"/>
      <c r="IF91" s="142"/>
      <c r="IG91" s="142"/>
      <c r="IH91" s="142"/>
      <c r="II91" s="142"/>
      <c r="IJ91" s="142">
        <f>IFERROR(Calculations!BR92+IX91,"")</f>
        <v>0</v>
      </c>
      <c r="IK91" s="142"/>
      <c r="IL91" s="142"/>
      <c r="IM91" s="142"/>
      <c r="IN91" s="142"/>
      <c r="IO91" s="142"/>
      <c r="IP91" s="142"/>
      <c r="IQ91" s="141">
        <v>0</v>
      </c>
      <c r="IR91" s="141"/>
      <c r="IS91" s="141"/>
      <c r="IT91" s="141"/>
      <c r="IU91" s="141"/>
      <c r="IV91" s="141"/>
      <c r="IW91" s="141"/>
      <c r="IX91" s="141">
        <v>0</v>
      </c>
      <c r="IY91" s="141"/>
      <c r="IZ91" s="141"/>
      <c r="JA91" s="141"/>
      <c r="JB91" s="141"/>
      <c r="JC91" s="141"/>
      <c r="JD91" s="141"/>
      <c r="JE91" s="141"/>
      <c r="JF91" s="142"/>
      <c r="JG91" s="142"/>
      <c r="JH91" s="142"/>
      <c r="JI91" s="142"/>
      <c r="JJ91" s="142"/>
      <c r="JK91" s="143" t="str">
        <f>Calculations!AS92</f>
        <v>Heavy Cloth</v>
      </c>
      <c r="JL91" s="143"/>
      <c r="JM91" s="143"/>
      <c r="JN91" s="143"/>
      <c r="JO91" s="143"/>
      <c r="JP91" s="143"/>
      <c r="JQ91" s="143"/>
      <c r="JR91" s="143"/>
      <c r="JS91" s="143"/>
      <c r="JT91" s="143"/>
      <c r="JU91" s="143"/>
      <c r="JV91" s="143"/>
      <c r="JW91" s="143"/>
      <c r="JX91" s="143"/>
      <c r="JY91" s="143"/>
      <c r="JZ91" s="143"/>
      <c r="KA91" s="143"/>
      <c r="KB91" s="143"/>
      <c r="KC91" s="143" t="str">
        <f>Calculations!AW92</f>
        <v>Light Cloth</v>
      </c>
      <c r="KD91" s="143"/>
      <c r="KE91" s="143"/>
      <c r="KF91" s="143"/>
      <c r="KG91" s="143"/>
      <c r="KH91" s="143"/>
      <c r="KI91" s="143"/>
      <c r="KJ91" s="143"/>
      <c r="KK91" s="143"/>
      <c r="KL91" s="143"/>
      <c r="KM91" s="143"/>
      <c r="KN91" s="143"/>
      <c r="KO91" s="143"/>
      <c r="KP91" s="143"/>
      <c r="KQ91" s="143"/>
      <c r="KR91" s="143"/>
      <c r="KS91" s="143"/>
      <c r="KT91" s="143"/>
      <c r="KU91" s="144"/>
      <c r="KV91" s="144"/>
      <c r="KW91" s="144"/>
      <c r="KX91" s="144"/>
      <c r="KY91" s="144"/>
      <c r="KZ91" s="144"/>
      <c r="LA91" s="144"/>
      <c r="LB91" s="144"/>
      <c r="LC91" s="144"/>
      <c r="LD91" s="144"/>
      <c r="LE91" s="144"/>
      <c r="LF91" s="144"/>
      <c r="LG91" s="144"/>
      <c r="LH91" s="144"/>
      <c r="LI91" s="144"/>
      <c r="LJ91" s="144"/>
      <c r="LK91" s="144"/>
      <c r="LL91" s="144"/>
      <c r="LM91" s="144"/>
      <c r="LN91" s="144"/>
      <c r="LO91" s="144"/>
      <c r="LP91" s="144"/>
      <c r="LQ91" s="144"/>
      <c r="LR91" s="144"/>
      <c r="LS91" s="144"/>
      <c r="LT91" s="144"/>
      <c r="LU91" s="144"/>
      <c r="LV91" s="144"/>
      <c r="LW91" s="144"/>
      <c r="LX91" s="144"/>
      <c r="LY91" s="144"/>
      <c r="LZ91" s="144"/>
      <c r="MA91" s="144"/>
      <c r="MB91" s="144"/>
      <c r="MC91" s="144"/>
      <c r="MD91" s="144"/>
      <c r="ME91" s="144"/>
      <c r="MF91" s="144"/>
      <c r="MG91" s="144"/>
      <c r="MH91" s="144"/>
      <c r="MI91" s="144"/>
      <c r="MJ91" s="144"/>
      <c r="MK91" s="144"/>
      <c r="ML91" s="144"/>
      <c r="MM91" s="144"/>
      <c r="MN91" s="144"/>
      <c r="MO91" s="144"/>
      <c r="MP91" s="144"/>
      <c r="MQ91" s="144"/>
      <c r="MR91" s="144"/>
      <c r="MS91" s="144"/>
      <c r="MT91" s="144"/>
      <c r="MU91" s="144"/>
      <c r="MV91" s="144"/>
      <c r="MW91" s="144"/>
      <c r="MX91" s="144"/>
      <c r="MY91" s="144"/>
      <c r="MZ91" s="145"/>
    </row>
    <row r="92" spans="1:364 1682:1774" ht="15" customHeight="1" x14ac:dyDescent="0.25">
      <c r="A92" s="2">
        <v>12</v>
      </c>
      <c r="B92" s="135" t="str">
        <f ca="1">IFERROR(VLOOKUP(A92,Calculations!$ER$2:$ET$31,2,FALSE),"")</f>
        <v/>
      </c>
      <c r="C92" s="136"/>
      <c r="D92" s="136"/>
      <c r="E92" s="136"/>
      <c r="F92" s="136"/>
      <c r="G92" s="136"/>
      <c r="H92" s="136"/>
      <c r="I92" s="136"/>
      <c r="J92" s="136"/>
      <c r="K92" s="136"/>
      <c r="L92" s="136"/>
      <c r="M92" s="136"/>
      <c r="N92" s="136"/>
      <c r="O92" s="136"/>
      <c r="P92" s="136"/>
      <c r="Q92" s="136"/>
      <c r="R92" s="136"/>
      <c r="S92" s="136"/>
      <c r="T92" s="136"/>
      <c r="U92" s="136"/>
      <c r="V92" s="136"/>
      <c r="W92" s="131" t="str">
        <f ca="1">IFERROR(VLOOKUP(B92,Skills!$N$405:$AF$440,19,FALSE),"")</f>
        <v/>
      </c>
      <c r="X92" s="131"/>
      <c r="Y92" s="131"/>
      <c r="Z92" s="131"/>
      <c r="AA92" s="131"/>
      <c r="AB92" s="131"/>
      <c r="AC92" s="131"/>
      <c r="AD92" s="131"/>
      <c r="AE92" s="131" t="str">
        <f ca="1">IF(B92="","",MAX(0,IFERROR(VLOOKUP(B92,Skills!$N$376:$AF$380,19,FALSE),0)))</f>
        <v/>
      </c>
      <c r="AF92" s="131"/>
      <c r="AG92" s="131"/>
      <c r="AH92" s="131"/>
      <c r="AI92" s="131"/>
      <c r="AJ92" s="131"/>
      <c r="AK92" s="131" t="str">
        <f ca="1">IF(B92="","",IFERROR(VLOOKUP(B92,Skills!$N$383:$AF$387,19,FALSE),0))</f>
        <v/>
      </c>
      <c r="AL92" s="131"/>
      <c r="AM92" s="131"/>
      <c r="AN92" s="131"/>
      <c r="AO92" s="131"/>
      <c r="AP92" s="131"/>
      <c r="AQ92" s="131"/>
      <c r="AR92" s="131" t="str">
        <f ca="1">IF(B92="","",(VLOOKUP(B92,Skills!$N$405:$S$440,6,FALSE)))</f>
        <v/>
      </c>
      <c r="AS92" s="131"/>
      <c r="AT92" s="131"/>
      <c r="AU92" s="131"/>
      <c r="AV92" s="131"/>
      <c r="AW92" s="131"/>
      <c r="AX92" s="131"/>
      <c r="AY92" s="131" t="str">
        <f ca="1">IF(B92="","",Calculations!$H$10)</f>
        <v/>
      </c>
      <c r="AZ92" s="131"/>
      <c r="BA92" s="131"/>
      <c r="BB92" s="131"/>
      <c r="BC92" s="131"/>
      <c r="BD92" s="131"/>
      <c r="BE92" s="131"/>
      <c r="BF92" s="131" t="str">
        <f ca="1">SUBSTITUTE(IFERROR(VLOOKUP(A92,Calculations!$ER$2:$ET$31,3,FALSE),""),"Restricted","Rest.")</f>
        <v/>
      </c>
      <c r="BG92" s="131"/>
      <c r="BH92" s="131"/>
      <c r="BI92" s="131"/>
      <c r="BJ92" s="131"/>
      <c r="BK92" s="131"/>
      <c r="BL92" s="131"/>
      <c r="BM92" s="131"/>
      <c r="BN92" s="131"/>
      <c r="BO92" s="131"/>
      <c r="BP92" s="131"/>
      <c r="BQ92" s="131"/>
      <c r="BR92" s="131"/>
      <c r="BS92" s="131"/>
      <c r="BT92" s="131" t="str">
        <f ca="1">IF(B92="","",((AR92)+(AY92)+(VLOOKUP(BF92,Charts!$BV$2:$BW$6,2,FALSE))+(BM92)&amp;"/"&amp;((AR92)+(AY92)+(VLOOKUP(BF92,Charts!$BV$2:$BW$6,2,FALSE))+(BM92)+($BJ$5*2))))</f>
        <v/>
      </c>
      <c r="BU92" s="131"/>
      <c r="BV92" s="131"/>
      <c r="BW92" s="131"/>
      <c r="BX92" s="131"/>
      <c r="BY92" s="131"/>
      <c r="BZ92" s="239"/>
      <c r="CB92" s="135" t="str">
        <f ca="1">Calculations!AN35</f>
        <v/>
      </c>
      <c r="CC92" s="136"/>
      <c r="CD92" s="136"/>
      <c r="CE92" s="136"/>
      <c r="CF92" s="136"/>
      <c r="CG92" s="136"/>
      <c r="CH92" s="136"/>
      <c r="CI92" s="136"/>
      <c r="CJ92" s="136"/>
      <c r="CK92" s="136"/>
      <c r="CL92" s="136"/>
      <c r="CM92" s="136"/>
      <c r="CN92" s="136"/>
      <c r="CO92" s="136"/>
      <c r="CP92" s="136"/>
      <c r="CQ92" s="136"/>
      <c r="CR92" s="136"/>
      <c r="CS92" s="136"/>
      <c r="CT92" s="136"/>
      <c r="CU92" s="136"/>
      <c r="CV92" s="136"/>
      <c r="CW92" s="136"/>
      <c r="CX92" s="136"/>
      <c r="CY92" s="136"/>
      <c r="CZ92" s="136"/>
      <c r="DA92" s="136"/>
      <c r="DB92" s="136"/>
      <c r="DC92" s="136"/>
      <c r="DD92" s="136"/>
      <c r="DE92" s="131" t="str">
        <f ca="1">Calculations!AO35</f>
        <v/>
      </c>
      <c r="DF92" s="131"/>
      <c r="DG92" s="131"/>
      <c r="DH92" s="131"/>
      <c r="DI92" s="131"/>
      <c r="DJ92" s="131"/>
      <c r="DK92" s="131"/>
      <c r="DL92" s="131"/>
      <c r="DM92" s="131"/>
      <c r="DN92" s="116"/>
      <c r="DO92" s="136" t="str">
        <f ca="1">Calculations!AN36</f>
        <v/>
      </c>
      <c r="DP92" s="136"/>
      <c r="DQ92" s="136"/>
      <c r="DR92" s="136"/>
      <c r="DS92" s="136"/>
      <c r="DT92" s="136"/>
      <c r="DU92" s="136"/>
      <c r="DV92" s="136"/>
      <c r="DW92" s="136"/>
      <c r="DX92" s="136"/>
      <c r="DY92" s="136"/>
      <c r="DZ92" s="136"/>
      <c r="EA92" s="136"/>
      <c r="EB92" s="136"/>
      <c r="EC92" s="136"/>
      <c r="ED92" s="136"/>
      <c r="EE92" s="136"/>
      <c r="EF92" s="136"/>
      <c r="EG92" s="136"/>
      <c r="EH92" s="136"/>
      <c r="EI92" s="136"/>
      <c r="EJ92" s="136"/>
      <c r="EK92" s="136"/>
      <c r="EL92" s="136"/>
      <c r="EM92" s="136"/>
      <c r="EN92" s="136"/>
      <c r="EO92" s="136"/>
      <c r="EP92" s="136"/>
      <c r="EQ92" s="136"/>
      <c r="ER92" s="131" t="str">
        <f ca="1">Calculations!AO36</f>
        <v/>
      </c>
      <c r="ES92" s="131"/>
      <c r="ET92" s="131"/>
      <c r="EU92" s="131"/>
      <c r="EV92" s="131"/>
      <c r="EW92" s="131"/>
      <c r="EX92" s="131"/>
      <c r="EY92" s="131"/>
      <c r="EZ92" s="239"/>
      <c r="FB92" s="139" t="s">
        <v>2444</v>
      </c>
      <c r="FC92" s="140"/>
      <c r="FD92" s="140"/>
      <c r="FE92" s="140"/>
      <c r="FF92" s="140"/>
      <c r="FG92" s="140"/>
      <c r="FH92" s="140"/>
      <c r="FI92" s="140"/>
      <c r="FJ92" s="140"/>
      <c r="FK92" s="140"/>
      <c r="FL92" s="140"/>
      <c r="FM92" s="140"/>
      <c r="FN92" s="140"/>
      <c r="FO92" s="140"/>
      <c r="FP92" s="140"/>
      <c r="FQ92" s="140"/>
      <c r="FR92" s="140"/>
      <c r="FS92" s="140"/>
      <c r="FT92" s="140"/>
      <c r="FU92" s="140"/>
      <c r="FV92" s="140"/>
      <c r="FW92" s="140"/>
      <c r="FX92" s="140"/>
      <c r="FY92" s="140"/>
      <c r="FZ92" s="140"/>
      <c r="GA92" s="140"/>
      <c r="GB92" s="140"/>
      <c r="GC92" s="140"/>
      <c r="GD92" s="140"/>
      <c r="GE92" s="140"/>
      <c r="GF92" s="140"/>
      <c r="GG92" s="140"/>
      <c r="GH92" s="140"/>
      <c r="GI92" s="140"/>
      <c r="GJ92" s="140"/>
      <c r="GK92" s="140"/>
      <c r="GL92" s="140"/>
      <c r="GM92" s="140"/>
      <c r="GN92" s="140"/>
      <c r="GO92" s="140"/>
      <c r="GP92" s="140"/>
      <c r="GQ92" s="140"/>
      <c r="GR92" s="140"/>
      <c r="GS92" s="140"/>
      <c r="GT92" s="141">
        <v>16</v>
      </c>
      <c r="GU92" s="141"/>
      <c r="GV92" s="141"/>
      <c r="GW92" s="141"/>
      <c r="GX92" s="141"/>
      <c r="GY92" s="141"/>
      <c r="GZ92" s="141"/>
      <c r="HA92" s="141"/>
      <c r="HB92" s="142">
        <f>IFERROR(ROUND(Calculations!BV93*GT92,2),"")</f>
        <v>1.92</v>
      </c>
      <c r="HC92" s="142"/>
      <c r="HD92" s="142"/>
      <c r="HE92" s="142"/>
      <c r="HF92" s="142"/>
      <c r="HG92" s="142"/>
      <c r="HH92" s="142"/>
      <c r="HI92" s="142"/>
      <c r="HJ92" s="142">
        <f>IFERROR(Calculations!BS93+IQ92+IX92,"")</f>
        <v>70</v>
      </c>
      <c r="HK92" s="142"/>
      <c r="HL92" s="142"/>
      <c r="HM92" s="142"/>
      <c r="HN92" s="142"/>
      <c r="HO92" s="142"/>
      <c r="HP92" s="142"/>
      <c r="HQ92" s="142"/>
      <c r="HR92" s="142">
        <f t="shared" si="27"/>
        <v>0</v>
      </c>
      <c r="HS92" s="142"/>
      <c r="HT92" s="142"/>
      <c r="HU92" s="142"/>
      <c r="HV92" s="142"/>
      <c r="HW92" s="142"/>
      <c r="HX92" s="142"/>
      <c r="HY92" s="142"/>
      <c r="HZ92" s="142" t="str">
        <f>IFERROR(Calculations!BX93,"")</f>
        <v>$0.01</v>
      </c>
      <c r="IA92" s="142"/>
      <c r="IB92" s="142"/>
      <c r="IC92" s="142"/>
      <c r="ID92" s="142"/>
      <c r="IE92" s="142"/>
      <c r="IF92" s="142"/>
      <c r="IG92" s="142"/>
      <c r="IH92" s="142"/>
      <c r="II92" s="142"/>
      <c r="IJ92" s="142">
        <f>IFERROR(Calculations!BR93+IX92,"")</f>
        <v>0</v>
      </c>
      <c r="IK92" s="142"/>
      <c r="IL92" s="142"/>
      <c r="IM92" s="142"/>
      <c r="IN92" s="142"/>
      <c r="IO92" s="142"/>
      <c r="IP92" s="142"/>
      <c r="IQ92" s="141">
        <v>0</v>
      </c>
      <c r="IR92" s="141"/>
      <c r="IS92" s="141"/>
      <c r="IT92" s="141"/>
      <c r="IU92" s="141"/>
      <c r="IV92" s="141"/>
      <c r="IW92" s="141"/>
      <c r="IX92" s="141">
        <v>0</v>
      </c>
      <c r="IY92" s="141"/>
      <c r="IZ92" s="141"/>
      <c r="JA92" s="141"/>
      <c r="JB92" s="141"/>
      <c r="JC92" s="141"/>
      <c r="JD92" s="141"/>
      <c r="JE92" s="141"/>
      <c r="JF92" s="142"/>
      <c r="JG92" s="142"/>
      <c r="JH92" s="142"/>
      <c r="JI92" s="142"/>
      <c r="JJ92" s="142"/>
      <c r="JK92" s="143" t="str">
        <f>Calculations!AS93</f>
        <v>Light Cloth</v>
      </c>
      <c r="JL92" s="143"/>
      <c r="JM92" s="143"/>
      <c r="JN92" s="143"/>
      <c r="JO92" s="143"/>
      <c r="JP92" s="143"/>
      <c r="JQ92" s="143"/>
      <c r="JR92" s="143"/>
      <c r="JS92" s="143"/>
      <c r="JT92" s="143"/>
      <c r="JU92" s="143"/>
      <c r="JV92" s="143"/>
      <c r="JW92" s="143"/>
      <c r="JX92" s="143"/>
      <c r="JY92" s="143"/>
      <c r="JZ92" s="143"/>
      <c r="KA92" s="143"/>
      <c r="KB92" s="143"/>
      <c r="KC92" s="143" t="str">
        <f>Calculations!AW93</f>
        <v>Light Cloth</v>
      </c>
      <c r="KD92" s="143"/>
      <c r="KE92" s="143"/>
      <c r="KF92" s="143"/>
      <c r="KG92" s="143"/>
      <c r="KH92" s="143"/>
      <c r="KI92" s="143"/>
      <c r="KJ92" s="143"/>
      <c r="KK92" s="143"/>
      <c r="KL92" s="143"/>
      <c r="KM92" s="143"/>
      <c r="KN92" s="143"/>
      <c r="KO92" s="143"/>
      <c r="KP92" s="143"/>
      <c r="KQ92" s="143"/>
      <c r="KR92" s="143"/>
      <c r="KS92" s="143"/>
      <c r="KT92" s="143"/>
      <c r="KU92" s="144"/>
      <c r="KV92" s="144"/>
      <c r="KW92" s="144"/>
      <c r="KX92" s="144"/>
      <c r="KY92" s="144"/>
      <c r="KZ92" s="144"/>
      <c r="LA92" s="144"/>
      <c r="LB92" s="144"/>
      <c r="LC92" s="144"/>
      <c r="LD92" s="144"/>
      <c r="LE92" s="144"/>
      <c r="LF92" s="144"/>
      <c r="LG92" s="144"/>
      <c r="LH92" s="144"/>
      <c r="LI92" s="144"/>
      <c r="LJ92" s="144"/>
      <c r="LK92" s="144"/>
      <c r="LL92" s="144"/>
      <c r="LM92" s="144"/>
      <c r="LN92" s="144"/>
      <c r="LO92" s="144"/>
      <c r="LP92" s="144"/>
      <c r="LQ92" s="144"/>
      <c r="LR92" s="144"/>
      <c r="LS92" s="144"/>
      <c r="LT92" s="144"/>
      <c r="LU92" s="144"/>
      <c r="LV92" s="144"/>
      <c r="LW92" s="144"/>
      <c r="LX92" s="144"/>
      <c r="LY92" s="144"/>
      <c r="LZ92" s="144"/>
      <c r="MA92" s="144"/>
      <c r="MB92" s="144"/>
      <c r="MC92" s="144"/>
      <c r="MD92" s="144"/>
      <c r="ME92" s="144"/>
      <c r="MF92" s="144"/>
      <c r="MG92" s="144"/>
      <c r="MH92" s="144"/>
      <c r="MI92" s="144"/>
      <c r="MJ92" s="144"/>
      <c r="MK92" s="144"/>
      <c r="ML92" s="144"/>
      <c r="MM92" s="144"/>
      <c r="MN92" s="144"/>
      <c r="MO92" s="144"/>
      <c r="MP92" s="144"/>
      <c r="MQ92" s="144"/>
      <c r="MR92" s="144"/>
      <c r="MS92" s="144"/>
      <c r="MT92" s="144"/>
      <c r="MU92" s="144"/>
      <c r="MV92" s="144"/>
      <c r="MW92" s="144"/>
      <c r="MX92" s="144"/>
      <c r="MY92" s="144"/>
      <c r="MZ92" s="145"/>
    </row>
    <row r="93" spans="1:364 1682:1774" ht="15" customHeight="1" x14ac:dyDescent="0.25">
      <c r="A93" s="2">
        <v>13</v>
      </c>
      <c r="B93" s="133" t="str">
        <f ca="1">IFERROR(VLOOKUP(A93,Calculations!$ER$2:$ET$31,2,FALSE),"")</f>
        <v/>
      </c>
      <c r="C93" s="134"/>
      <c r="D93" s="134"/>
      <c r="E93" s="134"/>
      <c r="F93" s="134"/>
      <c r="G93" s="134"/>
      <c r="H93" s="134"/>
      <c r="I93" s="134"/>
      <c r="J93" s="134"/>
      <c r="K93" s="134"/>
      <c r="L93" s="134"/>
      <c r="M93" s="134"/>
      <c r="N93" s="134"/>
      <c r="O93" s="134"/>
      <c r="P93" s="134"/>
      <c r="Q93" s="134"/>
      <c r="R93" s="134"/>
      <c r="S93" s="134"/>
      <c r="T93" s="134"/>
      <c r="U93" s="134"/>
      <c r="V93" s="134"/>
      <c r="W93" s="130" t="str">
        <f ca="1">IFERROR(VLOOKUP(B93,Skills!$N$405:$AF$440,19,FALSE),"")</f>
        <v/>
      </c>
      <c r="X93" s="130"/>
      <c r="Y93" s="130"/>
      <c r="Z93" s="130"/>
      <c r="AA93" s="130"/>
      <c r="AB93" s="130"/>
      <c r="AC93" s="130"/>
      <c r="AD93" s="130"/>
      <c r="AE93" s="130" t="str">
        <f ca="1">IF(B93="","",MAX(0,IFERROR(VLOOKUP(B93,Skills!$N$376:$AF$380,19,FALSE),0)))</f>
        <v/>
      </c>
      <c r="AF93" s="130"/>
      <c r="AG93" s="130"/>
      <c r="AH93" s="130"/>
      <c r="AI93" s="130"/>
      <c r="AJ93" s="130"/>
      <c r="AK93" s="130" t="str">
        <f ca="1">IF(B93="","",IFERROR(VLOOKUP(B93,Skills!$N$383:$AF$387,19,FALSE),0))</f>
        <v/>
      </c>
      <c r="AL93" s="130"/>
      <c r="AM93" s="130"/>
      <c r="AN93" s="130"/>
      <c r="AO93" s="130"/>
      <c r="AP93" s="130"/>
      <c r="AQ93" s="130"/>
      <c r="AR93" s="130" t="str">
        <f ca="1">IF(B93="","",(VLOOKUP(B93,Skills!$N$405:$S$440,6,FALSE)))</f>
        <v/>
      </c>
      <c r="AS93" s="130"/>
      <c r="AT93" s="130"/>
      <c r="AU93" s="130"/>
      <c r="AV93" s="130"/>
      <c r="AW93" s="130"/>
      <c r="AX93" s="130"/>
      <c r="AY93" s="130" t="str">
        <f ca="1">IF(B93="","",Calculations!$H$10)</f>
        <v/>
      </c>
      <c r="AZ93" s="130"/>
      <c r="BA93" s="130"/>
      <c r="BB93" s="130"/>
      <c r="BC93" s="130"/>
      <c r="BD93" s="130"/>
      <c r="BE93" s="130"/>
      <c r="BF93" s="130" t="str">
        <f ca="1">SUBSTITUTE(IFERROR(VLOOKUP(A93,Calculations!$ER$2:$ET$31,3,FALSE),""),"Restricted","Rest.")</f>
        <v/>
      </c>
      <c r="BG93" s="130"/>
      <c r="BH93" s="130"/>
      <c r="BI93" s="130"/>
      <c r="BJ93" s="130"/>
      <c r="BK93" s="130"/>
      <c r="BL93" s="130"/>
      <c r="BM93" s="130"/>
      <c r="BN93" s="130"/>
      <c r="BO93" s="130"/>
      <c r="BP93" s="130"/>
      <c r="BQ93" s="130"/>
      <c r="BR93" s="130"/>
      <c r="BS93" s="130"/>
      <c r="BT93" s="130" t="str">
        <f ca="1">IF(B93="","",((AR93)+(AY93)+(VLOOKUP(BF93,Charts!$BV$2:$BW$6,2,FALSE))+(BM93)&amp;"/"&amp;((AR93)+(AY93)+(VLOOKUP(BF93,Charts!$BV$2:$BW$6,2,FALSE))+(BM93)+($BJ$5*2))))</f>
        <v/>
      </c>
      <c r="BU93" s="130"/>
      <c r="BV93" s="130"/>
      <c r="BW93" s="130"/>
      <c r="BX93" s="130"/>
      <c r="BY93" s="130"/>
      <c r="BZ93" s="238"/>
      <c r="CB93" s="133" t="str">
        <f ca="1">Calculations!AN37</f>
        <v/>
      </c>
      <c r="CC93" s="134"/>
      <c r="CD93" s="134"/>
      <c r="CE93" s="134"/>
      <c r="CF93" s="134"/>
      <c r="CG93" s="134"/>
      <c r="CH93" s="134"/>
      <c r="CI93" s="134"/>
      <c r="CJ93" s="134"/>
      <c r="CK93" s="134"/>
      <c r="CL93" s="134"/>
      <c r="CM93" s="134"/>
      <c r="CN93" s="134"/>
      <c r="CO93" s="134"/>
      <c r="CP93" s="134"/>
      <c r="CQ93" s="134"/>
      <c r="CR93" s="134"/>
      <c r="CS93" s="134"/>
      <c r="CT93" s="134"/>
      <c r="CU93" s="134"/>
      <c r="CV93" s="134"/>
      <c r="CW93" s="134"/>
      <c r="CX93" s="134"/>
      <c r="CY93" s="134"/>
      <c r="CZ93" s="134"/>
      <c r="DA93" s="134"/>
      <c r="DB93" s="134"/>
      <c r="DC93" s="134"/>
      <c r="DD93" s="134"/>
      <c r="DE93" s="130" t="str">
        <f ca="1">Calculations!AO37</f>
        <v/>
      </c>
      <c r="DF93" s="130"/>
      <c r="DG93" s="130"/>
      <c r="DH93" s="130"/>
      <c r="DI93" s="130"/>
      <c r="DJ93" s="130"/>
      <c r="DK93" s="130"/>
      <c r="DL93" s="130"/>
      <c r="DM93" s="130"/>
      <c r="DN93" s="117"/>
      <c r="DO93" s="134" t="str">
        <f ca="1">Calculations!AN38</f>
        <v/>
      </c>
      <c r="DP93" s="134"/>
      <c r="DQ93" s="134"/>
      <c r="DR93" s="134"/>
      <c r="DS93" s="134"/>
      <c r="DT93" s="134"/>
      <c r="DU93" s="134"/>
      <c r="DV93" s="134"/>
      <c r="DW93" s="134"/>
      <c r="DX93" s="134"/>
      <c r="DY93" s="134"/>
      <c r="DZ93" s="134"/>
      <c r="EA93" s="134"/>
      <c r="EB93" s="134"/>
      <c r="EC93" s="134"/>
      <c r="ED93" s="134"/>
      <c r="EE93" s="134"/>
      <c r="EF93" s="134"/>
      <c r="EG93" s="134"/>
      <c r="EH93" s="134"/>
      <c r="EI93" s="134"/>
      <c r="EJ93" s="134"/>
      <c r="EK93" s="134"/>
      <c r="EL93" s="134"/>
      <c r="EM93" s="134"/>
      <c r="EN93" s="134"/>
      <c r="EO93" s="134"/>
      <c r="EP93" s="134"/>
      <c r="EQ93" s="134"/>
      <c r="ER93" s="130" t="str">
        <f ca="1">Calculations!AO38</f>
        <v/>
      </c>
      <c r="ES93" s="130"/>
      <c r="ET93" s="130"/>
      <c r="EU93" s="130"/>
      <c r="EV93" s="130"/>
      <c r="EW93" s="130"/>
      <c r="EX93" s="130"/>
      <c r="EY93" s="130"/>
      <c r="EZ93" s="238"/>
      <c r="FB93" s="139" t="s">
        <v>2460</v>
      </c>
      <c r="FC93" s="140"/>
      <c r="FD93" s="140"/>
      <c r="FE93" s="140"/>
      <c r="FF93" s="140"/>
      <c r="FG93" s="140"/>
      <c r="FH93" s="140"/>
      <c r="FI93" s="140"/>
      <c r="FJ93" s="140"/>
      <c r="FK93" s="140"/>
      <c r="FL93" s="140"/>
      <c r="FM93" s="140"/>
      <c r="FN93" s="140"/>
      <c r="FO93" s="140"/>
      <c r="FP93" s="140"/>
      <c r="FQ93" s="140"/>
      <c r="FR93" s="140"/>
      <c r="FS93" s="140"/>
      <c r="FT93" s="140"/>
      <c r="FU93" s="140"/>
      <c r="FV93" s="140"/>
      <c r="FW93" s="140"/>
      <c r="FX93" s="140"/>
      <c r="FY93" s="140"/>
      <c r="FZ93" s="140"/>
      <c r="GA93" s="140"/>
      <c r="GB93" s="140"/>
      <c r="GC93" s="140"/>
      <c r="GD93" s="140"/>
      <c r="GE93" s="140"/>
      <c r="GF93" s="140"/>
      <c r="GG93" s="140"/>
      <c r="GH93" s="140"/>
      <c r="GI93" s="140"/>
      <c r="GJ93" s="140"/>
      <c r="GK93" s="140"/>
      <c r="GL93" s="140"/>
      <c r="GM93" s="140"/>
      <c r="GN93" s="140"/>
      <c r="GO93" s="140"/>
      <c r="GP93" s="140"/>
      <c r="GQ93" s="140"/>
      <c r="GR93" s="140"/>
      <c r="GS93" s="140"/>
      <c r="GT93" s="141">
        <v>1</v>
      </c>
      <c r="GU93" s="141"/>
      <c r="GV93" s="141"/>
      <c r="GW93" s="141"/>
      <c r="GX93" s="141"/>
      <c r="GY93" s="141"/>
      <c r="GZ93" s="141"/>
      <c r="HA93" s="141"/>
      <c r="HB93" s="142">
        <f>IFERROR(ROUND(Calculations!BV94*GT93,2),"")</f>
        <v>0.25</v>
      </c>
      <c r="HC93" s="142"/>
      <c r="HD93" s="142"/>
      <c r="HE93" s="142"/>
      <c r="HF93" s="142"/>
      <c r="HG93" s="142"/>
      <c r="HH93" s="142"/>
      <c r="HI93" s="142"/>
      <c r="HJ93" s="142">
        <f>IFERROR(Calculations!BS94+IQ93+IX93,"")</f>
        <v>60</v>
      </c>
      <c r="HK93" s="142"/>
      <c r="HL93" s="142"/>
      <c r="HM93" s="142"/>
      <c r="HN93" s="142"/>
      <c r="HO93" s="142"/>
      <c r="HP93" s="142"/>
      <c r="HQ93" s="142"/>
      <c r="HR93" s="142">
        <f t="shared" si="27"/>
        <v>0</v>
      </c>
      <c r="HS93" s="142"/>
      <c r="HT93" s="142"/>
      <c r="HU93" s="142"/>
      <c r="HV93" s="142"/>
      <c r="HW93" s="142"/>
      <c r="HX93" s="142"/>
      <c r="HY93" s="142"/>
      <c r="HZ93" s="142" t="str">
        <f>IFERROR(Calculations!BX94,"")</f>
        <v>$0.26</v>
      </c>
      <c r="IA93" s="142"/>
      <c r="IB93" s="142"/>
      <c r="IC93" s="142"/>
      <c r="ID93" s="142"/>
      <c r="IE93" s="142"/>
      <c r="IF93" s="142"/>
      <c r="IG93" s="142"/>
      <c r="IH93" s="142"/>
      <c r="II93" s="142"/>
      <c r="IJ93" s="142">
        <f>IFERROR(Calculations!BR94+IX93,"")</f>
        <v>0</v>
      </c>
      <c r="IK93" s="142"/>
      <c r="IL93" s="142"/>
      <c r="IM93" s="142"/>
      <c r="IN93" s="142"/>
      <c r="IO93" s="142"/>
      <c r="IP93" s="142"/>
      <c r="IQ93" s="141">
        <v>0</v>
      </c>
      <c r="IR93" s="141"/>
      <c r="IS93" s="141"/>
      <c r="IT93" s="141"/>
      <c r="IU93" s="141"/>
      <c r="IV93" s="141"/>
      <c r="IW93" s="141"/>
      <c r="IX93" s="141">
        <v>0</v>
      </c>
      <c r="IY93" s="141"/>
      <c r="IZ93" s="141"/>
      <c r="JA93" s="141"/>
      <c r="JB93" s="141"/>
      <c r="JC93" s="141"/>
      <c r="JD93" s="141"/>
      <c r="JE93" s="141"/>
      <c r="JF93" s="142"/>
      <c r="JG93" s="142"/>
      <c r="JH93" s="142"/>
      <c r="JI93" s="142"/>
      <c r="JJ93" s="142"/>
      <c r="JK93" s="143" t="str">
        <f>Calculations!AS94</f>
        <v>Low Steel</v>
      </c>
      <c r="JL93" s="143"/>
      <c r="JM93" s="143"/>
      <c r="JN93" s="143"/>
      <c r="JO93" s="143"/>
      <c r="JP93" s="143"/>
      <c r="JQ93" s="143"/>
      <c r="JR93" s="143"/>
      <c r="JS93" s="143"/>
      <c r="JT93" s="143"/>
      <c r="JU93" s="143"/>
      <c r="JV93" s="143"/>
      <c r="JW93" s="143"/>
      <c r="JX93" s="143"/>
      <c r="JY93" s="143"/>
      <c r="JZ93" s="143"/>
      <c r="KA93" s="143"/>
      <c r="KB93" s="143"/>
      <c r="KC93" s="143" t="str">
        <f>Calculations!AW94</f>
        <v>Ash</v>
      </c>
      <c r="KD93" s="143"/>
      <c r="KE93" s="143"/>
      <c r="KF93" s="143"/>
      <c r="KG93" s="143"/>
      <c r="KH93" s="143"/>
      <c r="KI93" s="143"/>
      <c r="KJ93" s="143"/>
      <c r="KK93" s="143"/>
      <c r="KL93" s="143"/>
      <c r="KM93" s="143"/>
      <c r="KN93" s="143"/>
      <c r="KO93" s="143"/>
      <c r="KP93" s="143"/>
      <c r="KQ93" s="143"/>
      <c r="KR93" s="143"/>
      <c r="KS93" s="143"/>
      <c r="KT93" s="143"/>
      <c r="KU93" s="144"/>
      <c r="KV93" s="144"/>
      <c r="KW93" s="144"/>
      <c r="KX93" s="144"/>
      <c r="KY93" s="144"/>
      <c r="KZ93" s="144"/>
      <c r="LA93" s="144"/>
      <c r="LB93" s="144"/>
      <c r="LC93" s="144"/>
      <c r="LD93" s="144"/>
      <c r="LE93" s="144"/>
      <c r="LF93" s="144"/>
      <c r="LG93" s="144"/>
      <c r="LH93" s="144"/>
      <c r="LI93" s="144"/>
      <c r="LJ93" s="144"/>
      <c r="LK93" s="144"/>
      <c r="LL93" s="144"/>
      <c r="LM93" s="144"/>
      <c r="LN93" s="144"/>
      <c r="LO93" s="144"/>
      <c r="LP93" s="144"/>
      <c r="LQ93" s="144"/>
      <c r="LR93" s="144"/>
      <c r="LS93" s="144"/>
      <c r="LT93" s="144"/>
      <c r="LU93" s="144"/>
      <c r="LV93" s="144"/>
      <c r="LW93" s="144"/>
      <c r="LX93" s="144"/>
      <c r="LY93" s="144"/>
      <c r="LZ93" s="144"/>
      <c r="MA93" s="144"/>
      <c r="MB93" s="144"/>
      <c r="MC93" s="144"/>
      <c r="MD93" s="144"/>
      <c r="ME93" s="144"/>
      <c r="MF93" s="144"/>
      <c r="MG93" s="144"/>
      <c r="MH93" s="144"/>
      <c r="MI93" s="144"/>
      <c r="MJ93" s="144"/>
      <c r="MK93" s="144"/>
      <c r="ML93" s="144"/>
      <c r="MM93" s="144"/>
      <c r="MN93" s="144"/>
      <c r="MO93" s="144"/>
      <c r="MP93" s="144"/>
      <c r="MQ93" s="144"/>
      <c r="MR93" s="144"/>
      <c r="MS93" s="144"/>
      <c r="MT93" s="144"/>
      <c r="MU93" s="144"/>
      <c r="MV93" s="144"/>
      <c r="MW93" s="144"/>
      <c r="MX93" s="144"/>
      <c r="MY93" s="144"/>
      <c r="MZ93" s="145"/>
    </row>
    <row r="94" spans="1:364 1682:1774" ht="15" customHeight="1" x14ac:dyDescent="0.25">
      <c r="A94" s="2">
        <v>14</v>
      </c>
      <c r="B94" s="135" t="str">
        <f ca="1">IFERROR(VLOOKUP(A94,Calculations!$ER$2:$ET$31,2,FALSE),"")</f>
        <v/>
      </c>
      <c r="C94" s="136"/>
      <c r="D94" s="136"/>
      <c r="E94" s="136"/>
      <c r="F94" s="136"/>
      <c r="G94" s="136"/>
      <c r="H94" s="136"/>
      <c r="I94" s="136"/>
      <c r="J94" s="136"/>
      <c r="K94" s="136"/>
      <c r="L94" s="136"/>
      <c r="M94" s="136"/>
      <c r="N94" s="136"/>
      <c r="O94" s="136"/>
      <c r="P94" s="136"/>
      <c r="Q94" s="136"/>
      <c r="R94" s="136"/>
      <c r="S94" s="136"/>
      <c r="T94" s="136"/>
      <c r="U94" s="136"/>
      <c r="V94" s="136"/>
      <c r="W94" s="131" t="str">
        <f ca="1">IFERROR(VLOOKUP(B94,Skills!$N$405:$AF$440,19,FALSE),"")</f>
        <v/>
      </c>
      <c r="X94" s="131"/>
      <c r="Y94" s="131"/>
      <c r="Z94" s="131"/>
      <c r="AA94" s="131"/>
      <c r="AB94" s="131"/>
      <c r="AC94" s="131"/>
      <c r="AD94" s="131"/>
      <c r="AE94" s="131" t="str">
        <f ca="1">IF(B94="","",MAX(0,IFERROR(VLOOKUP(B94,Skills!$N$376:$AF$380,19,FALSE),0)))</f>
        <v/>
      </c>
      <c r="AF94" s="131"/>
      <c r="AG94" s="131"/>
      <c r="AH94" s="131"/>
      <c r="AI94" s="131"/>
      <c r="AJ94" s="131"/>
      <c r="AK94" s="131" t="str">
        <f ca="1">IF(B94="","",IFERROR(VLOOKUP(B94,Skills!$N$383:$AF$387,19,FALSE),0))</f>
        <v/>
      </c>
      <c r="AL94" s="131"/>
      <c r="AM94" s="131"/>
      <c r="AN94" s="131"/>
      <c r="AO94" s="131"/>
      <c r="AP94" s="131"/>
      <c r="AQ94" s="131"/>
      <c r="AR94" s="131" t="str">
        <f ca="1">IF(B94="","",(VLOOKUP(B94,Skills!$N$405:$S$440,6,FALSE)))</f>
        <v/>
      </c>
      <c r="AS94" s="131"/>
      <c r="AT94" s="131"/>
      <c r="AU94" s="131"/>
      <c r="AV94" s="131"/>
      <c r="AW94" s="131"/>
      <c r="AX94" s="131"/>
      <c r="AY94" s="131" t="str">
        <f ca="1">IF(B94="","",Calculations!$H$10)</f>
        <v/>
      </c>
      <c r="AZ94" s="131"/>
      <c r="BA94" s="131"/>
      <c r="BB94" s="131"/>
      <c r="BC94" s="131"/>
      <c r="BD94" s="131"/>
      <c r="BE94" s="131"/>
      <c r="BF94" s="131" t="str">
        <f ca="1">SUBSTITUTE(IFERROR(VLOOKUP(A94,Calculations!$ER$2:$ET$31,3,FALSE),""),"Restricted","Rest.")</f>
        <v/>
      </c>
      <c r="BG94" s="131"/>
      <c r="BH94" s="131"/>
      <c r="BI94" s="131"/>
      <c r="BJ94" s="131"/>
      <c r="BK94" s="131"/>
      <c r="BL94" s="131"/>
      <c r="BM94" s="131"/>
      <c r="BN94" s="131"/>
      <c r="BO94" s="131"/>
      <c r="BP94" s="131"/>
      <c r="BQ94" s="131"/>
      <c r="BR94" s="131"/>
      <c r="BS94" s="131"/>
      <c r="BT94" s="131" t="str">
        <f ca="1">IF(B94="","",((AR94)+(AY94)+(VLOOKUP(BF94,Charts!$BV$2:$BW$6,2,FALSE))+(BM94)&amp;"/"&amp;((AR94)+(AY94)+(VLOOKUP(BF94,Charts!$BV$2:$BW$6,2,FALSE))+(BM94)+($BJ$5*2))))</f>
        <v/>
      </c>
      <c r="BU94" s="131"/>
      <c r="BV94" s="131"/>
      <c r="BW94" s="131"/>
      <c r="BX94" s="131"/>
      <c r="BY94" s="131"/>
      <c r="BZ94" s="239"/>
      <c r="CB94" s="135" t="str">
        <f ca="1">Calculations!AN39</f>
        <v/>
      </c>
      <c r="CC94" s="136"/>
      <c r="CD94" s="136"/>
      <c r="CE94" s="136"/>
      <c r="CF94" s="136"/>
      <c r="CG94" s="136"/>
      <c r="CH94" s="136"/>
      <c r="CI94" s="136"/>
      <c r="CJ94" s="136"/>
      <c r="CK94" s="136"/>
      <c r="CL94" s="136"/>
      <c r="CM94" s="136"/>
      <c r="CN94" s="136"/>
      <c r="CO94" s="136"/>
      <c r="CP94" s="136"/>
      <c r="CQ94" s="136"/>
      <c r="CR94" s="136"/>
      <c r="CS94" s="136"/>
      <c r="CT94" s="136"/>
      <c r="CU94" s="136"/>
      <c r="CV94" s="136"/>
      <c r="CW94" s="136"/>
      <c r="CX94" s="136"/>
      <c r="CY94" s="136"/>
      <c r="CZ94" s="136"/>
      <c r="DA94" s="136"/>
      <c r="DB94" s="136"/>
      <c r="DC94" s="136"/>
      <c r="DD94" s="136"/>
      <c r="DE94" s="131" t="str">
        <f ca="1">Calculations!AO39</f>
        <v/>
      </c>
      <c r="DF94" s="131"/>
      <c r="DG94" s="131"/>
      <c r="DH94" s="131"/>
      <c r="DI94" s="131"/>
      <c r="DJ94" s="131"/>
      <c r="DK94" s="131"/>
      <c r="DL94" s="131"/>
      <c r="DM94" s="131"/>
      <c r="DN94" s="116"/>
      <c r="DO94" s="136" t="str">
        <f ca="1">Calculations!AN40</f>
        <v/>
      </c>
      <c r="DP94" s="136"/>
      <c r="DQ94" s="136"/>
      <c r="DR94" s="136"/>
      <c r="DS94" s="136"/>
      <c r="DT94" s="136"/>
      <c r="DU94" s="136"/>
      <c r="DV94" s="136"/>
      <c r="DW94" s="136"/>
      <c r="DX94" s="136"/>
      <c r="DY94" s="136"/>
      <c r="DZ94" s="136"/>
      <c r="EA94" s="136"/>
      <c r="EB94" s="136"/>
      <c r="EC94" s="136"/>
      <c r="ED94" s="136"/>
      <c r="EE94" s="136"/>
      <c r="EF94" s="136"/>
      <c r="EG94" s="136"/>
      <c r="EH94" s="136"/>
      <c r="EI94" s="136"/>
      <c r="EJ94" s="136"/>
      <c r="EK94" s="136"/>
      <c r="EL94" s="136"/>
      <c r="EM94" s="136"/>
      <c r="EN94" s="136"/>
      <c r="EO94" s="136"/>
      <c r="EP94" s="136"/>
      <c r="EQ94" s="136"/>
      <c r="ER94" s="131" t="str">
        <f ca="1">Calculations!AO40</f>
        <v/>
      </c>
      <c r="ES94" s="131"/>
      <c r="ET94" s="131"/>
      <c r="EU94" s="131"/>
      <c r="EV94" s="131"/>
      <c r="EW94" s="131"/>
      <c r="EX94" s="131"/>
      <c r="EY94" s="131"/>
      <c r="EZ94" s="239"/>
      <c r="FB94" s="139" t="s">
        <v>2353</v>
      </c>
      <c r="FC94" s="140"/>
      <c r="FD94" s="140"/>
      <c r="FE94" s="140"/>
      <c r="FF94" s="140"/>
      <c r="FG94" s="140"/>
      <c r="FH94" s="140"/>
      <c r="FI94" s="140"/>
      <c r="FJ94" s="140"/>
      <c r="FK94" s="140"/>
      <c r="FL94" s="140"/>
      <c r="FM94" s="140"/>
      <c r="FN94" s="140"/>
      <c r="FO94" s="140"/>
      <c r="FP94" s="140"/>
      <c r="FQ94" s="140"/>
      <c r="FR94" s="140"/>
      <c r="FS94" s="140"/>
      <c r="FT94" s="140"/>
      <c r="FU94" s="140"/>
      <c r="FV94" s="140"/>
      <c r="FW94" s="140"/>
      <c r="FX94" s="140"/>
      <c r="FY94" s="140"/>
      <c r="FZ94" s="140"/>
      <c r="GA94" s="140"/>
      <c r="GB94" s="140"/>
      <c r="GC94" s="140"/>
      <c r="GD94" s="140"/>
      <c r="GE94" s="140"/>
      <c r="GF94" s="140"/>
      <c r="GG94" s="140"/>
      <c r="GH94" s="140"/>
      <c r="GI94" s="140"/>
      <c r="GJ94" s="140"/>
      <c r="GK94" s="140"/>
      <c r="GL94" s="140"/>
      <c r="GM94" s="140"/>
      <c r="GN94" s="140"/>
      <c r="GO94" s="140"/>
      <c r="GP94" s="140"/>
      <c r="GQ94" s="140"/>
      <c r="GR94" s="140"/>
      <c r="GS94" s="140"/>
      <c r="GT94" s="141">
        <v>1</v>
      </c>
      <c r="GU94" s="141"/>
      <c r="GV94" s="141"/>
      <c r="GW94" s="141"/>
      <c r="GX94" s="141"/>
      <c r="GY94" s="141"/>
      <c r="GZ94" s="141"/>
      <c r="HA94" s="141"/>
      <c r="HB94" s="142">
        <f>IFERROR(ROUND(Calculations!BV95*GT94,2),"")</f>
        <v>2.5</v>
      </c>
      <c r="HC94" s="142"/>
      <c r="HD94" s="142"/>
      <c r="HE94" s="142"/>
      <c r="HF94" s="142"/>
      <c r="HG94" s="142"/>
      <c r="HH94" s="142"/>
      <c r="HI94" s="142"/>
      <c r="HJ94" s="142">
        <f>IFERROR(Calculations!BS95+IQ94+IX94,"")</f>
        <v>50</v>
      </c>
      <c r="HK94" s="142"/>
      <c r="HL94" s="142"/>
      <c r="HM94" s="142"/>
      <c r="HN94" s="142"/>
      <c r="HO94" s="142"/>
      <c r="HP94" s="142"/>
      <c r="HQ94" s="142"/>
      <c r="HR94" s="142">
        <f t="shared" si="27"/>
        <v>0</v>
      </c>
      <c r="HS94" s="142"/>
      <c r="HT94" s="142"/>
      <c r="HU94" s="142"/>
      <c r="HV94" s="142"/>
      <c r="HW94" s="142"/>
      <c r="HX94" s="142"/>
      <c r="HY94" s="142"/>
      <c r="HZ94" s="142" t="str">
        <f>IFERROR(Calculations!BX95,"")</f>
        <v>$0.85</v>
      </c>
      <c r="IA94" s="142"/>
      <c r="IB94" s="142"/>
      <c r="IC94" s="142"/>
      <c r="ID94" s="142"/>
      <c r="IE94" s="142"/>
      <c r="IF94" s="142"/>
      <c r="IG94" s="142"/>
      <c r="IH94" s="142"/>
      <c r="II94" s="142"/>
      <c r="IJ94" s="142">
        <f>IFERROR(Calculations!BR95+IX94,"")</f>
        <v>0</v>
      </c>
      <c r="IK94" s="142"/>
      <c r="IL94" s="142"/>
      <c r="IM94" s="142"/>
      <c r="IN94" s="142"/>
      <c r="IO94" s="142"/>
      <c r="IP94" s="142"/>
      <c r="IQ94" s="141">
        <v>0</v>
      </c>
      <c r="IR94" s="141"/>
      <c r="IS94" s="141"/>
      <c r="IT94" s="141"/>
      <c r="IU94" s="141"/>
      <c r="IV94" s="141"/>
      <c r="IW94" s="141"/>
      <c r="IX94" s="141">
        <v>0</v>
      </c>
      <c r="IY94" s="141"/>
      <c r="IZ94" s="141"/>
      <c r="JA94" s="141"/>
      <c r="JB94" s="141"/>
      <c r="JC94" s="141"/>
      <c r="JD94" s="141"/>
      <c r="JE94" s="141"/>
      <c r="JF94" s="142"/>
      <c r="JG94" s="142"/>
      <c r="JH94" s="142"/>
      <c r="JI94" s="142"/>
      <c r="JJ94" s="142"/>
      <c r="JK94" s="143" t="str">
        <f>Calculations!AS95</f>
        <v>Light Cloth</v>
      </c>
      <c r="JL94" s="143"/>
      <c r="JM94" s="143"/>
      <c r="JN94" s="143"/>
      <c r="JO94" s="143"/>
      <c r="JP94" s="143"/>
      <c r="JQ94" s="143"/>
      <c r="JR94" s="143"/>
      <c r="JS94" s="143"/>
      <c r="JT94" s="143"/>
      <c r="JU94" s="143"/>
      <c r="JV94" s="143"/>
      <c r="JW94" s="143"/>
      <c r="JX94" s="143"/>
      <c r="JY94" s="143"/>
      <c r="JZ94" s="143"/>
      <c r="KA94" s="143"/>
      <c r="KB94" s="143"/>
      <c r="KC94" s="143" t="str">
        <f>Calculations!AW95</f>
        <v>Light Cloth</v>
      </c>
      <c r="KD94" s="143"/>
      <c r="KE94" s="143"/>
      <c r="KF94" s="143"/>
      <c r="KG94" s="143"/>
      <c r="KH94" s="143"/>
      <c r="KI94" s="143"/>
      <c r="KJ94" s="143"/>
      <c r="KK94" s="143"/>
      <c r="KL94" s="143"/>
      <c r="KM94" s="143"/>
      <c r="KN94" s="143"/>
      <c r="KO94" s="143"/>
      <c r="KP94" s="143"/>
      <c r="KQ94" s="143"/>
      <c r="KR94" s="143"/>
      <c r="KS94" s="143"/>
      <c r="KT94" s="143"/>
      <c r="KU94" s="144"/>
      <c r="KV94" s="144"/>
      <c r="KW94" s="144"/>
      <c r="KX94" s="144"/>
      <c r="KY94" s="144"/>
      <c r="KZ94" s="144"/>
      <c r="LA94" s="144"/>
      <c r="LB94" s="144"/>
      <c r="LC94" s="144"/>
      <c r="LD94" s="144"/>
      <c r="LE94" s="144"/>
      <c r="LF94" s="144"/>
      <c r="LG94" s="144"/>
      <c r="LH94" s="144"/>
      <c r="LI94" s="144"/>
      <c r="LJ94" s="144"/>
      <c r="LK94" s="144"/>
      <c r="LL94" s="144"/>
      <c r="LM94" s="144"/>
      <c r="LN94" s="144"/>
      <c r="LO94" s="144"/>
      <c r="LP94" s="144"/>
      <c r="LQ94" s="144"/>
      <c r="LR94" s="144"/>
      <c r="LS94" s="144"/>
      <c r="LT94" s="144"/>
      <c r="LU94" s="144"/>
      <c r="LV94" s="144"/>
      <c r="LW94" s="144"/>
      <c r="LX94" s="144"/>
      <c r="LY94" s="144"/>
      <c r="LZ94" s="144"/>
      <c r="MA94" s="144"/>
      <c r="MB94" s="144"/>
      <c r="MC94" s="144"/>
      <c r="MD94" s="144"/>
      <c r="ME94" s="144"/>
      <c r="MF94" s="144"/>
      <c r="MG94" s="144"/>
      <c r="MH94" s="144"/>
      <c r="MI94" s="144"/>
      <c r="MJ94" s="144"/>
      <c r="MK94" s="144"/>
      <c r="ML94" s="144"/>
      <c r="MM94" s="144"/>
      <c r="MN94" s="144"/>
      <c r="MO94" s="144"/>
      <c r="MP94" s="144"/>
      <c r="MQ94" s="144"/>
      <c r="MR94" s="144"/>
      <c r="MS94" s="144"/>
      <c r="MT94" s="144"/>
      <c r="MU94" s="144"/>
      <c r="MV94" s="144"/>
      <c r="MW94" s="144"/>
      <c r="MX94" s="144"/>
      <c r="MY94" s="144"/>
      <c r="MZ94" s="145"/>
    </row>
    <row r="95" spans="1:364 1682:1774" ht="15" customHeight="1" x14ac:dyDescent="0.25">
      <c r="A95" s="2">
        <v>15</v>
      </c>
      <c r="B95" s="133" t="str">
        <f ca="1">IFERROR(VLOOKUP(A95,Calculations!$ER$2:$ET$31,2,FALSE),"")</f>
        <v/>
      </c>
      <c r="C95" s="134"/>
      <c r="D95" s="134"/>
      <c r="E95" s="134"/>
      <c r="F95" s="134"/>
      <c r="G95" s="134"/>
      <c r="H95" s="134"/>
      <c r="I95" s="134"/>
      <c r="J95" s="134"/>
      <c r="K95" s="134"/>
      <c r="L95" s="134"/>
      <c r="M95" s="134"/>
      <c r="N95" s="134"/>
      <c r="O95" s="134"/>
      <c r="P95" s="134"/>
      <c r="Q95" s="134"/>
      <c r="R95" s="134"/>
      <c r="S95" s="134"/>
      <c r="T95" s="134"/>
      <c r="U95" s="134"/>
      <c r="V95" s="134"/>
      <c r="W95" s="130" t="str">
        <f ca="1">IFERROR(VLOOKUP(B95,Skills!$N$405:$AF$440,19,FALSE),"")</f>
        <v/>
      </c>
      <c r="X95" s="130"/>
      <c r="Y95" s="130"/>
      <c r="Z95" s="130"/>
      <c r="AA95" s="130"/>
      <c r="AB95" s="130"/>
      <c r="AC95" s="130"/>
      <c r="AD95" s="130"/>
      <c r="AE95" s="130" t="str">
        <f ca="1">IF(B95="","",MAX(0,IFERROR(VLOOKUP(B95,Skills!$N$376:$AF$380,19,FALSE),0)))</f>
        <v/>
      </c>
      <c r="AF95" s="130"/>
      <c r="AG95" s="130"/>
      <c r="AH95" s="130"/>
      <c r="AI95" s="130"/>
      <c r="AJ95" s="130"/>
      <c r="AK95" s="130" t="str">
        <f ca="1">IF(B95="","",IFERROR(VLOOKUP(B95,Skills!$N$383:$AF$387,19,FALSE),0))</f>
        <v/>
      </c>
      <c r="AL95" s="130"/>
      <c r="AM95" s="130"/>
      <c r="AN95" s="130"/>
      <c r="AO95" s="130"/>
      <c r="AP95" s="130"/>
      <c r="AQ95" s="130"/>
      <c r="AR95" s="130" t="str">
        <f ca="1">IF(B95="","",(VLOOKUP(B95,Skills!$N$405:$S$440,6,FALSE)))</f>
        <v/>
      </c>
      <c r="AS95" s="130"/>
      <c r="AT95" s="130"/>
      <c r="AU95" s="130"/>
      <c r="AV95" s="130"/>
      <c r="AW95" s="130"/>
      <c r="AX95" s="130"/>
      <c r="AY95" s="130" t="str">
        <f ca="1">IF(B95="","",Calculations!$H$10)</f>
        <v/>
      </c>
      <c r="AZ95" s="130"/>
      <c r="BA95" s="130"/>
      <c r="BB95" s="130"/>
      <c r="BC95" s="130"/>
      <c r="BD95" s="130"/>
      <c r="BE95" s="130"/>
      <c r="BF95" s="130" t="str">
        <f ca="1">SUBSTITUTE(IFERROR(VLOOKUP(A95,Calculations!$ER$2:$ET$31,3,FALSE),""),"Restricted","Rest.")</f>
        <v/>
      </c>
      <c r="BG95" s="130"/>
      <c r="BH95" s="130"/>
      <c r="BI95" s="130"/>
      <c r="BJ95" s="130"/>
      <c r="BK95" s="130"/>
      <c r="BL95" s="130"/>
      <c r="BM95" s="130"/>
      <c r="BN95" s="130"/>
      <c r="BO95" s="130"/>
      <c r="BP95" s="130"/>
      <c r="BQ95" s="130"/>
      <c r="BR95" s="130"/>
      <c r="BS95" s="130"/>
      <c r="BT95" s="130" t="str">
        <f ca="1">IF(B95="","",((AR95)+(AY95)+(VLOOKUP(BF95,Charts!$BV$2:$BW$6,2,FALSE))+(BM95)&amp;"/"&amp;((AR95)+(AY95)+(VLOOKUP(BF95,Charts!$BV$2:$BW$6,2,FALSE))+(BM95)+($BJ$5*2))))</f>
        <v/>
      </c>
      <c r="BU95" s="130"/>
      <c r="BV95" s="130"/>
      <c r="BW95" s="130"/>
      <c r="BX95" s="130"/>
      <c r="BY95" s="130"/>
      <c r="BZ95" s="238"/>
      <c r="CB95" s="133" t="str">
        <f ca="1">Calculations!AN41</f>
        <v/>
      </c>
      <c r="CC95" s="134"/>
      <c r="CD95" s="134"/>
      <c r="CE95" s="134"/>
      <c r="CF95" s="134"/>
      <c r="CG95" s="134"/>
      <c r="CH95" s="134"/>
      <c r="CI95" s="134"/>
      <c r="CJ95" s="134"/>
      <c r="CK95" s="134"/>
      <c r="CL95" s="134"/>
      <c r="CM95" s="134"/>
      <c r="CN95" s="134"/>
      <c r="CO95" s="134"/>
      <c r="CP95" s="134"/>
      <c r="CQ95" s="134"/>
      <c r="CR95" s="134"/>
      <c r="CS95" s="134"/>
      <c r="CT95" s="134"/>
      <c r="CU95" s="134"/>
      <c r="CV95" s="134"/>
      <c r="CW95" s="134"/>
      <c r="CX95" s="134"/>
      <c r="CY95" s="134"/>
      <c r="CZ95" s="134"/>
      <c r="DA95" s="134"/>
      <c r="DB95" s="134"/>
      <c r="DC95" s="134"/>
      <c r="DD95" s="134"/>
      <c r="DE95" s="130" t="str">
        <f ca="1">Calculations!AO41</f>
        <v/>
      </c>
      <c r="DF95" s="130"/>
      <c r="DG95" s="130"/>
      <c r="DH95" s="130"/>
      <c r="DI95" s="130"/>
      <c r="DJ95" s="130"/>
      <c r="DK95" s="130"/>
      <c r="DL95" s="130"/>
      <c r="DM95" s="130"/>
      <c r="DN95" s="117"/>
      <c r="DO95" s="134" t="str">
        <f ca="1">Calculations!AN42</f>
        <v/>
      </c>
      <c r="DP95" s="134"/>
      <c r="DQ95" s="134"/>
      <c r="DR95" s="134"/>
      <c r="DS95" s="134"/>
      <c r="DT95" s="134"/>
      <c r="DU95" s="134"/>
      <c r="DV95" s="134"/>
      <c r="DW95" s="134"/>
      <c r="DX95" s="134"/>
      <c r="DY95" s="134"/>
      <c r="DZ95" s="134"/>
      <c r="EA95" s="134"/>
      <c r="EB95" s="134"/>
      <c r="EC95" s="134"/>
      <c r="ED95" s="134"/>
      <c r="EE95" s="134"/>
      <c r="EF95" s="134"/>
      <c r="EG95" s="134"/>
      <c r="EH95" s="134"/>
      <c r="EI95" s="134"/>
      <c r="EJ95" s="134"/>
      <c r="EK95" s="134"/>
      <c r="EL95" s="134"/>
      <c r="EM95" s="134"/>
      <c r="EN95" s="134"/>
      <c r="EO95" s="134"/>
      <c r="EP95" s="134"/>
      <c r="EQ95" s="134"/>
      <c r="ER95" s="130" t="str">
        <f ca="1">Calculations!AO42</f>
        <v/>
      </c>
      <c r="ES95" s="130"/>
      <c r="ET95" s="130"/>
      <c r="EU95" s="130"/>
      <c r="EV95" s="130"/>
      <c r="EW95" s="130"/>
      <c r="EX95" s="130"/>
      <c r="EY95" s="130"/>
      <c r="EZ95" s="238"/>
      <c r="FB95" s="139" t="s">
        <v>2632</v>
      </c>
      <c r="FC95" s="140"/>
      <c r="FD95" s="140"/>
      <c r="FE95" s="140"/>
      <c r="FF95" s="140"/>
      <c r="FG95" s="140"/>
      <c r="FH95" s="140"/>
      <c r="FI95" s="140"/>
      <c r="FJ95" s="140"/>
      <c r="FK95" s="140"/>
      <c r="FL95" s="140"/>
      <c r="FM95" s="140"/>
      <c r="FN95" s="140"/>
      <c r="FO95" s="140"/>
      <c r="FP95" s="140"/>
      <c r="FQ95" s="140"/>
      <c r="FR95" s="140"/>
      <c r="FS95" s="140"/>
      <c r="FT95" s="140"/>
      <c r="FU95" s="140"/>
      <c r="FV95" s="140"/>
      <c r="FW95" s="140"/>
      <c r="FX95" s="140"/>
      <c r="FY95" s="140"/>
      <c r="FZ95" s="140"/>
      <c r="GA95" s="140"/>
      <c r="GB95" s="140"/>
      <c r="GC95" s="140"/>
      <c r="GD95" s="140"/>
      <c r="GE95" s="140"/>
      <c r="GF95" s="140"/>
      <c r="GG95" s="140"/>
      <c r="GH95" s="140"/>
      <c r="GI95" s="140"/>
      <c r="GJ95" s="140"/>
      <c r="GK95" s="140"/>
      <c r="GL95" s="140"/>
      <c r="GM95" s="140"/>
      <c r="GN95" s="140"/>
      <c r="GO95" s="140"/>
      <c r="GP95" s="140"/>
      <c r="GQ95" s="140"/>
      <c r="GR95" s="140"/>
      <c r="GS95" s="140"/>
      <c r="GT95" s="141">
        <v>1</v>
      </c>
      <c r="GU95" s="141"/>
      <c r="GV95" s="141"/>
      <c r="GW95" s="141"/>
      <c r="GX95" s="141"/>
      <c r="GY95" s="141"/>
      <c r="GZ95" s="141"/>
      <c r="HA95" s="141"/>
      <c r="HB95" s="142">
        <f>IFERROR(ROUND(Calculations!BV96*GT95,2),"")</f>
        <v>1.5</v>
      </c>
      <c r="HC95" s="142"/>
      <c r="HD95" s="142"/>
      <c r="HE95" s="142"/>
      <c r="HF95" s="142"/>
      <c r="HG95" s="142"/>
      <c r="HH95" s="142"/>
      <c r="HI95" s="142"/>
      <c r="HJ95" s="142">
        <f>IFERROR(Calculations!BS96+IQ95+IX95,"")</f>
        <v>45</v>
      </c>
      <c r="HK95" s="142"/>
      <c r="HL95" s="142"/>
      <c r="HM95" s="142"/>
      <c r="HN95" s="142"/>
      <c r="HO95" s="142"/>
      <c r="HP95" s="142"/>
      <c r="HQ95" s="142"/>
      <c r="HR95" s="142">
        <f t="shared" si="27"/>
        <v>0</v>
      </c>
      <c r="HS95" s="142"/>
      <c r="HT95" s="142"/>
      <c r="HU95" s="142"/>
      <c r="HV95" s="142"/>
      <c r="HW95" s="142"/>
      <c r="HX95" s="142"/>
      <c r="HY95" s="142"/>
      <c r="HZ95" s="142" t="str">
        <f>IFERROR(Calculations!BX96,"")</f>
        <v>$1.5</v>
      </c>
      <c r="IA95" s="142"/>
      <c r="IB95" s="142"/>
      <c r="IC95" s="142"/>
      <c r="ID95" s="142"/>
      <c r="IE95" s="142"/>
      <c r="IF95" s="142"/>
      <c r="IG95" s="142"/>
      <c r="IH95" s="142"/>
      <c r="II95" s="142"/>
      <c r="IJ95" s="142">
        <f>IFERROR(Calculations!BR96+IX95,"")</f>
        <v>0</v>
      </c>
      <c r="IK95" s="142"/>
      <c r="IL95" s="142"/>
      <c r="IM95" s="142"/>
      <c r="IN95" s="142"/>
      <c r="IO95" s="142"/>
      <c r="IP95" s="142"/>
      <c r="IQ95" s="141">
        <v>0</v>
      </c>
      <c r="IR95" s="141"/>
      <c r="IS95" s="141"/>
      <c r="IT95" s="141"/>
      <c r="IU95" s="141"/>
      <c r="IV95" s="141"/>
      <c r="IW95" s="141"/>
      <c r="IX95" s="141">
        <v>0</v>
      </c>
      <c r="IY95" s="141"/>
      <c r="IZ95" s="141"/>
      <c r="JA95" s="141"/>
      <c r="JB95" s="141"/>
      <c r="JC95" s="141"/>
      <c r="JD95" s="141"/>
      <c r="JE95" s="141"/>
      <c r="JF95" s="142"/>
      <c r="JG95" s="142"/>
      <c r="JH95" s="142"/>
      <c r="JI95" s="142"/>
      <c r="JJ95" s="142"/>
      <c r="JK95" s="143" t="str">
        <f>Calculations!AS96</f>
        <v>Tin</v>
      </c>
      <c r="JL95" s="143"/>
      <c r="JM95" s="143"/>
      <c r="JN95" s="143"/>
      <c r="JO95" s="143"/>
      <c r="JP95" s="143"/>
      <c r="JQ95" s="143"/>
      <c r="JR95" s="143"/>
      <c r="JS95" s="143"/>
      <c r="JT95" s="143"/>
      <c r="JU95" s="143"/>
      <c r="JV95" s="143"/>
      <c r="JW95" s="143"/>
      <c r="JX95" s="143"/>
      <c r="JY95" s="143"/>
      <c r="JZ95" s="143"/>
      <c r="KA95" s="143"/>
      <c r="KB95" s="143"/>
      <c r="KC95" s="143" t="str">
        <f>Calculations!AW96</f>
        <v>Tin</v>
      </c>
      <c r="KD95" s="143"/>
      <c r="KE95" s="143"/>
      <c r="KF95" s="143"/>
      <c r="KG95" s="143"/>
      <c r="KH95" s="143"/>
      <c r="KI95" s="143"/>
      <c r="KJ95" s="143"/>
      <c r="KK95" s="143"/>
      <c r="KL95" s="143"/>
      <c r="KM95" s="143"/>
      <c r="KN95" s="143"/>
      <c r="KO95" s="143"/>
      <c r="KP95" s="143"/>
      <c r="KQ95" s="143"/>
      <c r="KR95" s="143"/>
      <c r="KS95" s="143"/>
      <c r="KT95" s="143"/>
      <c r="KU95" s="144"/>
      <c r="KV95" s="144"/>
      <c r="KW95" s="144"/>
      <c r="KX95" s="144"/>
      <c r="KY95" s="144"/>
      <c r="KZ95" s="144"/>
      <c r="LA95" s="144"/>
      <c r="LB95" s="144"/>
      <c r="LC95" s="144"/>
      <c r="LD95" s="144"/>
      <c r="LE95" s="144"/>
      <c r="LF95" s="144"/>
      <c r="LG95" s="144"/>
      <c r="LH95" s="144"/>
      <c r="LI95" s="144"/>
      <c r="LJ95" s="144"/>
      <c r="LK95" s="144"/>
      <c r="LL95" s="144"/>
      <c r="LM95" s="144"/>
      <c r="LN95" s="144"/>
      <c r="LO95" s="144"/>
      <c r="LP95" s="144"/>
      <c r="LQ95" s="144"/>
      <c r="LR95" s="144"/>
      <c r="LS95" s="144"/>
      <c r="LT95" s="144"/>
      <c r="LU95" s="144"/>
      <c r="LV95" s="144"/>
      <c r="LW95" s="144"/>
      <c r="LX95" s="144"/>
      <c r="LY95" s="144"/>
      <c r="LZ95" s="144"/>
      <c r="MA95" s="144"/>
      <c r="MB95" s="144"/>
      <c r="MC95" s="144"/>
      <c r="MD95" s="144"/>
      <c r="ME95" s="144"/>
      <c r="MF95" s="144"/>
      <c r="MG95" s="144"/>
      <c r="MH95" s="144"/>
      <c r="MI95" s="144"/>
      <c r="MJ95" s="144"/>
      <c r="MK95" s="144"/>
      <c r="ML95" s="144"/>
      <c r="MM95" s="144"/>
      <c r="MN95" s="144"/>
      <c r="MO95" s="144"/>
      <c r="MP95" s="144"/>
      <c r="MQ95" s="144"/>
      <c r="MR95" s="144"/>
      <c r="MS95" s="144"/>
      <c r="MT95" s="144"/>
      <c r="MU95" s="144"/>
      <c r="MV95" s="144"/>
      <c r="MW95" s="144"/>
      <c r="MX95" s="144"/>
      <c r="MY95" s="144"/>
      <c r="MZ95" s="145"/>
    </row>
    <row r="96" spans="1:364 1682:1774" ht="15" customHeight="1" x14ac:dyDescent="0.25">
      <c r="A96" s="2">
        <v>16</v>
      </c>
      <c r="B96" s="135" t="str">
        <f ca="1">IFERROR(VLOOKUP(A96,Calculations!$ER$2:$ET$31,2,FALSE),"")</f>
        <v/>
      </c>
      <c r="C96" s="136"/>
      <c r="D96" s="136"/>
      <c r="E96" s="136"/>
      <c r="F96" s="136"/>
      <c r="G96" s="136"/>
      <c r="H96" s="136"/>
      <c r="I96" s="136"/>
      <c r="J96" s="136"/>
      <c r="K96" s="136"/>
      <c r="L96" s="136"/>
      <c r="M96" s="136"/>
      <c r="N96" s="136"/>
      <c r="O96" s="136"/>
      <c r="P96" s="136"/>
      <c r="Q96" s="136"/>
      <c r="R96" s="136"/>
      <c r="S96" s="136"/>
      <c r="T96" s="136"/>
      <c r="U96" s="136"/>
      <c r="V96" s="136"/>
      <c r="W96" s="131" t="str">
        <f ca="1">IFERROR(VLOOKUP(B96,Skills!$N$405:$AF$440,19,FALSE),"")</f>
        <v/>
      </c>
      <c r="X96" s="131"/>
      <c r="Y96" s="131"/>
      <c r="Z96" s="131"/>
      <c r="AA96" s="131"/>
      <c r="AB96" s="131"/>
      <c r="AC96" s="131"/>
      <c r="AD96" s="131"/>
      <c r="AE96" s="131" t="str">
        <f ca="1">IF(B96="","",MAX(0,IFERROR(VLOOKUP(B96,Skills!$N$376:$AF$380,19,FALSE),0)))</f>
        <v/>
      </c>
      <c r="AF96" s="131"/>
      <c r="AG96" s="131"/>
      <c r="AH96" s="131"/>
      <c r="AI96" s="131"/>
      <c r="AJ96" s="131"/>
      <c r="AK96" s="131" t="str">
        <f ca="1">IF(B96="","",IFERROR(VLOOKUP(B96,Skills!$N$383:$AF$387,19,FALSE),0))</f>
        <v/>
      </c>
      <c r="AL96" s="131"/>
      <c r="AM96" s="131"/>
      <c r="AN96" s="131"/>
      <c r="AO96" s="131"/>
      <c r="AP96" s="131"/>
      <c r="AQ96" s="131"/>
      <c r="AR96" s="131" t="str">
        <f ca="1">IF(B96="","",(VLOOKUP(B96,Skills!$N$405:$S$440,6,FALSE)))</f>
        <v/>
      </c>
      <c r="AS96" s="131"/>
      <c r="AT96" s="131"/>
      <c r="AU96" s="131"/>
      <c r="AV96" s="131"/>
      <c r="AW96" s="131"/>
      <c r="AX96" s="131"/>
      <c r="AY96" s="131" t="str">
        <f ca="1">IF(B96="","",Calculations!$H$10)</f>
        <v/>
      </c>
      <c r="AZ96" s="131"/>
      <c r="BA96" s="131"/>
      <c r="BB96" s="131"/>
      <c r="BC96" s="131"/>
      <c r="BD96" s="131"/>
      <c r="BE96" s="131"/>
      <c r="BF96" s="131" t="str">
        <f ca="1">SUBSTITUTE(IFERROR(VLOOKUP(A96,Calculations!$ER$2:$ET$31,3,FALSE),""),"Restricted","Rest.")</f>
        <v/>
      </c>
      <c r="BG96" s="131"/>
      <c r="BH96" s="131"/>
      <c r="BI96" s="131"/>
      <c r="BJ96" s="131"/>
      <c r="BK96" s="131"/>
      <c r="BL96" s="131"/>
      <c r="BM96" s="131"/>
      <c r="BN96" s="131"/>
      <c r="BO96" s="131"/>
      <c r="BP96" s="131"/>
      <c r="BQ96" s="131"/>
      <c r="BR96" s="131"/>
      <c r="BS96" s="131"/>
      <c r="BT96" s="131" t="str">
        <f ca="1">IF(B96="","",((AR96)+(AY96)+(VLOOKUP(BF96,Charts!$BV$2:$BW$6,2,FALSE))+(BM96)&amp;"/"&amp;((AR96)+(AY96)+(VLOOKUP(BF96,Charts!$BV$2:$BW$6,2,FALSE))+(BM96)+($BJ$5*2))))</f>
        <v/>
      </c>
      <c r="BU96" s="131"/>
      <c r="BV96" s="131"/>
      <c r="BW96" s="131"/>
      <c r="BX96" s="131"/>
      <c r="BY96" s="131"/>
      <c r="BZ96" s="239"/>
      <c r="CB96" s="135" t="str">
        <f ca="1">Calculations!AN43</f>
        <v/>
      </c>
      <c r="CC96" s="136"/>
      <c r="CD96" s="136"/>
      <c r="CE96" s="136"/>
      <c r="CF96" s="136"/>
      <c r="CG96" s="136"/>
      <c r="CH96" s="136"/>
      <c r="CI96" s="136"/>
      <c r="CJ96" s="136"/>
      <c r="CK96" s="136"/>
      <c r="CL96" s="136"/>
      <c r="CM96" s="136"/>
      <c r="CN96" s="136"/>
      <c r="CO96" s="136"/>
      <c r="CP96" s="136"/>
      <c r="CQ96" s="136"/>
      <c r="CR96" s="136"/>
      <c r="CS96" s="136"/>
      <c r="CT96" s="136"/>
      <c r="CU96" s="136"/>
      <c r="CV96" s="136"/>
      <c r="CW96" s="136"/>
      <c r="CX96" s="136"/>
      <c r="CY96" s="136"/>
      <c r="CZ96" s="136"/>
      <c r="DA96" s="136"/>
      <c r="DB96" s="136"/>
      <c r="DC96" s="136"/>
      <c r="DD96" s="136"/>
      <c r="DE96" s="131" t="str">
        <f ca="1">Calculations!AO43</f>
        <v/>
      </c>
      <c r="DF96" s="131"/>
      <c r="DG96" s="131"/>
      <c r="DH96" s="131"/>
      <c r="DI96" s="131"/>
      <c r="DJ96" s="131"/>
      <c r="DK96" s="131"/>
      <c r="DL96" s="131"/>
      <c r="DM96" s="131"/>
      <c r="DN96" s="116"/>
      <c r="DO96" s="136" t="str">
        <f ca="1">Calculations!AN44</f>
        <v/>
      </c>
      <c r="DP96" s="136"/>
      <c r="DQ96" s="136"/>
      <c r="DR96" s="136"/>
      <c r="DS96" s="136"/>
      <c r="DT96" s="136"/>
      <c r="DU96" s="136"/>
      <c r="DV96" s="136"/>
      <c r="DW96" s="136"/>
      <c r="DX96" s="136"/>
      <c r="DY96" s="136"/>
      <c r="DZ96" s="136"/>
      <c r="EA96" s="136"/>
      <c r="EB96" s="136"/>
      <c r="EC96" s="136"/>
      <c r="ED96" s="136"/>
      <c r="EE96" s="136"/>
      <c r="EF96" s="136"/>
      <c r="EG96" s="136"/>
      <c r="EH96" s="136"/>
      <c r="EI96" s="136"/>
      <c r="EJ96" s="136"/>
      <c r="EK96" s="136"/>
      <c r="EL96" s="136"/>
      <c r="EM96" s="136"/>
      <c r="EN96" s="136"/>
      <c r="EO96" s="136"/>
      <c r="EP96" s="136"/>
      <c r="EQ96" s="136"/>
      <c r="ER96" s="131" t="str">
        <f ca="1">Calculations!AO44</f>
        <v/>
      </c>
      <c r="ES96" s="131"/>
      <c r="ET96" s="131"/>
      <c r="EU96" s="131"/>
      <c r="EV96" s="131"/>
      <c r="EW96" s="131"/>
      <c r="EX96" s="131"/>
      <c r="EY96" s="131"/>
      <c r="EZ96" s="239"/>
      <c r="FB96" s="139" t="s">
        <v>2614</v>
      </c>
      <c r="FC96" s="140"/>
      <c r="FD96" s="140"/>
      <c r="FE96" s="140"/>
      <c r="FF96" s="140"/>
      <c r="FG96" s="140"/>
      <c r="FH96" s="140"/>
      <c r="FI96" s="140"/>
      <c r="FJ96" s="140"/>
      <c r="FK96" s="140"/>
      <c r="FL96" s="140"/>
      <c r="FM96" s="140"/>
      <c r="FN96" s="140"/>
      <c r="FO96" s="140"/>
      <c r="FP96" s="140"/>
      <c r="FQ96" s="140"/>
      <c r="FR96" s="140"/>
      <c r="FS96" s="140"/>
      <c r="FT96" s="140"/>
      <c r="FU96" s="140"/>
      <c r="FV96" s="140"/>
      <c r="FW96" s="140"/>
      <c r="FX96" s="140"/>
      <c r="FY96" s="140"/>
      <c r="FZ96" s="140"/>
      <c r="GA96" s="140"/>
      <c r="GB96" s="140"/>
      <c r="GC96" s="140"/>
      <c r="GD96" s="140"/>
      <c r="GE96" s="140"/>
      <c r="GF96" s="140"/>
      <c r="GG96" s="140"/>
      <c r="GH96" s="140"/>
      <c r="GI96" s="140"/>
      <c r="GJ96" s="140"/>
      <c r="GK96" s="140"/>
      <c r="GL96" s="140"/>
      <c r="GM96" s="140"/>
      <c r="GN96" s="140"/>
      <c r="GO96" s="140"/>
      <c r="GP96" s="140"/>
      <c r="GQ96" s="140"/>
      <c r="GR96" s="140"/>
      <c r="GS96" s="140"/>
      <c r="GT96" s="141">
        <v>1</v>
      </c>
      <c r="GU96" s="141"/>
      <c r="GV96" s="141"/>
      <c r="GW96" s="141"/>
      <c r="GX96" s="141"/>
      <c r="GY96" s="141"/>
      <c r="GZ96" s="141"/>
      <c r="HA96" s="141"/>
      <c r="HB96" s="142">
        <f>IFERROR(ROUND(Calculations!BV97*GT96,2),"")</f>
        <v>3.5</v>
      </c>
      <c r="HC96" s="142"/>
      <c r="HD96" s="142"/>
      <c r="HE96" s="142"/>
      <c r="HF96" s="142"/>
      <c r="HG96" s="142"/>
      <c r="HH96" s="142"/>
      <c r="HI96" s="142"/>
      <c r="HJ96" s="142">
        <f>IFERROR(Calculations!BS97+IQ96+IX96,"")</f>
        <v>80</v>
      </c>
      <c r="HK96" s="142"/>
      <c r="HL96" s="142"/>
      <c r="HM96" s="142"/>
      <c r="HN96" s="142"/>
      <c r="HO96" s="142"/>
      <c r="HP96" s="142"/>
      <c r="HQ96" s="142"/>
      <c r="HR96" s="142">
        <f t="shared" si="27"/>
        <v>0</v>
      </c>
      <c r="HS96" s="142"/>
      <c r="HT96" s="142"/>
      <c r="HU96" s="142"/>
      <c r="HV96" s="142"/>
      <c r="HW96" s="142"/>
      <c r="HX96" s="142"/>
      <c r="HY96" s="142"/>
      <c r="HZ96" s="142" t="str">
        <f>IFERROR(Calculations!BX97,"")</f>
        <v>$0.2</v>
      </c>
      <c r="IA96" s="142"/>
      <c r="IB96" s="142"/>
      <c r="IC96" s="142"/>
      <c r="ID96" s="142"/>
      <c r="IE96" s="142"/>
      <c r="IF96" s="142"/>
      <c r="IG96" s="142"/>
      <c r="IH96" s="142"/>
      <c r="II96" s="142"/>
      <c r="IJ96" s="142">
        <f>IFERROR(Calculations!BR97+IX96,"")</f>
        <v>0</v>
      </c>
      <c r="IK96" s="142"/>
      <c r="IL96" s="142"/>
      <c r="IM96" s="142"/>
      <c r="IN96" s="142"/>
      <c r="IO96" s="142"/>
      <c r="IP96" s="142"/>
      <c r="IQ96" s="141">
        <v>0</v>
      </c>
      <c r="IR96" s="141"/>
      <c r="IS96" s="141"/>
      <c r="IT96" s="141"/>
      <c r="IU96" s="141"/>
      <c r="IV96" s="141"/>
      <c r="IW96" s="141"/>
      <c r="IX96" s="141">
        <v>0</v>
      </c>
      <c r="IY96" s="141"/>
      <c r="IZ96" s="141"/>
      <c r="JA96" s="141"/>
      <c r="JB96" s="141"/>
      <c r="JC96" s="141"/>
      <c r="JD96" s="141"/>
      <c r="JE96" s="141"/>
      <c r="JF96" s="142"/>
      <c r="JG96" s="142"/>
      <c r="JH96" s="142"/>
      <c r="JI96" s="142"/>
      <c r="JJ96" s="142"/>
      <c r="JK96" s="143" t="str">
        <f>Calculations!AS97</f>
        <v>Iron</v>
      </c>
      <c r="JL96" s="143"/>
      <c r="JM96" s="143"/>
      <c r="JN96" s="143"/>
      <c r="JO96" s="143"/>
      <c r="JP96" s="143"/>
      <c r="JQ96" s="143"/>
      <c r="JR96" s="143"/>
      <c r="JS96" s="143"/>
      <c r="JT96" s="143"/>
      <c r="JU96" s="143"/>
      <c r="JV96" s="143"/>
      <c r="JW96" s="143"/>
      <c r="JX96" s="143"/>
      <c r="JY96" s="143"/>
      <c r="JZ96" s="143"/>
      <c r="KA96" s="143"/>
      <c r="KB96" s="143"/>
      <c r="KC96" s="143" t="str">
        <f>Calculations!AW97</f>
        <v>Iron</v>
      </c>
      <c r="KD96" s="143"/>
      <c r="KE96" s="143"/>
      <c r="KF96" s="143"/>
      <c r="KG96" s="143"/>
      <c r="KH96" s="143"/>
      <c r="KI96" s="143"/>
      <c r="KJ96" s="143"/>
      <c r="KK96" s="143"/>
      <c r="KL96" s="143"/>
      <c r="KM96" s="143"/>
      <c r="KN96" s="143"/>
      <c r="KO96" s="143"/>
      <c r="KP96" s="143"/>
      <c r="KQ96" s="143"/>
      <c r="KR96" s="143"/>
      <c r="KS96" s="143"/>
      <c r="KT96" s="143"/>
      <c r="KU96" s="144"/>
      <c r="KV96" s="144"/>
      <c r="KW96" s="144"/>
      <c r="KX96" s="144"/>
      <c r="KY96" s="144"/>
      <c r="KZ96" s="144"/>
      <c r="LA96" s="144"/>
      <c r="LB96" s="144"/>
      <c r="LC96" s="144"/>
      <c r="LD96" s="144"/>
      <c r="LE96" s="144"/>
      <c r="LF96" s="144"/>
      <c r="LG96" s="144"/>
      <c r="LH96" s="144"/>
      <c r="LI96" s="144"/>
      <c r="LJ96" s="144"/>
      <c r="LK96" s="144"/>
      <c r="LL96" s="144"/>
      <c r="LM96" s="144"/>
      <c r="LN96" s="144"/>
      <c r="LO96" s="144"/>
      <c r="LP96" s="144"/>
      <c r="LQ96" s="144"/>
      <c r="LR96" s="144"/>
      <c r="LS96" s="144"/>
      <c r="LT96" s="144"/>
      <c r="LU96" s="144"/>
      <c r="LV96" s="144"/>
      <c r="LW96" s="144"/>
      <c r="LX96" s="144"/>
      <c r="LY96" s="144"/>
      <c r="LZ96" s="144"/>
      <c r="MA96" s="144"/>
      <c r="MB96" s="144"/>
      <c r="MC96" s="144"/>
      <c r="MD96" s="144"/>
      <c r="ME96" s="144"/>
      <c r="MF96" s="144"/>
      <c r="MG96" s="144"/>
      <c r="MH96" s="144"/>
      <c r="MI96" s="144"/>
      <c r="MJ96" s="144"/>
      <c r="MK96" s="144"/>
      <c r="ML96" s="144"/>
      <c r="MM96" s="144"/>
      <c r="MN96" s="144"/>
      <c r="MO96" s="144"/>
      <c r="MP96" s="144"/>
      <c r="MQ96" s="144"/>
      <c r="MR96" s="144"/>
      <c r="MS96" s="144"/>
      <c r="MT96" s="144"/>
      <c r="MU96" s="144"/>
      <c r="MV96" s="144"/>
      <c r="MW96" s="144"/>
      <c r="MX96" s="144"/>
      <c r="MY96" s="144"/>
      <c r="MZ96" s="145"/>
    </row>
    <row r="97" spans="1:364" ht="15" customHeight="1" x14ac:dyDescent="0.25">
      <c r="A97" s="2">
        <v>17</v>
      </c>
      <c r="B97" s="133" t="str">
        <f ca="1">IFERROR(VLOOKUP(A97,Calculations!$ER$2:$ET$31,2,FALSE),"")</f>
        <v/>
      </c>
      <c r="C97" s="134"/>
      <c r="D97" s="134"/>
      <c r="E97" s="134"/>
      <c r="F97" s="134"/>
      <c r="G97" s="134"/>
      <c r="H97" s="134"/>
      <c r="I97" s="134"/>
      <c r="J97" s="134"/>
      <c r="K97" s="134"/>
      <c r="L97" s="134"/>
      <c r="M97" s="134"/>
      <c r="N97" s="134"/>
      <c r="O97" s="134"/>
      <c r="P97" s="134"/>
      <c r="Q97" s="134"/>
      <c r="R97" s="134"/>
      <c r="S97" s="134"/>
      <c r="T97" s="134"/>
      <c r="U97" s="134"/>
      <c r="V97" s="134"/>
      <c r="W97" s="130" t="str">
        <f ca="1">IFERROR(VLOOKUP(B97,Skills!$N$405:$AF$440,19,FALSE),"")</f>
        <v/>
      </c>
      <c r="X97" s="130"/>
      <c r="Y97" s="130"/>
      <c r="Z97" s="130"/>
      <c r="AA97" s="130"/>
      <c r="AB97" s="130"/>
      <c r="AC97" s="130"/>
      <c r="AD97" s="130"/>
      <c r="AE97" s="130" t="str">
        <f ca="1">IF(B97="","",MAX(0,IFERROR(VLOOKUP(B97,Skills!$N$376:$AF$380,19,FALSE),0)))</f>
        <v/>
      </c>
      <c r="AF97" s="130"/>
      <c r="AG97" s="130"/>
      <c r="AH97" s="130"/>
      <c r="AI97" s="130"/>
      <c r="AJ97" s="130"/>
      <c r="AK97" s="130" t="str">
        <f ca="1">IF(B97="","",IFERROR(VLOOKUP(B97,Skills!$N$383:$AF$387,19,FALSE),0))</f>
        <v/>
      </c>
      <c r="AL97" s="130"/>
      <c r="AM97" s="130"/>
      <c r="AN97" s="130"/>
      <c r="AO97" s="130"/>
      <c r="AP97" s="130"/>
      <c r="AQ97" s="130"/>
      <c r="AR97" s="130" t="str">
        <f ca="1">IF(B97="","",(VLOOKUP(B97,Skills!$N$405:$S$440,6,FALSE)))</f>
        <v/>
      </c>
      <c r="AS97" s="130"/>
      <c r="AT97" s="130"/>
      <c r="AU97" s="130"/>
      <c r="AV97" s="130"/>
      <c r="AW97" s="130"/>
      <c r="AX97" s="130"/>
      <c r="AY97" s="130" t="str">
        <f ca="1">IF(B97="","",Calculations!$H$10)</f>
        <v/>
      </c>
      <c r="AZ97" s="130"/>
      <c r="BA97" s="130"/>
      <c r="BB97" s="130"/>
      <c r="BC97" s="130"/>
      <c r="BD97" s="130"/>
      <c r="BE97" s="130"/>
      <c r="BF97" s="130" t="str">
        <f ca="1">SUBSTITUTE(IFERROR(VLOOKUP(A97,Calculations!$ER$2:$ET$31,3,FALSE),""),"Restricted","Rest.")</f>
        <v/>
      </c>
      <c r="BG97" s="130"/>
      <c r="BH97" s="130"/>
      <c r="BI97" s="130"/>
      <c r="BJ97" s="130"/>
      <c r="BK97" s="130"/>
      <c r="BL97" s="130"/>
      <c r="BM97" s="130"/>
      <c r="BN97" s="130"/>
      <c r="BO97" s="130"/>
      <c r="BP97" s="130"/>
      <c r="BQ97" s="130"/>
      <c r="BR97" s="130"/>
      <c r="BS97" s="130"/>
      <c r="BT97" s="130" t="str">
        <f ca="1">IF(B97="","",((AR97)+(AY97)+(VLOOKUP(BF97,Charts!$BV$2:$BW$6,2,FALSE))+(BM97)&amp;"/"&amp;((AR97)+(AY97)+(VLOOKUP(BF97,Charts!$BV$2:$BW$6,2,FALSE))+(BM97)+($BJ$5*2))))</f>
        <v/>
      </c>
      <c r="BU97" s="130"/>
      <c r="BV97" s="130"/>
      <c r="BW97" s="130"/>
      <c r="BX97" s="130"/>
      <c r="BY97" s="130"/>
      <c r="BZ97" s="238"/>
      <c r="CB97" s="133" t="str">
        <f ca="1">Calculations!AN45</f>
        <v/>
      </c>
      <c r="CC97" s="134"/>
      <c r="CD97" s="134"/>
      <c r="CE97" s="134"/>
      <c r="CF97" s="134"/>
      <c r="CG97" s="134"/>
      <c r="CH97" s="134"/>
      <c r="CI97" s="134"/>
      <c r="CJ97" s="134"/>
      <c r="CK97" s="134"/>
      <c r="CL97" s="134"/>
      <c r="CM97" s="134"/>
      <c r="CN97" s="134"/>
      <c r="CO97" s="134"/>
      <c r="CP97" s="134"/>
      <c r="CQ97" s="134"/>
      <c r="CR97" s="134"/>
      <c r="CS97" s="134"/>
      <c r="CT97" s="134"/>
      <c r="CU97" s="134"/>
      <c r="CV97" s="134"/>
      <c r="CW97" s="134"/>
      <c r="CX97" s="134"/>
      <c r="CY97" s="134"/>
      <c r="CZ97" s="134"/>
      <c r="DA97" s="134"/>
      <c r="DB97" s="134"/>
      <c r="DC97" s="134"/>
      <c r="DD97" s="134"/>
      <c r="DE97" s="130" t="str">
        <f ca="1">Calculations!AO45</f>
        <v/>
      </c>
      <c r="DF97" s="130"/>
      <c r="DG97" s="130"/>
      <c r="DH97" s="130"/>
      <c r="DI97" s="130"/>
      <c r="DJ97" s="130"/>
      <c r="DK97" s="130"/>
      <c r="DL97" s="130"/>
      <c r="DM97" s="130"/>
      <c r="DN97" s="117"/>
      <c r="DO97" s="134" t="str">
        <f ca="1">Calculations!AN46</f>
        <v/>
      </c>
      <c r="DP97" s="134"/>
      <c r="DQ97" s="134"/>
      <c r="DR97" s="134"/>
      <c r="DS97" s="134"/>
      <c r="DT97" s="134"/>
      <c r="DU97" s="134"/>
      <c r="DV97" s="134"/>
      <c r="DW97" s="134"/>
      <c r="DX97" s="134"/>
      <c r="DY97" s="134"/>
      <c r="DZ97" s="134"/>
      <c r="EA97" s="134"/>
      <c r="EB97" s="134"/>
      <c r="EC97" s="134"/>
      <c r="ED97" s="134"/>
      <c r="EE97" s="134"/>
      <c r="EF97" s="134"/>
      <c r="EG97" s="134"/>
      <c r="EH97" s="134"/>
      <c r="EI97" s="134"/>
      <c r="EJ97" s="134"/>
      <c r="EK97" s="134"/>
      <c r="EL97" s="134"/>
      <c r="EM97" s="134"/>
      <c r="EN97" s="134"/>
      <c r="EO97" s="134"/>
      <c r="EP97" s="134"/>
      <c r="EQ97" s="134"/>
      <c r="ER97" s="130" t="str">
        <f ca="1">Calculations!AO46</f>
        <v/>
      </c>
      <c r="ES97" s="130"/>
      <c r="ET97" s="130"/>
      <c r="EU97" s="130"/>
      <c r="EV97" s="130"/>
      <c r="EW97" s="130"/>
      <c r="EX97" s="130"/>
      <c r="EY97" s="130"/>
      <c r="EZ97" s="238"/>
      <c r="FB97" s="139" t="s">
        <v>2632</v>
      </c>
      <c r="FC97" s="140"/>
      <c r="FD97" s="140"/>
      <c r="FE97" s="140"/>
      <c r="FF97" s="140"/>
      <c r="FG97" s="140"/>
      <c r="FH97" s="140"/>
      <c r="FI97" s="140"/>
      <c r="FJ97" s="140"/>
      <c r="FK97" s="140"/>
      <c r="FL97" s="140"/>
      <c r="FM97" s="140"/>
      <c r="FN97" s="140"/>
      <c r="FO97" s="140"/>
      <c r="FP97" s="140"/>
      <c r="FQ97" s="140"/>
      <c r="FR97" s="140"/>
      <c r="FS97" s="140"/>
      <c r="FT97" s="140"/>
      <c r="FU97" s="140"/>
      <c r="FV97" s="140"/>
      <c r="FW97" s="140"/>
      <c r="FX97" s="140"/>
      <c r="FY97" s="140"/>
      <c r="FZ97" s="140"/>
      <c r="GA97" s="140"/>
      <c r="GB97" s="140"/>
      <c r="GC97" s="140"/>
      <c r="GD97" s="140"/>
      <c r="GE97" s="140"/>
      <c r="GF97" s="140"/>
      <c r="GG97" s="140"/>
      <c r="GH97" s="140"/>
      <c r="GI97" s="140"/>
      <c r="GJ97" s="140"/>
      <c r="GK97" s="140"/>
      <c r="GL97" s="140"/>
      <c r="GM97" s="140"/>
      <c r="GN97" s="140"/>
      <c r="GO97" s="140"/>
      <c r="GP97" s="140"/>
      <c r="GQ97" s="140"/>
      <c r="GR97" s="140"/>
      <c r="GS97" s="140"/>
      <c r="GT97" s="141">
        <v>1</v>
      </c>
      <c r="GU97" s="141"/>
      <c r="GV97" s="141"/>
      <c r="GW97" s="141"/>
      <c r="GX97" s="141"/>
      <c r="GY97" s="141"/>
      <c r="GZ97" s="141"/>
      <c r="HA97" s="141"/>
      <c r="HB97" s="142">
        <f>IFERROR(ROUND(Calculations!BV98*GT97,2),"")</f>
        <v>1.5</v>
      </c>
      <c r="HC97" s="142"/>
      <c r="HD97" s="142"/>
      <c r="HE97" s="142"/>
      <c r="HF97" s="142"/>
      <c r="HG97" s="142"/>
      <c r="HH97" s="142"/>
      <c r="HI97" s="142"/>
      <c r="HJ97" s="142">
        <f>IFERROR(Calculations!BS98+IQ97+IX97,"")</f>
        <v>45</v>
      </c>
      <c r="HK97" s="142"/>
      <c r="HL97" s="142"/>
      <c r="HM97" s="142"/>
      <c r="HN97" s="142"/>
      <c r="HO97" s="142"/>
      <c r="HP97" s="142"/>
      <c r="HQ97" s="142"/>
      <c r="HR97" s="142">
        <f t="shared" si="27"/>
        <v>0</v>
      </c>
      <c r="HS97" s="142"/>
      <c r="HT97" s="142"/>
      <c r="HU97" s="142"/>
      <c r="HV97" s="142"/>
      <c r="HW97" s="142"/>
      <c r="HX97" s="142"/>
      <c r="HY97" s="142"/>
      <c r="HZ97" s="142" t="str">
        <f>IFERROR(Calculations!BX98,"")</f>
        <v>$1.5</v>
      </c>
      <c r="IA97" s="142"/>
      <c r="IB97" s="142"/>
      <c r="IC97" s="142"/>
      <c r="ID97" s="142"/>
      <c r="IE97" s="142"/>
      <c r="IF97" s="142"/>
      <c r="IG97" s="142"/>
      <c r="IH97" s="142"/>
      <c r="II97" s="142"/>
      <c r="IJ97" s="142">
        <f>IFERROR(Calculations!BR98+IX97,"")</f>
        <v>0</v>
      </c>
      <c r="IK97" s="142"/>
      <c r="IL97" s="142"/>
      <c r="IM97" s="142"/>
      <c r="IN97" s="142"/>
      <c r="IO97" s="142"/>
      <c r="IP97" s="142"/>
      <c r="IQ97" s="141">
        <v>0</v>
      </c>
      <c r="IR97" s="141"/>
      <c r="IS97" s="141"/>
      <c r="IT97" s="141"/>
      <c r="IU97" s="141"/>
      <c r="IV97" s="141"/>
      <c r="IW97" s="141"/>
      <c r="IX97" s="141">
        <v>0</v>
      </c>
      <c r="IY97" s="141"/>
      <c r="IZ97" s="141"/>
      <c r="JA97" s="141"/>
      <c r="JB97" s="141"/>
      <c r="JC97" s="141"/>
      <c r="JD97" s="141"/>
      <c r="JE97" s="141"/>
      <c r="JF97" s="142"/>
      <c r="JG97" s="142"/>
      <c r="JH97" s="142"/>
      <c r="JI97" s="142"/>
      <c r="JJ97" s="142"/>
      <c r="JK97" s="143" t="str">
        <f>Calculations!AS98</f>
        <v>Tin</v>
      </c>
      <c r="JL97" s="143"/>
      <c r="JM97" s="143"/>
      <c r="JN97" s="143"/>
      <c r="JO97" s="143"/>
      <c r="JP97" s="143"/>
      <c r="JQ97" s="143"/>
      <c r="JR97" s="143"/>
      <c r="JS97" s="143"/>
      <c r="JT97" s="143"/>
      <c r="JU97" s="143"/>
      <c r="JV97" s="143"/>
      <c r="JW97" s="143"/>
      <c r="JX97" s="143"/>
      <c r="JY97" s="143"/>
      <c r="JZ97" s="143"/>
      <c r="KA97" s="143"/>
      <c r="KB97" s="143"/>
      <c r="KC97" s="143" t="str">
        <f>Calculations!AW98</f>
        <v>Tin</v>
      </c>
      <c r="KD97" s="143"/>
      <c r="KE97" s="143"/>
      <c r="KF97" s="143"/>
      <c r="KG97" s="143"/>
      <c r="KH97" s="143"/>
      <c r="KI97" s="143"/>
      <c r="KJ97" s="143"/>
      <c r="KK97" s="143"/>
      <c r="KL97" s="143"/>
      <c r="KM97" s="143"/>
      <c r="KN97" s="143"/>
      <c r="KO97" s="143"/>
      <c r="KP97" s="143"/>
      <c r="KQ97" s="143"/>
      <c r="KR97" s="143"/>
      <c r="KS97" s="143"/>
      <c r="KT97" s="143"/>
      <c r="KU97" s="144"/>
      <c r="KV97" s="144"/>
      <c r="KW97" s="144"/>
      <c r="KX97" s="144"/>
      <c r="KY97" s="144"/>
      <c r="KZ97" s="144"/>
      <c r="LA97" s="144"/>
      <c r="LB97" s="144"/>
      <c r="LC97" s="144"/>
      <c r="LD97" s="144"/>
      <c r="LE97" s="144"/>
      <c r="LF97" s="144"/>
      <c r="LG97" s="144"/>
      <c r="LH97" s="144"/>
      <c r="LI97" s="144"/>
      <c r="LJ97" s="144"/>
      <c r="LK97" s="144"/>
      <c r="LL97" s="144"/>
      <c r="LM97" s="144"/>
      <c r="LN97" s="144"/>
      <c r="LO97" s="144"/>
      <c r="LP97" s="144"/>
      <c r="LQ97" s="144"/>
      <c r="LR97" s="144"/>
      <c r="LS97" s="144"/>
      <c r="LT97" s="144"/>
      <c r="LU97" s="144"/>
      <c r="LV97" s="144"/>
      <c r="LW97" s="144"/>
      <c r="LX97" s="144"/>
      <c r="LY97" s="144"/>
      <c r="LZ97" s="144"/>
      <c r="MA97" s="144"/>
      <c r="MB97" s="144"/>
      <c r="MC97" s="144"/>
      <c r="MD97" s="144"/>
      <c r="ME97" s="144"/>
      <c r="MF97" s="144"/>
      <c r="MG97" s="144"/>
      <c r="MH97" s="144"/>
      <c r="MI97" s="144"/>
      <c r="MJ97" s="144"/>
      <c r="MK97" s="144"/>
      <c r="ML97" s="144"/>
      <c r="MM97" s="144"/>
      <c r="MN97" s="144"/>
      <c r="MO97" s="144"/>
      <c r="MP97" s="144"/>
      <c r="MQ97" s="144"/>
      <c r="MR97" s="144"/>
      <c r="MS97" s="144"/>
      <c r="MT97" s="144"/>
      <c r="MU97" s="144"/>
      <c r="MV97" s="144"/>
      <c r="MW97" s="144"/>
      <c r="MX97" s="144"/>
      <c r="MY97" s="144"/>
      <c r="MZ97" s="145"/>
    </row>
    <row r="98" spans="1:364" ht="15" customHeight="1" x14ac:dyDescent="0.25">
      <c r="A98" s="2">
        <v>18</v>
      </c>
      <c r="B98" s="135" t="str">
        <f ca="1">IFERROR(VLOOKUP(A98,Calculations!$ER$2:$ET$31,2,FALSE),"")</f>
        <v/>
      </c>
      <c r="C98" s="136"/>
      <c r="D98" s="136"/>
      <c r="E98" s="136"/>
      <c r="F98" s="136"/>
      <c r="G98" s="136"/>
      <c r="H98" s="136"/>
      <c r="I98" s="136"/>
      <c r="J98" s="136"/>
      <c r="K98" s="136"/>
      <c r="L98" s="136"/>
      <c r="M98" s="136"/>
      <c r="N98" s="136"/>
      <c r="O98" s="136"/>
      <c r="P98" s="136"/>
      <c r="Q98" s="136"/>
      <c r="R98" s="136"/>
      <c r="S98" s="136"/>
      <c r="T98" s="136"/>
      <c r="U98" s="136"/>
      <c r="V98" s="136"/>
      <c r="W98" s="131" t="str">
        <f ca="1">IFERROR(VLOOKUP(B98,Skills!$N$405:$AF$440,19,FALSE),"")</f>
        <v/>
      </c>
      <c r="X98" s="131"/>
      <c r="Y98" s="131"/>
      <c r="Z98" s="131"/>
      <c r="AA98" s="131"/>
      <c r="AB98" s="131"/>
      <c r="AC98" s="131"/>
      <c r="AD98" s="131"/>
      <c r="AE98" s="131" t="str">
        <f ca="1">IF(B98="","",MAX(0,IFERROR(VLOOKUP(B98,Skills!$N$376:$AF$380,19,FALSE),0)))</f>
        <v/>
      </c>
      <c r="AF98" s="131"/>
      <c r="AG98" s="131"/>
      <c r="AH98" s="131"/>
      <c r="AI98" s="131"/>
      <c r="AJ98" s="131"/>
      <c r="AK98" s="131" t="str">
        <f ca="1">IF(B98="","",IFERROR(VLOOKUP(B98,Skills!$N$383:$AF$387,19,FALSE),0))</f>
        <v/>
      </c>
      <c r="AL98" s="131"/>
      <c r="AM98" s="131"/>
      <c r="AN98" s="131"/>
      <c r="AO98" s="131"/>
      <c r="AP98" s="131"/>
      <c r="AQ98" s="131"/>
      <c r="AR98" s="131" t="str">
        <f ca="1">IF(B98="","",(VLOOKUP(B98,Skills!$N$405:$S$440,6,FALSE)))</f>
        <v/>
      </c>
      <c r="AS98" s="131"/>
      <c r="AT98" s="131"/>
      <c r="AU98" s="131"/>
      <c r="AV98" s="131"/>
      <c r="AW98" s="131"/>
      <c r="AX98" s="131"/>
      <c r="AY98" s="131" t="str">
        <f ca="1">IF(B98="","",Calculations!$H$10)</f>
        <v/>
      </c>
      <c r="AZ98" s="131"/>
      <c r="BA98" s="131"/>
      <c r="BB98" s="131"/>
      <c r="BC98" s="131"/>
      <c r="BD98" s="131"/>
      <c r="BE98" s="131"/>
      <c r="BF98" s="131" t="str">
        <f ca="1">SUBSTITUTE(IFERROR(VLOOKUP(A98,Calculations!$ER$2:$ET$31,3,FALSE),""),"Restricted","Rest.")</f>
        <v/>
      </c>
      <c r="BG98" s="131"/>
      <c r="BH98" s="131"/>
      <c r="BI98" s="131"/>
      <c r="BJ98" s="131"/>
      <c r="BK98" s="131"/>
      <c r="BL98" s="131"/>
      <c r="BM98" s="131"/>
      <c r="BN98" s="131"/>
      <c r="BO98" s="131"/>
      <c r="BP98" s="131"/>
      <c r="BQ98" s="131"/>
      <c r="BR98" s="131"/>
      <c r="BS98" s="131"/>
      <c r="BT98" s="131" t="str">
        <f ca="1">IF(B98="","",((AR98)+(AY98)+(VLOOKUP(BF98,Charts!$BV$2:$BW$6,2,FALSE))+(BM98)&amp;"/"&amp;((AR98)+(AY98)+(VLOOKUP(BF98,Charts!$BV$2:$BW$6,2,FALSE))+(BM98)+($BJ$5*2))))</f>
        <v/>
      </c>
      <c r="BU98" s="131"/>
      <c r="BV98" s="131"/>
      <c r="BW98" s="131"/>
      <c r="BX98" s="131"/>
      <c r="BY98" s="131"/>
      <c r="BZ98" s="239"/>
      <c r="CB98" s="135" t="str">
        <f ca="1">Calculations!AN47</f>
        <v/>
      </c>
      <c r="CC98" s="136"/>
      <c r="CD98" s="136"/>
      <c r="CE98" s="136"/>
      <c r="CF98" s="136"/>
      <c r="CG98" s="136"/>
      <c r="CH98" s="136"/>
      <c r="CI98" s="136"/>
      <c r="CJ98" s="136"/>
      <c r="CK98" s="136"/>
      <c r="CL98" s="136"/>
      <c r="CM98" s="136"/>
      <c r="CN98" s="136"/>
      <c r="CO98" s="136"/>
      <c r="CP98" s="136"/>
      <c r="CQ98" s="136"/>
      <c r="CR98" s="136"/>
      <c r="CS98" s="136"/>
      <c r="CT98" s="136"/>
      <c r="CU98" s="136"/>
      <c r="CV98" s="136"/>
      <c r="CW98" s="136"/>
      <c r="CX98" s="136"/>
      <c r="CY98" s="136"/>
      <c r="CZ98" s="136"/>
      <c r="DA98" s="136"/>
      <c r="DB98" s="136"/>
      <c r="DC98" s="136"/>
      <c r="DD98" s="136"/>
      <c r="DE98" s="131" t="str">
        <f ca="1">Calculations!AO47</f>
        <v/>
      </c>
      <c r="DF98" s="131"/>
      <c r="DG98" s="131"/>
      <c r="DH98" s="131"/>
      <c r="DI98" s="131"/>
      <c r="DJ98" s="131"/>
      <c r="DK98" s="131"/>
      <c r="DL98" s="131"/>
      <c r="DM98" s="131"/>
      <c r="DN98" s="116"/>
      <c r="DO98" s="136" t="str">
        <f ca="1">Calculations!AN48</f>
        <v/>
      </c>
      <c r="DP98" s="136"/>
      <c r="DQ98" s="136"/>
      <c r="DR98" s="136"/>
      <c r="DS98" s="136"/>
      <c r="DT98" s="136"/>
      <c r="DU98" s="136"/>
      <c r="DV98" s="136"/>
      <c r="DW98" s="136"/>
      <c r="DX98" s="136"/>
      <c r="DY98" s="136"/>
      <c r="DZ98" s="136"/>
      <c r="EA98" s="136"/>
      <c r="EB98" s="136"/>
      <c r="EC98" s="136"/>
      <c r="ED98" s="136"/>
      <c r="EE98" s="136"/>
      <c r="EF98" s="136"/>
      <c r="EG98" s="136"/>
      <c r="EH98" s="136"/>
      <c r="EI98" s="136"/>
      <c r="EJ98" s="136"/>
      <c r="EK98" s="136"/>
      <c r="EL98" s="136"/>
      <c r="EM98" s="136"/>
      <c r="EN98" s="136"/>
      <c r="EO98" s="136"/>
      <c r="EP98" s="136"/>
      <c r="EQ98" s="136"/>
      <c r="ER98" s="131" t="str">
        <f ca="1">Calculations!AO48</f>
        <v/>
      </c>
      <c r="ES98" s="131"/>
      <c r="ET98" s="131"/>
      <c r="EU98" s="131"/>
      <c r="EV98" s="131"/>
      <c r="EW98" s="131"/>
      <c r="EX98" s="131"/>
      <c r="EY98" s="131"/>
      <c r="EZ98" s="239"/>
      <c r="FB98" s="139" t="s">
        <v>2628</v>
      </c>
      <c r="FC98" s="140"/>
      <c r="FD98" s="140"/>
      <c r="FE98" s="140"/>
      <c r="FF98" s="140"/>
      <c r="FG98" s="140"/>
      <c r="FH98" s="140"/>
      <c r="FI98" s="140"/>
      <c r="FJ98" s="140"/>
      <c r="FK98" s="140"/>
      <c r="FL98" s="140"/>
      <c r="FM98" s="140"/>
      <c r="FN98" s="140"/>
      <c r="FO98" s="140"/>
      <c r="FP98" s="140"/>
      <c r="FQ98" s="140"/>
      <c r="FR98" s="140"/>
      <c r="FS98" s="140"/>
      <c r="FT98" s="140"/>
      <c r="FU98" s="140"/>
      <c r="FV98" s="140"/>
      <c r="FW98" s="140"/>
      <c r="FX98" s="140"/>
      <c r="FY98" s="140"/>
      <c r="FZ98" s="140"/>
      <c r="GA98" s="140"/>
      <c r="GB98" s="140"/>
      <c r="GC98" s="140"/>
      <c r="GD98" s="140"/>
      <c r="GE98" s="140"/>
      <c r="GF98" s="140"/>
      <c r="GG98" s="140"/>
      <c r="GH98" s="140"/>
      <c r="GI98" s="140"/>
      <c r="GJ98" s="140"/>
      <c r="GK98" s="140"/>
      <c r="GL98" s="140"/>
      <c r="GM98" s="140"/>
      <c r="GN98" s="140"/>
      <c r="GO98" s="140"/>
      <c r="GP98" s="140"/>
      <c r="GQ98" s="140"/>
      <c r="GR98" s="140"/>
      <c r="GS98" s="140"/>
      <c r="GT98" s="141">
        <v>1</v>
      </c>
      <c r="GU98" s="141"/>
      <c r="GV98" s="141"/>
      <c r="GW98" s="141"/>
      <c r="GX98" s="141"/>
      <c r="GY98" s="141"/>
      <c r="GZ98" s="141"/>
      <c r="HA98" s="141"/>
      <c r="HB98" s="142">
        <f>IFERROR(ROUND(Calculations!BV99*GT98,2),"")</f>
        <v>5</v>
      </c>
      <c r="HC98" s="142"/>
      <c r="HD98" s="142"/>
      <c r="HE98" s="142"/>
      <c r="HF98" s="142"/>
      <c r="HG98" s="142"/>
      <c r="HH98" s="142"/>
      <c r="HI98" s="142"/>
      <c r="HJ98" s="142">
        <f>IFERROR(Calculations!BS99+IQ98+IX98,"")</f>
        <v>80</v>
      </c>
      <c r="HK98" s="142"/>
      <c r="HL98" s="142"/>
      <c r="HM98" s="142"/>
      <c r="HN98" s="142"/>
      <c r="HO98" s="142"/>
      <c r="HP98" s="142"/>
      <c r="HQ98" s="142"/>
      <c r="HR98" s="142">
        <f t="shared" si="27"/>
        <v>0</v>
      </c>
      <c r="HS98" s="142"/>
      <c r="HT98" s="142"/>
      <c r="HU98" s="142"/>
      <c r="HV98" s="142"/>
      <c r="HW98" s="142"/>
      <c r="HX98" s="142"/>
      <c r="HY98" s="142"/>
      <c r="HZ98" s="142" t="str">
        <f>IFERROR(Calculations!BX99,"")</f>
        <v>$0.75</v>
      </c>
      <c r="IA98" s="142"/>
      <c r="IB98" s="142"/>
      <c r="IC98" s="142"/>
      <c r="ID98" s="142"/>
      <c r="IE98" s="142"/>
      <c r="IF98" s="142"/>
      <c r="IG98" s="142"/>
      <c r="IH98" s="142"/>
      <c r="II98" s="142"/>
      <c r="IJ98" s="142">
        <f>IFERROR(Calculations!BR99+IX98,"")</f>
        <v>0</v>
      </c>
      <c r="IK98" s="142"/>
      <c r="IL98" s="142"/>
      <c r="IM98" s="142"/>
      <c r="IN98" s="142"/>
      <c r="IO98" s="142"/>
      <c r="IP98" s="142"/>
      <c r="IQ98" s="141">
        <v>0</v>
      </c>
      <c r="IR98" s="141"/>
      <c r="IS98" s="141"/>
      <c r="IT98" s="141"/>
      <c r="IU98" s="141"/>
      <c r="IV98" s="141"/>
      <c r="IW98" s="141"/>
      <c r="IX98" s="141">
        <v>0</v>
      </c>
      <c r="IY98" s="141"/>
      <c r="IZ98" s="141"/>
      <c r="JA98" s="141"/>
      <c r="JB98" s="141"/>
      <c r="JC98" s="141"/>
      <c r="JD98" s="141"/>
      <c r="JE98" s="141"/>
      <c r="JF98" s="142"/>
      <c r="JG98" s="142"/>
      <c r="JH98" s="142"/>
      <c r="JI98" s="142"/>
      <c r="JJ98" s="142"/>
      <c r="JK98" s="143" t="str">
        <f>Calculations!AS99</f>
        <v>Iron</v>
      </c>
      <c r="JL98" s="143"/>
      <c r="JM98" s="143"/>
      <c r="JN98" s="143"/>
      <c r="JO98" s="143"/>
      <c r="JP98" s="143"/>
      <c r="JQ98" s="143"/>
      <c r="JR98" s="143"/>
      <c r="JS98" s="143"/>
      <c r="JT98" s="143"/>
      <c r="JU98" s="143"/>
      <c r="JV98" s="143"/>
      <c r="JW98" s="143"/>
      <c r="JX98" s="143"/>
      <c r="JY98" s="143"/>
      <c r="JZ98" s="143"/>
      <c r="KA98" s="143"/>
      <c r="KB98" s="143"/>
      <c r="KC98" s="143" t="str">
        <f>Calculations!AW99</f>
        <v>Iron</v>
      </c>
      <c r="KD98" s="143"/>
      <c r="KE98" s="143"/>
      <c r="KF98" s="143"/>
      <c r="KG98" s="143"/>
      <c r="KH98" s="143"/>
      <c r="KI98" s="143"/>
      <c r="KJ98" s="143"/>
      <c r="KK98" s="143"/>
      <c r="KL98" s="143"/>
      <c r="KM98" s="143"/>
      <c r="KN98" s="143"/>
      <c r="KO98" s="143"/>
      <c r="KP98" s="143"/>
      <c r="KQ98" s="143"/>
      <c r="KR98" s="143"/>
      <c r="KS98" s="143"/>
      <c r="KT98" s="143"/>
      <c r="KU98" s="144"/>
      <c r="KV98" s="144"/>
      <c r="KW98" s="144"/>
      <c r="KX98" s="144"/>
      <c r="KY98" s="144"/>
      <c r="KZ98" s="144"/>
      <c r="LA98" s="144"/>
      <c r="LB98" s="144"/>
      <c r="LC98" s="144"/>
      <c r="LD98" s="144"/>
      <c r="LE98" s="144"/>
      <c r="LF98" s="144"/>
      <c r="LG98" s="144"/>
      <c r="LH98" s="144"/>
      <c r="LI98" s="144"/>
      <c r="LJ98" s="144"/>
      <c r="LK98" s="144"/>
      <c r="LL98" s="144"/>
      <c r="LM98" s="144"/>
      <c r="LN98" s="144"/>
      <c r="LO98" s="144"/>
      <c r="LP98" s="144"/>
      <c r="LQ98" s="144"/>
      <c r="LR98" s="144"/>
      <c r="LS98" s="144"/>
      <c r="LT98" s="144"/>
      <c r="LU98" s="144"/>
      <c r="LV98" s="144"/>
      <c r="LW98" s="144"/>
      <c r="LX98" s="144"/>
      <c r="LY98" s="144"/>
      <c r="LZ98" s="144"/>
      <c r="MA98" s="144"/>
      <c r="MB98" s="144"/>
      <c r="MC98" s="144"/>
      <c r="MD98" s="144"/>
      <c r="ME98" s="144"/>
      <c r="MF98" s="144"/>
      <c r="MG98" s="144"/>
      <c r="MH98" s="144"/>
      <c r="MI98" s="144"/>
      <c r="MJ98" s="144"/>
      <c r="MK98" s="144"/>
      <c r="ML98" s="144"/>
      <c r="MM98" s="144"/>
      <c r="MN98" s="144"/>
      <c r="MO98" s="144"/>
      <c r="MP98" s="144"/>
      <c r="MQ98" s="144"/>
      <c r="MR98" s="144"/>
      <c r="MS98" s="144"/>
      <c r="MT98" s="144"/>
      <c r="MU98" s="144"/>
      <c r="MV98" s="144"/>
      <c r="MW98" s="144"/>
      <c r="MX98" s="144"/>
      <c r="MY98" s="144"/>
      <c r="MZ98" s="145"/>
    </row>
    <row r="99" spans="1:364" ht="15" customHeight="1" x14ac:dyDescent="0.25">
      <c r="A99" s="2">
        <v>19</v>
      </c>
      <c r="B99" s="133" t="str">
        <f ca="1">IFERROR(VLOOKUP(A99,Calculations!$ER$2:$ET$31,2,FALSE),"")</f>
        <v/>
      </c>
      <c r="C99" s="134"/>
      <c r="D99" s="134"/>
      <c r="E99" s="134"/>
      <c r="F99" s="134"/>
      <c r="G99" s="134"/>
      <c r="H99" s="134"/>
      <c r="I99" s="134"/>
      <c r="J99" s="134"/>
      <c r="K99" s="134"/>
      <c r="L99" s="134"/>
      <c r="M99" s="134"/>
      <c r="N99" s="134"/>
      <c r="O99" s="134"/>
      <c r="P99" s="134"/>
      <c r="Q99" s="134"/>
      <c r="R99" s="134"/>
      <c r="S99" s="134"/>
      <c r="T99" s="134"/>
      <c r="U99" s="134"/>
      <c r="V99" s="134"/>
      <c r="W99" s="130" t="str">
        <f ca="1">IFERROR(VLOOKUP(B99,Skills!$N$405:$AF$440,19,FALSE),"")</f>
        <v/>
      </c>
      <c r="X99" s="130"/>
      <c r="Y99" s="130"/>
      <c r="Z99" s="130"/>
      <c r="AA99" s="130"/>
      <c r="AB99" s="130"/>
      <c r="AC99" s="130"/>
      <c r="AD99" s="130"/>
      <c r="AE99" s="130" t="str">
        <f ca="1">IF(B99="","",MAX(0,IFERROR(VLOOKUP(B99,Skills!$N$376:$AF$380,19,FALSE),0)))</f>
        <v/>
      </c>
      <c r="AF99" s="130"/>
      <c r="AG99" s="130"/>
      <c r="AH99" s="130"/>
      <c r="AI99" s="130"/>
      <c r="AJ99" s="130"/>
      <c r="AK99" s="130" t="str">
        <f ca="1">IF(B99="","",IFERROR(VLOOKUP(B99,Skills!$N$383:$AF$387,19,FALSE),0))</f>
        <v/>
      </c>
      <c r="AL99" s="130"/>
      <c r="AM99" s="130"/>
      <c r="AN99" s="130"/>
      <c r="AO99" s="130"/>
      <c r="AP99" s="130"/>
      <c r="AQ99" s="130"/>
      <c r="AR99" s="130" t="str">
        <f ca="1">IF(B99="","",(VLOOKUP(B99,Skills!$N$405:$S$440,6,FALSE)))</f>
        <v/>
      </c>
      <c r="AS99" s="130"/>
      <c r="AT99" s="130"/>
      <c r="AU99" s="130"/>
      <c r="AV99" s="130"/>
      <c r="AW99" s="130"/>
      <c r="AX99" s="130"/>
      <c r="AY99" s="130" t="str">
        <f ca="1">IF(B99="","",Calculations!$H$10)</f>
        <v/>
      </c>
      <c r="AZ99" s="130"/>
      <c r="BA99" s="130"/>
      <c r="BB99" s="130"/>
      <c r="BC99" s="130"/>
      <c r="BD99" s="130"/>
      <c r="BE99" s="130"/>
      <c r="BF99" s="130" t="str">
        <f ca="1">SUBSTITUTE(IFERROR(VLOOKUP(A99,Calculations!$ER$2:$ET$31,3,FALSE),""),"Restricted","Rest.")</f>
        <v/>
      </c>
      <c r="BG99" s="130"/>
      <c r="BH99" s="130"/>
      <c r="BI99" s="130"/>
      <c r="BJ99" s="130"/>
      <c r="BK99" s="130"/>
      <c r="BL99" s="130"/>
      <c r="BM99" s="130"/>
      <c r="BN99" s="130"/>
      <c r="BO99" s="130"/>
      <c r="BP99" s="130"/>
      <c r="BQ99" s="130"/>
      <c r="BR99" s="130"/>
      <c r="BS99" s="130"/>
      <c r="BT99" s="130" t="str">
        <f ca="1">IF(B99="","",((AR99)+(AY99)+(VLOOKUP(BF99,Charts!$BV$2:$BW$6,2,FALSE))+(BM99)&amp;"/"&amp;((AR99)+(AY99)+(VLOOKUP(BF99,Charts!$BV$2:$BW$6,2,FALSE))+(BM99)+($BJ$5*2))))</f>
        <v/>
      </c>
      <c r="BU99" s="130"/>
      <c r="BV99" s="130"/>
      <c r="BW99" s="130"/>
      <c r="BX99" s="130"/>
      <c r="BY99" s="130"/>
      <c r="BZ99" s="238"/>
      <c r="CB99" s="133" t="str">
        <f ca="1">Calculations!AN49</f>
        <v/>
      </c>
      <c r="CC99" s="134"/>
      <c r="CD99" s="134"/>
      <c r="CE99" s="134"/>
      <c r="CF99" s="134"/>
      <c r="CG99" s="134"/>
      <c r="CH99" s="134"/>
      <c r="CI99" s="134"/>
      <c r="CJ99" s="134"/>
      <c r="CK99" s="134"/>
      <c r="CL99" s="134"/>
      <c r="CM99" s="134"/>
      <c r="CN99" s="134"/>
      <c r="CO99" s="134"/>
      <c r="CP99" s="134"/>
      <c r="CQ99" s="134"/>
      <c r="CR99" s="134"/>
      <c r="CS99" s="134"/>
      <c r="CT99" s="134"/>
      <c r="CU99" s="134"/>
      <c r="CV99" s="134"/>
      <c r="CW99" s="134"/>
      <c r="CX99" s="134"/>
      <c r="CY99" s="134"/>
      <c r="CZ99" s="134"/>
      <c r="DA99" s="134"/>
      <c r="DB99" s="134"/>
      <c r="DC99" s="134"/>
      <c r="DD99" s="134"/>
      <c r="DE99" s="130" t="str">
        <f ca="1">Calculations!AO49</f>
        <v/>
      </c>
      <c r="DF99" s="130"/>
      <c r="DG99" s="130"/>
      <c r="DH99" s="130"/>
      <c r="DI99" s="130"/>
      <c r="DJ99" s="130"/>
      <c r="DK99" s="130"/>
      <c r="DL99" s="130"/>
      <c r="DM99" s="130"/>
      <c r="DN99" s="117"/>
      <c r="DO99" s="134" t="str">
        <f ca="1">Calculations!AN50</f>
        <v/>
      </c>
      <c r="DP99" s="134"/>
      <c r="DQ99" s="134"/>
      <c r="DR99" s="134"/>
      <c r="DS99" s="134"/>
      <c r="DT99" s="134"/>
      <c r="DU99" s="134"/>
      <c r="DV99" s="134"/>
      <c r="DW99" s="134"/>
      <c r="DX99" s="134"/>
      <c r="DY99" s="134"/>
      <c r="DZ99" s="134"/>
      <c r="EA99" s="134"/>
      <c r="EB99" s="134"/>
      <c r="EC99" s="134"/>
      <c r="ED99" s="134"/>
      <c r="EE99" s="134"/>
      <c r="EF99" s="134"/>
      <c r="EG99" s="134"/>
      <c r="EH99" s="134"/>
      <c r="EI99" s="134"/>
      <c r="EJ99" s="134"/>
      <c r="EK99" s="134"/>
      <c r="EL99" s="134"/>
      <c r="EM99" s="134"/>
      <c r="EN99" s="134"/>
      <c r="EO99" s="134"/>
      <c r="EP99" s="134"/>
      <c r="EQ99" s="134"/>
      <c r="ER99" s="130" t="str">
        <f ca="1">Calculations!AO50</f>
        <v/>
      </c>
      <c r="ES99" s="130"/>
      <c r="ET99" s="130"/>
      <c r="EU99" s="130"/>
      <c r="EV99" s="130"/>
      <c r="EW99" s="130"/>
      <c r="EX99" s="130"/>
      <c r="EY99" s="130"/>
      <c r="EZ99" s="238"/>
      <c r="FB99" s="139" t="s">
        <v>2645</v>
      </c>
      <c r="FC99" s="140"/>
      <c r="FD99" s="140"/>
      <c r="FE99" s="140"/>
      <c r="FF99" s="140"/>
      <c r="FG99" s="140"/>
      <c r="FH99" s="140"/>
      <c r="FI99" s="140"/>
      <c r="FJ99" s="140"/>
      <c r="FK99" s="140"/>
      <c r="FL99" s="140"/>
      <c r="FM99" s="140"/>
      <c r="FN99" s="140"/>
      <c r="FO99" s="140"/>
      <c r="FP99" s="140"/>
      <c r="FQ99" s="140"/>
      <c r="FR99" s="140"/>
      <c r="FS99" s="140"/>
      <c r="FT99" s="140"/>
      <c r="FU99" s="140"/>
      <c r="FV99" s="140"/>
      <c r="FW99" s="140"/>
      <c r="FX99" s="140"/>
      <c r="FY99" s="140"/>
      <c r="FZ99" s="140"/>
      <c r="GA99" s="140"/>
      <c r="GB99" s="140"/>
      <c r="GC99" s="140"/>
      <c r="GD99" s="140"/>
      <c r="GE99" s="140"/>
      <c r="GF99" s="140"/>
      <c r="GG99" s="140"/>
      <c r="GH99" s="140"/>
      <c r="GI99" s="140"/>
      <c r="GJ99" s="140"/>
      <c r="GK99" s="140"/>
      <c r="GL99" s="140"/>
      <c r="GM99" s="140"/>
      <c r="GN99" s="140"/>
      <c r="GO99" s="140"/>
      <c r="GP99" s="140"/>
      <c r="GQ99" s="140"/>
      <c r="GR99" s="140"/>
      <c r="GS99" s="140"/>
      <c r="GT99" s="141">
        <v>1</v>
      </c>
      <c r="GU99" s="141"/>
      <c r="GV99" s="141"/>
      <c r="GW99" s="141"/>
      <c r="GX99" s="141"/>
      <c r="GY99" s="141"/>
      <c r="GZ99" s="141"/>
      <c r="HA99" s="141"/>
      <c r="HB99" s="142">
        <f>IFERROR(ROUND(Calculations!BV100*GT99,2),"")</f>
        <v>0.5</v>
      </c>
      <c r="HC99" s="142"/>
      <c r="HD99" s="142"/>
      <c r="HE99" s="142"/>
      <c r="HF99" s="142"/>
      <c r="HG99" s="142"/>
      <c r="HH99" s="142"/>
      <c r="HI99" s="142"/>
      <c r="HJ99" s="142">
        <f>IFERROR(Calculations!BS100+IQ99+IX99,"")</f>
        <v>35</v>
      </c>
      <c r="HK99" s="142"/>
      <c r="HL99" s="142"/>
      <c r="HM99" s="142"/>
      <c r="HN99" s="142"/>
      <c r="HO99" s="142"/>
      <c r="HP99" s="142"/>
      <c r="HQ99" s="142"/>
      <c r="HR99" s="142">
        <f t="shared" si="27"/>
        <v>0</v>
      </c>
      <c r="HS99" s="142"/>
      <c r="HT99" s="142"/>
      <c r="HU99" s="142"/>
      <c r="HV99" s="142"/>
      <c r="HW99" s="142"/>
      <c r="HX99" s="142"/>
      <c r="HY99" s="142"/>
      <c r="HZ99" s="142" t="str">
        <f>IFERROR(Calculations!BX100,"")</f>
        <v>$0.08</v>
      </c>
      <c r="IA99" s="142"/>
      <c r="IB99" s="142"/>
      <c r="IC99" s="142"/>
      <c r="ID99" s="142"/>
      <c r="IE99" s="142"/>
      <c r="IF99" s="142"/>
      <c r="IG99" s="142"/>
      <c r="IH99" s="142"/>
      <c r="II99" s="142"/>
      <c r="IJ99" s="142">
        <f>IFERROR(Calculations!BR100+IX99,"")</f>
        <v>0</v>
      </c>
      <c r="IK99" s="142"/>
      <c r="IL99" s="142"/>
      <c r="IM99" s="142"/>
      <c r="IN99" s="142"/>
      <c r="IO99" s="142"/>
      <c r="IP99" s="142"/>
      <c r="IQ99" s="141">
        <v>0</v>
      </c>
      <c r="IR99" s="141"/>
      <c r="IS99" s="141"/>
      <c r="IT99" s="141"/>
      <c r="IU99" s="141"/>
      <c r="IV99" s="141"/>
      <c r="IW99" s="141"/>
      <c r="IX99" s="141">
        <v>0</v>
      </c>
      <c r="IY99" s="141"/>
      <c r="IZ99" s="141"/>
      <c r="JA99" s="141"/>
      <c r="JB99" s="141"/>
      <c r="JC99" s="141"/>
      <c r="JD99" s="141"/>
      <c r="JE99" s="141"/>
      <c r="JF99" s="142"/>
      <c r="JG99" s="142"/>
      <c r="JH99" s="142"/>
      <c r="JI99" s="142"/>
      <c r="JJ99" s="142"/>
      <c r="JK99" s="143" t="str">
        <f>Calculations!AS100</f>
        <v>Tin</v>
      </c>
      <c r="JL99" s="143"/>
      <c r="JM99" s="143"/>
      <c r="JN99" s="143"/>
      <c r="JO99" s="143"/>
      <c r="JP99" s="143"/>
      <c r="JQ99" s="143"/>
      <c r="JR99" s="143"/>
      <c r="JS99" s="143"/>
      <c r="JT99" s="143"/>
      <c r="JU99" s="143"/>
      <c r="JV99" s="143"/>
      <c r="JW99" s="143"/>
      <c r="JX99" s="143"/>
      <c r="JY99" s="143"/>
      <c r="JZ99" s="143"/>
      <c r="KA99" s="143"/>
      <c r="KB99" s="143"/>
      <c r="KC99" s="143" t="str">
        <f>Calculations!AW100</f>
        <v>Tin</v>
      </c>
      <c r="KD99" s="143"/>
      <c r="KE99" s="143"/>
      <c r="KF99" s="143"/>
      <c r="KG99" s="143"/>
      <c r="KH99" s="143"/>
      <c r="KI99" s="143"/>
      <c r="KJ99" s="143"/>
      <c r="KK99" s="143"/>
      <c r="KL99" s="143"/>
      <c r="KM99" s="143"/>
      <c r="KN99" s="143"/>
      <c r="KO99" s="143"/>
      <c r="KP99" s="143"/>
      <c r="KQ99" s="143"/>
      <c r="KR99" s="143"/>
      <c r="KS99" s="143"/>
      <c r="KT99" s="143"/>
      <c r="KU99" s="144"/>
      <c r="KV99" s="144"/>
      <c r="KW99" s="144"/>
      <c r="KX99" s="144"/>
      <c r="KY99" s="144"/>
      <c r="KZ99" s="144"/>
      <c r="LA99" s="144"/>
      <c r="LB99" s="144"/>
      <c r="LC99" s="144"/>
      <c r="LD99" s="144"/>
      <c r="LE99" s="144"/>
      <c r="LF99" s="144"/>
      <c r="LG99" s="144"/>
      <c r="LH99" s="144"/>
      <c r="LI99" s="144"/>
      <c r="LJ99" s="144"/>
      <c r="LK99" s="144"/>
      <c r="LL99" s="144"/>
      <c r="LM99" s="144"/>
      <c r="LN99" s="144"/>
      <c r="LO99" s="144"/>
      <c r="LP99" s="144"/>
      <c r="LQ99" s="144"/>
      <c r="LR99" s="144"/>
      <c r="LS99" s="144"/>
      <c r="LT99" s="144"/>
      <c r="LU99" s="144"/>
      <c r="LV99" s="144"/>
      <c r="LW99" s="144"/>
      <c r="LX99" s="144"/>
      <c r="LY99" s="144"/>
      <c r="LZ99" s="144"/>
      <c r="MA99" s="144"/>
      <c r="MB99" s="144"/>
      <c r="MC99" s="144"/>
      <c r="MD99" s="144"/>
      <c r="ME99" s="144"/>
      <c r="MF99" s="144"/>
      <c r="MG99" s="144"/>
      <c r="MH99" s="144"/>
      <c r="MI99" s="144"/>
      <c r="MJ99" s="144"/>
      <c r="MK99" s="144"/>
      <c r="ML99" s="144"/>
      <c r="MM99" s="144"/>
      <c r="MN99" s="144"/>
      <c r="MO99" s="144"/>
      <c r="MP99" s="144"/>
      <c r="MQ99" s="144"/>
      <c r="MR99" s="144"/>
      <c r="MS99" s="144"/>
      <c r="MT99" s="144"/>
      <c r="MU99" s="144"/>
      <c r="MV99" s="144"/>
      <c r="MW99" s="144"/>
      <c r="MX99" s="144"/>
      <c r="MY99" s="144"/>
      <c r="MZ99" s="145"/>
    </row>
    <row r="100" spans="1:364" ht="15" customHeight="1" x14ac:dyDescent="0.25">
      <c r="A100" s="2">
        <v>20</v>
      </c>
      <c r="B100" s="135" t="str">
        <f ca="1">IFERROR(VLOOKUP(A100,Calculations!$ER$2:$ET$31,2,FALSE),"")</f>
        <v/>
      </c>
      <c r="C100" s="136"/>
      <c r="D100" s="136"/>
      <c r="E100" s="136"/>
      <c r="F100" s="136"/>
      <c r="G100" s="136"/>
      <c r="H100" s="136"/>
      <c r="I100" s="136"/>
      <c r="J100" s="136"/>
      <c r="K100" s="136"/>
      <c r="L100" s="136"/>
      <c r="M100" s="136"/>
      <c r="N100" s="136"/>
      <c r="O100" s="136"/>
      <c r="P100" s="136"/>
      <c r="Q100" s="136"/>
      <c r="R100" s="136"/>
      <c r="S100" s="136"/>
      <c r="T100" s="136"/>
      <c r="U100" s="136"/>
      <c r="V100" s="136"/>
      <c r="W100" s="131" t="str">
        <f ca="1">IFERROR(VLOOKUP(B100,Skills!$N$405:$AF$440,19,FALSE),"")</f>
        <v/>
      </c>
      <c r="X100" s="131"/>
      <c r="Y100" s="131"/>
      <c r="Z100" s="131"/>
      <c r="AA100" s="131"/>
      <c r="AB100" s="131"/>
      <c r="AC100" s="131"/>
      <c r="AD100" s="131"/>
      <c r="AE100" s="131" t="str">
        <f ca="1">IF(B100="","",MAX(0,IFERROR(VLOOKUP(B100,Skills!$N$376:$AF$380,19,FALSE),0)))</f>
        <v/>
      </c>
      <c r="AF100" s="131"/>
      <c r="AG100" s="131"/>
      <c r="AH100" s="131"/>
      <c r="AI100" s="131"/>
      <c r="AJ100" s="131"/>
      <c r="AK100" s="131" t="str">
        <f ca="1">IF(B100="","",IFERROR(VLOOKUP(B100,Skills!$N$383:$AF$387,19,FALSE),0))</f>
        <v/>
      </c>
      <c r="AL100" s="131"/>
      <c r="AM100" s="131"/>
      <c r="AN100" s="131"/>
      <c r="AO100" s="131"/>
      <c r="AP100" s="131"/>
      <c r="AQ100" s="131"/>
      <c r="AR100" s="131" t="str">
        <f ca="1">IF(B100="","",(VLOOKUP(B100,Skills!$N$405:$S$440,6,FALSE)))</f>
        <v/>
      </c>
      <c r="AS100" s="131"/>
      <c r="AT100" s="131"/>
      <c r="AU100" s="131"/>
      <c r="AV100" s="131"/>
      <c r="AW100" s="131"/>
      <c r="AX100" s="131"/>
      <c r="AY100" s="131" t="str">
        <f ca="1">IF(B100="","",Calculations!$H$10)</f>
        <v/>
      </c>
      <c r="AZ100" s="131"/>
      <c r="BA100" s="131"/>
      <c r="BB100" s="131"/>
      <c r="BC100" s="131"/>
      <c r="BD100" s="131"/>
      <c r="BE100" s="131"/>
      <c r="BF100" s="131" t="str">
        <f ca="1">SUBSTITUTE(IFERROR(VLOOKUP(A100,Calculations!$ER$2:$ET$31,3,FALSE),""),"Restricted","Rest.")</f>
        <v/>
      </c>
      <c r="BG100" s="131"/>
      <c r="BH100" s="131"/>
      <c r="BI100" s="131"/>
      <c r="BJ100" s="131"/>
      <c r="BK100" s="131"/>
      <c r="BL100" s="131"/>
      <c r="BM100" s="131"/>
      <c r="BN100" s="131"/>
      <c r="BO100" s="131"/>
      <c r="BP100" s="131"/>
      <c r="BQ100" s="131"/>
      <c r="BR100" s="131"/>
      <c r="BS100" s="131"/>
      <c r="BT100" s="131" t="str">
        <f ca="1">IF(B100="","",((AR100)+(AY100)+(VLOOKUP(BF100,Charts!$BV$2:$BW$6,2,FALSE))+(BM100)&amp;"/"&amp;((AR100)+(AY100)+(VLOOKUP(BF100,Charts!$BV$2:$BW$6,2,FALSE))+(BM100)+($BJ$5*2))))</f>
        <v/>
      </c>
      <c r="BU100" s="131"/>
      <c r="BV100" s="131"/>
      <c r="BW100" s="131"/>
      <c r="BX100" s="131"/>
      <c r="BY100" s="131"/>
      <c r="BZ100" s="239"/>
      <c r="CB100" s="135" t="str">
        <f ca="1">Calculations!AN51</f>
        <v/>
      </c>
      <c r="CC100" s="136"/>
      <c r="CD100" s="136"/>
      <c r="CE100" s="136"/>
      <c r="CF100" s="136"/>
      <c r="CG100" s="136"/>
      <c r="CH100" s="136"/>
      <c r="CI100" s="136"/>
      <c r="CJ100" s="136"/>
      <c r="CK100" s="136"/>
      <c r="CL100" s="136"/>
      <c r="CM100" s="136"/>
      <c r="CN100" s="136"/>
      <c r="CO100" s="136"/>
      <c r="CP100" s="136"/>
      <c r="CQ100" s="136"/>
      <c r="CR100" s="136"/>
      <c r="CS100" s="136"/>
      <c r="CT100" s="136"/>
      <c r="CU100" s="136"/>
      <c r="CV100" s="136"/>
      <c r="CW100" s="136"/>
      <c r="CX100" s="136"/>
      <c r="CY100" s="136"/>
      <c r="CZ100" s="136"/>
      <c r="DA100" s="136"/>
      <c r="DB100" s="136"/>
      <c r="DC100" s="136"/>
      <c r="DD100" s="136"/>
      <c r="DE100" s="131" t="str">
        <f ca="1">Calculations!AO51</f>
        <v/>
      </c>
      <c r="DF100" s="131"/>
      <c r="DG100" s="131"/>
      <c r="DH100" s="131"/>
      <c r="DI100" s="131"/>
      <c r="DJ100" s="131"/>
      <c r="DK100" s="131"/>
      <c r="DL100" s="131"/>
      <c r="DM100" s="131"/>
      <c r="DN100" s="116"/>
      <c r="DO100" s="136" t="str">
        <f ca="1">Calculations!AN52</f>
        <v/>
      </c>
      <c r="DP100" s="136"/>
      <c r="DQ100" s="136"/>
      <c r="DR100" s="136"/>
      <c r="DS100" s="136"/>
      <c r="DT100" s="136"/>
      <c r="DU100" s="136"/>
      <c r="DV100" s="136"/>
      <c r="DW100" s="136"/>
      <c r="DX100" s="136"/>
      <c r="DY100" s="136"/>
      <c r="DZ100" s="136"/>
      <c r="EA100" s="136"/>
      <c r="EB100" s="136"/>
      <c r="EC100" s="136"/>
      <c r="ED100" s="136"/>
      <c r="EE100" s="136"/>
      <c r="EF100" s="136"/>
      <c r="EG100" s="136"/>
      <c r="EH100" s="136"/>
      <c r="EI100" s="136"/>
      <c r="EJ100" s="136"/>
      <c r="EK100" s="136"/>
      <c r="EL100" s="136"/>
      <c r="EM100" s="136"/>
      <c r="EN100" s="136"/>
      <c r="EO100" s="136"/>
      <c r="EP100" s="136"/>
      <c r="EQ100" s="136"/>
      <c r="ER100" s="131" t="str">
        <f ca="1">Calculations!AO52</f>
        <v/>
      </c>
      <c r="ES100" s="131"/>
      <c r="ET100" s="131"/>
      <c r="EU100" s="131"/>
      <c r="EV100" s="131"/>
      <c r="EW100" s="131"/>
      <c r="EX100" s="131"/>
      <c r="EY100" s="131"/>
      <c r="EZ100" s="239"/>
      <c r="FB100" s="139" t="s">
        <v>2647</v>
      </c>
      <c r="FC100" s="140"/>
      <c r="FD100" s="140"/>
      <c r="FE100" s="140"/>
      <c r="FF100" s="140"/>
      <c r="FG100" s="140"/>
      <c r="FH100" s="140"/>
      <c r="FI100" s="140"/>
      <c r="FJ100" s="140"/>
      <c r="FK100" s="140"/>
      <c r="FL100" s="140"/>
      <c r="FM100" s="140"/>
      <c r="FN100" s="140"/>
      <c r="FO100" s="140"/>
      <c r="FP100" s="140"/>
      <c r="FQ100" s="140"/>
      <c r="FR100" s="140"/>
      <c r="FS100" s="140"/>
      <c r="FT100" s="140"/>
      <c r="FU100" s="140"/>
      <c r="FV100" s="140"/>
      <c r="FW100" s="140"/>
      <c r="FX100" s="140"/>
      <c r="FY100" s="140"/>
      <c r="FZ100" s="140"/>
      <c r="GA100" s="140"/>
      <c r="GB100" s="140"/>
      <c r="GC100" s="140"/>
      <c r="GD100" s="140"/>
      <c r="GE100" s="140"/>
      <c r="GF100" s="140"/>
      <c r="GG100" s="140"/>
      <c r="GH100" s="140"/>
      <c r="GI100" s="140"/>
      <c r="GJ100" s="140"/>
      <c r="GK100" s="140"/>
      <c r="GL100" s="140"/>
      <c r="GM100" s="140"/>
      <c r="GN100" s="140"/>
      <c r="GO100" s="140"/>
      <c r="GP100" s="140"/>
      <c r="GQ100" s="140"/>
      <c r="GR100" s="140"/>
      <c r="GS100" s="140"/>
      <c r="GT100" s="141">
        <v>1</v>
      </c>
      <c r="GU100" s="141"/>
      <c r="GV100" s="141"/>
      <c r="GW100" s="141"/>
      <c r="GX100" s="141"/>
      <c r="GY100" s="141"/>
      <c r="GZ100" s="141"/>
      <c r="HA100" s="141"/>
      <c r="HB100" s="142">
        <f>IFERROR(ROUND(Calculations!BV101*GT100,2),"")</f>
        <v>0.25</v>
      </c>
      <c r="HC100" s="142"/>
      <c r="HD100" s="142"/>
      <c r="HE100" s="142"/>
      <c r="HF100" s="142"/>
      <c r="HG100" s="142"/>
      <c r="HH100" s="142"/>
      <c r="HI100" s="142"/>
      <c r="HJ100" s="142">
        <f>IFERROR(Calculations!BS101+IQ100+IX100,"")</f>
        <v>45</v>
      </c>
      <c r="HK100" s="142"/>
      <c r="HL100" s="142"/>
      <c r="HM100" s="142"/>
      <c r="HN100" s="142"/>
      <c r="HO100" s="142"/>
      <c r="HP100" s="142"/>
      <c r="HQ100" s="142"/>
      <c r="HR100" s="142">
        <f t="shared" si="27"/>
        <v>0</v>
      </c>
      <c r="HS100" s="142"/>
      <c r="HT100" s="142"/>
      <c r="HU100" s="142"/>
      <c r="HV100" s="142"/>
      <c r="HW100" s="142"/>
      <c r="HX100" s="142"/>
      <c r="HY100" s="142"/>
      <c r="HZ100" s="142" t="str">
        <f>IFERROR(Calculations!BX101,"")</f>
        <v>$0.05</v>
      </c>
      <c r="IA100" s="142"/>
      <c r="IB100" s="142"/>
      <c r="IC100" s="142"/>
      <c r="ID100" s="142"/>
      <c r="IE100" s="142"/>
      <c r="IF100" s="142"/>
      <c r="IG100" s="142"/>
      <c r="IH100" s="142"/>
      <c r="II100" s="142"/>
      <c r="IJ100" s="142">
        <f>IFERROR(Calculations!BR101+IX100,"")</f>
        <v>0</v>
      </c>
      <c r="IK100" s="142"/>
      <c r="IL100" s="142"/>
      <c r="IM100" s="142"/>
      <c r="IN100" s="142"/>
      <c r="IO100" s="142"/>
      <c r="IP100" s="142"/>
      <c r="IQ100" s="141">
        <v>0</v>
      </c>
      <c r="IR100" s="141"/>
      <c r="IS100" s="141"/>
      <c r="IT100" s="141"/>
      <c r="IU100" s="141"/>
      <c r="IV100" s="141"/>
      <c r="IW100" s="141"/>
      <c r="IX100" s="141">
        <v>0</v>
      </c>
      <c r="IY100" s="141"/>
      <c r="IZ100" s="141"/>
      <c r="JA100" s="141"/>
      <c r="JB100" s="141"/>
      <c r="JC100" s="141"/>
      <c r="JD100" s="141"/>
      <c r="JE100" s="141"/>
      <c r="JF100" s="142"/>
      <c r="JG100" s="142"/>
      <c r="JH100" s="142"/>
      <c r="JI100" s="142"/>
      <c r="JJ100" s="142"/>
      <c r="JK100" s="143" t="str">
        <f>Calculations!AS101</f>
        <v>Ash</v>
      </c>
      <c r="JL100" s="143"/>
      <c r="JM100" s="143"/>
      <c r="JN100" s="143"/>
      <c r="JO100" s="143"/>
      <c r="JP100" s="143"/>
      <c r="JQ100" s="143"/>
      <c r="JR100" s="143"/>
      <c r="JS100" s="143"/>
      <c r="JT100" s="143"/>
      <c r="JU100" s="143"/>
      <c r="JV100" s="143"/>
      <c r="JW100" s="143"/>
      <c r="JX100" s="143"/>
      <c r="JY100" s="143"/>
      <c r="JZ100" s="143"/>
      <c r="KA100" s="143"/>
      <c r="KB100" s="143"/>
      <c r="KC100" s="143" t="str">
        <f>Calculations!AW101</f>
        <v>Ash</v>
      </c>
      <c r="KD100" s="143"/>
      <c r="KE100" s="143"/>
      <c r="KF100" s="143"/>
      <c r="KG100" s="143"/>
      <c r="KH100" s="143"/>
      <c r="KI100" s="143"/>
      <c r="KJ100" s="143"/>
      <c r="KK100" s="143"/>
      <c r="KL100" s="143"/>
      <c r="KM100" s="143"/>
      <c r="KN100" s="143"/>
      <c r="KO100" s="143"/>
      <c r="KP100" s="143"/>
      <c r="KQ100" s="143"/>
      <c r="KR100" s="143"/>
      <c r="KS100" s="143"/>
      <c r="KT100" s="143"/>
      <c r="KU100" s="144"/>
      <c r="KV100" s="144"/>
      <c r="KW100" s="144"/>
      <c r="KX100" s="144"/>
      <c r="KY100" s="144"/>
      <c r="KZ100" s="144"/>
      <c r="LA100" s="144"/>
      <c r="LB100" s="144"/>
      <c r="LC100" s="144"/>
      <c r="LD100" s="144"/>
      <c r="LE100" s="144"/>
      <c r="LF100" s="144"/>
      <c r="LG100" s="144"/>
      <c r="LH100" s="144"/>
      <c r="LI100" s="144"/>
      <c r="LJ100" s="144"/>
      <c r="LK100" s="144"/>
      <c r="LL100" s="144"/>
      <c r="LM100" s="144"/>
      <c r="LN100" s="144"/>
      <c r="LO100" s="144"/>
      <c r="LP100" s="144"/>
      <c r="LQ100" s="144"/>
      <c r="LR100" s="144"/>
      <c r="LS100" s="144"/>
      <c r="LT100" s="144"/>
      <c r="LU100" s="144"/>
      <c r="LV100" s="144"/>
      <c r="LW100" s="144"/>
      <c r="LX100" s="144"/>
      <c r="LY100" s="144"/>
      <c r="LZ100" s="144"/>
      <c r="MA100" s="144"/>
      <c r="MB100" s="144"/>
      <c r="MC100" s="144"/>
      <c r="MD100" s="144"/>
      <c r="ME100" s="144"/>
      <c r="MF100" s="144"/>
      <c r="MG100" s="144"/>
      <c r="MH100" s="144"/>
      <c r="MI100" s="144"/>
      <c r="MJ100" s="144"/>
      <c r="MK100" s="144"/>
      <c r="ML100" s="144"/>
      <c r="MM100" s="144"/>
      <c r="MN100" s="144"/>
      <c r="MO100" s="144"/>
      <c r="MP100" s="144"/>
      <c r="MQ100" s="144"/>
      <c r="MR100" s="144"/>
      <c r="MS100" s="144"/>
      <c r="MT100" s="144"/>
      <c r="MU100" s="144"/>
      <c r="MV100" s="144"/>
      <c r="MW100" s="144"/>
      <c r="MX100" s="144"/>
      <c r="MY100" s="144"/>
      <c r="MZ100" s="145"/>
    </row>
    <row r="101" spans="1:364" ht="15" customHeight="1" x14ac:dyDescent="0.25">
      <c r="A101" s="2">
        <v>21</v>
      </c>
      <c r="B101" s="133" t="str">
        <f ca="1">IFERROR(VLOOKUP(A101,Calculations!$ER$2:$ET$31,2,FALSE),"")</f>
        <v/>
      </c>
      <c r="C101" s="134"/>
      <c r="D101" s="134"/>
      <c r="E101" s="134"/>
      <c r="F101" s="134"/>
      <c r="G101" s="134"/>
      <c r="H101" s="134"/>
      <c r="I101" s="134"/>
      <c r="J101" s="134"/>
      <c r="K101" s="134"/>
      <c r="L101" s="134"/>
      <c r="M101" s="134"/>
      <c r="N101" s="134"/>
      <c r="O101" s="134"/>
      <c r="P101" s="134"/>
      <c r="Q101" s="134"/>
      <c r="R101" s="134"/>
      <c r="S101" s="134"/>
      <c r="T101" s="134"/>
      <c r="U101" s="134"/>
      <c r="V101" s="134"/>
      <c r="W101" s="130" t="str">
        <f ca="1">IFERROR(VLOOKUP(B101,Skills!$N$405:$AF$440,19,FALSE),"")</f>
        <v/>
      </c>
      <c r="X101" s="130"/>
      <c r="Y101" s="130"/>
      <c r="Z101" s="130"/>
      <c r="AA101" s="130"/>
      <c r="AB101" s="130"/>
      <c r="AC101" s="130"/>
      <c r="AD101" s="130"/>
      <c r="AE101" s="130" t="str">
        <f ca="1">IF(B101="","",MAX(0,IFERROR(VLOOKUP(B101,Skills!$N$376:$AF$380,19,FALSE),0)))</f>
        <v/>
      </c>
      <c r="AF101" s="130"/>
      <c r="AG101" s="130"/>
      <c r="AH101" s="130"/>
      <c r="AI101" s="130"/>
      <c r="AJ101" s="130"/>
      <c r="AK101" s="130" t="str">
        <f ca="1">IF(B101="","",IFERROR(VLOOKUP(B101,Skills!$N$383:$AF$387,19,FALSE),0))</f>
        <v/>
      </c>
      <c r="AL101" s="130"/>
      <c r="AM101" s="130"/>
      <c r="AN101" s="130"/>
      <c r="AO101" s="130"/>
      <c r="AP101" s="130"/>
      <c r="AQ101" s="130"/>
      <c r="AR101" s="130" t="str">
        <f ca="1">IF(B101="","",(VLOOKUP(B101,Skills!$N$405:$S$440,6,FALSE)))</f>
        <v/>
      </c>
      <c r="AS101" s="130"/>
      <c r="AT101" s="130"/>
      <c r="AU101" s="130"/>
      <c r="AV101" s="130"/>
      <c r="AW101" s="130"/>
      <c r="AX101" s="130"/>
      <c r="AY101" s="130" t="str">
        <f ca="1">IF(B101="","",Calculations!$H$10)</f>
        <v/>
      </c>
      <c r="AZ101" s="130"/>
      <c r="BA101" s="130"/>
      <c r="BB101" s="130"/>
      <c r="BC101" s="130"/>
      <c r="BD101" s="130"/>
      <c r="BE101" s="130"/>
      <c r="BF101" s="130" t="str">
        <f ca="1">SUBSTITUTE(IFERROR(VLOOKUP(A101,Calculations!$ER$2:$ET$31,3,FALSE),""),"Restricted","Rest.")</f>
        <v/>
      </c>
      <c r="BG101" s="130"/>
      <c r="BH101" s="130"/>
      <c r="BI101" s="130"/>
      <c r="BJ101" s="130"/>
      <c r="BK101" s="130"/>
      <c r="BL101" s="130"/>
      <c r="BM101" s="130"/>
      <c r="BN101" s="130"/>
      <c r="BO101" s="130"/>
      <c r="BP101" s="130"/>
      <c r="BQ101" s="130"/>
      <c r="BR101" s="130"/>
      <c r="BS101" s="130"/>
      <c r="BT101" s="130" t="str">
        <f ca="1">IF(B101="","",((AR101)+(AY101)+(VLOOKUP(BF101,Charts!$BV$2:$BW$6,2,FALSE))+(BM101)&amp;"/"&amp;((AR101)+(AY101)+(VLOOKUP(BF101,Charts!$BV$2:$BW$6,2,FALSE))+(BM101)+($BJ$5*2))))</f>
        <v/>
      </c>
      <c r="BU101" s="130"/>
      <c r="BV101" s="130"/>
      <c r="BW101" s="130"/>
      <c r="BX101" s="130"/>
      <c r="BY101" s="130"/>
      <c r="BZ101" s="238"/>
      <c r="CB101" s="133" t="str">
        <f ca="1">Calculations!AN53</f>
        <v/>
      </c>
      <c r="CC101" s="134"/>
      <c r="CD101" s="134"/>
      <c r="CE101" s="134"/>
      <c r="CF101" s="134"/>
      <c r="CG101" s="134"/>
      <c r="CH101" s="134"/>
      <c r="CI101" s="134"/>
      <c r="CJ101" s="134"/>
      <c r="CK101" s="134"/>
      <c r="CL101" s="134"/>
      <c r="CM101" s="134"/>
      <c r="CN101" s="134"/>
      <c r="CO101" s="134"/>
      <c r="CP101" s="134"/>
      <c r="CQ101" s="134"/>
      <c r="CR101" s="134"/>
      <c r="CS101" s="134"/>
      <c r="CT101" s="134"/>
      <c r="CU101" s="134"/>
      <c r="CV101" s="134"/>
      <c r="CW101" s="134"/>
      <c r="CX101" s="134"/>
      <c r="CY101" s="134"/>
      <c r="CZ101" s="134"/>
      <c r="DA101" s="134"/>
      <c r="DB101" s="134"/>
      <c r="DC101" s="134"/>
      <c r="DD101" s="134"/>
      <c r="DE101" s="130" t="str">
        <f ca="1">Calculations!AO53</f>
        <v/>
      </c>
      <c r="DF101" s="130"/>
      <c r="DG101" s="130"/>
      <c r="DH101" s="130"/>
      <c r="DI101" s="130"/>
      <c r="DJ101" s="130"/>
      <c r="DK101" s="130"/>
      <c r="DL101" s="130"/>
      <c r="DM101" s="130"/>
      <c r="DN101" s="117"/>
      <c r="DO101" s="134" t="str">
        <f ca="1">Calculations!AN54</f>
        <v/>
      </c>
      <c r="DP101" s="134"/>
      <c r="DQ101" s="134"/>
      <c r="DR101" s="134"/>
      <c r="DS101" s="134"/>
      <c r="DT101" s="134"/>
      <c r="DU101" s="134"/>
      <c r="DV101" s="134"/>
      <c r="DW101" s="134"/>
      <c r="DX101" s="134"/>
      <c r="DY101" s="134"/>
      <c r="DZ101" s="134"/>
      <c r="EA101" s="134"/>
      <c r="EB101" s="134"/>
      <c r="EC101" s="134"/>
      <c r="ED101" s="134"/>
      <c r="EE101" s="134"/>
      <c r="EF101" s="134"/>
      <c r="EG101" s="134"/>
      <c r="EH101" s="134"/>
      <c r="EI101" s="134"/>
      <c r="EJ101" s="134"/>
      <c r="EK101" s="134"/>
      <c r="EL101" s="134"/>
      <c r="EM101" s="134"/>
      <c r="EN101" s="134"/>
      <c r="EO101" s="134"/>
      <c r="EP101" s="134"/>
      <c r="EQ101" s="134"/>
      <c r="ER101" s="130" t="str">
        <f ca="1">Calculations!AO54</f>
        <v/>
      </c>
      <c r="ES101" s="130"/>
      <c r="ET101" s="130"/>
      <c r="EU101" s="130"/>
      <c r="EV101" s="130"/>
      <c r="EW101" s="130"/>
      <c r="EX101" s="130"/>
      <c r="EY101" s="130"/>
      <c r="EZ101" s="238"/>
      <c r="FB101" s="139" t="s">
        <v>2654</v>
      </c>
      <c r="FC101" s="140"/>
      <c r="FD101" s="140"/>
      <c r="FE101" s="140"/>
      <c r="FF101" s="140"/>
      <c r="FG101" s="140"/>
      <c r="FH101" s="140"/>
      <c r="FI101" s="140"/>
      <c r="FJ101" s="140"/>
      <c r="FK101" s="140"/>
      <c r="FL101" s="140"/>
      <c r="FM101" s="140"/>
      <c r="FN101" s="140"/>
      <c r="FO101" s="140"/>
      <c r="FP101" s="140"/>
      <c r="FQ101" s="140"/>
      <c r="FR101" s="140"/>
      <c r="FS101" s="140"/>
      <c r="FT101" s="140"/>
      <c r="FU101" s="140"/>
      <c r="FV101" s="140"/>
      <c r="FW101" s="140"/>
      <c r="FX101" s="140"/>
      <c r="FY101" s="140"/>
      <c r="FZ101" s="140"/>
      <c r="GA101" s="140"/>
      <c r="GB101" s="140"/>
      <c r="GC101" s="140"/>
      <c r="GD101" s="140"/>
      <c r="GE101" s="140"/>
      <c r="GF101" s="140"/>
      <c r="GG101" s="140"/>
      <c r="GH101" s="140"/>
      <c r="GI101" s="140"/>
      <c r="GJ101" s="140"/>
      <c r="GK101" s="140"/>
      <c r="GL101" s="140"/>
      <c r="GM101" s="140"/>
      <c r="GN101" s="140"/>
      <c r="GO101" s="140"/>
      <c r="GP101" s="140"/>
      <c r="GQ101" s="140"/>
      <c r="GR101" s="140"/>
      <c r="GS101" s="140"/>
      <c r="GT101" s="141">
        <v>1</v>
      </c>
      <c r="GU101" s="141"/>
      <c r="GV101" s="141"/>
      <c r="GW101" s="141"/>
      <c r="GX101" s="141"/>
      <c r="GY101" s="141"/>
      <c r="GZ101" s="141"/>
      <c r="HA101" s="141"/>
      <c r="HB101" s="142">
        <f>IFERROR(ROUND(Calculations!BV102*GT101,2),"")</f>
        <v>0.25</v>
      </c>
      <c r="HC101" s="142"/>
      <c r="HD101" s="142"/>
      <c r="HE101" s="142"/>
      <c r="HF101" s="142"/>
      <c r="HG101" s="142"/>
      <c r="HH101" s="142"/>
      <c r="HI101" s="142"/>
      <c r="HJ101" s="142">
        <f>IFERROR(Calculations!BS102+IQ101+IX101,"")</f>
        <v>35</v>
      </c>
      <c r="HK101" s="142"/>
      <c r="HL101" s="142"/>
      <c r="HM101" s="142"/>
      <c r="HN101" s="142"/>
      <c r="HO101" s="142"/>
      <c r="HP101" s="142"/>
      <c r="HQ101" s="142"/>
      <c r="HR101" s="142">
        <f t="shared" si="27"/>
        <v>0</v>
      </c>
      <c r="HS101" s="142"/>
      <c r="HT101" s="142"/>
      <c r="HU101" s="142"/>
      <c r="HV101" s="142"/>
      <c r="HW101" s="142"/>
      <c r="HX101" s="142"/>
      <c r="HY101" s="142"/>
      <c r="HZ101" s="142" t="str">
        <f>IFERROR(Calculations!BX102,"")</f>
        <v>$1.35</v>
      </c>
      <c r="IA101" s="142"/>
      <c r="IB101" s="142"/>
      <c r="IC101" s="142"/>
      <c r="ID101" s="142"/>
      <c r="IE101" s="142"/>
      <c r="IF101" s="142"/>
      <c r="IG101" s="142"/>
      <c r="IH101" s="142"/>
      <c r="II101" s="142"/>
      <c r="IJ101" s="142">
        <f>IFERROR(Calculations!BR102+IX101,"")</f>
        <v>0</v>
      </c>
      <c r="IK101" s="142"/>
      <c r="IL101" s="142"/>
      <c r="IM101" s="142"/>
      <c r="IN101" s="142"/>
      <c r="IO101" s="142"/>
      <c r="IP101" s="142"/>
      <c r="IQ101" s="141">
        <v>0</v>
      </c>
      <c r="IR101" s="141"/>
      <c r="IS101" s="141"/>
      <c r="IT101" s="141"/>
      <c r="IU101" s="141"/>
      <c r="IV101" s="141"/>
      <c r="IW101" s="141"/>
      <c r="IX101" s="141">
        <v>0</v>
      </c>
      <c r="IY101" s="141"/>
      <c r="IZ101" s="141"/>
      <c r="JA101" s="141"/>
      <c r="JB101" s="141"/>
      <c r="JC101" s="141"/>
      <c r="JD101" s="141"/>
      <c r="JE101" s="141"/>
      <c r="JF101" s="142"/>
      <c r="JG101" s="142"/>
      <c r="JH101" s="142"/>
      <c r="JI101" s="142"/>
      <c r="JJ101" s="142"/>
      <c r="JK101" s="143" t="str">
        <f>Calculations!AS102</f>
        <v>Tin</v>
      </c>
      <c r="JL101" s="143"/>
      <c r="JM101" s="143"/>
      <c r="JN101" s="143"/>
      <c r="JO101" s="143"/>
      <c r="JP101" s="143"/>
      <c r="JQ101" s="143"/>
      <c r="JR101" s="143"/>
      <c r="JS101" s="143"/>
      <c r="JT101" s="143"/>
      <c r="JU101" s="143"/>
      <c r="JV101" s="143"/>
      <c r="JW101" s="143"/>
      <c r="JX101" s="143"/>
      <c r="JY101" s="143"/>
      <c r="JZ101" s="143"/>
      <c r="KA101" s="143"/>
      <c r="KB101" s="143"/>
      <c r="KC101" s="143" t="str">
        <f>Calculations!AW102</f>
        <v>Silver</v>
      </c>
      <c r="KD101" s="143"/>
      <c r="KE101" s="143"/>
      <c r="KF101" s="143"/>
      <c r="KG101" s="143"/>
      <c r="KH101" s="143"/>
      <c r="KI101" s="143"/>
      <c r="KJ101" s="143"/>
      <c r="KK101" s="143"/>
      <c r="KL101" s="143"/>
      <c r="KM101" s="143"/>
      <c r="KN101" s="143"/>
      <c r="KO101" s="143"/>
      <c r="KP101" s="143"/>
      <c r="KQ101" s="143"/>
      <c r="KR101" s="143"/>
      <c r="KS101" s="143"/>
      <c r="KT101" s="143"/>
      <c r="KU101" s="144"/>
      <c r="KV101" s="144"/>
      <c r="KW101" s="144"/>
      <c r="KX101" s="144"/>
      <c r="KY101" s="144"/>
      <c r="KZ101" s="144"/>
      <c r="LA101" s="144"/>
      <c r="LB101" s="144"/>
      <c r="LC101" s="144"/>
      <c r="LD101" s="144"/>
      <c r="LE101" s="144"/>
      <c r="LF101" s="144"/>
      <c r="LG101" s="144"/>
      <c r="LH101" s="144"/>
      <c r="LI101" s="144"/>
      <c r="LJ101" s="144"/>
      <c r="LK101" s="144"/>
      <c r="LL101" s="144"/>
      <c r="LM101" s="144"/>
      <c r="LN101" s="144"/>
      <c r="LO101" s="144"/>
      <c r="LP101" s="144"/>
      <c r="LQ101" s="144"/>
      <c r="LR101" s="144"/>
      <c r="LS101" s="144"/>
      <c r="LT101" s="144"/>
      <c r="LU101" s="144"/>
      <c r="LV101" s="144"/>
      <c r="LW101" s="144"/>
      <c r="LX101" s="144"/>
      <c r="LY101" s="144"/>
      <c r="LZ101" s="144"/>
      <c r="MA101" s="144"/>
      <c r="MB101" s="144"/>
      <c r="MC101" s="144"/>
      <c r="MD101" s="144"/>
      <c r="ME101" s="144"/>
      <c r="MF101" s="144"/>
      <c r="MG101" s="144"/>
      <c r="MH101" s="144"/>
      <c r="MI101" s="144"/>
      <c r="MJ101" s="144"/>
      <c r="MK101" s="144"/>
      <c r="ML101" s="144"/>
      <c r="MM101" s="144"/>
      <c r="MN101" s="144"/>
      <c r="MO101" s="144"/>
      <c r="MP101" s="144"/>
      <c r="MQ101" s="144"/>
      <c r="MR101" s="144"/>
      <c r="MS101" s="144"/>
      <c r="MT101" s="144"/>
      <c r="MU101" s="144"/>
      <c r="MV101" s="144"/>
      <c r="MW101" s="144"/>
      <c r="MX101" s="144"/>
      <c r="MY101" s="144"/>
      <c r="MZ101" s="145"/>
    </row>
    <row r="102" spans="1:364" ht="15" customHeight="1" x14ac:dyDescent="0.25">
      <c r="A102" s="2">
        <v>22</v>
      </c>
      <c r="B102" s="135" t="str">
        <f ca="1">IFERROR(VLOOKUP(A102,Calculations!$ER$2:$ET$31,2,FALSE),"")</f>
        <v/>
      </c>
      <c r="C102" s="136"/>
      <c r="D102" s="136"/>
      <c r="E102" s="136"/>
      <c r="F102" s="136"/>
      <c r="G102" s="136"/>
      <c r="H102" s="136"/>
      <c r="I102" s="136"/>
      <c r="J102" s="136"/>
      <c r="K102" s="136"/>
      <c r="L102" s="136"/>
      <c r="M102" s="136"/>
      <c r="N102" s="136"/>
      <c r="O102" s="136"/>
      <c r="P102" s="136"/>
      <c r="Q102" s="136"/>
      <c r="R102" s="136"/>
      <c r="S102" s="136"/>
      <c r="T102" s="136"/>
      <c r="U102" s="136"/>
      <c r="V102" s="136"/>
      <c r="W102" s="131" t="str">
        <f ca="1">IFERROR(VLOOKUP(B102,Skills!$N$405:$AF$440,19,FALSE),"")</f>
        <v/>
      </c>
      <c r="X102" s="131"/>
      <c r="Y102" s="131"/>
      <c r="Z102" s="131"/>
      <c r="AA102" s="131"/>
      <c r="AB102" s="131"/>
      <c r="AC102" s="131"/>
      <c r="AD102" s="131"/>
      <c r="AE102" s="131" t="str">
        <f ca="1">IF(B102="","",MAX(0,IFERROR(VLOOKUP(B102,Skills!$N$376:$AF$380,19,FALSE),0)))</f>
        <v/>
      </c>
      <c r="AF102" s="131"/>
      <c r="AG102" s="131"/>
      <c r="AH102" s="131"/>
      <c r="AI102" s="131"/>
      <c r="AJ102" s="131"/>
      <c r="AK102" s="131" t="str">
        <f ca="1">IF(B102="","",IFERROR(VLOOKUP(B102,Skills!$N$383:$AF$387,19,FALSE),0))</f>
        <v/>
      </c>
      <c r="AL102" s="131"/>
      <c r="AM102" s="131"/>
      <c r="AN102" s="131"/>
      <c r="AO102" s="131"/>
      <c r="AP102" s="131"/>
      <c r="AQ102" s="131"/>
      <c r="AR102" s="131" t="str">
        <f ca="1">IF(B102="","",(VLOOKUP(B102,Skills!$N$405:$S$440,6,FALSE)))</f>
        <v/>
      </c>
      <c r="AS102" s="131"/>
      <c r="AT102" s="131"/>
      <c r="AU102" s="131"/>
      <c r="AV102" s="131"/>
      <c r="AW102" s="131"/>
      <c r="AX102" s="131"/>
      <c r="AY102" s="131" t="str">
        <f ca="1">IF(B102="","",Calculations!$H$10)</f>
        <v/>
      </c>
      <c r="AZ102" s="131"/>
      <c r="BA102" s="131"/>
      <c r="BB102" s="131"/>
      <c r="BC102" s="131"/>
      <c r="BD102" s="131"/>
      <c r="BE102" s="131"/>
      <c r="BF102" s="131" t="str">
        <f ca="1">SUBSTITUTE(IFERROR(VLOOKUP(A102,Calculations!$ER$2:$ET$31,3,FALSE),""),"Restricted","Rest.")</f>
        <v/>
      </c>
      <c r="BG102" s="131"/>
      <c r="BH102" s="131"/>
      <c r="BI102" s="131"/>
      <c r="BJ102" s="131"/>
      <c r="BK102" s="131"/>
      <c r="BL102" s="131"/>
      <c r="BM102" s="131"/>
      <c r="BN102" s="131"/>
      <c r="BO102" s="131"/>
      <c r="BP102" s="131"/>
      <c r="BQ102" s="131"/>
      <c r="BR102" s="131"/>
      <c r="BS102" s="131"/>
      <c r="BT102" s="131" t="str">
        <f ca="1">IF(B102="","",((AR102)+(AY102)+(VLOOKUP(BF102,Charts!$BV$2:$BW$6,2,FALSE))+(BM102)&amp;"/"&amp;((AR102)+(AY102)+(VLOOKUP(BF102,Charts!$BV$2:$BW$6,2,FALSE))+(BM102)+($BJ$5*2))))</f>
        <v/>
      </c>
      <c r="BU102" s="131"/>
      <c r="BV102" s="131"/>
      <c r="BW102" s="131"/>
      <c r="BX102" s="131"/>
      <c r="BY102" s="131"/>
      <c r="BZ102" s="239"/>
      <c r="CB102" s="135" t="str">
        <f ca="1">Calculations!AN55</f>
        <v/>
      </c>
      <c r="CC102" s="136"/>
      <c r="CD102" s="136"/>
      <c r="CE102" s="136"/>
      <c r="CF102" s="136"/>
      <c r="CG102" s="136"/>
      <c r="CH102" s="136"/>
      <c r="CI102" s="136"/>
      <c r="CJ102" s="136"/>
      <c r="CK102" s="136"/>
      <c r="CL102" s="136"/>
      <c r="CM102" s="136"/>
      <c r="CN102" s="136"/>
      <c r="CO102" s="136"/>
      <c r="CP102" s="136"/>
      <c r="CQ102" s="136"/>
      <c r="CR102" s="136"/>
      <c r="CS102" s="136"/>
      <c r="CT102" s="136"/>
      <c r="CU102" s="136"/>
      <c r="CV102" s="136"/>
      <c r="CW102" s="136"/>
      <c r="CX102" s="136"/>
      <c r="CY102" s="136"/>
      <c r="CZ102" s="136"/>
      <c r="DA102" s="136"/>
      <c r="DB102" s="136"/>
      <c r="DC102" s="136"/>
      <c r="DD102" s="136"/>
      <c r="DE102" s="131" t="str">
        <f ca="1">Calculations!AO55</f>
        <v/>
      </c>
      <c r="DF102" s="131"/>
      <c r="DG102" s="131"/>
      <c r="DH102" s="131"/>
      <c r="DI102" s="131"/>
      <c r="DJ102" s="131"/>
      <c r="DK102" s="131"/>
      <c r="DL102" s="131"/>
      <c r="DM102" s="131"/>
      <c r="DN102" s="116"/>
      <c r="DO102" s="136" t="str">
        <f ca="1">Calculations!AN56</f>
        <v/>
      </c>
      <c r="DP102" s="136"/>
      <c r="DQ102" s="136"/>
      <c r="DR102" s="136"/>
      <c r="DS102" s="136"/>
      <c r="DT102" s="136"/>
      <c r="DU102" s="136"/>
      <c r="DV102" s="136"/>
      <c r="DW102" s="136"/>
      <c r="DX102" s="136"/>
      <c r="DY102" s="136"/>
      <c r="DZ102" s="136"/>
      <c r="EA102" s="136"/>
      <c r="EB102" s="136"/>
      <c r="EC102" s="136"/>
      <c r="ED102" s="136"/>
      <c r="EE102" s="136"/>
      <c r="EF102" s="136"/>
      <c r="EG102" s="136"/>
      <c r="EH102" s="136"/>
      <c r="EI102" s="136"/>
      <c r="EJ102" s="136"/>
      <c r="EK102" s="136"/>
      <c r="EL102" s="136"/>
      <c r="EM102" s="136"/>
      <c r="EN102" s="136"/>
      <c r="EO102" s="136"/>
      <c r="EP102" s="136"/>
      <c r="EQ102" s="136"/>
      <c r="ER102" s="131" t="str">
        <f ca="1">Calculations!AO56</f>
        <v/>
      </c>
      <c r="ES102" s="131"/>
      <c r="ET102" s="131"/>
      <c r="EU102" s="131"/>
      <c r="EV102" s="131"/>
      <c r="EW102" s="131"/>
      <c r="EX102" s="131"/>
      <c r="EY102" s="131"/>
      <c r="EZ102" s="239"/>
      <c r="FB102" s="139" t="s">
        <v>2658</v>
      </c>
      <c r="FC102" s="140"/>
      <c r="FD102" s="140"/>
      <c r="FE102" s="140"/>
      <c r="FF102" s="140"/>
      <c r="FG102" s="140"/>
      <c r="FH102" s="140"/>
      <c r="FI102" s="140"/>
      <c r="FJ102" s="140"/>
      <c r="FK102" s="140"/>
      <c r="FL102" s="140"/>
      <c r="FM102" s="140"/>
      <c r="FN102" s="140"/>
      <c r="FO102" s="140"/>
      <c r="FP102" s="140"/>
      <c r="FQ102" s="140"/>
      <c r="FR102" s="140"/>
      <c r="FS102" s="140"/>
      <c r="FT102" s="140"/>
      <c r="FU102" s="140"/>
      <c r="FV102" s="140"/>
      <c r="FW102" s="140"/>
      <c r="FX102" s="140"/>
      <c r="FY102" s="140"/>
      <c r="FZ102" s="140"/>
      <c r="GA102" s="140"/>
      <c r="GB102" s="140"/>
      <c r="GC102" s="140"/>
      <c r="GD102" s="140"/>
      <c r="GE102" s="140"/>
      <c r="GF102" s="140"/>
      <c r="GG102" s="140"/>
      <c r="GH102" s="140"/>
      <c r="GI102" s="140"/>
      <c r="GJ102" s="140"/>
      <c r="GK102" s="140"/>
      <c r="GL102" s="140"/>
      <c r="GM102" s="140"/>
      <c r="GN102" s="140"/>
      <c r="GO102" s="140"/>
      <c r="GP102" s="140"/>
      <c r="GQ102" s="140"/>
      <c r="GR102" s="140"/>
      <c r="GS102" s="140"/>
      <c r="GT102" s="141">
        <v>1</v>
      </c>
      <c r="GU102" s="141"/>
      <c r="GV102" s="141"/>
      <c r="GW102" s="141"/>
      <c r="GX102" s="141"/>
      <c r="GY102" s="141"/>
      <c r="GZ102" s="141"/>
      <c r="HA102" s="141"/>
      <c r="HB102" s="142">
        <f>IFERROR(ROUND(Calculations!BV103*GT102,2),"")</f>
        <v>0.5</v>
      </c>
      <c r="HC102" s="142"/>
      <c r="HD102" s="142"/>
      <c r="HE102" s="142"/>
      <c r="HF102" s="142"/>
      <c r="HG102" s="142"/>
      <c r="HH102" s="142"/>
      <c r="HI102" s="142"/>
      <c r="HJ102" s="142">
        <f>IFERROR(Calculations!BS103+IQ102+IX102,"")</f>
        <v>40</v>
      </c>
      <c r="HK102" s="142"/>
      <c r="HL102" s="142"/>
      <c r="HM102" s="142"/>
      <c r="HN102" s="142"/>
      <c r="HO102" s="142"/>
      <c r="HP102" s="142"/>
      <c r="HQ102" s="142"/>
      <c r="HR102" s="142">
        <f t="shared" si="27"/>
        <v>0</v>
      </c>
      <c r="HS102" s="142"/>
      <c r="HT102" s="142"/>
      <c r="HU102" s="142"/>
      <c r="HV102" s="142"/>
      <c r="HW102" s="142"/>
      <c r="HX102" s="142"/>
      <c r="HY102" s="142"/>
      <c r="HZ102" s="142" t="str">
        <f>IFERROR(Calculations!BX103,"")</f>
        <v>$0.1</v>
      </c>
      <c r="IA102" s="142"/>
      <c r="IB102" s="142"/>
      <c r="IC102" s="142"/>
      <c r="ID102" s="142"/>
      <c r="IE102" s="142"/>
      <c r="IF102" s="142"/>
      <c r="IG102" s="142"/>
      <c r="IH102" s="142"/>
      <c r="II102" s="142"/>
      <c r="IJ102" s="142">
        <f>IFERROR(Calculations!BR103+IX102,"")</f>
        <v>0</v>
      </c>
      <c r="IK102" s="142"/>
      <c r="IL102" s="142"/>
      <c r="IM102" s="142"/>
      <c r="IN102" s="142"/>
      <c r="IO102" s="142"/>
      <c r="IP102" s="142"/>
      <c r="IQ102" s="141">
        <v>0</v>
      </c>
      <c r="IR102" s="141"/>
      <c r="IS102" s="141"/>
      <c r="IT102" s="141"/>
      <c r="IU102" s="141"/>
      <c r="IV102" s="141"/>
      <c r="IW102" s="141"/>
      <c r="IX102" s="141">
        <v>0</v>
      </c>
      <c r="IY102" s="141"/>
      <c r="IZ102" s="141"/>
      <c r="JA102" s="141"/>
      <c r="JB102" s="141"/>
      <c r="JC102" s="141"/>
      <c r="JD102" s="141"/>
      <c r="JE102" s="141"/>
      <c r="JF102" s="142"/>
      <c r="JG102" s="142"/>
      <c r="JH102" s="142"/>
      <c r="JI102" s="142"/>
      <c r="JJ102" s="142"/>
      <c r="JK102" s="143" t="str">
        <f>Calculations!AS103</f>
        <v>Tin</v>
      </c>
      <c r="JL102" s="143"/>
      <c r="JM102" s="143"/>
      <c r="JN102" s="143"/>
      <c r="JO102" s="143"/>
      <c r="JP102" s="143"/>
      <c r="JQ102" s="143"/>
      <c r="JR102" s="143"/>
      <c r="JS102" s="143"/>
      <c r="JT102" s="143"/>
      <c r="JU102" s="143"/>
      <c r="JV102" s="143"/>
      <c r="JW102" s="143"/>
      <c r="JX102" s="143"/>
      <c r="JY102" s="143"/>
      <c r="JZ102" s="143"/>
      <c r="KA102" s="143"/>
      <c r="KB102" s="143"/>
      <c r="KC102" s="143" t="str">
        <f>Calculations!AW103</f>
        <v>Tin</v>
      </c>
      <c r="KD102" s="143"/>
      <c r="KE102" s="143"/>
      <c r="KF102" s="143"/>
      <c r="KG102" s="143"/>
      <c r="KH102" s="143"/>
      <c r="KI102" s="143"/>
      <c r="KJ102" s="143"/>
      <c r="KK102" s="143"/>
      <c r="KL102" s="143"/>
      <c r="KM102" s="143"/>
      <c r="KN102" s="143"/>
      <c r="KO102" s="143"/>
      <c r="KP102" s="143"/>
      <c r="KQ102" s="143"/>
      <c r="KR102" s="143"/>
      <c r="KS102" s="143"/>
      <c r="KT102" s="143"/>
      <c r="KU102" s="144"/>
      <c r="KV102" s="144"/>
      <c r="KW102" s="144"/>
      <c r="KX102" s="144"/>
      <c r="KY102" s="144"/>
      <c r="KZ102" s="144"/>
      <c r="LA102" s="144"/>
      <c r="LB102" s="144"/>
      <c r="LC102" s="144"/>
      <c r="LD102" s="144"/>
      <c r="LE102" s="144"/>
      <c r="LF102" s="144"/>
      <c r="LG102" s="144"/>
      <c r="LH102" s="144"/>
      <c r="LI102" s="144"/>
      <c r="LJ102" s="144"/>
      <c r="LK102" s="144"/>
      <c r="LL102" s="144"/>
      <c r="LM102" s="144"/>
      <c r="LN102" s="144"/>
      <c r="LO102" s="144"/>
      <c r="LP102" s="144"/>
      <c r="LQ102" s="144"/>
      <c r="LR102" s="144"/>
      <c r="LS102" s="144"/>
      <c r="LT102" s="144"/>
      <c r="LU102" s="144"/>
      <c r="LV102" s="144"/>
      <c r="LW102" s="144"/>
      <c r="LX102" s="144"/>
      <c r="LY102" s="144"/>
      <c r="LZ102" s="144"/>
      <c r="MA102" s="144"/>
      <c r="MB102" s="144"/>
      <c r="MC102" s="144"/>
      <c r="MD102" s="144"/>
      <c r="ME102" s="144"/>
      <c r="MF102" s="144"/>
      <c r="MG102" s="144"/>
      <c r="MH102" s="144"/>
      <c r="MI102" s="144"/>
      <c r="MJ102" s="144"/>
      <c r="MK102" s="144"/>
      <c r="ML102" s="144"/>
      <c r="MM102" s="144"/>
      <c r="MN102" s="144"/>
      <c r="MO102" s="144"/>
      <c r="MP102" s="144"/>
      <c r="MQ102" s="144"/>
      <c r="MR102" s="144"/>
      <c r="MS102" s="144"/>
      <c r="MT102" s="144"/>
      <c r="MU102" s="144"/>
      <c r="MV102" s="144"/>
      <c r="MW102" s="144"/>
      <c r="MX102" s="144"/>
      <c r="MY102" s="144"/>
      <c r="MZ102" s="145"/>
    </row>
    <row r="103" spans="1:364" ht="15" customHeight="1" x14ac:dyDescent="0.25">
      <c r="A103" s="2">
        <v>23</v>
      </c>
      <c r="B103" s="133" t="str">
        <f ca="1">IFERROR(VLOOKUP(A103,Calculations!$ER$2:$ET$31,2,FALSE),"")</f>
        <v/>
      </c>
      <c r="C103" s="134"/>
      <c r="D103" s="134"/>
      <c r="E103" s="134"/>
      <c r="F103" s="134"/>
      <c r="G103" s="134"/>
      <c r="H103" s="134"/>
      <c r="I103" s="134"/>
      <c r="J103" s="134"/>
      <c r="K103" s="134"/>
      <c r="L103" s="134"/>
      <c r="M103" s="134"/>
      <c r="N103" s="134"/>
      <c r="O103" s="134"/>
      <c r="P103" s="134"/>
      <c r="Q103" s="134"/>
      <c r="R103" s="134"/>
      <c r="S103" s="134"/>
      <c r="T103" s="134"/>
      <c r="U103" s="134"/>
      <c r="V103" s="134"/>
      <c r="W103" s="130" t="str">
        <f ca="1">IFERROR(VLOOKUP(B103,Skills!$N$405:$AF$440,19,FALSE),"")</f>
        <v/>
      </c>
      <c r="X103" s="130"/>
      <c r="Y103" s="130"/>
      <c r="Z103" s="130"/>
      <c r="AA103" s="130"/>
      <c r="AB103" s="130"/>
      <c r="AC103" s="130"/>
      <c r="AD103" s="130"/>
      <c r="AE103" s="130" t="str">
        <f ca="1">IF(B103="","",MAX(0,IFERROR(VLOOKUP(B103,Skills!$N$376:$AF$380,19,FALSE),0)))</f>
        <v/>
      </c>
      <c r="AF103" s="130"/>
      <c r="AG103" s="130"/>
      <c r="AH103" s="130"/>
      <c r="AI103" s="130"/>
      <c r="AJ103" s="130"/>
      <c r="AK103" s="130" t="str">
        <f ca="1">IF(B103="","",IFERROR(VLOOKUP(B103,Skills!$N$383:$AF$387,19,FALSE),0))</f>
        <v/>
      </c>
      <c r="AL103" s="130"/>
      <c r="AM103" s="130"/>
      <c r="AN103" s="130"/>
      <c r="AO103" s="130"/>
      <c r="AP103" s="130"/>
      <c r="AQ103" s="130"/>
      <c r="AR103" s="130" t="str">
        <f ca="1">IF(B103="","",(VLOOKUP(B103,Skills!$N$405:$S$440,6,FALSE)))</f>
        <v/>
      </c>
      <c r="AS103" s="130"/>
      <c r="AT103" s="130"/>
      <c r="AU103" s="130"/>
      <c r="AV103" s="130"/>
      <c r="AW103" s="130"/>
      <c r="AX103" s="130"/>
      <c r="AY103" s="130" t="str">
        <f ca="1">IF(B103="","",Calculations!$H$10)</f>
        <v/>
      </c>
      <c r="AZ103" s="130"/>
      <c r="BA103" s="130"/>
      <c r="BB103" s="130"/>
      <c r="BC103" s="130"/>
      <c r="BD103" s="130"/>
      <c r="BE103" s="130"/>
      <c r="BF103" s="130" t="str">
        <f ca="1">SUBSTITUTE(IFERROR(VLOOKUP(A103,Calculations!$ER$2:$ET$31,3,FALSE),""),"Restricted","Rest.")</f>
        <v/>
      </c>
      <c r="BG103" s="130"/>
      <c r="BH103" s="130"/>
      <c r="BI103" s="130"/>
      <c r="BJ103" s="130"/>
      <c r="BK103" s="130"/>
      <c r="BL103" s="130"/>
      <c r="BM103" s="130"/>
      <c r="BN103" s="130"/>
      <c r="BO103" s="130"/>
      <c r="BP103" s="130"/>
      <c r="BQ103" s="130"/>
      <c r="BR103" s="130"/>
      <c r="BS103" s="130"/>
      <c r="BT103" s="130" t="str">
        <f ca="1">IF(B103="","",((AR103)+(AY103)+(VLOOKUP(BF103,Charts!$BV$2:$BW$6,2,FALSE))+(BM103)&amp;"/"&amp;((AR103)+(AY103)+(VLOOKUP(BF103,Charts!$BV$2:$BW$6,2,FALSE))+(BM103)+($BJ$5*2))))</f>
        <v/>
      </c>
      <c r="BU103" s="130"/>
      <c r="BV103" s="130"/>
      <c r="BW103" s="130"/>
      <c r="BX103" s="130"/>
      <c r="BY103" s="130"/>
      <c r="BZ103" s="238"/>
      <c r="CB103" s="133" t="str">
        <f ca="1">Calculations!AN57</f>
        <v/>
      </c>
      <c r="CC103" s="134"/>
      <c r="CD103" s="134"/>
      <c r="CE103" s="134"/>
      <c r="CF103" s="134"/>
      <c r="CG103" s="134"/>
      <c r="CH103" s="134"/>
      <c r="CI103" s="134"/>
      <c r="CJ103" s="134"/>
      <c r="CK103" s="134"/>
      <c r="CL103" s="134"/>
      <c r="CM103" s="134"/>
      <c r="CN103" s="134"/>
      <c r="CO103" s="134"/>
      <c r="CP103" s="134"/>
      <c r="CQ103" s="134"/>
      <c r="CR103" s="134"/>
      <c r="CS103" s="134"/>
      <c r="CT103" s="134"/>
      <c r="CU103" s="134"/>
      <c r="CV103" s="134"/>
      <c r="CW103" s="134"/>
      <c r="CX103" s="134"/>
      <c r="CY103" s="134"/>
      <c r="CZ103" s="134"/>
      <c r="DA103" s="134"/>
      <c r="DB103" s="134"/>
      <c r="DC103" s="134"/>
      <c r="DD103" s="134"/>
      <c r="DE103" s="130" t="str">
        <f ca="1">Calculations!AO57</f>
        <v/>
      </c>
      <c r="DF103" s="130"/>
      <c r="DG103" s="130"/>
      <c r="DH103" s="130"/>
      <c r="DI103" s="130"/>
      <c r="DJ103" s="130"/>
      <c r="DK103" s="130"/>
      <c r="DL103" s="130"/>
      <c r="DM103" s="130"/>
      <c r="DN103" s="117"/>
      <c r="DO103" s="134" t="str">
        <f ca="1">Calculations!AN58</f>
        <v/>
      </c>
      <c r="DP103" s="134"/>
      <c r="DQ103" s="134"/>
      <c r="DR103" s="134"/>
      <c r="DS103" s="134"/>
      <c r="DT103" s="134"/>
      <c r="DU103" s="134"/>
      <c r="DV103" s="134"/>
      <c r="DW103" s="134"/>
      <c r="DX103" s="134"/>
      <c r="DY103" s="134"/>
      <c r="DZ103" s="134"/>
      <c r="EA103" s="134"/>
      <c r="EB103" s="134"/>
      <c r="EC103" s="134"/>
      <c r="ED103" s="134"/>
      <c r="EE103" s="134"/>
      <c r="EF103" s="134"/>
      <c r="EG103" s="134"/>
      <c r="EH103" s="134"/>
      <c r="EI103" s="134"/>
      <c r="EJ103" s="134"/>
      <c r="EK103" s="134"/>
      <c r="EL103" s="134"/>
      <c r="EM103" s="134"/>
      <c r="EN103" s="134"/>
      <c r="EO103" s="134"/>
      <c r="EP103" s="134"/>
      <c r="EQ103" s="134"/>
      <c r="ER103" s="130" t="str">
        <f ca="1">Calculations!AO58</f>
        <v/>
      </c>
      <c r="ES103" s="130"/>
      <c r="ET103" s="130"/>
      <c r="EU103" s="130"/>
      <c r="EV103" s="130"/>
      <c r="EW103" s="130"/>
      <c r="EX103" s="130"/>
      <c r="EY103" s="130"/>
      <c r="EZ103" s="238"/>
      <c r="FB103" s="139" t="s">
        <v>2676</v>
      </c>
      <c r="FC103" s="140"/>
      <c r="FD103" s="140"/>
      <c r="FE103" s="140"/>
      <c r="FF103" s="140"/>
      <c r="FG103" s="140"/>
      <c r="FH103" s="140"/>
      <c r="FI103" s="140"/>
      <c r="FJ103" s="140"/>
      <c r="FK103" s="140"/>
      <c r="FL103" s="140"/>
      <c r="FM103" s="140"/>
      <c r="FN103" s="140"/>
      <c r="FO103" s="140"/>
      <c r="FP103" s="140"/>
      <c r="FQ103" s="140"/>
      <c r="FR103" s="140"/>
      <c r="FS103" s="140"/>
      <c r="FT103" s="140"/>
      <c r="FU103" s="140"/>
      <c r="FV103" s="140"/>
      <c r="FW103" s="140"/>
      <c r="FX103" s="140"/>
      <c r="FY103" s="140"/>
      <c r="FZ103" s="140"/>
      <c r="GA103" s="140"/>
      <c r="GB103" s="140"/>
      <c r="GC103" s="140"/>
      <c r="GD103" s="140"/>
      <c r="GE103" s="140"/>
      <c r="GF103" s="140"/>
      <c r="GG103" s="140"/>
      <c r="GH103" s="140"/>
      <c r="GI103" s="140"/>
      <c r="GJ103" s="140"/>
      <c r="GK103" s="140"/>
      <c r="GL103" s="140"/>
      <c r="GM103" s="140"/>
      <c r="GN103" s="140"/>
      <c r="GO103" s="140"/>
      <c r="GP103" s="140"/>
      <c r="GQ103" s="140"/>
      <c r="GR103" s="140"/>
      <c r="GS103" s="140"/>
      <c r="GT103" s="141">
        <v>1</v>
      </c>
      <c r="GU103" s="141"/>
      <c r="GV103" s="141"/>
      <c r="GW103" s="141"/>
      <c r="GX103" s="141"/>
      <c r="GY103" s="141"/>
      <c r="GZ103" s="141"/>
      <c r="HA103" s="141"/>
      <c r="HB103" s="142">
        <f>IFERROR(ROUND(Calculations!BV104*GT103,2),"")</f>
        <v>0.8</v>
      </c>
      <c r="HC103" s="142"/>
      <c r="HD103" s="142"/>
      <c r="HE103" s="142"/>
      <c r="HF103" s="142"/>
      <c r="HG103" s="142"/>
      <c r="HH103" s="142"/>
      <c r="HI103" s="142"/>
      <c r="HJ103" s="142">
        <f>IFERROR(Calculations!BS104+IQ103+IX103,"")</f>
        <v>40</v>
      </c>
      <c r="HK103" s="142"/>
      <c r="HL103" s="142"/>
      <c r="HM103" s="142"/>
      <c r="HN103" s="142"/>
      <c r="HO103" s="142"/>
      <c r="HP103" s="142"/>
      <c r="HQ103" s="142"/>
      <c r="HR103" s="142">
        <f t="shared" si="27"/>
        <v>0</v>
      </c>
      <c r="HS103" s="142"/>
      <c r="HT103" s="142"/>
      <c r="HU103" s="142"/>
      <c r="HV103" s="142"/>
      <c r="HW103" s="142"/>
      <c r="HX103" s="142"/>
      <c r="HY103" s="142"/>
      <c r="HZ103" s="142" t="str">
        <f>IFERROR(Calculations!BX104,"")</f>
        <v>$0.12</v>
      </c>
      <c r="IA103" s="142"/>
      <c r="IB103" s="142"/>
      <c r="IC103" s="142"/>
      <c r="ID103" s="142"/>
      <c r="IE103" s="142"/>
      <c r="IF103" s="142"/>
      <c r="IG103" s="142"/>
      <c r="IH103" s="142"/>
      <c r="II103" s="142"/>
      <c r="IJ103" s="142">
        <f>IFERROR(Calculations!BR104+IX103,"")</f>
        <v>0</v>
      </c>
      <c r="IK103" s="142"/>
      <c r="IL103" s="142"/>
      <c r="IM103" s="142"/>
      <c r="IN103" s="142"/>
      <c r="IO103" s="142"/>
      <c r="IP103" s="142"/>
      <c r="IQ103" s="141">
        <v>0</v>
      </c>
      <c r="IR103" s="141"/>
      <c r="IS103" s="141"/>
      <c r="IT103" s="141"/>
      <c r="IU103" s="141"/>
      <c r="IV103" s="141"/>
      <c r="IW103" s="141"/>
      <c r="IX103" s="141">
        <v>0</v>
      </c>
      <c r="IY103" s="141"/>
      <c r="IZ103" s="141"/>
      <c r="JA103" s="141"/>
      <c r="JB103" s="141"/>
      <c r="JC103" s="141"/>
      <c r="JD103" s="141"/>
      <c r="JE103" s="141"/>
      <c r="JF103" s="142"/>
      <c r="JG103" s="142"/>
      <c r="JH103" s="142"/>
      <c r="JI103" s="142"/>
      <c r="JJ103" s="142"/>
      <c r="JK103" s="143" t="str">
        <f>Calculations!AS104</f>
        <v>Tin</v>
      </c>
      <c r="JL103" s="143"/>
      <c r="JM103" s="143"/>
      <c r="JN103" s="143"/>
      <c r="JO103" s="143"/>
      <c r="JP103" s="143"/>
      <c r="JQ103" s="143"/>
      <c r="JR103" s="143"/>
      <c r="JS103" s="143"/>
      <c r="JT103" s="143"/>
      <c r="JU103" s="143"/>
      <c r="JV103" s="143"/>
      <c r="JW103" s="143"/>
      <c r="JX103" s="143"/>
      <c r="JY103" s="143"/>
      <c r="JZ103" s="143"/>
      <c r="KA103" s="143"/>
      <c r="KB103" s="143"/>
      <c r="KC103" s="143" t="str">
        <f>Calculations!AW104</f>
        <v>Tin</v>
      </c>
      <c r="KD103" s="143"/>
      <c r="KE103" s="143"/>
      <c r="KF103" s="143"/>
      <c r="KG103" s="143"/>
      <c r="KH103" s="143"/>
      <c r="KI103" s="143"/>
      <c r="KJ103" s="143"/>
      <c r="KK103" s="143"/>
      <c r="KL103" s="143"/>
      <c r="KM103" s="143"/>
      <c r="KN103" s="143"/>
      <c r="KO103" s="143"/>
      <c r="KP103" s="143"/>
      <c r="KQ103" s="143"/>
      <c r="KR103" s="143"/>
      <c r="KS103" s="143"/>
      <c r="KT103" s="143"/>
      <c r="KU103" s="144"/>
      <c r="KV103" s="144"/>
      <c r="KW103" s="144"/>
      <c r="KX103" s="144"/>
      <c r="KY103" s="144"/>
      <c r="KZ103" s="144"/>
      <c r="LA103" s="144"/>
      <c r="LB103" s="144"/>
      <c r="LC103" s="144"/>
      <c r="LD103" s="144"/>
      <c r="LE103" s="144"/>
      <c r="LF103" s="144"/>
      <c r="LG103" s="144"/>
      <c r="LH103" s="144"/>
      <c r="LI103" s="144"/>
      <c r="LJ103" s="144"/>
      <c r="LK103" s="144"/>
      <c r="LL103" s="144"/>
      <c r="LM103" s="144"/>
      <c r="LN103" s="144"/>
      <c r="LO103" s="144"/>
      <c r="LP103" s="144"/>
      <c r="LQ103" s="144"/>
      <c r="LR103" s="144"/>
      <c r="LS103" s="144"/>
      <c r="LT103" s="144"/>
      <c r="LU103" s="144"/>
      <c r="LV103" s="144"/>
      <c r="LW103" s="144"/>
      <c r="LX103" s="144"/>
      <c r="LY103" s="144"/>
      <c r="LZ103" s="144"/>
      <c r="MA103" s="144"/>
      <c r="MB103" s="144"/>
      <c r="MC103" s="144"/>
      <c r="MD103" s="144"/>
      <c r="ME103" s="144"/>
      <c r="MF103" s="144"/>
      <c r="MG103" s="144"/>
      <c r="MH103" s="144"/>
      <c r="MI103" s="144"/>
      <c r="MJ103" s="144"/>
      <c r="MK103" s="144"/>
      <c r="ML103" s="144"/>
      <c r="MM103" s="144"/>
      <c r="MN103" s="144"/>
      <c r="MO103" s="144"/>
      <c r="MP103" s="144"/>
      <c r="MQ103" s="144"/>
      <c r="MR103" s="144"/>
      <c r="MS103" s="144"/>
      <c r="MT103" s="144"/>
      <c r="MU103" s="144"/>
      <c r="MV103" s="144"/>
      <c r="MW103" s="144"/>
      <c r="MX103" s="144"/>
      <c r="MY103" s="144"/>
      <c r="MZ103" s="145"/>
    </row>
    <row r="104" spans="1:364" ht="15" customHeight="1" x14ac:dyDescent="0.25">
      <c r="A104" s="2">
        <v>24</v>
      </c>
      <c r="B104" s="137" t="str">
        <f ca="1">IFERROR(VLOOKUP(A104,Calculations!$ER$2:$ET$31,2,FALSE),"")</f>
        <v/>
      </c>
      <c r="C104" s="138"/>
      <c r="D104" s="138"/>
      <c r="E104" s="138"/>
      <c r="F104" s="138"/>
      <c r="G104" s="138"/>
      <c r="H104" s="138"/>
      <c r="I104" s="138"/>
      <c r="J104" s="138"/>
      <c r="K104" s="138"/>
      <c r="L104" s="138"/>
      <c r="M104" s="138"/>
      <c r="N104" s="138"/>
      <c r="O104" s="138"/>
      <c r="P104" s="138"/>
      <c r="Q104" s="138"/>
      <c r="R104" s="138"/>
      <c r="S104" s="138"/>
      <c r="T104" s="138"/>
      <c r="U104" s="138"/>
      <c r="V104" s="138"/>
      <c r="W104" s="132" t="str">
        <f ca="1">IFERROR(VLOOKUP(B104,Skills!$N$405:$AF$440,19,FALSE),"")</f>
        <v/>
      </c>
      <c r="X104" s="132"/>
      <c r="Y104" s="132"/>
      <c r="Z104" s="132"/>
      <c r="AA104" s="132"/>
      <c r="AB104" s="132"/>
      <c r="AC104" s="132"/>
      <c r="AD104" s="132"/>
      <c r="AE104" s="132" t="str">
        <f ca="1">IF(B104="","",MAX(0,IFERROR(VLOOKUP(B104,Skills!$N$376:$AF$380,19,FALSE),0)))</f>
        <v/>
      </c>
      <c r="AF104" s="132"/>
      <c r="AG104" s="132"/>
      <c r="AH104" s="132"/>
      <c r="AI104" s="132"/>
      <c r="AJ104" s="132"/>
      <c r="AK104" s="132" t="str">
        <f ca="1">IF(B104="","",IFERROR(VLOOKUP(B104,Skills!$N$383:$AF$387,19,FALSE),0))</f>
        <v/>
      </c>
      <c r="AL104" s="132"/>
      <c r="AM104" s="132"/>
      <c r="AN104" s="132"/>
      <c r="AO104" s="132"/>
      <c r="AP104" s="132"/>
      <c r="AQ104" s="132"/>
      <c r="AR104" s="132" t="str">
        <f ca="1">IF(B104="","",(VLOOKUP(B104,Skills!$N$405:$S$440,6,FALSE)))</f>
        <v/>
      </c>
      <c r="AS104" s="132"/>
      <c r="AT104" s="132"/>
      <c r="AU104" s="132"/>
      <c r="AV104" s="132"/>
      <c r="AW104" s="132"/>
      <c r="AX104" s="132"/>
      <c r="AY104" s="132" t="str">
        <f ca="1">IF(B104="","",Calculations!$H$10)</f>
        <v/>
      </c>
      <c r="AZ104" s="132"/>
      <c r="BA104" s="132"/>
      <c r="BB104" s="132"/>
      <c r="BC104" s="132"/>
      <c r="BD104" s="132"/>
      <c r="BE104" s="132"/>
      <c r="BF104" s="132" t="str">
        <f ca="1">SUBSTITUTE(IFERROR(VLOOKUP(A104,Calculations!$ER$2:$ET$31,3,FALSE),""),"Restricted","Rest.")</f>
        <v/>
      </c>
      <c r="BG104" s="132"/>
      <c r="BH104" s="132"/>
      <c r="BI104" s="132"/>
      <c r="BJ104" s="132"/>
      <c r="BK104" s="132"/>
      <c r="BL104" s="132"/>
      <c r="BM104" s="132"/>
      <c r="BN104" s="132"/>
      <c r="BO104" s="132"/>
      <c r="BP104" s="132"/>
      <c r="BQ104" s="132"/>
      <c r="BR104" s="132"/>
      <c r="BS104" s="132"/>
      <c r="BT104" s="132" t="str">
        <f ca="1">IF(B104="","",((AR104)+(AY104)+(VLOOKUP(BF104,Charts!$BV$2:$BW$6,2,FALSE))+(BM104)&amp;"/"&amp;((AR104)+(AY104)+(VLOOKUP(BF104,Charts!$BV$2:$BW$6,2,FALSE))+(BM104)+($BJ$5*2))))</f>
        <v/>
      </c>
      <c r="BU104" s="132"/>
      <c r="BV104" s="132"/>
      <c r="BW104" s="132"/>
      <c r="BX104" s="132"/>
      <c r="BY104" s="132"/>
      <c r="BZ104" s="262"/>
      <c r="CB104" s="137" t="str">
        <f ca="1">Calculations!AN59</f>
        <v/>
      </c>
      <c r="CC104" s="138"/>
      <c r="CD104" s="138"/>
      <c r="CE104" s="138"/>
      <c r="CF104" s="138"/>
      <c r="CG104" s="138"/>
      <c r="CH104" s="138"/>
      <c r="CI104" s="138"/>
      <c r="CJ104" s="138"/>
      <c r="CK104" s="138"/>
      <c r="CL104" s="138"/>
      <c r="CM104" s="138"/>
      <c r="CN104" s="138"/>
      <c r="CO104" s="138"/>
      <c r="CP104" s="138"/>
      <c r="CQ104" s="138"/>
      <c r="CR104" s="138"/>
      <c r="CS104" s="138"/>
      <c r="CT104" s="138"/>
      <c r="CU104" s="138"/>
      <c r="CV104" s="138"/>
      <c r="CW104" s="138"/>
      <c r="CX104" s="138"/>
      <c r="CY104" s="138"/>
      <c r="CZ104" s="138"/>
      <c r="DA104" s="138"/>
      <c r="DB104" s="138"/>
      <c r="DC104" s="138"/>
      <c r="DD104" s="138"/>
      <c r="DE104" s="132" t="str">
        <f ca="1">Calculations!AO59</f>
        <v/>
      </c>
      <c r="DF104" s="132"/>
      <c r="DG104" s="132"/>
      <c r="DH104" s="132"/>
      <c r="DI104" s="132"/>
      <c r="DJ104" s="132"/>
      <c r="DK104" s="132"/>
      <c r="DL104" s="132"/>
      <c r="DM104" s="132"/>
      <c r="DN104" s="119"/>
      <c r="DO104" s="138" t="str">
        <f ca="1">Calculations!AN60</f>
        <v/>
      </c>
      <c r="DP104" s="138"/>
      <c r="DQ104" s="138"/>
      <c r="DR104" s="138"/>
      <c r="DS104" s="138"/>
      <c r="DT104" s="138"/>
      <c r="DU104" s="138"/>
      <c r="DV104" s="138"/>
      <c r="DW104" s="138"/>
      <c r="DX104" s="138"/>
      <c r="DY104" s="138"/>
      <c r="DZ104" s="138"/>
      <c r="EA104" s="138"/>
      <c r="EB104" s="138"/>
      <c r="EC104" s="138"/>
      <c r="ED104" s="138"/>
      <c r="EE104" s="138"/>
      <c r="EF104" s="138"/>
      <c r="EG104" s="138"/>
      <c r="EH104" s="138"/>
      <c r="EI104" s="138"/>
      <c r="EJ104" s="138"/>
      <c r="EK104" s="138"/>
      <c r="EL104" s="138"/>
      <c r="EM104" s="138"/>
      <c r="EN104" s="138"/>
      <c r="EO104" s="138"/>
      <c r="EP104" s="138"/>
      <c r="EQ104" s="138"/>
      <c r="ER104" s="132" t="str">
        <f ca="1">Calculations!AO60</f>
        <v/>
      </c>
      <c r="ES104" s="132"/>
      <c r="ET104" s="132"/>
      <c r="EU104" s="132"/>
      <c r="EV104" s="132"/>
      <c r="EW104" s="132"/>
      <c r="EX104" s="132"/>
      <c r="EY104" s="132"/>
      <c r="EZ104" s="262"/>
      <c r="FB104" s="139" t="s">
        <v>3085</v>
      </c>
      <c r="FC104" s="140"/>
      <c r="FD104" s="140"/>
      <c r="FE104" s="140"/>
      <c r="FF104" s="140"/>
      <c r="FG104" s="140"/>
      <c r="FH104" s="140"/>
      <c r="FI104" s="140"/>
      <c r="FJ104" s="140"/>
      <c r="FK104" s="140"/>
      <c r="FL104" s="140"/>
      <c r="FM104" s="140"/>
      <c r="FN104" s="140"/>
      <c r="FO104" s="140"/>
      <c r="FP104" s="140"/>
      <c r="FQ104" s="140"/>
      <c r="FR104" s="140"/>
      <c r="FS104" s="140"/>
      <c r="FT104" s="140"/>
      <c r="FU104" s="140"/>
      <c r="FV104" s="140"/>
      <c r="FW104" s="140"/>
      <c r="FX104" s="140"/>
      <c r="FY104" s="140"/>
      <c r="FZ104" s="140"/>
      <c r="GA104" s="140"/>
      <c r="GB104" s="140"/>
      <c r="GC104" s="140"/>
      <c r="GD104" s="140"/>
      <c r="GE104" s="140"/>
      <c r="GF104" s="140"/>
      <c r="GG104" s="140"/>
      <c r="GH104" s="140"/>
      <c r="GI104" s="140"/>
      <c r="GJ104" s="140"/>
      <c r="GK104" s="140"/>
      <c r="GL104" s="140"/>
      <c r="GM104" s="140"/>
      <c r="GN104" s="140"/>
      <c r="GO104" s="140"/>
      <c r="GP104" s="140"/>
      <c r="GQ104" s="140"/>
      <c r="GR104" s="140"/>
      <c r="GS104" s="140"/>
      <c r="GT104" s="141">
        <v>1</v>
      </c>
      <c r="GU104" s="141"/>
      <c r="GV104" s="141"/>
      <c r="GW104" s="141"/>
      <c r="GX104" s="141"/>
      <c r="GY104" s="141"/>
      <c r="GZ104" s="141"/>
      <c r="HA104" s="141"/>
      <c r="HB104" s="142">
        <f>IFERROR(ROUND(Calculations!BV105*GT104,2),"")</f>
        <v>1</v>
      </c>
      <c r="HC104" s="142"/>
      <c r="HD104" s="142"/>
      <c r="HE104" s="142"/>
      <c r="HF104" s="142"/>
      <c r="HG104" s="142"/>
      <c r="HH104" s="142"/>
      <c r="HI104" s="142"/>
      <c r="HJ104" s="142">
        <f>IFERROR(Calculations!BS105+IQ104+IX104,"")</f>
        <v>0</v>
      </c>
      <c r="HK104" s="142"/>
      <c r="HL104" s="142"/>
      <c r="HM104" s="142"/>
      <c r="HN104" s="142"/>
      <c r="HO104" s="142"/>
      <c r="HP104" s="142"/>
      <c r="HQ104" s="142"/>
      <c r="HR104" s="142">
        <f t="shared" si="27"/>
        <v>0</v>
      </c>
      <c r="HS104" s="142"/>
      <c r="HT104" s="142"/>
      <c r="HU104" s="142"/>
      <c r="HV104" s="142"/>
      <c r="HW104" s="142"/>
      <c r="HX104" s="142"/>
      <c r="HY104" s="142"/>
      <c r="HZ104" s="142" t="str">
        <f>IFERROR(Calculations!BX105,"")</f>
        <v>$1.2</v>
      </c>
      <c r="IA104" s="142"/>
      <c r="IB104" s="142"/>
      <c r="IC104" s="142"/>
      <c r="ID104" s="142"/>
      <c r="IE104" s="142"/>
      <c r="IF104" s="142"/>
      <c r="IG104" s="142"/>
      <c r="IH104" s="142"/>
      <c r="II104" s="142"/>
      <c r="IJ104" s="142">
        <f>IFERROR(Calculations!BR105+IX104,"")</f>
        <v>0</v>
      </c>
      <c r="IK104" s="142"/>
      <c r="IL104" s="142"/>
      <c r="IM104" s="142"/>
      <c r="IN104" s="142"/>
      <c r="IO104" s="142"/>
      <c r="IP104" s="142"/>
      <c r="IQ104" s="141">
        <v>0</v>
      </c>
      <c r="IR104" s="141"/>
      <c r="IS104" s="141"/>
      <c r="IT104" s="141"/>
      <c r="IU104" s="141"/>
      <c r="IV104" s="141"/>
      <c r="IW104" s="141"/>
      <c r="IX104" s="141">
        <v>0</v>
      </c>
      <c r="IY104" s="141"/>
      <c r="IZ104" s="141"/>
      <c r="JA104" s="141"/>
      <c r="JB104" s="141"/>
      <c r="JC104" s="141"/>
      <c r="JD104" s="141"/>
      <c r="JE104" s="141"/>
      <c r="JF104" s="142"/>
      <c r="JG104" s="142"/>
      <c r="JH104" s="142"/>
      <c r="JI104" s="142"/>
      <c r="JJ104" s="142"/>
      <c r="JK104" s="143" t="str">
        <f>Calculations!AS105</f>
        <v>Heavy Cloth</v>
      </c>
      <c r="JL104" s="143"/>
      <c r="JM104" s="143"/>
      <c r="JN104" s="143"/>
      <c r="JO104" s="143"/>
      <c r="JP104" s="143"/>
      <c r="JQ104" s="143"/>
      <c r="JR104" s="143"/>
      <c r="JS104" s="143"/>
      <c r="JT104" s="143"/>
      <c r="JU104" s="143"/>
      <c r="JV104" s="143"/>
      <c r="JW104" s="143"/>
      <c r="JX104" s="143"/>
      <c r="JY104" s="143"/>
      <c r="JZ104" s="143"/>
      <c r="KA104" s="143"/>
      <c r="KB104" s="143"/>
      <c r="KC104" s="143" t="str">
        <f>Calculations!AW105</f>
        <v>Light Cloth</v>
      </c>
      <c r="KD104" s="143"/>
      <c r="KE104" s="143"/>
      <c r="KF104" s="143"/>
      <c r="KG104" s="143"/>
      <c r="KH104" s="143"/>
      <c r="KI104" s="143"/>
      <c r="KJ104" s="143"/>
      <c r="KK104" s="143"/>
      <c r="KL104" s="143"/>
      <c r="KM104" s="143"/>
      <c r="KN104" s="143"/>
      <c r="KO104" s="143"/>
      <c r="KP104" s="143"/>
      <c r="KQ104" s="143"/>
      <c r="KR104" s="143"/>
      <c r="KS104" s="143"/>
      <c r="KT104" s="143"/>
      <c r="KU104" s="144"/>
      <c r="KV104" s="144"/>
      <c r="KW104" s="144"/>
      <c r="KX104" s="144"/>
      <c r="KY104" s="144"/>
      <c r="KZ104" s="144"/>
      <c r="LA104" s="144"/>
      <c r="LB104" s="144"/>
      <c r="LC104" s="144"/>
      <c r="LD104" s="144"/>
      <c r="LE104" s="144"/>
      <c r="LF104" s="144"/>
      <c r="LG104" s="144"/>
      <c r="LH104" s="144"/>
      <c r="LI104" s="144"/>
      <c r="LJ104" s="144"/>
      <c r="LK104" s="144"/>
      <c r="LL104" s="144"/>
      <c r="LM104" s="144"/>
      <c r="LN104" s="144"/>
      <c r="LO104" s="144"/>
      <c r="LP104" s="144"/>
      <c r="LQ104" s="144"/>
      <c r="LR104" s="144"/>
      <c r="LS104" s="144"/>
      <c r="LT104" s="144"/>
      <c r="LU104" s="144"/>
      <c r="LV104" s="144"/>
      <c r="LW104" s="144"/>
      <c r="LX104" s="144"/>
      <c r="LY104" s="144"/>
      <c r="LZ104" s="144"/>
      <c r="MA104" s="144"/>
      <c r="MB104" s="144"/>
      <c r="MC104" s="144"/>
      <c r="MD104" s="144"/>
      <c r="ME104" s="144"/>
      <c r="MF104" s="144"/>
      <c r="MG104" s="144"/>
      <c r="MH104" s="144"/>
      <c r="MI104" s="144"/>
      <c r="MJ104" s="144"/>
      <c r="MK104" s="144"/>
      <c r="ML104" s="144"/>
      <c r="MM104" s="144"/>
      <c r="MN104" s="144"/>
      <c r="MO104" s="144"/>
      <c r="MP104" s="144"/>
      <c r="MQ104" s="144"/>
      <c r="MR104" s="144"/>
      <c r="MS104" s="144"/>
      <c r="MT104" s="144"/>
      <c r="MU104" s="144"/>
      <c r="MV104" s="144"/>
      <c r="MW104" s="144"/>
      <c r="MX104" s="144"/>
      <c r="MY104" s="144"/>
      <c r="MZ104" s="145"/>
    </row>
    <row r="105" spans="1:364" ht="15" customHeight="1" x14ac:dyDescent="0.2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B105" s="139" t="s">
        <v>3781</v>
      </c>
      <c r="FC105" s="140"/>
      <c r="FD105" s="140"/>
      <c r="FE105" s="140"/>
      <c r="FF105" s="140"/>
      <c r="FG105" s="140"/>
      <c r="FH105" s="140"/>
      <c r="FI105" s="140"/>
      <c r="FJ105" s="140"/>
      <c r="FK105" s="140"/>
      <c r="FL105" s="140"/>
      <c r="FM105" s="140"/>
      <c r="FN105" s="140"/>
      <c r="FO105" s="140"/>
      <c r="FP105" s="140"/>
      <c r="FQ105" s="140"/>
      <c r="FR105" s="140"/>
      <c r="FS105" s="140"/>
      <c r="FT105" s="140"/>
      <c r="FU105" s="140"/>
      <c r="FV105" s="140"/>
      <c r="FW105" s="140"/>
      <c r="FX105" s="140"/>
      <c r="FY105" s="140"/>
      <c r="FZ105" s="140"/>
      <c r="GA105" s="140"/>
      <c r="GB105" s="140"/>
      <c r="GC105" s="140"/>
      <c r="GD105" s="140"/>
      <c r="GE105" s="140"/>
      <c r="GF105" s="140"/>
      <c r="GG105" s="140"/>
      <c r="GH105" s="140"/>
      <c r="GI105" s="140"/>
      <c r="GJ105" s="140"/>
      <c r="GK105" s="140"/>
      <c r="GL105" s="140"/>
      <c r="GM105" s="140"/>
      <c r="GN105" s="140"/>
      <c r="GO105" s="140"/>
      <c r="GP105" s="140"/>
      <c r="GQ105" s="140"/>
      <c r="GR105" s="140"/>
      <c r="GS105" s="140"/>
      <c r="GT105" s="141">
        <v>23</v>
      </c>
      <c r="GU105" s="141"/>
      <c r="GV105" s="141"/>
      <c r="GW105" s="141"/>
      <c r="GX105" s="141"/>
      <c r="GY105" s="141"/>
      <c r="GZ105" s="141"/>
      <c r="HA105" s="141"/>
      <c r="HB105" s="142" t="str">
        <f>IFERROR(ROUND(Calculations!BV106*GT105,2),"")</f>
        <v/>
      </c>
      <c r="HC105" s="142"/>
      <c r="HD105" s="142"/>
      <c r="HE105" s="142"/>
      <c r="HF105" s="142"/>
      <c r="HG105" s="142"/>
      <c r="HH105" s="142"/>
      <c r="HI105" s="142"/>
      <c r="HJ105" s="142">
        <f>IFERROR(Calculations!BS106+IQ105+IX105,"")</f>
        <v>0</v>
      </c>
      <c r="HK105" s="142"/>
      <c r="HL105" s="142"/>
      <c r="HM105" s="142"/>
      <c r="HN105" s="142"/>
      <c r="HO105" s="142"/>
      <c r="HP105" s="142"/>
      <c r="HQ105" s="142"/>
      <c r="HR105" s="142" t="str">
        <f t="shared" si="27"/>
        <v/>
      </c>
      <c r="HS105" s="142"/>
      <c r="HT105" s="142"/>
      <c r="HU105" s="142"/>
      <c r="HV105" s="142"/>
      <c r="HW105" s="142"/>
      <c r="HX105" s="142"/>
      <c r="HY105" s="142"/>
      <c r="HZ105" s="142" t="str">
        <f>IFERROR(Calculations!BX106,"")</f>
        <v/>
      </c>
      <c r="IA105" s="142"/>
      <c r="IB105" s="142"/>
      <c r="IC105" s="142"/>
      <c r="ID105" s="142"/>
      <c r="IE105" s="142"/>
      <c r="IF105" s="142"/>
      <c r="IG105" s="142"/>
      <c r="IH105" s="142"/>
      <c r="II105" s="142"/>
      <c r="IJ105" s="142" t="str">
        <f>IFERROR(Calculations!BR106+IX105,"")</f>
        <v/>
      </c>
      <c r="IK105" s="142"/>
      <c r="IL105" s="142"/>
      <c r="IM105" s="142"/>
      <c r="IN105" s="142"/>
      <c r="IO105" s="142"/>
      <c r="IP105" s="142"/>
      <c r="IQ105" s="141">
        <v>0</v>
      </c>
      <c r="IR105" s="141"/>
      <c r="IS105" s="141"/>
      <c r="IT105" s="141"/>
      <c r="IU105" s="141"/>
      <c r="IV105" s="141"/>
      <c r="IW105" s="141"/>
      <c r="IX105" s="141">
        <v>0</v>
      </c>
      <c r="IY105" s="141"/>
      <c r="IZ105" s="141"/>
      <c r="JA105" s="141"/>
      <c r="JB105" s="141"/>
      <c r="JC105" s="141"/>
      <c r="JD105" s="141"/>
      <c r="JE105" s="141"/>
      <c r="JF105" s="142"/>
      <c r="JG105" s="142"/>
      <c r="JH105" s="142"/>
      <c r="JI105" s="142"/>
      <c r="JJ105" s="142"/>
      <c r="JK105" s="143" t="str">
        <f>Calculations!AS106</f>
        <v/>
      </c>
      <c r="JL105" s="143"/>
      <c r="JM105" s="143"/>
      <c r="JN105" s="143"/>
      <c r="JO105" s="143"/>
      <c r="JP105" s="143"/>
      <c r="JQ105" s="143"/>
      <c r="JR105" s="143"/>
      <c r="JS105" s="143"/>
      <c r="JT105" s="143"/>
      <c r="JU105" s="143"/>
      <c r="JV105" s="143"/>
      <c r="JW105" s="143"/>
      <c r="JX105" s="143"/>
      <c r="JY105" s="143"/>
      <c r="JZ105" s="143"/>
      <c r="KA105" s="143"/>
      <c r="KB105" s="143"/>
      <c r="KC105" s="143" t="str">
        <f>Calculations!AW106</f>
        <v/>
      </c>
      <c r="KD105" s="143"/>
      <c r="KE105" s="143"/>
      <c r="KF105" s="143"/>
      <c r="KG105" s="143"/>
      <c r="KH105" s="143"/>
      <c r="KI105" s="143"/>
      <c r="KJ105" s="143"/>
      <c r="KK105" s="143"/>
      <c r="KL105" s="143"/>
      <c r="KM105" s="143"/>
      <c r="KN105" s="143"/>
      <c r="KO105" s="143"/>
      <c r="KP105" s="143"/>
      <c r="KQ105" s="143"/>
      <c r="KR105" s="143"/>
      <c r="KS105" s="143"/>
      <c r="KT105" s="143"/>
      <c r="KU105" s="144"/>
      <c r="KV105" s="144"/>
      <c r="KW105" s="144"/>
      <c r="KX105" s="144"/>
      <c r="KY105" s="144"/>
      <c r="KZ105" s="144"/>
      <c r="LA105" s="144"/>
      <c r="LB105" s="144"/>
      <c r="LC105" s="144"/>
      <c r="LD105" s="144"/>
      <c r="LE105" s="144"/>
      <c r="LF105" s="144"/>
      <c r="LG105" s="144"/>
      <c r="LH105" s="144"/>
      <c r="LI105" s="144"/>
      <c r="LJ105" s="144"/>
      <c r="LK105" s="144"/>
      <c r="LL105" s="144"/>
      <c r="LM105" s="144"/>
      <c r="LN105" s="144"/>
      <c r="LO105" s="144"/>
      <c r="LP105" s="144"/>
      <c r="LQ105" s="144"/>
      <c r="LR105" s="144"/>
      <c r="LS105" s="144"/>
      <c r="LT105" s="144"/>
      <c r="LU105" s="144"/>
      <c r="LV105" s="144"/>
      <c r="LW105" s="144"/>
      <c r="LX105" s="144"/>
      <c r="LY105" s="144"/>
      <c r="LZ105" s="144"/>
      <c r="MA105" s="144"/>
      <c r="MB105" s="144"/>
      <c r="MC105" s="144"/>
      <c r="MD105" s="144"/>
      <c r="ME105" s="144"/>
      <c r="MF105" s="144"/>
      <c r="MG105" s="144"/>
      <c r="MH105" s="144"/>
      <c r="MI105" s="144"/>
      <c r="MJ105" s="144"/>
      <c r="MK105" s="144"/>
      <c r="ML105" s="144"/>
      <c r="MM105" s="144"/>
      <c r="MN105" s="144"/>
      <c r="MO105" s="144"/>
      <c r="MP105" s="144"/>
      <c r="MQ105" s="144"/>
      <c r="MR105" s="144"/>
      <c r="MS105" s="144"/>
      <c r="MT105" s="144"/>
      <c r="MU105" s="144"/>
      <c r="MV105" s="144"/>
      <c r="MW105" s="144"/>
      <c r="MX105" s="144"/>
      <c r="MY105" s="144"/>
      <c r="MZ105" s="145"/>
    </row>
    <row r="106" spans="1:364" ht="15" customHeight="1" x14ac:dyDescent="0.25">
      <c r="B106" s="176" t="s">
        <v>144</v>
      </c>
      <c r="C106" s="177"/>
      <c r="D106" s="177"/>
      <c r="E106" s="177"/>
      <c r="F106" s="177"/>
      <c r="G106" s="177"/>
      <c r="H106" s="177"/>
      <c r="I106" s="177"/>
      <c r="J106" s="177"/>
      <c r="K106" s="177"/>
      <c r="L106" s="177"/>
      <c r="M106" s="177"/>
      <c r="N106" s="177"/>
      <c r="O106" s="177"/>
      <c r="P106" s="177"/>
      <c r="Q106" s="177"/>
      <c r="R106" s="177"/>
      <c r="S106" s="177"/>
      <c r="T106" s="177"/>
      <c r="U106" s="177"/>
      <c r="V106" s="177"/>
      <c r="W106" s="177"/>
      <c r="X106" s="177"/>
      <c r="Y106" s="177"/>
      <c r="Z106" s="177"/>
      <c r="AA106" s="177"/>
      <c r="AB106" s="177"/>
      <c r="AC106" s="177"/>
      <c r="AD106" s="177"/>
      <c r="AE106" s="177"/>
      <c r="AF106" s="177"/>
      <c r="AG106" s="177"/>
      <c r="AH106" s="177"/>
      <c r="AI106" s="177"/>
      <c r="AJ106" s="177"/>
      <c r="AK106" s="177"/>
      <c r="AL106" s="177"/>
      <c r="AM106" s="177"/>
      <c r="AN106" s="177"/>
      <c r="AO106" s="177"/>
      <c r="AP106" s="177"/>
      <c r="AQ106" s="177"/>
      <c r="AR106" s="177"/>
      <c r="AS106" s="177"/>
      <c r="AT106" s="177"/>
      <c r="AU106" s="177"/>
      <c r="AV106" s="177"/>
      <c r="AW106" s="177"/>
      <c r="AX106" s="177"/>
      <c r="AY106" s="177"/>
      <c r="AZ106" s="177"/>
      <c r="BA106" s="177"/>
      <c r="BB106" s="177"/>
      <c r="BC106" s="177"/>
      <c r="BD106" s="177"/>
      <c r="BE106" s="177"/>
      <c r="BF106" s="177"/>
      <c r="BG106" s="177"/>
      <c r="BH106" s="177"/>
      <c r="BI106" s="177"/>
      <c r="BJ106" s="177"/>
      <c r="BK106" s="177"/>
      <c r="BL106" s="177"/>
      <c r="BM106" s="177"/>
      <c r="BN106" s="177"/>
      <c r="BO106" s="177"/>
      <c r="BP106" s="177"/>
      <c r="BQ106" s="177"/>
      <c r="BR106" s="177"/>
      <c r="BS106" s="177"/>
      <c r="BT106" s="177"/>
      <c r="BU106" s="177"/>
      <c r="BV106" s="177"/>
      <c r="BW106" s="177"/>
      <c r="BX106" s="177"/>
      <c r="BY106" s="177"/>
      <c r="BZ106" s="177"/>
      <c r="CA106" s="177"/>
      <c r="CB106" s="177"/>
      <c r="CC106" s="177"/>
      <c r="CD106" s="177"/>
      <c r="CE106" s="177"/>
      <c r="CF106" s="177"/>
      <c r="CG106" s="177"/>
      <c r="CH106" s="177"/>
      <c r="CI106" s="177"/>
      <c r="CJ106" s="177"/>
      <c r="CK106" s="177"/>
      <c r="CL106" s="177"/>
      <c r="CM106" s="177"/>
      <c r="CN106" s="177"/>
      <c r="CO106" s="177"/>
      <c r="CP106" s="177"/>
      <c r="CQ106" s="177"/>
      <c r="CR106" s="177"/>
      <c r="CS106" s="177"/>
      <c r="CT106" s="177"/>
      <c r="CU106" s="177"/>
      <c r="CV106" s="177"/>
      <c r="CW106" s="177"/>
      <c r="CX106" s="177"/>
      <c r="CY106" s="177"/>
      <c r="CZ106" s="177"/>
      <c r="DA106" s="177"/>
      <c r="DB106" s="177"/>
      <c r="DC106" s="177"/>
      <c r="DD106" s="177"/>
      <c r="DE106" s="177"/>
      <c r="DF106" s="177"/>
      <c r="DG106" s="177"/>
      <c r="DH106" s="177"/>
      <c r="DI106" s="177"/>
      <c r="DJ106" s="177"/>
      <c r="DK106" s="177"/>
      <c r="DL106" s="177"/>
      <c r="DM106" s="177"/>
      <c r="DN106" s="177"/>
      <c r="DO106" s="177"/>
      <c r="DP106" s="177"/>
      <c r="DQ106" s="177"/>
      <c r="DR106" s="177"/>
      <c r="DS106" s="177"/>
      <c r="DT106" s="177"/>
      <c r="DU106" s="177"/>
      <c r="DV106" s="177"/>
      <c r="DW106" s="177"/>
      <c r="DX106" s="177"/>
      <c r="DY106" s="177"/>
      <c r="DZ106" s="177"/>
      <c r="EA106" s="177"/>
      <c r="EB106" s="177"/>
      <c r="EC106" s="177"/>
      <c r="ED106" s="177"/>
      <c r="EE106" s="177"/>
      <c r="EF106" s="177"/>
      <c r="EG106" s="177"/>
      <c r="EH106" s="177"/>
      <c r="EI106" s="177"/>
      <c r="EJ106" s="177"/>
      <c r="EK106" s="177"/>
      <c r="EL106" s="177"/>
      <c r="EM106" s="177"/>
      <c r="EN106" s="177"/>
      <c r="EO106" s="177"/>
      <c r="EP106" s="177"/>
      <c r="EQ106" s="177"/>
      <c r="ER106" s="177"/>
      <c r="ES106" s="177"/>
      <c r="ET106" s="177"/>
      <c r="EU106" s="177"/>
      <c r="EV106" s="177"/>
      <c r="EW106" s="177"/>
      <c r="EX106" s="177"/>
      <c r="EY106" s="177"/>
      <c r="EZ106" s="178"/>
      <c r="FB106" s="139"/>
      <c r="FC106" s="140"/>
      <c r="FD106" s="140"/>
      <c r="FE106" s="140"/>
      <c r="FF106" s="140"/>
      <c r="FG106" s="140"/>
      <c r="FH106" s="140"/>
      <c r="FI106" s="140"/>
      <c r="FJ106" s="140"/>
      <c r="FK106" s="140"/>
      <c r="FL106" s="140"/>
      <c r="FM106" s="140"/>
      <c r="FN106" s="140"/>
      <c r="FO106" s="140"/>
      <c r="FP106" s="140"/>
      <c r="FQ106" s="140"/>
      <c r="FR106" s="140"/>
      <c r="FS106" s="140"/>
      <c r="FT106" s="140"/>
      <c r="FU106" s="140"/>
      <c r="FV106" s="140"/>
      <c r="FW106" s="140"/>
      <c r="FX106" s="140"/>
      <c r="FY106" s="140"/>
      <c r="FZ106" s="140"/>
      <c r="GA106" s="140"/>
      <c r="GB106" s="140"/>
      <c r="GC106" s="140"/>
      <c r="GD106" s="140"/>
      <c r="GE106" s="140"/>
      <c r="GF106" s="140"/>
      <c r="GG106" s="140"/>
      <c r="GH106" s="140"/>
      <c r="GI106" s="140"/>
      <c r="GJ106" s="140"/>
      <c r="GK106" s="140"/>
      <c r="GL106" s="140"/>
      <c r="GM106" s="140"/>
      <c r="GN106" s="140"/>
      <c r="GO106" s="140"/>
      <c r="GP106" s="140"/>
      <c r="GQ106" s="140"/>
      <c r="GR106" s="140"/>
      <c r="GS106" s="140"/>
      <c r="GT106" s="141">
        <v>0</v>
      </c>
      <c r="GU106" s="141"/>
      <c r="GV106" s="141"/>
      <c r="GW106" s="141"/>
      <c r="GX106" s="141"/>
      <c r="GY106" s="141"/>
      <c r="GZ106" s="141"/>
      <c r="HA106" s="141"/>
      <c r="HB106" s="142" t="str">
        <f>IFERROR(ROUND(Calculations!BV107*GT106,2),"")</f>
        <v/>
      </c>
      <c r="HC106" s="142"/>
      <c r="HD106" s="142"/>
      <c r="HE106" s="142"/>
      <c r="HF106" s="142"/>
      <c r="HG106" s="142"/>
      <c r="HH106" s="142"/>
      <c r="HI106" s="142"/>
      <c r="HJ106" s="142">
        <f>IFERROR(Calculations!BS107+IQ106+IX106,"")</f>
        <v>0</v>
      </c>
      <c r="HK106" s="142"/>
      <c r="HL106" s="142"/>
      <c r="HM106" s="142"/>
      <c r="HN106" s="142"/>
      <c r="HO106" s="142"/>
      <c r="HP106" s="142"/>
      <c r="HQ106" s="142"/>
      <c r="HR106" s="142" t="str">
        <f t="shared" si="27"/>
        <v/>
      </c>
      <c r="HS106" s="142"/>
      <c r="HT106" s="142"/>
      <c r="HU106" s="142"/>
      <c r="HV106" s="142"/>
      <c r="HW106" s="142"/>
      <c r="HX106" s="142"/>
      <c r="HY106" s="142"/>
      <c r="HZ106" s="142" t="str">
        <f>IFERROR(Calculations!BX107,"")</f>
        <v/>
      </c>
      <c r="IA106" s="142"/>
      <c r="IB106" s="142"/>
      <c r="IC106" s="142"/>
      <c r="ID106" s="142"/>
      <c r="IE106" s="142"/>
      <c r="IF106" s="142"/>
      <c r="IG106" s="142"/>
      <c r="IH106" s="142"/>
      <c r="II106" s="142"/>
      <c r="IJ106" s="142" t="str">
        <f>IFERROR(Calculations!BR107+IX106,"")</f>
        <v/>
      </c>
      <c r="IK106" s="142"/>
      <c r="IL106" s="142"/>
      <c r="IM106" s="142"/>
      <c r="IN106" s="142"/>
      <c r="IO106" s="142"/>
      <c r="IP106" s="142"/>
      <c r="IQ106" s="141">
        <v>0</v>
      </c>
      <c r="IR106" s="141"/>
      <c r="IS106" s="141"/>
      <c r="IT106" s="141"/>
      <c r="IU106" s="141"/>
      <c r="IV106" s="141"/>
      <c r="IW106" s="141"/>
      <c r="IX106" s="141">
        <v>0</v>
      </c>
      <c r="IY106" s="141"/>
      <c r="IZ106" s="141"/>
      <c r="JA106" s="141"/>
      <c r="JB106" s="141"/>
      <c r="JC106" s="141"/>
      <c r="JD106" s="141"/>
      <c r="JE106" s="141"/>
      <c r="JF106" s="142"/>
      <c r="JG106" s="142"/>
      <c r="JH106" s="142"/>
      <c r="JI106" s="142"/>
      <c r="JJ106" s="142"/>
      <c r="JK106" s="143" t="str">
        <f>Calculations!AS107</f>
        <v/>
      </c>
      <c r="JL106" s="143"/>
      <c r="JM106" s="143"/>
      <c r="JN106" s="143"/>
      <c r="JO106" s="143"/>
      <c r="JP106" s="143"/>
      <c r="JQ106" s="143"/>
      <c r="JR106" s="143"/>
      <c r="JS106" s="143"/>
      <c r="JT106" s="143"/>
      <c r="JU106" s="143"/>
      <c r="JV106" s="143"/>
      <c r="JW106" s="143"/>
      <c r="JX106" s="143"/>
      <c r="JY106" s="143"/>
      <c r="JZ106" s="143"/>
      <c r="KA106" s="143"/>
      <c r="KB106" s="143"/>
      <c r="KC106" s="143" t="str">
        <f>Calculations!AW107</f>
        <v/>
      </c>
      <c r="KD106" s="143"/>
      <c r="KE106" s="143"/>
      <c r="KF106" s="143"/>
      <c r="KG106" s="143"/>
      <c r="KH106" s="143"/>
      <c r="KI106" s="143"/>
      <c r="KJ106" s="143"/>
      <c r="KK106" s="143"/>
      <c r="KL106" s="143"/>
      <c r="KM106" s="143"/>
      <c r="KN106" s="143"/>
      <c r="KO106" s="143"/>
      <c r="KP106" s="143"/>
      <c r="KQ106" s="143"/>
      <c r="KR106" s="143"/>
      <c r="KS106" s="143"/>
      <c r="KT106" s="143"/>
      <c r="KU106" s="144"/>
      <c r="KV106" s="144"/>
      <c r="KW106" s="144"/>
      <c r="KX106" s="144"/>
      <c r="KY106" s="144"/>
      <c r="KZ106" s="144"/>
      <c r="LA106" s="144"/>
      <c r="LB106" s="144"/>
      <c r="LC106" s="144"/>
      <c r="LD106" s="144"/>
      <c r="LE106" s="144"/>
      <c r="LF106" s="144"/>
      <c r="LG106" s="144"/>
      <c r="LH106" s="144"/>
      <c r="LI106" s="144"/>
      <c r="LJ106" s="144"/>
      <c r="LK106" s="144"/>
      <c r="LL106" s="144"/>
      <c r="LM106" s="144"/>
      <c r="LN106" s="144"/>
      <c r="LO106" s="144"/>
      <c r="LP106" s="144"/>
      <c r="LQ106" s="144"/>
      <c r="LR106" s="144"/>
      <c r="LS106" s="144"/>
      <c r="LT106" s="144"/>
      <c r="LU106" s="144"/>
      <c r="LV106" s="144"/>
      <c r="LW106" s="144"/>
      <c r="LX106" s="144"/>
      <c r="LY106" s="144"/>
      <c r="LZ106" s="144"/>
      <c r="MA106" s="144"/>
      <c r="MB106" s="144"/>
      <c r="MC106" s="144"/>
      <c r="MD106" s="144"/>
      <c r="ME106" s="144"/>
      <c r="MF106" s="144"/>
      <c r="MG106" s="144"/>
      <c r="MH106" s="144"/>
      <c r="MI106" s="144"/>
      <c r="MJ106" s="144"/>
      <c r="MK106" s="144"/>
      <c r="ML106" s="144"/>
      <c r="MM106" s="144"/>
      <c r="MN106" s="144"/>
      <c r="MO106" s="144"/>
      <c r="MP106" s="144"/>
      <c r="MQ106" s="144"/>
      <c r="MR106" s="144"/>
      <c r="MS106" s="144"/>
      <c r="MT106" s="144"/>
      <c r="MU106" s="144"/>
      <c r="MV106" s="144"/>
      <c r="MW106" s="144"/>
      <c r="MX106" s="144"/>
      <c r="MY106" s="144"/>
      <c r="MZ106" s="145"/>
    </row>
    <row r="107" spans="1:364" ht="15" customHeight="1" x14ac:dyDescent="0.25">
      <c r="B107" s="181" t="s">
        <v>3116</v>
      </c>
      <c r="C107" s="182"/>
      <c r="D107" s="182"/>
      <c r="E107" s="182"/>
      <c r="F107" s="182"/>
      <c r="G107" s="182"/>
      <c r="H107" s="182"/>
      <c r="I107" s="182"/>
      <c r="J107" s="182"/>
      <c r="K107" s="182"/>
      <c r="L107" s="182"/>
      <c r="M107" s="182"/>
      <c r="N107" s="182"/>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171"/>
      <c r="AM107" s="171"/>
      <c r="AN107" s="171"/>
      <c r="AO107" s="171"/>
      <c r="AP107" s="171"/>
      <c r="AQ107" s="171"/>
      <c r="AR107" s="171"/>
      <c r="AS107" s="171"/>
      <c r="AT107" s="171"/>
      <c r="AU107" s="171"/>
      <c r="AV107" s="171"/>
      <c r="AW107" s="171"/>
      <c r="AX107" s="171"/>
      <c r="AY107" s="171"/>
      <c r="AZ107" s="171"/>
      <c r="BA107" s="171"/>
      <c r="BB107" s="171"/>
      <c r="BC107" s="171"/>
      <c r="BD107" s="171"/>
      <c r="BE107" s="171"/>
      <c r="BF107" s="171"/>
      <c r="BG107" s="171"/>
      <c r="BH107" s="171"/>
      <c r="BI107" s="171"/>
      <c r="BJ107" s="171"/>
      <c r="BK107" s="171"/>
      <c r="BL107" s="171"/>
      <c r="BM107" s="171"/>
      <c r="BN107" s="171"/>
      <c r="BO107" s="171"/>
      <c r="BP107" s="171"/>
      <c r="BQ107" s="171"/>
      <c r="BR107" s="171"/>
      <c r="BS107" s="171"/>
      <c r="BT107" s="171"/>
      <c r="BU107" s="172"/>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B107" s="139"/>
      <c r="FC107" s="140"/>
      <c r="FD107" s="140"/>
      <c r="FE107" s="140"/>
      <c r="FF107" s="140"/>
      <c r="FG107" s="140"/>
      <c r="FH107" s="140"/>
      <c r="FI107" s="140"/>
      <c r="FJ107" s="140"/>
      <c r="FK107" s="140"/>
      <c r="FL107" s="140"/>
      <c r="FM107" s="140"/>
      <c r="FN107" s="140"/>
      <c r="FO107" s="140"/>
      <c r="FP107" s="140"/>
      <c r="FQ107" s="140"/>
      <c r="FR107" s="140"/>
      <c r="FS107" s="140"/>
      <c r="FT107" s="140"/>
      <c r="FU107" s="140"/>
      <c r="FV107" s="140"/>
      <c r="FW107" s="140"/>
      <c r="FX107" s="140"/>
      <c r="FY107" s="140"/>
      <c r="FZ107" s="140"/>
      <c r="GA107" s="140"/>
      <c r="GB107" s="140"/>
      <c r="GC107" s="140"/>
      <c r="GD107" s="140"/>
      <c r="GE107" s="140"/>
      <c r="GF107" s="140"/>
      <c r="GG107" s="140"/>
      <c r="GH107" s="140"/>
      <c r="GI107" s="140"/>
      <c r="GJ107" s="140"/>
      <c r="GK107" s="140"/>
      <c r="GL107" s="140"/>
      <c r="GM107" s="140"/>
      <c r="GN107" s="140"/>
      <c r="GO107" s="140"/>
      <c r="GP107" s="140"/>
      <c r="GQ107" s="140"/>
      <c r="GR107" s="140"/>
      <c r="GS107" s="140"/>
      <c r="GT107" s="141">
        <v>0</v>
      </c>
      <c r="GU107" s="141"/>
      <c r="GV107" s="141"/>
      <c r="GW107" s="141"/>
      <c r="GX107" s="141"/>
      <c r="GY107" s="141"/>
      <c r="GZ107" s="141"/>
      <c r="HA107" s="141"/>
      <c r="HB107" s="142" t="str">
        <f>IFERROR(ROUND(Calculations!BV108*GT107,2),"")</f>
        <v/>
      </c>
      <c r="HC107" s="142"/>
      <c r="HD107" s="142"/>
      <c r="HE107" s="142"/>
      <c r="HF107" s="142"/>
      <c r="HG107" s="142"/>
      <c r="HH107" s="142"/>
      <c r="HI107" s="142"/>
      <c r="HJ107" s="142">
        <f>IFERROR(Calculations!BS108+IQ107+IX107,"")</f>
        <v>0</v>
      </c>
      <c r="HK107" s="142"/>
      <c r="HL107" s="142"/>
      <c r="HM107" s="142"/>
      <c r="HN107" s="142"/>
      <c r="HO107" s="142"/>
      <c r="HP107" s="142"/>
      <c r="HQ107" s="142"/>
      <c r="HR107" s="142" t="str">
        <f t="shared" si="27"/>
        <v/>
      </c>
      <c r="HS107" s="142"/>
      <c r="HT107" s="142"/>
      <c r="HU107" s="142"/>
      <c r="HV107" s="142"/>
      <c r="HW107" s="142"/>
      <c r="HX107" s="142"/>
      <c r="HY107" s="142"/>
      <c r="HZ107" s="142" t="str">
        <f>IFERROR(Calculations!BX108,"")</f>
        <v/>
      </c>
      <c r="IA107" s="142"/>
      <c r="IB107" s="142"/>
      <c r="IC107" s="142"/>
      <c r="ID107" s="142"/>
      <c r="IE107" s="142"/>
      <c r="IF107" s="142"/>
      <c r="IG107" s="142"/>
      <c r="IH107" s="142"/>
      <c r="II107" s="142"/>
      <c r="IJ107" s="142" t="str">
        <f>IFERROR(Calculations!BR108+IX107,"")</f>
        <v/>
      </c>
      <c r="IK107" s="142"/>
      <c r="IL107" s="142"/>
      <c r="IM107" s="142"/>
      <c r="IN107" s="142"/>
      <c r="IO107" s="142"/>
      <c r="IP107" s="142"/>
      <c r="IQ107" s="141">
        <v>0</v>
      </c>
      <c r="IR107" s="141"/>
      <c r="IS107" s="141"/>
      <c r="IT107" s="141"/>
      <c r="IU107" s="141"/>
      <c r="IV107" s="141"/>
      <c r="IW107" s="141"/>
      <c r="IX107" s="141">
        <v>0</v>
      </c>
      <c r="IY107" s="141"/>
      <c r="IZ107" s="141"/>
      <c r="JA107" s="141"/>
      <c r="JB107" s="141"/>
      <c r="JC107" s="141"/>
      <c r="JD107" s="141"/>
      <c r="JE107" s="141"/>
      <c r="JF107" s="142"/>
      <c r="JG107" s="142"/>
      <c r="JH107" s="142"/>
      <c r="JI107" s="142"/>
      <c r="JJ107" s="142"/>
      <c r="JK107" s="143" t="str">
        <f>Calculations!AS108</f>
        <v/>
      </c>
      <c r="JL107" s="143"/>
      <c r="JM107" s="143"/>
      <c r="JN107" s="143"/>
      <c r="JO107" s="143"/>
      <c r="JP107" s="143"/>
      <c r="JQ107" s="143"/>
      <c r="JR107" s="143"/>
      <c r="JS107" s="143"/>
      <c r="JT107" s="143"/>
      <c r="JU107" s="143"/>
      <c r="JV107" s="143"/>
      <c r="JW107" s="143"/>
      <c r="JX107" s="143"/>
      <c r="JY107" s="143"/>
      <c r="JZ107" s="143"/>
      <c r="KA107" s="143"/>
      <c r="KB107" s="143"/>
      <c r="KC107" s="143" t="str">
        <f>Calculations!AW108</f>
        <v/>
      </c>
      <c r="KD107" s="143"/>
      <c r="KE107" s="143"/>
      <c r="KF107" s="143"/>
      <c r="KG107" s="143"/>
      <c r="KH107" s="143"/>
      <c r="KI107" s="143"/>
      <c r="KJ107" s="143"/>
      <c r="KK107" s="143"/>
      <c r="KL107" s="143"/>
      <c r="KM107" s="143"/>
      <c r="KN107" s="143"/>
      <c r="KO107" s="143"/>
      <c r="KP107" s="143"/>
      <c r="KQ107" s="143"/>
      <c r="KR107" s="143"/>
      <c r="KS107" s="143"/>
      <c r="KT107" s="143"/>
      <c r="KU107" s="144"/>
      <c r="KV107" s="144"/>
      <c r="KW107" s="144"/>
      <c r="KX107" s="144"/>
      <c r="KY107" s="144"/>
      <c r="KZ107" s="144"/>
      <c r="LA107" s="144"/>
      <c r="LB107" s="144"/>
      <c r="LC107" s="144"/>
      <c r="LD107" s="144"/>
      <c r="LE107" s="144"/>
      <c r="LF107" s="144"/>
      <c r="LG107" s="144"/>
      <c r="LH107" s="144"/>
      <c r="LI107" s="144"/>
      <c r="LJ107" s="144"/>
      <c r="LK107" s="144"/>
      <c r="LL107" s="144"/>
      <c r="LM107" s="144"/>
      <c r="LN107" s="144"/>
      <c r="LO107" s="144"/>
      <c r="LP107" s="144"/>
      <c r="LQ107" s="144"/>
      <c r="LR107" s="144"/>
      <c r="LS107" s="144"/>
      <c r="LT107" s="144"/>
      <c r="LU107" s="144"/>
      <c r="LV107" s="144"/>
      <c r="LW107" s="144"/>
      <c r="LX107" s="144"/>
      <c r="LY107" s="144"/>
      <c r="LZ107" s="144"/>
      <c r="MA107" s="144"/>
      <c r="MB107" s="144"/>
      <c r="MC107" s="144"/>
      <c r="MD107" s="144"/>
      <c r="ME107" s="144"/>
      <c r="MF107" s="144"/>
      <c r="MG107" s="144"/>
      <c r="MH107" s="144"/>
      <c r="MI107" s="144"/>
      <c r="MJ107" s="144"/>
      <c r="MK107" s="144"/>
      <c r="ML107" s="144"/>
      <c r="MM107" s="144"/>
      <c r="MN107" s="144"/>
      <c r="MO107" s="144"/>
      <c r="MP107" s="144"/>
      <c r="MQ107" s="144"/>
      <c r="MR107" s="144"/>
      <c r="MS107" s="144"/>
      <c r="MT107" s="144"/>
      <c r="MU107" s="144"/>
      <c r="MV107" s="144"/>
      <c r="MW107" s="144"/>
      <c r="MX107" s="144"/>
      <c r="MY107" s="144"/>
      <c r="MZ107" s="145"/>
    </row>
    <row r="108" spans="1:364" ht="15" customHeight="1" x14ac:dyDescent="0.25">
      <c r="B108" s="149" t="s">
        <v>3117</v>
      </c>
      <c r="C108" s="150"/>
      <c r="D108" s="150"/>
      <c r="E108" s="150"/>
      <c r="F108" s="150"/>
      <c r="G108" s="150"/>
      <c r="H108" s="150"/>
      <c r="I108" s="150"/>
      <c r="J108" s="150"/>
      <c r="K108" s="150"/>
      <c r="L108" s="150"/>
      <c r="M108" s="150"/>
      <c r="N108" s="150"/>
      <c r="O108" s="128" t="s">
        <v>3099</v>
      </c>
      <c r="P108" s="128"/>
      <c r="Q108" s="128"/>
      <c r="R108" s="128"/>
      <c r="S108" s="128"/>
      <c r="T108" s="128"/>
      <c r="U108" s="128"/>
      <c r="V108" s="128"/>
      <c r="W108" s="128"/>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c r="BL108" s="128"/>
      <c r="BM108" s="128"/>
      <c r="BN108" s="128"/>
      <c r="BO108" s="128"/>
      <c r="BP108" s="128"/>
      <c r="BQ108" s="128"/>
      <c r="BR108" s="128"/>
      <c r="BS108" s="128"/>
      <c r="BT108" s="128"/>
      <c r="BU108" s="152"/>
      <c r="BW108" s="94" t="s">
        <v>118</v>
      </c>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B108" s="139"/>
      <c r="FC108" s="140"/>
      <c r="FD108" s="140"/>
      <c r="FE108" s="140"/>
      <c r="FF108" s="140"/>
      <c r="FG108" s="140"/>
      <c r="FH108" s="140"/>
      <c r="FI108" s="140"/>
      <c r="FJ108" s="140"/>
      <c r="FK108" s="140"/>
      <c r="FL108" s="140"/>
      <c r="FM108" s="140"/>
      <c r="FN108" s="140"/>
      <c r="FO108" s="140"/>
      <c r="FP108" s="140"/>
      <c r="FQ108" s="140"/>
      <c r="FR108" s="140"/>
      <c r="FS108" s="140"/>
      <c r="FT108" s="140"/>
      <c r="FU108" s="140"/>
      <c r="FV108" s="140"/>
      <c r="FW108" s="140"/>
      <c r="FX108" s="140"/>
      <c r="FY108" s="140"/>
      <c r="FZ108" s="140"/>
      <c r="GA108" s="140"/>
      <c r="GB108" s="140"/>
      <c r="GC108" s="140"/>
      <c r="GD108" s="140"/>
      <c r="GE108" s="140"/>
      <c r="GF108" s="140"/>
      <c r="GG108" s="140"/>
      <c r="GH108" s="140"/>
      <c r="GI108" s="140"/>
      <c r="GJ108" s="140"/>
      <c r="GK108" s="140"/>
      <c r="GL108" s="140"/>
      <c r="GM108" s="140"/>
      <c r="GN108" s="140"/>
      <c r="GO108" s="140"/>
      <c r="GP108" s="140"/>
      <c r="GQ108" s="140"/>
      <c r="GR108" s="140"/>
      <c r="GS108" s="140"/>
      <c r="GT108" s="141">
        <v>0</v>
      </c>
      <c r="GU108" s="141"/>
      <c r="GV108" s="141"/>
      <c r="GW108" s="141"/>
      <c r="GX108" s="141"/>
      <c r="GY108" s="141"/>
      <c r="GZ108" s="141"/>
      <c r="HA108" s="141"/>
      <c r="HB108" s="142" t="str">
        <f>IFERROR(ROUND(Calculations!BV109*GT108,2),"")</f>
        <v/>
      </c>
      <c r="HC108" s="142"/>
      <c r="HD108" s="142"/>
      <c r="HE108" s="142"/>
      <c r="HF108" s="142"/>
      <c r="HG108" s="142"/>
      <c r="HH108" s="142"/>
      <c r="HI108" s="142"/>
      <c r="HJ108" s="142">
        <f>IFERROR(Calculations!BS109+IQ108+IX108,"")</f>
        <v>0</v>
      </c>
      <c r="HK108" s="142"/>
      <c r="HL108" s="142"/>
      <c r="HM108" s="142"/>
      <c r="HN108" s="142"/>
      <c r="HO108" s="142"/>
      <c r="HP108" s="142"/>
      <c r="HQ108" s="142"/>
      <c r="HR108" s="142" t="str">
        <f t="shared" si="27"/>
        <v/>
      </c>
      <c r="HS108" s="142"/>
      <c r="HT108" s="142"/>
      <c r="HU108" s="142"/>
      <c r="HV108" s="142"/>
      <c r="HW108" s="142"/>
      <c r="HX108" s="142"/>
      <c r="HY108" s="142"/>
      <c r="HZ108" s="142" t="str">
        <f>IFERROR(Calculations!BX109,"")</f>
        <v/>
      </c>
      <c r="IA108" s="142"/>
      <c r="IB108" s="142"/>
      <c r="IC108" s="142"/>
      <c r="ID108" s="142"/>
      <c r="IE108" s="142"/>
      <c r="IF108" s="142"/>
      <c r="IG108" s="142"/>
      <c r="IH108" s="142"/>
      <c r="II108" s="142"/>
      <c r="IJ108" s="142" t="str">
        <f>IFERROR(Calculations!BR109+IX108,"")</f>
        <v/>
      </c>
      <c r="IK108" s="142"/>
      <c r="IL108" s="142"/>
      <c r="IM108" s="142"/>
      <c r="IN108" s="142"/>
      <c r="IO108" s="142"/>
      <c r="IP108" s="142"/>
      <c r="IQ108" s="141">
        <v>0</v>
      </c>
      <c r="IR108" s="141"/>
      <c r="IS108" s="141"/>
      <c r="IT108" s="141"/>
      <c r="IU108" s="141"/>
      <c r="IV108" s="141"/>
      <c r="IW108" s="141"/>
      <c r="IX108" s="141">
        <v>0</v>
      </c>
      <c r="IY108" s="141"/>
      <c r="IZ108" s="141"/>
      <c r="JA108" s="141"/>
      <c r="JB108" s="141"/>
      <c r="JC108" s="141"/>
      <c r="JD108" s="141"/>
      <c r="JE108" s="141"/>
      <c r="JF108" s="142"/>
      <c r="JG108" s="142"/>
      <c r="JH108" s="142"/>
      <c r="JI108" s="142"/>
      <c r="JJ108" s="142"/>
      <c r="JK108" s="143" t="str">
        <f>Calculations!AS109</f>
        <v/>
      </c>
      <c r="JL108" s="143"/>
      <c r="JM108" s="143"/>
      <c r="JN108" s="143"/>
      <c r="JO108" s="143"/>
      <c r="JP108" s="143"/>
      <c r="JQ108" s="143"/>
      <c r="JR108" s="143"/>
      <c r="JS108" s="143"/>
      <c r="JT108" s="143"/>
      <c r="JU108" s="143"/>
      <c r="JV108" s="143"/>
      <c r="JW108" s="143"/>
      <c r="JX108" s="143"/>
      <c r="JY108" s="143"/>
      <c r="JZ108" s="143"/>
      <c r="KA108" s="143"/>
      <c r="KB108" s="143"/>
      <c r="KC108" s="143" t="str">
        <f>Calculations!AW109</f>
        <v/>
      </c>
      <c r="KD108" s="143"/>
      <c r="KE108" s="143"/>
      <c r="KF108" s="143"/>
      <c r="KG108" s="143"/>
      <c r="KH108" s="143"/>
      <c r="KI108" s="143"/>
      <c r="KJ108" s="143"/>
      <c r="KK108" s="143"/>
      <c r="KL108" s="143"/>
      <c r="KM108" s="143"/>
      <c r="KN108" s="143"/>
      <c r="KO108" s="143"/>
      <c r="KP108" s="143"/>
      <c r="KQ108" s="143"/>
      <c r="KR108" s="143"/>
      <c r="KS108" s="143"/>
      <c r="KT108" s="143"/>
      <c r="KU108" s="144"/>
      <c r="KV108" s="144"/>
      <c r="KW108" s="144"/>
      <c r="KX108" s="144"/>
      <c r="KY108" s="144"/>
      <c r="KZ108" s="144"/>
      <c r="LA108" s="144"/>
      <c r="LB108" s="144"/>
      <c r="LC108" s="144"/>
      <c r="LD108" s="144"/>
      <c r="LE108" s="144"/>
      <c r="LF108" s="144"/>
      <c r="LG108" s="144"/>
      <c r="LH108" s="144"/>
      <c r="LI108" s="144"/>
      <c r="LJ108" s="144"/>
      <c r="LK108" s="144"/>
      <c r="LL108" s="144"/>
      <c r="LM108" s="144"/>
      <c r="LN108" s="144"/>
      <c r="LO108" s="144"/>
      <c r="LP108" s="144"/>
      <c r="LQ108" s="144"/>
      <c r="LR108" s="144"/>
      <c r="LS108" s="144"/>
      <c r="LT108" s="144"/>
      <c r="LU108" s="144"/>
      <c r="LV108" s="144"/>
      <c r="LW108" s="144"/>
      <c r="LX108" s="144"/>
      <c r="LY108" s="144"/>
      <c r="LZ108" s="144"/>
      <c r="MA108" s="144"/>
      <c r="MB108" s="144"/>
      <c r="MC108" s="144"/>
      <c r="MD108" s="144"/>
      <c r="ME108" s="144"/>
      <c r="MF108" s="144"/>
      <c r="MG108" s="144"/>
      <c r="MH108" s="144"/>
      <c r="MI108" s="144"/>
      <c r="MJ108" s="144"/>
      <c r="MK108" s="144"/>
      <c r="ML108" s="144"/>
      <c r="MM108" s="144"/>
      <c r="MN108" s="144"/>
      <c r="MO108" s="144"/>
      <c r="MP108" s="144"/>
      <c r="MQ108" s="144"/>
      <c r="MR108" s="144"/>
      <c r="MS108" s="144"/>
      <c r="MT108" s="144"/>
      <c r="MU108" s="144"/>
      <c r="MV108" s="144"/>
      <c r="MW108" s="144"/>
      <c r="MX108" s="144"/>
      <c r="MY108" s="144"/>
      <c r="MZ108" s="145"/>
    </row>
    <row r="109" spans="1:364" ht="15" customHeight="1" x14ac:dyDescent="0.4">
      <c r="B109" s="149" t="s">
        <v>4</v>
      </c>
      <c r="C109" s="150"/>
      <c r="D109" s="150"/>
      <c r="E109" s="150"/>
      <c r="F109" s="150"/>
      <c r="G109" s="150"/>
      <c r="H109" s="150"/>
      <c r="I109" s="150"/>
      <c r="J109" s="150"/>
      <c r="K109" s="144">
        <v>13</v>
      </c>
      <c r="L109" s="144"/>
      <c r="M109" s="144"/>
      <c r="N109" s="144"/>
      <c r="O109" s="144"/>
      <c r="P109" s="144"/>
      <c r="Q109" s="144"/>
      <c r="R109" s="144"/>
      <c r="S109" s="144"/>
      <c r="T109" s="150" t="s">
        <v>5</v>
      </c>
      <c r="U109" s="150"/>
      <c r="V109" s="150"/>
      <c r="W109" s="150"/>
      <c r="X109" s="150"/>
      <c r="Y109" s="150"/>
      <c r="Z109" s="150"/>
      <c r="AA109" s="150"/>
      <c r="AB109" s="150"/>
      <c r="AC109" s="144">
        <f>VLOOKUP($O$108,Charts!$BL$3:$BS$12,6,FALSE)</f>
        <v>62</v>
      </c>
      <c r="AD109" s="144"/>
      <c r="AE109" s="144"/>
      <c r="AF109" s="144"/>
      <c r="AG109" s="144"/>
      <c r="AH109" s="144"/>
      <c r="AI109" s="144"/>
      <c r="AJ109" s="144"/>
      <c r="AK109" s="144"/>
      <c r="AL109" s="150" t="s">
        <v>12</v>
      </c>
      <c r="AM109" s="150"/>
      <c r="AN109" s="150"/>
      <c r="AO109" s="150"/>
      <c r="AP109" s="150"/>
      <c r="AQ109" s="150"/>
      <c r="AR109" s="150"/>
      <c r="AS109" s="150"/>
      <c r="AT109" s="150"/>
      <c r="AU109" s="144"/>
      <c r="AV109" s="144"/>
      <c r="AW109" s="144"/>
      <c r="AX109" s="144"/>
      <c r="AY109" s="144"/>
      <c r="AZ109" s="144"/>
      <c r="BA109" s="144"/>
      <c r="BB109" s="144"/>
      <c r="BC109" s="144"/>
      <c r="BD109" s="150" t="s">
        <v>15</v>
      </c>
      <c r="BE109" s="150"/>
      <c r="BF109" s="150"/>
      <c r="BG109" s="150"/>
      <c r="BH109" s="150"/>
      <c r="BI109" s="150"/>
      <c r="BJ109" s="150"/>
      <c r="BK109" s="150"/>
      <c r="BL109" s="150"/>
      <c r="BM109" s="144"/>
      <c r="BN109" s="144"/>
      <c r="BO109" s="144"/>
      <c r="BP109" s="144"/>
      <c r="BQ109" s="144"/>
      <c r="BR109" s="144"/>
      <c r="BS109" s="144"/>
      <c r="BT109" s="144"/>
      <c r="BU109" s="145"/>
      <c r="BW109" s="149" t="s">
        <v>3119</v>
      </c>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47">
        <f>SUM(HB83:HI114)</f>
        <v>63.269999999999996</v>
      </c>
      <c r="CV109" s="147"/>
      <c r="CW109" s="147"/>
      <c r="CX109" s="147"/>
      <c r="CY109" s="147"/>
      <c r="CZ109" s="147"/>
      <c r="DA109" s="147"/>
      <c r="DB109" s="147"/>
      <c r="DC109" s="147"/>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B109" s="139"/>
      <c r="FC109" s="140"/>
      <c r="FD109" s="140"/>
      <c r="FE109" s="140"/>
      <c r="FF109" s="140"/>
      <c r="FG109" s="140"/>
      <c r="FH109" s="140"/>
      <c r="FI109" s="140"/>
      <c r="FJ109" s="140"/>
      <c r="FK109" s="140"/>
      <c r="FL109" s="140"/>
      <c r="FM109" s="140"/>
      <c r="FN109" s="140"/>
      <c r="FO109" s="140"/>
      <c r="FP109" s="140"/>
      <c r="FQ109" s="140"/>
      <c r="FR109" s="140"/>
      <c r="FS109" s="140"/>
      <c r="FT109" s="140"/>
      <c r="FU109" s="140"/>
      <c r="FV109" s="140"/>
      <c r="FW109" s="140"/>
      <c r="FX109" s="140"/>
      <c r="FY109" s="140"/>
      <c r="FZ109" s="140"/>
      <c r="GA109" s="140"/>
      <c r="GB109" s="140"/>
      <c r="GC109" s="140"/>
      <c r="GD109" s="140"/>
      <c r="GE109" s="140"/>
      <c r="GF109" s="140"/>
      <c r="GG109" s="140"/>
      <c r="GH109" s="140"/>
      <c r="GI109" s="140"/>
      <c r="GJ109" s="140"/>
      <c r="GK109" s="140"/>
      <c r="GL109" s="140"/>
      <c r="GM109" s="140"/>
      <c r="GN109" s="140"/>
      <c r="GO109" s="140"/>
      <c r="GP109" s="140"/>
      <c r="GQ109" s="140"/>
      <c r="GR109" s="140"/>
      <c r="GS109" s="140"/>
      <c r="GT109" s="141">
        <v>0</v>
      </c>
      <c r="GU109" s="141"/>
      <c r="GV109" s="141"/>
      <c r="GW109" s="141"/>
      <c r="GX109" s="141"/>
      <c r="GY109" s="141"/>
      <c r="GZ109" s="141"/>
      <c r="HA109" s="141"/>
      <c r="HB109" s="142" t="str">
        <f>IFERROR(ROUND(Calculations!BV110*GT109,2),"")</f>
        <v/>
      </c>
      <c r="HC109" s="142"/>
      <c r="HD109" s="142"/>
      <c r="HE109" s="142"/>
      <c r="HF109" s="142"/>
      <c r="HG109" s="142"/>
      <c r="HH109" s="142"/>
      <c r="HI109" s="142"/>
      <c r="HJ109" s="142">
        <f>IFERROR(Calculations!BS110+IQ109+IX109,"")</f>
        <v>0</v>
      </c>
      <c r="HK109" s="142"/>
      <c r="HL109" s="142"/>
      <c r="HM109" s="142"/>
      <c r="HN109" s="142"/>
      <c r="HO109" s="142"/>
      <c r="HP109" s="142"/>
      <c r="HQ109" s="142"/>
      <c r="HR109" s="142" t="str">
        <f t="shared" ref="HR109:HR114" si="28">IFERROR(VLOOKUP(FB109,ItemChart,4,FALSE),"")</f>
        <v/>
      </c>
      <c r="HS109" s="142"/>
      <c r="HT109" s="142"/>
      <c r="HU109" s="142"/>
      <c r="HV109" s="142"/>
      <c r="HW109" s="142"/>
      <c r="HX109" s="142"/>
      <c r="HY109" s="142"/>
      <c r="HZ109" s="142" t="str">
        <f>IFERROR(Calculations!BX110,"")</f>
        <v/>
      </c>
      <c r="IA109" s="142"/>
      <c r="IB109" s="142"/>
      <c r="IC109" s="142"/>
      <c r="ID109" s="142"/>
      <c r="IE109" s="142"/>
      <c r="IF109" s="142"/>
      <c r="IG109" s="142"/>
      <c r="IH109" s="142"/>
      <c r="II109" s="142"/>
      <c r="IJ109" s="142" t="str">
        <f>IFERROR(Calculations!BR110+IX109,"")</f>
        <v/>
      </c>
      <c r="IK109" s="142"/>
      <c r="IL109" s="142"/>
      <c r="IM109" s="142"/>
      <c r="IN109" s="142"/>
      <c r="IO109" s="142"/>
      <c r="IP109" s="142"/>
      <c r="IQ109" s="141">
        <v>0</v>
      </c>
      <c r="IR109" s="141"/>
      <c r="IS109" s="141"/>
      <c r="IT109" s="141"/>
      <c r="IU109" s="141"/>
      <c r="IV109" s="141"/>
      <c r="IW109" s="141"/>
      <c r="IX109" s="141">
        <v>0</v>
      </c>
      <c r="IY109" s="141"/>
      <c r="IZ109" s="141"/>
      <c r="JA109" s="141"/>
      <c r="JB109" s="141"/>
      <c r="JC109" s="141"/>
      <c r="JD109" s="141"/>
      <c r="JE109" s="141"/>
      <c r="JF109" s="142"/>
      <c r="JG109" s="142"/>
      <c r="JH109" s="142"/>
      <c r="JI109" s="142"/>
      <c r="JJ109" s="142"/>
      <c r="JK109" s="143" t="str">
        <f>Calculations!AS110</f>
        <v/>
      </c>
      <c r="JL109" s="143"/>
      <c r="JM109" s="143"/>
      <c r="JN109" s="143"/>
      <c r="JO109" s="143"/>
      <c r="JP109" s="143"/>
      <c r="JQ109" s="143"/>
      <c r="JR109" s="143"/>
      <c r="JS109" s="143"/>
      <c r="JT109" s="143"/>
      <c r="JU109" s="143"/>
      <c r="JV109" s="143"/>
      <c r="JW109" s="143"/>
      <c r="JX109" s="143"/>
      <c r="JY109" s="143"/>
      <c r="JZ109" s="143"/>
      <c r="KA109" s="143"/>
      <c r="KB109" s="143"/>
      <c r="KC109" s="143" t="str">
        <f>Calculations!AW110</f>
        <v/>
      </c>
      <c r="KD109" s="143"/>
      <c r="KE109" s="143"/>
      <c r="KF109" s="143"/>
      <c r="KG109" s="143"/>
      <c r="KH109" s="143"/>
      <c r="KI109" s="143"/>
      <c r="KJ109" s="143"/>
      <c r="KK109" s="143"/>
      <c r="KL109" s="143"/>
      <c r="KM109" s="143"/>
      <c r="KN109" s="143"/>
      <c r="KO109" s="143"/>
      <c r="KP109" s="143"/>
      <c r="KQ109" s="143"/>
      <c r="KR109" s="143"/>
      <c r="KS109" s="143"/>
      <c r="KT109" s="143"/>
      <c r="KU109" s="144"/>
      <c r="KV109" s="144"/>
      <c r="KW109" s="144"/>
      <c r="KX109" s="144"/>
      <c r="KY109" s="144"/>
      <c r="KZ109" s="144"/>
      <c r="LA109" s="144"/>
      <c r="LB109" s="144"/>
      <c r="LC109" s="144"/>
      <c r="LD109" s="144"/>
      <c r="LE109" s="144"/>
      <c r="LF109" s="144"/>
      <c r="LG109" s="144"/>
      <c r="LH109" s="144"/>
      <c r="LI109" s="144"/>
      <c r="LJ109" s="144"/>
      <c r="LK109" s="144"/>
      <c r="LL109" s="144"/>
      <c r="LM109" s="144"/>
      <c r="LN109" s="144"/>
      <c r="LO109" s="144"/>
      <c r="LP109" s="144"/>
      <c r="LQ109" s="144"/>
      <c r="LR109" s="144"/>
      <c r="LS109" s="144"/>
      <c r="LT109" s="144"/>
      <c r="LU109" s="144"/>
      <c r="LV109" s="144"/>
      <c r="LW109" s="144"/>
      <c r="LX109" s="144"/>
      <c r="LY109" s="144"/>
      <c r="LZ109" s="144"/>
      <c r="MA109" s="144"/>
      <c r="MB109" s="144"/>
      <c r="MC109" s="144"/>
      <c r="MD109" s="144"/>
      <c r="ME109" s="144"/>
      <c r="MF109" s="144"/>
      <c r="MG109" s="144"/>
      <c r="MH109" s="144"/>
      <c r="MI109" s="144"/>
      <c r="MJ109" s="144"/>
      <c r="MK109" s="144"/>
      <c r="ML109" s="144"/>
      <c r="MM109" s="144"/>
      <c r="MN109" s="144"/>
      <c r="MO109" s="144"/>
      <c r="MP109" s="144"/>
      <c r="MQ109" s="144"/>
      <c r="MR109" s="144"/>
      <c r="MS109" s="144"/>
      <c r="MT109" s="144"/>
      <c r="MU109" s="144"/>
      <c r="MV109" s="144"/>
      <c r="MW109" s="144"/>
      <c r="MX109" s="144"/>
      <c r="MY109" s="144"/>
      <c r="MZ109" s="145"/>
    </row>
    <row r="110" spans="1:364" ht="15" customHeight="1" x14ac:dyDescent="0.4">
      <c r="B110" s="149" t="s">
        <v>11</v>
      </c>
      <c r="C110" s="150"/>
      <c r="D110" s="150"/>
      <c r="E110" s="150"/>
      <c r="F110" s="150"/>
      <c r="G110" s="150"/>
      <c r="H110" s="150"/>
      <c r="I110" s="150"/>
      <c r="J110" s="150"/>
      <c r="K110" s="144" t="s">
        <v>1951</v>
      </c>
      <c r="L110" s="144"/>
      <c r="M110" s="144"/>
      <c r="N110" s="144"/>
      <c r="O110" s="144"/>
      <c r="P110" s="144"/>
      <c r="Q110" s="144"/>
      <c r="R110" s="144"/>
      <c r="S110" s="144"/>
      <c r="T110" s="150" t="s">
        <v>6</v>
      </c>
      <c r="U110" s="150"/>
      <c r="V110" s="150"/>
      <c r="W110" s="150"/>
      <c r="X110" s="150"/>
      <c r="Y110" s="150"/>
      <c r="Z110" s="150"/>
      <c r="AA110" s="150"/>
      <c r="AB110" s="150"/>
      <c r="AC110" s="144">
        <f>VLOOKUP($O$108,Charts!$BL$3:$BS$12,7,FALSE)</f>
        <v>1200</v>
      </c>
      <c r="AD110" s="144"/>
      <c r="AE110" s="144"/>
      <c r="AF110" s="144"/>
      <c r="AG110" s="144"/>
      <c r="AH110" s="144"/>
      <c r="AI110" s="144"/>
      <c r="AJ110" s="144"/>
      <c r="AK110" s="144"/>
      <c r="AL110" s="150" t="s">
        <v>3121</v>
      </c>
      <c r="AM110" s="150"/>
      <c r="AN110" s="150"/>
      <c r="AO110" s="150"/>
      <c r="AP110" s="150"/>
      <c r="AQ110" s="150"/>
      <c r="AR110" s="150"/>
      <c r="AS110" s="150"/>
      <c r="AT110" s="150"/>
      <c r="AU110" s="144"/>
      <c r="AV110" s="144"/>
      <c r="AW110" s="144"/>
      <c r="AX110" s="144"/>
      <c r="AY110" s="144"/>
      <c r="AZ110" s="144"/>
      <c r="BA110" s="144"/>
      <c r="BB110" s="144"/>
      <c r="BC110" s="144"/>
      <c r="BD110" s="150" t="s">
        <v>16</v>
      </c>
      <c r="BE110" s="150"/>
      <c r="BF110" s="150"/>
      <c r="BG110" s="150"/>
      <c r="BH110" s="150"/>
      <c r="BI110" s="150"/>
      <c r="BJ110" s="150"/>
      <c r="BK110" s="150"/>
      <c r="BL110" s="150"/>
      <c r="BM110" s="144"/>
      <c r="BN110" s="144"/>
      <c r="BO110" s="144"/>
      <c r="BP110" s="144"/>
      <c r="BQ110" s="144"/>
      <c r="BR110" s="144"/>
      <c r="BS110" s="144"/>
      <c r="BT110" s="144"/>
      <c r="BU110" s="145"/>
      <c r="BW110" s="149" t="s">
        <v>3148</v>
      </c>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47">
        <f>SUM(DA128:DH148)</f>
        <v>0</v>
      </c>
      <c r="CV110" s="147"/>
      <c r="CW110" s="147"/>
      <c r="CX110" s="147"/>
      <c r="CY110" s="147"/>
      <c r="CZ110" s="147"/>
      <c r="DA110" s="147"/>
      <c r="DB110" s="147"/>
      <c r="DC110" s="147"/>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B110" s="139"/>
      <c r="FC110" s="140"/>
      <c r="FD110" s="140"/>
      <c r="FE110" s="140"/>
      <c r="FF110" s="140"/>
      <c r="FG110" s="140"/>
      <c r="FH110" s="140"/>
      <c r="FI110" s="140"/>
      <c r="FJ110" s="140"/>
      <c r="FK110" s="140"/>
      <c r="FL110" s="140"/>
      <c r="FM110" s="140"/>
      <c r="FN110" s="140"/>
      <c r="FO110" s="140"/>
      <c r="FP110" s="140"/>
      <c r="FQ110" s="140"/>
      <c r="FR110" s="140"/>
      <c r="FS110" s="140"/>
      <c r="FT110" s="140"/>
      <c r="FU110" s="140"/>
      <c r="FV110" s="140"/>
      <c r="FW110" s="140"/>
      <c r="FX110" s="140"/>
      <c r="FY110" s="140"/>
      <c r="FZ110" s="140"/>
      <c r="GA110" s="140"/>
      <c r="GB110" s="140"/>
      <c r="GC110" s="140"/>
      <c r="GD110" s="140"/>
      <c r="GE110" s="140"/>
      <c r="GF110" s="140"/>
      <c r="GG110" s="140"/>
      <c r="GH110" s="140"/>
      <c r="GI110" s="140"/>
      <c r="GJ110" s="140"/>
      <c r="GK110" s="140"/>
      <c r="GL110" s="140"/>
      <c r="GM110" s="140"/>
      <c r="GN110" s="140"/>
      <c r="GO110" s="140"/>
      <c r="GP110" s="140"/>
      <c r="GQ110" s="140"/>
      <c r="GR110" s="140"/>
      <c r="GS110" s="140"/>
      <c r="GT110" s="141">
        <v>0</v>
      </c>
      <c r="GU110" s="141"/>
      <c r="GV110" s="141"/>
      <c r="GW110" s="141"/>
      <c r="GX110" s="141"/>
      <c r="GY110" s="141"/>
      <c r="GZ110" s="141"/>
      <c r="HA110" s="141"/>
      <c r="HB110" s="142" t="str">
        <f>IFERROR(ROUND(Calculations!BV111*GT110,2),"")</f>
        <v/>
      </c>
      <c r="HC110" s="142"/>
      <c r="HD110" s="142"/>
      <c r="HE110" s="142"/>
      <c r="HF110" s="142"/>
      <c r="HG110" s="142"/>
      <c r="HH110" s="142"/>
      <c r="HI110" s="142"/>
      <c r="HJ110" s="142">
        <f>IFERROR(Calculations!BS111+IQ110+IX110,"")</f>
        <v>0</v>
      </c>
      <c r="HK110" s="142"/>
      <c r="HL110" s="142"/>
      <c r="HM110" s="142"/>
      <c r="HN110" s="142"/>
      <c r="HO110" s="142"/>
      <c r="HP110" s="142"/>
      <c r="HQ110" s="142"/>
      <c r="HR110" s="142" t="str">
        <f t="shared" si="28"/>
        <v/>
      </c>
      <c r="HS110" s="142"/>
      <c r="HT110" s="142"/>
      <c r="HU110" s="142"/>
      <c r="HV110" s="142"/>
      <c r="HW110" s="142"/>
      <c r="HX110" s="142"/>
      <c r="HY110" s="142"/>
      <c r="HZ110" s="142" t="str">
        <f>IFERROR(Calculations!BX111,"")</f>
        <v/>
      </c>
      <c r="IA110" s="142"/>
      <c r="IB110" s="142"/>
      <c r="IC110" s="142"/>
      <c r="ID110" s="142"/>
      <c r="IE110" s="142"/>
      <c r="IF110" s="142"/>
      <c r="IG110" s="142"/>
      <c r="IH110" s="142"/>
      <c r="II110" s="142"/>
      <c r="IJ110" s="142" t="str">
        <f>IFERROR(Calculations!BR111+IX110,"")</f>
        <v/>
      </c>
      <c r="IK110" s="142"/>
      <c r="IL110" s="142"/>
      <c r="IM110" s="142"/>
      <c r="IN110" s="142"/>
      <c r="IO110" s="142"/>
      <c r="IP110" s="142"/>
      <c r="IQ110" s="141">
        <v>0</v>
      </c>
      <c r="IR110" s="141"/>
      <c r="IS110" s="141"/>
      <c r="IT110" s="141"/>
      <c r="IU110" s="141"/>
      <c r="IV110" s="141"/>
      <c r="IW110" s="141"/>
      <c r="IX110" s="141">
        <v>0</v>
      </c>
      <c r="IY110" s="141"/>
      <c r="IZ110" s="141"/>
      <c r="JA110" s="141"/>
      <c r="JB110" s="141"/>
      <c r="JC110" s="141"/>
      <c r="JD110" s="141"/>
      <c r="JE110" s="141"/>
      <c r="JF110" s="142"/>
      <c r="JG110" s="142"/>
      <c r="JH110" s="142"/>
      <c r="JI110" s="142"/>
      <c r="JJ110" s="142"/>
      <c r="JK110" s="143" t="str">
        <f>Calculations!AS111</f>
        <v/>
      </c>
      <c r="JL110" s="143"/>
      <c r="JM110" s="143"/>
      <c r="JN110" s="143"/>
      <c r="JO110" s="143"/>
      <c r="JP110" s="143"/>
      <c r="JQ110" s="143"/>
      <c r="JR110" s="143"/>
      <c r="JS110" s="143"/>
      <c r="JT110" s="143"/>
      <c r="JU110" s="143"/>
      <c r="JV110" s="143"/>
      <c r="JW110" s="143"/>
      <c r="JX110" s="143"/>
      <c r="JY110" s="143"/>
      <c r="JZ110" s="143"/>
      <c r="KA110" s="143"/>
      <c r="KB110" s="143"/>
      <c r="KC110" s="143" t="str">
        <f>Calculations!AW111</f>
        <v/>
      </c>
      <c r="KD110" s="143"/>
      <c r="KE110" s="143"/>
      <c r="KF110" s="143"/>
      <c r="KG110" s="143"/>
      <c r="KH110" s="143"/>
      <c r="KI110" s="143"/>
      <c r="KJ110" s="143"/>
      <c r="KK110" s="143"/>
      <c r="KL110" s="143"/>
      <c r="KM110" s="143"/>
      <c r="KN110" s="143"/>
      <c r="KO110" s="143"/>
      <c r="KP110" s="143"/>
      <c r="KQ110" s="143"/>
      <c r="KR110" s="143"/>
      <c r="KS110" s="143"/>
      <c r="KT110" s="143"/>
      <c r="KU110" s="144"/>
      <c r="KV110" s="144"/>
      <c r="KW110" s="144"/>
      <c r="KX110" s="144"/>
      <c r="KY110" s="144"/>
      <c r="KZ110" s="144"/>
      <c r="LA110" s="144"/>
      <c r="LB110" s="144"/>
      <c r="LC110" s="144"/>
      <c r="LD110" s="144"/>
      <c r="LE110" s="144"/>
      <c r="LF110" s="144"/>
      <c r="LG110" s="144"/>
      <c r="LH110" s="144"/>
      <c r="LI110" s="144"/>
      <c r="LJ110" s="144"/>
      <c r="LK110" s="144"/>
      <c r="LL110" s="144"/>
      <c r="LM110" s="144"/>
      <c r="LN110" s="144"/>
      <c r="LO110" s="144"/>
      <c r="LP110" s="144"/>
      <c r="LQ110" s="144"/>
      <c r="LR110" s="144"/>
      <c r="LS110" s="144"/>
      <c r="LT110" s="144"/>
      <c r="LU110" s="144"/>
      <c r="LV110" s="144"/>
      <c r="LW110" s="144"/>
      <c r="LX110" s="144"/>
      <c r="LY110" s="144"/>
      <c r="LZ110" s="144"/>
      <c r="MA110" s="144"/>
      <c r="MB110" s="144"/>
      <c r="MC110" s="144"/>
      <c r="MD110" s="144"/>
      <c r="ME110" s="144"/>
      <c r="MF110" s="144"/>
      <c r="MG110" s="144"/>
      <c r="MH110" s="144"/>
      <c r="MI110" s="144"/>
      <c r="MJ110" s="144"/>
      <c r="MK110" s="144"/>
      <c r="ML110" s="144"/>
      <c r="MM110" s="144"/>
      <c r="MN110" s="144"/>
      <c r="MO110" s="144"/>
      <c r="MP110" s="144"/>
      <c r="MQ110" s="144"/>
      <c r="MR110" s="144"/>
      <c r="MS110" s="144"/>
      <c r="MT110" s="144"/>
      <c r="MU110" s="144"/>
      <c r="MV110" s="144"/>
      <c r="MW110" s="144"/>
      <c r="MX110" s="144"/>
      <c r="MY110" s="144"/>
      <c r="MZ110" s="145"/>
    </row>
    <row r="111" spans="1:364" ht="15" customHeight="1" x14ac:dyDescent="0.4">
      <c r="B111" s="164" t="s">
        <v>7</v>
      </c>
      <c r="C111" s="165"/>
      <c r="D111" s="165"/>
      <c r="E111" s="165"/>
      <c r="F111" s="165"/>
      <c r="G111" s="165"/>
      <c r="H111" s="165"/>
      <c r="I111" s="165"/>
      <c r="J111" s="165"/>
      <c r="K111" s="179"/>
      <c r="L111" s="179"/>
      <c r="M111" s="179"/>
      <c r="N111" s="179"/>
      <c r="O111" s="179"/>
      <c r="P111" s="179"/>
      <c r="Q111" s="179"/>
      <c r="R111" s="179"/>
      <c r="S111" s="179"/>
      <c r="T111" s="165" t="s">
        <v>13</v>
      </c>
      <c r="U111" s="165"/>
      <c r="V111" s="165"/>
      <c r="W111" s="165"/>
      <c r="X111" s="165"/>
      <c r="Y111" s="165"/>
      <c r="Z111" s="165"/>
      <c r="AA111" s="165"/>
      <c r="AB111" s="165"/>
      <c r="AC111" s="179"/>
      <c r="AD111" s="179"/>
      <c r="AE111" s="179"/>
      <c r="AF111" s="179"/>
      <c r="AG111" s="179"/>
      <c r="AH111" s="179"/>
      <c r="AI111" s="179"/>
      <c r="AJ111" s="179"/>
      <c r="AK111" s="179"/>
      <c r="AL111" s="165" t="s">
        <v>3120</v>
      </c>
      <c r="AM111" s="165"/>
      <c r="AN111" s="165"/>
      <c r="AO111" s="165"/>
      <c r="AP111" s="165"/>
      <c r="AQ111" s="165"/>
      <c r="AR111" s="165"/>
      <c r="AS111" s="165"/>
      <c r="AT111" s="165"/>
      <c r="AU111" s="179"/>
      <c r="AV111" s="179"/>
      <c r="AW111" s="179"/>
      <c r="AX111" s="179"/>
      <c r="AY111" s="179"/>
      <c r="AZ111" s="179"/>
      <c r="BA111" s="179"/>
      <c r="BB111" s="179"/>
      <c r="BC111" s="179"/>
      <c r="BD111" s="165" t="s">
        <v>20</v>
      </c>
      <c r="BE111" s="165"/>
      <c r="BF111" s="165"/>
      <c r="BG111" s="165"/>
      <c r="BH111" s="165"/>
      <c r="BI111" s="165"/>
      <c r="BJ111" s="165"/>
      <c r="BK111" s="165"/>
      <c r="BL111" s="165"/>
      <c r="BM111" s="179"/>
      <c r="BN111" s="179"/>
      <c r="BO111" s="179"/>
      <c r="BP111" s="179"/>
      <c r="BQ111" s="179"/>
      <c r="BR111" s="179"/>
      <c r="BS111" s="179"/>
      <c r="BT111" s="179"/>
      <c r="BU111" s="180"/>
      <c r="BW111" s="149" t="s">
        <v>3149</v>
      </c>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47"/>
      <c r="CV111" s="147"/>
      <c r="CW111" s="147"/>
      <c r="CX111" s="147"/>
      <c r="CY111" s="147"/>
      <c r="CZ111" s="147"/>
      <c r="DA111" s="147"/>
      <c r="DB111" s="147"/>
      <c r="DC111" s="147"/>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B111" s="151"/>
      <c r="FC111" s="128"/>
      <c r="FD111" s="128"/>
      <c r="FE111" s="128"/>
      <c r="FF111" s="128"/>
      <c r="FG111" s="128"/>
      <c r="FH111" s="128"/>
      <c r="FI111" s="128"/>
      <c r="FJ111" s="128"/>
      <c r="FK111" s="128"/>
      <c r="FL111" s="128"/>
      <c r="FM111" s="128"/>
      <c r="FN111" s="128"/>
      <c r="FO111" s="128"/>
      <c r="FP111" s="128"/>
      <c r="FQ111" s="128"/>
      <c r="FR111" s="128"/>
      <c r="FS111" s="128"/>
      <c r="FT111" s="128"/>
      <c r="FU111" s="128"/>
      <c r="FV111" s="128"/>
      <c r="FW111" s="128"/>
      <c r="FX111" s="128"/>
      <c r="FY111" s="128"/>
      <c r="FZ111" s="128"/>
      <c r="GA111" s="128"/>
      <c r="GB111" s="128"/>
      <c r="GC111" s="128"/>
      <c r="GD111" s="128"/>
      <c r="GE111" s="128"/>
      <c r="GF111" s="128"/>
      <c r="GG111" s="128"/>
      <c r="GH111" s="128"/>
      <c r="GI111" s="128"/>
      <c r="GJ111" s="128"/>
      <c r="GK111" s="128"/>
      <c r="GL111" s="128"/>
      <c r="GM111" s="128"/>
      <c r="GN111" s="128"/>
      <c r="GO111" s="128"/>
      <c r="GP111" s="128"/>
      <c r="GQ111" s="128"/>
      <c r="GR111" s="128"/>
      <c r="GS111" s="128"/>
      <c r="GT111" s="141">
        <v>0</v>
      </c>
      <c r="GU111" s="141"/>
      <c r="GV111" s="141"/>
      <c r="GW111" s="141"/>
      <c r="GX111" s="141"/>
      <c r="GY111" s="141"/>
      <c r="GZ111" s="141"/>
      <c r="HA111" s="141"/>
      <c r="HB111" s="142" t="str">
        <f>IFERROR(ROUND(Calculations!BV112*GT111,2),"")</f>
        <v/>
      </c>
      <c r="HC111" s="142"/>
      <c r="HD111" s="142"/>
      <c r="HE111" s="142"/>
      <c r="HF111" s="142"/>
      <c r="HG111" s="142"/>
      <c r="HH111" s="142"/>
      <c r="HI111" s="142"/>
      <c r="HJ111" s="142">
        <f>IFERROR(Calculations!BS112+IQ111+IX111,"")</f>
        <v>0</v>
      </c>
      <c r="HK111" s="142"/>
      <c r="HL111" s="142"/>
      <c r="HM111" s="142"/>
      <c r="HN111" s="142"/>
      <c r="HO111" s="142"/>
      <c r="HP111" s="142"/>
      <c r="HQ111" s="142"/>
      <c r="HR111" s="142" t="str">
        <f t="shared" si="28"/>
        <v/>
      </c>
      <c r="HS111" s="142"/>
      <c r="HT111" s="142"/>
      <c r="HU111" s="142"/>
      <c r="HV111" s="142"/>
      <c r="HW111" s="142"/>
      <c r="HX111" s="142"/>
      <c r="HY111" s="142"/>
      <c r="HZ111" s="142" t="str">
        <f>IFERROR(Calculations!BX112,"")</f>
        <v/>
      </c>
      <c r="IA111" s="142"/>
      <c r="IB111" s="142"/>
      <c r="IC111" s="142"/>
      <c r="ID111" s="142"/>
      <c r="IE111" s="142"/>
      <c r="IF111" s="142"/>
      <c r="IG111" s="142"/>
      <c r="IH111" s="142"/>
      <c r="II111" s="142"/>
      <c r="IJ111" s="142" t="str">
        <f>IFERROR(Calculations!BR112+IX111,"")</f>
        <v/>
      </c>
      <c r="IK111" s="142"/>
      <c r="IL111" s="142"/>
      <c r="IM111" s="142"/>
      <c r="IN111" s="142"/>
      <c r="IO111" s="142"/>
      <c r="IP111" s="142"/>
      <c r="IQ111" s="141">
        <v>0</v>
      </c>
      <c r="IR111" s="141"/>
      <c r="IS111" s="141"/>
      <c r="IT111" s="141"/>
      <c r="IU111" s="141"/>
      <c r="IV111" s="141"/>
      <c r="IW111" s="141"/>
      <c r="IX111" s="141">
        <v>0</v>
      </c>
      <c r="IY111" s="141"/>
      <c r="IZ111" s="141"/>
      <c r="JA111" s="141"/>
      <c r="JB111" s="141"/>
      <c r="JC111" s="141"/>
      <c r="JD111" s="141"/>
      <c r="JE111" s="141"/>
      <c r="JF111" s="142"/>
      <c r="JG111" s="142"/>
      <c r="JH111" s="142"/>
      <c r="JI111" s="142"/>
      <c r="JJ111" s="142"/>
      <c r="JK111" s="143" t="str">
        <f>Calculations!AS112</f>
        <v/>
      </c>
      <c r="JL111" s="143"/>
      <c r="JM111" s="143"/>
      <c r="JN111" s="143"/>
      <c r="JO111" s="143"/>
      <c r="JP111" s="143"/>
      <c r="JQ111" s="143"/>
      <c r="JR111" s="143"/>
      <c r="JS111" s="143"/>
      <c r="JT111" s="143"/>
      <c r="JU111" s="143"/>
      <c r="JV111" s="143"/>
      <c r="JW111" s="143"/>
      <c r="JX111" s="143"/>
      <c r="JY111" s="143"/>
      <c r="JZ111" s="143"/>
      <c r="KA111" s="143"/>
      <c r="KB111" s="143"/>
      <c r="KC111" s="143" t="str">
        <f>Calculations!AW112</f>
        <v/>
      </c>
      <c r="KD111" s="143"/>
      <c r="KE111" s="143"/>
      <c r="KF111" s="143"/>
      <c r="KG111" s="143"/>
      <c r="KH111" s="143"/>
      <c r="KI111" s="143"/>
      <c r="KJ111" s="143"/>
      <c r="KK111" s="143"/>
      <c r="KL111" s="143"/>
      <c r="KM111" s="143"/>
      <c r="KN111" s="143"/>
      <c r="KO111" s="143"/>
      <c r="KP111" s="143"/>
      <c r="KQ111" s="143"/>
      <c r="KR111" s="143"/>
      <c r="KS111" s="143"/>
      <c r="KT111" s="143"/>
      <c r="KU111" s="144"/>
      <c r="KV111" s="144"/>
      <c r="KW111" s="144"/>
      <c r="KX111" s="144"/>
      <c r="KY111" s="144"/>
      <c r="KZ111" s="144"/>
      <c r="LA111" s="144"/>
      <c r="LB111" s="144"/>
      <c r="LC111" s="144"/>
      <c r="LD111" s="144"/>
      <c r="LE111" s="144"/>
      <c r="LF111" s="144"/>
      <c r="LG111" s="144"/>
      <c r="LH111" s="144"/>
      <c r="LI111" s="144"/>
      <c r="LJ111" s="144"/>
      <c r="LK111" s="144"/>
      <c r="LL111" s="144"/>
      <c r="LM111" s="144"/>
      <c r="LN111" s="144"/>
      <c r="LO111" s="144"/>
      <c r="LP111" s="144"/>
      <c r="LQ111" s="144"/>
      <c r="LR111" s="144"/>
      <c r="LS111" s="144"/>
      <c r="LT111" s="144"/>
      <c r="LU111" s="144"/>
      <c r="LV111" s="144"/>
      <c r="LW111" s="144"/>
      <c r="LX111" s="144"/>
      <c r="LY111" s="144"/>
      <c r="LZ111" s="144"/>
      <c r="MA111" s="144"/>
      <c r="MB111" s="144"/>
      <c r="MC111" s="144"/>
      <c r="MD111" s="144"/>
      <c r="ME111" s="144"/>
      <c r="MF111" s="144"/>
      <c r="MG111" s="144"/>
      <c r="MH111" s="144"/>
      <c r="MI111" s="144"/>
      <c r="MJ111" s="144"/>
      <c r="MK111" s="144"/>
      <c r="ML111" s="144"/>
      <c r="MM111" s="144"/>
      <c r="MN111" s="144"/>
      <c r="MO111" s="144"/>
      <c r="MP111" s="144"/>
      <c r="MQ111" s="144"/>
      <c r="MR111" s="144"/>
      <c r="MS111" s="144"/>
      <c r="MT111" s="144"/>
      <c r="MU111" s="144"/>
      <c r="MV111" s="144"/>
      <c r="MW111" s="144"/>
      <c r="MX111" s="144"/>
      <c r="MY111" s="144"/>
      <c r="MZ111" s="145"/>
    </row>
    <row r="112" spans="1:364" ht="15" customHeight="1" x14ac:dyDescent="0.4">
      <c r="B112" s="91"/>
      <c r="C112" s="91"/>
      <c r="D112" s="91"/>
      <c r="E112" s="91"/>
      <c r="F112" s="91"/>
      <c r="G112" s="91"/>
      <c r="H112" s="91"/>
      <c r="I112" s="91"/>
      <c r="J112" s="91"/>
      <c r="T112" s="91"/>
      <c r="U112" s="91"/>
      <c r="V112" s="91"/>
      <c r="W112" s="91"/>
      <c r="X112" s="91"/>
      <c r="Y112" s="91"/>
      <c r="Z112" s="91"/>
      <c r="AA112" s="91"/>
      <c r="AB112" s="91"/>
      <c r="AL112" s="91"/>
      <c r="AM112" s="91"/>
      <c r="AN112" s="91"/>
      <c r="AO112" s="91"/>
      <c r="AP112" s="91"/>
      <c r="AQ112" s="91"/>
      <c r="AR112" s="91"/>
      <c r="AS112" s="91"/>
      <c r="AT112" s="91"/>
      <c r="BD112" s="91"/>
      <c r="BW112" s="149" t="s">
        <v>3154</v>
      </c>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47">
        <f>VLOOKUP($O$108,Charts!$BL$3:$BS$12,7,FALSE)*0.3</f>
        <v>360</v>
      </c>
      <c r="CV112" s="147"/>
      <c r="CW112" s="147"/>
      <c r="CX112" s="147"/>
      <c r="CY112" s="147"/>
      <c r="CZ112" s="147"/>
      <c r="DA112" s="147"/>
      <c r="DB112" s="147"/>
      <c r="DC112" s="147"/>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B112" s="151"/>
      <c r="FC112" s="128"/>
      <c r="FD112" s="128"/>
      <c r="FE112" s="128"/>
      <c r="FF112" s="128"/>
      <c r="FG112" s="128"/>
      <c r="FH112" s="128"/>
      <c r="FI112" s="128"/>
      <c r="FJ112" s="128"/>
      <c r="FK112" s="128"/>
      <c r="FL112" s="128"/>
      <c r="FM112" s="128"/>
      <c r="FN112" s="128"/>
      <c r="FO112" s="128"/>
      <c r="FP112" s="128"/>
      <c r="FQ112" s="128"/>
      <c r="FR112" s="128"/>
      <c r="FS112" s="128"/>
      <c r="FT112" s="128"/>
      <c r="FU112" s="128"/>
      <c r="FV112" s="128"/>
      <c r="FW112" s="128"/>
      <c r="FX112" s="128"/>
      <c r="FY112" s="128"/>
      <c r="FZ112" s="128"/>
      <c r="GA112" s="128"/>
      <c r="GB112" s="128"/>
      <c r="GC112" s="128"/>
      <c r="GD112" s="128"/>
      <c r="GE112" s="128"/>
      <c r="GF112" s="128"/>
      <c r="GG112" s="128"/>
      <c r="GH112" s="128"/>
      <c r="GI112" s="128"/>
      <c r="GJ112" s="128"/>
      <c r="GK112" s="128"/>
      <c r="GL112" s="128"/>
      <c r="GM112" s="128"/>
      <c r="GN112" s="128"/>
      <c r="GO112" s="128"/>
      <c r="GP112" s="128"/>
      <c r="GQ112" s="128"/>
      <c r="GR112" s="128"/>
      <c r="GS112" s="128"/>
      <c r="GT112" s="141">
        <v>0</v>
      </c>
      <c r="GU112" s="141"/>
      <c r="GV112" s="141"/>
      <c r="GW112" s="141"/>
      <c r="GX112" s="141"/>
      <c r="GY112" s="141"/>
      <c r="GZ112" s="141"/>
      <c r="HA112" s="141"/>
      <c r="HB112" s="142" t="str">
        <f>IFERROR(ROUND(Calculations!BV113*GT112,2),"")</f>
        <v/>
      </c>
      <c r="HC112" s="142"/>
      <c r="HD112" s="142"/>
      <c r="HE112" s="142"/>
      <c r="HF112" s="142"/>
      <c r="HG112" s="142"/>
      <c r="HH112" s="142"/>
      <c r="HI112" s="142"/>
      <c r="HJ112" s="142">
        <f>IFERROR(Calculations!BS113+IQ112+IX112,"")</f>
        <v>0</v>
      </c>
      <c r="HK112" s="142"/>
      <c r="HL112" s="142"/>
      <c r="HM112" s="142"/>
      <c r="HN112" s="142"/>
      <c r="HO112" s="142"/>
      <c r="HP112" s="142"/>
      <c r="HQ112" s="142"/>
      <c r="HR112" s="142" t="str">
        <f t="shared" si="28"/>
        <v/>
      </c>
      <c r="HS112" s="142"/>
      <c r="HT112" s="142"/>
      <c r="HU112" s="142"/>
      <c r="HV112" s="142"/>
      <c r="HW112" s="142"/>
      <c r="HX112" s="142"/>
      <c r="HY112" s="142"/>
      <c r="HZ112" s="142" t="str">
        <f>IFERROR(Calculations!BX113,"")</f>
        <v/>
      </c>
      <c r="IA112" s="142"/>
      <c r="IB112" s="142"/>
      <c r="IC112" s="142"/>
      <c r="ID112" s="142"/>
      <c r="IE112" s="142"/>
      <c r="IF112" s="142"/>
      <c r="IG112" s="142"/>
      <c r="IH112" s="142"/>
      <c r="II112" s="142"/>
      <c r="IJ112" s="142" t="str">
        <f>IFERROR(Calculations!BR113+IX112,"")</f>
        <v/>
      </c>
      <c r="IK112" s="142"/>
      <c r="IL112" s="142"/>
      <c r="IM112" s="142"/>
      <c r="IN112" s="142"/>
      <c r="IO112" s="142"/>
      <c r="IP112" s="142"/>
      <c r="IQ112" s="141">
        <v>0</v>
      </c>
      <c r="IR112" s="141"/>
      <c r="IS112" s="141"/>
      <c r="IT112" s="141"/>
      <c r="IU112" s="141"/>
      <c r="IV112" s="141"/>
      <c r="IW112" s="141"/>
      <c r="IX112" s="141">
        <v>0</v>
      </c>
      <c r="IY112" s="141"/>
      <c r="IZ112" s="141"/>
      <c r="JA112" s="141"/>
      <c r="JB112" s="141"/>
      <c r="JC112" s="141"/>
      <c r="JD112" s="141"/>
      <c r="JE112" s="141"/>
      <c r="JF112" s="142"/>
      <c r="JG112" s="142"/>
      <c r="JH112" s="142"/>
      <c r="JI112" s="142"/>
      <c r="JJ112" s="142"/>
      <c r="JK112" s="143" t="str">
        <f>Calculations!AS113</f>
        <v/>
      </c>
      <c r="JL112" s="143"/>
      <c r="JM112" s="143"/>
      <c r="JN112" s="143"/>
      <c r="JO112" s="143"/>
      <c r="JP112" s="143"/>
      <c r="JQ112" s="143"/>
      <c r="JR112" s="143"/>
      <c r="JS112" s="143"/>
      <c r="JT112" s="143"/>
      <c r="JU112" s="143"/>
      <c r="JV112" s="143"/>
      <c r="JW112" s="143"/>
      <c r="JX112" s="143"/>
      <c r="JY112" s="143"/>
      <c r="JZ112" s="143"/>
      <c r="KA112" s="143"/>
      <c r="KB112" s="143"/>
      <c r="KC112" s="143" t="str">
        <f>Calculations!AW113</f>
        <v/>
      </c>
      <c r="KD112" s="143"/>
      <c r="KE112" s="143"/>
      <c r="KF112" s="143"/>
      <c r="KG112" s="143"/>
      <c r="KH112" s="143"/>
      <c r="KI112" s="143"/>
      <c r="KJ112" s="143"/>
      <c r="KK112" s="143"/>
      <c r="KL112" s="143"/>
      <c r="KM112" s="143"/>
      <c r="KN112" s="143"/>
      <c r="KO112" s="143"/>
      <c r="KP112" s="143"/>
      <c r="KQ112" s="143"/>
      <c r="KR112" s="143"/>
      <c r="KS112" s="143"/>
      <c r="KT112" s="143"/>
      <c r="KU112" s="144"/>
      <c r="KV112" s="144"/>
      <c r="KW112" s="144"/>
      <c r="KX112" s="144"/>
      <c r="KY112" s="144"/>
      <c r="KZ112" s="144"/>
      <c r="LA112" s="144"/>
      <c r="LB112" s="144"/>
      <c r="LC112" s="144"/>
      <c r="LD112" s="144"/>
      <c r="LE112" s="144"/>
      <c r="LF112" s="144"/>
      <c r="LG112" s="144"/>
      <c r="LH112" s="144"/>
      <c r="LI112" s="144"/>
      <c r="LJ112" s="144"/>
      <c r="LK112" s="144"/>
      <c r="LL112" s="144"/>
      <c r="LM112" s="144"/>
      <c r="LN112" s="144"/>
      <c r="LO112" s="144"/>
      <c r="LP112" s="144"/>
      <c r="LQ112" s="144"/>
      <c r="LR112" s="144"/>
      <c r="LS112" s="144"/>
      <c r="LT112" s="144"/>
      <c r="LU112" s="144"/>
      <c r="LV112" s="144"/>
      <c r="LW112" s="144"/>
      <c r="LX112" s="144"/>
      <c r="LY112" s="144"/>
      <c r="LZ112" s="144"/>
      <c r="MA112" s="144"/>
      <c r="MB112" s="144"/>
      <c r="MC112" s="144"/>
      <c r="MD112" s="144"/>
      <c r="ME112" s="144"/>
      <c r="MF112" s="144"/>
      <c r="MG112" s="144"/>
      <c r="MH112" s="144"/>
      <c r="MI112" s="144"/>
      <c r="MJ112" s="144"/>
      <c r="MK112" s="144"/>
      <c r="ML112" s="144"/>
      <c r="MM112" s="144"/>
      <c r="MN112" s="144"/>
      <c r="MO112" s="144"/>
      <c r="MP112" s="144"/>
      <c r="MQ112" s="144"/>
      <c r="MR112" s="144"/>
      <c r="MS112" s="144"/>
      <c r="MT112" s="144"/>
      <c r="MU112" s="144"/>
      <c r="MV112" s="144"/>
      <c r="MW112" s="144"/>
      <c r="MX112" s="144"/>
      <c r="MY112" s="144"/>
      <c r="MZ112" s="145"/>
    </row>
    <row r="113" spans="1:364" ht="15" customHeight="1" x14ac:dyDescent="0.4">
      <c r="B113" s="166" t="s">
        <v>24</v>
      </c>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c r="AA113" s="167"/>
      <c r="AB113" s="167"/>
      <c r="AC113" s="167"/>
      <c r="AD113" s="167"/>
      <c r="AE113" s="167"/>
      <c r="AF113" s="167"/>
      <c r="AG113" s="167"/>
      <c r="AH113" s="167"/>
      <c r="AI113" s="168"/>
      <c r="AK113" s="166" t="s">
        <v>41</v>
      </c>
      <c r="AL113" s="167"/>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c r="BG113" s="167"/>
      <c r="BH113" s="167"/>
      <c r="BI113" s="167"/>
      <c r="BJ113" s="167"/>
      <c r="BK113" s="167"/>
      <c r="BL113" s="167"/>
      <c r="BM113" s="167"/>
      <c r="BN113" s="167"/>
      <c r="BO113" s="167"/>
      <c r="BP113" s="167"/>
      <c r="BQ113" s="167"/>
      <c r="BR113" s="167"/>
      <c r="BS113" s="167"/>
      <c r="BT113" s="167"/>
      <c r="BU113" s="168"/>
      <c r="BV113" s="1"/>
      <c r="BW113" s="149" t="s">
        <v>3158</v>
      </c>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46">
        <f>CU109</f>
        <v>63.269999999999996</v>
      </c>
      <c r="CV113" s="146"/>
      <c r="CW113" s="146"/>
      <c r="CX113" s="146"/>
      <c r="CY113" s="146"/>
      <c r="CZ113" s="146"/>
      <c r="DA113" s="146"/>
      <c r="DB113" s="146"/>
      <c r="DC113" s="146"/>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B113" s="151"/>
      <c r="FC113" s="128"/>
      <c r="FD113" s="128"/>
      <c r="FE113" s="128"/>
      <c r="FF113" s="128"/>
      <c r="FG113" s="128"/>
      <c r="FH113" s="128"/>
      <c r="FI113" s="128"/>
      <c r="FJ113" s="128"/>
      <c r="FK113" s="128"/>
      <c r="FL113" s="128"/>
      <c r="FM113" s="128"/>
      <c r="FN113" s="128"/>
      <c r="FO113" s="128"/>
      <c r="FP113" s="128"/>
      <c r="FQ113" s="128"/>
      <c r="FR113" s="128"/>
      <c r="FS113" s="128"/>
      <c r="FT113" s="128"/>
      <c r="FU113" s="128"/>
      <c r="FV113" s="128"/>
      <c r="FW113" s="128"/>
      <c r="FX113" s="128"/>
      <c r="FY113" s="128"/>
      <c r="FZ113" s="128"/>
      <c r="GA113" s="128"/>
      <c r="GB113" s="128"/>
      <c r="GC113" s="128"/>
      <c r="GD113" s="128"/>
      <c r="GE113" s="128"/>
      <c r="GF113" s="128"/>
      <c r="GG113" s="128"/>
      <c r="GH113" s="128"/>
      <c r="GI113" s="128"/>
      <c r="GJ113" s="128"/>
      <c r="GK113" s="128"/>
      <c r="GL113" s="128"/>
      <c r="GM113" s="128"/>
      <c r="GN113" s="128"/>
      <c r="GO113" s="128"/>
      <c r="GP113" s="128"/>
      <c r="GQ113" s="128"/>
      <c r="GR113" s="128"/>
      <c r="GS113" s="128"/>
      <c r="GT113" s="141">
        <v>0</v>
      </c>
      <c r="GU113" s="141"/>
      <c r="GV113" s="141"/>
      <c r="GW113" s="141"/>
      <c r="GX113" s="141"/>
      <c r="GY113" s="141"/>
      <c r="GZ113" s="141"/>
      <c r="HA113" s="141"/>
      <c r="HB113" s="142" t="str">
        <f>IFERROR(ROUND(Calculations!BV114*GT113,2),"")</f>
        <v/>
      </c>
      <c r="HC113" s="142"/>
      <c r="HD113" s="142"/>
      <c r="HE113" s="142"/>
      <c r="HF113" s="142"/>
      <c r="HG113" s="142"/>
      <c r="HH113" s="142"/>
      <c r="HI113" s="142"/>
      <c r="HJ113" s="142">
        <f>IFERROR(Calculations!BS114+IQ113+IX113,"")</f>
        <v>0</v>
      </c>
      <c r="HK113" s="142"/>
      <c r="HL113" s="142"/>
      <c r="HM113" s="142"/>
      <c r="HN113" s="142"/>
      <c r="HO113" s="142"/>
      <c r="HP113" s="142"/>
      <c r="HQ113" s="142"/>
      <c r="HR113" s="142" t="str">
        <f t="shared" si="28"/>
        <v/>
      </c>
      <c r="HS113" s="142"/>
      <c r="HT113" s="142"/>
      <c r="HU113" s="142"/>
      <c r="HV113" s="142"/>
      <c r="HW113" s="142"/>
      <c r="HX113" s="142"/>
      <c r="HY113" s="142"/>
      <c r="HZ113" s="142" t="str">
        <f>IFERROR(Calculations!BX114,"")</f>
        <v/>
      </c>
      <c r="IA113" s="142"/>
      <c r="IB113" s="142"/>
      <c r="IC113" s="142"/>
      <c r="ID113" s="142"/>
      <c r="IE113" s="142"/>
      <c r="IF113" s="142"/>
      <c r="IG113" s="142"/>
      <c r="IH113" s="142"/>
      <c r="II113" s="142"/>
      <c r="IJ113" s="142" t="str">
        <f>IFERROR(Calculations!BR114+IX113,"")</f>
        <v/>
      </c>
      <c r="IK113" s="142"/>
      <c r="IL113" s="142"/>
      <c r="IM113" s="142"/>
      <c r="IN113" s="142"/>
      <c r="IO113" s="142"/>
      <c r="IP113" s="142"/>
      <c r="IQ113" s="141">
        <v>0</v>
      </c>
      <c r="IR113" s="141"/>
      <c r="IS113" s="141"/>
      <c r="IT113" s="141"/>
      <c r="IU113" s="141"/>
      <c r="IV113" s="141"/>
      <c r="IW113" s="141"/>
      <c r="IX113" s="141">
        <v>0</v>
      </c>
      <c r="IY113" s="141"/>
      <c r="IZ113" s="141"/>
      <c r="JA113" s="141"/>
      <c r="JB113" s="141"/>
      <c r="JC113" s="141"/>
      <c r="JD113" s="141"/>
      <c r="JE113" s="141"/>
      <c r="JF113" s="142"/>
      <c r="JG113" s="142"/>
      <c r="JH113" s="142"/>
      <c r="JI113" s="142"/>
      <c r="JJ113" s="142"/>
      <c r="JK113" s="143" t="str">
        <f>Calculations!AS114</f>
        <v/>
      </c>
      <c r="JL113" s="143"/>
      <c r="JM113" s="143"/>
      <c r="JN113" s="143"/>
      <c r="JO113" s="143"/>
      <c r="JP113" s="143"/>
      <c r="JQ113" s="143"/>
      <c r="JR113" s="143"/>
      <c r="JS113" s="143"/>
      <c r="JT113" s="143"/>
      <c r="JU113" s="143"/>
      <c r="JV113" s="143"/>
      <c r="JW113" s="143"/>
      <c r="JX113" s="143"/>
      <c r="JY113" s="143"/>
      <c r="JZ113" s="143"/>
      <c r="KA113" s="143"/>
      <c r="KB113" s="143"/>
      <c r="KC113" s="143" t="str">
        <f>Calculations!AW114</f>
        <v/>
      </c>
      <c r="KD113" s="143"/>
      <c r="KE113" s="143"/>
      <c r="KF113" s="143"/>
      <c r="KG113" s="143"/>
      <c r="KH113" s="143"/>
      <c r="KI113" s="143"/>
      <c r="KJ113" s="143"/>
      <c r="KK113" s="143"/>
      <c r="KL113" s="143"/>
      <c r="KM113" s="143"/>
      <c r="KN113" s="143"/>
      <c r="KO113" s="143"/>
      <c r="KP113" s="143"/>
      <c r="KQ113" s="143"/>
      <c r="KR113" s="143"/>
      <c r="KS113" s="143"/>
      <c r="KT113" s="143"/>
      <c r="KU113" s="144"/>
      <c r="KV113" s="144"/>
      <c r="KW113" s="144"/>
      <c r="KX113" s="144"/>
      <c r="KY113" s="144"/>
      <c r="KZ113" s="144"/>
      <c r="LA113" s="144"/>
      <c r="LB113" s="144"/>
      <c r="LC113" s="144"/>
      <c r="LD113" s="144"/>
      <c r="LE113" s="144"/>
      <c r="LF113" s="144"/>
      <c r="LG113" s="144"/>
      <c r="LH113" s="144"/>
      <c r="LI113" s="144"/>
      <c r="LJ113" s="144"/>
      <c r="LK113" s="144"/>
      <c r="LL113" s="144"/>
      <c r="LM113" s="144"/>
      <c r="LN113" s="144"/>
      <c r="LO113" s="144"/>
      <c r="LP113" s="144"/>
      <c r="LQ113" s="144"/>
      <c r="LR113" s="144"/>
      <c r="LS113" s="144"/>
      <c r="LT113" s="144"/>
      <c r="LU113" s="144"/>
      <c r="LV113" s="144"/>
      <c r="LW113" s="144"/>
      <c r="LX113" s="144"/>
      <c r="LY113" s="144"/>
      <c r="LZ113" s="144"/>
      <c r="MA113" s="144"/>
      <c r="MB113" s="144"/>
      <c r="MC113" s="144"/>
      <c r="MD113" s="144"/>
      <c r="ME113" s="144"/>
      <c r="MF113" s="144"/>
      <c r="MG113" s="144"/>
      <c r="MH113" s="144"/>
      <c r="MI113" s="144"/>
      <c r="MJ113" s="144"/>
      <c r="MK113" s="144"/>
      <c r="ML113" s="144"/>
      <c r="MM113" s="144"/>
      <c r="MN113" s="144"/>
      <c r="MO113" s="144"/>
      <c r="MP113" s="144"/>
      <c r="MQ113" s="144"/>
      <c r="MR113" s="144"/>
      <c r="MS113" s="144"/>
      <c r="MT113" s="144"/>
      <c r="MU113" s="144"/>
      <c r="MV113" s="144"/>
      <c r="MW113" s="144"/>
      <c r="MX113" s="144"/>
      <c r="MY113" s="144"/>
      <c r="MZ113" s="145"/>
    </row>
    <row r="114" spans="1:364" ht="15" customHeight="1" x14ac:dyDescent="0.4">
      <c r="B114" s="181"/>
      <c r="C114" s="182"/>
      <c r="D114" s="182"/>
      <c r="E114" s="182"/>
      <c r="F114" s="182"/>
      <c r="G114" s="182"/>
      <c r="H114" s="182"/>
      <c r="I114" s="182"/>
      <c r="J114" s="182"/>
      <c r="K114" s="182"/>
      <c r="L114" s="182"/>
      <c r="M114" s="182"/>
      <c r="N114" s="182"/>
      <c r="O114" s="182" t="s">
        <v>50</v>
      </c>
      <c r="P114" s="182"/>
      <c r="Q114" s="182"/>
      <c r="R114" s="182"/>
      <c r="S114" s="182"/>
      <c r="T114" s="182"/>
      <c r="U114" s="182"/>
      <c r="V114" s="170" t="s">
        <v>39</v>
      </c>
      <c r="W114" s="170"/>
      <c r="X114" s="170"/>
      <c r="Y114" s="170"/>
      <c r="Z114" s="170"/>
      <c r="AA114" s="170"/>
      <c r="AB114" s="170"/>
      <c r="AC114" s="170" t="s">
        <v>40</v>
      </c>
      <c r="AD114" s="170"/>
      <c r="AE114" s="170"/>
      <c r="AF114" s="170"/>
      <c r="AG114" s="170"/>
      <c r="AH114" s="170"/>
      <c r="AI114" s="183"/>
      <c r="AK114" s="175"/>
      <c r="AL114" s="129"/>
      <c r="AM114" s="129"/>
      <c r="AN114" s="129"/>
      <c r="AO114" s="129"/>
      <c r="AP114" s="129"/>
      <c r="AQ114" s="129"/>
      <c r="AR114" s="129"/>
      <c r="AS114" s="129"/>
      <c r="AT114" s="129"/>
      <c r="AU114" s="129"/>
      <c r="AV114" s="129"/>
      <c r="AW114" s="129"/>
      <c r="AX114" s="129"/>
      <c r="AY114" s="129"/>
      <c r="AZ114" s="129"/>
      <c r="BA114" s="129" t="s">
        <v>50</v>
      </c>
      <c r="BB114" s="129"/>
      <c r="BC114" s="129"/>
      <c r="BD114" s="129"/>
      <c r="BE114" s="129"/>
      <c r="BF114" s="129"/>
      <c r="BG114" s="129"/>
      <c r="BH114" s="129" t="s">
        <v>51</v>
      </c>
      <c r="BI114" s="129"/>
      <c r="BJ114" s="129"/>
      <c r="BK114" s="129"/>
      <c r="BL114" s="129"/>
      <c r="BM114" s="129"/>
      <c r="BN114" s="129"/>
      <c r="BO114" s="129" t="s">
        <v>40</v>
      </c>
      <c r="BP114" s="129"/>
      <c r="BQ114" s="129"/>
      <c r="BR114" s="129"/>
      <c r="BS114" s="129"/>
      <c r="BT114" s="129"/>
      <c r="BU114" s="173"/>
      <c r="BW114" s="149" t="s">
        <v>3118</v>
      </c>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48">
        <f>IF(CU113&gt;$CU$112,0-(CU113-$CU$112),0)+$CU$120</f>
        <v>0</v>
      </c>
      <c r="CV114" s="148"/>
      <c r="CW114" s="148"/>
      <c r="CX114" s="148"/>
      <c r="CY114" s="148"/>
      <c r="CZ114" s="148"/>
      <c r="DA114" s="148"/>
      <c r="DB114" s="148"/>
      <c r="DC114" s="10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B114" s="184"/>
      <c r="FC114" s="161"/>
      <c r="FD114" s="161"/>
      <c r="FE114" s="161"/>
      <c r="FF114" s="161"/>
      <c r="FG114" s="161"/>
      <c r="FH114" s="161"/>
      <c r="FI114" s="161"/>
      <c r="FJ114" s="161"/>
      <c r="FK114" s="161"/>
      <c r="FL114" s="161"/>
      <c r="FM114" s="161"/>
      <c r="FN114" s="161"/>
      <c r="FO114" s="161"/>
      <c r="FP114" s="161"/>
      <c r="FQ114" s="161"/>
      <c r="FR114" s="161"/>
      <c r="FS114" s="161"/>
      <c r="FT114" s="161"/>
      <c r="FU114" s="161"/>
      <c r="FV114" s="161"/>
      <c r="FW114" s="161"/>
      <c r="FX114" s="161"/>
      <c r="FY114" s="161"/>
      <c r="FZ114" s="161"/>
      <c r="GA114" s="161"/>
      <c r="GB114" s="161"/>
      <c r="GC114" s="161"/>
      <c r="GD114" s="161"/>
      <c r="GE114" s="161"/>
      <c r="GF114" s="161"/>
      <c r="GG114" s="161"/>
      <c r="GH114" s="161"/>
      <c r="GI114" s="161"/>
      <c r="GJ114" s="161"/>
      <c r="GK114" s="161"/>
      <c r="GL114" s="161"/>
      <c r="GM114" s="161"/>
      <c r="GN114" s="161"/>
      <c r="GO114" s="161"/>
      <c r="GP114" s="161"/>
      <c r="GQ114" s="161"/>
      <c r="GR114" s="161"/>
      <c r="GS114" s="161"/>
      <c r="GT114" s="185">
        <v>0</v>
      </c>
      <c r="GU114" s="185"/>
      <c r="GV114" s="185"/>
      <c r="GW114" s="185"/>
      <c r="GX114" s="185"/>
      <c r="GY114" s="185"/>
      <c r="GZ114" s="185"/>
      <c r="HA114" s="185"/>
      <c r="HB114" s="186" t="str">
        <f>IFERROR(ROUND(Calculations!BV115*GT114,2),"")</f>
        <v/>
      </c>
      <c r="HC114" s="186"/>
      <c r="HD114" s="186"/>
      <c r="HE114" s="186"/>
      <c r="HF114" s="186"/>
      <c r="HG114" s="186"/>
      <c r="HH114" s="186"/>
      <c r="HI114" s="186"/>
      <c r="HJ114" s="186">
        <f>IFERROR(Calculations!BS115+IQ114+IX114,"")</f>
        <v>0</v>
      </c>
      <c r="HK114" s="186"/>
      <c r="HL114" s="186"/>
      <c r="HM114" s="186"/>
      <c r="HN114" s="186"/>
      <c r="HO114" s="186"/>
      <c r="HP114" s="186"/>
      <c r="HQ114" s="186"/>
      <c r="HR114" s="186" t="str">
        <f t="shared" si="28"/>
        <v/>
      </c>
      <c r="HS114" s="186"/>
      <c r="HT114" s="186"/>
      <c r="HU114" s="186"/>
      <c r="HV114" s="186"/>
      <c r="HW114" s="186"/>
      <c r="HX114" s="186"/>
      <c r="HY114" s="186"/>
      <c r="HZ114" s="186" t="str">
        <f>IFERROR(Calculations!BX115,"")</f>
        <v/>
      </c>
      <c r="IA114" s="186"/>
      <c r="IB114" s="186"/>
      <c r="IC114" s="186"/>
      <c r="ID114" s="186"/>
      <c r="IE114" s="186"/>
      <c r="IF114" s="186"/>
      <c r="IG114" s="186"/>
      <c r="IH114" s="186"/>
      <c r="II114" s="186"/>
      <c r="IJ114" s="186" t="str">
        <f>IFERROR(Calculations!BR115+IX114,"")</f>
        <v/>
      </c>
      <c r="IK114" s="186"/>
      <c r="IL114" s="186"/>
      <c r="IM114" s="186"/>
      <c r="IN114" s="186"/>
      <c r="IO114" s="186"/>
      <c r="IP114" s="186"/>
      <c r="IQ114" s="185">
        <v>0</v>
      </c>
      <c r="IR114" s="185"/>
      <c r="IS114" s="185"/>
      <c r="IT114" s="185"/>
      <c r="IU114" s="185"/>
      <c r="IV114" s="185"/>
      <c r="IW114" s="185"/>
      <c r="IX114" s="185">
        <v>0</v>
      </c>
      <c r="IY114" s="185"/>
      <c r="IZ114" s="185"/>
      <c r="JA114" s="185"/>
      <c r="JB114" s="185"/>
      <c r="JC114" s="185"/>
      <c r="JD114" s="185"/>
      <c r="JE114" s="185"/>
      <c r="JF114" s="186"/>
      <c r="JG114" s="186"/>
      <c r="JH114" s="186"/>
      <c r="JI114" s="186"/>
      <c r="JJ114" s="186"/>
      <c r="JK114" s="187" t="str">
        <f>Calculations!AS115</f>
        <v/>
      </c>
      <c r="JL114" s="187"/>
      <c r="JM114" s="187"/>
      <c r="JN114" s="187"/>
      <c r="JO114" s="187"/>
      <c r="JP114" s="187"/>
      <c r="JQ114" s="187"/>
      <c r="JR114" s="187"/>
      <c r="JS114" s="187"/>
      <c r="JT114" s="187"/>
      <c r="JU114" s="187"/>
      <c r="JV114" s="187"/>
      <c r="JW114" s="187"/>
      <c r="JX114" s="187"/>
      <c r="JY114" s="187"/>
      <c r="JZ114" s="187"/>
      <c r="KA114" s="187"/>
      <c r="KB114" s="187"/>
      <c r="KC114" s="187" t="str">
        <f>Calculations!AW115</f>
        <v/>
      </c>
      <c r="KD114" s="187"/>
      <c r="KE114" s="187"/>
      <c r="KF114" s="187"/>
      <c r="KG114" s="187"/>
      <c r="KH114" s="187"/>
      <c r="KI114" s="187"/>
      <c r="KJ114" s="187"/>
      <c r="KK114" s="187"/>
      <c r="KL114" s="187"/>
      <c r="KM114" s="187"/>
      <c r="KN114" s="187"/>
      <c r="KO114" s="187"/>
      <c r="KP114" s="187"/>
      <c r="KQ114" s="187"/>
      <c r="KR114" s="187"/>
      <c r="KS114" s="187"/>
      <c r="KT114" s="187"/>
      <c r="KU114" s="179"/>
      <c r="KV114" s="179"/>
      <c r="KW114" s="179"/>
      <c r="KX114" s="179"/>
      <c r="KY114" s="179"/>
      <c r="KZ114" s="179"/>
      <c r="LA114" s="179"/>
      <c r="LB114" s="179"/>
      <c r="LC114" s="179"/>
      <c r="LD114" s="179"/>
      <c r="LE114" s="179"/>
      <c r="LF114" s="179"/>
      <c r="LG114" s="179"/>
      <c r="LH114" s="179"/>
      <c r="LI114" s="179"/>
      <c r="LJ114" s="179"/>
      <c r="LK114" s="179"/>
      <c r="LL114" s="179"/>
      <c r="LM114" s="179"/>
      <c r="LN114" s="179"/>
      <c r="LO114" s="179"/>
      <c r="LP114" s="179"/>
      <c r="LQ114" s="179"/>
      <c r="LR114" s="179"/>
      <c r="LS114" s="179"/>
      <c r="LT114" s="179"/>
      <c r="LU114" s="179"/>
      <c r="LV114" s="179"/>
      <c r="LW114" s="179"/>
      <c r="LX114" s="179"/>
      <c r="LY114" s="179"/>
      <c r="LZ114" s="179"/>
      <c r="MA114" s="179"/>
      <c r="MB114" s="179"/>
      <c r="MC114" s="179"/>
      <c r="MD114" s="179"/>
      <c r="ME114" s="179"/>
      <c r="MF114" s="179"/>
      <c r="MG114" s="179"/>
      <c r="MH114" s="179"/>
      <c r="MI114" s="179"/>
      <c r="MJ114" s="179"/>
      <c r="MK114" s="179"/>
      <c r="ML114" s="179"/>
      <c r="MM114" s="179"/>
      <c r="MN114" s="179"/>
      <c r="MO114" s="179"/>
      <c r="MP114" s="179"/>
      <c r="MQ114" s="179"/>
      <c r="MR114" s="179"/>
      <c r="MS114" s="179"/>
      <c r="MT114" s="179"/>
      <c r="MU114" s="179"/>
      <c r="MV114" s="179"/>
      <c r="MW114" s="179"/>
      <c r="MX114" s="179"/>
      <c r="MY114" s="179"/>
      <c r="MZ114" s="180"/>
    </row>
    <row r="115" spans="1:364" ht="15" customHeight="1" x14ac:dyDescent="0.4">
      <c r="B115" s="149" t="s">
        <v>25</v>
      </c>
      <c r="C115" s="150"/>
      <c r="D115" s="150"/>
      <c r="E115" s="150"/>
      <c r="F115" s="150"/>
      <c r="G115" s="150"/>
      <c r="H115" s="150"/>
      <c r="I115" s="150"/>
      <c r="J115" s="150"/>
      <c r="K115" s="150"/>
      <c r="L115" s="150"/>
      <c r="M115" s="150"/>
      <c r="N115" s="150"/>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73"/>
      <c r="AK115" s="149" t="s">
        <v>1994</v>
      </c>
      <c r="AL115" s="150"/>
      <c r="AM115" s="150"/>
      <c r="AN115" s="150"/>
      <c r="AO115" s="150"/>
      <c r="AP115" s="150"/>
      <c r="AQ115" s="150"/>
      <c r="AR115" s="150"/>
      <c r="AS115" s="150"/>
      <c r="AT115" s="150"/>
      <c r="AU115" s="150"/>
      <c r="AV115" s="150"/>
      <c r="AW115" s="150"/>
      <c r="AX115" s="150"/>
      <c r="AY115" s="150"/>
      <c r="AZ115" s="150"/>
      <c r="BA115" s="129"/>
      <c r="BB115" s="129"/>
      <c r="BC115" s="129"/>
      <c r="BD115" s="129"/>
      <c r="BE115" s="129"/>
      <c r="BF115" s="129"/>
      <c r="BG115" s="129"/>
      <c r="BH115" s="129"/>
      <c r="BI115" s="129"/>
      <c r="BJ115" s="129"/>
      <c r="BK115" s="129"/>
      <c r="BL115" s="129"/>
      <c r="BM115" s="129"/>
      <c r="BN115" s="129"/>
      <c r="BO115" s="129"/>
      <c r="BP115" s="129"/>
      <c r="BQ115" s="129"/>
      <c r="BR115" s="129"/>
      <c r="BS115" s="129"/>
      <c r="BT115" s="129"/>
      <c r="BU115" s="173"/>
      <c r="BW115" s="149" t="s">
        <v>3124</v>
      </c>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48" t="str">
        <f>IF(CU114&gt;-10,"Dash",IF(CU114&gt;-20,"Sprint",IF(CU114&gt;-30,"Run",IF(CU114&gt;-50,"Jog",IF(CU114&gt;-70,"Brisk",IF(CU114&gt;-100,"Walk",IF(CU114&gt;-150,"Creep")))))))</f>
        <v>Dash</v>
      </c>
      <c r="CV115" s="148"/>
      <c r="CW115" s="148"/>
      <c r="CX115" s="148"/>
      <c r="CY115" s="148"/>
      <c r="CZ115" s="148"/>
      <c r="DA115" s="148"/>
      <c r="DB115" s="148"/>
      <c r="DC115" s="104"/>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row>
    <row r="116" spans="1:364" ht="15" customHeight="1" x14ac:dyDescent="0.4">
      <c r="B116" s="149" t="s">
        <v>26</v>
      </c>
      <c r="C116" s="150"/>
      <c r="D116" s="150"/>
      <c r="E116" s="150"/>
      <c r="F116" s="150"/>
      <c r="G116" s="150"/>
      <c r="H116" s="150"/>
      <c r="I116" s="150"/>
      <c r="J116" s="150"/>
      <c r="K116" s="150"/>
      <c r="L116" s="150"/>
      <c r="M116" s="150"/>
      <c r="N116" s="150"/>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73"/>
      <c r="AK116" s="149" t="s">
        <v>1993</v>
      </c>
      <c r="AL116" s="150"/>
      <c r="AM116" s="150"/>
      <c r="AN116" s="150"/>
      <c r="AO116" s="150"/>
      <c r="AP116" s="150"/>
      <c r="AQ116" s="150"/>
      <c r="AR116" s="150"/>
      <c r="AS116" s="150"/>
      <c r="AT116" s="150"/>
      <c r="AU116" s="150"/>
      <c r="AV116" s="150"/>
      <c r="AW116" s="150"/>
      <c r="AX116" s="150"/>
      <c r="AY116" s="150"/>
      <c r="AZ116" s="150"/>
      <c r="BA116" s="129"/>
      <c r="BB116" s="129"/>
      <c r="BC116" s="129"/>
      <c r="BD116" s="129"/>
      <c r="BE116" s="129"/>
      <c r="BF116" s="129"/>
      <c r="BG116" s="129"/>
      <c r="BH116" s="129"/>
      <c r="BI116" s="129"/>
      <c r="BJ116" s="129"/>
      <c r="BK116" s="129"/>
      <c r="BL116" s="129"/>
      <c r="BM116" s="129"/>
      <c r="BN116" s="129"/>
      <c r="BO116" s="129"/>
      <c r="BP116" s="129"/>
      <c r="BQ116" s="129"/>
      <c r="BR116" s="129"/>
      <c r="BS116" s="129"/>
      <c r="BT116" s="129"/>
      <c r="BU116" s="173"/>
      <c r="BW116"/>
      <c r="BX116"/>
      <c r="BY116"/>
      <c r="BZ116"/>
      <c r="CA116"/>
      <c r="CB116"/>
      <c r="CC116"/>
      <c r="CD116"/>
      <c r="CE116"/>
      <c r="CF116"/>
      <c r="CG116"/>
      <c r="CH116"/>
      <c r="CI116"/>
      <c r="CJ116"/>
      <c r="CK116"/>
      <c r="CL116"/>
      <c r="CM116"/>
      <c r="CN116"/>
      <c r="CO116"/>
      <c r="CP116"/>
      <c r="CQ116"/>
      <c r="CR116"/>
      <c r="CS116"/>
      <c r="CT116"/>
      <c r="CU116" s="103"/>
      <c r="CV116" s="103"/>
      <c r="CW116" s="103"/>
      <c r="CX116" s="103"/>
      <c r="CY116" s="103"/>
      <c r="CZ116" s="103"/>
      <c r="DA116" s="103"/>
      <c r="DB116" s="103"/>
      <c r="DC116" s="103"/>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B116" s="240" t="s">
        <v>140</v>
      </c>
      <c r="FC116" s="241"/>
      <c r="FD116" s="241"/>
      <c r="FE116" s="241"/>
      <c r="FF116" s="241"/>
      <c r="FG116" s="241"/>
      <c r="FH116" s="241"/>
      <c r="FI116" s="241"/>
      <c r="FJ116" s="241"/>
      <c r="FK116" s="241"/>
      <c r="FL116" s="241"/>
      <c r="FM116" s="241"/>
      <c r="FN116" s="241"/>
      <c r="FO116" s="241"/>
      <c r="FP116" s="241"/>
      <c r="FQ116" s="241"/>
      <c r="FR116" s="241"/>
      <c r="FS116" s="241"/>
      <c r="FT116" s="241"/>
      <c r="FU116" s="241"/>
      <c r="FV116" s="241"/>
      <c r="FW116" s="241"/>
      <c r="FX116" s="241"/>
      <c r="FY116" s="241"/>
      <c r="FZ116" s="241"/>
      <c r="GA116" s="241"/>
      <c r="GB116" s="241"/>
      <c r="GC116" s="241"/>
      <c r="GD116" s="241"/>
      <c r="GE116" s="241"/>
      <c r="GF116" s="241"/>
      <c r="GG116" s="241"/>
      <c r="GH116" s="241"/>
      <c r="GI116" s="241"/>
      <c r="GJ116" s="241"/>
      <c r="GK116" s="241"/>
      <c r="GL116" s="241"/>
      <c r="GM116" s="241"/>
      <c r="GN116" s="241"/>
      <c r="GO116" s="241"/>
      <c r="GP116" s="241"/>
      <c r="GQ116" s="241"/>
      <c r="GR116" s="241"/>
      <c r="GS116" s="241"/>
      <c r="GT116" s="241"/>
      <c r="GU116" s="241"/>
      <c r="GV116" s="241"/>
      <c r="GW116" s="241"/>
      <c r="GX116" s="241"/>
      <c r="GY116" s="241"/>
      <c r="GZ116" s="241"/>
      <c r="HA116" s="241"/>
      <c r="HB116" s="241"/>
      <c r="HC116" s="241"/>
      <c r="HD116" s="241"/>
      <c r="HE116" s="241"/>
      <c r="HF116" s="241"/>
      <c r="HG116" s="241"/>
      <c r="HH116" s="241"/>
      <c r="HI116" s="241"/>
      <c r="HJ116" s="241"/>
      <c r="HK116" s="241"/>
      <c r="HL116" s="241"/>
      <c r="HM116" s="241"/>
      <c r="HN116" s="241"/>
      <c r="HO116" s="241"/>
      <c r="HP116" s="241"/>
      <c r="HQ116" s="241"/>
      <c r="HR116" s="241"/>
      <c r="HS116" s="241"/>
      <c r="HT116" s="241"/>
      <c r="HU116" s="241"/>
      <c r="HV116" s="241"/>
      <c r="HW116" s="241"/>
      <c r="HX116" s="241"/>
      <c r="HY116" s="241"/>
      <c r="HZ116" s="241"/>
      <c r="IA116" s="241"/>
      <c r="IB116" s="241"/>
      <c r="IC116" s="241"/>
      <c r="ID116" s="241"/>
      <c r="IE116" s="241"/>
      <c r="IF116" s="241"/>
      <c r="IG116" s="241"/>
      <c r="IH116" s="241"/>
      <c r="II116" s="241"/>
      <c r="IJ116" s="241"/>
      <c r="IK116" s="241"/>
      <c r="IL116" s="241"/>
      <c r="IM116" s="241"/>
      <c r="IN116" s="241"/>
      <c r="IO116" s="241"/>
      <c r="IP116" s="241"/>
      <c r="IQ116" s="241"/>
      <c r="IR116" s="241"/>
      <c r="IS116" s="241"/>
      <c r="IT116" s="241"/>
      <c r="IU116" s="241"/>
      <c r="IV116" s="241"/>
      <c r="IW116" s="241"/>
      <c r="IX116" s="241"/>
      <c r="IY116" s="241"/>
      <c r="IZ116" s="241"/>
      <c r="JA116" s="241"/>
      <c r="JB116" s="241"/>
      <c r="JC116" s="241"/>
      <c r="JD116" s="241"/>
      <c r="JE116" s="241"/>
      <c r="JF116" s="241"/>
      <c r="JG116" s="241"/>
      <c r="JH116" s="241"/>
      <c r="JI116" s="241"/>
      <c r="JJ116" s="241"/>
      <c r="JK116" s="241"/>
      <c r="JL116" s="241"/>
      <c r="JM116" s="241"/>
      <c r="JN116" s="241"/>
      <c r="JO116" s="241"/>
      <c r="JP116" s="241"/>
      <c r="JQ116" s="241"/>
      <c r="JR116" s="241"/>
      <c r="JS116" s="241"/>
      <c r="JT116" s="241"/>
      <c r="JU116" s="241"/>
      <c r="JV116" s="241"/>
      <c r="JW116" s="241"/>
      <c r="JX116" s="241"/>
      <c r="JY116" s="241"/>
      <c r="JZ116" s="241"/>
      <c r="KA116" s="241"/>
      <c r="KB116" s="241"/>
      <c r="KC116" s="241"/>
      <c r="KD116" s="241"/>
      <c r="KE116" s="241"/>
      <c r="KF116" s="241"/>
      <c r="KG116" s="241"/>
      <c r="KH116" s="241"/>
      <c r="KI116" s="241"/>
      <c r="KJ116" s="241"/>
      <c r="KK116" s="241"/>
      <c r="KL116" s="241"/>
      <c r="KM116" s="241"/>
      <c r="KN116" s="241"/>
      <c r="KO116" s="241"/>
      <c r="KP116" s="241"/>
      <c r="KQ116" s="241"/>
      <c r="KR116" s="241"/>
      <c r="KS116" s="241"/>
      <c r="KT116" s="241"/>
      <c r="KU116" s="241"/>
      <c r="KV116" s="241"/>
      <c r="KW116" s="241"/>
      <c r="KX116" s="241"/>
      <c r="KY116" s="241"/>
      <c r="KZ116" s="241"/>
      <c r="LA116" s="241"/>
      <c r="LB116" s="241"/>
      <c r="LC116" s="241"/>
      <c r="LD116" s="241"/>
      <c r="LE116" s="241"/>
      <c r="LF116" s="241"/>
      <c r="LG116" s="241"/>
      <c r="LH116" s="241"/>
      <c r="LI116" s="241"/>
      <c r="LJ116" s="241"/>
      <c r="LK116" s="241"/>
      <c r="LL116" s="241"/>
      <c r="LM116" s="241"/>
      <c r="LN116" s="241"/>
      <c r="LO116" s="241"/>
      <c r="LP116" s="241"/>
      <c r="LQ116" s="241"/>
      <c r="LR116" s="241"/>
      <c r="LS116" s="241"/>
      <c r="LT116" s="241"/>
      <c r="LU116" s="241"/>
      <c r="LV116" s="241"/>
      <c r="LW116" s="241"/>
      <c r="LX116" s="241"/>
      <c r="LY116" s="241"/>
      <c r="LZ116" s="241"/>
      <c r="MA116" s="241"/>
      <c r="MB116" s="241"/>
      <c r="MC116" s="241"/>
      <c r="MD116" s="241"/>
      <c r="ME116" s="241"/>
      <c r="MF116" s="241"/>
      <c r="MG116" s="241"/>
      <c r="MH116" s="241"/>
      <c r="MI116" s="241"/>
      <c r="MJ116" s="241"/>
      <c r="MK116" s="241"/>
      <c r="ML116" s="241"/>
      <c r="MM116" s="241"/>
      <c r="MN116" s="241"/>
      <c r="MO116" s="241"/>
      <c r="MP116" s="241"/>
      <c r="MQ116" s="241"/>
      <c r="MR116" s="241"/>
      <c r="MS116" s="241"/>
      <c r="MT116" s="241"/>
      <c r="MU116" s="241"/>
      <c r="MV116" s="241"/>
      <c r="MW116" s="241"/>
      <c r="MX116" s="241"/>
      <c r="MY116" s="241"/>
      <c r="MZ116" s="242"/>
    </row>
    <row r="117" spans="1:364" ht="15" customHeight="1" x14ac:dyDescent="0.4">
      <c r="B117" s="149" t="s">
        <v>27</v>
      </c>
      <c r="C117" s="150"/>
      <c r="D117" s="150"/>
      <c r="E117" s="150"/>
      <c r="F117" s="150"/>
      <c r="G117" s="150"/>
      <c r="H117" s="150"/>
      <c r="I117" s="150"/>
      <c r="J117" s="150"/>
      <c r="K117" s="150"/>
      <c r="L117" s="150"/>
      <c r="M117" s="150"/>
      <c r="N117" s="150"/>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73"/>
      <c r="AK117" s="149" t="s">
        <v>42</v>
      </c>
      <c r="AL117" s="150"/>
      <c r="AM117" s="150"/>
      <c r="AN117" s="150"/>
      <c r="AO117" s="150"/>
      <c r="AP117" s="150"/>
      <c r="AQ117" s="150"/>
      <c r="AR117" s="150"/>
      <c r="AS117" s="150"/>
      <c r="AT117" s="150"/>
      <c r="AU117" s="150"/>
      <c r="AV117" s="150"/>
      <c r="AW117" s="150"/>
      <c r="AX117" s="150"/>
      <c r="AY117" s="150"/>
      <c r="AZ117" s="150"/>
      <c r="BA117" s="129"/>
      <c r="BB117" s="129"/>
      <c r="BC117" s="129"/>
      <c r="BD117" s="129"/>
      <c r="BE117" s="129"/>
      <c r="BF117" s="129"/>
      <c r="BG117" s="129"/>
      <c r="BH117" s="129"/>
      <c r="BI117" s="129"/>
      <c r="BJ117" s="129"/>
      <c r="BK117" s="129"/>
      <c r="BL117" s="129"/>
      <c r="BM117" s="129"/>
      <c r="BN117" s="129"/>
      <c r="BO117" s="129"/>
      <c r="BP117" s="129"/>
      <c r="BQ117" s="129"/>
      <c r="BR117" s="129"/>
      <c r="BS117" s="129"/>
      <c r="BT117" s="129"/>
      <c r="BU117" s="173"/>
      <c r="BW117" s="94" t="s">
        <v>3122</v>
      </c>
      <c r="BX117"/>
      <c r="BY117"/>
      <c r="BZ117"/>
      <c r="CA117"/>
      <c r="CB117"/>
      <c r="CC117"/>
      <c r="CD117"/>
      <c r="CE117"/>
      <c r="CF117"/>
      <c r="CG117"/>
      <c r="CH117"/>
      <c r="CI117"/>
      <c r="CJ117"/>
      <c r="CK117"/>
      <c r="CL117"/>
      <c r="CM117"/>
      <c r="CN117"/>
      <c r="CO117"/>
      <c r="CP117"/>
      <c r="CQ117"/>
      <c r="CR117"/>
      <c r="CS117"/>
      <c r="CT117"/>
      <c r="CU117" s="103"/>
      <c r="CV117" s="103"/>
      <c r="CW117" s="103"/>
      <c r="CX117" s="103"/>
      <c r="CY117" s="103"/>
      <c r="CZ117" s="103"/>
      <c r="DA117" s="103"/>
      <c r="DB117" s="103"/>
      <c r="DC117" s="103"/>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B117" s="304" t="s">
        <v>143</v>
      </c>
      <c r="FC117" s="144"/>
      <c r="FD117" s="144"/>
      <c r="FE117" s="144"/>
      <c r="FF117" s="144"/>
      <c r="FG117" s="144"/>
      <c r="FH117" s="144"/>
      <c r="FI117" s="144"/>
      <c r="FJ117" s="144"/>
      <c r="FK117" s="144"/>
      <c r="FL117" s="144"/>
      <c r="FM117" s="144"/>
      <c r="FN117" s="144"/>
      <c r="FO117" s="144"/>
      <c r="FP117" s="144"/>
      <c r="FQ117" s="144"/>
      <c r="FR117" s="144"/>
      <c r="FS117" s="144"/>
      <c r="FT117" s="144"/>
      <c r="FU117" s="144"/>
      <c r="FV117" s="144"/>
      <c r="FW117" s="144"/>
      <c r="FX117" s="144"/>
      <c r="FY117" s="144"/>
      <c r="FZ117" s="144"/>
      <c r="GA117" s="144"/>
      <c r="GB117" s="144"/>
      <c r="GC117" s="144"/>
      <c r="GD117" s="144"/>
      <c r="GE117" s="144"/>
      <c r="GF117" s="144"/>
      <c r="GG117" s="144"/>
      <c r="GH117" s="144"/>
      <c r="GI117" s="144"/>
      <c r="GJ117" s="144"/>
      <c r="GK117" s="144"/>
      <c r="GL117" s="144"/>
      <c r="GM117" s="144"/>
      <c r="GN117" s="144"/>
      <c r="GO117" s="144"/>
      <c r="GP117" s="144"/>
      <c r="GQ117" s="144"/>
      <c r="GR117" s="144"/>
      <c r="GS117" s="144"/>
      <c r="GT117" s="144" t="s">
        <v>141</v>
      </c>
      <c r="GU117" s="144"/>
      <c r="GV117" s="144"/>
      <c r="GW117" s="144"/>
      <c r="GX117" s="144"/>
      <c r="GY117" s="144"/>
      <c r="GZ117" s="144"/>
      <c r="HA117" s="144"/>
      <c r="HB117" s="144"/>
      <c r="HC117" s="144"/>
      <c r="HD117" s="144"/>
      <c r="HE117" s="144"/>
      <c r="HF117" s="144"/>
      <c r="HG117" s="144"/>
      <c r="HH117" s="144"/>
      <c r="HI117" s="144"/>
      <c r="HJ117" s="144"/>
      <c r="HK117" s="144"/>
      <c r="HL117" s="144"/>
      <c r="HM117" s="144"/>
      <c r="HN117" s="144"/>
      <c r="HO117" s="144"/>
      <c r="HP117" s="144"/>
      <c r="HQ117" s="144"/>
      <c r="HR117" s="144"/>
      <c r="HS117" s="144"/>
      <c r="HT117" s="144"/>
      <c r="HU117" s="144"/>
      <c r="HV117" s="144"/>
      <c r="HW117" s="144"/>
      <c r="HX117" s="144"/>
      <c r="HY117" s="144"/>
      <c r="HZ117" s="144"/>
      <c r="IA117" s="144"/>
      <c r="IB117" s="144"/>
      <c r="IC117" s="144"/>
      <c r="ID117" s="144"/>
      <c r="IE117" s="144"/>
      <c r="IF117" s="144"/>
      <c r="IG117" s="144"/>
      <c r="IH117" s="144"/>
      <c r="II117" s="144"/>
      <c r="IJ117" s="144"/>
      <c r="IK117" s="144"/>
      <c r="IL117" s="144"/>
      <c r="IM117" s="144"/>
      <c r="IN117" s="144"/>
      <c r="IO117" s="144"/>
      <c r="IP117" s="144"/>
      <c r="IQ117" s="144"/>
      <c r="IR117" s="144"/>
      <c r="IS117" s="144"/>
      <c r="IT117" s="144"/>
      <c r="IU117" s="144"/>
      <c r="IV117" s="144"/>
      <c r="IW117" s="144"/>
      <c r="IX117" s="144"/>
      <c r="IY117" s="144"/>
      <c r="IZ117" s="144"/>
      <c r="JA117" s="144"/>
      <c r="JB117" s="144"/>
      <c r="JC117" s="144"/>
      <c r="JD117" s="144"/>
      <c r="JE117" s="144"/>
      <c r="JF117" s="144"/>
      <c r="JG117" s="144"/>
      <c r="JH117" s="144"/>
      <c r="JI117" s="144"/>
      <c r="JJ117" s="144"/>
      <c r="JK117" s="144"/>
      <c r="JL117" s="144"/>
      <c r="JM117" s="144"/>
      <c r="JN117" s="144"/>
      <c r="JO117" s="144"/>
      <c r="JP117" s="144"/>
      <c r="JQ117" s="144"/>
      <c r="JR117" s="144"/>
      <c r="JS117" s="144"/>
      <c r="JT117" s="144"/>
      <c r="JU117" s="144"/>
      <c r="JV117" s="144"/>
      <c r="JW117" s="144"/>
      <c r="JX117" s="144"/>
      <c r="JY117" s="144"/>
      <c r="JZ117" s="144"/>
      <c r="KA117" s="144"/>
      <c r="KB117" s="144"/>
      <c r="KC117" s="144"/>
      <c r="KD117" s="144"/>
      <c r="KE117" s="144"/>
      <c r="KF117" s="144"/>
      <c r="KG117" s="144"/>
      <c r="KH117" s="144"/>
      <c r="KI117" s="144"/>
      <c r="KJ117" s="144"/>
      <c r="KK117" s="144"/>
      <c r="KL117" s="144"/>
      <c r="KM117" s="144"/>
      <c r="KN117" s="144"/>
      <c r="KO117" s="144"/>
      <c r="KP117" s="144"/>
      <c r="KQ117" s="144"/>
      <c r="KR117" s="144"/>
      <c r="KS117" s="144"/>
      <c r="KT117" s="144"/>
      <c r="KU117" s="144"/>
      <c r="KV117" s="144"/>
      <c r="KW117" s="144"/>
      <c r="KX117" s="144"/>
      <c r="KY117" s="144"/>
      <c r="KZ117" s="144"/>
      <c r="LA117" s="144"/>
      <c r="LB117" s="144"/>
      <c r="LC117" s="144"/>
      <c r="LD117" s="144"/>
      <c r="LE117" s="144"/>
      <c r="LF117" s="144"/>
      <c r="LG117" s="144"/>
      <c r="LH117" s="144"/>
      <c r="LI117" s="144"/>
      <c r="LJ117" s="144"/>
      <c r="LK117" s="144"/>
      <c r="LL117" s="144"/>
      <c r="LM117" s="144"/>
      <c r="LN117" s="144"/>
      <c r="LO117" s="144"/>
      <c r="LP117" s="144"/>
      <c r="LQ117" s="144"/>
      <c r="LR117" s="144"/>
      <c r="LS117" s="144"/>
      <c r="LT117" s="144"/>
      <c r="LU117" s="144"/>
      <c r="LV117" s="144"/>
      <c r="LW117" s="144"/>
      <c r="LX117" s="144"/>
      <c r="LY117" s="144"/>
      <c r="LZ117" s="144"/>
      <c r="MA117" s="144"/>
      <c r="MB117" s="144"/>
      <c r="MC117" s="144"/>
      <c r="MD117" s="144"/>
      <c r="ME117" s="144"/>
      <c r="MF117" s="144"/>
      <c r="MG117" s="144"/>
      <c r="MH117" s="144"/>
      <c r="MI117" s="144"/>
      <c r="MJ117" s="144"/>
      <c r="MK117" s="144"/>
      <c r="ML117" s="144"/>
      <c r="MM117" s="144"/>
      <c r="MN117" s="144"/>
      <c r="MO117" s="144"/>
      <c r="MP117" s="144"/>
      <c r="MQ117" s="144"/>
      <c r="MR117" s="144"/>
      <c r="MS117" s="144"/>
      <c r="MT117" s="144"/>
      <c r="MU117" s="144"/>
      <c r="MV117" s="144"/>
      <c r="MW117" s="144"/>
      <c r="MX117" s="144"/>
      <c r="MY117" s="144"/>
      <c r="MZ117" s="145"/>
    </row>
    <row r="118" spans="1:364" ht="15" customHeight="1" x14ac:dyDescent="0.4">
      <c r="B118" s="149" t="s">
        <v>28</v>
      </c>
      <c r="C118" s="150"/>
      <c r="D118" s="150"/>
      <c r="E118" s="150"/>
      <c r="F118" s="150"/>
      <c r="G118" s="150"/>
      <c r="H118" s="150"/>
      <c r="I118" s="150"/>
      <c r="J118" s="150"/>
      <c r="K118" s="150"/>
      <c r="L118" s="150"/>
      <c r="M118" s="150"/>
      <c r="N118" s="150"/>
      <c r="O118" s="129"/>
      <c r="P118" s="129"/>
      <c r="Q118" s="129"/>
      <c r="R118" s="129"/>
      <c r="S118" s="129"/>
      <c r="T118" s="129"/>
      <c r="U118" s="129"/>
      <c r="V118" s="129"/>
      <c r="W118" s="129"/>
      <c r="X118" s="129"/>
      <c r="Y118" s="129"/>
      <c r="Z118" s="129"/>
      <c r="AA118" s="129"/>
      <c r="AB118" s="129"/>
      <c r="AC118" s="129"/>
      <c r="AD118" s="129"/>
      <c r="AE118" s="129"/>
      <c r="AF118" s="129"/>
      <c r="AG118" s="129"/>
      <c r="AH118" s="129"/>
      <c r="AI118" s="173"/>
      <c r="AK118" s="149" t="s">
        <v>43</v>
      </c>
      <c r="AL118" s="150"/>
      <c r="AM118" s="150"/>
      <c r="AN118" s="150"/>
      <c r="AO118" s="150"/>
      <c r="AP118" s="150"/>
      <c r="AQ118" s="150"/>
      <c r="AR118" s="150"/>
      <c r="AS118" s="150"/>
      <c r="AT118" s="150"/>
      <c r="AU118" s="150"/>
      <c r="AV118" s="150"/>
      <c r="AW118" s="150"/>
      <c r="AX118" s="150"/>
      <c r="AY118" s="150"/>
      <c r="AZ118" s="150"/>
      <c r="BA118" s="129"/>
      <c r="BB118" s="129"/>
      <c r="BC118" s="129"/>
      <c r="BD118" s="129"/>
      <c r="BE118" s="129"/>
      <c r="BF118" s="129"/>
      <c r="BG118" s="129"/>
      <c r="BH118" s="129"/>
      <c r="BI118" s="129"/>
      <c r="BJ118" s="129"/>
      <c r="BK118" s="129"/>
      <c r="BL118" s="129"/>
      <c r="BM118" s="129"/>
      <c r="BN118" s="129"/>
      <c r="BO118" s="129"/>
      <c r="BP118" s="129"/>
      <c r="BQ118" s="129"/>
      <c r="BR118" s="129"/>
      <c r="BS118" s="129"/>
      <c r="BT118" s="129"/>
      <c r="BU118" s="173"/>
      <c r="BW118" s="149" t="s">
        <v>3125</v>
      </c>
      <c r="BX118" s="150"/>
      <c r="BY118" s="150"/>
      <c r="BZ118" s="150"/>
      <c r="CA118" s="150"/>
      <c r="CB118" s="150"/>
      <c r="CC118" s="150"/>
      <c r="CD118" s="150"/>
      <c r="CE118" s="150"/>
      <c r="CF118" s="150"/>
      <c r="CG118" s="150"/>
      <c r="CH118" s="150"/>
      <c r="CI118" s="150"/>
      <c r="CJ118" s="150"/>
      <c r="CK118" s="150"/>
      <c r="CL118" s="150"/>
      <c r="CM118" s="150"/>
      <c r="CN118" s="150"/>
      <c r="CO118" s="150"/>
      <c r="CP118" s="150"/>
      <c r="CQ118" s="150"/>
      <c r="CR118" s="150"/>
      <c r="CS118" s="150"/>
      <c r="CT118" s="150"/>
      <c r="CU118" s="147"/>
      <c r="CV118" s="147"/>
      <c r="CW118" s="147"/>
      <c r="CX118" s="147"/>
      <c r="CY118" s="147"/>
      <c r="CZ118" s="147"/>
      <c r="DA118" s="147"/>
      <c r="DB118" s="147"/>
      <c r="DC118" s="147"/>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B118" s="304"/>
      <c r="FC118" s="144"/>
      <c r="FD118" s="144"/>
      <c r="FE118" s="144"/>
      <c r="FF118" s="144"/>
      <c r="FG118" s="144"/>
      <c r="FH118" s="144"/>
      <c r="FI118" s="144"/>
      <c r="FJ118" s="144"/>
      <c r="FK118" s="144"/>
      <c r="FL118" s="144"/>
      <c r="FM118" s="144"/>
      <c r="FN118" s="144"/>
      <c r="FO118" s="144"/>
      <c r="FP118" s="144"/>
      <c r="FQ118" s="144"/>
      <c r="FR118" s="144"/>
      <c r="FS118" s="144"/>
      <c r="FT118" s="144"/>
      <c r="FU118" s="144"/>
      <c r="FV118" s="144"/>
      <c r="FW118" s="144"/>
      <c r="FX118" s="144"/>
      <c r="FY118" s="144"/>
      <c r="FZ118" s="144"/>
      <c r="GA118" s="144"/>
      <c r="GB118" s="144"/>
      <c r="GC118" s="144"/>
      <c r="GD118" s="144"/>
      <c r="GE118" s="144"/>
      <c r="GF118" s="144"/>
      <c r="GG118" s="144"/>
      <c r="GH118" s="144"/>
      <c r="GI118" s="144"/>
      <c r="GJ118" s="144"/>
      <c r="GK118" s="144"/>
      <c r="GL118" s="144"/>
      <c r="GM118" s="144"/>
      <c r="GN118" s="144"/>
      <c r="GO118" s="144"/>
      <c r="GP118" s="144"/>
      <c r="GQ118" s="144"/>
      <c r="GR118" s="144"/>
      <c r="GS118" s="144"/>
      <c r="GT118" s="144"/>
      <c r="GU118" s="144"/>
      <c r="GV118" s="144"/>
      <c r="GW118" s="144"/>
      <c r="GX118" s="144"/>
      <c r="GY118" s="144"/>
      <c r="GZ118" s="144"/>
      <c r="HA118" s="144"/>
      <c r="HB118" s="144"/>
      <c r="HC118" s="144"/>
      <c r="HD118" s="144"/>
      <c r="HE118" s="144"/>
      <c r="HF118" s="144"/>
      <c r="HG118" s="144"/>
      <c r="HH118" s="144"/>
      <c r="HI118" s="144"/>
      <c r="HJ118" s="144"/>
      <c r="HK118" s="144"/>
      <c r="HL118" s="144"/>
      <c r="HM118" s="144"/>
      <c r="HN118" s="144"/>
      <c r="HO118" s="144"/>
      <c r="HP118" s="144"/>
      <c r="HQ118" s="144"/>
      <c r="HR118" s="144"/>
      <c r="HS118" s="144"/>
      <c r="HT118" s="144"/>
      <c r="HU118" s="144"/>
      <c r="HV118" s="144"/>
      <c r="HW118" s="144"/>
      <c r="HX118" s="144"/>
      <c r="HY118" s="144"/>
      <c r="HZ118" s="144"/>
      <c r="IA118" s="144"/>
      <c r="IB118" s="144"/>
      <c r="IC118" s="144"/>
      <c r="ID118" s="144"/>
      <c r="IE118" s="144"/>
      <c r="IF118" s="144"/>
      <c r="IG118" s="144"/>
      <c r="IH118" s="144"/>
      <c r="II118" s="144"/>
      <c r="IJ118" s="144"/>
      <c r="IK118" s="144"/>
      <c r="IL118" s="144"/>
      <c r="IM118" s="144"/>
      <c r="IN118" s="144"/>
      <c r="IO118" s="144"/>
      <c r="IP118" s="144"/>
      <c r="IQ118" s="144"/>
      <c r="IR118" s="144"/>
      <c r="IS118" s="144"/>
      <c r="IT118" s="144"/>
      <c r="IU118" s="144"/>
      <c r="IV118" s="144"/>
      <c r="IW118" s="144"/>
      <c r="IX118" s="144"/>
      <c r="IY118" s="144"/>
      <c r="IZ118" s="144"/>
      <c r="JA118" s="144"/>
      <c r="JB118" s="144"/>
      <c r="JC118" s="144"/>
      <c r="JD118" s="144"/>
      <c r="JE118" s="144"/>
      <c r="JF118" s="144"/>
      <c r="JG118" s="144"/>
      <c r="JH118" s="144"/>
      <c r="JI118" s="144"/>
      <c r="JJ118" s="144"/>
      <c r="JK118" s="144"/>
      <c r="JL118" s="144"/>
      <c r="JM118" s="144"/>
      <c r="JN118" s="144"/>
      <c r="JO118" s="144"/>
      <c r="JP118" s="144"/>
      <c r="JQ118" s="144"/>
      <c r="JR118" s="144"/>
      <c r="JS118" s="144"/>
      <c r="JT118" s="144"/>
      <c r="JU118" s="144"/>
      <c r="JV118" s="144"/>
      <c r="JW118" s="144"/>
      <c r="JX118" s="144"/>
      <c r="JY118" s="144"/>
      <c r="JZ118" s="144"/>
      <c r="KA118" s="144"/>
      <c r="KB118" s="144"/>
      <c r="KC118" s="144"/>
      <c r="KD118" s="144"/>
      <c r="KE118" s="144"/>
      <c r="KF118" s="144"/>
      <c r="KG118" s="144"/>
      <c r="KH118" s="144"/>
      <c r="KI118" s="144"/>
      <c r="KJ118" s="144"/>
      <c r="KK118" s="144"/>
      <c r="KL118" s="144"/>
      <c r="KM118" s="144"/>
      <c r="KN118" s="144"/>
      <c r="KO118" s="144"/>
      <c r="KP118" s="144"/>
      <c r="KQ118" s="144"/>
      <c r="KR118" s="144"/>
      <c r="KS118" s="144"/>
      <c r="KT118" s="144"/>
      <c r="KU118" s="144"/>
      <c r="KV118" s="144"/>
      <c r="KW118" s="144"/>
      <c r="KX118" s="144"/>
      <c r="KY118" s="144"/>
      <c r="KZ118" s="144"/>
      <c r="LA118" s="144"/>
      <c r="LB118" s="144"/>
      <c r="LC118" s="144"/>
      <c r="LD118" s="144"/>
      <c r="LE118" s="144"/>
      <c r="LF118" s="144"/>
      <c r="LG118" s="144"/>
      <c r="LH118" s="144"/>
      <c r="LI118" s="144"/>
      <c r="LJ118" s="144"/>
      <c r="LK118" s="144"/>
      <c r="LL118" s="144"/>
      <c r="LM118" s="144"/>
      <c r="LN118" s="144"/>
      <c r="LO118" s="144"/>
      <c r="LP118" s="144"/>
      <c r="LQ118" s="144"/>
      <c r="LR118" s="144"/>
      <c r="LS118" s="144"/>
      <c r="LT118" s="144"/>
      <c r="LU118" s="144"/>
      <c r="LV118" s="144"/>
      <c r="LW118" s="144"/>
      <c r="LX118" s="144"/>
      <c r="LY118" s="144"/>
      <c r="LZ118" s="144"/>
      <c r="MA118" s="144"/>
      <c r="MB118" s="144"/>
      <c r="MC118" s="144"/>
      <c r="MD118" s="144"/>
      <c r="ME118" s="144"/>
      <c r="MF118" s="144"/>
      <c r="MG118" s="144"/>
      <c r="MH118" s="144"/>
      <c r="MI118" s="144"/>
      <c r="MJ118" s="144"/>
      <c r="MK118" s="144"/>
      <c r="ML118" s="144"/>
      <c r="MM118" s="144"/>
      <c r="MN118" s="144"/>
      <c r="MO118" s="144"/>
      <c r="MP118" s="144"/>
      <c r="MQ118" s="144"/>
      <c r="MR118" s="144"/>
      <c r="MS118" s="144"/>
      <c r="MT118" s="144"/>
      <c r="MU118" s="144"/>
      <c r="MV118" s="144"/>
      <c r="MW118" s="144"/>
      <c r="MX118" s="144"/>
      <c r="MY118" s="144"/>
      <c r="MZ118" s="145"/>
    </row>
    <row r="119" spans="1:364" ht="15" customHeight="1" x14ac:dyDescent="0.4">
      <c r="B119" s="149" t="s">
        <v>29</v>
      </c>
      <c r="C119" s="150"/>
      <c r="D119" s="150"/>
      <c r="E119" s="150"/>
      <c r="F119" s="150"/>
      <c r="G119" s="150"/>
      <c r="H119" s="150"/>
      <c r="I119" s="150"/>
      <c r="J119" s="150"/>
      <c r="K119" s="150"/>
      <c r="L119" s="150"/>
      <c r="M119" s="150"/>
      <c r="N119" s="150"/>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73"/>
      <c r="AK119" s="149" t="s">
        <v>44</v>
      </c>
      <c r="AL119" s="150"/>
      <c r="AM119" s="150"/>
      <c r="AN119" s="150"/>
      <c r="AO119" s="150"/>
      <c r="AP119" s="150"/>
      <c r="AQ119" s="150"/>
      <c r="AR119" s="150"/>
      <c r="AS119" s="150"/>
      <c r="AT119" s="150"/>
      <c r="AU119" s="150"/>
      <c r="AV119" s="150"/>
      <c r="AW119" s="150"/>
      <c r="AX119" s="150"/>
      <c r="AY119" s="150"/>
      <c r="AZ119" s="150"/>
      <c r="BA119" s="129"/>
      <c r="BB119" s="129"/>
      <c r="BC119" s="129"/>
      <c r="BD119" s="129"/>
      <c r="BE119" s="129"/>
      <c r="BF119" s="129"/>
      <c r="BG119" s="129"/>
      <c r="BH119" s="129"/>
      <c r="BI119" s="129"/>
      <c r="BJ119" s="129"/>
      <c r="BK119" s="129"/>
      <c r="BL119" s="129"/>
      <c r="BM119" s="129"/>
      <c r="BN119" s="129"/>
      <c r="BO119" s="129"/>
      <c r="BP119" s="129"/>
      <c r="BQ119" s="129"/>
      <c r="BR119" s="129"/>
      <c r="BS119" s="129"/>
      <c r="BT119" s="129"/>
      <c r="BU119" s="173"/>
      <c r="BW119" s="149" t="s">
        <v>3150</v>
      </c>
      <c r="BX119" s="150"/>
      <c r="BY119" s="150"/>
      <c r="BZ119" s="150"/>
      <c r="CA119" s="150"/>
      <c r="CB119" s="150"/>
      <c r="CC119" s="150"/>
      <c r="CD119" s="150"/>
      <c r="CE119" s="150"/>
      <c r="CF119" s="150"/>
      <c r="CG119" s="150"/>
      <c r="CH119" s="150"/>
      <c r="CI119" s="150"/>
      <c r="CJ119" s="150"/>
      <c r="CK119" s="150"/>
      <c r="CL119" s="150"/>
      <c r="CM119" s="150"/>
      <c r="CN119" s="150"/>
      <c r="CO119" s="150"/>
      <c r="CP119" s="150"/>
      <c r="CQ119" s="150"/>
      <c r="CR119" s="150"/>
      <c r="CS119" s="150"/>
      <c r="CT119" s="150"/>
      <c r="CU119" s="147"/>
      <c r="CV119" s="147"/>
      <c r="CW119" s="147"/>
      <c r="CX119" s="147"/>
      <c r="CY119" s="147"/>
      <c r="CZ119" s="147"/>
      <c r="DA119" s="147"/>
      <c r="DB119" s="147"/>
      <c r="DC119" s="147"/>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B119" s="304"/>
      <c r="FC119" s="144"/>
      <c r="FD119" s="144"/>
      <c r="FE119" s="144"/>
      <c r="FF119" s="144"/>
      <c r="FG119" s="144"/>
      <c r="FH119" s="144"/>
      <c r="FI119" s="144"/>
      <c r="FJ119" s="144"/>
      <c r="FK119" s="144"/>
      <c r="FL119" s="144"/>
      <c r="FM119" s="144"/>
      <c r="FN119" s="144"/>
      <c r="FO119" s="144"/>
      <c r="FP119" s="144"/>
      <c r="FQ119" s="144"/>
      <c r="FR119" s="144"/>
      <c r="FS119" s="144"/>
      <c r="FT119" s="144"/>
      <c r="FU119" s="144"/>
      <c r="FV119" s="144"/>
      <c r="FW119" s="144"/>
      <c r="FX119" s="144"/>
      <c r="FY119" s="144"/>
      <c r="FZ119" s="144"/>
      <c r="GA119" s="144"/>
      <c r="GB119" s="144"/>
      <c r="GC119" s="144"/>
      <c r="GD119" s="144"/>
      <c r="GE119" s="144"/>
      <c r="GF119" s="144"/>
      <c r="GG119" s="144"/>
      <c r="GH119" s="144"/>
      <c r="GI119" s="144"/>
      <c r="GJ119" s="144"/>
      <c r="GK119" s="144"/>
      <c r="GL119" s="144"/>
      <c r="GM119" s="144"/>
      <c r="GN119" s="144"/>
      <c r="GO119" s="144"/>
      <c r="GP119" s="144"/>
      <c r="GQ119" s="144"/>
      <c r="GR119" s="144"/>
      <c r="GS119" s="144"/>
      <c r="GT119" s="144"/>
      <c r="GU119" s="144"/>
      <c r="GV119" s="144"/>
      <c r="GW119" s="144"/>
      <c r="GX119" s="144"/>
      <c r="GY119" s="144"/>
      <c r="GZ119" s="144"/>
      <c r="HA119" s="144"/>
      <c r="HB119" s="144"/>
      <c r="HC119" s="144"/>
      <c r="HD119" s="144"/>
      <c r="HE119" s="144"/>
      <c r="HF119" s="144"/>
      <c r="HG119" s="144"/>
      <c r="HH119" s="144"/>
      <c r="HI119" s="144"/>
      <c r="HJ119" s="144"/>
      <c r="HK119" s="144"/>
      <c r="HL119" s="144"/>
      <c r="HM119" s="144"/>
      <c r="HN119" s="144"/>
      <c r="HO119" s="144"/>
      <c r="HP119" s="144"/>
      <c r="HQ119" s="144"/>
      <c r="HR119" s="144"/>
      <c r="HS119" s="144"/>
      <c r="HT119" s="144"/>
      <c r="HU119" s="144"/>
      <c r="HV119" s="144"/>
      <c r="HW119" s="144"/>
      <c r="HX119" s="144"/>
      <c r="HY119" s="144"/>
      <c r="HZ119" s="144"/>
      <c r="IA119" s="144"/>
      <c r="IB119" s="144"/>
      <c r="IC119" s="144"/>
      <c r="ID119" s="144"/>
      <c r="IE119" s="144"/>
      <c r="IF119" s="144"/>
      <c r="IG119" s="144"/>
      <c r="IH119" s="144"/>
      <c r="II119" s="144"/>
      <c r="IJ119" s="144"/>
      <c r="IK119" s="144"/>
      <c r="IL119" s="144"/>
      <c r="IM119" s="144"/>
      <c r="IN119" s="144"/>
      <c r="IO119" s="144"/>
      <c r="IP119" s="144"/>
      <c r="IQ119" s="144"/>
      <c r="IR119" s="144"/>
      <c r="IS119" s="144"/>
      <c r="IT119" s="144"/>
      <c r="IU119" s="144"/>
      <c r="IV119" s="144"/>
      <c r="IW119" s="144"/>
      <c r="IX119" s="144"/>
      <c r="IY119" s="144"/>
      <c r="IZ119" s="144"/>
      <c r="JA119" s="144"/>
      <c r="JB119" s="144"/>
      <c r="JC119" s="144"/>
      <c r="JD119" s="144"/>
      <c r="JE119" s="144"/>
      <c r="JF119" s="144"/>
      <c r="JG119" s="144"/>
      <c r="JH119" s="144"/>
      <c r="JI119" s="144"/>
      <c r="JJ119" s="144"/>
      <c r="JK119" s="144"/>
      <c r="JL119" s="144"/>
      <c r="JM119" s="144"/>
      <c r="JN119" s="144"/>
      <c r="JO119" s="144"/>
      <c r="JP119" s="144"/>
      <c r="JQ119" s="144"/>
      <c r="JR119" s="144"/>
      <c r="JS119" s="144"/>
      <c r="JT119" s="144"/>
      <c r="JU119" s="144"/>
      <c r="JV119" s="144"/>
      <c r="JW119" s="144"/>
      <c r="JX119" s="144"/>
      <c r="JY119" s="144"/>
      <c r="JZ119" s="144"/>
      <c r="KA119" s="144"/>
      <c r="KB119" s="144"/>
      <c r="KC119" s="144"/>
      <c r="KD119" s="144"/>
      <c r="KE119" s="144"/>
      <c r="KF119" s="144"/>
      <c r="KG119" s="144"/>
      <c r="KH119" s="144"/>
      <c r="KI119" s="144"/>
      <c r="KJ119" s="144"/>
      <c r="KK119" s="144"/>
      <c r="KL119" s="144"/>
      <c r="KM119" s="144"/>
      <c r="KN119" s="144"/>
      <c r="KO119" s="144"/>
      <c r="KP119" s="144"/>
      <c r="KQ119" s="144"/>
      <c r="KR119" s="144"/>
      <c r="KS119" s="144"/>
      <c r="KT119" s="144"/>
      <c r="KU119" s="144"/>
      <c r="KV119" s="144"/>
      <c r="KW119" s="144"/>
      <c r="KX119" s="144"/>
      <c r="KY119" s="144"/>
      <c r="KZ119" s="144"/>
      <c r="LA119" s="144"/>
      <c r="LB119" s="144"/>
      <c r="LC119" s="144"/>
      <c r="LD119" s="144"/>
      <c r="LE119" s="144"/>
      <c r="LF119" s="144"/>
      <c r="LG119" s="144"/>
      <c r="LH119" s="144"/>
      <c r="LI119" s="144"/>
      <c r="LJ119" s="144"/>
      <c r="LK119" s="144"/>
      <c r="LL119" s="144"/>
      <c r="LM119" s="144"/>
      <c r="LN119" s="144"/>
      <c r="LO119" s="144"/>
      <c r="LP119" s="144"/>
      <c r="LQ119" s="144"/>
      <c r="LR119" s="144"/>
      <c r="LS119" s="144"/>
      <c r="LT119" s="144"/>
      <c r="LU119" s="144"/>
      <c r="LV119" s="144"/>
      <c r="LW119" s="144"/>
      <c r="LX119" s="144"/>
      <c r="LY119" s="144"/>
      <c r="LZ119" s="144"/>
      <c r="MA119" s="144"/>
      <c r="MB119" s="144"/>
      <c r="MC119" s="144"/>
      <c r="MD119" s="144"/>
      <c r="ME119" s="144"/>
      <c r="MF119" s="144"/>
      <c r="MG119" s="144"/>
      <c r="MH119" s="144"/>
      <c r="MI119" s="144"/>
      <c r="MJ119" s="144"/>
      <c r="MK119" s="144"/>
      <c r="ML119" s="144"/>
      <c r="MM119" s="144"/>
      <c r="MN119" s="144"/>
      <c r="MO119" s="144"/>
      <c r="MP119" s="144"/>
      <c r="MQ119" s="144"/>
      <c r="MR119" s="144"/>
      <c r="MS119" s="144"/>
      <c r="MT119" s="144"/>
      <c r="MU119" s="144"/>
      <c r="MV119" s="144"/>
      <c r="MW119" s="144"/>
      <c r="MX119" s="144"/>
      <c r="MY119" s="144"/>
      <c r="MZ119" s="145"/>
    </row>
    <row r="120" spans="1:364" ht="15" customHeight="1" x14ac:dyDescent="0.4">
      <c r="B120" s="149" t="s">
        <v>30</v>
      </c>
      <c r="C120" s="150"/>
      <c r="D120" s="150"/>
      <c r="E120" s="150"/>
      <c r="F120" s="150"/>
      <c r="G120" s="150"/>
      <c r="H120" s="150"/>
      <c r="I120" s="150"/>
      <c r="J120" s="150"/>
      <c r="K120" s="150"/>
      <c r="L120" s="150"/>
      <c r="M120" s="150"/>
      <c r="N120" s="150"/>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73"/>
      <c r="AK120" s="149" t="s">
        <v>45</v>
      </c>
      <c r="AL120" s="150"/>
      <c r="AM120" s="150"/>
      <c r="AN120" s="150"/>
      <c r="AO120" s="150"/>
      <c r="AP120" s="150"/>
      <c r="AQ120" s="150"/>
      <c r="AR120" s="150"/>
      <c r="AS120" s="150"/>
      <c r="AT120" s="150"/>
      <c r="AU120" s="150"/>
      <c r="AV120" s="150"/>
      <c r="AW120" s="150"/>
      <c r="AX120" s="150"/>
      <c r="AY120" s="150"/>
      <c r="AZ120" s="150"/>
      <c r="BA120" s="129"/>
      <c r="BB120" s="129"/>
      <c r="BC120" s="129"/>
      <c r="BD120" s="129"/>
      <c r="BE120" s="129"/>
      <c r="BF120" s="129"/>
      <c r="BG120" s="129"/>
      <c r="BH120" s="129"/>
      <c r="BI120" s="129"/>
      <c r="BJ120" s="129"/>
      <c r="BK120" s="129"/>
      <c r="BL120" s="129"/>
      <c r="BM120" s="129"/>
      <c r="BN120" s="129"/>
      <c r="BO120" s="129"/>
      <c r="BP120" s="129"/>
      <c r="BQ120" s="129"/>
      <c r="BR120" s="129"/>
      <c r="BS120" s="129"/>
      <c r="BT120" s="129"/>
      <c r="BU120" s="173"/>
      <c r="BW120" s="149" t="s">
        <v>3151</v>
      </c>
      <c r="BX120" s="150"/>
      <c r="BY120" s="150"/>
      <c r="BZ120" s="150"/>
      <c r="CA120" s="150"/>
      <c r="CB120" s="150"/>
      <c r="CC120" s="150"/>
      <c r="CD120" s="150"/>
      <c r="CE120" s="150"/>
      <c r="CF120" s="150"/>
      <c r="CG120" s="150"/>
      <c r="CH120" s="150"/>
      <c r="CI120" s="150"/>
      <c r="CJ120" s="150"/>
      <c r="CK120" s="150"/>
      <c r="CL120" s="150"/>
      <c r="CM120" s="150"/>
      <c r="CN120" s="150"/>
      <c r="CO120" s="150"/>
      <c r="CP120" s="150"/>
      <c r="CQ120" s="150"/>
      <c r="CR120" s="150"/>
      <c r="CS120" s="150"/>
      <c r="CT120" s="150"/>
      <c r="CU120" s="147"/>
      <c r="CV120" s="147"/>
      <c r="CW120" s="147"/>
      <c r="CX120" s="147"/>
      <c r="CY120" s="147"/>
      <c r="CZ120" s="147"/>
      <c r="DA120" s="147"/>
      <c r="DB120" s="147"/>
      <c r="DC120" s="147"/>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B120" s="304"/>
      <c r="FC120" s="144"/>
      <c r="FD120" s="144"/>
      <c r="FE120" s="144"/>
      <c r="FF120" s="144"/>
      <c r="FG120" s="144"/>
      <c r="FH120" s="144"/>
      <c r="FI120" s="144"/>
      <c r="FJ120" s="144"/>
      <c r="FK120" s="144"/>
      <c r="FL120" s="144"/>
      <c r="FM120" s="144"/>
      <c r="FN120" s="144"/>
      <c r="FO120" s="144"/>
      <c r="FP120" s="144"/>
      <c r="FQ120" s="144"/>
      <c r="FR120" s="144"/>
      <c r="FS120" s="144"/>
      <c r="FT120" s="144"/>
      <c r="FU120" s="144"/>
      <c r="FV120" s="144"/>
      <c r="FW120" s="144"/>
      <c r="FX120" s="144"/>
      <c r="FY120" s="144"/>
      <c r="FZ120" s="144"/>
      <c r="GA120" s="144"/>
      <c r="GB120" s="144"/>
      <c r="GC120" s="144"/>
      <c r="GD120" s="144"/>
      <c r="GE120" s="144"/>
      <c r="GF120" s="144"/>
      <c r="GG120" s="144"/>
      <c r="GH120" s="144"/>
      <c r="GI120" s="144"/>
      <c r="GJ120" s="144"/>
      <c r="GK120" s="144"/>
      <c r="GL120" s="144"/>
      <c r="GM120" s="144"/>
      <c r="GN120" s="144"/>
      <c r="GO120" s="144"/>
      <c r="GP120" s="144"/>
      <c r="GQ120" s="144"/>
      <c r="GR120" s="144"/>
      <c r="GS120" s="144"/>
      <c r="GT120" s="144"/>
      <c r="GU120" s="144"/>
      <c r="GV120" s="144"/>
      <c r="GW120" s="144"/>
      <c r="GX120" s="144"/>
      <c r="GY120" s="144"/>
      <c r="GZ120" s="144"/>
      <c r="HA120" s="144"/>
      <c r="HB120" s="144"/>
      <c r="HC120" s="144"/>
      <c r="HD120" s="144"/>
      <c r="HE120" s="144"/>
      <c r="HF120" s="144"/>
      <c r="HG120" s="144"/>
      <c r="HH120" s="144"/>
      <c r="HI120" s="144"/>
      <c r="HJ120" s="144"/>
      <c r="HK120" s="144"/>
      <c r="HL120" s="144"/>
      <c r="HM120" s="144"/>
      <c r="HN120" s="144"/>
      <c r="HO120" s="144"/>
      <c r="HP120" s="144"/>
      <c r="HQ120" s="144"/>
      <c r="HR120" s="144"/>
      <c r="HS120" s="144"/>
      <c r="HT120" s="144"/>
      <c r="HU120" s="144"/>
      <c r="HV120" s="144"/>
      <c r="HW120" s="144"/>
      <c r="HX120" s="144"/>
      <c r="HY120" s="144"/>
      <c r="HZ120" s="144"/>
      <c r="IA120" s="144"/>
      <c r="IB120" s="144"/>
      <c r="IC120" s="144"/>
      <c r="ID120" s="144"/>
      <c r="IE120" s="144"/>
      <c r="IF120" s="144"/>
      <c r="IG120" s="144"/>
      <c r="IH120" s="144"/>
      <c r="II120" s="144"/>
      <c r="IJ120" s="144"/>
      <c r="IK120" s="144"/>
      <c r="IL120" s="144"/>
      <c r="IM120" s="144"/>
      <c r="IN120" s="144"/>
      <c r="IO120" s="144"/>
      <c r="IP120" s="144"/>
      <c r="IQ120" s="144"/>
      <c r="IR120" s="144"/>
      <c r="IS120" s="144"/>
      <c r="IT120" s="144"/>
      <c r="IU120" s="144"/>
      <c r="IV120" s="144"/>
      <c r="IW120" s="144"/>
      <c r="IX120" s="144"/>
      <c r="IY120" s="144"/>
      <c r="IZ120" s="144"/>
      <c r="JA120" s="144"/>
      <c r="JB120" s="144"/>
      <c r="JC120" s="144"/>
      <c r="JD120" s="144"/>
      <c r="JE120" s="144"/>
      <c r="JF120" s="144"/>
      <c r="JG120" s="144"/>
      <c r="JH120" s="144"/>
      <c r="JI120" s="144"/>
      <c r="JJ120" s="144"/>
      <c r="JK120" s="144"/>
      <c r="JL120" s="144"/>
      <c r="JM120" s="144"/>
      <c r="JN120" s="144"/>
      <c r="JO120" s="144"/>
      <c r="JP120" s="144"/>
      <c r="JQ120" s="144"/>
      <c r="JR120" s="144"/>
      <c r="JS120" s="144"/>
      <c r="JT120" s="144"/>
      <c r="JU120" s="144"/>
      <c r="JV120" s="144"/>
      <c r="JW120" s="144"/>
      <c r="JX120" s="144"/>
      <c r="JY120" s="144"/>
      <c r="JZ120" s="144"/>
      <c r="KA120" s="144"/>
      <c r="KB120" s="144"/>
      <c r="KC120" s="144"/>
      <c r="KD120" s="144"/>
      <c r="KE120" s="144"/>
      <c r="KF120" s="144"/>
      <c r="KG120" s="144"/>
      <c r="KH120" s="144"/>
      <c r="KI120" s="144"/>
      <c r="KJ120" s="144"/>
      <c r="KK120" s="144"/>
      <c r="KL120" s="144"/>
      <c r="KM120" s="144"/>
      <c r="KN120" s="144"/>
      <c r="KO120" s="144"/>
      <c r="KP120" s="144"/>
      <c r="KQ120" s="144"/>
      <c r="KR120" s="144"/>
      <c r="KS120" s="144"/>
      <c r="KT120" s="144"/>
      <c r="KU120" s="144"/>
      <c r="KV120" s="144"/>
      <c r="KW120" s="144"/>
      <c r="KX120" s="144"/>
      <c r="KY120" s="144"/>
      <c r="KZ120" s="144"/>
      <c r="LA120" s="144"/>
      <c r="LB120" s="144"/>
      <c r="LC120" s="144"/>
      <c r="LD120" s="144"/>
      <c r="LE120" s="144"/>
      <c r="LF120" s="144"/>
      <c r="LG120" s="144"/>
      <c r="LH120" s="144"/>
      <c r="LI120" s="144"/>
      <c r="LJ120" s="144"/>
      <c r="LK120" s="144"/>
      <c r="LL120" s="144"/>
      <c r="LM120" s="144"/>
      <c r="LN120" s="144"/>
      <c r="LO120" s="144"/>
      <c r="LP120" s="144"/>
      <c r="LQ120" s="144"/>
      <c r="LR120" s="144"/>
      <c r="LS120" s="144"/>
      <c r="LT120" s="144"/>
      <c r="LU120" s="144"/>
      <c r="LV120" s="144"/>
      <c r="LW120" s="144"/>
      <c r="LX120" s="144"/>
      <c r="LY120" s="144"/>
      <c r="LZ120" s="144"/>
      <c r="MA120" s="144"/>
      <c r="MB120" s="144"/>
      <c r="MC120" s="144"/>
      <c r="MD120" s="144"/>
      <c r="ME120" s="144"/>
      <c r="MF120" s="144"/>
      <c r="MG120" s="144"/>
      <c r="MH120" s="144"/>
      <c r="MI120" s="144"/>
      <c r="MJ120" s="144"/>
      <c r="MK120" s="144"/>
      <c r="ML120" s="144"/>
      <c r="MM120" s="144"/>
      <c r="MN120" s="144"/>
      <c r="MO120" s="144"/>
      <c r="MP120" s="144"/>
      <c r="MQ120" s="144"/>
      <c r="MR120" s="144"/>
      <c r="MS120" s="144"/>
      <c r="MT120" s="144"/>
      <c r="MU120" s="144"/>
      <c r="MV120" s="144"/>
      <c r="MW120" s="144"/>
      <c r="MX120" s="144"/>
      <c r="MY120" s="144"/>
      <c r="MZ120" s="145"/>
    </row>
    <row r="121" spans="1:364" ht="15" customHeight="1" x14ac:dyDescent="0.4">
      <c r="B121" s="149" t="s">
        <v>31</v>
      </c>
      <c r="C121" s="150"/>
      <c r="D121" s="150"/>
      <c r="E121" s="150"/>
      <c r="F121" s="150"/>
      <c r="G121" s="150"/>
      <c r="H121" s="150"/>
      <c r="I121" s="150"/>
      <c r="J121" s="150"/>
      <c r="K121" s="150"/>
      <c r="L121" s="150"/>
      <c r="M121" s="150"/>
      <c r="N121" s="150"/>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73"/>
      <c r="AK121" s="149" t="s">
        <v>46</v>
      </c>
      <c r="AL121" s="150"/>
      <c r="AM121" s="150"/>
      <c r="AN121" s="150"/>
      <c r="AO121" s="150"/>
      <c r="AP121" s="150"/>
      <c r="AQ121" s="150"/>
      <c r="AR121" s="150"/>
      <c r="AS121" s="150"/>
      <c r="AT121" s="150"/>
      <c r="AU121" s="150"/>
      <c r="AV121" s="150"/>
      <c r="AW121" s="150"/>
      <c r="AX121" s="150"/>
      <c r="AY121" s="150"/>
      <c r="AZ121" s="150"/>
      <c r="BA121" s="129"/>
      <c r="BB121" s="129"/>
      <c r="BC121" s="129"/>
      <c r="BD121" s="129"/>
      <c r="BE121" s="129"/>
      <c r="BF121" s="129"/>
      <c r="BG121" s="129"/>
      <c r="BH121" s="129"/>
      <c r="BI121" s="129"/>
      <c r="BJ121" s="129"/>
      <c r="BK121" s="129"/>
      <c r="BL121" s="129"/>
      <c r="BM121" s="129"/>
      <c r="BN121" s="129"/>
      <c r="BO121" s="129"/>
      <c r="BP121" s="129"/>
      <c r="BQ121" s="129"/>
      <c r="BR121" s="129"/>
      <c r="BS121" s="129"/>
      <c r="BT121" s="129"/>
      <c r="BU121" s="173"/>
      <c r="BW121" s="149" t="s">
        <v>3152</v>
      </c>
      <c r="BX121" s="150"/>
      <c r="BY121" s="150"/>
      <c r="BZ121" s="150"/>
      <c r="CA121" s="150"/>
      <c r="CB121" s="150"/>
      <c r="CC121" s="150"/>
      <c r="CD121" s="150"/>
      <c r="CE121" s="150"/>
      <c r="CF121" s="150"/>
      <c r="CG121" s="150"/>
      <c r="CH121" s="150"/>
      <c r="CI121" s="150"/>
      <c r="CJ121" s="150"/>
      <c r="CK121" s="150"/>
      <c r="CL121" s="150"/>
      <c r="CM121" s="150"/>
      <c r="CN121" s="150"/>
      <c r="CO121" s="150"/>
      <c r="CP121" s="150"/>
      <c r="CQ121" s="150"/>
      <c r="CR121" s="150"/>
      <c r="CS121" s="150"/>
      <c r="CT121" s="150"/>
      <c r="CU121" s="147"/>
      <c r="CV121" s="147"/>
      <c r="CW121" s="147"/>
      <c r="CX121" s="147"/>
      <c r="CY121" s="147"/>
      <c r="CZ121" s="147"/>
      <c r="DA121" s="147"/>
      <c r="DB121" s="147"/>
      <c r="DC121" s="147"/>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B121" s="304"/>
      <c r="FC121" s="144"/>
      <c r="FD121" s="144"/>
      <c r="FE121" s="144"/>
      <c r="FF121" s="144"/>
      <c r="FG121" s="144"/>
      <c r="FH121" s="144"/>
      <c r="FI121" s="144"/>
      <c r="FJ121" s="144"/>
      <c r="FK121" s="144"/>
      <c r="FL121" s="144"/>
      <c r="FM121" s="144"/>
      <c r="FN121" s="144"/>
      <c r="FO121" s="144"/>
      <c r="FP121" s="144"/>
      <c r="FQ121" s="144"/>
      <c r="FR121" s="144"/>
      <c r="FS121" s="144"/>
      <c r="FT121" s="144"/>
      <c r="FU121" s="144"/>
      <c r="FV121" s="144"/>
      <c r="FW121" s="144"/>
      <c r="FX121" s="144"/>
      <c r="FY121" s="144"/>
      <c r="FZ121" s="144"/>
      <c r="GA121" s="144"/>
      <c r="GB121" s="144"/>
      <c r="GC121" s="144"/>
      <c r="GD121" s="144"/>
      <c r="GE121" s="144"/>
      <c r="GF121" s="144"/>
      <c r="GG121" s="144"/>
      <c r="GH121" s="144"/>
      <c r="GI121" s="144"/>
      <c r="GJ121" s="144"/>
      <c r="GK121" s="144"/>
      <c r="GL121" s="144"/>
      <c r="GM121" s="144"/>
      <c r="GN121" s="144"/>
      <c r="GO121" s="144"/>
      <c r="GP121" s="144"/>
      <c r="GQ121" s="144"/>
      <c r="GR121" s="144"/>
      <c r="GS121" s="144"/>
      <c r="GT121" s="144"/>
      <c r="GU121" s="144"/>
      <c r="GV121" s="144"/>
      <c r="GW121" s="144"/>
      <c r="GX121" s="144"/>
      <c r="GY121" s="144"/>
      <c r="GZ121" s="144"/>
      <c r="HA121" s="144"/>
      <c r="HB121" s="144"/>
      <c r="HC121" s="144"/>
      <c r="HD121" s="144"/>
      <c r="HE121" s="144"/>
      <c r="HF121" s="144"/>
      <c r="HG121" s="144"/>
      <c r="HH121" s="144"/>
      <c r="HI121" s="144"/>
      <c r="HJ121" s="144"/>
      <c r="HK121" s="144"/>
      <c r="HL121" s="144"/>
      <c r="HM121" s="144"/>
      <c r="HN121" s="144"/>
      <c r="HO121" s="144"/>
      <c r="HP121" s="144"/>
      <c r="HQ121" s="144"/>
      <c r="HR121" s="144"/>
      <c r="HS121" s="144"/>
      <c r="HT121" s="144"/>
      <c r="HU121" s="144"/>
      <c r="HV121" s="144"/>
      <c r="HW121" s="144"/>
      <c r="HX121" s="144"/>
      <c r="HY121" s="144"/>
      <c r="HZ121" s="144"/>
      <c r="IA121" s="144"/>
      <c r="IB121" s="144"/>
      <c r="IC121" s="144"/>
      <c r="ID121" s="144"/>
      <c r="IE121" s="144"/>
      <c r="IF121" s="144"/>
      <c r="IG121" s="144"/>
      <c r="IH121" s="144"/>
      <c r="II121" s="144"/>
      <c r="IJ121" s="144"/>
      <c r="IK121" s="144"/>
      <c r="IL121" s="144"/>
      <c r="IM121" s="144"/>
      <c r="IN121" s="144"/>
      <c r="IO121" s="144"/>
      <c r="IP121" s="144"/>
      <c r="IQ121" s="144"/>
      <c r="IR121" s="144"/>
      <c r="IS121" s="144"/>
      <c r="IT121" s="144"/>
      <c r="IU121" s="144"/>
      <c r="IV121" s="144"/>
      <c r="IW121" s="144"/>
      <c r="IX121" s="144"/>
      <c r="IY121" s="144"/>
      <c r="IZ121" s="144"/>
      <c r="JA121" s="144"/>
      <c r="JB121" s="144"/>
      <c r="JC121" s="144"/>
      <c r="JD121" s="144"/>
      <c r="JE121" s="144"/>
      <c r="JF121" s="144"/>
      <c r="JG121" s="144"/>
      <c r="JH121" s="144"/>
      <c r="JI121" s="144"/>
      <c r="JJ121" s="144"/>
      <c r="JK121" s="144"/>
      <c r="JL121" s="144"/>
      <c r="JM121" s="144"/>
      <c r="JN121" s="144"/>
      <c r="JO121" s="144"/>
      <c r="JP121" s="144"/>
      <c r="JQ121" s="144"/>
      <c r="JR121" s="144"/>
      <c r="JS121" s="144"/>
      <c r="JT121" s="144"/>
      <c r="JU121" s="144"/>
      <c r="JV121" s="144"/>
      <c r="JW121" s="144"/>
      <c r="JX121" s="144"/>
      <c r="JY121" s="144"/>
      <c r="JZ121" s="144"/>
      <c r="KA121" s="144"/>
      <c r="KB121" s="144"/>
      <c r="KC121" s="144"/>
      <c r="KD121" s="144"/>
      <c r="KE121" s="144"/>
      <c r="KF121" s="144"/>
      <c r="KG121" s="144"/>
      <c r="KH121" s="144"/>
      <c r="KI121" s="144"/>
      <c r="KJ121" s="144"/>
      <c r="KK121" s="144"/>
      <c r="KL121" s="144"/>
      <c r="KM121" s="144"/>
      <c r="KN121" s="144"/>
      <c r="KO121" s="144"/>
      <c r="KP121" s="144"/>
      <c r="KQ121" s="144"/>
      <c r="KR121" s="144"/>
      <c r="KS121" s="144"/>
      <c r="KT121" s="144"/>
      <c r="KU121" s="144"/>
      <c r="KV121" s="144"/>
      <c r="KW121" s="144"/>
      <c r="KX121" s="144"/>
      <c r="KY121" s="144"/>
      <c r="KZ121" s="144"/>
      <c r="LA121" s="144"/>
      <c r="LB121" s="144"/>
      <c r="LC121" s="144"/>
      <c r="LD121" s="144"/>
      <c r="LE121" s="144"/>
      <c r="LF121" s="144"/>
      <c r="LG121" s="144"/>
      <c r="LH121" s="144"/>
      <c r="LI121" s="144"/>
      <c r="LJ121" s="144"/>
      <c r="LK121" s="144"/>
      <c r="LL121" s="144"/>
      <c r="LM121" s="144"/>
      <c r="LN121" s="144"/>
      <c r="LO121" s="144"/>
      <c r="LP121" s="144"/>
      <c r="LQ121" s="144"/>
      <c r="LR121" s="144"/>
      <c r="LS121" s="144"/>
      <c r="LT121" s="144"/>
      <c r="LU121" s="144"/>
      <c r="LV121" s="144"/>
      <c r="LW121" s="144"/>
      <c r="LX121" s="144"/>
      <c r="LY121" s="144"/>
      <c r="LZ121" s="144"/>
      <c r="MA121" s="144"/>
      <c r="MB121" s="144"/>
      <c r="MC121" s="144"/>
      <c r="MD121" s="144"/>
      <c r="ME121" s="144"/>
      <c r="MF121" s="144"/>
      <c r="MG121" s="144"/>
      <c r="MH121" s="144"/>
      <c r="MI121" s="144"/>
      <c r="MJ121" s="144"/>
      <c r="MK121" s="144"/>
      <c r="ML121" s="144"/>
      <c r="MM121" s="144"/>
      <c r="MN121" s="144"/>
      <c r="MO121" s="144"/>
      <c r="MP121" s="144"/>
      <c r="MQ121" s="144"/>
      <c r="MR121" s="144"/>
      <c r="MS121" s="144"/>
      <c r="MT121" s="144"/>
      <c r="MU121" s="144"/>
      <c r="MV121" s="144"/>
      <c r="MW121" s="144"/>
      <c r="MX121" s="144"/>
      <c r="MY121" s="144"/>
      <c r="MZ121" s="145"/>
    </row>
    <row r="122" spans="1:364" ht="15" customHeight="1" x14ac:dyDescent="0.4">
      <c r="B122" s="149" t="s">
        <v>32</v>
      </c>
      <c r="C122" s="150"/>
      <c r="D122" s="150"/>
      <c r="E122" s="150"/>
      <c r="F122" s="150"/>
      <c r="G122" s="150"/>
      <c r="H122" s="150"/>
      <c r="I122" s="150"/>
      <c r="J122" s="150"/>
      <c r="K122" s="150"/>
      <c r="L122" s="150"/>
      <c r="M122" s="150"/>
      <c r="N122" s="150"/>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73"/>
      <c r="AK122" s="149" t="s">
        <v>47</v>
      </c>
      <c r="AL122" s="150"/>
      <c r="AM122" s="150"/>
      <c r="AN122" s="150"/>
      <c r="AO122" s="150"/>
      <c r="AP122" s="150"/>
      <c r="AQ122" s="150"/>
      <c r="AR122" s="150"/>
      <c r="AS122" s="150"/>
      <c r="AT122" s="150"/>
      <c r="AU122" s="150"/>
      <c r="AV122" s="150"/>
      <c r="AW122" s="150"/>
      <c r="AX122" s="150"/>
      <c r="AY122" s="150"/>
      <c r="AZ122" s="150"/>
      <c r="BA122" s="129"/>
      <c r="BB122" s="129"/>
      <c r="BC122" s="129"/>
      <c r="BD122" s="129"/>
      <c r="BE122" s="129"/>
      <c r="BF122" s="129"/>
      <c r="BG122" s="129"/>
      <c r="BH122" s="129"/>
      <c r="BI122" s="129"/>
      <c r="BJ122" s="129"/>
      <c r="BK122" s="129"/>
      <c r="BL122" s="129"/>
      <c r="BM122" s="129"/>
      <c r="BN122" s="129"/>
      <c r="BO122" s="129"/>
      <c r="BP122" s="129"/>
      <c r="BQ122" s="129"/>
      <c r="BR122" s="129"/>
      <c r="BS122" s="129"/>
      <c r="BT122" s="129"/>
      <c r="BU122" s="173"/>
      <c r="BW122" s="149" t="s">
        <v>3153</v>
      </c>
      <c r="BX122" s="150"/>
      <c r="BY122" s="150"/>
      <c r="BZ122" s="150"/>
      <c r="CA122" s="150"/>
      <c r="CB122" s="150"/>
      <c r="CC122" s="150"/>
      <c r="CD122" s="150"/>
      <c r="CE122" s="150"/>
      <c r="CF122" s="150"/>
      <c r="CG122" s="150"/>
      <c r="CH122" s="150"/>
      <c r="CI122" s="150"/>
      <c r="CJ122" s="150"/>
      <c r="CK122" s="150"/>
      <c r="CL122" s="150"/>
      <c r="CM122" s="150"/>
      <c r="CN122" s="150"/>
      <c r="CO122" s="150"/>
      <c r="CP122" s="150"/>
      <c r="CQ122" s="150"/>
      <c r="CR122" s="150"/>
      <c r="CS122" s="150"/>
      <c r="CT122" s="150"/>
      <c r="CU122" s="147"/>
      <c r="CV122" s="147"/>
      <c r="CW122" s="147"/>
      <c r="CX122" s="147"/>
      <c r="CY122" s="147"/>
      <c r="CZ122" s="147"/>
      <c r="DA122" s="147"/>
      <c r="DB122" s="147"/>
      <c r="DC122" s="147"/>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B122" s="304"/>
      <c r="FC122" s="144"/>
      <c r="FD122" s="144"/>
      <c r="FE122" s="144"/>
      <c r="FF122" s="144"/>
      <c r="FG122" s="144"/>
      <c r="FH122" s="144"/>
      <c r="FI122" s="144"/>
      <c r="FJ122" s="144"/>
      <c r="FK122" s="144"/>
      <c r="FL122" s="144"/>
      <c r="FM122" s="144"/>
      <c r="FN122" s="144"/>
      <c r="FO122" s="144"/>
      <c r="FP122" s="144"/>
      <c r="FQ122" s="144"/>
      <c r="FR122" s="144"/>
      <c r="FS122" s="144"/>
      <c r="FT122" s="144"/>
      <c r="FU122" s="144"/>
      <c r="FV122" s="144"/>
      <c r="FW122" s="144"/>
      <c r="FX122" s="144"/>
      <c r="FY122" s="144"/>
      <c r="FZ122" s="144"/>
      <c r="GA122" s="144"/>
      <c r="GB122" s="144"/>
      <c r="GC122" s="144"/>
      <c r="GD122" s="144"/>
      <c r="GE122" s="144"/>
      <c r="GF122" s="144"/>
      <c r="GG122" s="144"/>
      <c r="GH122" s="144"/>
      <c r="GI122" s="144"/>
      <c r="GJ122" s="144"/>
      <c r="GK122" s="144"/>
      <c r="GL122" s="144"/>
      <c r="GM122" s="144"/>
      <c r="GN122" s="144"/>
      <c r="GO122" s="144"/>
      <c r="GP122" s="144"/>
      <c r="GQ122" s="144"/>
      <c r="GR122" s="144"/>
      <c r="GS122" s="144"/>
      <c r="GT122" s="144"/>
      <c r="GU122" s="144"/>
      <c r="GV122" s="144"/>
      <c r="GW122" s="144"/>
      <c r="GX122" s="144"/>
      <c r="GY122" s="144"/>
      <c r="GZ122" s="144"/>
      <c r="HA122" s="144"/>
      <c r="HB122" s="144"/>
      <c r="HC122" s="144"/>
      <c r="HD122" s="144"/>
      <c r="HE122" s="144"/>
      <c r="HF122" s="144"/>
      <c r="HG122" s="144"/>
      <c r="HH122" s="144"/>
      <c r="HI122" s="144"/>
      <c r="HJ122" s="144"/>
      <c r="HK122" s="144"/>
      <c r="HL122" s="144"/>
      <c r="HM122" s="144"/>
      <c r="HN122" s="144"/>
      <c r="HO122" s="144"/>
      <c r="HP122" s="144"/>
      <c r="HQ122" s="144"/>
      <c r="HR122" s="144"/>
      <c r="HS122" s="144"/>
      <c r="HT122" s="144"/>
      <c r="HU122" s="144"/>
      <c r="HV122" s="144"/>
      <c r="HW122" s="144"/>
      <c r="HX122" s="144"/>
      <c r="HY122" s="144"/>
      <c r="HZ122" s="144"/>
      <c r="IA122" s="144"/>
      <c r="IB122" s="144"/>
      <c r="IC122" s="144"/>
      <c r="ID122" s="144"/>
      <c r="IE122" s="144"/>
      <c r="IF122" s="144"/>
      <c r="IG122" s="144"/>
      <c r="IH122" s="144"/>
      <c r="II122" s="144"/>
      <c r="IJ122" s="144"/>
      <c r="IK122" s="144"/>
      <c r="IL122" s="144"/>
      <c r="IM122" s="144"/>
      <c r="IN122" s="144"/>
      <c r="IO122" s="144"/>
      <c r="IP122" s="144"/>
      <c r="IQ122" s="144"/>
      <c r="IR122" s="144"/>
      <c r="IS122" s="144"/>
      <c r="IT122" s="144"/>
      <c r="IU122" s="144"/>
      <c r="IV122" s="144"/>
      <c r="IW122" s="144"/>
      <c r="IX122" s="144"/>
      <c r="IY122" s="144"/>
      <c r="IZ122" s="144"/>
      <c r="JA122" s="144"/>
      <c r="JB122" s="144"/>
      <c r="JC122" s="144"/>
      <c r="JD122" s="144"/>
      <c r="JE122" s="144"/>
      <c r="JF122" s="144"/>
      <c r="JG122" s="144"/>
      <c r="JH122" s="144"/>
      <c r="JI122" s="144"/>
      <c r="JJ122" s="144"/>
      <c r="JK122" s="144"/>
      <c r="JL122" s="144"/>
      <c r="JM122" s="144"/>
      <c r="JN122" s="144"/>
      <c r="JO122" s="144"/>
      <c r="JP122" s="144"/>
      <c r="JQ122" s="144"/>
      <c r="JR122" s="144"/>
      <c r="JS122" s="144"/>
      <c r="JT122" s="144"/>
      <c r="JU122" s="144"/>
      <c r="JV122" s="144"/>
      <c r="JW122" s="144"/>
      <c r="JX122" s="144"/>
      <c r="JY122" s="144"/>
      <c r="JZ122" s="144"/>
      <c r="KA122" s="144"/>
      <c r="KB122" s="144"/>
      <c r="KC122" s="144"/>
      <c r="KD122" s="144"/>
      <c r="KE122" s="144"/>
      <c r="KF122" s="144"/>
      <c r="KG122" s="144"/>
      <c r="KH122" s="144"/>
      <c r="KI122" s="144"/>
      <c r="KJ122" s="144"/>
      <c r="KK122" s="144"/>
      <c r="KL122" s="144"/>
      <c r="KM122" s="144"/>
      <c r="KN122" s="144"/>
      <c r="KO122" s="144"/>
      <c r="KP122" s="144"/>
      <c r="KQ122" s="144"/>
      <c r="KR122" s="144"/>
      <c r="KS122" s="144"/>
      <c r="KT122" s="144"/>
      <c r="KU122" s="144"/>
      <c r="KV122" s="144"/>
      <c r="KW122" s="144"/>
      <c r="KX122" s="144"/>
      <c r="KY122" s="144"/>
      <c r="KZ122" s="144"/>
      <c r="LA122" s="144"/>
      <c r="LB122" s="144"/>
      <c r="LC122" s="144"/>
      <c r="LD122" s="144"/>
      <c r="LE122" s="144"/>
      <c r="LF122" s="144"/>
      <c r="LG122" s="144"/>
      <c r="LH122" s="144"/>
      <c r="LI122" s="144"/>
      <c r="LJ122" s="144"/>
      <c r="LK122" s="144"/>
      <c r="LL122" s="144"/>
      <c r="LM122" s="144"/>
      <c r="LN122" s="144"/>
      <c r="LO122" s="144"/>
      <c r="LP122" s="144"/>
      <c r="LQ122" s="144"/>
      <c r="LR122" s="144"/>
      <c r="LS122" s="144"/>
      <c r="LT122" s="144"/>
      <c r="LU122" s="144"/>
      <c r="LV122" s="144"/>
      <c r="LW122" s="144"/>
      <c r="LX122" s="144"/>
      <c r="LY122" s="144"/>
      <c r="LZ122" s="144"/>
      <c r="MA122" s="144"/>
      <c r="MB122" s="144"/>
      <c r="MC122" s="144"/>
      <c r="MD122" s="144"/>
      <c r="ME122" s="144"/>
      <c r="MF122" s="144"/>
      <c r="MG122" s="144"/>
      <c r="MH122" s="144"/>
      <c r="MI122" s="144"/>
      <c r="MJ122" s="144"/>
      <c r="MK122" s="144"/>
      <c r="ML122" s="144"/>
      <c r="MM122" s="144"/>
      <c r="MN122" s="144"/>
      <c r="MO122" s="144"/>
      <c r="MP122" s="144"/>
      <c r="MQ122" s="144"/>
      <c r="MR122" s="144"/>
      <c r="MS122" s="144"/>
      <c r="MT122" s="144"/>
      <c r="MU122" s="144"/>
      <c r="MV122" s="144"/>
      <c r="MW122" s="144"/>
      <c r="MX122" s="144"/>
      <c r="MY122" s="144"/>
      <c r="MZ122" s="145"/>
    </row>
    <row r="123" spans="1:364" ht="15" customHeight="1" x14ac:dyDescent="0.4">
      <c r="B123" s="149" t="s">
        <v>33</v>
      </c>
      <c r="C123" s="150"/>
      <c r="D123" s="150"/>
      <c r="E123" s="150"/>
      <c r="F123" s="150"/>
      <c r="G123" s="150"/>
      <c r="H123" s="150"/>
      <c r="I123" s="150"/>
      <c r="J123" s="150"/>
      <c r="K123" s="150"/>
      <c r="L123" s="150"/>
      <c r="M123" s="150"/>
      <c r="N123" s="150"/>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73"/>
      <c r="AK123" s="164" t="s">
        <v>48</v>
      </c>
      <c r="AL123" s="165"/>
      <c r="AM123" s="165"/>
      <c r="AN123" s="165"/>
      <c r="AO123" s="165"/>
      <c r="AP123" s="165"/>
      <c r="AQ123" s="165"/>
      <c r="AR123" s="165"/>
      <c r="AS123" s="165"/>
      <c r="AT123" s="165"/>
      <c r="AU123" s="165"/>
      <c r="AV123" s="165"/>
      <c r="AW123" s="165"/>
      <c r="AX123" s="165"/>
      <c r="AY123" s="165"/>
      <c r="AZ123" s="165"/>
      <c r="BA123" s="158"/>
      <c r="BB123" s="158"/>
      <c r="BC123" s="158"/>
      <c r="BD123" s="158"/>
      <c r="BE123" s="158"/>
      <c r="BF123" s="158"/>
      <c r="BG123" s="158"/>
      <c r="BH123" s="158"/>
      <c r="BI123" s="158"/>
      <c r="BJ123" s="158"/>
      <c r="BK123" s="158"/>
      <c r="BL123" s="158"/>
      <c r="BM123" s="158"/>
      <c r="BN123" s="158"/>
      <c r="BO123" s="158"/>
      <c r="BP123" s="158"/>
      <c r="BQ123" s="158"/>
      <c r="BR123" s="158"/>
      <c r="BS123" s="158"/>
      <c r="BT123" s="158"/>
      <c r="BU123" s="174"/>
      <c r="BW123" s="149" t="s">
        <v>3126</v>
      </c>
      <c r="BX123" s="150"/>
      <c r="BY123" s="150"/>
      <c r="BZ123" s="150"/>
      <c r="CA123" s="150"/>
      <c r="CB123" s="150"/>
      <c r="CC123" s="150"/>
      <c r="CD123" s="150"/>
      <c r="CE123" s="150"/>
      <c r="CF123" s="150"/>
      <c r="CG123" s="150"/>
      <c r="CH123" s="150"/>
      <c r="CI123" s="150"/>
      <c r="CJ123" s="150"/>
      <c r="CK123" s="150"/>
      <c r="CL123" s="150"/>
      <c r="CM123" s="150"/>
      <c r="CN123" s="150"/>
      <c r="CO123" s="150"/>
      <c r="CP123" s="150"/>
      <c r="CQ123" s="150"/>
      <c r="CR123" s="150"/>
      <c r="CS123" s="150"/>
      <c r="CT123" s="150"/>
      <c r="CU123" s="147"/>
      <c r="CV123" s="147"/>
      <c r="CW123" s="147"/>
      <c r="CX123" s="147"/>
      <c r="CY123" s="147"/>
      <c r="CZ123" s="147"/>
      <c r="DA123" s="147"/>
      <c r="DB123" s="147"/>
      <c r="DC123" s="147"/>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B123" s="304"/>
      <c r="FC123" s="144"/>
      <c r="FD123" s="144"/>
      <c r="FE123" s="144"/>
      <c r="FF123" s="144"/>
      <c r="FG123" s="144"/>
      <c r="FH123" s="144"/>
      <c r="FI123" s="144"/>
      <c r="FJ123" s="144"/>
      <c r="FK123" s="144"/>
      <c r="FL123" s="144"/>
      <c r="FM123" s="144"/>
      <c r="FN123" s="144"/>
      <c r="FO123" s="144"/>
      <c r="FP123" s="144"/>
      <c r="FQ123" s="144"/>
      <c r="FR123" s="144"/>
      <c r="FS123" s="144"/>
      <c r="FT123" s="144"/>
      <c r="FU123" s="144"/>
      <c r="FV123" s="144"/>
      <c r="FW123" s="144"/>
      <c r="FX123" s="144"/>
      <c r="FY123" s="144"/>
      <c r="FZ123" s="144"/>
      <c r="GA123" s="144"/>
      <c r="GB123" s="144"/>
      <c r="GC123" s="144"/>
      <c r="GD123" s="144"/>
      <c r="GE123" s="144"/>
      <c r="GF123" s="144"/>
      <c r="GG123" s="144"/>
      <c r="GH123" s="144"/>
      <c r="GI123" s="144"/>
      <c r="GJ123" s="144"/>
      <c r="GK123" s="144"/>
      <c r="GL123" s="144"/>
      <c r="GM123" s="144"/>
      <c r="GN123" s="144"/>
      <c r="GO123" s="144"/>
      <c r="GP123" s="144"/>
      <c r="GQ123" s="144"/>
      <c r="GR123" s="144"/>
      <c r="GS123" s="144"/>
      <c r="GT123" s="144"/>
      <c r="GU123" s="144"/>
      <c r="GV123" s="144"/>
      <c r="GW123" s="144"/>
      <c r="GX123" s="144"/>
      <c r="GY123" s="144"/>
      <c r="GZ123" s="144"/>
      <c r="HA123" s="144"/>
      <c r="HB123" s="144"/>
      <c r="HC123" s="144"/>
      <c r="HD123" s="144"/>
      <c r="HE123" s="144"/>
      <c r="HF123" s="144"/>
      <c r="HG123" s="144"/>
      <c r="HH123" s="144"/>
      <c r="HI123" s="144"/>
      <c r="HJ123" s="144"/>
      <c r="HK123" s="144"/>
      <c r="HL123" s="144"/>
      <c r="HM123" s="144"/>
      <c r="HN123" s="144"/>
      <c r="HO123" s="144"/>
      <c r="HP123" s="144"/>
      <c r="HQ123" s="144"/>
      <c r="HR123" s="144"/>
      <c r="HS123" s="144"/>
      <c r="HT123" s="144"/>
      <c r="HU123" s="144"/>
      <c r="HV123" s="144"/>
      <c r="HW123" s="144"/>
      <c r="HX123" s="144"/>
      <c r="HY123" s="144"/>
      <c r="HZ123" s="144"/>
      <c r="IA123" s="144"/>
      <c r="IB123" s="144"/>
      <c r="IC123" s="144"/>
      <c r="ID123" s="144"/>
      <c r="IE123" s="144"/>
      <c r="IF123" s="144"/>
      <c r="IG123" s="144"/>
      <c r="IH123" s="144"/>
      <c r="II123" s="144"/>
      <c r="IJ123" s="144"/>
      <c r="IK123" s="144"/>
      <c r="IL123" s="144"/>
      <c r="IM123" s="144"/>
      <c r="IN123" s="144"/>
      <c r="IO123" s="144"/>
      <c r="IP123" s="144"/>
      <c r="IQ123" s="144"/>
      <c r="IR123" s="144"/>
      <c r="IS123" s="144"/>
      <c r="IT123" s="144"/>
      <c r="IU123" s="144"/>
      <c r="IV123" s="144"/>
      <c r="IW123" s="144"/>
      <c r="IX123" s="144"/>
      <c r="IY123" s="144"/>
      <c r="IZ123" s="144"/>
      <c r="JA123" s="144"/>
      <c r="JB123" s="144"/>
      <c r="JC123" s="144"/>
      <c r="JD123" s="144"/>
      <c r="JE123" s="144"/>
      <c r="JF123" s="144"/>
      <c r="JG123" s="144"/>
      <c r="JH123" s="144"/>
      <c r="JI123" s="144"/>
      <c r="JJ123" s="144"/>
      <c r="JK123" s="144"/>
      <c r="JL123" s="144"/>
      <c r="JM123" s="144"/>
      <c r="JN123" s="144"/>
      <c r="JO123" s="144"/>
      <c r="JP123" s="144"/>
      <c r="JQ123" s="144"/>
      <c r="JR123" s="144"/>
      <c r="JS123" s="144"/>
      <c r="JT123" s="144"/>
      <c r="JU123" s="144"/>
      <c r="JV123" s="144"/>
      <c r="JW123" s="144"/>
      <c r="JX123" s="144"/>
      <c r="JY123" s="144"/>
      <c r="JZ123" s="144"/>
      <c r="KA123" s="144"/>
      <c r="KB123" s="144"/>
      <c r="KC123" s="144"/>
      <c r="KD123" s="144"/>
      <c r="KE123" s="144"/>
      <c r="KF123" s="144"/>
      <c r="KG123" s="144"/>
      <c r="KH123" s="144"/>
      <c r="KI123" s="144"/>
      <c r="KJ123" s="144"/>
      <c r="KK123" s="144"/>
      <c r="KL123" s="144"/>
      <c r="KM123" s="144"/>
      <c r="KN123" s="144"/>
      <c r="KO123" s="144"/>
      <c r="KP123" s="144"/>
      <c r="KQ123" s="144"/>
      <c r="KR123" s="144"/>
      <c r="KS123" s="144"/>
      <c r="KT123" s="144"/>
      <c r="KU123" s="144"/>
      <c r="KV123" s="144"/>
      <c r="KW123" s="144"/>
      <c r="KX123" s="144"/>
      <c r="KY123" s="144"/>
      <c r="KZ123" s="144"/>
      <c r="LA123" s="144"/>
      <c r="LB123" s="144"/>
      <c r="LC123" s="144"/>
      <c r="LD123" s="144"/>
      <c r="LE123" s="144"/>
      <c r="LF123" s="144"/>
      <c r="LG123" s="144"/>
      <c r="LH123" s="144"/>
      <c r="LI123" s="144"/>
      <c r="LJ123" s="144"/>
      <c r="LK123" s="144"/>
      <c r="LL123" s="144"/>
      <c r="LM123" s="144"/>
      <c r="LN123" s="144"/>
      <c r="LO123" s="144"/>
      <c r="LP123" s="144"/>
      <c r="LQ123" s="144"/>
      <c r="LR123" s="144"/>
      <c r="LS123" s="144"/>
      <c r="LT123" s="144"/>
      <c r="LU123" s="144"/>
      <c r="LV123" s="144"/>
      <c r="LW123" s="144"/>
      <c r="LX123" s="144"/>
      <c r="LY123" s="144"/>
      <c r="LZ123" s="144"/>
      <c r="MA123" s="144"/>
      <c r="MB123" s="144"/>
      <c r="MC123" s="144"/>
      <c r="MD123" s="144"/>
      <c r="ME123" s="144"/>
      <c r="MF123" s="144"/>
      <c r="MG123" s="144"/>
      <c r="MH123" s="144"/>
      <c r="MI123" s="144"/>
      <c r="MJ123" s="144"/>
      <c r="MK123" s="144"/>
      <c r="ML123" s="144"/>
      <c r="MM123" s="144"/>
      <c r="MN123" s="144"/>
      <c r="MO123" s="144"/>
      <c r="MP123" s="144"/>
      <c r="MQ123" s="144"/>
      <c r="MR123" s="144"/>
      <c r="MS123" s="144"/>
      <c r="MT123" s="144"/>
      <c r="MU123" s="144"/>
      <c r="MV123" s="144"/>
      <c r="MW123" s="144"/>
      <c r="MX123" s="144"/>
      <c r="MY123" s="144"/>
      <c r="MZ123" s="145"/>
    </row>
    <row r="124" spans="1:364" ht="15" customHeight="1" x14ac:dyDescent="0.25">
      <c r="B124" s="164" t="s">
        <v>34</v>
      </c>
      <c r="C124" s="165"/>
      <c r="D124" s="165"/>
      <c r="E124" s="165"/>
      <c r="F124" s="165"/>
      <c r="G124" s="165"/>
      <c r="H124" s="165"/>
      <c r="I124" s="165"/>
      <c r="J124" s="165"/>
      <c r="K124" s="165"/>
      <c r="L124" s="165"/>
      <c r="M124" s="165"/>
      <c r="N124" s="165"/>
      <c r="O124" s="158"/>
      <c r="P124" s="158"/>
      <c r="Q124" s="158"/>
      <c r="R124" s="158"/>
      <c r="S124" s="158"/>
      <c r="T124" s="158"/>
      <c r="U124" s="158"/>
      <c r="V124" s="158"/>
      <c r="W124" s="158"/>
      <c r="X124" s="158"/>
      <c r="Y124" s="158"/>
      <c r="Z124" s="158"/>
      <c r="AA124" s="158"/>
      <c r="AB124" s="158"/>
      <c r="AC124" s="158"/>
      <c r="AD124" s="158"/>
      <c r="AE124" s="158"/>
      <c r="AF124" s="158"/>
      <c r="AG124" s="158"/>
      <c r="AH124" s="158"/>
      <c r="AI124" s="174"/>
      <c r="BG124"/>
      <c r="BH124"/>
      <c r="BI124"/>
      <c r="BJ124"/>
      <c r="BK124"/>
      <c r="BL124"/>
      <c r="BM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B124" s="304"/>
      <c r="FC124" s="144"/>
      <c r="FD124" s="144"/>
      <c r="FE124" s="144"/>
      <c r="FF124" s="144"/>
      <c r="FG124" s="144"/>
      <c r="FH124" s="144"/>
      <c r="FI124" s="144"/>
      <c r="FJ124" s="144"/>
      <c r="FK124" s="144"/>
      <c r="FL124" s="144"/>
      <c r="FM124" s="144"/>
      <c r="FN124" s="144"/>
      <c r="FO124" s="144"/>
      <c r="FP124" s="144"/>
      <c r="FQ124" s="144"/>
      <c r="FR124" s="144"/>
      <c r="FS124" s="144"/>
      <c r="FT124" s="144"/>
      <c r="FU124" s="144"/>
      <c r="FV124" s="144"/>
      <c r="FW124" s="144"/>
      <c r="FX124" s="144"/>
      <c r="FY124" s="144"/>
      <c r="FZ124" s="144"/>
      <c r="GA124" s="144"/>
      <c r="GB124" s="144"/>
      <c r="GC124" s="144"/>
      <c r="GD124" s="144"/>
      <c r="GE124" s="144"/>
      <c r="GF124" s="144"/>
      <c r="GG124" s="144"/>
      <c r="GH124" s="144"/>
      <c r="GI124" s="144"/>
      <c r="GJ124" s="144"/>
      <c r="GK124" s="144"/>
      <c r="GL124" s="144"/>
      <c r="GM124" s="144"/>
      <c r="GN124" s="144"/>
      <c r="GO124" s="144"/>
      <c r="GP124" s="144"/>
      <c r="GQ124" s="144"/>
      <c r="GR124" s="144"/>
      <c r="GS124" s="144"/>
      <c r="GT124" s="144"/>
      <c r="GU124" s="144"/>
      <c r="GV124" s="144"/>
      <c r="GW124" s="144"/>
      <c r="GX124" s="144"/>
      <c r="GY124" s="144"/>
      <c r="GZ124" s="144"/>
      <c r="HA124" s="144"/>
      <c r="HB124" s="144"/>
      <c r="HC124" s="144"/>
      <c r="HD124" s="144"/>
      <c r="HE124" s="144"/>
      <c r="HF124" s="144"/>
      <c r="HG124" s="144"/>
      <c r="HH124" s="144"/>
      <c r="HI124" s="144"/>
      <c r="HJ124" s="144"/>
      <c r="HK124" s="144"/>
      <c r="HL124" s="144"/>
      <c r="HM124" s="144"/>
      <c r="HN124" s="144"/>
      <c r="HO124" s="144"/>
      <c r="HP124" s="144"/>
      <c r="HQ124" s="144"/>
      <c r="HR124" s="144"/>
      <c r="HS124" s="144"/>
      <c r="HT124" s="144"/>
      <c r="HU124" s="144"/>
      <c r="HV124" s="144"/>
      <c r="HW124" s="144"/>
      <c r="HX124" s="144"/>
      <c r="HY124" s="144"/>
      <c r="HZ124" s="144"/>
      <c r="IA124" s="144"/>
      <c r="IB124" s="144"/>
      <c r="IC124" s="144"/>
      <c r="ID124" s="144"/>
      <c r="IE124" s="144"/>
      <c r="IF124" s="144"/>
      <c r="IG124" s="144"/>
      <c r="IH124" s="144"/>
      <c r="II124" s="144"/>
      <c r="IJ124" s="144"/>
      <c r="IK124" s="144"/>
      <c r="IL124" s="144"/>
      <c r="IM124" s="144"/>
      <c r="IN124" s="144"/>
      <c r="IO124" s="144"/>
      <c r="IP124" s="144"/>
      <c r="IQ124" s="144"/>
      <c r="IR124" s="144"/>
      <c r="IS124" s="144"/>
      <c r="IT124" s="144"/>
      <c r="IU124" s="144"/>
      <c r="IV124" s="144"/>
      <c r="IW124" s="144"/>
      <c r="IX124" s="144"/>
      <c r="IY124" s="144"/>
      <c r="IZ124" s="144"/>
      <c r="JA124" s="144"/>
      <c r="JB124" s="144"/>
      <c r="JC124" s="144"/>
      <c r="JD124" s="144"/>
      <c r="JE124" s="144"/>
      <c r="JF124" s="144"/>
      <c r="JG124" s="144"/>
      <c r="JH124" s="144"/>
      <c r="JI124" s="144"/>
      <c r="JJ124" s="144"/>
      <c r="JK124" s="144"/>
      <c r="JL124" s="144"/>
      <c r="JM124" s="144"/>
      <c r="JN124" s="144"/>
      <c r="JO124" s="144"/>
      <c r="JP124" s="144"/>
      <c r="JQ124" s="144"/>
      <c r="JR124" s="144"/>
      <c r="JS124" s="144"/>
      <c r="JT124" s="144"/>
      <c r="JU124" s="144"/>
      <c r="JV124" s="144"/>
      <c r="JW124" s="144"/>
      <c r="JX124" s="144"/>
      <c r="JY124" s="144"/>
      <c r="JZ124" s="144"/>
      <c r="KA124" s="144"/>
      <c r="KB124" s="144"/>
      <c r="KC124" s="144"/>
      <c r="KD124" s="144"/>
      <c r="KE124" s="144"/>
      <c r="KF124" s="144"/>
      <c r="KG124" s="144"/>
      <c r="KH124" s="144"/>
      <c r="KI124" s="144"/>
      <c r="KJ124" s="144"/>
      <c r="KK124" s="144"/>
      <c r="KL124" s="144"/>
      <c r="KM124" s="144"/>
      <c r="KN124" s="144"/>
      <c r="KO124" s="144"/>
      <c r="KP124" s="144"/>
      <c r="KQ124" s="144"/>
      <c r="KR124" s="144"/>
      <c r="KS124" s="144"/>
      <c r="KT124" s="144"/>
      <c r="KU124" s="144"/>
      <c r="KV124" s="144"/>
      <c r="KW124" s="144"/>
      <c r="KX124" s="144"/>
      <c r="KY124" s="144"/>
      <c r="KZ124" s="144"/>
      <c r="LA124" s="144"/>
      <c r="LB124" s="144"/>
      <c r="LC124" s="144"/>
      <c r="LD124" s="144"/>
      <c r="LE124" s="144"/>
      <c r="LF124" s="144"/>
      <c r="LG124" s="144"/>
      <c r="LH124" s="144"/>
      <c r="LI124" s="144"/>
      <c r="LJ124" s="144"/>
      <c r="LK124" s="144"/>
      <c r="LL124" s="144"/>
      <c r="LM124" s="144"/>
      <c r="LN124" s="144"/>
      <c r="LO124" s="144"/>
      <c r="LP124" s="144"/>
      <c r="LQ124" s="144"/>
      <c r="LR124" s="144"/>
      <c r="LS124" s="144"/>
      <c r="LT124" s="144"/>
      <c r="LU124" s="144"/>
      <c r="LV124" s="144"/>
      <c r="LW124" s="144"/>
      <c r="LX124" s="144"/>
      <c r="LY124" s="144"/>
      <c r="LZ124" s="144"/>
      <c r="MA124" s="144"/>
      <c r="MB124" s="144"/>
      <c r="MC124" s="144"/>
      <c r="MD124" s="144"/>
      <c r="ME124" s="144"/>
      <c r="MF124" s="144"/>
      <c r="MG124" s="144"/>
      <c r="MH124" s="144"/>
      <c r="MI124" s="144"/>
      <c r="MJ124" s="144"/>
      <c r="MK124" s="144"/>
      <c r="ML124" s="144"/>
      <c r="MM124" s="144"/>
      <c r="MN124" s="144"/>
      <c r="MO124" s="144"/>
      <c r="MP124" s="144"/>
      <c r="MQ124" s="144"/>
      <c r="MR124" s="144"/>
      <c r="MS124" s="144"/>
      <c r="MT124" s="144"/>
      <c r="MU124" s="144"/>
      <c r="MV124" s="144"/>
      <c r="MW124" s="144"/>
      <c r="MX124" s="144"/>
      <c r="MY124" s="144"/>
      <c r="MZ124" s="145"/>
    </row>
    <row r="125" spans="1:364" ht="15" customHeight="1" x14ac:dyDescent="0.25">
      <c r="AR125" s="72"/>
      <c r="AS125" s="72"/>
      <c r="AT125" s="72"/>
      <c r="AU125" s="72"/>
      <c r="AV125" s="72"/>
      <c r="AW125" s="72"/>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B125" s="304"/>
      <c r="FC125" s="144"/>
      <c r="FD125" s="144"/>
      <c r="FE125" s="144"/>
      <c r="FF125" s="144"/>
      <c r="FG125" s="144"/>
      <c r="FH125" s="144"/>
      <c r="FI125" s="144"/>
      <c r="FJ125" s="144"/>
      <c r="FK125" s="144"/>
      <c r="FL125" s="144"/>
      <c r="FM125" s="144"/>
      <c r="FN125" s="144"/>
      <c r="FO125" s="144"/>
      <c r="FP125" s="144"/>
      <c r="FQ125" s="144"/>
      <c r="FR125" s="144"/>
      <c r="FS125" s="144"/>
      <c r="FT125" s="144"/>
      <c r="FU125" s="144"/>
      <c r="FV125" s="144"/>
      <c r="FW125" s="144"/>
      <c r="FX125" s="144"/>
      <c r="FY125" s="144"/>
      <c r="FZ125" s="144"/>
      <c r="GA125" s="144"/>
      <c r="GB125" s="144"/>
      <c r="GC125" s="144"/>
      <c r="GD125" s="144"/>
      <c r="GE125" s="144"/>
      <c r="GF125" s="144"/>
      <c r="GG125" s="144"/>
      <c r="GH125" s="144"/>
      <c r="GI125" s="144"/>
      <c r="GJ125" s="144"/>
      <c r="GK125" s="144"/>
      <c r="GL125" s="144"/>
      <c r="GM125" s="144"/>
      <c r="GN125" s="144"/>
      <c r="GO125" s="144"/>
      <c r="GP125" s="144"/>
      <c r="GQ125" s="144"/>
      <c r="GR125" s="144"/>
      <c r="GS125" s="144"/>
      <c r="GT125" s="144"/>
      <c r="GU125" s="144"/>
      <c r="GV125" s="144"/>
      <c r="GW125" s="144"/>
      <c r="GX125" s="144"/>
      <c r="GY125" s="144"/>
      <c r="GZ125" s="144"/>
      <c r="HA125" s="144"/>
      <c r="HB125" s="144"/>
      <c r="HC125" s="144"/>
      <c r="HD125" s="144"/>
      <c r="HE125" s="144"/>
      <c r="HF125" s="144"/>
      <c r="HG125" s="144"/>
      <c r="HH125" s="144"/>
      <c r="HI125" s="144"/>
      <c r="HJ125" s="144"/>
      <c r="HK125" s="144"/>
      <c r="HL125" s="144"/>
      <c r="HM125" s="144"/>
      <c r="HN125" s="144"/>
      <c r="HO125" s="144"/>
      <c r="HP125" s="144"/>
      <c r="HQ125" s="144"/>
      <c r="HR125" s="144"/>
      <c r="HS125" s="144"/>
      <c r="HT125" s="144"/>
      <c r="HU125" s="144"/>
      <c r="HV125" s="144"/>
      <c r="HW125" s="144"/>
      <c r="HX125" s="144"/>
      <c r="HY125" s="144"/>
      <c r="HZ125" s="144"/>
      <c r="IA125" s="144"/>
      <c r="IB125" s="144"/>
      <c r="IC125" s="144"/>
      <c r="ID125" s="144"/>
      <c r="IE125" s="144"/>
      <c r="IF125" s="144"/>
      <c r="IG125" s="144"/>
      <c r="IH125" s="144"/>
      <c r="II125" s="144"/>
      <c r="IJ125" s="144"/>
      <c r="IK125" s="144"/>
      <c r="IL125" s="144"/>
      <c r="IM125" s="144"/>
      <c r="IN125" s="144"/>
      <c r="IO125" s="144"/>
      <c r="IP125" s="144"/>
      <c r="IQ125" s="144"/>
      <c r="IR125" s="144"/>
      <c r="IS125" s="144"/>
      <c r="IT125" s="144"/>
      <c r="IU125" s="144"/>
      <c r="IV125" s="144"/>
      <c r="IW125" s="144"/>
      <c r="IX125" s="144"/>
      <c r="IY125" s="144"/>
      <c r="IZ125" s="144"/>
      <c r="JA125" s="144"/>
      <c r="JB125" s="144"/>
      <c r="JC125" s="144"/>
      <c r="JD125" s="144"/>
      <c r="JE125" s="144"/>
      <c r="JF125" s="144"/>
      <c r="JG125" s="144"/>
      <c r="JH125" s="144"/>
      <c r="JI125" s="144"/>
      <c r="JJ125" s="144"/>
      <c r="JK125" s="144"/>
      <c r="JL125" s="144"/>
      <c r="JM125" s="144"/>
      <c r="JN125" s="144"/>
      <c r="JO125" s="144"/>
      <c r="JP125" s="144"/>
      <c r="JQ125" s="144"/>
      <c r="JR125" s="144"/>
      <c r="JS125" s="144"/>
      <c r="JT125" s="144"/>
      <c r="JU125" s="144"/>
      <c r="JV125" s="144"/>
      <c r="JW125" s="144"/>
      <c r="JX125" s="144"/>
      <c r="JY125" s="144"/>
      <c r="JZ125" s="144"/>
      <c r="KA125" s="144"/>
      <c r="KB125" s="144"/>
      <c r="KC125" s="144"/>
      <c r="KD125" s="144"/>
      <c r="KE125" s="144"/>
      <c r="KF125" s="144"/>
      <c r="KG125" s="144"/>
      <c r="KH125" s="144"/>
      <c r="KI125" s="144"/>
      <c r="KJ125" s="144"/>
      <c r="KK125" s="144"/>
      <c r="KL125" s="144"/>
      <c r="KM125" s="144"/>
      <c r="KN125" s="144"/>
      <c r="KO125" s="144"/>
      <c r="KP125" s="144"/>
      <c r="KQ125" s="144"/>
      <c r="KR125" s="144"/>
      <c r="KS125" s="144"/>
      <c r="KT125" s="144"/>
      <c r="KU125" s="144"/>
      <c r="KV125" s="144"/>
      <c r="KW125" s="144"/>
      <c r="KX125" s="144"/>
      <c r="KY125" s="144"/>
      <c r="KZ125" s="144"/>
      <c r="LA125" s="144"/>
      <c r="LB125" s="144"/>
      <c r="LC125" s="144"/>
      <c r="LD125" s="144"/>
      <c r="LE125" s="144"/>
      <c r="LF125" s="144"/>
      <c r="LG125" s="144"/>
      <c r="LH125" s="144"/>
      <c r="LI125" s="144"/>
      <c r="LJ125" s="144"/>
      <c r="LK125" s="144"/>
      <c r="LL125" s="144"/>
      <c r="LM125" s="144"/>
      <c r="LN125" s="144"/>
      <c r="LO125" s="144"/>
      <c r="LP125" s="144"/>
      <c r="LQ125" s="144"/>
      <c r="LR125" s="144"/>
      <c r="LS125" s="144"/>
      <c r="LT125" s="144"/>
      <c r="LU125" s="144"/>
      <c r="LV125" s="144"/>
      <c r="LW125" s="144"/>
      <c r="LX125" s="144"/>
      <c r="LY125" s="144"/>
      <c r="LZ125" s="144"/>
      <c r="MA125" s="144"/>
      <c r="MB125" s="144"/>
      <c r="MC125" s="144"/>
      <c r="MD125" s="144"/>
      <c r="ME125" s="144"/>
      <c r="MF125" s="144"/>
      <c r="MG125" s="144"/>
      <c r="MH125" s="144"/>
      <c r="MI125" s="144"/>
      <c r="MJ125" s="144"/>
      <c r="MK125" s="144"/>
      <c r="ML125" s="144"/>
      <c r="MM125" s="144"/>
      <c r="MN125" s="144"/>
      <c r="MO125" s="144"/>
      <c r="MP125" s="144"/>
      <c r="MQ125" s="144"/>
      <c r="MR125" s="144"/>
      <c r="MS125" s="144"/>
      <c r="MT125" s="144"/>
      <c r="MU125" s="144"/>
      <c r="MV125" s="144"/>
      <c r="MW125" s="144"/>
      <c r="MX125" s="144"/>
      <c r="MY125" s="144"/>
      <c r="MZ125" s="145"/>
    </row>
    <row r="126" spans="1:364" ht="15" customHeight="1" x14ac:dyDescent="0.25">
      <c r="B126" s="166" t="s">
        <v>64</v>
      </c>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c r="AA126" s="167"/>
      <c r="AB126" s="167"/>
      <c r="AC126" s="167"/>
      <c r="AD126" s="167"/>
      <c r="AE126" s="167"/>
      <c r="AF126" s="167"/>
      <c r="AG126" s="167"/>
      <c r="AH126" s="167"/>
      <c r="AI126" s="167"/>
      <c r="AJ126" s="167"/>
      <c r="AK126" s="167"/>
      <c r="AL126" s="167"/>
      <c r="AM126" s="167"/>
      <c r="AN126" s="167"/>
      <c r="AO126" s="167"/>
      <c r="AP126" s="167"/>
      <c r="AQ126" s="167"/>
      <c r="AR126" s="167"/>
      <c r="AS126" s="167"/>
      <c r="AT126" s="167"/>
      <c r="AU126" s="167"/>
      <c r="AV126" s="167"/>
      <c r="AW126" s="167"/>
      <c r="AX126" s="167"/>
      <c r="AY126" s="167"/>
      <c r="AZ126" s="167"/>
      <c r="BA126" s="167"/>
      <c r="BB126" s="167"/>
      <c r="BC126" s="167"/>
      <c r="BD126" s="167"/>
      <c r="BE126" s="167"/>
      <c r="BF126" s="167"/>
      <c r="BG126" s="167"/>
      <c r="BH126" s="167"/>
      <c r="BI126" s="167"/>
      <c r="BJ126" s="167"/>
      <c r="BK126" s="167"/>
      <c r="BL126" s="167"/>
      <c r="BM126" s="167"/>
      <c r="BN126" s="167"/>
      <c r="BO126" s="167"/>
      <c r="BP126" s="167"/>
      <c r="BQ126" s="167"/>
      <c r="BR126" s="167"/>
      <c r="BS126" s="167"/>
      <c r="BT126" s="167"/>
      <c r="BU126" s="167"/>
      <c r="BV126" s="167"/>
      <c r="BW126" s="167"/>
      <c r="BX126" s="167"/>
      <c r="BY126" s="167"/>
      <c r="BZ126" s="167"/>
      <c r="CA126" s="167"/>
      <c r="CB126" s="167"/>
      <c r="CC126" s="167"/>
      <c r="CD126" s="167"/>
      <c r="CE126" s="167"/>
      <c r="CF126" s="167"/>
      <c r="CG126" s="167"/>
      <c r="CH126" s="167"/>
      <c r="CI126" s="167"/>
      <c r="CJ126" s="167"/>
      <c r="CK126" s="167"/>
      <c r="CL126" s="167"/>
      <c r="CM126" s="167"/>
      <c r="CN126" s="167"/>
      <c r="CO126" s="167"/>
      <c r="CP126" s="167"/>
      <c r="CQ126" s="167"/>
      <c r="CR126" s="167"/>
      <c r="CS126" s="167"/>
      <c r="CT126" s="167"/>
      <c r="CU126" s="167"/>
      <c r="CV126" s="167"/>
      <c r="CW126" s="167"/>
      <c r="CX126" s="167"/>
      <c r="CY126" s="167"/>
      <c r="CZ126" s="167"/>
      <c r="DA126" s="167"/>
      <c r="DB126" s="167"/>
      <c r="DC126" s="167"/>
      <c r="DD126" s="167"/>
      <c r="DE126" s="167"/>
      <c r="DF126" s="167"/>
      <c r="DG126" s="167"/>
      <c r="DH126" s="167"/>
      <c r="DI126" s="167"/>
      <c r="DJ126" s="167"/>
      <c r="DK126" s="167"/>
      <c r="DL126" s="167"/>
      <c r="DM126" s="167"/>
      <c r="DN126" s="167"/>
      <c r="DO126" s="167"/>
      <c r="DP126" s="167"/>
      <c r="DQ126" s="167"/>
      <c r="DR126" s="167"/>
      <c r="DS126" s="167"/>
      <c r="DT126" s="167"/>
      <c r="DU126" s="167"/>
      <c r="DV126" s="167"/>
      <c r="DW126" s="167"/>
      <c r="DX126" s="167"/>
      <c r="DY126" s="167"/>
      <c r="DZ126" s="167"/>
      <c r="EA126" s="167"/>
      <c r="EB126" s="167"/>
      <c r="EC126" s="167"/>
      <c r="ED126" s="167"/>
      <c r="EE126" s="167"/>
      <c r="EF126" s="167"/>
      <c r="EG126" s="167"/>
      <c r="EH126" s="167"/>
      <c r="EI126" s="167"/>
      <c r="EJ126" s="167"/>
      <c r="EK126" s="167"/>
      <c r="EL126" s="167"/>
      <c r="EM126" s="167"/>
      <c r="EN126" s="167"/>
      <c r="EO126" s="167"/>
      <c r="EP126" s="167"/>
      <c r="EQ126" s="167"/>
      <c r="ER126" s="167"/>
      <c r="ES126" s="167"/>
      <c r="ET126" s="167"/>
      <c r="EU126" s="167"/>
      <c r="EV126" s="167"/>
      <c r="EW126" s="167"/>
      <c r="EX126" s="167"/>
      <c r="EY126" s="167"/>
      <c r="EZ126" s="168"/>
      <c r="FB126" s="304"/>
      <c r="FC126" s="144"/>
      <c r="FD126" s="144"/>
      <c r="FE126" s="144"/>
      <c r="FF126" s="144"/>
      <c r="FG126" s="144"/>
      <c r="FH126" s="144"/>
      <c r="FI126" s="144"/>
      <c r="FJ126" s="144"/>
      <c r="FK126" s="144"/>
      <c r="FL126" s="144"/>
      <c r="FM126" s="144"/>
      <c r="FN126" s="144"/>
      <c r="FO126" s="144"/>
      <c r="FP126" s="144"/>
      <c r="FQ126" s="144"/>
      <c r="FR126" s="144"/>
      <c r="FS126" s="144"/>
      <c r="FT126" s="144"/>
      <c r="FU126" s="144"/>
      <c r="FV126" s="144"/>
      <c r="FW126" s="144"/>
      <c r="FX126" s="144"/>
      <c r="FY126" s="144"/>
      <c r="FZ126" s="144"/>
      <c r="GA126" s="144"/>
      <c r="GB126" s="144"/>
      <c r="GC126" s="144"/>
      <c r="GD126" s="144"/>
      <c r="GE126" s="144"/>
      <c r="GF126" s="144"/>
      <c r="GG126" s="144"/>
      <c r="GH126" s="144"/>
      <c r="GI126" s="144"/>
      <c r="GJ126" s="144"/>
      <c r="GK126" s="144"/>
      <c r="GL126" s="144"/>
      <c r="GM126" s="144"/>
      <c r="GN126" s="144"/>
      <c r="GO126" s="144"/>
      <c r="GP126" s="144"/>
      <c r="GQ126" s="144"/>
      <c r="GR126" s="144"/>
      <c r="GS126" s="144"/>
      <c r="GT126" s="144"/>
      <c r="GU126" s="144"/>
      <c r="GV126" s="144"/>
      <c r="GW126" s="144"/>
      <c r="GX126" s="144"/>
      <c r="GY126" s="144"/>
      <c r="GZ126" s="144"/>
      <c r="HA126" s="144"/>
      <c r="HB126" s="144"/>
      <c r="HC126" s="144"/>
      <c r="HD126" s="144"/>
      <c r="HE126" s="144"/>
      <c r="HF126" s="144"/>
      <c r="HG126" s="144"/>
      <c r="HH126" s="144"/>
      <c r="HI126" s="144"/>
      <c r="HJ126" s="144"/>
      <c r="HK126" s="144"/>
      <c r="HL126" s="144"/>
      <c r="HM126" s="144"/>
      <c r="HN126" s="144"/>
      <c r="HO126" s="144"/>
      <c r="HP126" s="144"/>
      <c r="HQ126" s="144"/>
      <c r="HR126" s="144"/>
      <c r="HS126" s="144"/>
      <c r="HT126" s="144"/>
      <c r="HU126" s="144"/>
      <c r="HV126" s="144"/>
      <c r="HW126" s="144"/>
      <c r="HX126" s="144"/>
      <c r="HY126" s="144"/>
      <c r="HZ126" s="144"/>
      <c r="IA126" s="144"/>
      <c r="IB126" s="144"/>
      <c r="IC126" s="144"/>
      <c r="ID126" s="144"/>
      <c r="IE126" s="144"/>
      <c r="IF126" s="144"/>
      <c r="IG126" s="144"/>
      <c r="IH126" s="144"/>
      <c r="II126" s="144"/>
      <c r="IJ126" s="144"/>
      <c r="IK126" s="144"/>
      <c r="IL126" s="144"/>
      <c r="IM126" s="144"/>
      <c r="IN126" s="144"/>
      <c r="IO126" s="144"/>
      <c r="IP126" s="144"/>
      <c r="IQ126" s="144"/>
      <c r="IR126" s="144"/>
      <c r="IS126" s="144"/>
      <c r="IT126" s="144"/>
      <c r="IU126" s="144"/>
      <c r="IV126" s="144"/>
      <c r="IW126" s="144"/>
      <c r="IX126" s="144"/>
      <c r="IY126" s="144"/>
      <c r="IZ126" s="144"/>
      <c r="JA126" s="144"/>
      <c r="JB126" s="144"/>
      <c r="JC126" s="144"/>
      <c r="JD126" s="144"/>
      <c r="JE126" s="144"/>
      <c r="JF126" s="144"/>
      <c r="JG126" s="144"/>
      <c r="JH126" s="144"/>
      <c r="JI126" s="144"/>
      <c r="JJ126" s="144"/>
      <c r="JK126" s="144"/>
      <c r="JL126" s="144"/>
      <c r="JM126" s="144"/>
      <c r="JN126" s="144"/>
      <c r="JO126" s="144"/>
      <c r="JP126" s="144"/>
      <c r="JQ126" s="144"/>
      <c r="JR126" s="144"/>
      <c r="JS126" s="144"/>
      <c r="JT126" s="144"/>
      <c r="JU126" s="144"/>
      <c r="JV126" s="144"/>
      <c r="JW126" s="144"/>
      <c r="JX126" s="144"/>
      <c r="JY126" s="144"/>
      <c r="JZ126" s="144"/>
      <c r="KA126" s="144"/>
      <c r="KB126" s="144"/>
      <c r="KC126" s="144"/>
      <c r="KD126" s="144"/>
      <c r="KE126" s="144"/>
      <c r="KF126" s="144"/>
      <c r="KG126" s="144"/>
      <c r="KH126" s="144"/>
      <c r="KI126" s="144"/>
      <c r="KJ126" s="144"/>
      <c r="KK126" s="144"/>
      <c r="KL126" s="144"/>
      <c r="KM126" s="144"/>
      <c r="KN126" s="144"/>
      <c r="KO126" s="144"/>
      <c r="KP126" s="144"/>
      <c r="KQ126" s="144"/>
      <c r="KR126" s="144"/>
      <c r="KS126" s="144"/>
      <c r="KT126" s="144"/>
      <c r="KU126" s="144"/>
      <c r="KV126" s="144"/>
      <c r="KW126" s="144"/>
      <c r="KX126" s="144"/>
      <c r="KY126" s="144"/>
      <c r="KZ126" s="144"/>
      <c r="LA126" s="144"/>
      <c r="LB126" s="144"/>
      <c r="LC126" s="144"/>
      <c r="LD126" s="144"/>
      <c r="LE126" s="144"/>
      <c r="LF126" s="144"/>
      <c r="LG126" s="144"/>
      <c r="LH126" s="144"/>
      <c r="LI126" s="144"/>
      <c r="LJ126" s="144"/>
      <c r="LK126" s="144"/>
      <c r="LL126" s="144"/>
      <c r="LM126" s="144"/>
      <c r="LN126" s="144"/>
      <c r="LO126" s="144"/>
      <c r="LP126" s="144"/>
      <c r="LQ126" s="144"/>
      <c r="LR126" s="144"/>
      <c r="LS126" s="144"/>
      <c r="LT126" s="144"/>
      <c r="LU126" s="144"/>
      <c r="LV126" s="144"/>
      <c r="LW126" s="144"/>
      <c r="LX126" s="144"/>
      <c r="LY126" s="144"/>
      <c r="LZ126" s="144"/>
      <c r="MA126" s="144"/>
      <c r="MB126" s="144"/>
      <c r="MC126" s="144"/>
      <c r="MD126" s="144"/>
      <c r="ME126" s="144"/>
      <c r="MF126" s="144"/>
      <c r="MG126" s="144"/>
      <c r="MH126" s="144"/>
      <c r="MI126" s="144"/>
      <c r="MJ126" s="144"/>
      <c r="MK126" s="144"/>
      <c r="ML126" s="144"/>
      <c r="MM126" s="144"/>
      <c r="MN126" s="144"/>
      <c r="MO126" s="144"/>
      <c r="MP126" s="144"/>
      <c r="MQ126" s="144"/>
      <c r="MR126" s="144"/>
      <c r="MS126" s="144"/>
      <c r="MT126" s="144"/>
      <c r="MU126" s="144"/>
      <c r="MV126" s="144"/>
      <c r="MW126" s="144"/>
      <c r="MX126" s="144"/>
      <c r="MY126" s="144"/>
      <c r="MZ126" s="145"/>
    </row>
    <row r="127" spans="1:364" ht="15" customHeight="1" x14ac:dyDescent="0.25">
      <c r="B127" s="169" t="s">
        <v>64</v>
      </c>
      <c r="C127" s="170"/>
      <c r="D127" s="170"/>
      <c r="E127" s="170"/>
      <c r="F127" s="170"/>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29" t="s">
        <v>73</v>
      </c>
      <c r="AP127" s="129"/>
      <c r="AQ127" s="129"/>
      <c r="AR127" s="129"/>
      <c r="AS127" s="129"/>
      <c r="AT127" s="129"/>
      <c r="AU127" s="129"/>
      <c r="AV127" s="129"/>
      <c r="AW127" s="129" t="s">
        <v>72</v>
      </c>
      <c r="AX127" s="129"/>
      <c r="AY127" s="129"/>
      <c r="AZ127" s="129"/>
      <c r="BA127" s="129"/>
      <c r="BB127" s="129"/>
      <c r="BC127" s="129"/>
      <c r="BD127" s="129"/>
      <c r="BE127" s="129" t="s">
        <v>61</v>
      </c>
      <c r="BF127" s="129"/>
      <c r="BG127" s="129"/>
      <c r="BH127" s="129"/>
      <c r="BI127" s="129"/>
      <c r="BJ127" s="129"/>
      <c r="BK127" s="129"/>
      <c r="BL127" s="129"/>
      <c r="BM127" s="129" t="s">
        <v>37</v>
      </c>
      <c r="BN127" s="129"/>
      <c r="BO127" s="129"/>
      <c r="BP127" s="129"/>
      <c r="BQ127" s="129"/>
      <c r="BR127" s="129"/>
      <c r="BS127" s="129"/>
      <c r="BT127" s="129"/>
      <c r="BU127" s="129" t="s">
        <v>55</v>
      </c>
      <c r="BV127" s="129"/>
      <c r="BW127" s="129"/>
      <c r="BX127" s="129"/>
      <c r="BY127" s="129"/>
      <c r="BZ127" s="129"/>
      <c r="CA127" s="129"/>
      <c r="CB127" s="129"/>
      <c r="CC127" s="129" t="s">
        <v>60</v>
      </c>
      <c r="CD127" s="129"/>
      <c r="CE127" s="129"/>
      <c r="CF127" s="129"/>
      <c r="CG127" s="129"/>
      <c r="CH127" s="129"/>
      <c r="CI127" s="129"/>
      <c r="CJ127" s="129"/>
      <c r="CK127" s="170" t="s">
        <v>74</v>
      </c>
      <c r="CL127" s="170"/>
      <c r="CM127" s="170"/>
      <c r="CN127" s="170"/>
      <c r="CO127" s="170"/>
      <c r="CP127" s="170"/>
      <c r="CQ127" s="170"/>
      <c r="CR127" s="170"/>
      <c r="CS127" s="170" t="s">
        <v>75</v>
      </c>
      <c r="CT127" s="170"/>
      <c r="CU127" s="170"/>
      <c r="CV127" s="170"/>
      <c r="CW127" s="170"/>
      <c r="CX127" s="170"/>
      <c r="CY127" s="170"/>
      <c r="CZ127" s="170"/>
      <c r="DA127" s="129" t="s">
        <v>78</v>
      </c>
      <c r="DB127" s="129"/>
      <c r="DC127" s="129"/>
      <c r="DD127" s="129"/>
      <c r="DE127" s="129"/>
      <c r="DF127" s="129"/>
      <c r="DG127" s="129"/>
      <c r="DH127" s="129"/>
      <c r="DI127" s="129" t="s">
        <v>79</v>
      </c>
      <c r="DJ127" s="129"/>
      <c r="DK127" s="129"/>
      <c r="DL127" s="129"/>
      <c r="DM127" s="129"/>
      <c r="DN127" s="129"/>
      <c r="DO127" s="129"/>
      <c r="DP127" s="129"/>
      <c r="DQ127" s="171" t="s">
        <v>80</v>
      </c>
      <c r="DR127" s="171"/>
      <c r="DS127" s="171"/>
      <c r="DT127" s="171"/>
      <c r="DU127" s="171"/>
      <c r="DV127" s="171"/>
      <c r="DW127" s="171"/>
      <c r="DX127" s="171"/>
      <c r="DY127" s="171"/>
      <c r="DZ127" s="171"/>
      <c r="EA127" s="171"/>
      <c r="EB127" s="171"/>
      <c r="EC127" s="171"/>
      <c r="ED127" s="171"/>
      <c r="EE127" s="171"/>
      <c r="EF127" s="171"/>
      <c r="EG127" s="171"/>
      <c r="EH127" s="171"/>
      <c r="EI127" s="171"/>
      <c r="EJ127" s="171"/>
      <c r="EK127" s="171"/>
      <c r="EL127" s="171"/>
      <c r="EM127" s="171"/>
      <c r="EN127" s="171"/>
      <c r="EO127" s="171"/>
      <c r="EP127" s="171"/>
      <c r="EQ127" s="171"/>
      <c r="ER127" s="171"/>
      <c r="ES127" s="171"/>
      <c r="ET127" s="171"/>
      <c r="EU127" s="171"/>
      <c r="EV127" s="171"/>
      <c r="EW127" s="171"/>
      <c r="EX127" s="171"/>
      <c r="EY127" s="171"/>
      <c r="EZ127" s="172"/>
      <c r="FB127" s="304"/>
      <c r="FC127" s="144"/>
      <c r="FD127" s="144"/>
      <c r="FE127" s="144"/>
      <c r="FF127" s="144"/>
      <c r="FG127" s="144"/>
      <c r="FH127" s="144"/>
      <c r="FI127" s="144"/>
      <c r="FJ127" s="144"/>
      <c r="FK127" s="144"/>
      <c r="FL127" s="144"/>
      <c r="FM127" s="144"/>
      <c r="FN127" s="144"/>
      <c r="FO127" s="144"/>
      <c r="FP127" s="144"/>
      <c r="FQ127" s="144"/>
      <c r="FR127" s="144"/>
      <c r="FS127" s="144"/>
      <c r="FT127" s="144"/>
      <c r="FU127" s="144"/>
      <c r="FV127" s="144"/>
      <c r="FW127" s="144"/>
      <c r="FX127" s="144"/>
      <c r="FY127" s="144"/>
      <c r="FZ127" s="144"/>
      <c r="GA127" s="144"/>
      <c r="GB127" s="144"/>
      <c r="GC127" s="144"/>
      <c r="GD127" s="144"/>
      <c r="GE127" s="144"/>
      <c r="GF127" s="144"/>
      <c r="GG127" s="144"/>
      <c r="GH127" s="144"/>
      <c r="GI127" s="144"/>
      <c r="GJ127" s="144"/>
      <c r="GK127" s="144"/>
      <c r="GL127" s="144"/>
      <c r="GM127" s="144"/>
      <c r="GN127" s="144"/>
      <c r="GO127" s="144"/>
      <c r="GP127" s="144"/>
      <c r="GQ127" s="144"/>
      <c r="GR127" s="144"/>
      <c r="GS127" s="144"/>
      <c r="GT127" s="144"/>
      <c r="GU127" s="144"/>
      <c r="GV127" s="144"/>
      <c r="GW127" s="144"/>
      <c r="GX127" s="144"/>
      <c r="GY127" s="144"/>
      <c r="GZ127" s="144"/>
      <c r="HA127" s="144"/>
      <c r="HB127" s="144"/>
      <c r="HC127" s="144"/>
      <c r="HD127" s="144"/>
      <c r="HE127" s="144"/>
      <c r="HF127" s="144"/>
      <c r="HG127" s="144"/>
      <c r="HH127" s="144"/>
      <c r="HI127" s="144"/>
      <c r="HJ127" s="144"/>
      <c r="HK127" s="144"/>
      <c r="HL127" s="144"/>
      <c r="HM127" s="144"/>
      <c r="HN127" s="144"/>
      <c r="HO127" s="144"/>
      <c r="HP127" s="144"/>
      <c r="HQ127" s="144"/>
      <c r="HR127" s="144"/>
      <c r="HS127" s="144"/>
      <c r="HT127" s="144"/>
      <c r="HU127" s="144"/>
      <c r="HV127" s="144"/>
      <c r="HW127" s="144"/>
      <c r="HX127" s="144"/>
      <c r="HY127" s="144"/>
      <c r="HZ127" s="144"/>
      <c r="IA127" s="144"/>
      <c r="IB127" s="144"/>
      <c r="IC127" s="144"/>
      <c r="ID127" s="144"/>
      <c r="IE127" s="144"/>
      <c r="IF127" s="144"/>
      <c r="IG127" s="144"/>
      <c r="IH127" s="144"/>
      <c r="II127" s="144"/>
      <c r="IJ127" s="144"/>
      <c r="IK127" s="144"/>
      <c r="IL127" s="144"/>
      <c r="IM127" s="144"/>
      <c r="IN127" s="144"/>
      <c r="IO127" s="144"/>
      <c r="IP127" s="144"/>
      <c r="IQ127" s="144"/>
      <c r="IR127" s="144"/>
      <c r="IS127" s="144"/>
      <c r="IT127" s="144"/>
      <c r="IU127" s="144"/>
      <c r="IV127" s="144"/>
      <c r="IW127" s="144"/>
      <c r="IX127" s="144"/>
      <c r="IY127" s="144"/>
      <c r="IZ127" s="144"/>
      <c r="JA127" s="144"/>
      <c r="JB127" s="144"/>
      <c r="JC127" s="144"/>
      <c r="JD127" s="144"/>
      <c r="JE127" s="144"/>
      <c r="JF127" s="144"/>
      <c r="JG127" s="144"/>
      <c r="JH127" s="144"/>
      <c r="JI127" s="144"/>
      <c r="JJ127" s="144"/>
      <c r="JK127" s="144"/>
      <c r="JL127" s="144"/>
      <c r="JM127" s="144"/>
      <c r="JN127" s="144"/>
      <c r="JO127" s="144"/>
      <c r="JP127" s="144"/>
      <c r="JQ127" s="144"/>
      <c r="JR127" s="144"/>
      <c r="JS127" s="144"/>
      <c r="JT127" s="144"/>
      <c r="JU127" s="144"/>
      <c r="JV127" s="144"/>
      <c r="JW127" s="144"/>
      <c r="JX127" s="144"/>
      <c r="JY127" s="144"/>
      <c r="JZ127" s="144"/>
      <c r="KA127" s="144"/>
      <c r="KB127" s="144"/>
      <c r="KC127" s="144"/>
      <c r="KD127" s="144"/>
      <c r="KE127" s="144"/>
      <c r="KF127" s="144"/>
      <c r="KG127" s="144"/>
      <c r="KH127" s="144"/>
      <c r="KI127" s="144"/>
      <c r="KJ127" s="144"/>
      <c r="KK127" s="144"/>
      <c r="KL127" s="144"/>
      <c r="KM127" s="144"/>
      <c r="KN127" s="144"/>
      <c r="KO127" s="144"/>
      <c r="KP127" s="144"/>
      <c r="KQ127" s="144"/>
      <c r="KR127" s="144"/>
      <c r="KS127" s="144"/>
      <c r="KT127" s="144"/>
      <c r="KU127" s="144"/>
      <c r="KV127" s="144"/>
      <c r="KW127" s="144"/>
      <c r="KX127" s="144"/>
      <c r="KY127" s="144"/>
      <c r="KZ127" s="144"/>
      <c r="LA127" s="144"/>
      <c r="LB127" s="144"/>
      <c r="LC127" s="144"/>
      <c r="LD127" s="144"/>
      <c r="LE127" s="144"/>
      <c r="LF127" s="144"/>
      <c r="LG127" s="144"/>
      <c r="LH127" s="144"/>
      <c r="LI127" s="144"/>
      <c r="LJ127" s="144"/>
      <c r="LK127" s="144"/>
      <c r="LL127" s="144"/>
      <c r="LM127" s="144"/>
      <c r="LN127" s="144"/>
      <c r="LO127" s="144"/>
      <c r="LP127" s="144"/>
      <c r="LQ127" s="144"/>
      <c r="LR127" s="144"/>
      <c r="LS127" s="144"/>
      <c r="LT127" s="144"/>
      <c r="LU127" s="144"/>
      <c r="LV127" s="144"/>
      <c r="LW127" s="144"/>
      <c r="LX127" s="144"/>
      <c r="LY127" s="144"/>
      <c r="LZ127" s="144"/>
      <c r="MA127" s="144"/>
      <c r="MB127" s="144"/>
      <c r="MC127" s="144"/>
      <c r="MD127" s="144"/>
      <c r="ME127" s="144"/>
      <c r="MF127" s="144"/>
      <c r="MG127" s="144"/>
      <c r="MH127" s="144"/>
      <c r="MI127" s="144"/>
      <c r="MJ127" s="144"/>
      <c r="MK127" s="144"/>
      <c r="ML127" s="144"/>
      <c r="MM127" s="144"/>
      <c r="MN127" s="144"/>
      <c r="MO127" s="144"/>
      <c r="MP127" s="144"/>
      <c r="MQ127" s="144"/>
      <c r="MR127" s="144"/>
      <c r="MS127" s="144"/>
      <c r="MT127" s="144"/>
      <c r="MU127" s="144"/>
      <c r="MV127" s="144"/>
      <c r="MW127" s="144"/>
      <c r="MX127" s="144"/>
      <c r="MY127" s="144"/>
      <c r="MZ127" s="145"/>
    </row>
    <row r="128" spans="1:364" ht="15" customHeight="1" x14ac:dyDescent="0.4">
      <c r="A128" s="2">
        <v>1</v>
      </c>
      <c r="B128" s="149" t="s">
        <v>65</v>
      </c>
      <c r="C128" s="150"/>
      <c r="D128" s="150"/>
      <c r="E128" s="150"/>
      <c r="F128" s="150"/>
      <c r="G128" s="150"/>
      <c r="H128" s="150"/>
      <c r="I128" s="150"/>
      <c r="J128" s="150"/>
      <c r="K128" s="150"/>
      <c r="L128" s="150"/>
      <c r="M128" s="150"/>
      <c r="N128" s="150"/>
      <c r="O128" s="150"/>
      <c r="P128" s="150"/>
      <c r="Q128" s="150"/>
      <c r="R128" s="150"/>
      <c r="S128" s="150"/>
      <c r="T128" s="156" t="str">
        <f>Calculations!DF3</f>
        <v>No Armour</v>
      </c>
      <c r="U128" s="156"/>
      <c r="V128" s="156"/>
      <c r="W128" s="156"/>
      <c r="X128" s="156"/>
      <c r="Y128" s="156"/>
      <c r="Z128" s="156"/>
      <c r="AA128" s="156"/>
      <c r="AB128" s="156"/>
      <c r="AC128" s="156"/>
      <c r="AD128" s="156"/>
      <c r="AE128" s="156"/>
      <c r="AF128" s="156"/>
      <c r="AG128" s="156"/>
      <c r="AH128" s="156"/>
      <c r="AI128" s="156"/>
      <c r="AJ128" s="156"/>
      <c r="AK128" s="156"/>
      <c r="AL128" s="156"/>
      <c r="AM128" s="156"/>
      <c r="AN128" s="156"/>
      <c r="AO128" s="153">
        <v>1</v>
      </c>
      <c r="AP128" s="153"/>
      <c r="AQ128" s="153"/>
      <c r="AR128" s="153"/>
      <c r="AS128" s="153"/>
      <c r="AT128" s="153"/>
      <c r="AU128" s="153"/>
      <c r="AV128" s="153"/>
      <c r="AW128" s="129" t="str">
        <f>IF(T128="No Armour","- -",IF(T128=Calculations!DF3,"- -",VLOOKUP(T128,Armour!$B$4:$AU$99,19,FALSE)*'Character Creation'!$Z$18*'Character Sheet'!$AO128))</f>
        <v>- -</v>
      </c>
      <c r="AX128" s="129"/>
      <c r="AY128" s="129"/>
      <c r="AZ128" s="129"/>
      <c r="BA128" s="129"/>
      <c r="BB128" s="129"/>
      <c r="BC128" s="129"/>
      <c r="BD128" s="129"/>
      <c r="BE128" s="129" t="str">
        <f>IF(T128="No Armour","- -",VLOOKUP(T128,Armour!$B$4:$AU$99,4,FALSE)+BU128+CC128)</f>
        <v>- -</v>
      </c>
      <c r="BF128" s="129"/>
      <c r="BG128" s="129"/>
      <c r="BH128" s="129"/>
      <c r="BI128" s="129"/>
      <c r="BJ128" s="129"/>
      <c r="BK128" s="129"/>
      <c r="BL128" s="129"/>
      <c r="BM128" s="129" t="str">
        <f>IF(T128="No Armour","- -",IF(T128="No Armour",0,VLOOKUP(T128,Armour!$B$4:$AU$99,3,FALSE)+VLOOKUP(((AO128*100)-100),Charts!$AW$2:$AX$42,2,FALSE)))</f>
        <v>- -</v>
      </c>
      <c r="BN128" s="129"/>
      <c r="BO128" s="129"/>
      <c r="BP128" s="129"/>
      <c r="BQ128" s="129"/>
      <c r="BR128" s="129"/>
      <c r="BS128" s="129"/>
      <c r="BT128" s="129"/>
      <c r="BU128" s="154">
        <v>0</v>
      </c>
      <c r="BV128" s="154"/>
      <c r="BW128" s="154"/>
      <c r="BX128" s="154"/>
      <c r="BY128" s="154"/>
      <c r="BZ128" s="154"/>
      <c r="CA128" s="154"/>
      <c r="CB128" s="154"/>
      <c r="CC128" s="154" t="str">
        <f>IF(T128="No Armour","- -",0)</f>
        <v>- -</v>
      </c>
      <c r="CD128" s="154"/>
      <c r="CE128" s="154"/>
      <c r="CF128" s="154"/>
      <c r="CG128" s="154"/>
      <c r="CH128" s="154"/>
      <c r="CI128" s="154"/>
      <c r="CJ128" s="154"/>
      <c r="CK128" s="129" t="str">
        <f t="shared" ref="CK128:CK148" si="29">IF(T128="No Armour","- -",MAX(0,VLOOKUP(T128,ATChart,2,FALSE)+MIN(0,(BM128+BU128+CC128)/5)))</f>
        <v>- -</v>
      </c>
      <c r="CL128" s="129"/>
      <c r="CM128" s="129"/>
      <c r="CN128" s="129"/>
      <c r="CO128" s="129"/>
      <c r="CP128" s="129"/>
      <c r="CQ128" s="129"/>
      <c r="CR128" s="129"/>
      <c r="CS128" s="129" t="str">
        <f>IF(T128="No Armour","- -",MAX((MIN(BM128,0)),BM128+BU128+CC128))</f>
        <v>- -</v>
      </c>
      <c r="CT128" s="129"/>
      <c r="CU128" s="129"/>
      <c r="CV128" s="129"/>
      <c r="CW128" s="129"/>
      <c r="CX128" s="129"/>
      <c r="CY128" s="129"/>
      <c r="CZ128" s="129"/>
      <c r="DA128" s="129" t="str">
        <f>IF(T128="No Armour","- -",ROUNDUP((VLOOKUP(T128,Armour!$B$4:$EY$99,47,FALSE)*A128),0)+(ROUNDUP(CC128/3,0)))</f>
        <v>- -</v>
      </c>
      <c r="DB128" s="129"/>
      <c r="DC128" s="129"/>
      <c r="DD128" s="129"/>
      <c r="DE128" s="129"/>
      <c r="DF128" s="129"/>
      <c r="DG128" s="129"/>
      <c r="DH128" s="129"/>
      <c r="DI128" s="129" t="str">
        <f>IF(T128="No Armour","- -",VLOOKUP(T128,Armour!$B$4:$EY$99,65,FALSE)+(ROUNDUP(CC128/3,0)))</f>
        <v>- -</v>
      </c>
      <c r="DJ128" s="129"/>
      <c r="DK128" s="129"/>
      <c r="DL128" s="129"/>
      <c r="DM128" s="129"/>
      <c r="DN128" s="129"/>
      <c r="DO128" s="129"/>
      <c r="DP128" s="129"/>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52"/>
      <c r="FB128" s="304" t="s">
        <v>142</v>
      </c>
      <c r="FC128" s="144"/>
      <c r="FD128" s="144"/>
      <c r="FE128" s="144"/>
      <c r="FF128" s="144"/>
      <c r="FG128" s="144"/>
      <c r="FH128" s="144"/>
      <c r="FI128" s="144"/>
      <c r="FJ128" s="144"/>
      <c r="FK128" s="144"/>
      <c r="FL128" s="144"/>
      <c r="FM128" s="144"/>
      <c r="FN128" s="144"/>
      <c r="FO128" s="144"/>
      <c r="FP128" s="144"/>
      <c r="FQ128" s="144"/>
      <c r="FR128" s="144"/>
      <c r="FS128" s="144"/>
      <c r="FT128" s="144"/>
      <c r="FU128" s="144"/>
      <c r="FV128" s="144"/>
      <c r="FW128" s="144"/>
      <c r="FX128" s="144"/>
      <c r="FY128" s="144"/>
      <c r="FZ128" s="144"/>
      <c r="GA128" s="144"/>
      <c r="GB128" s="144"/>
      <c r="GC128" s="144"/>
      <c r="GD128" s="144"/>
      <c r="GE128" s="144"/>
      <c r="GF128" s="144"/>
      <c r="GG128" s="144"/>
      <c r="GH128" s="144"/>
      <c r="GI128" s="144"/>
      <c r="GJ128" s="144"/>
      <c r="GK128" s="144"/>
      <c r="GL128" s="144"/>
      <c r="GM128" s="144"/>
      <c r="GN128" s="144"/>
      <c r="GO128" s="144"/>
      <c r="GP128" s="144"/>
      <c r="GQ128" s="144"/>
      <c r="GR128" s="144"/>
      <c r="GS128" s="144"/>
      <c r="GT128" s="144" t="s">
        <v>141</v>
      </c>
      <c r="GU128" s="144"/>
      <c r="GV128" s="144"/>
      <c r="GW128" s="144"/>
      <c r="GX128" s="144"/>
      <c r="GY128" s="144"/>
      <c r="GZ128" s="144"/>
      <c r="HA128" s="144"/>
      <c r="HB128" s="144"/>
      <c r="HC128" s="144"/>
      <c r="HD128" s="144"/>
      <c r="HE128" s="144"/>
      <c r="HF128" s="144"/>
      <c r="HG128" s="144"/>
      <c r="HH128" s="144"/>
      <c r="HI128" s="144"/>
      <c r="HJ128" s="144"/>
      <c r="HK128" s="144"/>
      <c r="HL128" s="144"/>
      <c r="HM128" s="144"/>
      <c r="HN128" s="144"/>
      <c r="HO128" s="144"/>
      <c r="HP128" s="144"/>
      <c r="HQ128" s="144"/>
      <c r="HR128" s="144"/>
      <c r="HS128" s="144"/>
      <c r="HT128" s="144"/>
      <c r="HU128" s="144"/>
      <c r="HV128" s="144"/>
      <c r="HW128" s="144"/>
      <c r="HX128" s="144"/>
      <c r="HY128" s="144"/>
      <c r="HZ128" s="144"/>
      <c r="IA128" s="144"/>
      <c r="IB128" s="144"/>
      <c r="IC128" s="144"/>
      <c r="ID128" s="144"/>
      <c r="IE128" s="144"/>
      <c r="IF128" s="144"/>
      <c r="IG128" s="144"/>
      <c r="IH128" s="144"/>
      <c r="II128" s="144"/>
      <c r="IJ128" s="144"/>
      <c r="IK128" s="144"/>
      <c r="IL128" s="144"/>
      <c r="IM128" s="144"/>
      <c r="IN128" s="144"/>
      <c r="IO128" s="144"/>
      <c r="IP128" s="144"/>
      <c r="IQ128" s="144"/>
      <c r="IR128" s="144"/>
      <c r="IS128" s="144"/>
      <c r="IT128" s="144"/>
      <c r="IU128" s="144"/>
      <c r="IV128" s="144"/>
      <c r="IW128" s="144"/>
      <c r="IX128" s="144"/>
      <c r="IY128" s="144"/>
      <c r="IZ128" s="144"/>
      <c r="JA128" s="144"/>
      <c r="JB128" s="144"/>
      <c r="JC128" s="144"/>
      <c r="JD128" s="144"/>
      <c r="JE128" s="144"/>
      <c r="JF128" s="144"/>
      <c r="JG128" s="144"/>
      <c r="JH128" s="144"/>
      <c r="JI128" s="144"/>
      <c r="JJ128" s="144"/>
      <c r="JK128" s="144"/>
      <c r="JL128" s="144"/>
      <c r="JM128" s="144"/>
      <c r="JN128" s="144"/>
      <c r="JO128" s="144"/>
      <c r="JP128" s="144"/>
      <c r="JQ128" s="144"/>
      <c r="JR128" s="144"/>
      <c r="JS128" s="144"/>
      <c r="JT128" s="144"/>
      <c r="JU128" s="144"/>
      <c r="JV128" s="144"/>
      <c r="JW128" s="144"/>
      <c r="JX128" s="144"/>
      <c r="JY128" s="144"/>
      <c r="JZ128" s="144"/>
      <c r="KA128" s="144"/>
      <c r="KB128" s="144"/>
      <c r="KC128" s="144"/>
      <c r="KD128" s="144"/>
      <c r="KE128" s="144"/>
      <c r="KF128" s="144"/>
      <c r="KG128" s="144"/>
      <c r="KH128" s="144"/>
      <c r="KI128" s="144"/>
      <c r="KJ128" s="144"/>
      <c r="KK128" s="144"/>
      <c r="KL128" s="144"/>
      <c r="KM128" s="144"/>
      <c r="KN128" s="144"/>
      <c r="KO128" s="144"/>
      <c r="KP128" s="144"/>
      <c r="KQ128" s="144"/>
      <c r="KR128" s="144"/>
      <c r="KS128" s="144"/>
      <c r="KT128" s="144"/>
      <c r="KU128" s="144"/>
      <c r="KV128" s="144"/>
      <c r="KW128" s="144"/>
      <c r="KX128" s="144"/>
      <c r="KY128" s="144"/>
      <c r="KZ128" s="144"/>
      <c r="LA128" s="144"/>
      <c r="LB128" s="144"/>
      <c r="LC128" s="144"/>
      <c r="LD128" s="144"/>
      <c r="LE128" s="144"/>
      <c r="LF128" s="144"/>
      <c r="LG128" s="144"/>
      <c r="LH128" s="144"/>
      <c r="LI128" s="144"/>
      <c r="LJ128" s="144"/>
      <c r="LK128" s="144"/>
      <c r="LL128" s="144"/>
      <c r="LM128" s="144"/>
      <c r="LN128" s="144"/>
      <c r="LO128" s="144"/>
      <c r="LP128" s="144"/>
      <c r="LQ128" s="144"/>
      <c r="LR128" s="144"/>
      <c r="LS128" s="144"/>
      <c r="LT128" s="144"/>
      <c r="LU128" s="144"/>
      <c r="LV128" s="144"/>
      <c r="LW128" s="144"/>
      <c r="LX128" s="144"/>
      <c r="LY128" s="144"/>
      <c r="LZ128" s="144"/>
      <c r="MA128" s="144"/>
      <c r="MB128" s="144"/>
      <c r="MC128" s="144"/>
      <c r="MD128" s="144"/>
      <c r="ME128" s="144"/>
      <c r="MF128" s="144"/>
      <c r="MG128" s="144"/>
      <c r="MH128" s="144"/>
      <c r="MI128" s="144"/>
      <c r="MJ128" s="144"/>
      <c r="MK128" s="144"/>
      <c r="ML128" s="144"/>
      <c r="MM128" s="144"/>
      <c r="MN128" s="144"/>
      <c r="MO128" s="144"/>
      <c r="MP128" s="144"/>
      <c r="MQ128" s="144"/>
      <c r="MR128" s="144"/>
      <c r="MS128" s="144"/>
      <c r="MT128" s="144"/>
      <c r="MU128" s="144"/>
      <c r="MV128" s="144"/>
      <c r="MW128" s="144"/>
      <c r="MX128" s="144"/>
      <c r="MY128" s="144"/>
      <c r="MZ128" s="145"/>
    </row>
    <row r="129" spans="1:364" ht="15" customHeight="1" x14ac:dyDescent="0.4">
      <c r="A129" s="2">
        <v>1</v>
      </c>
      <c r="B129" s="149" t="s">
        <v>66</v>
      </c>
      <c r="C129" s="150"/>
      <c r="D129" s="150"/>
      <c r="E129" s="150"/>
      <c r="F129" s="150"/>
      <c r="G129" s="150"/>
      <c r="H129" s="150"/>
      <c r="I129" s="150"/>
      <c r="J129" s="150"/>
      <c r="K129" s="150"/>
      <c r="L129" s="150"/>
      <c r="M129" s="150"/>
      <c r="N129" s="150"/>
      <c r="O129" s="150"/>
      <c r="P129" s="150"/>
      <c r="Q129" s="150"/>
      <c r="R129" s="150"/>
      <c r="S129" s="150"/>
      <c r="T129" s="156" t="str">
        <f>Calculations!DF4</f>
        <v>No Armour</v>
      </c>
      <c r="U129" s="156"/>
      <c r="V129" s="156"/>
      <c r="W129" s="156"/>
      <c r="X129" s="156"/>
      <c r="Y129" s="156"/>
      <c r="Z129" s="156"/>
      <c r="AA129" s="156"/>
      <c r="AB129" s="156"/>
      <c r="AC129" s="156"/>
      <c r="AD129" s="156"/>
      <c r="AE129" s="156"/>
      <c r="AF129" s="156"/>
      <c r="AG129" s="156"/>
      <c r="AH129" s="156"/>
      <c r="AI129" s="156"/>
      <c r="AJ129" s="156"/>
      <c r="AK129" s="156"/>
      <c r="AL129" s="156"/>
      <c r="AM129" s="156"/>
      <c r="AN129" s="156"/>
      <c r="AO129" s="153">
        <v>1</v>
      </c>
      <c r="AP129" s="153"/>
      <c r="AQ129" s="153"/>
      <c r="AR129" s="153"/>
      <c r="AS129" s="153"/>
      <c r="AT129" s="153"/>
      <c r="AU129" s="153"/>
      <c r="AV129" s="153"/>
      <c r="AW129" s="129" t="str">
        <f>IF(T129="No Armour","- -",IF(T129=Calculations!DF4,"- -",VLOOKUP(T129,Armour!$B$4:$AU$99,19,FALSE)*'Character Creation'!$Z$18*'Character Sheet'!$AO129))</f>
        <v>- -</v>
      </c>
      <c r="AX129" s="129"/>
      <c r="AY129" s="129"/>
      <c r="AZ129" s="129"/>
      <c r="BA129" s="129"/>
      <c r="BB129" s="129"/>
      <c r="BC129" s="129"/>
      <c r="BD129" s="129"/>
      <c r="BE129" s="129" t="str">
        <f>IF(T129="No Armour","- -",VLOOKUP(T129,Armour!$B$4:$AU$99,4,FALSE)+BU129+CC129)</f>
        <v>- -</v>
      </c>
      <c r="BF129" s="129"/>
      <c r="BG129" s="129"/>
      <c r="BH129" s="129"/>
      <c r="BI129" s="129"/>
      <c r="BJ129" s="129"/>
      <c r="BK129" s="129"/>
      <c r="BL129" s="129"/>
      <c r="BM129" s="129" t="str">
        <f>IF(T129="No Armour","- -",IF(T129="No Armour",0,VLOOKUP(T129,Armour!$B$4:$AU$99,3,FALSE)+VLOOKUP(((AO129*100)-100),Charts!$AW$2:$AX$42,2,FALSE)))</f>
        <v>- -</v>
      </c>
      <c r="BN129" s="129"/>
      <c r="BO129" s="129"/>
      <c r="BP129" s="129"/>
      <c r="BQ129" s="129"/>
      <c r="BR129" s="129"/>
      <c r="BS129" s="129"/>
      <c r="BT129" s="129"/>
      <c r="BU129" s="154" t="str">
        <f t="shared" ref="BU129:BU148" si="30">IF(T129="No Armour","- -",0)</f>
        <v>- -</v>
      </c>
      <c r="BV129" s="154"/>
      <c r="BW129" s="154"/>
      <c r="BX129" s="154"/>
      <c r="BY129" s="154"/>
      <c r="BZ129" s="154"/>
      <c r="CA129" s="154"/>
      <c r="CB129" s="154"/>
      <c r="CC129" s="154" t="str">
        <f t="shared" ref="CC129:CC148" si="31">IF(T129="No Armour","- -",0)</f>
        <v>- -</v>
      </c>
      <c r="CD129" s="154"/>
      <c r="CE129" s="154"/>
      <c r="CF129" s="154"/>
      <c r="CG129" s="154"/>
      <c r="CH129" s="154"/>
      <c r="CI129" s="154"/>
      <c r="CJ129" s="154"/>
      <c r="CK129" s="129" t="str">
        <f t="shared" si="29"/>
        <v>- -</v>
      </c>
      <c r="CL129" s="129"/>
      <c r="CM129" s="129"/>
      <c r="CN129" s="129"/>
      <c r="CO129" s="129"/>
      <c r="CP129" s="129"/>
      <c r="CQ129" s="129"/>
      <c r="CR129" s="129"/>
      <c r="CS129" s="129" t="str">
        <f t="shared" ref="CS129:CS148" si="32">IF(T129="No Armour","- -",MAX((MIN(BM129,0)),BM129+BU129+CC129))</f>
        <v>- -</v>
      </c>
      <c r="CT129" s="129"/>
      <c r="CU129" s="129"/>
      <c r="CV129" s="129"/>
      <c r="CW129" s="129"/>
      <c r="CX129" s="129"/>
      <c r="CY129" s="129"/>
      <c r="CZ129" s="129"/>
      <c r="DA129" s="129" t="str">
        <f>IF(T129="No Armour","- -",ROUNDUP((VLOOKUP(T129,Armour!$B$4:$EY$99,48,FALSE)*A129),0)+(ROUNDUP(CC129/3,0)))</f>
        <v>- -</v>
      </c>
      <c r="DB129" s="129"/>
      <c r="DC129" s="129"/>
      <c r="DD129" s="129"/>
      <c r="DE129" s="129"/>
      <c r="DF129" s="129"/>
      <c r="DG129" s="129"/>
      <c r="DH129" s="129"/>
      <c r="DI129" s="129" t="str">
        <f>IF(T129="No Armour","- -",VLOOKUP(T129,Armour!$B$4:$EY$99,66,FALSE)+(ROUNDUP(CC129/3,0)))</f>
        <v>- -</v>
      </c>
      <c r="DJ129" s="129"/>
      <c r="DK129" s="129"/>
      <c r="DL129" s="129"/>
      <c r="DM129" s="129"/>
      <c r="DN129" s="129"/>
      <c r="DO129" s="129"/>
      <c r="DP129" s="129"/>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52"/>
      <c r="FB129" s="304"/>
      <c r="FC129" s="144"/>
      <c r="FD129" s="144"/>
      <c r="FE129" s="144"/>
      <c r="FF129" s="144"/>
      <c r="FG129" s="144"/>
      <c r="FH129" s="144"/>
      <c r="FI129" s="144"/>
      <c r="FJ129" s="144"/>
      <c r="FK129" s="144"/>
      <c r="FL129" s="144"/>
      <c r="FM129" s="144"/>
      <c r="FN129" s="144"/>
      <c r="FO129" s="144"/>
      <c r="FP129" s="144"/>
      <c r="FQ129" s="144"/>
      <c r="FR129" s="144"/>
      <c r="FS129" s="144"/>
      <c r="FT129" s="144"/>
      <c r="FU129" s="144"/>
      <c r="FV129" s="144"/>
      <c r="FW129" s="144"/>
      <c r="FX129" s="144"/>
      <c r="FY129" s="144"/>
      <c r="FZ129" s="144"/>
      <c r="GA129" s="144"/>
      <c r="GB129" s="144"/>
      <c r="GC129" s="144"/>
      <c r="GD129" s="144"/>
      <c r="GE129" s="144"/>
      <c r="GF129" s="144"/>
      <c r="GG129" s="144"/>
      <c r="GH129" s="144"/>
      <c r="GI129" s="144"/>
      <c r="GJ129" s="144"/>
      <c r="GK129" s="144"/>
      <c r="GL129" s="144"/>
      <c r="GM129" s="144"/>
      <c r="GN129" s="144"/>
      <c r="GO129" s="144"/>
      <c r="GP129" s="144"/>
      <c r="GQ129" s="144"/>
      <c r="GR129" s="144"/>
      <c r="GS129" s="144"/>
      <c r="GT129" s="144"/>
      <c r="GU129" s="144"/>
      <c r="GV129" s="144"/>
      <c r="GW129" s="144"/>
      <c r="GX129" s="144"/>
      <c r="GY129" s="144"/>
      <c r="GZ129" s="144"/>
      <c r="HA129" s="144"/>
      <c r="HB129" s="144"/>
      <c r="HC129" s="144"/>
      <c r="HD129" s="144"/>
      <c r="HE129" s="144"/>
      <c r="HF129" s="144"/>
      <c r="HG129" s="144"/>
      <c r="HH129" s="144"/>
      <c r="HI129" s="144"/>
      <c r="HJ129" s="144"/>
      <c r="HK129" s="144"/>
      <c r="HL129" s="144"/>
      <c r="HM129" s="144"/>
      <c r="HN129" s="144"/>
      <c r="HO129" s="144"/>
      <c r="HP129" s="144"/>
      <c r="HQ129" s="144"/>
      <c r="HR129" s="144"/>
      <c r="HS129" s="144"/>
      <c r="HT129" s="144"/>
      <c r="HU129" s="144"/>
      <c r="HV129" s="144"/>
      <c r="HW129" s="144"/>
      <c r="HX129" s="144"/>
      <c r="HY129" s="144"/>
      <c r="HZ129" s="144"/>
      <c r="IA129" s="144"/>
      <c r="IB129" s="144"/>
      <c r="IC129" s="144"/>
      <c r="ID129" s="144"/>
      <c r="IE129" s="144"/>
      <c r="IF129" s="144"/>
      <c r="IG129" s="144"/>
      <c r="IH129" s="144"/>
      <c r="II129" s="144"/>
      <c r="IJ129" s="144"/>
      <c r="IK129" s="144"/>
      <c r="IL129" s="144"/>
      <c r="IM129" s="144"/>
      <c r="IN129" s="144"/>
      <c r="IO129" s="144"/>
      <c r="IP129" s="144"/>
      <c r="IQ129" s="144"/>
      <c r="IR129" s="144"/>
      <c r="IS129" s="144"/>
      <c r="IT129" s="144"/>
      <c r="IU129" s="144"/>
      <c r="IV129" s="144"/>
      <c r="IW129" s="144"/>
      <c r="IX129" s="144"/>
      <c r="IY129" s="144"/>
      <c r="IZ129" s="144"/>
      <c r="JA129" s="144"/>
      <c r="JB129" s="144"/>
      <c r="JC129" s="144"/>
      <c r="JD129" s="144"/>
      <c r="JE129" s="144"/>
      <c r="JF129" s="144"/>
      <c r="JG129" s="144"/>
      <c r="JH129" s="144"/>
      <c r="JI129" s="144"/>
      <c r="JJ129" s="144"/>
      <c r="JK129" s="144"/>
      <c r="JL129" s="144"/>
      <c r="JM129" s="144"/>
      <c r="JN129" s="144"/>
      <c r="JO129" s="144"/>
      <c r="JP129" s="144"/>
      <c r="JQ129" s="144"/>
      <c r="JR129" s="144"/>
      <c r="JS129" s="144"/>
      <c r="JT129" s="144"/>
      <c r="JU129" s="144"/>
      <c r="JV129" s="144"/>
      <c r="JW129" s="144"/>
      <c r="JX129" s="144"/>
      <c r="JY129" s="144"/>
      <c r="JZ129" s="144"/>
      <c r="KA129" s="144"/>
      <c r="KB129" s="144"/>
      <c r="KC129" s="144"/>
      <c r="KD129" s="144"/>
      <c r="KE129" s="144"/>
      <c r="KF129" s="144"/>
      <c r="KG129" s="144"/>
      <c r="KH129" s="144"/>
      <c r="KI129" s="144"/>
      <c r="KJ129" s="144"/>
      <c r="KK129" s="144"/>
      <c r="KL129" s="144"/>
      <c r="KM129" s="144"/>
      <c r="KN129" s="144"/>
      <c r="KO129" s="144"/>
      <c r="KP129" s="144"/>
      <c r="KQ129" s="144"/>
      <c r="KR129" s="144"/>
      <c r="KS129" s="144"/>
      <c r="KT129" s="144"/>
      <c r="KU129" s="144"/>
      <c r="KV129" s="144"/>
      <c r="KW129" s="144"/>
      <c r="KX129" s="144"/>
      <c r="KY129" s="144"/>
      <c r="KZ129" s="144"/>
      <c r="LA129" s="144"/>
      <c r="LB129" s="144"/>
      <c r="LC129" s="144"/>
      <c r="LD129" s="144"/>
      <c r="LE129" s="144"/>
      <c r="LF129" s="144"/>
      <c r="LG129" s="144"/>
      <c r="LH129" s="144"/>
      <c r="LI129" s="144"/>
      <c r="LJ129" s="144"/>
      <c r="LK129" s="144"/>
      <c r="LL129" s="144"/>
      <c r="LM129" s="144"/>
      <c r="LN129" s="144"/>
      <c r="LO129" s="144"/>
      <c r="LP129" s="144"/>
      <c r="LQ129" s="144"/>
      <c r="LR129" s="144"/>
      <c r="LS129" s="144"/>
      <c r="LT129" s="144"/>
      <c r="LU129" s="144"/>
      <c r="LV129" s="144"/>
      <c r="LW129" s="144"/>
      <c r="LX129" s="144"/>
      <c r="LY129" s="144"/>
      <c r="LZ129" s="144"/>
      <c r="MA129" s="144"/>
      <c r="MB129" s="144"/>
      <c r="MC129" s="144"/>
      <c r="MD129" s="144"/>
      <c r="ME129" s="144"/>
      <c r="MF129" s="144"/>
      <c r="MG129" s="144"/>
      <c r="MH129" s="144"/>
      <c r="MI129" s="144"/>
      <c r="MJ129" s="144"/>
      <c r="MK129" s="144"/>
      <c r="ML129" s="144"/>
      <c r="MM129" s="144"/>
      <c r="MN129" s="144"/>
      <c r="MO129" s="144"/>
      <c r="MP129" s="144"/>
      <c r="MQ129" s="144"/>
      <c r="MR129" s="144"/>
      <c r="MS129" s="144"/>
      <c r="MT129" s="144"/>
      <c r="MU129" s="144"/>
      <c r="MV129" s="144"/>
      <c r="MW129" s="144"/>
      <c r="MX129" s="144"/>
      <c r="MY129" s="144"/>
      <c r="MZ129" s="145"/>
    </row>
    <row r="130" spans="1:364" ht="15" customHeight="1" x14ac:dyDescent="0.4">
      <c r="A130" s="2">
        <v>0.65</v>
      </c>
      <c r="B130" s="149" t="s">
        <v>3143</v>
      </c>
      <c r="C130" s="150"/>
      <c r="D130" s="150"/>
      <c r="E130" s="150"/>
      <c r="F130" s="150"/>
      <c r="G130" s="150"/>
      <c r="H130" s="150"/>
      <c r="I130" s="150"/>
      <c r="J130" s="150"/>
      <c r="K130" s="150"/>
      <c r="L130" s="150"/>
      <c r="M130" s="150"/>
      <c r="N130" s="150"/>
      <c r="O130" s="150"/>
      <c r="P130" s="150"/>
      <c r="Q130" s="150"/>
      <c r="R130" s="150"/>
      <c r="S130" s="150"/>
      <c r="T130" s="156" t="str">
        <f>Calculations!DF5</f>
        <v>No Armour</v>
      </c>
      <c r="U130" s="156"/>
      <c r="V130" s="156"/>
      <c r="W130" s="156"/>
      <c r="X130" s="156"/>
      <c r="Y130" s="156"/>
      <c r="Z130" s="156"/>
      <c r="AA130" s="156"/>
      <c r="AB130" s="156"/>
      <c r="AC130" s="156"/>
      <c r="AD130" s="156"/>
      <c r="AE130" s="156"/>
      <c r="AF130" s="156"/>
      <c r="AG130" s="156"/>
      <c r="AH130" s="156"/>
      <c r="AI130" s="156"/>
      <c r="AJ130" s="156"/>
      <c r="AK130" s="156"/>
      <c r="AL130" s="156"/>
      <c r="AM130" s="156"/>
      <c r="AN130" s="156"/>
      <c r="AO130" s="153">
        <v>1</v>
      </c>
      <c r="AP130" s="153"/>
      <c r="AQ130" s="153"/>
      <c r="AR130" s="153"/>
      <c r="AS130" s="153"/>
      <c r="AT130" s="153"/>
      <c r="AU130" s="153"/>
      <c r="AV130" s="153"/>
      <c r="AW130" s="129" t="str">
        <f>IF(T130="No Armour","- -",IF(T130=Calculations!DF5,"- -",VLOOKUP(T130,Armour!$B$4:$AU$99,19,FALSE)*'Character Creation'!$Z$18*'Character Sheet'!$AO130))</f>
        <v>- -</v>
      </c>
      <c r="AX130" s="129"/>
      <c r="AY130" s="129"/>
      <c r="AZ130" s="129"/>
      <c r="BA130" s="129"/>
      <c r="BB130" s="129"/>
      <c r="BC130" s="129"/>
      <c r="BD130" s="129"/>
      <c r="BE130" s="129" t="str">
        <f>IF(T130="No Armour","- -",VLOOKUP(T130,Armour!$B$4:$AU$99,4,FALSE)+BU130+CC130)</f>
        <v>- -</v>
      </c>
      <c r="BF130" s="129"/>
      <c r="BG130" s="129"/>
      <c r="BH130" s="129"/>
      <c r="BI130" s="129"/>
      <c r="BJ130" s="129"/>
      <c r="BK130" s="129"/>
      <c r="BL130" s="129"/>
      <c r="BM130" s="129" t="str">
        <f>IF(T130="No Armour","- -",IF(T130="No Armour",0,VLOOKUP(T130,Armour!$B$4:$AU$99,3,FALSE)+VLOOKUP(((AO130*100)-100),Charts!$AW$2:$AX$42,2,FALSE)))</f>
        <v>- -</v>
      </c>
      <c r="BN130" s="129"/>
      <c r="BO130" s="129"/>
      <c r="BP130" s="129"/>
      <c r="BQ130" s="129"/>
      <c r="BR130" s="129"/>
      <c r="BS130" s="129"/>
      <c r="BT130" s="129"/>
      <c r="BU130" s="154" t="str">
        <f t="shared" si="30"/>
        <v>- -</v>
      </c>
      <c r="BV130" s="154"/>
      <c r="BW130" s="154"/>
      <c r="BX130" s="154"/>
      <c r="BY130" s="154"/>
      <c r="BZ130" s="154"/>
      <c r="CA130" s="154"/>
      <c r="CB130" s="154"/>
      <c r="CC130" s="154" t="str">
        <f t="shared" si="31"/>
        <v>- -</v>
      </c>
      <c r="CD130" s="154"/>
      <c r="CE130" s="154"/>
      <c r="CF130" s="154"/>
      <c r="CG130" s="154"/>
      <c r="CH130" s="154"/>
      <c r="CI130" s="154"/>
      <c r="CJ130" s="154"/>
      <c r="CK130" s="129" t="str">
        <f t="shared" si="29"/>
        <v>- -</v>
      </c>
      <c r="CL130" s="129"/>
      <c r="CM130" s="129"/>
      <c r="CN130" s="129"/>
      <c r="CO130" s="129"/>
      <c r="CP130" s="129"/>
      <c r="CQ130" s="129"/>
      <c r="CR130" s="129"/>
      <c r="CS130" s="129" t="str">
        <f t="shared" si="32"/>
        <v>- -</v>
      </c>
      <c r="CT130" s="129"/>
      <c r="CU130" s="129"/>
      <c r="CV130" s="129"/>
      <c r="CW130" s="129"/>
      <c r="CX130" s="129"/>
      <c r="CY130" s="129"/>
      <c r="CZ130" s="129"/>
      <c r="DA130" s="129" t="str">
        <f>IF(T130="No Armour","- -",ROUNDUP((VLOOKUP(T130,Armour!$B$4:$EY$99,49,FALSE)*A130),0)+(ROUNDUP(CC130/3,0)))</f>
        <v>- -</v>
      </c>
      <c r="DB130" s="129"/>
      <c r="DC130" s="129"/>
      <c r="DD130" s="129"/>
      <c r="DE130" s="129"/>
      <c r="DF130" s="129"/>
      <c r="DG130" s="129"/>
      <c r="DH130" s="129"/>
      <c r="DI130" s="155" t="s">
        <v>782</v>
      </c>
      <c r="DJ130" s="129"/>
      <c r="DK130" s="129"/>
      <c r="DL130" s="129"/>
      <c r="DM130" s="129"/>
      <c r="DN130" s="129"/>
      <c r="DO130" s="129"/>
      <c r="DP130" s="129"/>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52"/>
      <c r="FB130" s="304"/>
      <c r="FC130" s="144"/>
      <c r="FD130" s="144"/>
      <c r="FE130" s="144"/>
      <c r="FF130" s="144"/>
      <c r="FG130" s="144"/>
      <c r="FH130" s="144"/>
      <c r="FI130" s="144"/>
      <c r="FJ130" s="144"/>
      <c r="FK130" s="144"/>
      <c r="FL130" s="144"/>
      <c r="FM130" s="144"/>
      <c r="FN130" s="144"/>
      <c r="FO130" s="144"/>
      <c r="FP130" s="144"/>
      <c r="FQ130" s="144"/>
      <c r="FR130" s="144"/>
      <c r="FS130" s="144"/>
      <c r="FT130" s="144"/>
      <c r="FU130" s="144"/>
      <c r="FV130" s="144"/>
      <c r="FW130" s="144"/>
      <c r="FX130" s="144"/>
      <c r="FY130" s="144"/>
      <c r="FZ130" s="144"/>
      <c r="GA130" s="144"/>
      <c r="GB130" s="144"/>
      <c r="GC130" s="144"/>
      <c r="GD130" s="144"/>
      <c r="GE130" s="144"/>
      <c r="GF130" s="144"/>
      <c r="GG130" s="144"/>
      <c r="GH130" s="144"/>
      <c r="GI130" s="144"/>
      <c r="GJ130" s="144"/>
      <c r="GK130" s="144"/>
      <c r="GL130" s="144"/>
      <c r="GM130" s="144"/>
      <c r="GN130" s="144"/>
      <c r="GO130" s="144"/>
      <c r="GP130" s="144"/>
      <c r="GQ130" s="144"/>
      <c r="GR130" s="144"/>
      <c r="GS130" s="144"/>
      <c r="GT130" s="144"/>
      <c r="GU130" s="144"/>
      <c r="GV130" s="144"/>
      <c r="GW130" s="144"/>
      <c r="GX130" s="144"/>
      <c r="GY130" s="144"/>
      <c r="GZ130" s="144"/>
      <c r="HA130" s="144"/>
      <c r="HB130" s="144"/>
      <c r="HC130" s="144"/>
      <c r="HD130" s="144"/>
      <c r="HE130" s="144"/>
      <c r="HF130" s="144"/>
      <c r="HG130" s="144"/>
      <c r="HH130" s="144"/>
      <c r="HI130" s="144"/>
      <c r="HJ130" s="144"/>
      <c r="HK130" s="144"/>
      <c r="HL130" s="144"/>
      <c r="HM130" s="144"/>
      <c r="HN130" s="144"/>
      <c r="HO130" s="144"/>
      <c r="HP130" s="144"/>
      <c r="HQ130" s="144"/>
      <c r="HR130" s="144"/>
      <c r="HS130" s="144"/>
      <c r="HT130" s="144"/>
      <c r="HU130" s="144"/>
      <c r="HV130" s="144"/>
      <c r="HW130" s="144"/>
      <c r="HX130" s="144"/>
      <c r="HY130" s="144"/>
      <c r="HZ130" s="144"/>
      <c r="IA130" s="144"/>
      <c r="IB130" s="144"/>
      <c r="IC130" s="144"/>
      <c r="ID130" s="144"/>
      <c r="IE130" s="144"/>
      <c r="IF130" s="144"/>
      <c r="IG130" s="144"/>
      <c r="IH130" s="144"/>
      <c r="II130" s="144"/>
      <c r="IJ130" s="144"/>
      <c r="IK130" s="144"/>
      <c r="IL130" s="144"/>
      <c r="IM130" s="144"/>
      <c r="IN130" s="144"/>
      <c r="IO130" s="144"/>
      <c r="IP130" s="144"/>
      <c r="IQ130" s="144"/>
      <c r="IR130" s="144"/>
      <c r="IS130" s="144"/>
      <c r="IT130" s="144"/>
      <c r="IU130" s="144"/>
      <c r="IV130" s="144"/>
      <c r="IW130" s="144"/>
      <c r="IX130" s="144"/>
      <c r="IY130" s="144"/>
      <c r="IZ130" s="144"/>
      <c r="JA130" s="144"/>
      <c r="JB130" s="144"/>
      <c r="JC130" s="144"/>
      <c r="JD130" s="144"/>
      <c r="JE130" s="144"/>
      <c r="JF130" s="144"/>
      <c r="JG130" s="144"/>
      <c r="JH130" s="144"/>
      <c r="JI130" s="144"/>
      <c r="JJ130" s="144"/>
      <c r="JK130" s="144"/>
      <c r="JL130" s="144"/>
      <c r="JM130" s="144"/>
      <c r="JN130" s="144"/>
      <c r="JO130" s="144"/>
      <c r="JP130" s="144"/>
      <c r="JQ130" s="144"/>
      <c r="JR130" s="144"/>
      <c r="JS130" s="144"/>
      <c r="JT130" s="144"/>
      <c r="JU130" s="144"/>
      <c r="JV130" s="144"/>
      <c r="JW130" s="144"/>
      <c r="JX130" s="144"/>
      <c r="JY130" s="144"/>
      <c r="JZ130" s="144"/>
      <c r="KA130" s="144"/>
      <c r="KB130" s="144"/>
      <c r="KC130" s="144"/>
      <c r="KD130" s="144"/>
      <c r="KE130" s="144"/>
      <c r="KF130" s="144"/>
      <c r="KG130" s="144"/>
      <c r="KH130" s="144"/>
      <c r="KI130" s="144"/>
      <c r="KJ130" s="144"/>
      <c r="KK130" s="144"/>
      <c r="KL130" s="144"/>
      <c r="KM130" s="144"/>
      <c r="KN130" s="144"/>
      <c r="KO130" s="144"/>
      <c r="KP130" s="144"/>
      <c r="KQ130" s="144"/>
      <c r="KR130" s="144"/>
      <c r="KS130" s="144"/>
      <c r="KT130" s="144"/>
      <c r="KU130" s="144"/>
      <c r="KV130" s="144"/>
      <c r="KW130" s="144"/>
      <c r="KX130" s="144"/>
      <c r="KY130" s="144"/>
      <c r="KZ130" s="144"/>
      <c r="LA130" s="144"/>
      <c r="LB130" s="144"/>
      <c r="LC130" s="144"/>
      <c r="LD130" s="144"/>
      <c r="LE130" s="144"/>
      <c r="LF130" s="144"/>
      <c r="LG130" s="144"/>
      <c r="LH130" s="144"/>
      <c r="LI130" s="144"/>
      <c r="LJ130" s="144"/>
      <c r="LK130" s="144"/>
      <c r="LL130" s="144"/>
      <c r="LM130" s="144"/>
      <c r="LN130" s="144"/>
      <c r="LO130" s="144"/>
      <c r="LP130" s="144"/>
      <c r="LQ130" s="144"/>
      <c r="LR130" s="144"/>
      <c r="LS130" s="144"/>
      <c r="LT130" s="144"/>
      <c r="LU130" s="144"/>
      <c r="LV130" s="144"/>
      <c r="LW130" s="144"/>
      <c r="LX130" s="144"/>
      <c r="LY130" s="144"/>
      <c r="LZ130" s="144"/>
      <c r="MA130" s="144"/>
      <c r="MB130" s="144"/>
      <c r="MC130" s="144"/>
      <c r="MD130" s="144"/>
      <c r="ME130" s="144"/>
      <c r="MF130" s="144"/>
      <c r="MG130" s="144"/>
      <c r="MH130" s="144"/>
      <c r="MI130" s="144"/>
      <c r="MJ130" s="144"/>
      <c r="MK130" s="144"/>
      <c r="ML130" s="144"/>
      <c r="MM130" s="144"/>
      <c r="MN130" s="144"/>
      <c r="MO130" s="144"/>
      <c r="MP130" s="144"/>
      <c r="MQ130" s="144"/>
      <c r="MR130" s="144"/>
      <c r="MS130" s="144"/>
      <c r="MT130" s="144"/>
      <c r="MU130" s="144"/>
      <c r="MV130" s="144"/>
      <c r="MW130" s="144"/>
      <c r="MX130" s="144"/>
      <c r="MY130" s="144"/>
      <c r="MZ130" s="145"/>
    </row>
    <row r="131" spans="1:364" ht="15" customHeight="1" x14ac:dyDescent="0.4">
      <c r="A131" s="2">
        <v>0.65</v>
      </c>
      <c r="B131" s="149" t="s">
        <v>3144</v>
      </c>
      <c r="C131" s="150"/>
      <c r="D131" s="150"/>
      <c r="E131" s="150"/>
      <c r="F131" s="150"/>
      <c r="G131" s="150"/>
      <c r="H131" s="150"/>
      <c r="I131" s="150"/>
      <c r="J131" s="150"/>
      <c r="K131" s="150"/>
      <c r="L131" s="150"/>
      <c r="M131" s="150"/>
      <c r="N131" s="150"/>
      <c r="O131" s="150"/>
      <c r="P131" s="150"/>
      <c r="Q131" s="150"/>
      <c r="R131" s="150"/>
      <c r="S131" s="150"/>
      <c r="T131" s="156" t="str">
        <f>Calculations!DF7</f>
        <v>No Armour</v>
      </c>
      <c r="U131" s="156"/>
      <c r="V131" s="156"/>
      <c r="W131" s="156"/>
      <c r="X131" s="156"/>
      <c r="Y131" s="156"/>
      <c r="Z131" s="156"/>
      <c r="AA131" s="156"/>
      <c r="AB131" s="156"/>
      <c r="AC131" s="156"/>
      <c r="AD131" s="156"/>
      <c r="AE131" s="156"/>
      <c r="AF131" s="156"/>
      <c r="AG131" s="156"/>
      <c r="AH131" s="156"/>
      <c r="AI131" s="156"/>
      <c r="AJ131" s="156"/>
      <c r="AK131" s="156"/>
      <c r="AL131" s="156"/>
      <c r="AM131" s="156"/>
      <c r="AN131" s="156"/>
      <c r="AO131" s="153">
        <v>1</v>
      </c>
      <c r="AP131" s="153"/>
      <c r="AQ131" s="153"/>
      <c r="AR131" s="153"/>
      <c r="AS131" s="153"/>
      <c r="AT131" s="153"/>
      <c r="AU131" s="153"/>
      <c r="AV131" s="153"/>
      <c r="AW131" s="129" t="str">
        <f>IF(T131="No Armour","- -",IF(T131=Calculations!DF7,"- -",VLOOKUP(T131,Armour!$B$4:$AU$99,19,FALSE)*'Character Creation'!$Z$18*'Character Sheet'!$AO131))</f>
        <v>- -</v>
      </c>
      <c r="AX131" s="129"/>
      <c r="AY131" s="129"/>
      <c r="AZ131" s="129"/>
      <c r="BA131" s="129"/>
      <c r="BB131" s="129"/>
      <c r="BC131" s="129"/>
      <c r="BD131" s="129"/>
      <c r="BE131" s="129" t="str">
        <f>IF(T131="No Armour","- -",VLOOKUP(T131,Armour!$B$4:$AU$99,4,FALSE)+BU131+CC131)</f>
        <v>- -</v>
      </c>
      <c r="BF131" s="129"/>
      <c r="BG131" s="129"/>
      <c r="BH131" s="129"/>
      <c r="BI131" s="129"/>
      <c r="BJ131" s="129"/>
      <c r="BK131" s="129"/>
      <c r="BL131" s="129"/>
      <c r="BM131" s="129" t="str">
        <f>IF(T131="No Armour","- -",IF(T131="No Armour",0,VLOOKUP(T131,Armour!$B$4:$AU$99,3,FALSE)+VLOOKUP(((AO131*100)-100),Charts!$AW$2:$AX$42,2,FALSE)))</f>
        <v>- -</v>
      </c>
      <c r="BN131" s="129"/>
      <c r="BO131" s="129"/>
      <c r="BP131" s="129"/>
      <c r="BQ131" s="129"/>
      <c r="BR131" s="129"/>
      <c r="BS131" s="129"/>
      <c r="BT131" s="129"/>
      <c r="BU131" s="154" t="str">
        <f t="shared" ref="BU131" si="33">IF(T131="No Armour","- -",0)</f>
        <v>- -</v>
      </c>
      <c r="BV131" s="154"/>
      <c r="BW131" s="154"/>
      <c r="BX131" s="154"/>
      <c r="BY131" s="154"/>
      <c r="BZ131" s="154"/>
      <c r="CA131" s="154"/>
      <c r="CB131" s="154"/>
      <c r="CC131" s="154" t="str">
        <f t="shared" ref="CC131" si="34">IF(T131="No Armour","- -",0)</f>
        <v>- -</v>
      </c>
      <c r="CD131" s="154"/>
      <c r="CE131" s="154"/>
      <c r="CF131" s="154"/>
      <c r="CG131" s="154"/>
      <c r="CH131" s="154"/>
      <c r="CI131" s="154"/>
      <c r="CJ131" s="154"/>
      <c r="CK131" s="129" t="str">
        <f t="shared" si="29"/>
        <v>- -</v>
      </c>
      <c r="CL131" s="129"/>
      <c r="CM131" s="129"/>
      <c r="CN131" s="129"/>
      <c r="CO131" s="129"/>
      <c r="CP131" s="129"/>
      <c r="CQ131" s="129"/>
      <c r="CR131" s="129"/>
      <c r="CS131" s="129" t="str">
        <f t="shared" ref="CS131" si="35">IF(T131="No Armour","- -",MAX((MIN(BM131,0)),BM131+BU131+CC131))</f>
        <v>- -</v>
      </c>
      <c r="CT131" s="129"/>
      <c r="CU131" s="129"/>
      <c r="CV131" s="129"/>
      <c r="CW131" s="129"/>
      <c r="CX131" s="129"/>
      <c r="CY131" s="129"/>
      <c r="CZ131" s="129"/>
      <c r="DA131" s="129" t="str">
        <f>IF(T131="No Armour","- -",ROUNDUP((VLOOKUP(T131,Armour!$B$4:$EY$99,49,FALSE)*A131),0)+(ROUNDUP(CC131/3,0)))</f>
        <v>- -</v>
      </c>
      <c r="DB131" s="129"/>
      <c r="DC131" s="129"/>
      <c r="DD131" s="129"/>
      <c r="DE131" s="129"/>
      <c r="DF131" s="129"/>
      <c r="DG131" s="129"/>
      <c r="DH131" s="129"/>
      <c r="DI131" s="155" t="s">
        <v>782</v>
      </c>
      <c r="DJ131" s="129"/>
      <c r="DK131" s="129"/>
      <c r="DL131" s="129"/>
      <c r="DM131" s="129"/>
      <c r="DN131" s="129"/>
      <c r="DO131" s="129"/>
      <c r="DP131" s="129"/>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52"/>
      <c r="FB131" s="304"/>
      <c r="FC131" s="144"/>
      <c r="FD131" s="144"/>
      <c r="FE131" s="144"/>
      <c r="FF131" s="144"/>
      <c r="FG131" s="144"/>
      <c r="FH131" s="144"/>
      <c r="FI131" s="144"/>
      <c r="FJ131" s="144"/>
      <c r="FK131" s="144"/>
      <c r="FL131" s="144"/>
      <c r="FM131" s="144"/>
      <c r="FN131" s="144"/>
      <c r="FO131" s="144"/>
      <c r="FP131" s="144"/>
      <c r="FQ131" s="144"/>
      <c r="FR131" s="144"/>
      <c r="FS131" s="144"/>
      <c r="FT131" s="144"/>
      <c r="FU131" s="144"/>
      <c r="FV131" s="144"/>
      <c r="FW131" s="144"/>
      <c r="FX131" s="144"/>
      <c r="FY131" s="144"/>
      <c r="FZ131" s="144"/>
      <c r="GA131" s="144"/>
      <c r="GB131" s="144"/>
      <c r="GC131" s="144"/>
      <c r="GD131" s="144"/>
      <c r="GE131" s="144"/>
      <c r="GF131" s="144"/>
      <c r="GG131" s="144"/>
      <c r="GH131" s="144"/>
      <c r="GI131" s="144"/>
      <c r="GJ131" s="144"/>
      <c r="GK131" s="144"/>
      <c r="GL131" s="144"/>
      <c r="GM131" s="144"/>
      <c r="GN131" s="144"/>
      <c r="GO131" s="144"/>
      <c r="GP131" s="144"/>
      <c r="GQ131" s="144"/>
      <c r="GR131" s="144"/>
      <c r="GS131" s="144"/>
      <c r="GT131" s="144"/>
      <c r="GU131" s="144"/>
      <c r="GV131" s="144"/>
      <c r="GW131" s="144"/>
      <c r="GX131" s="144"/>
      <c r="GY131" s="144"/>
      <c r="GZ131" s="144"/>
      <c r="HA131" s="144"/>
      <c r="HB131" s="144"/>
      <c r="HC131" s="144"/>
      <c r="HD131" s="144"/>
      <c r="HE131" s="144"/>
      <c r="HF131" s="144"/>
      <c r="HG131" s="144"/>
      <c r="HH131" s="144"/>
      <c r="HI131" s="144"/>
      <c r="HJ131" s="144"/>
      <c r="HK131" s="144"/>
      <c r="HL131" s="144"/>
      <c r="HM131" s="144"/>
      <c r="HN131" s="144"/>
      <c r="HO131" s="144"/>
      <c r="HP131" s="144"/>
      <c r="HQ131" s="144"/>
      <c r="HR131" s="144"/>
      <c r="HS131" s="144"/>
      <c r="HT131" s="144"/>
      <c r="HU131" s="144"/>
      <c r="HV131" s="144"/>
      <c r="HW131" s="144"/>
      <c r="HX131" s="144"/>
      <c r="HY131" s="144"/>
      <c r="HZ131" s="144"/>
      <c r="IA131" s="144"/>
      <c r="IB131" s="144"/>
      <c r="IC131" s="144"/>
      <c r="ID131" s="144"/>
      <c r="IE131" s="144"/>
      <c r="IF131" s="144"/>
      <c r="IG131" s="144"/>
      <c r="IH131" s="144"/>
      <c r="II131" s="144"/>
      <c r="IJ131" s="144"/>
      <c r="IK131" s="144"/>
      <c r="IL131" s="144"/>
      <c r="IM131" s="144"/>
      <c r="IN131" s="144"/>
      <c r="IO131" s="144"/>
      <c r="IP131" s="144"/>
      <c r="IQ131" s="144"/>
      <c r="IR131" s="144"/>
      <c r="IS131" s="144"/>
      <c r="IT131" s="144"/>
      <c r="IU131" s="144"/>
      <c r="IV131" s="144"/>
      <c r="IW131" s="144"/>
      <c r="IX131" s="144"/>
      <c r="IY131" s="144"/>
      <c r="IZ131" s="144"/>
      <c r="JA131" s="144"/>
      <c r="JB131" s="144"/>
      <c r="JC131" s="144"/>
      <c r="JD131" s="144"/>
      <c r="JE131" s="144"/>
      <c r="JF131" s="144"/>
      <c r="JG131" s="144"/>
      <c r="JH131" s="144"/>
      <c r="JI131" s="144"/>
      <c r="JJ131" s="144"/>
      <c r="JK131" s="144"/>
      <c r="JL131" s="144"/>
      <c r="JM131" s="144"/>
      <c r="JN131" s="144"/>
      <c r="JO131" s="144"/>
      <c r="JP131" s="144"/>
      <c r="JQ131" s="144"/>
      <c r="JR131" s="144"/>
      <c r="JS131" s="144"/>
      <c r="JT131" s="144"/>
      <c r="JU131" s="144"/>
      <c r="JV131" s="144"/>
      <c r="JW131" s="144"/>
      <c r="JX131" s="144"/>
      <c r="JY131" s="144"/>
      <c r="JZ131" s="144"/>
      <c r="KA131" s="144"/>
      <c r="KB131" s="144"/>
      <c r="KC131" s="144"/>
      <c r="KD131" s="144"/>
      <c r="KE131" s="144"/>
      <c r="KF131" s="144"/>
      <c r="KG131" s="144"/>
      <c r="KH131" s="144"/>
      <c r="KI131" s="144"/>
      <c r="KJ131" s="144"/>
      <c r="KK131" s="144"/>
      <c r="KL131" s="144"/>
      <c r="KM131" s="144"/>
      <c r="KN131" s="144"/>
      <c r="KO131" s="144"/>
      <c r="KP131" s="144"/>
      <c r="KQ131" s="144"/>
      <c r="KR131" s="144"/>
      <c r="KS131" s="144"/>
      <c r="KT131" s="144"/>
      <c r="KU131" s="144"/>
      <c r="KV131" s="144"/>
      <c r="KW131" s="144"/>
      <c r="KX131" s="144"/>
      <c r="KY131" s="144"/>
      <c r="KZ131" s="144"/>
      <c r="LA131" s="144"/>
      <c r="LB131" s="144"/>
      <c r="LC131" s="144"/>
      <c r="LD131" s="144"/>
      <c r="LE131" s="144"/>
      <c r="LF131" s="144"/>
      <c r="LG131" s="144"/>
      <c r="LH131" s="144"/>
      <c r="LI131" s="144"/>
      <c r="LJ131" s="144"/>
      <c r="LK131" s="144"/>
      <c r="LL131" s="144"/>
      <c r="LM131" s="144"/>
      <c r="LN131" s="144"/>
      <c r="LO131" s="144"/>
      <c r="LP131" s="144"/>
      <c r="LQ131" s="144"/>
      <c r="LR131" s="144"/>
      <c r="LS131" s="144"/>
      <c r="LT131" s="144"/>
      <c r="LU131" s="144"/>
      <c r="LV131" s="144"/>
      <c r="LW131" s="144"/>
      <c r="LX131" s="144"/>
      <c r="LY131" s="144"/>
      <c r="LZ131" s="144"/>
      <c r="MA131" s="144"/>
      <c r="MB131" s="144"/>
      <c r="MC131" s="144"/>
      <c r="MD131" s="144"/>
      <c r="ME131" s="144"/>
      <c r="MF131" s="144"/>
      <c r="MG131" s="144"/>
      <c r="MH131" s="144"/>
      <c r="MI131" s="144"/>
      <c r="MJ131" s="144"/>
      <c r="MK131" s="144"/>
      <c r="ML131" s="144"/>
      <c r="MM131" s="144"/>
      <c r="MN131" s="144"/>
      <c r="MO131" s="144"/>
      <c r="MP131" s="144"/>
      <c r="MQ131" s="144"/>
      <c r="MR131" s="144"/>
      <c r="MS131" s="144"/>
      <c r="MT131" s="144"/>
      <c r="MU131" s="144"/>
      <c r="MV131" s="144"/>
      <c r="MW131" s="144"/>
      <c r="MX131" s="144"/>
      <c r="MY131" s="144"/>
      <c r="MZ131" s="145"/>
    </row>
    <row r="132" spans="1:364" ht="15" customHeight="1" x14ac:dyDescent="0.4">
      <c r="A132" s="2">
        <v>0.5</v>
      </c>
      <c r="B132" s="149" t="s">
        <v>69</v>
      </c>
      <c r="C132" s="150"/>
      <c r="D132" s="150"/>
      <c r="E132" s="150"/>
      <c r="F132" s="150"/>
      <c r="G132" s="150"/>
      <c r="H132" s="150"/>
      <c r="I132" s="150"/>
      <c r="J132" s="150"/>
      <c r="K132" s="150"/>
      <c r="L132" s="150"/>
      <c r="M132" s="150"/>
      <c r="N132" s="150"/>
      <c r="O132" s="150"/>
      <c r="P132" s="150"/>
      <c r="Q132" s="150"/>
      <c r="R132" s="150"/>
      <c r="S132" s="150"/>
      <c r="T132" s="156" t="str">
        <f>Calculations!DF7</f>
        <v>No Armour</v>
      </c>
      <c r="U132" s="156"/>
      <c r="V132" s="156"/>
      <c r="W132" s="156"/>
      <c r="X132" s="156"/>
      <c r="Y132" s="156"/>
      <c r="Z132" s="156"/>
      <c r="AA132" s="156"/>
      <c r="AB132" s="156"/>
      <c r="AC132" s="156"/>
      <c r="AD132" s="156"/>
      <c r="AE132" s="156"/>
      <c r="AF132" s="156"/>
      <c r="AG132" s="156"/>
      <c r="AH132" s="156"/>
      <c r="AI132" s="156"/>
      <c r="AJ132" s="156"/>
      <c r="AK132" s="156"/>
      <c r="AL132" s="156"/>
      <c r="AM132" s="156"/>
      <c r="AN132" s="156"/>
      <c r="AO132" s="153">
        <v>1</v>
      </c>
      <c r="AP132" s="153"/>
      <c r="AQ132" s="153"/>
      <c r="AR132" s="153"/>
      <c r="AS132" s="153"/>
      <c r="AT132" s="153"/>
      <c r="AU132" s="153"/>
      <c r="AV132" s="153"/>
      <c r="AW132" s="129" t="str">
        <f>IF(T132="No Armour","- -",IF(T132=Calculations!DF7,"- -",VLOOKUP(T132,Armour!$B$4:$AU$99,19,FALSE)*'Character Creation'!$Z$18*'Character Sheet'!$AO132))</f>
        <v>- -</v>
      </c>
      <c r="AX132" s="129"/>
      <c r="AY132" s="129"/>
      <c r="AZ132" s="129"/>
      <c r="BA132" s="129"/>
      <c r="BB132" s="129"/>
      <c r="BC132" s="129"/>
      <c r="BD132" s="129"/>
      <c r="BE132" s="129" t="str">
        <f>IF(T132="No Armour","- -",VLOOKUP(T132,Armour!$B$4:$AU$99,4,FALSE)+BU132+CC132)</f>
        <v>- -</v>
      </c>
      <c r="BF132" s="129"/>
      <c r="BG132" s="129"/>
      <c r="BH132" s="129"/>
      <c r="BI132" s="129"/>
      <c r="BJ132" s="129"/>
      <c r="BK132" s="129"/>
      <c r="BL132" s="129"/>
      <c r="BM132" s="129" t="str">
        <f>IF(T132="No Armour","- -",IF(T132="No Armour",0,VLOOKUP(T132,Armour!$B$4:$AU$99,3,FALSE)+VLOOKUP(((AO132*100)-100),Charts!$AW$2:$AX$42,2,FALSE)))</f>
        <v>- -</v>
      </c>
      <c r="BN132" s="129"/>
      <c r="BO132" s="129"/>
      <c r="BP132" s="129"/>
      <c r="BQ132" s="129"/>
      <c r="BR132" s="129"/>
      <c r="BS132" s="129"/>
      <c r="BT132" s="129"/>
      <c r="BU132" s="154" t="str">
        <f t="shared" si="30"/>
        <v>- -</v>
      </c>
      <c r="BV132" s="154"/>
      <c r="BW132" s="154"/>
      <c r="BX132" s="154"/>
      <c r="BY132" s="154"/>
      <c r="BZ132" s="154"/>
      <c r="CA132" s="154"/>
      <c r="CB132" s="154"/>
      <c r="CC132" s="154" t="str">
        <f t="shared" si="31"/>
        <v>- -</v>
      </c>
      <c r="CD132" s="154"/>
      <c r="CE132" s="154"/>
      <c r="CF132" s="154"/>
      <c r="CG132" s="154"/>
      <c r="CH132" s="154"/>
      <c r="CI132" s="154"/>
      <c r="CJ132" s="154"/>
      <c r="CK132" s="129" t="str">
        <f t="shared" si="29"/>
        <v>- -</v>
      </c>
      <c r="CL132" s="129"/>
      <c r="CM132" s="129"/>
      <c r="CN132" s="129"/>
      <c r="CO132" s="129"/>
      <c r="CP132" s="129"/>
      <c r="CQ132" s="129"/>
      <c r="CR132" s="129"/>
      <c r="CS132" s="129" t="str">
        <f t="shared" si="32"/>
        <v>- -</v>
      </c>
      <c r="CT132" s="129"/>
      <c r="CU132" s="129"/>
      <c r="CV132" s="129"/>
      <c r="CW132" s="129"/>
      <c r="CX132" s="129"/>
      <c r="CY132" s="129"/>
      <c r="CZ132" s="129"/>
      <c r="DA132" s="129" t="str">
        <f>IF(T132="No Armour","- -",ROUNDUP((VLOOKUP(T132,Armour!$B$4:$EY$99,51,FALSE)*A132),0)+(ROUNDUP(CC132/3,0)))</f>
        <v>- -</v>
      </c>
      <c r="DB132" s="129"/>
      <c r="DC132" s="129"/>
      <c r="DD132" s="129"/>
      <c r="DE132" s="129"/>
      <c r="DF132" s="129"/>
      <c r="DG132" s="129"/>
      <c r="DH132" s="129"/>
      <c r="DI132" s="155" t="s">
        <v>782</v>
      </c>
      <c r="DJ132" s="129"/>
      <c r="DK132" s="129"/>
      <c r="DL132" s="129"/>
      <c r="DM132" s="129"/>
      <c r="DN132" s="129"/>
      <c r="DO132" s="129"/>
      <c r="DP132" s="129"/>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52"/>
      <c r="FB132" s="304"/>
      <c r="FC132" s="144"/>
      <c r="FD132" s="144"/>
      <c r="FE132" s="144"/>
      <c r="FF132" s="144"/>
      <c r="FG132" s="144"/>
      <c r="FH132" s="144"/>
      <c r="FI132" s="144"/>
      <c r="FJ132" s="144"/>
      <c r="FK132" s="144"/>
      <c r="FL132" s="144"/>
      <c r="FM132" s="144"/>
      <c r="FN132" s="144"/>
      <c r="FO132" s="144"/>
      <c r="FP132" s="144"/>
      <c r="FQ132" s="144"/>
      <c r="FR132" s="144"/>
      <c r="FS132" s="144"/>
      <c r="FT132" s="144"/>
      <c r="FU132" s="144"/>
      <c r="FV132" s="144"/>
      <c r="FW132" s="144"/>
      <c r="FX132" s="144"/>
      <c r="FY132" s="144"/>
      <c r="FZ132" s="144"/>
      <c r="GA132" s="144"/>
      <c r="GB132" s="144"/>
      <c r="GC132" s="144"/>
      <c r="GD132" s="144"/>
      <c r="GE132" s="144"/>
      <c r="GF132" s="144"/>
      <c r="GG132" s="144"/>
      <c r="GH132" s="144"/>
      <c r="GI132" s="144"/>
      <c r="GJ132" s="144"/>
      <c r="GK132" s="144"/>
      <c r="GL132" s="144"/>
      <c r="GM132" s="144"/>
      <c r="GN132" s="144"/>
      <c r="GO132" s="144"/>
      <c r="GP132" s="144"/>
      <c r="GQ132" s="144"/>
      <c r="GR132" s="144"/>
      <c r="GS132" s="144"/>
      <c r="GT132" s="144"/>
      <c r="GU132" s="144"/>
      <c r="GV132" s="144"/>
      <c r="GW132" s="144"/>
      <c r="GX132" s="144"/>
      <c r="GY132" s="144"/>
      <c r="GZ132" s="144"/>
      <c r="HA132" s="144"/>
      <c r="HB132" s="144"/>
      <c r="HC132" s="144"/>
      <c r="HD132" s="144"/>
      <c r="HE132" s="144"/>
      <c r="HF132" s="144"/>
      <c r="HG132" s="144"/>
      <c r="HH132" s="144"/>
      <c r="HI132" s="144"/>
      <c r="HJ132" s="144"/>
      <c r="HK132" s="144"/>
      <c r="HL132" s="144"/>
      <c r="HM132" s="144"/>
      <c r="HN132" s="144"/>
      <c r="HO132" s="144"/>
      <c r="HP132" s="144"/>
      <c r="HQ132" s="144"/>
      <c r="HR132" s="144"/>
      <c r="HS132" s="144"/>
      <c r="HT132" s="144"/>
      <c r="HU132" s="144"/>
      <c r="HV132" s="144"/>
      <c r="HW132" s="144"/>
      <c r="HX132" s="144"/>
      <c r="HY132" s="144"/>
      <c r="HZ132" s="144"/>
      <c r="IA132" s="144"/>
      <c r="IB132" s="144"/>
      <c r="IC132" s="144"/>
      <c r="ID132" s="144"/>
      <c r="IE132" s="144"/>
      <c r="IF132" s="144"/>
      <c r="IG132" s="144"/>
      <c r="IH132" s="144"/>
      <c r="II132" s="144"/>
      <c r="IJ132" s="144"/>
      <c r="IK132" s="144"/>
      <c r="IL132" s="144"/>
      <c r="IM132" s="144"/>
      <c r="IN132" s="144"/>
      <c r="IO132" s="144"/>
      <c r="IP132" s="144"/>
      <c r="IQ132" s="144"/>
      <c r="IR132" s="144"/>
      <c r="IS132" s="144"/>
      <c r="IT132" s="144"/>
      <c r="IU132" s="144"/>
      <c r="IV132" s="144"/>
      <c r="IW132" s="144"/>
      <c r="IX132" s="144"/>
      <c r="IY132" s="144"/>
      <c r="IZ132" s="144"/>
      <c r="JA132" s="144"/>
      <c r="JB132" s="144"/>
      <c r="JC132" s="144"/>
      <c r="JD132" s="144"/>
      <c r="JE132" s="144"/>
      <c r="JF132" s="144"/>
      <c r="JG132" s="144"/>
      <c r="JH132" s="144"/>
      <c r="JI132" s="144"/>
      <c r="JJ132" s="144"/>
      <c r="JK132" s="144"/>
      <c r="JL132" s="144"/>
      <c r="JM132" s="144"/>
      <c r="JN132" s="144"/>
      <c r="JO132" s="144"/>
      <c r="JP132" s="144"/>
      <c r="JQ132" s="144"/>
      <c r="JR132" s="144"/>
      <c r="JS132" s="144"/>
      <c r="JT132" s="144"/>
      <c r="JU132" s="144"/>
      <c r="JV132" s="144"/>
      <c r="JW132" s="144"/>
      <c r="JX132" s="144"/>
      <c r="JY132" s="144"/>
      <c r="JZ132" s="144"/>
      <c r="KA132" s="144"/>
      <c r="KB132" s="144"/>
      <c r="KC132" s="144"/>
      <c r="KD132" s="144"/>
      <c r="KE132" s="144"/>
      <c r="KF132" s="144"/>
      <c r="KG132" s="144"/>
      <c r="KH132" s="144"/>
      <c r="KI132" s="144"/>
      <c r="KJ132" s="144"/>
      <c r="KK132" s="144"/>
      <c r="KL132" s="144"/>
      <c r="KM132" s="144"/>
      <c r="KN132" s="144"/>
      <c r="KO132" s="144"/>
      <c r="KP132" s="144"/>
      <c r="KQ132" s="144"/>
      <c r="KR132" s="144"/>
      <c r="KS132" s="144"/>
      <c r="KT132" s="144"/>
      <c r="KU132" s="144"/>
      <c r="KV132" s="144"/>
      <c r="KW132" s="144"/>
      <c r="KX132" s="144"/>
      <c r="KY132" s="144"/>
      <c r="KZ132" s="144"/>
      <c r="LA132" s="144"/>
      <c r="LB132" s="144"/>
      <c r="LC132" s="144"/>
      <c r="LD132" s="144"/>
      <c r="LE132" s="144"/>
      <c r="LF132" s="144"/>
      <c r="LG132" s="144"/>
      <c r="LH132" s="144"/>
      <c r="LI132" s="144"/>
      <c r="LJ132" s="144"/>
      <c r="LK132" s="144"/>
      <c r="LL132" s="144"/>
      <c r="LM132" s="144"/>
      <c r="LN132" s="144"/>
      <c r="LO132" s="144"/>
      <c r="LP132" s="144"/>
      <c r="LQ132" s="144"/>
      <c r="LR132" s="144"/>
      <c r="LS132" s="144"/>
      <c r="LT132" s="144"/>
      <c r="LU132" s="144"/>
      <c r="LV132" s="144"/>
      <c r="LW132" s="144"/>
      <c r="LX132" s="144"/>
      <c r="LY132" s="144"/>
      <c r="LZ132" s="144"/>
      <c r="MA132" s="144"/>
      <c r="MB132" s="144"/>
      <c r="MC132" s="144"/>
      <c r="MD132" s="144"/>
      <c r="ME132" s="144"/>
      <c r="MF132" s="144"/>
      <c r="MG132" s="144"/>
      <c r="MH132" s="144"/>
      <c r="MI132" s="144"/>
      <c r="MJ132" s="144"/>
      <c r="MK132" s="144"/>
      <c r="ML132" s="144"/>
      <c r="MM132" s="144"/>
      <c r="MN132" s="144"/>
      <c r="MO132" s="144"/>
      <c r="MP132" s="144"/>
      <c r="MQ132" s="144"/>
      <c r="MR132" s="144"/>
      <c r="MS132" s="144"/>
      <c r="MT132" s="144"/>
      <c r="MU132" s="144"/>
      <c r="MV132" s="144"/>
      <c r="MW132" s="144"/>
      <c r="MX132" s="144"/>
      <c r="MY132" s="144"/>
      <c r="MZ132" s="145"/>
    </row>
    <row r="133" spans="1:364" ht="15" customHeight="1" x14ac:dyDescent="0.4">
      <c r="A133" s="2">
        <v>1</v>
      </c>
      <c r="B133" s="149" t="s">
        <v>3108</v>
      </c>
      <c r="C133" s="150"/>
      <c r="D133" s="150"/>
      <c r="E133" s="150"/>
      <c r="F133" s="150"/>
      <c r="G133" s="150"/>
      <c r="H133" s="150"/>
      <c r="I133" s="150"/>
      <c r="J133" s="150"/>
      <c r="K133" s="150"/>
      <c r="L133" s="150"/>
      <c r="M133" s="150"/>
      <c r="N133" s="150"/>
      <c r="O133" s="150"/>
      <c r="P133" s="150"/>
      <c r="Q133" s="150"/>
      <c r="R133" s="150"/>
      <c r="S133" s="150"/>
      <c r="T133" s="156" t="str">
        <f>Calculations!DF8</f>
        <v>No Armour</v>
      </c>
      <c r="U133" s="156"/>
      <c r="V133" s="156"/>
      <c r="W133" s="156"/>
      <c r="X133" s="156"/>
      <c r="Y133" s="156"/>
      <c r="Z133" s="156"/>
      <c r="AA133" s="156"/>
      <c r="AB133" s="156"/>
      <c r="AC133" s="156"/>
      <c r="AD133" s="156"/>
      <c r="AE133" s="156"/>
      <c r="AF133" s="156"/>
      <c r="AG133" s="156"/>
      <c r="AH133" s="156"/>
      <c r="AI133" s="156"/>
      <c r="AJ133" s="156"/>
      <c r="AK133" s="156"/>
      <c r="AL133" s="156"/>
      <c r="AM133" s="156"/>
      <c r="AN133" s="156"/>
      <c r="AO133" s="153">
        <v>1</v>
      </c>
      <c r="AP133" s="153"/>
      <c r="AQ133" s="153"/>
      <c r="AR133" s="153"/>
      <c r="AS133" s="153"/>
      <c r="AT133" s="153"/>
      <c r="AU133" s="153"/>
      <c r="AV133" s="153"/>
      <c r="AW133" s="129" t="str">
        <f>IF(T133="No Armour","- -",IF(T133=Calculations!DF8,"- -",VLOOKUP(T133,Armour!$B$4:$AU$99,19,FALSE)*'Character Creation'!$Z$18*'Character Sheet'!$AO133))</f>
        <v>- -</v>
      </c>
      <c r="AX133" s="129"/>
      <c r="AY133" s="129"/>
      <c r="AZ133" s="129"/>
      <c r="BA133" s="129"/>
      <c r="BB133" s="129"/>
      <c r="BC133" s="129"/>
      <c r="BD133" s="129"/>
      <c r="BE133" s="129" t="str">
        <f>IF(T133="No Armour","- -",VLOOKUP(T133,Armour!$B$4:$AU$99,4,FALSE)+BU133+CC133)</f>
        <v>- -</v>
      </c>
      <c r="BF133" s="129"/>
      <c r="BG133" s="129"/>
      <c r="BH133" s="129"/>
      <c r="BI133" s="129"/>
      <c r="BJ133" s="129"/>
      <c r="BK133" s="129"/>
      <c r="BL133" s="129"/>
      <c r="BM133" s="129" t="str">
        <f>IF(T133="No Armour","- -",IF(T133="No Armour",0,VLOOKUP(T133,Armour!$B$4:$AU$99,3,FALSE)+VLOOKUP(((AO133*100)-100),Charts!$AW$2:$AX$42,2,FALSE)))</f>
        <v>- -</v>
      </c>
      <c r="BN133" s="129"/>
      <c r="BO133" s="129"/>
      <c r="BP133" s="129"/>
      <c r="BQ133" s="129"/>
      <c r="BR133" s="129"/>
      <c r="BS133" s="129"/>
      <c r="BT133" s="129"/>
      <c r="BU133" s="154" t="str">
        <f t="shared" si="30"/>
        <v>- -</v>
      </c>
      <c r="BV133" s="154"/>
      <c r="BW133" s="154"/>
      <c r="BX133" s="154"/>
      <c r="BY133" s="154"/>
      <c r="BZ133" s="154"/>
      <c r="CA133" s="154"/>
      <c r="CB133" s="154"/>
      <c r="CC133" s="154" t="str">
        <f t="shared" si="31"/>
        <v>- -</v>
      </c>
      <c r="CD133" s="154"/>
      <c r="CE133" s="154"/>
      <c r="CF133" s="154"/>
      <c r="CG133" s="154"/>
      <c r="CH133" s="154"/>
      <c r="CI133" s="154"/>
      <c r="CJ133" s="154"/>
      <c r="CK133" s="129" t="str">
        <f t="shared" si="29"/>
        <v>- -</v>
      </c>
      <c r="CL133" s="129"/>
      <c r="CM133" s="129"/>
      <c r="CN133" s="129"/>
      <c r="CO133" s="129"/>
      <c r="CP133" s="129"/>
      <c r="CQ133" s="129"/>
      <c r="CR133" s="129"/>
      <c r="CS133" s="129" t="str">
        <f t="shared" si="32"/>
        <v>- -</v>
      </c>
      <c r="CT133" s="129"/>
      <c r="CU133" s="129"/>
      <c r="CV133" s="129"/>
      <c r="CW133" s="129"/>
      <c r="CX133" s="129"/>
      <c r="CY133" s="129"/>
      <c r="CZ133" s="129"/>
      <c r="DA133" s="129" t="str">
        <f>IF(T133="No Armour","- -",ROUNDUP((VLOOKUP(T133,Armour!$B$4:$EY$99,52,FALSE)*A133),0)+(ROUNDUP(CC133/3,0)))</f>
        <v>- -</v>
      </c>
      <c r="DB133" s="129"/>
      <c r="DC133" s="129"/>
      <c r="DD133" s="129"/>
      <c r="DE133" s="129"/>
      <c r="DF133" s="129"/>
      <c r="DG133" s="129"/>
      <c r="DH133" s="129"/>
      <c r="DI133" s="155" t="s">
        <v>782</v>
      </c>
      <c r="DJ133" s="129"/>
      <c r="DK133" s="129"/>
      <c r="DL133" s="129"/>
      <c r="DM133" s="129"/>
      <c r="DN133" s="129"/>
      <c r="DO133" s="129"/>
      <c r="DP133" s="129"/>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52"/>
      <c r="FB133" s="304"/>
      <c r="FC133" s="144"/>
      <c r="FD133" s="144"/>
      <c r="FE133" s="144"/>
      <c r="FF133" s="144"/>
      <c r="FG133" s="144"/>
      <c r="FH133" s="144"/>
      <c r="FI133" s="144"/>
      <c r="FJ133" s="144"/>
      <c r="FK133" s="144"/>
      <c r="FL133" s="144"/>
      <c r="FM133" s="144"/>
      <c r="FN133" s="144"/>
      <c r="FO133" s="144"/>
      <c r="FP133" s="144"/>
      <c r="FQ133" s="144"/>
      <c r="FR133" s="144"/>
      <c r="FS133" s="144"/>
      <c r="FT133" s="144"/>
      <c r="FU133" s="144"/>
      <c r="FV133" s="144"/>
      <c r="FW133" s="144"/>
      <c r="FX133" s="144"/>
      <c r="FY133" s="144"/>
      <c r="FZ133" s="144"/>
      <c r="GA133" s="144"/>
      <c r="GB133" s="144"/>
      <c r="GC133" s="144"/>
      <c r="GD133" s="144"/>
      <c r="GE133" s="144"/>
      <c r="GF133" s="144"/>
      <c r="GG133" s="144"/>
      <c r="GH133" s="144"/>
      <c r="GI133" s="144"/>
      <c r="GJ133" s="144"/>
      <c r="GK133" s="144"/>
      <c r="GL133" s="144"/>
      <c r="GM133" s="144"/>
      <c r="GN133" s="144"/>
      <c r="GO133" s="144"/>
      <c r="GP133" s="144"/>
      <c r="GQ133" s="144"/>
      <c r="GR133" s="144"/>
      <c r="GS133" s="144"/>
      <c r="GT133" s="144"/>
      <c r="GU133" s="144"/>
      <c r="GV133" s="144"/>
      <c r="GW133" s="144"/>
      <c r="GX133" s="144"/>
      <c r="GY133" s="144"/>
      <c r="GZ133" s="144"/>
      <c r="HA133" s="144"/>
      <c r="HB133" s="144"/>
      <c r="HC133" s="144"/>
      <c r="HD133" s="144"/>
      <c r="HE133" s="144"/>
      <c r="HF133" s="144"/>
      <c r="HG133" s="144"/>
      <c r="HH133" s="144"/>
      <c r="HI133" s="144"/>
      <c r="HJ133" s="144"/>
      <c r="HK133" s="144"/>
      <c r="HL133" s="144"/>
      <c r="HM133" s="144"/>
      <c r="HN133" s="144"/>
      <c r="HO133" s="144"/>
      <c r="HP133" s="144"/>
      <c r="HQ133" s="144"/>
      <c r="HR133" s="144"/>
      <c r="HS133" s="144"/>
      <c r="HT133" s="144"/>
      <c r="HU133" s="144"/>
      <c r="HV133" s="144"/>
      <c r="HW133" s="144"/>
      <c r="HX133" s="144"/>
      <c r="HY133" s="144"/>
      <c r="HZ133" s="144"/>
      <c r="IA133" s="144"/>
      <c r="IB133" s="144"/>
      <c r="IC133" s="144"/>
      <c r="ID133" s="144"/>
      <c r="IE133" s="144"/>
      <c r="IF133" s="144"/>
      <c r="IG133" s="144"/>
      <c r="IH133" s="144"/>
      <c r="II133" s="144"/>
      <c r="IJ133" s="144"/>
      <c r="IK133" s="144"/>
      <c r="IL133" s="144"/>
      <c r="IM133" s="144"/>
      <c r="IN133" s="144"/>
      <c r="IO133" s="144"/>
      <c r="IP133" s="144"/>
      <c r="IQ133" s="144"/>
      <c r="IR133" s="144"/>
      <c r="IS133" s="144"/>
      <c r="IT133" s="144"/>
      <c r="IU133" s="144"/>
      <c r="IV133" s="144"/>
      <c r="IW133" s="144"/>
      <c r="IX133" s="144"/>
      <c r="IY133" s="144"/>
      <c r="IZ133" s="144"/>
      <c r="JA133" s="144"/>
      <c r="JB133" s="144"/>
      <c r="JC133" s="144"/>
      <c r="JD133" s="144"/>
      <c r="JE133" s="144"/>
      <c r="JF133" s="144"/>
      <c r="JG133" s="144"/>
      <c r="JH133" s="144"/>
      <c r="JI133" s="144"/>
      <c r="JJ133" s="144"/>
      <c r="JK133" s="144"/>
      <c r="JL133" s="144"/>
      <c r="JM133" s="144"/>
      <c r="JN133" s="144"/>
      <c r="JO133" s="144"/>
      <c r="JP133" s="144"/>
      <c r="JQ133" s="144"/>
      <c r="JR133" s="144"/>
      <c r="JS133" s="144"/>
      <c r="JT133" s="144"/>
      <c r="JU133" s="144"/>
      <c r="JV133" s="144"/>
      <c r="JW133" s="144"/>
      <c r="JX133" s="144"/>
      <c r="JY133" s="144"/>
      <c r="JZ133" s="144"/>
      <c r="KA133" s="144"/>
      <c r="KB133" s="144"/>
      <c r="KC133" s="144"/>
      <c r="KD133" s="144"/>
      <c r="KE133" s="144"/>
      <c r="KF133" s="144"/>
      <c r="KG133" s="144"/>
      <c r="KH133" s="144"/>
      <c r="KI133" s="144"/>
      <c r="KJ133" s="144"/>
      <c r="KK133" s="144"/>
      <c r="KL133" s="144"/>
      <c r="KM133" s="144"/>
      <c r="KN133" s="144"/>
      <c r="KO133" s="144"/>
      <c r="KP133" s="144"/>
      <c r="KQ133" s="144"/>
      <c r="KR133" s="144"/>
      <c r="KS133" s="144"/>
      <c r="KT133" s="144"/>
      <c r="KU133" s="144"/>
      <c r="KV133" s="144"/>
      <c r="KW133" s="144"/>
      <c r="KX133" s="144"/>
      <c r="KY133" s="144"/>
      <c r="KZ133" s="144"/>
      <c r="LA133" s="144"/>
      <c r="LB133" s="144"/>
      <c r="LC133" s="144"/>
      <c r="LD133" s="144"/>
      <c r="LE133" s="144"/>
      <c r="LF133" s="144"/>
      <c r="LG133" s="144"/>
      <c r="LH133" s="144"/>
      <c r="LI133" s="144"/>
      <c r="LJ133" s="144"/>
      <c r="LK133" s="144"/>
      <c r="LL133" s="144"/>
      <c r="LM133" s="144"/>
      <c r="LN133" s="144"/>
      <c r="LO133" s="144"/>
      <c r="LP133" s="144"/>
      <c r="LQ133" s="144"/>
      <c r="LR133" s="144"/>
      <c r="LS133" s="144"/>
      <c r="LT133" s="144"/>
      <c r="LU133" s="144"/>
      <c r="LV133" s="144"/>
      <c r="LW133" s="144"/>
      <c r="LX133" s="144"/>
      <c r="LY133" s="144"/>
      <c r="LZ133" s="144"/>
      <c r="MA133" s="144"/>
      <c r="MB133" s="144"/>
      <c r="MC133" s="144"/>
      <c r="MD133" s="144"/>
      <c r="ME133" s="144"/>
      <c r="MF133" s="144"/>
      <c r="MG133" s="144"/>
      <c r="MH133" s="144"/>
      <c r="MI133" s="144"/>
      <c r="MJ133" s="144"/>
      <c r="MK133" s="144"/>
      <c r="ML133" s="144"/>
      <c r="MM133" s="144"/>
      <c r="MN133" s="144"/>
      <c r="MO133" s="144"/>
      <c r="MP133" s="144"/>
      <c r="MQ133" s="144"/>
      <c r="MR133" s="144"/>
      <c r="MS133" s="144"/>
      <c r="MT133" s="144"/>
      <c r="MU133" s="144"/>
      <c r="MV133" s="144"/>
      <c r="MW133" s="144"/>
      <c r="MX133" s="144"/>
      <c r="MY133" s="144"/>
      <c r="MZ133" s="145"/>
    </row>
    <row r="134" spans="1:364" ht="15" customHeight="1" x14ac:dyDescent="0.4">
      <c r="A134" s="2">
        <v>1</v>
      </c>
      <c r="B134" s="149" t="s">
        <v>3109</v>
      </c>
      <c r="C134" s="150"/>
      <c r="D134" s="150"/>
      <c r="E134" s="150"/>
      <c r="F134" s="150"/>
      <c r="G134" s="150"/>
      <c r="H134" s="150"/>
      <c r="I134" s="150"/>
      <c r="J134" s="150"/>
      <c r="K134" s="150"/>
      <c r="L134" s="150"/>
      <c r="M134" s="150"/>
      <c r="N134" s="150"/>
      <c r="O134" s="150"/>
      <c r="P134" s="150"/>
      <c r="Q134" s="150"/>
      <c r="R134" s="150"/>
      <c r="S134" s="150"/>
      <c r="T134" s="156" t="str">
        <f>Calculations!DF9</f>
        <v>No Armour</v>
      </c>
      <c r="U134" s="156"/>
      <c r="V134" s="156"/>
      <c r="W134" s="156"/>
      <c r="X134" s="156"/>
      <c r="Y134" s="156"/>
      <c r="Z134" s="156"/>
      <c r="AA134" s="156"/>
      <c r="AB134" s="156"/>
      <c r="AC134" s="156"/>
      <c r="AD134" s="156"/>
      <c r="AE134" s="156"/>
      <c r="AF134" s="156"/>
      <c r="AG134" s="156"/>
      <c r="AH134" s="156"/>
      <c r="AI134" s="156"/>
      <c r="AJ134" s="156"/>
      <c r="AK134" s="156"/>
      <c r="AL134" s="156"/>
      <c r="AM134" s="156"/>
      <c r="AN134" s="156"/>
      <c r="AO134" s="153">
        <v>1</v>
      </c>
      <c r="AP134" s="153"/>
      <c r="AQ134" s="153"/>
      <c r="AR134" s="153"/>
      <c r="AS134" s="153"/>
      <c r="AT134" s="153"/>
      <c r="AU134" s="153"/>
      <c r="AV134" s="153"/>
      <c r="AW134" s="129" t="str">
        <f>IF(T134="No Armour","- -",IF(T134=Calculations!DF9,"- -",VLOOKUP(T134,Armour!$B$4:$AU$99,19,FALSE)*'Character Creation'!$Z$18*'Character Sheet'!$AO134))</f>
        <v>- -</v>
      </c>
      <c r="AX134" s="129"/>
      <c r="AY134" s="129"/>
      <c r="AZ134" s="129"/>
      <c r="BA134" s="129"/>
      <c r="BB134" s="129"/>
      <c r="BC134" s="129"/>
      <c r="BD134" s="129"/>
      <c r="BE134" s="129" t="str">
        <f>IF(T134="No Armour","- -",VLOOKUP(T134,Armour!$B$4:$AU$99,4,FALSE)+BU134+CC134)</f>
        <v>- -</v>
      </c>
      <c r="BF134" s="129"/>
      <c r="BG134" s="129"/>
      <c r="BH134" s="129"/>
      <c r="BI134" s="129"/>
      <c r="BJ134" s="129"/>
      <c r="BK134" s="129"/>
      <c r="BL134" s="129"/>
      <c r="BM134" s="129" t="str">
        <f>IF(T134="No Armour","- -",IF(T134="No Armour",0,VLOOKUP(T134,Armour!$B$4:$AU$99,3,FALSE)+VLOOKUP(((AO134*100)-100),Charts!$AW$2:$AX$42,2,FALSE)))</f>
        <v>- -</v>
      </c>
      <c r="BN134" s="129"/>
      <c r="BO134" s="129"/>
      <c r="BP134" s="129"/>
      <c r="BQ134" s="129"/>
      <c r="BR134" s="129"/>
      <c r="BS134" s="129"/>
      <c r="BT134" s="129"/>
      <c r="BU134" s="154" t="str">
        <f t="shared" si="30"/>
        <v>- -</v>
      </c>
      <c r="BV134" s="154"/>
      <c r="BW134" s="154"/>
      <c r="BX134" s="154"/>
      <c r="BY134" s="154"/>
      <c r="BZ134" s="154"/>
      <c r="CA134" s="154"/>
      <c r="CB134" s="154"/>
      <c r="CC134" s="154" t="str">
        <f t="shared" si="31"/>
        <v>- -</v>
      </c>
      <c r="CD134" s="154"/>
      <c r="CE134" s="154"/>
      <c r="CF134" s="154"/>
      <c r="CG134" s="154"/>
      <c r="CH134" s="154"/>
      <c r="CI134" s="154"/>
      <c r="CJ134" s="154"/>
      <c r="CK134" s="129" t="str">
        <f t="shared" si="29"/>
        <v>- -</v>
      </c>
      <c r="CL134" s="129"/>
      <c r="CM134" s="129"/>
      <c r="CN134" s="129"/>
      <c r="CO134" s="129"/>
      <c r="CP134" s="129"/>
      <c r="CQ134" s="129"/>
      <c r="CR134" s="129"/>
      <c r="CS134" s="129" t="str">
        <f t="shared" si="32"/>
        <v>- -</v>
      </c>
      <c r="CT134" s="129"/>
      <c r="CU134" s="129"/>
      <c r="CV134" s="129"/>
      <c r="CW134" s="129"/>
      <c r="CX134" s="129"/>
      <c r="CY134" s="129"/>
      <c r="CZ134" s="129"/>
      <c r="DA134" s="129" t="str">
        <f>IF(T134="No Armour","- -",ROUNDUP((VLOOKUP(T134,Armour!$B$4:$EY$99,52,FALSE)*A134),0)+(ROUNDUP(CC134/3,0)))</f>
        <v>- -</v>
      </c>
      <c r="DB134" s="129"/>
      <c r="DC134" s="129"/>
      <c r="DD134" s="129"/>
      <c r="DE134" s="129"/>
      <c r="DF134" s="129"/>
      <c r="DG134" s="129"/>
      <c r="DH134" s="129"/>
      <c r="DI134" s="155" t="s">
        <v>782</v>
      </c>
      <c r="DJ134" s="129"/>
      <c r="DK134" s="129"/>
      <c r="DL134" s="129"/>
      <c r="DM134" s="129"/>
      <c r="DN134" s="129"/>
      <c r="DO134" s="129"/>
      <c r="DP134" s="129"/>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52"/>
      <c r="FB134" s="304"/>
      <c r="FC134" s="144"/>
      <c r="FD134" s="144"/>
      <c r="FE134" s="144"/>
      <c r="FF134" s="144"/>
      <c r="FG134" s="144"/>
      <c r="FH134" s="144"/>
      <c r="FI134" s="144"/>
      <c r="FJ134" s="144"/>
      <c r="FK134" s="144"/>
      <c r="FL134" s="144"/>
      <c r="FM134" s="144"/>
      <c r="FN134" s="144"/>
      <c r="FO134" s="144"/>
      <c r="FP134" s="144"/>
      <c r="FQ134" s="144"/>
      <c r="FR134" s="144"/>
      <c r="FS134" s="144"/>
      <c r="FT134" s="144"/>
      <c r="FU134" s="144"/>
      <c r="FV134" s="144"/>
      <c r="FW134" s="144"/>
      <c r="FX134" s="144"/>
      <c r="FY134" s="144"/>
      <c r="FZ134" s="144"/>
      <c r="GA134" s="144"/>
      <c r="GB134" s="144"/>
      <c r="GC134" s="144"/>
      <c r="GD134" s="144"/>
      <c r="GE134" s="144"/>
      <c r="GF134" s="144"/>
      <c r="GG134" s="144"/>
      <c r="GH134" s="144"/>
      <c r="GI134" s="144"/>
      <c r="GJ134" s="144"/>
      <c r="GK134" s="144"/>
      <c r="GL134" s="144"/>
      <c r="GM134" s="144"/>
      <c r="GN134" s="144"/>
      <c r="GO134" s="144"/>
      <c r="GP134" s="144"/>
      <c r="GQ134" s="144"/>
      <c r="GR134" s="144"/>
      <c r="GS134" s="144"/>
      <c r="GT134" s="144"/>
      <c r="GU134" s="144"/>
      <c r="GV134" s="144"/>
      <c r="GW134" s="144"/>
      <c r="GX134" s="144"/>
      <c r="GY134" s="144"/>
      <c r="GZ134" s="144"/>
      <c r="HA134" s="144"/>
      <c r="HB134" s="144"/>
      <c r="HC134" s="144"/>
      <c r="HD134" s="144"/>
      <c r="HE134" s="144"/>
      <c r="HF134" s="144"/>
      <c r="HG134" s="144"/>
      <c r="HH134" s="144"/>
      <c r="HI134" s="144"/>
      <c r="HJ134" s="144"/>
      <c r="HK134" s="144"/>
      <c r="HL134" s="144"/>
      <c r="HM134" s="144"/>
      <c r="HN134" s="144"/>
      <c r="HO134" s="144"/>
      <c r="HP134" s="144"/>
      <c r="HQ134" s="144"/>
      <c r="HR134" s="144"/>
      <c r="HS134" s="144"/>
      <c r="HT134" s="144"/>
      <c r="HU134" s="144"/>
      <c r="HV134" s="144"/>
      <c r="HW134" s="144"/>
      <c r="HX134" s="144"/>
      <c r="HY134" s="144"/>
      <c r="HZ134" s="144"/>
      <c r="IA134" s="144"/>
      <c r="IB134" s="144"/>
      <c r="IC134" s="144"/>
      <c r="ID134" s="144"/>
      <c r="IE134" s="144"/>
      <c r="IF134" s="144"/>
      <c r="IG134" s="144"/>
      <c r="IH134" s="144"/>
      <c r="II134" s="144"/>
      <c r="IJ134" s="144"/>
      <c r="IK134" s="144"/>
      <c r="IL134" s="144"/>
      <c r="IM134" s="144"/>
      <c r="IN134" s="144"/>
      <c r="IO134" s="144"/>
      <c r="IP134" s="144"/>
      <c r="IQ134" s="144"/>
      <c r="IR134" s="144"/>
      <c r="IS134" s="144"/>
      <c r="IT134" s="144"/>
      <c r="IU134" s="144"/>
      <c r="IV134" s="144"/>
      <c r="IW134" s="144"/>
      <c r="IX134" s="144"/>
      <c r="IY134" s="144"/>
      <c r="IZ134" s="144"/>
      <c r="JA134" s="144"/>
      <c r="JB134" s="144"/>
      <c r="JC134" s="144"/>
      <c r="JD134" s="144"/>
      <c r="JE134" s="144"/>
      <c r="JF134" s="144"/>
      <c r="JG134" s="144"/>
      <c r="JH134" s="144"/>
      <c r="JI134" s="144"/>
      <c r="JJ134" s="144"/>
      <c r="JK134" s="144"/>
      <c r="JL134" s="144"/>
      <c r="JM134" s="144"/>
      <c r="JN134" s="144"/>
      <c r="JO134" s="144"/>
      <c r="JP134" s="144"/>
      <c r="JQ134" s="144"/>
      <c r="JR134" s="144"/>
      <c r="JS134" s="144"/>
      <c r="JT134" s="144"/>
      <c r="JU134" s="144"/>
      <c r="JV134" s="144"/>
      <c r="JW134" s="144"/>
      <c r="JX134" s="144"/>
      <c r="JY134" s="144"/>
      <c r="JZ134" s="144"/>
      <c r="KA134" s="144"/>
      <c r="KB134" s="144"/>
      <c r="KC134" s="144"/>
      <c r="KD134" s="144"/>
      <c r="KE134" s="144"/>
      <c r="KF134" s="144"/>
      <c r="KG134" s="144"/>
      <c r="KH134" s="144"/>
      <c r="KI134" s="144"/>
      <c r="KJ134" s="144"/>
      <c r="KK134" s="144"/>
      <c r="KL134" s="144"/>
      <c r="KM134" s="144"/>
      <c r="KN134" s="144"/>
      <c r="KO134" s="144"/>
      <c r="KP134" s="144"/>
      <c r="KQ134" s="144"/>
      <c r="KR134" s="144"/>
      <c r="KS134" s="144"/>
      <c r="KT134" s="144"/>
      <c r="KU134" s="144"/>
      <c r="KV134" s="144"/>
      <c r="KW134" s="144"/>
      <c r="KX134" s="144"/>
      <c r="KY134" s="144"/>
      <c r="KZ134" s="144"/>
      <c r="LA134" s="144"/>
      <c r="LB134" s="144"/>
      <c r="LC134" s="144"/>
      <c r="LD134" s="144"/>
      <c r="LE134" s="144"/>
      <c r="LF134" s="144"/>
      <c r="LG134" s="144"/>
      <c r="LH134" s="144"/>
      <c r="LI134" s="144"/>
      <c r="LJ134" s="144"/>
      <c r="LK134" s="144"/>
      <c r="LL134" s="144"/>
      <c r="LM134" s="144"/>
      <c r="LN134" s="144"/>
      <c r="LO134" s="144"/>
      <c r="LP134" s="144"/>
      <c r="LQ134" s="144"/>
      <c r="LR134" s="144"/>
      <c r="LS134" s="144"/>
      <c r="LT134" s="144"/>
      <c r="LU134" s="144"/>
      <c r="LV134" s="144"/>
      <c r="LW134" s="144"/>
      <c r="LX134" s="144"/>
      <c r="LY134" s="144"/>
      <c r="LZ134" s="144"/>
      <c r="MA134" s="144"/>
      <c r="MB134" s="144"/>
      <c r="MC134" s="144"/>
      <c r="MD134" s="144"/>
      <c r="ME134" s="144"/>
      <c r="MF134" s="144"/>
      <c r="MG134" s="144"/>
      <c r="MH134" s="144"/>
      <c r="MI134" s="144"/>
      <c r="MJ134" s="144"/>
      <c r="MK134" s="144"/>
      <c r="ML134" s="144"/>
      <c r="MM134" s="144"/>
      <c r="MN134" s="144"/>
      <c r="MO134" s="144"/>
      <c r="MP134" s="144"/>
      <c r="MQ134" s="144"/>
      <c r="MR134" s="144"/>
      <c r="MS134" s="144"/>
      <c r="MT134" s="144"/>
      <c r="MU134" s="144"/>
      <c r="MV134" s="144"/>
      <c r="MW134" s="144"/>
      <c r="MX134" s="144"/>
      <c r="MY134" s="144"/>
      <c r="MZ134" s="145"/>
    </row>
    <row r="135" spans="1:364" ht="15" customHeight="1" x14ac:dyDescent="0.4">
      <c r="A135" s="2">
        <v>1</v>
      </c>
      <c r="B135" s="149" t="s">
        <v>2110</v>
      </c>
      <c r="C135" s="150"/>
      <c r="D135" s="150"/>
      <c r="E135" s="150"/>
      <c r="F135" s="150"/>
      <c r="G135" s="150"/>
      <c r="H135" s="150"/>
      <c r="I135" s="150"/>
      <c r="J135" s="150"/>
      <c r="K135" s="150"/>
      <c r="L135" s="150"/>
      <c r="M135" s="150"/>
      <c r="N135" s="150"/>
      <c r="O135" s="150"/>
      <c r="P135" s="150"/>
      <c r="Q135" s="150"/>
      <c r="R135" s="150"/>
      <c r="S135" s="150"/>
      <c r="T135" s="156" t="str">
        <f>Calculations!DF10</f>
        <v>No Armour</v>
      </c>
      <c r="U135" s="156"/>
      <c r="V135" s="156"/>
      <c r="W135" s="156"/>
      <c r="X135" s="156"/>
      <c r="Y135" s="156"/>
      <c r="Z135" s="156"/>
      <c r="AA135" s="156"/>
      <c r="AB135" s="156"/>
      <c r="AC135" s="156"/>
      <c r="AD135" s="156"/>
      <c r="AE135" s="156"/>
      <c r="AF135" s="156"/>
      <c r="AG135" s="156"/>
      <c r="AH135" s="156"/>
      <c r="AI135" s="156"/>
      <c r="AJ135" s="156"/>
      <c r="AK135" s="156"/>
      <c r="AL135" s="156"/>
      <c r="AM135" s="156"/>
      <c r="AN135" s="156"/>
      <c r="AO135" s="153">
        <v>1</v>
      </c>
      <c r="AP135" s="153"/>
      <c r="AQ135" s="153"/>
      <c r="AR135" s="153"/>
      <c r="AS135" s="153"/>
      <c r="AT135" s="153"/>
      <c r="AU135" s="153"/>
      <c r="AV135" s="153"/>
      <c r="AW135" s="129" t="str">
        <f>IF(T135="No Armour","- -",IF(T135=Calculations!DF10,"- -",VLOOKUP(T135,Armour!$B$4:$AU$99,19,FALSE)*'Character Creation'!$Z$18*'Character Sheet'!$AO135))</f>
        <v>- -</v>
      </c>
      <c r="AX135" s="129"/>
      <c r="AY135" s="129"/>
      <c r="AZ135" s="129"/>
      <c r="BA135" s="129"/>
      <c r="BB135" s="129"/>
      <c r="BC135" s="129"/>
      <c r="BD135" s="129"/>
      <c r="BE135" s="129" t="str">
        <f>IF(T135="No Armour","- -",VLOOKUP(T135,Armour!$B$4:$AU$99,4,FALSE)+BU135+CC135)</f>
        <v>- -</v>
      </c>
      <c r="BF135" s="129"/>
      <c r="BG135" s="129"/>
      <c r="BH135" s="129"/>
      <c r="BI135" s="129"/>
      <c r="BJ135" s="129"/>
      <c r="BK135" s="129"/>
      <c r="BL135" s="129"/>
      <c r="BM135" s="129" t="str">
        <f>IF(T135="No Armour","- -",IF(T135="No Armour",0,VLOOKUP(T135,Armour!$B$4:$AU$99,3,FALSE)+VLOOKUP(((AO135*100)-100),Charts!$AW$2:$AX$42,2,FALSE)))</f>
        <v>- -</v>
      </c>
      <c r="BN135" s="129"/>
      <c r="BO135" s="129"/>
      <c r="BP135" s="129"/>
      <c r="BQ135" s="129"/>
      <c r="BR135" s="129"/>
      <c r="BS135" s="129"/>
      <c r="BT135" s="129"/>
      <c r="BU135" s="154" t="str">
        <f t="shared" si="30"/>
        <v>- -</v>
      </c>
      <c r="BV135" s="154"/>
      <c r="BW135" s="154"/>
      <c r="BX135" s="154"/>
      <c r="BY135" s="154"/>
      <c r="BZ135" s="154"/>
      <c r="CA135" s="154"/>
      <c r="CB135" s="154"/>
      <c r="CC135" s="154" t="str">
        <f t="shared" si="31"/>
        <v>- -</v>
      </c>
      <c r="CD135" s="154"/>
      <c r="CE135" s="154"/>
      <c r="CF135" s="154"/>
      <c r="CG135" s="154"/>
      <c r="CH135" s="154"/>
      <c r="CI135" s="154"/>
      <c r="CJ135" s="154"/>
      <c r="CK135" s="129" t="str">
        <f t="shared" si="29"/>
        <v>- -</v>
      </c>
      <c r="CL135" s="129"/>
      <c r="CM135" s="129"/>
      <c r="CN135" s="129"/>
      <c r="CO135" s="129"/>
      <c r="CP135" s="129"/>
      <c r="CQ135" s="129"/>
      <c r="CR135" s="129"/>
      <c r="CS135" s="129" t="str">
        <f t="shared" si="32"/>
        <v>- -</v>
      </c>
      <c r="CT135" s="129"/>
      <c r="CU135" s="129"/>
      <c r="CV135" s="129"/>
      <c r="CW135" s="129"/>
      <c r="CX135" s="129"/>
      <c r="CY135" s="129"/>
      <c r="CZ135" s="129"/>
      <c r="DA135" s="129" t="str">
        <f>IF(T135="No Armour","- -",ROUNDUP((VLOOKUP(T135,Armour!$B$4:$EY$99,54,FALSE)*A135),0)+(ROUNDUP(CC135/3,0)))</f>
        <v>- -</v>
      </c>
      <c r="DB135" s="129"/>
      <c r="DC135" s="129"/>
      <c r="DD135" s="129"/>
      <c r="DE135" s="129"/>
      <c r="DF135" s="129"/>
      <c r="DG135" s="129"/>
      <c r="DH135" s="129"/>
      <c r="DI135" s="155" t="s">
        <v>782</v>
      </c>
      <c r="DJ135" s="129"/>
      <c r="DK135" s="129"/>
      <c r="DL135" s="129"/>
      <c r="DM135" s="129"/>
      <c r="DN135" s="129"/>
      <c r="DO135" s="129"/>
      <c r="DP135" s="129"/>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52"/>
      <c r="FB135" s="304"/>
      <c r="FC135" s="144"/>
      <c r="FD135" s="144"/>
      <c r="FE135" s="144"/>
      <c r="FF135" s="144"/>
      <c r="FG135" s="144"/>
      <c r="FH135" s="144"/>
      <c r="FI135" s="144"/>
      <c r="FJ135" s="144"/>
      <c r="FK135" s="144"/>
      <c r="FL135" s="144"/>
      <c r="FM135" s="144"/>
      <c r="FN135" s="144"/>
      <c r="FO135" s="144"/>
      <c r="FP135" s="144"/>
      <c r="FQ135" s="144"/>
      <c r="FR135" s="144"/>
      <c r="FS135" s="144"/>
      <c r="FT135" s="144"/>
      <c r="FU135" s="144"/>
      <c r="FV135" s="144"/>
      <c r="FW135" s="144"/>
      <c r="FX135" s="144"/>
      <c r="FY135" s="144"/>
      <c r="FZ135" s="144"/>
      <c r="GA135" s="144"/>
      <c r="GB135" s="144"/>
      <c r="GC135" s="144"/>
      <c r="GD135" s="144"/>
      <c r="GE135" s="144"/>
      <c r="GF135" s="144"/>
      <c r="GG135" s="144"/>
      <c r="GH135" s="144"/>
      <c r="GI135" s="144"/>
      <c r="GJ135" s="144"/>
      <c r="GK135" s="144"/>
      <c r="GL135" s="144"/>
      <c r="GM135" s="144"/>
      <c r="GN135" s="144"/>
      <c r="GO135" s="144"/>
      <c r="GP135" s="144"/>
      <c r="GQ135" s="144"/>
      <c r="GR135" s="144"/>
      <c r="GS135" s="144"/>
      <c r="GT135" s="144"/>
      <c r="GU135" s="144"/>
      <c r="GV135" s="144"/>
      <c r="GW135" s="144"/>
      <c r="GX135" s="144"/>
      <c r="GY135" s="144"/>
      <c r="GZ135" s="144"/>
      <c r="HA135" s="144"/>
      <c r="HB135" s="144"/>
      <c r="HC135" s="144"/>
      <c r="HD135" s="144"/>
      <c r="HE135" s="144"/>
      <c r="HF135" s="144"/>
      <c r="HG135" s="144"/>
      <c r="HH135" s="144"/>
      <c r="HI135" s="144"/>
      <c r="HJ135" s="144"/>
      <c r="HK135" s="144"/>
      <c r="HL135" s="144"/>
      <c r="HM135" s="144"/>
      <c r="HN135" s="144"/>
      <c r="HO135" s="144"/>
      <c r="HP135" s="144"/>
      <c r="HQ135" s="144"/>
      <c r="HR135" s="144"/>
      <c r="HS135" s="144"/>
      <c r="HT135" s="144"/>
      <c r="HU135" s="144"/>
      <c r="HV135" s="144"/>
      <c r="HW135" s="144"/>
      <c r="HX135" s="144"/>
      <c r="HY135" s="144"/>
      <c r="HZ135" s="144"/>
      <c r="IA135" s="144"/>
      <c r="IB135" s="144"/>
      <c r="IC135" s="144"/>
      <c r="ID135" s="144"/>
      <c r="IE135" s="144"/>
      <c r="IF135" s="144"/>
      <c r="IG135" s="144"/>
      <c r="IH135" s="144"/>
      <c r="II135" s="144"/>
      <c r="IJ135" s="144"/>
      <c r="IK135" s="144"/>
      <c r="IL135" s="144"/>
      <c r="IM135" s="144"/>
      <c r="IN135" s="144"/>
      <c r="IO135" s="144"/>
      <c r="IP135" s="144"/>
      <c r="IQ135" s="144"/>
      <c r="IR135" s="144"/>
      <c r="IS135" s="144"/>
      <c r="IT135" s="144"/>
      <c r="IU135" s="144"/>
      <c r="IV135" s="144"/>
      <c r="IW135" s="144"/>
      <c r="IX135" s="144"/>
      <c r="IY135" s="144"/>
      <c r="IZ135" s="144"/>
      <c r="JA135" s="144"/>
      <c r="JB135" s="144"/>
      <c r="JC135" s="144"/>
      <c r="JD135" s="144"/>
      <c r="JE135" s="144"/>
      <c r="JF135" s="144"/>
      <c r="JG135" s="144"/>
      <c r="JH135" s="144"/>
      <c r="JI135" s="144"/>
      <c r="JJ135" s="144"/>
      <c r="JK135" s="144"/>
      <c r="JL135" s="144"/>
      <c r="JM135" s="144"/>
      <c r="JN135" s="144"/>
      <c r="JO135" s="144"/>
      <c r="JP135" s="144"/>
      <c r="JQ135" s="144"/>
      <c r="JR135" s="144"/>
      <c r="JS135" s="144"/>
      <c r="JT135" s="144"/>
      <c r="JU135" s="144"/>
      <c r="JV135" s="144"/>
      <c r="JW135" s="144"/>
      <c r="JX135" s="144"/>
      <c r="JY135" s="144"/>
      <c r="JZ135" s="144"/>
      <c r="KA135" s="144"/>
      <c r="KB135" s="144"/>
      <c r="KC135" s="144"/>
      <c r="KD135" s="144"/>
      <c r="KE135" s="144"/>
      <c r="KF135" s="144"/>
      <c r="KG135" s="144"/>
      <c r="KH135" s="144"/>
      <c r="KI135" s="144"/>
      <c r="KJ135" s="144"/>
      <c r="KK135" s="144"/>
      <c r="KL135" s="144"/>
      <c r="KM135" s="144"/>
      <c r="KN135" s="144"/>
      <c r="KO135" s="144"/>
      <c r="KP135" s="144"/>
      <c r="KQ135" s="144"/>
      <c r="KR135" s="144"/>
      <c r="KS135" s="144"/>
      <c r="KT135" s="144"/>
      <c r="KU135" s="144"/>
      <c r="KV135" s="144"/>
      <c r="KW135" s="144"/>
      <c r="KX135" s="144"/>
      <c r="KY135" s="144"/>
      <c r="KZ135" s="144"/>
      <c r="LA135" s="144"/>
      <c r="LB135" s="144"/>
      <c r="LC135" s="144"/>
      <c r="LD135" s="144"/>
      <c r="LE135" s="144"/>
      <c r="LF135" s="144"/>
      <c r="LG135" s="144"/>
      <c r="LH135" s="144"/>
      <c r="LI135" s="144"/>
      <c r="LJ135" s="144"/>
      <c r="LK135" s="144"/>
      <c r="LL135" s="144"/>
      <c r="LM135" s="144"/>
      <c r="LN135" s="144"/>
      <c r="LO135" s="144"/>
      <c r="LP135" s="144"/>
      <c r="LQ135" s="144"/>
      <c r="LR135" s="144"/>
      <c r="LS135" s="144"/>
      <c r="LT135" s="144"/>
      <c r="LU135" s="144"/>
      <c r="LV135" s="144"/>
      <c r="LW135" s="144"/>
      <c r="LX135" s="144"/>
      <c r="LY135" s="144"/>
      <c r="LZ135" s="144"/>
      <c r="MA135" s="144"/>
      <c r="MB135" s="144"/>
      <c r="MC135" s="144"/>
      <c r="MD135" s="144"/>
      <c r="ME135" s="144"/>
      <c r="MF135" s="144"/>
      <c r="MG135" s="144"/>
      <c r="MH135" s="144"/>
      <c r="MI135" s="144"/>
      <c r="MJ135" s="144"/>
      <c r="MK135" s="144"/>
      <c r="ML135" s="144"/>
      <c r="MM135" s="144"/>
      <c r="MN135" s="144"/>
      <c r="MO135" s="144"/>
      <c r="MP135" s="144"/>
      <c r="MQ135" s="144"/>
      <c r="MR135" s="144"/>
      <c r="MS135" s="144"/>
      <c r="MT135" s="144"/>
      <c r="MU135" s="144"/>
      <c r="MV135" s="144"/>
      <c r="MW135" s="144"/>
      <c r="MX135" s="144"/>
      <c r="MY135" s="144"/>
      <c r="MZ135" s="145"/>
    </row>
    <row r="136" spans="1:364" ht="15" customHeight="1" x14ac:dyDescent="0.4">
      <c r="A136" s="2">
        <v>1</v>
      </c>
      <c r="B136" s="149" t="s">
        <v>2111</v>
      </c>
      <c r="C136" s="150"/>
      <c r="D136" s="150"/>
      <c r="E136" s="150"/>
      <c r="F136" s="150"/>
      <c r="G136" s="150"/>
      <c r="H136" s="150"/>
      <c r="I136" s="150"/>
      <c r="J136" s="150"/>
      <c r="K136" s="150"/>
      <c r="L136" s="150"/>
      <c r="M136" s="150"/>
      <c r="N136" s="150"/>
      <c r="O136" s="150"/>
      <c r="P136" s="150"/>
      <c r="Q136" s="150"/>
      <c r="R136" s="150"/>
      <c r="S136" s="150"/>
      <c r="T136" s="156" t="str">
        <f>Calculations!DF11</f>
        <v>No Armour</v>
      </c>
      <c r="U136" s="156"/>
      <c r="V136" s="156"/>
      <c r="W136" s="156"/>
      <c r="X136" s="156"/>
      <c r="Y136" s="156"/>
      <c r="Z136" s="156"/>
      <c r="AA136" s="156"/>
      <c r="AB136" s="156"/>
      <c r="AC136" s="156"/>
      <c r="AD136" s="156"/>
      <c r="AE136" s="156"/>
      <c r="AF136" s="156"/>
      <c r="AG136" s="156"/>
      <c r="AH136" s="156"/>
      <c r="AI136" s="156"/>
      <c r="AJ136" s="156"/>
      <c r="AK136" s="156"/>
      <c r="AL136" s="156"/>
      <c r="AM136" s="156"/>
      <c r="AN136" s="156"/>
      <c r="AO136" s="153">
        <v>1</v>
      </c>
      <c r="AP136" s="153"/>
      <c r="AQ136" s="153"/>
      <c r="AR136" s="153"/>
      <c r="AS136" s="153"/>
      <c r="AT136" s="153"/>
      <c r="AU136" s="153"/>
      <c r="AV136" s="153"/>
      <c r="AW136" s="129" t="str">
        <f>IF(T136="No Armour","- -",IF(T136=Calculations!DF11,"- -",VLOOKUP(T136,Armour!$B$4:$AU$99,19,FALSE)*'Character Creation'!$Z$18*'Character Sheet'!$AO136))</f>
        <v>- -</v>
      </c>
      <c r="AX136" s="129"/>
      <c r="AY136" s="129"/>
      <c r="AZ136" s="129"/>
      <c r="BA136" s="129"/>
      <c r="BB136" s="129"/>
      <c r="BC136" s="129"/>
      <c r="BD136" s="129"/>
      <c r="BE136" s="129" t="str">
        <f>IF(T136="No Armour","- -",VLOOKUP(T136,Armour!$B$4:$AU$99,4,FALSE)+BU136+CC136)</f>
        <v>- -</v>
      </c>
      <c r="BF136" s="129"/>
      <c r="BG136" s="129"/>
      <c r="BH136" s="129"/>
      <c r="BI136" s="129"/>
      <c r="BJ136" s="129"/>
      <c r="BK136" s="129"/>
      <c r="BL136" s="129"/>
      <c r="BM136" s="129" t="str">
        <f>IF(T136="No Armour","- -",IF(T136="No Armour",0,VLOOKUP(T136,Armour!$B$4:$AU$99,3,FALSE)+VLOOKUP(((AO136*100)-100),Charts!$AW$2:$AX$42,2,FALSE)))</f>
        <v>- -</v>
      </c>
      <c r="BN136" s="129"/>
      <c r="BO136" s="129"/>
      <c r="BP136" s="129"/>
      <c r="BQ136" s="129"/>
      <c r="BR136" s="129"/>
      <c r="BS136" s="129"/>
      <c r="BT136" s="129"/>
      <c r="BU136" s="154" t="str">
        <f t="shared" si="30"/>
        <v>- -</v>
      </c>
      <c r="BV136" s="154"/>
      <c r="BW136" s="154"/>
      <c r="BX136" s="154"/>
      <c r="BY136" s="154"/>
      <c r="BZ136" s="154"/>
      <c r="CA136" s="154"/>
      <c r="CB136" s="154"/>
      <c r="CC136" s="154" t="str">
        <f t="shared" si="31"/>
        <v>- -</v>
      </c>
      <c r="CD136" s="154"/>
      <c r="CE136" s="154"/>
      <c r="CF136" s="154"/>
      <c r="CG136" s="154"/>
      <c r="CH136" s="154"/>
      <c r="CI136" s="154"/>
      <c r="CJ136" s="154"/>
      <c r="CK136" s="129" t="str">
        <f t="shared" si="29"/>
        <v>- -</v>
      </c>
      <c r="CL136" s="129"/>
      <c r="CM136" s="129"/>
      <c r="CN136" s="129"/>
      <c r="CO136" s="129"/>
      <c r="CP136" s="129"/>
      <c r="CQ136" s="129"/>
      <c r="CR136" s="129"/>
      <c r="CS136" s="129" t="str">
        <f t="shared" si="32"/>
        <v>- -</v>
      </c>
      <c r="CT136" s="129"/>
      <c r="CU136" s="129"/>
      <c r="CV136" s="129"/>
      <c r="CW136" s="129"/>
      <c r="CX136" s="129"/>
      <c r="CY136" s="129"/>
      <c r="CZ136" s="129"/>
      <c r="DA136" s="129" t="str">
        <f>IF(T136="No Armour","- -",ROUNDUP((VLOOKUP(T136,Armour!$B$4:$EY$99,54,FALSE)*A136),0)+(ROUNDUP(CC136/3,0)))</f>
        <v>- -</v>
      </c>
      <c r="DB136" s="129"/>
      <c r="DC136" s="129"/>
      <c r="DD136" s="129"/>
      <c r="DE136" s="129"/>
      <c r="DF136" s="129"/>
      <c r="DG136" s="129"/>
      <c r="DH136" s="129"/>
      <c r="DI136" s="155" t="s">
        <v>782</v>
      </c>
      <c r="DJ136" s="129"/>
      <c r="DK136" s="129"/>
      <c r="DL136" s="129"/>
      <c r="DM136" s="129"/>
      <c r="DN136" s="129"/>
      <c r="DO136" s="129"/>
      <c r="DP136" s="129"/>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52"/>
      <c r="FB136" s="30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c r="IV136" s="144"/>
      <c r="IW136" s="144"/>
      <c r="IX136" s="144"/>
      <c r="IY136" s="144"/>
      <c r="IZ136" s="144"/>
      <c r="JA136" s="144"/>
      <c r="JB136" s="144"/>
      <c r="JC136" s="144"/>
      <c r="JD136" s="144"/>
      <c r="JE136" s="144"/>
      <c r="JF136" s="144"/>
      <c r="JG136" s="144"/>
      <c r="JH136" s="144"/>
      <c r="JI136" s="144"/>
      <c r="JJ136" s="144"/>
      <c r="JK136" s="144"/>
      <c r="JL136" s="144"/>
      <c r="JM136" s="144"/>
      <c r="JN136" s="144"/>
      <c r="JO136" s="144"/>
      <c r="JP136" s="144"/>
      <c r="JQ136" s="144"/>
      <c r="JR136" s="144"/>
      <c r="JS136" s="144"/>
      <c r="JT136" s="144"/>
      <c r="JU136" s="144"/>
      <c r="JV136" s="144"/>
      <c r="JW136" s="144"/>
      <c r="JX136" s="144"/>
      <c r="JY136" s="144"/>
      <c r="JZ136" s="144"/>
      <c r="KA136" s="144"/>
      <c r="KB136" s="144"/>
      <c r="KC136" s="144"/>
      <c r="KD136" s="144"/>
      <c r="KE136" s="144"/>
      <c r="KF136" s="144"/>
      <c r="KG136" s="144"/>
      <c r="KH136" s="144"/>
      <c r="KI136" s="144"/>
      <c r="KJ136" s="144"/>
      <c r="KK136" s="144"/>
      <c r="KL136" s="144"/>
      <c r="KM136" s="144"/>
      <c r="KN136" s="144"/>
      <c r="KO136" s="144"/>
      <c r="KP136" s="144"/>
      <c r="KQ136" s="144"/>
      <c r="KR136" s="144"/>
      <c r="KS136" s="144"/>
      <c r="KT136" s="144"/>
      <c r="KU136" s="144"/>
      <c r="KV136" s="144"/>
      <c r="KW136" s="144"/>
      <c r="KX136" s="144"/>
      <c r="KY136" s="144"/>
      <c r="KZ136" s="144"/>
      <c r="LA136" s="144"/>
      <c r="LB136" s="144"/>
      <c r="LC136" s="144"/>
      <c r="LD136" s="144"/>
      <c r="LE136" s="144"/>
      <c r="LF136" s="144"/>
      <c r="LG136" s="144"/>
      <c r="LH136" s="144"/>
      <c r="LI136" s="144"/>
      <c r="LJ136" s="144"/>
      <c r="LK136" s="144"/>
      <c r="LL136" s="144"/>
      <c r="LM136" s="144"/>
      <c r="LN136" s="144"/>
      <c r="LO136" s="144"/>
      <c r="LP136" s="144"/>
      <c r="LQ136" s="144"/>
      <c r="LR136" s="144"/>
      <c r="LS136" s="144"/>
      <c r="LT136" s="144"/>
      <c r="LU136" s="144"/>
      <c r="LV136" s="144"/>
      <c r="LW136" s="144"/>
      <c r="LX136" s="144"/>
      <c r="LY136" s="144"/>
      <c r="LZ136" s="144"/>
      <c r="MA136" s="144"/>
      <c r="MB136" s="144"/>
      <c r="MC136" s="144"/>
      <c r="MD136" s="144"/>
      <c r="ME136" s="144"/>
      <c r="MF136" s="144"/>
      <c r="MG136" s="144"/>
      <c r="MH136" s="144"/>
      <c r="MI136" s="144"/>
      <c r="MJ136" s="144"/>
      <c r="MK136" s="144"/>
      <c r="ML136" s="144"/>
      <c r="MM136" s="144"/>
      <c r="MN136" s="144"/>
      <c r="MO136" s="144"/>
      <c r="MP136" s="144"/>
      <c r="MQ136" s="144"/>
      <c r="MR136" s="144"/>
      <c r="MS136" s="144"/>
      <c r="MT136" s="144"/>
      <c r="MU136" s="144"/>
      <c r="MV136" s="144"/>
      <c r="MW136" s="144"/>
      <c r="MX136" s="144"/>
      <c r="MY136" s="144"/>
      <c r="MZ136" s="145"/>
    </row>
    <row r="137" spans="1:364" ht="15" customHeight="1" x14ac:dyDescent="0.4">
      <c r="A137" s="2">
        <v>1</v>
      </c>
      <c r="B137" s="149" t="s">
        <v>3102</v>
      </c>
      <c r="C137" s="150"/>
      <c r="D137" s="150"/>
      <c r="E137" s="150"/>
      <c r="F137" s="150"/>
      <c r="G137" s="150"/>
      <c r="H137" s="150"/>
      <c r="I137" s="150"/>
      <c r="J137" s="150"/>
      <c r="K137" s="150"/>
      <c r="L137" s="150"/>
      <c r="M137" s="150"/>
      <c r="N137" s="150"/>
      <c r="O137" s="150"/>
      <c r="P137" s="150"/>
      <c r="Q137" s="150"/>
      <c r="R137" s="150"/>
      <c r="S137" s="150"/>
      <c r="T137" s="156" t="str">
        <f>Calculations!DF12</f>
        <v>No Armour</v>
      </c>
      <c r="U137" s="156"/>
      <c r="V137" s="156"/>
      <c r="W137" s="156"/>
      <c r="X137" s="156"/>
      <c r="Y137" s="156"/>
      <c r="Z137" s="156"/>
      <c r="AA137" s="156"/>
      <c r="AB137" s="156"/>
      <c r="AC137" s="156"/>
      <c r="AD137" s="156"/>
      <c r="AE137" s="156"/>
      <c r="AF137" s="156"/>
      <c r="AG137" s="156"/>
      <c r="AH137" s="156"/>
      <c r="AI137" s="156"/>
      <c r="AJ137" s="156"/>
      <c r="AK137" s="156"/>
      <c r="AL137" s="156"/>
      <c r="AM137" s="156"/>
      <c r="AN137" s="156"/>
      <c r="AO137" s="153">
        <v>1</v>
      </c>
      <c r="AP137" s="153"/>
      <c r="AQ137" s="153"/>
      <c r="AR137" s="153"/>
      <c r="AS137" s="153"/>
      <c r="AT137" s="153"/>
      <c r="AU137" s="153"/>
      <c r="AV137" s="153"/>
      <c r="AW137" s="129" t="str">
        <f>IF(T137="No Armour","- -",IF(T137=Calculations!DF12,"- -",VLOOKUP(T137,Armour!$B$4:$AU$99,19,FALSE)*'Character Creation'!$Z$18*'Character Sheet'!$AO137))</f>
        <v>- -</v>
      </c>
      <c r="AX137" s="129"/>
      <c r="AY137" s="129"/>
      <c r="AZ137" s="129"/>
      <c r="BA137" s="129"/>
      <c r="BB137" s="129"/>
      <c r="BC137" s="129"/>
      <c r="BD137" s="129"/>
      <c r="BE137" s="129" t="str">
        <f>IF(T137="No Armour","- -",VLOOKUP(T137,Armour!$B$4:$AU$99,4,FALSE)+BU137+CC137)</f>
        <v>- -</v>
      </c>
      <c r="BF137" s="129"/>
      <c r="BG137" s="129"/>
      <c r="BH137" s="129"/>
      <c r="BI137" s="129"/>
      <c r="BJ137" s="129"/>
      <c r="BK137" s="129"/>
      <c r="BL137" s="129"/>
      <c r="BM137" s="129" t="str">
        <f>IF(T137="No Armour","- -",IF(T137="No Armour",0,VLOOKUP(T137,Armour!$B$4:$AU$99,3,FALSE)+VLOOKUP(((AO137*100)-100),Charts!$AW$2:$AX$42,2,FALSE)))</f>
        <v>- -</v>
      </c>
      <c r="BN137" s="129"/>
      <c r="BO137" s="129"/>
      <c r="BP137" s="129"/>
      <c r="BQ137" s="129"/>
      <c r="BR137" s="129"/>
      <c r="BS137" s="129"/>
      <c r="BT137" s="129"/>
      <c r="BU137" s="154" t="str">
        <f t="shared" si="30"/>
        <v>- -</v>
      </c>
      <c r="BV137" s="154"/>
      <c r="BW137" s="154"/>
      <c r="BX137" s="154"/>
      <c r="BY137" s="154"/>
      <c r="BZ137" s="154"/>
      <c r="CA137" s="154"/>
      <c r="CB137" s="154"/>
      <c r="CC137" s="154" t="str">
        <f t="shared" si="31"/>
        <v>- -</v>
      </c>
      <c r="CD137" s="154"/>
      <c r="CE137" s="154"/>
      <c r="CF137" s="154"/>
      <c r="CG137" s="154"/>
      <c r="CH137" s="154"/>
      <c r="CI137" s="154"/>
      <c r="CJ137" s="154"/>
      <c r="CK137" s="129" t="str">
        <f t="shared" si="29"/>
        <v>- -</v>
      </c>
      <c r="CL137" s="129"/>
      <c r="CM137" s="129"/>
      <c r="CN137" s="129"/>
      <c r="CO137" s="129"/>
      <c r="CP137" s="129"/>
      <c r="CQ137" s="129"/>
      <c r="CR137" s="129"/>
      <c r="CS137" s="129" t="str">
        <f t="shared" si="32"/>
        <v>- -</v>
      </c>
      <c r="CT137" s="129"/>
      <c r="CU137" s="129"/>
      <c r="CV137" s="129"/>
      <c r="CW137" s="129"/>
      <c r="CX137" s="129"/>
      <c r="CY137" s="129"/>
      <c r="CZ137" s="129"/>
      <c r="DA137" s="129" t="str">
        <f>IF(T137="No Armour","- -",ROUNDUP((VLOOKUP(T137,Armour!$B$4:$EY$99,58,FALSE)*A137),0)+(ROUNDUP(CC137/3,0)))</f>
        <v>- -</v>
      </c>
      <c r="DB137" s="129"/>
      <c r="DC137" s="129"/>
      <c r="DD137" s="129"/>
      <c r="DE137" s="129"/>
      <c r="DF137" s="129"/>
      <c r="DG137" s="129"/>
      <c r="DH137" s="129"/>
      <c r="DI137" s="155" t="s">
        <v>782</v>
      </c>
      <c r="DJ137" s="129"/>
      <c r="DK137" s="129"/>
      <c r="DL137" s="129"/>
      <c r="DM137" s="129"/>
      <c r="DN137" s="129"/>
      <c r="DO137" s="129"/>
      <c r="DP137" s="129"/>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52"/>
      <c r="FB137" s="304"/>
      <c r="FC137" s="144"/>
      <c r="FD137" s="144"/>
      <c r="FE137" s="144"/>
      <c r="FF137" s="144"/>
      <c r="FG137" s="144"/>
      <c r="FH137" s="144"/>
      <c r="FI137" s="144"/>
      <c r="FJ137" s="144"/>
      <c r="FK137" s="144"/>
      <c r="FL137" s="144"/>
      <c r="FM137" s="144"/>
      <c r="FN137" s="144"/>
      <c r="FO137" s="144"/>
      <c r="FP137" s="144"/>
      <c r="FQ137" s="144"/>
      <c r="FR137" s="144"/>
      <c r="FS137" s="144"/>
      <c r="FT137" s="144"/>
      <c r="FU137" s="144"/>
      <c r="FV137" s="144"/>
      <c r="FW137" s="144"/>
      <c r="FX137" s="144"/>
      <c r="FY137" s="144"/>
      <c r="FZ137" s="144"/>
      <c r="GA137" s="144"/>
      <c r="GB137" s="144"/>
      <c r="GC137" s="144"/>
      <c r="GD137" s="144"/>
      <c r="GE137" s="144"/>
      <c r="GF137" s="144"/>
      <c r="GG137" s="144"/>
      <c r="GH137" s="144"/>
      <c r="GI137" s="144"/>
      <c r="GJ137" s="144"/>
      <c r="GK137" s="144"/>
      <c r="GL137" s="144"/>
      <c r="GM137" s="144"/>
      <c r="GN137" s="144"/>
      <c r="GO137" s="144"/>
      <c r="GP137" s="144"/>
      <c r="GQ137" s="144"/>
      <c r="GR137" s="144"/>
      <c r="GS137" s="144"/>
      <c r="GT137" s="144"/>
      <c r="GU137" s="144"/>
      <c r="GV137" s="144"/>
      <c r="GW137" s="144"/>
      <c r="GX137" s="144"/>
      <c r="GY137" s="144"/>
      <c r="GZ137" s="144"/>
      <c r="HA137" s="144"/>
      <c r="HB137" s="144"/>
      <c r="HC137" s="144"/>
      <c r="HD137" s="144"/>
      <c r="HE137" s="144"/>
      <c r="HF137" s="144"/>
      <c r="HG137" s="144"/>
      <c r="HH137" s="144"/>
      <c r="HI137" s="144"/>
      <c r="HJ137" s="144"/>
      <c r="HK137" s="144"/>
      <c r="HL137" s="144"/>
      <c r="HM137" s="144"/>
      <c r="HN137" s="144"/>
      <c r="HO137" s="144"/>
      <c r="HP137" s="144"/>
      <c r="HQ137" s="144"/>
      <c r="HR137" s="144"/>
      <c r="HS137" s="144"/>
      <c r="HT137" s="144"/>
      <c r="HU137" s="144"/>
      <c r="HV137" s="144"/>
      <c r="HW137" s="144"/>
      <c r="HX137" s="144"/>
      <c r="HY137" s="144"/>
      <c r="HZ137" s="144"/>
      <c r="IA137" s="144"/>
      <c r="IB137" s="144"/>
      <c r="IC137" s="144"/>
      <c r="ID137" s="144"/>
      <c r="IE137" s="144"/>
      <c r="IF137" s="144"/>
      <c r="IG137" s="144"/>
      <c r="IH137" s="144"/>
      <c r="II137" s="144"/>
      <c r="IJ137" s="144"/>
      <c r="IK137" s="144"/>
      <c r="IL137" s="144"/>
      <c r="IM137" s="144"/>
      <c r="IN137" s="144"/>
      <c r="IO137" s="144"/>
      <c r="IP137" s="144"/>
      <c r="IQ137" s="144"/>
      <c r="IR137" s="144"/>
      <c r="IS137" s="144"/>
      <c r="IT137" s="144"/>
      <c r="IU137" s="144"/>
      <c r="IV137" s="144"/>
      <c r="IW137" s="144"/>
      <c r="IX137" s="144"/>
      <c r="IY137" s="144"/>
      <c r="IZ137" s="144"/>
      <c r="JA137" s="144"/>
      <c r="JB137" s="144"/>
      <c r="JC137" s="144"/>
      <c r="JD137" s="144"/>
      <c r="JE137" s="144"/>
      <c r="JF137" s="144"/>
      <c r="JG137" s="144"/>
      <c r="JH137" s="144"/>
      <c r="JI137" s="144"/>
      <c r="JJ137" s="144"/>
      <c r="JK137" s="144"/>
      <c r="JL137" s="144"/>
      <c r="JM137" s="144"/>
      <c r="JN137" s="144"/>
      <c r="JO137" s="144"/>
      <c r="JP137" s="144"/>
      <c r="JQ137" s="144"/>
      <c r="JR137" s="144"/>
      <c r="JS137" s="144"/>
      <c r="JT137" s="144"/>
      <c r="JU137" s="144"/>
      <c r="JV137" s="144"/>
      <c r="JW137" s="144"/>
      <c r="JX137" s="144"/>
      <c r="JY137" s="144"/>
      <c r="JZ137" s="144"/>
      <c r="KA137" s="144"/>
      <c r="KB137" s="144"/>
      <c r="KC137" s="144"/>
      <c r="KD137" s="144"/>
      <c r="KE137" s="144"/>
      <c r="KF137" s="144"/>
      <c r="KG137" s="144"/>
      <c r="KH137" s="144"/>
      <c r="KI137" s="144"/>
      <c r="KJ137" s="144"/>
      <c r="KK137" s="144"/>
      <c r="KL137" s="144"/>
      <c r="KM137" s="144"/>
      <c r="KN137" s="144"/>
      <c r="KO137" s="144"/>
      <c r="KP137" s="144"/>
      <c r="KQ137" s="144"/>
      <c r="KR137" s="144"/>
      <c r="KS137" s="144"/>
      <c r="KT137" s="144"/>
      <c r="KU137" s="144"/>
      <c r="KV137" s="144"/>
      <c r="KW137" s="144"/>
      <c r="KX137" s="144"/>
      <c r="KY137" s="144"/>
      <c r="KZ137" s="144"/>
      <c r="LA137" s="144"/>
      <c r="LB137" s="144"/>
      <c r="LC137" s="144"/>
      <c r="LD137" s="144"/>
      <c r="LE137" s="144"/>
      <c r="LF137" s="144"/>
      <c r="LG137" s="144"/>
      <c r="LH137" s="144"/>
      <c r="LI137" s="144"/>
      <c r="LJ137" s="144"/>
      <c r="LK137" s="144"/>
      <c r="LL137" s="144"/>
      <c r="LM137" s="144"/>
      <c r="LN137" s="144"/>
      <c r="LO137" s="144"/>
      <c r="LP137" s="144"/>
      <c r="LQ137" s="144"/>
      <c r="LR137" s="144"/>
      <c r="LS137" s="144"/>
      <c r="LT137" s="144"/>
      <c r="LU137" s="144"/>
      <c r="LV137" s="144"/>
      <c r="LW137" s="144"/>
      <c r="LX137" s="144"/>
      <c r="LY137" s="144"/>
      <c r="LZ137" s="144"/>
      <c r="MA137" s="144"/>
      <c r="MB137" s="144"/>
      <c r="MC137" s="144"/>
      <c r="MD137" s="144"/>
      <c r="ME137" s="144"/>
      <c r="MF137" s="144"/>
      <c r="MG137" s="144"/>
      <c r="MH137" s="144"/>
      <c r="MI137" s="144"/>
      <c r="MJ137" s="144"/>
      <c r="MK137" s="144"/>
      <c r="ML137" s="144"/>
      <c r="MM137" s="144"/>
      <c r="MN137" s="144"/>
      <c r="MO137" s="144"/>
      <c r="MP137" s="144"/>
      <c r="MQ137" s="144"/>
      <c r="MR137" s="144"/>
      <c r="MS137" s="144"/>
      <c r="MT137" s="144"/>
      <c r="MU137" s="144"/>
      <c r="MV137" s="144"/>
      <c r="MW137" s="144"/>
      <c r="MX137" s="144"/>
      <c r="MY137" s="144"/>
      <c r="MZ137" s="145"/>
    </row>
    <row r="138" spans="1:364" ht="15" customHeight="1" x14ac:dyDescent="0.4">
      <c r="A138" s="2">
        <v>1</v>
      </c>
      <c r="B138" s="149" t="s">
        <v>3103</v>
      </c>
      <c r="C138" s="150"/>
      <c r="D138" s="150"/>
      <c r="E138" s="150"/>
      <c r="F138" s="150"/>
      <c r="G138" s="150"/>
      <c r="H138" s="150"/>
      <c r="I138" s="150"/>
      <c r="J138" s="150"/>
      <c r="K138" s="150"/>
      <c r="L138" s="150"/>
      <c r="M138" s="150"/>
      <c r="N138" s="150"/>
      <c r="O138" s="150"/>
      <c r="P138" s="150"/>
      <c r="Q138" s="150"/>
      <c r="R138" s="150"/>
      <c r="S138" s="150"/>
      <c r="T138" s="156" t="str">
        <f>Calculations!DF13</f>
        <v>No Armour</v>
      </c>
      <c r="U138" s="156"/>
      <c r="V138" s="156"/>
      <c r="W138" s="156"/>
      <c r="X138" s="156"/>
      <c r="Y138" s="156"/>
      <c r="Z138" s="156"/>
      <c r="AA138" s="156"/>
      <c r="AB138" s="156"/>
      <c r="AC138" s="156"/>
      <c r="AD138" s="156"/>
      <c r="AE138" s="156"/>
      <c r="AF138" s="156"/>
      <c r="AG138" s="156"/>
      <c r="AH138" s="156"/>
      <c r="AI138" s="156"/>
      <c r="AJ138" s="156"/>
      <c r="AK138" s="156"/>
      <c r="AL138" s="156"/>
      <c r="AM138" s="156"/>
      <c r="AN138" s="156"/>
      <c r="AO138" s="153">
        <v>1</v>
      </c>
      <c r="AP138" s="153"/>
      <c r="AQ138" s="153"/>
      <c r="AR138" s="153"/>
      <c r="AS138" s="153"/>
      <c r="AT138" s="153"/>
      <c r="AU138" s="153"/>
      <c r="AV138" s="153"/>
      <c r="AW138" s="129" t="str">
        <f>IF(T138="No Armour","- -",IF(T138=Calculations!DF13,"- -",VLOOKUP(T138,Armour!$B$4:$AU$99,19,FALSE)*'Character Creation'!$Z$18*'Character Sheet'!$AO138))</f>
        <v>- -</v>
      </c>
      <c r="AX138" s="129"/>
      <c r="AY138" s="129"/>
      <c r="AZ138" s="129"/>
      <c r="BA138" s="129"/>
      <c r="BB138" s="129"/>
      <c r="BC138" s="129"/>
      <c r="BD138" s="129"/>
      <c r="BE138" s="129" t="str">
        <f>IF(T138="No Armour","- -",VLOOKUP(T138,Armour!$B$4:$AU$99,4,FALSE)+BU138+CC138)</f>
        <v>- -</v>
      </c>
      <c r="BF138" s="129"/>
      <c r="BG138" s="129"/>
      <c r="BH138" s="129"/>
      <c r="BI138" s="129"/>
      <c r="BJ138" s="129"/>
      <c r="BK138" s="129"/>
      <c r="BL138" s="129"/>
      <c r="BM138" s="129" t="str">
        <f>IF(T138="No Armour","- -",IF(T138="No Armour",0,VLOOKUP(T138,Armour!$B$4:$AU$99,3,FALSE)+VLOOKUP(((AO138*100)-100),Charts!$AW$2:$AX$42,2,FALSE)))</f>
        <v>- -</v>
      </c>
      <c r="BN138" s="129"/>
      <c r="BO138" s="129"/>
      <c r="BP138" s="129"/>
      <c r="BQ138" s="129"/>
      <c r="BR138" s="129"/>
      <c r="BS138" s="129"/>
      <c r="BT138" s="129"/>
      <c r="BU138" s="154" t="str">
        <f t="shared" si="30"/>
        <v>- -</v>
      </c>
      <c r="BV138" s="154"/>
      <c r="BW138" s="154"/>
      <c r="BX138" s="154"/>
      <c r="BY138" s="154"/>
      <c r="BZ138" s="154"/>
      <c r="CA138" s="154"/>
      <c r="CB138" s="154"/>
      <c r="CC138" s="154" t="str">
        <f t="shared" si="31"/>
        <v>- -</v>
      </c>
      <c r="CD138" s="154"/>
      <c r="CE138" s="154"/>
      <c r="CF138" s="154"/>
      <c r="CG138" s="154"/>
      <c r="CH138" s="154"/>
      <c r="CI138" s="154"/>
      <c r="CJ138" s="154"/>
      <c r="CK138" s="129" t="str">
        <f t="shared" si="29"/>
        <v>- -</v>
      </c>
      <c r="CL138" s="129"/>
      <c r="CM138" s="129"/>
      <c r="CN138" s="129"/>
      <c r="CO138" s="129"/>
      <c r="CP138" s="129"/>
      <c r="CQ138" s="129"/>
      <c r="CR138" s="129"/>
      <c r="CS138" s="129" t="str">
        <f t="shared" si="32"/>
        <v>- -</v>
      </c>
      <c r="CT138" s="129"/>
      <c r="CU138" s="129"/>
      <c r="CV138" s="129"/>
      <c r="CW138" s="129"/>
      <c r="CX138" s="129"/>
      <c r="CY138" s="129"/>
      <c r="CZ138" s="129"/>
      <c r="DA138" s="129" t="str">
        <f>IF(T138="No Armour","- -",ROUNDUP((VLOOKUP(T138,Armour!$B$4:$EY$99,58,FALSE)*A138),0)+(ROUNDUP(CC138/3,0)))</f>
        <v>- -</v>
      </c>
      <c r="DB138" s="129"/>
      <c r="DC138" s="129"/>
      <c r="DD138" s="129"/>
      <c r="DE138" s="129"/>
      <c r="DF138" s="129"/>
      <c r="DG138" s="129"/>
      <c r="DH138" s="129"/>
      <c r="DI138" s="155" t="s">
        <v>782</v>
      </c>
      <c r="DJ138" s="129"/>
      <c r="DK138" s="129"/>
      <c r="DL138" s="129"/>
      <c r="DM138" s="129"/>
      <c r="DN138" s="129"/>
      <c r="DO138" s="129"/>
      <c r="DP138" s="129"/>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52"/>
      <c r="FB138" s="303"/>
      <c r="FC138" s="179"/>
      <c r="FD138" s="179"/>
      <c r="FE138" s="179"/>
      <c r="FF138" s="179"/>
      <c r="FG138" s="179"/>
      <c r="FH138" s="179"/>
      <c r="FI138" s="179"/>
      <c r="FJ138" s="179"/>
      <c r="FK138" s="179"/>
      <c r="FL138" s="179"/>
      <c r="FM138" s="179"/>
      <c r="FN138" s="179"/>
      <c r="FO138" s="179"/>
      <c r="FP138" s="179"/>
      <c r="FQ138" s="179"/>
      <c r="FR138" s="179"/>
      <c r="FS138" s="179"/>
      <c r="FT138" s="179"/>
      <c r="FU138" s="179"/>
      <c r="FV138" s="179"/>
      <c r="FW138" s="179"/>
      <c r="FX138" s="179"/>
      <c r="FY138" s="179"/>
      <c r="FZ138" s="179"/>
      <c r="GA138" s="179"/>
      <c r="GB138" s="179"/>
      <c r="GC138" s="179"/>
      <c r="GD138" s="179"/>
      <c r="GE138" s="179"/>
      <c r="GF138" s="179"/>
      <c r="GG138" s="179"/>
      <c r="GH138" s="179"/>
      <c r="GI138" s="179"/>
      <c r="GJ138" s="179"/>
      <c r="GK138" s="179"/>
      <c r="GL138" s="179"/>
      <c r="GM138" s="179"/>
      <c r="GN138" s="179"/>
      <c r="GO138" s="179"/>
      <c r="GP138" s="179"/>
      <c r="GQ138" s="179"/>
      <c r="GR138" s="179"/>
      <c r="GS138" s="179"/>
      <c r="GT138" s="179"/>
      <c r="GU138" s="179"/>
      <c r="GV138" s="179"/>
      <c r="GW138" s="179"/>
      <c r="GX138" s="179"/>
      <c r="GY138" s="179"/>
      <c r="GZ138" s="179"/>
      <c r="HA138" s="179"/>
      <c r="HB138" s="179"/>
      <c r="HC138" s="179"/>
      <c r="HD138" s="179"/>
      <c r="HE138" s="179"/>
      <c r="HF138" s="179"/>
      <c r="HG138" s="179"/>
      <c r="HH138" s="179"/>
      <c r="HI138" s="179"/>
      <c r="HJ138" s="179"/>
      <c r="HK138" s="179"/>
      <c r="HL138" s="179"/>
      <c r="HM138" s="179"/>
      <c r="HN138" s="179"/>
      <c r="HO138" s="179"/>
      <c r="HP138" s="179"/>
      <c r="HQ138" s="179"/>
      <c r="HR138" s="179"/>
      <c r="HS138" s="179"/>
      <c r="HT138" s="179"/>
      <c r="HU138" s="179"/>
      <c r="HV138" s="179"/>
      <c r="HW138" s="179"/>
      <c r="HX138" s="179"/>
      <c r="HY138" s="179"/>
      <c r="HZ138" s="179"/>
      <c r="IA138" s="179"/>
      <c r="IB138" s="179"/>
      <c r="IC138" s="179"/>
      <c r="ID138" s="179"/>
      <c r="IE138" s="179"/>
      <c r="IF138" s="179"/>
      <c r="IG138" s="179"/>
      <c r="IH138" s="179"/>
      <c r="II138" s="179"/>
      <c r="IJ138" s="179"/>
      <c r="IK138" s="179"/>
      <c r="IL138" s="179"/>
      <c r="IM138" s="179"/>
      <c r="IN138" s="179"/>
      <c r="IO138" s="179"/>
      <c r="IP138" s="179"/>
      <c r="IQ138" s="179"/>
      <c r="IR138" s="179"/>
      <c r="IS138" s="179"/>
      <c r="IT138" s="179"/>
      <c r="IU138" s="179"/>
      <c r="IV138" s="179"/>
      <c r="IW138" s="179"/>
      <c r="IX138" s="179"/>
      <c r="IY138" s="179"/>
      <c r="IZ138" s="179"/>
      <c r="JA138" s="179"/>
      <c r="JB138" s="179"/>
      <c r="JC138" s="179"/>
      <c r="JD138" s="179"/>
      <c r="JE138" s="179"/>
      <c r="JF138" s="179"/>
      <c r="JG138" s="179"/>
      <c r="JH138" s="179"/>
      <c r="JI138" s="179"/>
      <c r="JJ138" s="179"/>
      <c r="JK138" s="179"/>
      <c r="JL138" s="179"/>
      <c r="JM138" s="179"/>
      <c r="JN138" s="179"/>
      <c r="JO138" s="179"/>
      <c r="JP138" s="179"/>
      <c r="JQ138" s="179"/>
      <c r="JR138" s="179"/>
      <c r="JS138" s="179"/>
      <c r="JT138" s="179"/>
      <c r="JU138" s="179"/>
      <c r="JV138" s="179"/>
      <c r="JW138" s="179"/>
      <c r="JX138" s="179"/>
      <c r="JY138" s="179"/>
      <c r="JZ138" s="179"/>
      <c r="KA138" s="179"/>
      <c r="KB138" s="179"/>
      <c r="KC138" s="179"/>
      <c r="KD138" s="179"/>
      <c r="KE138" s="179"/>
      <c r="KF138" s="179"/>
      <c r="KG138" s="179"/>
      <c r="KH138" s="179"/>
      <c r="KI138" s="179"/>
      <c r="KJ138" s="179"/>
      <c r="KK138" s="179"/>
      <c r="KL138" s="179"/>
      <c r="KM138" s="179"/>
      <c r="KN138" s="179"/>
      <c r="KO138" s="179"/>
      <c r="KP138" s="179"/>
      <c r="KQ138" s="179"/>
      <c r="KR138" s="179"/>
      <c r="KS138" s="179"/>
      <c r="KT138" s="179"/>
      <c r="KU138" s="179"/>
      <c r="KV138" s="179"/>
      <c r="KW138" s="179"/>
      <c r="KX138" s="179"/>
      <c r="KY138" s="179"/>
      <c r="KZ138" s="179"/>
      <c r="LA138" s="179"/>
      <c r="LB138" s="179"/>
      <c r="LC138" s="179"/>
      <c r="LD138" s="179"/>
      <c r="LE138" s="179"/>
      <c r="LF138" s="179"/>
      <c r="LG138" s="179"/>
      <c r="LH138" s="179"/>
      <c r="LI138" s="179"/>
      <c r="LJ138" s="179"/>
      <c r="LK138" s="179"/>
      <c r="LL138" s="179"/>
      <c r="LM138" s="179"/>
      <c r="LN138" s="179"/>
      <c r="LO138" s="179"/>
      <c r="LP138" s="179"/>
      <c r="LQ138" s="179"/>
      <c r="LR138" s="179"/>
      <c r="LS138" s="179"/>
      <c r="LT138" s="179"/>
      <c r="LU138" s="179"/>
      <c r="LV138" s="179"/>
      <c r="LW138" s="179"/>
      <c r="LX138" s="179"/>
      <c r="LY138" s="179"/>
      <c r="LZ138" s="179"/>
      <c r="MA138" s="179"/>
      <c r="MB138" s="179"/>
      <c r="MC138" s="179"/>
      <c r="MD138" s="179"/>
      <c r="ME138" s="179"/>
      <c r="MF138" s="179"/>
      <c r="MG138" s="179"/>
      <c r="MH138" s="179"/>
      <c r="MI138" s="179"/>
      <c r="MJ138" s="179"/>
      <c r="MK138" s="179"/>
      <c r="ML138" s="179"/>
      <c r="MM138" s="179"/>
      <c r="MN138" s="179"/>
      <c r="MO138" s="179"/>
      <c r="MP138" s="179"/>
      <c r="MQ138" s="179"/>
      <c r="MR138" s="179"/>
      <c r="MS138" s="179"/>
      <c r="MT138" s="179"/>
      <c r="MU138" s="179"/>
      <c r="MV138" s="179"/>
      <c r="MW138" s="179"/>
      <c r="MX138" s="179"/>
      <c r="MY138" s="179"/>
      <c r="MZ138" s="180"/>
    </row>
    <row r="139" spans="1:364" ht="15" customHeight="1" x14ac:dyDescent="0.4">
      <c r="A139" s="2">
        <v>1</v>
      </c>
      <c r="B139" s="149" t="s">
        <v>3104</v>
      </c>
      <c r="C139" s="150"/>
      <c r="D139" s="150"/>
      <c r="E139" s="150"/>
      <c r="F139" s="150"/>
      <c r="G139" s="150"/>
      <c r="H139" s="150"/>
      <c r="I139" s="150"/>
      <c r="J139" s="150"/>
      <c r="K139" s="150"/>
      <c r="L139" s="150"/>
      <c r="M139" s="150"/>
      <c r="N139" s="150"/>
      <c r="O139" s="150"/>
      <c r="P139" s="150"/>
      <c r="Q139" s="150"/>
      <c r="R139" s="150"/>
      <c r="S139" s="150"/>
      <c r="T139" s="156" t="str">
        <f>Calculations!DF14</f>
        <v>No Armour</v>
      </c>
      <c r="U139" s="156"/>
      <c r="V139" s="156"/>
      <c r="W139" s="156"/>
      <c r="X139" s="156"/>
      <c r="Y139" s="156"/>
      <c r="Z139" s="156"/>
      <c r="AA139" s="156"/>
      <c r="AB139" s="156"/>
      <c r="AC139" s="156"/>
      <c r="AD139" s="156"/>
      <c r="AE139" s="156"/>
      <c r="AF139" s="156"/>
      <c r="AG139" s="156"/>
      <c r="AH139" s="156"/>
      <c r="AI139" s="156"/>
      <c r="AJ139" s="156"/>
      <c r="AK139" s="156"/>
      <c r="AL139" s="156"/>
      <c r="AM139" s="156"/>
      <c r="AN139" s="156"/>
      <c r="AO139" s="153">
        <v>1</v>
      </c>
      <c r="AP139" s="153"/>
      <c r="AQ139" s="153"/>
      <c r="AR139" s="153"/>
      <c r="AS139" s="153"/>
      <c r="AT139" s="153"/>
      <c r="AU139" s="153"/>
      <c r="AV139" s="153"/>
      <c r="AW139" s="129" t="str">
        <f>IF(T139="No Armour","- -",IF(T139=Calculations!DF14,"- -",VLOOKUP(T139,Armour!$B$4:$AU$99,19,FALSE)*'Character Creation'!$Z$18*'Character Sheet'!$AO139))</f>
        <v>- -</v>
      </c>
      <c r="AX139" s="129"/>
      <c r="AY139" s="129"/>
      <c r="AZ139" s="129"/>
      <c r="BA139" s="129"/>
      <c r="BB139" s="129"/>
      <c r="BC139" s="129"/>
      <c r="BD139" s="129"/>
      <c r="BE139" s="129" t="str">
        <f>IF(T139="No Armour","- -",VLOOKUP(T139,Armour!$B$4:$AU$99,4,FALSE)+BU139+CC139)</f>
        <v>- -</v>
      </c>
      <c r="BF139" s="129"/>
      <c r="BG139" s="129"/>
      <c r="BH139" s="129"/>
      <c r="BI139" s="129"/>
      <c r="BJ139" s="129"/>
      <c r="BK139" s="129"/>
      <c r="BL139" s="129"/>
      <c r="BM139" s="129" t="str">
        <f>IF(T139="No Armour","- -",IF(T139="No Armour",0,VLOOKUP(T139,Armour!$B$4:$AU$99,3,FALSE)+VLOOKUP(((AO139*100)-100),Charts!$AW$2:$AX$42,2,FALSE)))</f>
        <v>- -</v>
      </c>
      <c r="BN139" s="129"/>
      <c r="BO139" s="129"/>
      <c r="BP139" s="129"/>
      <c r="BQ139" s="129"/>
      <c r="BR139" s="129"/>
      <c r="BS139" s="129"/>
      <c r="BT139" s="129"/>
      <c r="BU139" s="154" t="str">
        <f t="shared" si="30"/>
        <v>- -</v>
      </c>
      <c r="BV139" s="154"/>
      <c r="BW139" s="154"/>
      <c r="BX139" s="154"/>
      <c r="BY139" s="154"/>
      <c r="BZ139" s="154"/>
      <c r="CA139" s="154"/>
      <c r="CB139" s="154"/>
      <c r="CC139" s="154" t="str">
        <f t="shared" si="31"/>
        <v>- -</v>
      </c>
      <c r="CD139" s="154"/>
      <c r="CE139" s="154"/>
      <c r="CF139" s="154"/>
      <c r="CG139" s="154"/>
      <c r="CH139" s="154"/>
      <c r="CI139" s="154"/>
      <c r="CJ139" s="154"/>
      <c r="CK139" s="129" t="str">
        <f t="shared" si="29"/>
        <v>- -</v>
      </c>
      <c r="CL139" s="129"/>
      <c r="CM139" s="129"/>
      <c r="CN139" s="129"/>
      <c r="CO139" s="129"/>
      <c r="CP139" s="129"/>
      <c r="CQ139" s="129"/>
      <c r="CR139" s="129"/>
      <c r="CS139" s="129" t="str">
        <f t="shared" si="32"/>
        <v>- -</v>
      </c>
      <c r="CT139" s="129"/>
      <c r="CU139" s="129"/>
      <c r="CV139" s="129"/>
      <c r="CW139" s="129"/>
      <c r="CX139" s="129"/>
      <c r="CY139" s="129"/>
      <c r="CZ139" s="129"/>
      <c r="DA139" s="129" t="str">
        <f>IF(T139="No Armour","- -",ROUNDUP((VLOOKUP(T139,Armour!$B$4:$EY$99,59,FALSE)*A139),0)+(ROUNDUP(CC139/3,0)))</f>
        <v>- -</v>
      </c>
      <c r="DB139" s="129"/>
      <c r="DC139" s="129"/>
      <c r="DD139" s="129"/>
      <c r="DE139" s="129"/>
      <c r="DF139" s="129"/>
      <c r="DG139" s="129"/>
      <c r="DH139" s="129"/>
      <c r="DI139" s="155" t="s">
        <v>782</v>
      </c>
      <c r="DJ139" s="129"/>
      <c r="DK139" s="129"/>
      <c r="DL139" s="129"/>
      <c r="DM139" s="129"/>
      <c r="DN139" s="129"/>
      <c r="DO139" s="129"/>
      <c r="DP139" s="129"/>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52"/>
    </row>
    <row r="140" spans="1:364" ht="15" customHeight="1" x14ac:dyDescent="0.4">
      <c r="A140" s="2">
        <v>1</v>
      </c>
      <c r="B140" s="149" t="s">
        <v>3105</v>
      </c>
      <c r="C140" s="150"/>
      <c r="D140" s="150"/>
      <c r="E140" s="150"/>
      <c r="F140" s="150"/>
      <c r="G140" s="150"/>
      <c r="H140" s="150"/>
      <c r="I140" s="150"/>
      <c r="J140" s="150"/>
      <c r="K140" s="150"/>
      <c r="L140" s="150"/>
      <c r="M140" s="150"/>
      <c r="N140" s="150"/>
      <c r="O140" s="150"/>
      <c r="P140" s="150"/>
      <c r="Q140" s="150"/>
      <c r="R140" s="150"/>
      <c r="S140" s="150"/>
      <c r="T140" s="156" t="str">
        <f>Calculations!DF15</f>
        <v>No Armour</v>
      </c>
      <c r="U140" s="156"/>
      <c r="V140" s="156"/>
      <c r="W140" s="156"/>
      <c r="X140" s="156"/>
      <c r="Y140" s="156"/>
      <c r="Z140" s="156"/>
      <c r="AA140" s="156"/>
      <c r="AB140" s="156"/>
      <c r="AC140" s="156"/>
      <c r="AD140" s="156"/>
      <c r="AE140" s="156"/>
      <c r="AF140" s="156"/>
      <c r="AG140" s="156"/>
      <c r="AH140" s="156"/>
      <c r="AI140" s="156"/>
      <c r="AJ140" s="156"/>
      <c r="AK140" s="156"/>
      <c r="AL140" s="156"/>
      <c r="AM140" s="156"/>
      <c r="AN140" s="156"/>
      <c r="AO140" s="153">
        <v>1</v>
      </c>
      <c r="AP140" s="153"/>
      <c r="AQ140" s="153"/>
      <c r="AR140" s="153"/>
      <c r="AS140" s="153"/>
      <c r="AT140" s="153"/>
      <c r="AU140" s="153"/>
      <c r="AV140" s="153"/>
      <c r="AW140" s="129" t="str">
        <f>IF(T140="No Armour","- -",IF(T140=Calculations!DF15,"- -",VLOOKUP(T140,Armour!$B$4:$AU$99,19,FALSE)*'Character Creation'!$Z$18*'Character Sheet'!$AO140))</f>
        <v>- -</v>
      </c>
      <c r="AX140" s="129"/>
      <c r="AY140" s="129"/>
      <c r="AZ140" s="129"/>
      <c r="BA140" s="129"/>
      <c r="BB140" s="129"/>
      <c r="BC140" s="129"/>
      <c r="BD140" s="129"/>
      <c r="BE140" s="129" t="str">
        <f>IF(T140="No Armour","- -",VLOOKUP(T140,Armour!$B$4:$AU$99,4,FALSE)+BU140+CC140)</f>
        <v>- -</v>
      </c>
      <c r="BF140" s="129"/>
      <c r="BG140" s="129"/>
      <c r="BH140" s="129"/>
      <c r="BI140" s="129"/>
      <c r="BJ140" s="129"/>
      <c r="BK140" s="129"/>
      <c r="BL140" s="129"/>
      <c r="BM140" s="129" t="str">
        <f>IF(T140="No Armour","- -",IF(T140="No Armour",0,VLOOKUP(T140,Armour!$B$4:$AU$99,3,FALSE)+VLOOKUP(((AO140*100)-100),Charts!$AW$2:$AX$42,2,FALSE)))</f>
        <v>- -</v>
      </c>
      <c r="BN140" s="129"/>
      <c r="BO140" s="129"/>
      <c r="BP140" s="129"/>
      <c r="BQ140" s="129"/>
      <c r="BR140" s="129"/>
      <c r="BS140" s="129"/>
      <c r="BT140" s="129"/>
      <c r="BU140" s="154" t="str">
        <f t="shared" si="30"/>
        <v>- -</v>
      </c>
      <c r="BV140" s="154"/>
      <c r="BW140" s="154"/>
      <c r="BX140" s="154"/>
      <c r="BY140" s="154"/>
      <c r="BZ140" s="154"/>
      <c r="CA140" s="154"/>
      <c r="CB140" s="154"/>
      <c r="CC140" s="154" t="str">
        <f t="shared" si="31"/>
        <v>- -</v>
      </c>
      <c r="CD140" s="154"/>
      <c r="CE140" s="154"/>
      <c r="CF140" s="154"/>
      <c r="CG140" s="154"/>
      <c r="CH140" s="154"/>
      <c r="CI140" s="154"/>
      <c r="CJ140" s="154"/>
      <c r="CK140" s="129" t="str">
        <f t="shared" si="29"/>
        <v>- -</v>
      </c>
      <c r="CL140" s="129"/>
      <c r="CM140" s="129"/>
      <c r="CN140" s="129"/>
      <c r="CO140" s="129"/>
      <c r="CP140" s="129"/>
      <c r="CQ140" s="129"/>
      <c r="CR140" s="129"/>
      <c r="CS140" s="129" t="str">
        <f t="shared" si="32"/>
        <v>- -</v>
      </c>
      <c r="CT140" s="129"/>
      <c r="CU140" s="129"/>
      <c r="CV140" s="129"/>
      <c r="CW140" s="129"/>
      <c r="CX140" s="129"/>
      <c r="CY140" s="129"/>
      <c r="CZ140" s="129"/>
      <c r="DA140" s="129" t="str">
        <f>IF(T140="No Armour","- -",ROUNDUP((VLOOKUP(T140,Armour!$B$4:$EY$99,59,FALSE)*A140),0)+(ROUNDUP(CC140/3,0)))</f>
        <v>- -</v>
      </c>
      <c r="DB140" s="129"/>
      <c r="DC140" s="129"/>
      <c r="DD140" s="129"/>
      <c r="DE140" s="129"/>
      <c r="DF140" s="129"/>
      <c r="DG140" s="129"/>
      <c r="DH140" s="129"/>
      <c r="DI140" s="155" t="s">
        <v>782</v>
      </c>
      <c r="DJ140" s="129"/>
      <c r="DK140" s="129"/>
      <c r="DL140" s="129"/>
      <c r="DM140" s="129"/>
      <c r="DN140" s="129"/>
      <c r="DO140" s="129"/>
      <c r="DP140" s="129"/>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52"/>
      <c r="FB140" s="305" t="s">
        <v>144</v>
      </c>
      <c r="FC140" s="305"/>
      <c r="FD140" s="305"/>
      <c r="FE140" s="305"/>
      <c r="FF140" s="305"/>
      <c r="FG140" s="305"/>
      <c r="FH140" s="305"/>
      <c r="FI140" s="305"/>
      <c r="FJ140" s="305"/>
      <c r="FK140" s="305"/>
      <c r="FL140" s="305"/>
      <c r="FM140" s="305"/>
      <c r="FN140" s="305"/>
      <c r="FO140" s="305"/>
      <c r="FP140" s="305"/>
      <c r="FQ140" s="305"/>
      <c r="FR140" s="305"/>
      <c r="FS140" s="305"/>
      <c r="FT140" s="305"/>
      <c r="FU140" s="305"/>
      <c r="FV140" s="305"/>
      <c r="FW140" s="305"/>
      <c r="FX140" s="305"/>
      <c r="FY140" s="305"/>
      <c r="FZ140" s="305"/>
      <c r="GA140" s="305"/>
      <c r="GB140" s="305"/>
      <c r="GC140" s="305"/>
      <c r="GD140" s="305"/>
      <c r="GE140" s="305"/>
      <c r="GF140" s="305"/>
      <c r="GG140" s="305"/>
      <c r="GH140" s="305"/>
      <c r="GI140" s="305"/>
      <c r="GJ140" s="305"/>
      <c r="GK140" s="305"/>
      <c r="GL140" s="305"/>
      <c r="GM140" s="305"/>
      <c r="GN140" s="305"/>
      <c r="GO140" s="305"/>
      <c r="GP140" s="305"/>
      <c r="GQ140" s="305"/>
      <c r="GR140" s="305"/>
      <c r="GS140" s="305"/>
      <c r="GT140" s="305"/>
      <c r="GU140" s="305"/>
      <c r="GV140" s="305"/>
      <c r="GW140" s="305"/>
      <c r="GX140" s="305"/>
      <c r="GY140" s="305"/>
      <c r="GZ140" s="305"/>
      <c r="HA140" s="305"/>
      <c r="HB140" s="305"/>
      <c r="HC140" s="305"/>
      <c r="HD140" s="305"/>
      <c r="HE140" s="305"/>
      <c r="HF140" s="305"/>
      <c r="HG140" s="305"/>
      <c r="HH140" s="305"/>
      <c r="HI140" s="305"/>
      <c r="HJ140" s="305"/>
      <c r="HK140" s="305"/>
      <c r="HL140" s="305"/>
      <c r="HM140" s="305"/>
      <c r="HN140" s="305"/>
      <c r="HO140" s="305"/>
      <c r="HP140" s="305"/>
      <c r="HQ140" s="305"/>
      <c r="HR140" s="305"/>
      <c r="HS140" s="305"/>
      <c r="HT140" s="305"/>
      <c r="HU140" s="305"/>
      <c r="HV140" s="305"/>
      <c r="HW140" s="305"/>
      <c r="HX140" s="305"/>
      <c r="HY140" s="305"/>
      <c r="HZ140" s="305"/>
      <c r="IA140" s="305"/>
      <c r="IB140" s="305"/>
      <c r="IC140" s="305"/>
      <c r="ID140" s="305"/>
      <c r="IE140" s="305"/>
      <c r="IF140" s="305"/>
      <c r="IG140" s="305"/>
      <c r="IH140" s="305"/>
      <c r="II140" s="305"/>
      <c r="IJ140" s="305"/>
      <c r="IK140" s="305"/>
      <c r="IL140" s="305"/>
      <c r="IM140" s="305"/>
      <c r="IN140" s="305"/>
      <c r="IO140" s="305"/>
      <c r="IP140" s="305"/>
      <c r="IQ140" s="305"/>
      <c r="IR140" s="305"/>
      <c r="IS140" s="305"/>
      <c r="IT140" s="305"/>
      <c r="IU140" s="305"/>
      <c r="IV140" s="305"/>
      <c r="IW140" s="305"/>
      <c r="IX140" s="305"/>
      <c r="IY140" s="305"/>
      <c r="IZ140" s="305"/>
      <c r="JA140" s="305"/>
      <c r="JB140" s="305"/>
      <c r="JC140" s="305"/>
      <c r="JD140" s="305"/>
      <c r="JE140" s="305"/>
      <c r="JF140" s="305"/>
      <c r="JG140" s="305"/>
      <c r="JH140" s="305"/>
      <c r="JI140" s="305"/>
      <c r="JJ140" s="305"/>
      <c r="JK140" s="305"/>
      <c r="JL140" s="305"/>
      <c r="JM140" s="305"/>
      <c r="JN140" s="305"/>
      <c r="JO140" s="305"/>
      <c r="JP140" s="305"/>
      <c r="JQ140" s="305"/>
      <c r="JR140" s="305"/>
      <c r="JS140" s="305"/>
      <c r="JT140" s="305"/>
      <c r="JU140" s="305"/>
      <c r="JV140" s="305"/>
      <c r="JW140" s="305"/>
      <c r="JX140" s="305"/>
      <c r="JY140" s="305"/>
      <c r="JZ140" s="305"/>
      <c r="KA140" s="305"/>
      <c r="KB140" s="305"/>
      <c r="KC140" s="305"/>
      <c r="KD140" s="305"/>
      <c r="KE140" s="305"/>
      <c r="KF140" s="305"/>
      <c r="KG140" s="305"/>
      <c r="KH140" s="305"/>
      <c r="KI140" s="305"/>
      <c r="KJ140" s="305"/>
      <c r="KK140" s="305"/>
      <c r="KL140" s="305"/>
      <c r="KM140" s="305"/>
      <c r="KN140" s="305"/>
      <c r="KO140" s="305"/>
      <c r="KP140" s="305"/>
      <c r="KQ140" s="305"/>
      <c r="KR140" s="305"/>
      <c r="KS140" s="305"/>
      <c r="KT140" s="305"/>
      <c r="KU140" s="305"/>
      <c r="KV140" s="305"/>
      <c r="KW140" s="305"/>
      <c r="KX140" s="305"/>
      <c r="KY140" s="305"/>
      <c r="KZ140" s="305"/>
      <c r="LA140" s="305"/>
      <c r="LB140" s="305"/>
      <c r="LC140" s="305"/>
      <c r="LD140" s="305"/>
      <c r="LE140" s="305"/>
      <c r="LF140" s="305"/>
      <c r="LG140" s="305"/>
      <c r="LH140" s="305"/>
      <c r="LI140" s="305"/>
      <c r="LJ140" s="305"/>
      <c r="LK140" s="305"/>
      <c r="LL140" s="305"/>
      <c r="LM140" s="305"/>
      <c r="LN140" s="305"/>
      <c r="LO140" s="305"/>
      <c r="LP140" s="305"/>
      <c r="LQ140" s="305"/>
      <c r="LR140" s="305"/>
      <c r="LS140" s="305"/>
      <c r="LT140" s="305"/>
      <c r="LU140" s="305"/>
      <c r="LV140" s="305"/>
      <c r="LW140" s="305"/>
      <c r="LX140" s="305"/>
      <c r="LY140" s="305"/>
      <c r="LZ140" s="305"/>
      <c r="MA140" s="305"/>
      <c r="MB140" s="305"/>
      <c r="MC140" s="305"/>
      <c r="MD140" s="305"/>
      <c r="ME140" s="305"/>
      <c r="MF140" s="305"/>
      <c r="MG140" s="305"/>
      <c r="MH140" s="305"/>
      <c r="MI140" s="305"/>
      <c r="MJ140" s="305"/>
      <c r="MK140" s="305"/>
      <c r="ML140" s="305"/>
      <c r="MM140" s="305"/>
      <c r="MN140" s="305"/>
      <c r="MO140" s="305"/>
      <c r="MP140" s="305"/>
      <c r="MQ140" s="305"/>
      <c r="MR140" s="305"/>
      <c r="MS140" s="305"/>
      <c r="MT140" s="305"/>
      <c r="MU140" s="305"/>
      <c r="MV140" s="305"/>
      <c r="MW140" s="305"/>
      <c r="MX140" s="305"/>
      <c r="MY140" s="305"/>
      <c r="MZ140" s="305"/>
    </row>
    <row r="141" spans="1:364" ht="15" customHeight="1" x14ac:dyDescent="0.4">
      <c r="A141" s="2">
        <v>1</v>
      </c>
      <c r="B141" s="149" t="s">
        <v>3106</v>
      </c>
      <c r="C141" s="150"/>
      <c r="D141" s="150"/>
      <c r="E141" s="150"/>
      <c r="F141" s="150"/>
      <c r="G141" s="150"/>
      <c r="H141" s="150"/>
      <c r="I141" s="150"/>
      <c r="J141" s="150"/>
      <c r="K141" s="150"/>
      <c r="L141" s="150"/>
      <c r="M141" s="150"/>
      <c r="N141" s="150"/>
      <c r="O141" s="150"/>
      <c r="P141" s="150"/>
      <c r="Q141" s="150"/>
      <c r="R141" s="150"/>
      <c r="S141" s="150"/>
      <c r="T141" s="156" t="str">
        <f>Calculations!DF16</f>
        <v>No Armour</v>
      </c>
      <c r="U141" s="156"/>
      <c r="V141" s="156"/>
      <c r="W141" s="156"/>
      <c r="X141" s="156"/>
      <c r="Y141" s="156"/>
      <c r="Z141" s="156"/>
      <c r="AA141" s="156"/>
      <c r="AB141" s="156"/>
      <c r="AC141" s="156"/>
      <c r="AD141" s="156"/>
      <c r="AE141" s="156"/>
      <c r="AF141" s="156"/>
      <c r="AG141" s="156"/>
      <c r="AH141" s="156"/>
      <c r="AI141" s="156"/>
      <c r="AJ141" s="156"/>
      <c r="AK141" s="156"/>
      <c r="AL141" s="156"/>
      <c r="AM141" s="156"/>
      <c r="AN141" s="156"/>
      <c r="AO141" s="153">
        <v>1</v>
      </c>
      <c r="AP141" s="153"/>
      <c r="AQ141" s="153"/>
      <c r="AR141" s="153"/>
      <c r="AS141" s="153"/>
      <c r="AT141" s="153"/>
      <c r="AU141" s="153"/>
      <c r="AV141" s="153"/>
      <c r="AW141" s="129" t="str">
        <f>IF(T141="No Armour","- -",IF(T141=Calculations!DF16,"- -",VLOOKUP(T141,Armour!$B$4:$AU$99,19,FALSE)*'Character Creation'!$Z$18*'Character Sheet'!$AO141))</f>
        <v>- -</v>
      </c>
      <c r="AX141" s="129"/>
      <c r="AY141" s="129"/>
      <c r="AZ141" s="129"/>
      <c r="BA141" s="129"/>
      <c r="BB141" s="129"/>
      <c r="BC141" s="129"/>
      <c r="BD141" s="129"/>
      <c r="BE141" s="129" t="str">
        <f>IF(T141="No Armour","- -",VLOOKUP(T141,Armour!$B$4:$AU$99,4,FALSE)+BU141+CC141)</f>
        <v>- -</v>
      </c>
      <c r="BF141" s="129"/>
      <c r="BG141" s="129"/>
      <c r="BH141" s="129"/>
      <c r="BI141" s="129"/>
      <c r="BJ141" s="129"/>
      <c r="BK141" s="129"/>
      <c r="BL141" s="129"/>
      <c r="BM141" s="129" t="str">
        <f>IF(T141="No Armour","- -",IF(T141="No Armour",0,VLOOKUP(T141,Armour!$B$4:$AU$99,3,FALSE)+VLOOKUP(((AO141*100)-100),Charts!$AW$2:$AX$42,2,FALSE)))</f>
        <v>- -</v>
      </c>
      <c r="BN141" s="129"/>
      <c r="BO141" s="129"/>
      <c r="BP141" s="129"/>
      <c r="BQ141" s="129"/>
      <c r="BR141" s="129"/>
      <c r="BS141" s="129"/>
      <c r="BT141" s="129"/>
      <c r="BU141" s="154" t="str">
        <f t="shared" si="30"/>
        <v>- -</v>
      </c>
      <c r="BV141" s="154"/>
      <c r="BW141" s="154"/>
      <c r="BX141" s="154"/>
      <c r="BY141" s="154"/>
      <c r="BZ141" s="154"/>
      <c r="CA141" s="154"/>
      <c r="CB141" s="154"/>
      <c r="CC141" s="154" t="str">
        <f t="shared" si="31"/>
        <v>- -</v>
      </c>
      <c r="CD141" s="154"/>
      <c r="CE141" s="154"/>
      <c r="CF141" s="154"/>
      <c r="CG141" s="154"/>
      <c r="CH141" s="154"/>
      <c r="CI141" s="154"/>
      <c r="CJ141" s="154"/>
      <c r="CK141" s="129" t="str">
        <f t="shared" si="29"/>
        <v>- -</v>
      </c>
      <c r="CL141" s="129"/>
      <c r="CM141" s="129"/>
      <c r="CN141" s="129"/>
      <c r="CO141" s="129"/>
      <c r="CP141" s="129"/>
      <c r="CQ141" s="129"/>
      <c r="CR141" s="129"/>
      <c r="CS141" s="129" t="str">
        <f t="shared" si="32"/>
        <v>- -</v>
      </c>
      <c r="CT141" s="129"/>
      <c r="CU141" s="129"/>
      <c r="CV141" s="129"/>
      <c r="CW141" s="129"/>
      <c r="CX141" s="129"/>
      <c r="CY141" s="129"/>
      <c r="CZ141" s="129"/>
      <c r="DA141" s="129" t="str">
        <f>IF(T141="No Armour","- -",ROUNDUP((VLOOKUP(T141,Armour!$B$4:$EY$99,60,FALSE)*A141),0)+(ROUNDUP(CC141/3,0)))</f>
        <v>- -</v>
      </c>
      <c r="DB141" s="129"/>
      <c r="DC141" s="129"/>
      <c r="DD141" s="129"/>
      <c r="DE141" s="129"/>
      <c r="DF141" s="129"/>
      <c r="DG141" s="129"/>
      <c r="DH141" s="129"/>
      <c r="DI141" s="155" t="s">
        <v>782</v>
      </c>
      <c r="DJ141" s="129"/>
      <c r="DK141" s="129"/>
      <c r="DL141" s="129"/>
      <c r="DM141" s="129"/>
      <c r="DN141" s="129"/>
      <c r="DO141" s="129"/>
      <c r="DP141" s="129"/>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52"/>
    </row>
    <row r="142" spans="1:364" ht="15" customHeight="1" x14ac:dyDescent="0.4">
      <c r="A142" s="2">
        <v>1</v>
      </c>
      <c r="B142" s="149" t="s">
        <v>3107</v>
      </c>
      <c r="C142" s="150"/>
      <c r="D142" s="150"/>
      <c r="E142" s="150"/>
      <c r="F142" s="150"/>
      <c r="G142" s="150"/>
      <c r="H142" s="150"/>
      <c r="I142" s="150"/>
      <c r="J142" s="150"/>
      <c r="K142" s="150"/>
      <c r="L142" s="150"/>
      <c r="M142" s="150"/>
      <c r="N142" s="150"/>
      <c r="O142" s="150"/>
      <c r="P142" s="150"/>
      <c r="Q142" s="150"/>
      <c r="R142" s="150"/>
      <c r="S142" s="150"/>
      <c r="T142" s="156" t="str">
        <f>Calculations!DF17</f>
        <v>No Armour</v>
      </c>
      <c r="U142" s="156"/>
      <c r="V142" s="156"/>
      <c r="W142" s="156"/>
      <c r="X142" s="156"/>
      <c r="Y142" s="156"/>
      <c r="Z142" s="156"/>
      <c r="AA142" s="156"/>
      <c r="AB142" s="156"/>
      <c r="AC142" s="156"/>
      <c r="AD142" s="156"/>
      <c r="AE142" s="156"/>
      <c r="AF142" s="156"/>
      <c r="AG142" s="156"/>
      <c r="AH142" s="156"/>
      <c r="AI142" s="156"/>
      <c r="AJ142" s="156"/>
      <c r="AK142" s="156"/>
      <c r="AL142" s="156"/>
      <c r="AM142" s="156"/>
      <c r="AN142" s="156"/>
      <c r="AO142" s="153">
        <v>1</v>
      </c>
      <c r="AP142" s="153"/>
      <c r="AQ142" s="153"/>
      <c r="AR142" s="153"/>
      <c r="AS142" s="153"/>
      <c r="AT142" s="153"/>
      <c r="AU142" s="153"/>
      <c r="AV142" s="153"/>
      <c r="AW142" s="129" t="str">
        <f>IF(T142="No Armour","- -",IF(T142=Calculations!DF17,"- -",VLOOKUP(T142,Armour!$B$4:$AU$99,19,FALSE)*'Character Creation'!$Z$18*'Character Sheet'!$AO142))</f>
        <v>- -</v>
      </c>
      <c r="AX142" s="129"/>
      <c r="AY142" s="129"/>
      <c r="AZ142" s="129"/>
      <c r="BA142" s="129"/>
      <c r="BB142" s="129"/>
      <c r="BC142" s="129"/>
      <c r="BD142" s="129"/>
      <c r="BE142" s="129" t="str">
        <f>IF(T142="No Armour","- -",VLOOKUP(T142,Armour!$B$4:$AU$99,4,FALSE)+BU142+CC142)</f>
        <v>- -</v>
      </c>
      <c r="BF142" s="129"/>
      <c r="BG142" s="129"/>
      <c r="BH142" s="129"/>
      <c r="BI142" s="129"/>
      <c r="BJ142" s="129"/>
      <c r="BK142" s="129"/>
      <c r="BL142" s="129"/>
      <c r="BM142" s="129" t="str">
        <f>IF(T142="No Armour","- -",IF(T142="No Armour",0,VLOOKUP(T142,Armour!$B$4:$AU$99,3,FALSE)+VLOOKUP(((AO142*100)-100),Charts!$AW$2:$AX$42,2,FALSE)))</f>
        <v>- -</v>
      </c>
      <c r="BN142" s="129"/>
      <c r="BO142" s="129"/>
      <c r="BP142" s="129"/>
      <c r="BQ142" s="129"/>
      <c r="BR142" s="129"/>
      <c r="BS142" s="129"/>
      <c r="BT142" s="129"/>
      <c r="BU142" s="154" t="str">
        <f t="shared" si="30"/>
        <v>- -</v>
      </c>
      <c r="BV142" s="154"/>
      <c r="BW142" s="154"/>
      <c r="BX142" s="154"/>
      <c r="BY142" s="154"/>
      <c r="BZ142" s="154"/>
      <c r="CA142" s="154"/>
      <c r="CB142" s="154"/>
      <c r="CC142" s="154" t="str">
        <f t="shared" si="31"/>
        <v>- -</v>
      </c>
      <c r="CD142" s="154"/>
      <c r="CE142" s="154"/>
      <c r="CF142" s="154"/>
      <c r="CG142" s="154"/>
      <c r="CH142" s="154"/>
      <c r="CI142" s="154"/>
      <c r="CJ142" s="154"/>
      <c r="CK142" s="129" t="str">
        <f t="shared" si="29"/>
        <v>- -</v>
      </c>
      <c r="CL142" s="129"/>
      <c r="CM142" s="129"/>
      <c r="CN142" s="129"/>
      <c r="CO142" s="129"/>
      <c r="CP142" s="129"/>
      <c r="CQ142" s="129"/>
      <c r="CR142" s="129"/>
      <c r="CS142" s="129" t="str">
        <f t="shared" si="32"/>
        <v>- -</v>
      </c>
      <c r="CT142" s="129"/>
      <c r="CU142" s="129"/>
      <c r="CV142" s="129"/>
      <c r="CW142" s="129"/>
      <c r="CX142" s="129"/>
      <c r="CY142" s="129"/>
      <c r="CZ142" s="129"/>
      <c r="DA142" s="129" t="str">
        <f>IF(T142="No Armour","- -",ROUNDUP((VLOOKUP(T142,Armour!$B$4:$EY$99,60,FALSE)*A142),0)+(ROUNDUP(CC142/3,0)))</f>
        <v>- -</v>
      </c>
      <c r="DB142" s="129"/>
      <c r="DC142" s="129"/>
      <c r="DD142" s="129"/>
      <c r="DE142" s="129"/>
      <c r="DF142" s="129"/>
      <c r="DG142" s="129"/>
      <c r="DH142" s="129"/>
      <c r="DI142" s="155" t="s">
        <v>782</v>
      </c>
      <c r="DJ142" s="129"/>
      <c r="DK142" s="129"/>
      <c r="DL142" s="129"/>
      <c r="DM142" s="129"/>
      <c r="DN142" s="129"/>
      <c r="DO142" s="129"/>
      <c r="DP142" s="129"/>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52"/>
    </row>
    <row r="143" spans="1:364" ht="15" customHeight="1" x14ac:dyDescent="0.4">
      <c r="A143" s="2">
        <v>1</v>
      </c>
      <c r="B143" s="149" t="s">
        <v>3110</v>
      </c>
      <c r="C143" s="150"/>
      <c r="D143" s="150"/>
      <c r="E143" s="150"/>
      <c r="F143" s="150"/>
      <c r="G143" s="150"/>
      <c r="H143" s="150"/>
      <c r="I143" s="150"/>
      <c r="J143" s="150"/>
      <c r="K143" s="150"/>
      <c r="L143" s="150"/>
      <c r="M143" s="150"/>
      <c r="N143" s="150"/>
      <c r="O143" s="150"/>
      <c r="P143" s="150"/>
      <c r="Q143" s="150"/>
      <c r="R143" s="150"/>
      <c r="S143" s="150"/>
      <c r="T143" s="156" t="str">
        <f>Calculations!DF18</f>
        <v>No Armour</v>
      </c>
      <c r="U143" s="156"/>
      <c r="V143" s="156"/>
      <c r="W143" s="156"/>
      <c r="X143" s="156"/>
      <c r="Y143" s="156"/>
      <c r="Z143" s="156"/>
      <c r="AA143" s="156"/>
      <c r="AB143" s="156"/>
      <c r="AC143" s="156"/>
      <c r="AD143" s="156"/>
      <c r="AE143" s="156"/>
      <c r="AF143" s="156"/>
      <c r="AG143" s="156"/>
      <c r="AH143" s="156"/>
      <c r="AI143" s="156"/>
      <c r="AJ143" s="156"/>
      <c r="AK143" s="156"/>
      <c r="AL143" s="156"/>
      <c r="AM143" s="156"/>
      <c r="AN143" s="156"/>
      <c r="AO143" s="153">
        <v>1</v>
      </c>
      <c r="AP143" s="153"/>
      <c r="AQ143" s="153"/>
      <c r="AR143" s="153"/>
      <c r="AS143" s="153"/>
      <c r="AT143" s="153"/>
      <c r="AU143" s="153"/>
      <c r="AV143" s="153"/>
      <c r="AW143" s="129" t="str">
        <f>IF(T143="No Armour","- -",IF(T143=Calculations!DF18,"- -",VLOOKUP(T143,Armour!$B$4:$AU$99,19,FALSE)*'Character Creation'!$Z$18*'Character Sheet'!$AO143))</f>
        <v>- -</v>
      </c>
      <c r="AX143" s="129"/>
      <c r="AY143" s="129"/>
      <c r="AZ143" s="129"/>
      <c r="BA143" s="129"/>
      <c r="BB143" s="129"/>
      <c r="BC143" s="129"/>
      <c r="BD143" s="129"/>
      <c r="BE143" s="129" t="str">
        <f>IF(T143="No Armour","- -",VLOOKUP(T143,Armour!$B$4:$AU$99,4,FALSE)+BU143+CC143)</f>
        <v>- -</v>
      </c>
      <c r="BF143" s="129"/>
      <c r="BG143" s="129"/>
      <c r="BH143" s="129"/>
      <c r="BI143" s="129"/>
      <c r="BJ143" s="129"/>
      <c r="BK143" s="129"/>
      <c r="BL143" s="129"/>
      <c r="BM143" s="129" t="str">
        <f>IF(T143="No Armour","- -",IF(T143="No Armour",0,VLOOKUP(T143,Armour!$B$4:$AU$99,3,FALSE)+VLOOKUP(((AO143*100)-100),Charts!$AW$2:$AX$42,2,FALSE)))</f>
        <v>- -</v>
      </c>
      <c r="BN143" s="129"/>
      <c r="BO143" s="129"/>
      <c r="BP143" s="129"/>
      <c r="BQ143" s="129"/>
      <c r="BR143" s="129"/>
      <c r="BS143" s="129"/>
      <c r="BT143" s="129"/>
      <c r="BU143" s="154" t="str">
        <f t="shared" si="30"/>
        <v>- -</v>
      </c>
      <c r="BV143" s="154"/>
      <c r="BW143" s="154"/>
      <c r="BX143" s="154"/>
      <c r="BY143" s="154"/>
      <c r="BZ143" s="154"/>
      <c r="CA143" s="154"/>
      <c r="CB143" s="154"/>
      <c r="CC143" s="154" t="str">
        <f t="shared" si="31"/>
        <v>- -</v>
      </c>
      <c r="CD143" s="154"/>
      <c r="CE143" s="154"/>
      <c r="CF143" s="154"/>
      <c r="CG143" s="154"/>
      <c r="CH143" s="154"/>
      <c r="CI143" s="154"/>
      <c r="CJ143" s="154"/>
      <c r="CK143" s="129" t="str">
        <f t="shared" si="29"/>
        <v>- -</v>
      </c>
      <c r="CL143" s="129"/>
      <c r="CM143" s="129"/>
      <c r="CN143" s="129"/>
      <c r="CO143" s="129"/>
      <c r="CP143" s="129"/>
      <c r="CQ143" s="129"/>
      <c r="CR143" s="129"/>
      <c r="CS143" s="129" t="str">
        <f t="shared" si="32"/>
        <v>- -</v>
      </c>
      <c r="CT143" s="129"/>
      <c r="CU143" s="129"/>
      <c r="CV143" s="129"/>
      <c r="CW143" s="129"/>
      <c r="CX143" s="129"/>
      <c r="CY143" s="129"/>
      <c r="CZ143" s="129"/>
      <c r="DA143" s="129" t="str">
        <f>IF(T143="No Armour","- -",ROUNDUP((VLOOKUP(T143,Armour!$B$4:$EY$99,58,FALSE)*A143),0)+(ROUNDUP(CC143/3,0)))</f>
        <v>- -</v>
      </c>
      <c r="DB143" s="129"/>
      <c r="DC143" s="129"/>
      <c r="DD143" s="129"/>
      <c r="DE143" s="129"/>
      <c r="DF143" s="129"/>
      <c r="DG143" s="129"/>
      <c r="DH143" s="129"/>
      <c r="DI143" s="155" t="s">
        <v>782</v>
      </c>
      <c r="DJ143" s="129"/>
      <c r="DK143" s="129"/>
      <c r="DL143" s="129"/>
      <c r="DM143" s="129"/>
      <c r="DN143" s="129"/>
      <c r="DO143" s="129"/>
      <c r="DP143" s="129"/>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52"/>
    </row>
    <row r="144" spans="1:364" ht="15" customHeight="1" x14ac:dyDescent="0.4">
      <c r="A144" s="2">
        <v>1</v>
      </c>
      <c r="B144" s="149" t="s">
        <v>3111</v>
      </c>
      <c r="C144" s="150"/>
      <c r="D144" s="150"/>
      <c r="E144" s="150"/>
      <c r="F144" s="150"/>
      <c r="G144" s="150"/>
      <c r="H144" s="150"/>
      <c r="I144" s="150"/>
      <c r="J144" s="150"/>
      <c r="K144" s="150"/>
      <c r="L144" s="150"/>
      <c r="M144" s="150"/>
      <c r="N144" s="150"/>
      <c r="O144" s="150"/>
      <c r="P144" s="150"/>
      <c r="Q144" s="150"/>
      <c r="R144" s="150"/>
      <c r="S144" s="150"/>
      <c r="T144" s="156" t="str">
        <f>Calculations!DF19</f>
        <v>No Armour</v>
      </c>
      <c r="U144" s="156"/>
      <c r="V144" s="156"/>
      <c r="W144" s="156"/>
      <c r="X144" s="156"/>
      <c r="Y144" s="156"/>
      <c r="Z144" s="156"/>
      <c r="AA144" s="156"/>
      <c r="AB144" s="156"/>
      <c r="AC144" s="156"/>
      <c r="AD144" s="156"/>
      <c r="AE144" s="156"/>
      <c r="AF144" s="156"/>
      <c r="AG144" s="156"/>
      <c r="AH144" s="156"/>
      <c r="AI144" s="156"/>
      <c r="AJ144" s="156"/>
      <c r="AK144" s="156"/>
      <c r="AL144" s="156"/>
      <c r="AM144" s="156"/>
      <c r="AN144" s="156"/>
      <c r="AO144" s="153">
        <v>1</v>
      </c>
      <c r="AP144" s="153"/>
      <c r="AQ144" s="153"/>
      <c r="AR144" s="153"/>
      <c r="AS144" s="153"/>
      <c r="AT144" s="153"/>
      <c r="AU144" s="153"/>
      <c r="AV144" s="153"/>
      <c r="AW144" s="129" t="str">
        <f>IF(T144="No Armour","- -",IF(T144=Calculations!DF19,"- -",VLOOKUP(T144,Armour!$B$4:$AU$99,19,FALSE)*'Character Creation'!$Z$18*'Character Sheet'!$AO144))</f>
        <v>- -</v>
      </c>
      <c r="AX144" s="129"/>
      <c r="AY144" s="129"/>
      <c r="AZ144" s="129"/>
      <c r="BA144" s="129"/>
      <c r="BB144" s="129"/>
      <c r="BC144" s="129"/>
      <c r="BD144" s="129"/>
      <c r="BE144" s="129" t="str">
        <f>IF(T144="No Armour","- -",VLOOKUP(T144,Armour!$B$4:$AU$99,4,FALSE)+BU144+CC144)</f>
        <v>- -</v>
      </c>
      <c r="BF144" s="129"/>
      <c r="BG144" s="129"/>
      <c r="BH144" s="129"/>
      <c r="BI144" s="129"/>
      <c r="BJ144" s="129"/>
      <c r="BK144" s="129"/>
      <c r="BL144" s="129"/>
      <c r="BM144" s="129" t="str">
        <f>IF(T144="No Armour","- -",IF(T144="No Armour",0,VLOOKUP(T144,Armour!$B$4:$AU$99,3,FALSE)+VLOOKUP(((AO144*100)-100),Charts!$AW$2:$AX$42,2,FALSE)))</f>
        <v>- -</v>
      </c>
      <c r="BN144" s="129"/>
      <c r="BO144" s="129"/>
      <c r="BP144" s="129"/>
      <c r="BQ144" s="129"/>
      <c r="BR144" s="129"/>
      <c r="BS144" s="129"/>
      <c r="BT144" s="129"/>
      <c r="BU144" s="154" t="str">
        <f t="shared" si="30"/>
        <v>- -</v>
      </c>
      <c r="BV144" s="154"/>
      <c r="BW144" s="154"/>
      <c r="BX144" s="154"/>
      <c r="BY144" s="154"/>
      <c r="BZ144" s="154"/>
      <c r="CA144" s="154"/>
      <c r="CB144" s="154"/>
      <c r="CC144" s="154" t="str">
        <f t="shared" si="31"/>
        <v>- -</v>
      </c>
      <c r="CD144" s="154"/>
      <c r="CE144" s="154"/>
      <c r="CF144" s="154"/>
      <c r="CG144" s="154"/>
      <c r="CH144" s="154"/>
      <c r="CI144" s="154"/>
      <c r="CJ144" s="154"/>
      <c r="CK144" s="129" t="str">
        <f t="shared" si="29"/>
        <v>- -</v>
      </c>
      <c r="CL144" s="129"/>
      <c r="CM144" s="129"/>
      <c r="CN144" s="129"/>
      <c r="CO144" s="129"/>
      <c r="CP144" s="129"/>
      <c r="CQ144" s="129"/>
      <c r="CR144" s="129"/>
      <c r="CS144" s="129" t="str">
        <f t="shared" si="32"/>
        <v>- -</v>
      </c>
      <c r="CT144" s="129"/>
      <c r="CU144" s="129"/>
      <c r="CV144" s="129"/>
      <c r="CW144" s="129"/>
      <c r="CX144" s="129"/>
      <c r="CY144" s="129"/>
      <c r="CZ144" s="129"/>
      <c r="DA144" s="129" t="str">
        <f>IF(T144="No Armour","- -",ROUNDUP((VLOOKUP(T144,Armour!$B$4:$EY$99,58,FALSE)*A144),0)+(ROUNDUP(CC144/3,0)))</f>
        <v>- -</v>
      </c>
      <c r="DB144" s="129"/>
      <c r="DC144" s="129"/>
      <c r="DD144" s="129"/>
      <c r="DE144" s="129"/>
      <c r="DF144" s="129"/>
      <c r="DG144" s="129"/>
      <c r="DH144" s="129"/>
      <c r="DI144" s="155" t="s">
        <v>782</v>
      </c>
      <c r="DJ144" s="129"/>
      <c r="DK144" s="129"/>
      <c r="DL144" s="129"/>
      <c r="DM144" s="129"/>
      <c r="DN144" s="129"/>
      <c r="DO144" s="129"/>
      <c r="DP144" s="129"/>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52"/>
    </row>
    <row r="145" spans="1:156" ht="15" customHeight="1" x14ac:dyDescent="0.4">
      <c r="A145" s="2">
        <v>1</v>
      </c>
      <c r="B145" s="149" t="s">
        <v>3112</v>
      </c>
      <c r="C145" s="150"/>
      <c r="D145" s="150"/>
      <c r="E145" s="150"/>
      <c r="F145" s="150"/>
      <c r="G145" s="150"/>
      <c r="H145" s="150"/>
      <c r="I145" s="150"/>
      <c r="J145" s="150"/>
      <c r="K145" s="150"/>
      <c r="L145" s="150"/>
      <c r="M145" s="150"/>
      <c r="N145" s="150"/>
      <c r="O145" s="150"/>
      <c r="P145" s="150"/>
      <c r="Q145" s="150"/>
      <c r="R145" s="150"/>
      <c r="S145" s="150"/>
      <c r="T145" s="156" t="str">
        <f>Calculations!DF20</f>
        <v>No Armour</v>
      </c>
      <c r="U145" s="156"/>
      <c r="V145" s="156"/>
      <c r="W145" s="156"/>
      <c r="X145" s="156"/>
      <c r="Y145" s="156"/>
      <c r="Z145" s="156"/>
      <c r="AA145" s="156"/>
      <c r="AB145" s="156"/>
      <c r="AC145" s="156"/>
      <c r="AD145" s="156"/>
      <c r="AE145" s="156"/>
      <c r="AF145" s="156"/>
      <c r="AG145" s="156"/>
      <c r="AH145" s="156"/>
      <c r="AI145" s="156"/>
      <c r="AJ145" s="156"/>
      <c r="AK145" s="156"/>
      <c r="AL145" s="156"/>
      <c r="AM145" s="156"/>
      <c r="AN145" s="156"/>
      <c r="AO145" s="153">
        <v>1</v>
      </c>
      <c r="AP145" s="153"/>
      <c r="AQ145" s="153"/>
      <c r="AR145" s="153"/>
      <c r="AS145" s="153"/>
      <c r="AT145" s="153"/>
      <c r="AU145" s="153"/>
      <c r="AV145" s="153"/>
      <c r="AW145" s="129" t="str">
        <f>IF(T145="No Armour","- -",IF(T145=Calculations!DF20,"- -",VLOOKUP(T145,Armour!$B$4:$AU$99,19,FALSE)*'Character Creation'!$Z$18*'Character Sheet'!$AO145))</f>
        <v>- -</v>
      </c>
      <c r="AX145" s="129"/>
      <c r="AY145" s="129"/>
      <c r="AZ145" s="129"/>
      <c r="BA145" s="129"/>
      <c r="BB145" s="129"/>
      <c r="BC145" s="129"/>
      <c r="BD145" s="129"/>
      <c r="BE145" s="129" t="str">
        <f>IF(T145="No Armour","- -",VLOOKUP(T145,Armour!$B$4:$AU$99,4,FALSE)+BU145+CC145)</f>
        <v>- -</v>
      </c>
      <c r="BF145" s="129"/>
      <c r="BG145" s="129"/>
      <c r="BH145" s="129"/>
      <c r="BI145" s="129"/>
      <c r="BJ145" s="129"/>
      <c r="BK145" s="129"/>
      <c r="BL145" s="129"/>
      <c r="BM145" s="129" t="str">
        <f>IF(T145="No Armour","- -",IF(T145="No Armour",0,VLOOKUP(T145,Armour!$B$4:$AU$99,3,FALSE)+VLOOKUP(((AO145*100)-100),Charts!$AW$2:$AX$42,2,FALSE)))</f>
        <v>- -</v>
      </c>
      <c r="BN145" s="129"/>
      <c r="BO145" s="129"/>
      <c r="BP145" s="129"/>
      <c r="BQ145" s="129"/>
      <c r="BR145" s="129"/>
      <c r="BS145" s="129"/>
      <c r="BT145" s="129"/>
      <c r="BU145" s="154" t="str">
        <f t="shared" si="30"/>
        <v>- -</v>
      </c>
      <c r="BV145" s="154"/>
      <c r="BW145" s="154"/>
      <c r="BX145" s="154"/>
      <c r="BY145" s="154"/>
      <c r="BZ145" s="154"/>
      <c r="CA145" s="154"/>
      <c r="CB145" s="154"/>
      <c r="CC145" s="154" t="str">
        <f t="shared" si="31"/>
        <v>- -</v>
      </c>
      <c r="CD145" s="154"/>
      <c r="CE145" s="154"/>
      <c r="CF145" s="154"/>
      <c r="CG145" s="154"/>
      <c r="CH145" s="154"/>
      <c r="CI145" s="154"/>
      <c r="CJ145" s="154"/>
      <c r="CK145" s="129" t="str">
        <f t="shared" si="29"/>
        <v>- -</v>
      </c>
      <c r="CL145" s="129"/>
      <c r="CM145" s="129"/>
      <c r="CN145" s="129"/>
      <c r="CO145" s="129"/>
      <c r="CP145" s="129"/>
      <c r="CQ145" s="129"/>
      <c r="CR145" s="129"/>
      <c r="CS145" s="129" t="str">
        <f t="shared" si="32"/>
        <v>- -</v>
      </c>
      <c r="CT145" s="129"/>
      <c r="CU145" s="129"/>
      <c r="CV145" s="129"/>
      <c r="CW145" s="129"/>
      <c r="CX145" s="129"/>
      <c r="CY145" s="129"/>
      <c r="CZ145" s="129"/>
      <c r="DA145" s="129" t="str">
        <f>IF(T145="No Armour","- -",ROUNDUP((VLOOKUP(T145,Armour!$B$4:$EY$99,59,FALSE)*A145),0)+(ROUNDUP(CC145/3,0)))</f>
        <v>- -</v>
      </c>
      <c r="DB145" s="129"/>
      <c r="DC145" s="129"/>
      <c r="DD145" s="129"/>
      <c r="DE145" s="129"/>
      <c r="DF145" s="129"/>
      <c r="DG145" s="129"/>
      <c r="DH145" s="129"/>
      <c r="DI145" s="155" t="s">
        <v>782</v>
      </c>
      <c r="DJ145" s="129"/>
      <c r="DK145" s="129"/>
      <c r="DL145" s="129"/>
      <c r="DM145" s="129"/>
      <c r="DN145" s="129"/>
      <c r="DO145" s="129"/>
      <c r="DP145" s="129"/>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52"/>
    </row>
    <row r="146" spans="1:156" ht="15" customHeight="1" x14ac:dyDescent="0.4">
      <c r="A146" s="2">
        <v>1</v>
      </c>
      <c r="B146" s="149" t="s">
        <v>3113</v>
      </c>
      <c r="C146" s="150"/>
      <c r="D146" s="150"/>
      <c r="E146" s="150"/>
      <c r="F146" s="150"/>
      <c r="G146" s="150"/>
      <c r="H146" s="150"/>
      <c r="I146" s="150"/>
      <c r="J146" s="150"/>
      <c r="K146" s="150"/>
      <c r="L146" s="150"/>
      <c r="M146" s="150"/>
      <c r="N146" s="150"/>
      <c r="O146" s="150"/>
      <c r="P146" s="150"/>
      <c r="Q146" s="150"/>
      <c r="R146" s="150"/>
      <c r="S146" s="150"/>
      <c r="T146" s="156" t="str">
        <f>Calculations!DF21</f>
        <v>No Armour</v>
      </c>
      <c r="U146" s="156"/>
      <c r="V146" s="156"/>
      <c r="W146" s="156"/>
      <c r="X146" s="156"/>
      <c r="Y146" s="156"/>
      <c r="Z146" s="156"/>
      <c r="AA146" s="156"/>
      <c r="AB146" s="156"/>
      <c r="AC146" s="156"/>
      <c r="AD146" s="156"/>
      <c r="AE146" s="156"/>
      <c r="AF146" s="156"/>
      <c r="AG146" s="156"/>
      <c r="AH146" s="156"/>
      <c r="AI146" s="156"/>
      <c r="AJ146" s="156"/>
      <c r="AK146" s="156"/>
      <c r="AL146" s="156"/>
      <c r="AM146" s="156"/>
      <c r="AN146" s="156"/>
      <c r="AO146" s="153">
        <v>1</v>
      </c>
      <c r="AP146" s="153"/>
      <c r="AQ146" s="153"/>
      <c r="AR146" s="153"/>
      <c r="AS146" s="153"/>
      <c r="AT146" s="153"/>
      <c r="AU146" s="153"/>
      <c r="AV146" s="153"/>
      <c r="AW146" s="129" t="str">
        <f>IF(T146="No Armour","- -",IF(T146=Calculations!DF21,"- -",VLOOKUP(T146,Armour!$B$4:$AU$99,19,FALSE)*'Character Creation'!$Z$18*'Character Sheet'!$AO146))</f>
        <v>- -</v>
      </c>
      <c r="AX146" s="129"/>
      <c r="AY146" s="129"/>
      <c r="AZ146" s="129"/>
      <c r="BA146" s="129"/>
      <c r="BB146" s="129"/>
      <c r="BC146" s="129"/>
      <c r="BD146" s="129"/>
      <c r="BE146" s="129" t="str">
        <f>IF(T146="No Armour","- -",VLOOKUP(T146,Armour!$B$4:$AU$99,4,FALSE)+BU146+CC146)</f>
        <v>- -</v>
      </c>
      <c r="BF146" s="129"/>
      <c r="BG146" s="129"/>
      <c r="BH146" s="129"/>
      <c r="BI146" s="129"/>
      <c r="BJ146" s="129"/>
      <c r="BK146" s="129"/>
      <c r="BL146" s="129"/>
      <c r="BM146" s="129" t="str">
        <f>IF(T146="No Armour","- -",IF(T146="No Armour",0,VLOOKUP(T146,Armour!$B$4:$AU$99,3,FALSE)+VLOOKUP(((AO146*100)-100),Charts!$AW$2:$AX$42,2,FALSE)))</f>
        <v>- -</v>
      </c>
      <c r="BN146" s="129"/>
      <c r="BO146" s="129"/>
      <c r="BP146" s="129"/>
      <c r="BQ146" s="129"/>
      <c r="BR146" s="129"/>
      <c r="BS146" s="129"/>
      <c r="BT146" s="129"/>
      <c r="BU146" s="154" t="str">
        <f t="shared" si="30"/>
        <v>- -</v>
      </c>
      <c r="BV146" s="154"/>
      <c r="BW146" s="154"/>
      <c r="BX146" s="154"/>
      <c r="BY146" s="154"/>
      <c r="BZ146" s="154"/>
      <c r="CA146" s="154"/>
      <c r="CB146" s="154"/>
      <c r="CC146" s="154" t="str">
        <f t="shared" si="31"/>
        <v>- -</v>
      </c>
      <c r="CD146" s="154"/>
      <c r="CE146" s="154"/>
      <c r="CF146" s="154"/>
      <c r="CG146" s="154"/>
      <c r="CH146" s="154"/>
      <c r="CI146" s="154"/>
      <c r="CJ146" s="154"/>
      <c r="CK146" s="129" t="str">
        <f t="shared" si="29"/>
        <v>- -</v>
      </c>
      <c r="CL146" s="129"/>
      <c r="CM146" s="129"/>
      <c r="CN146" s="129"/>
      <c r="CO146" s="129"/>
      <c r="CP146" s="129"/>
      <c r="CQ146" s="129"/>
      <c r="CR146" s="129"/>
      <c r="CS146" s="129" t="str">
        <f t="shared" si="32"/>
        <v>- -</v>
      </c>
      <c r="CT146" s="129"/>
      <c r="CU146" s="129"/>
      <c r="CV146" s="129"/>
      <c r="CW146" s="129"/>
      <c r="CX146" s="129"/>
      <c r="CY146" s="129"/>
      <c r="CZ146" s="129"/>
      <c r="DA146" s="129" t="str">
        <f>IF(T146="No Armour","- -",ROUNDUP((VLOOKUP(T146,Armour!$B$4:$EY$99,59,FALSE)*A146),0)+(ROUNDUP(CC146/3,0)))</f>
        <v>- -</v>
      </c>
      <c r="DB146" s="129"/>
      <c r="DC146" s="129"/>
      <c r="DD146" s="129"/>
      <c r="DE146" s="129"/>
      <c r="DF146" s="129"/>
      <c r="DG146" s="129"/>
      <c r="DH146" s="129"/>
      <c r="DI146" s="155" t="s">
        <v>782</v>
      </c>
      <c r="DJ146" s="129"/>
      <c r="DK146" s="129"/>
      <c r="DL146" s="129"/>
      <c r="DM146" s="129"/>
      <c r="DN146" s="129"/>
      <c r="DO146" s="129"/>
      <c r="DP146" s="129"/>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52"/>
    </row>
    <row r="147" spans="1:156" ht="15" customHeight="1" x14ac:dyDescent="0.4">
      <c r="A147" s="2">
        <v>1</v>
      </c>
      <c r="B147" s="149" t="s">
        <v>3114</v>
      </c>
      <c r="C147" s="150"/>
      <c r="D147" s="150"/>
      <c r="E147" s="150"/>
      <c r="F147" s="150"/>
      <c r="G147" s="150"/>
      <c r="H147" s="150"/>
      <c r="I147" s="150"/>
      <c r="J147" s="150"/>
      <c r="K147" s="150"/>
      <c r="L147" s="150"/>
      <c r="M147" s="150"/>
      <c r="N147" s="150"/>
      <c r="O147" s="150"/>
      <c r="P147" s="150"/>
      <c r="Q147" s="150"/>
      <c r="R147" s="150"/>
      <c r="S147" s="150"/>
      <c r="T147" s="156" t="str">
        <f>Calculations!DF22</f>
        <v>No Armour</v>
      </c>
      <c r="U147" s="156"/>
      <c r="V147" s="156"/>
      <c r="W147" s="156"/>
      <c r="X147" s="156"/>
      <c r="Y147" s="156"/>
      <c r="Z147" s="156"/>
      <c r="AA147" s="156"/>
      <c r="AB147" s="156"/>
      <c r="AC147" s="156"/>
      <c r="AD147" s="156"/>
      <c r="AE147" s="156"/>
      <c r="AF147" s="156"/>
      <c r="AG147" s="156"/>
      <c r="AH147" s="156"/>
      <c r="AI147" s="156"/>
      <c r="AJ147" s="156"/>
      <c r="AK147" s="156"/>
      <c r="AL147" s="156"/>
      <c r="AM147" s="156"/>
      <c r="AN147" s="156"/>
      <c r="AO147" s="153">
        <v>1</v>
      </c>
      <c r="AP147" s="153"/>
      <c r="AQ147" s="153"/>
      <c r="AR147" s="153"/>
      <c r="AS147" s="153"/>
      <c r="AT147" s="153"/>
      <c r="AU147" s="153"/>
      <c r="AV147" s="153"/>
      <c r="AW147" s="129" t="str">
        <f>IF(T147="No Armour","- -",IF(T147=Calculations!DF22,"- -",VLOOKUP(T147,Armour!$B$4:$AU$99,19,FALSE)*'Character Creation'!$Z$18*'Character Sheet'!$AO147))</f>
        <v>- -</v>
      </c>
      <c r="AX147" s="129"/>
      <c r="AY147" s="129"/>
      <c r="AZ147" s="129"/>
      <c r="BA147" s="129"/>
      <c r="BB147" s="129"/>
      <c r="BC147" s="129"/>
      <c r="BD147" s="129"/>
      <c r="BE147" s="129" t="str">
        <f>IF(T147="No Armour","- -",VLOOKUP(T147,Armour!$B$4:$AU$99,4,FALSE)+BU147+CC147)</f>
        <v>- -</v>
      </c>
      <c r="BF147" s="129"/>
      <c r="BG147" s="129"/>
      <c r="BH147" s="129"/>
      <c r="BI147" s="129"/>
      <c r="BJ147" s="129"/>
      <c r="BK147" s="129"/>
      <c r="BL147" s="129"/>
      <c r="BM147" s="129" t="str">
        <f>IF(T147="No Armour","- -",IF(T147="No Armour",0,VLOOKUP(T147,Armour!$B$4:$AU$99,3,FALSE)+VLOOKUP(((AO147*100)-100),Charts!$AW$2:$AX$42,2,FALSE)))</f>
        <v>- -</v>
      </c>
      <c r="BN147" s="129"/>
      <c r="BO147" s="129"/>
      <c r="BP147" s="129"/>
      <c r="BQ147" s="129"/>
      <c r="BR147" s="129"/>
      <c r="BS147" s="129"/>
      <c r="BT147" s="129"/>
      <c r="BU147" s="154" t="str">
        <f t="shared" si="30"/>
        <v>- -</v>
      </c>
      <c r="BV147" s="154"/>
      <c r="BW147" s="154"/>
      <c r="BX147" s="154"/>
      <c r="BY147" s="154"/>
      <c r="BZ147" s="154"/>
      <c r="CA147" s="154"/>
      <c r="CB147" s="154"/>
      <c r="CC147" s="154" t="str">
        <f t="shared" si="31"/>
        <v>- -</v>
      </c>
      <c r="CD147" s="154"/>
      <c r="CE147" s="154"/>
      <c r="CF147" s="154"/>
      <c r="CG147" s="154"/>
      <c r="CH147" s="154"/>
      <c r="CI147" s="154"/>
      <c r="CJ147" s="154"/>
      <c r="CK147" s="129" t="str">
        <f t="shared" si="29"/>
        <v>- -</v>
      </c>
      <c r="CL147" s="129"/>
      <c r="CM147" s="129"/>
      <c r="CN147" s="129"/>
      <c r="CO147" s="129"/>
      <c r="CP147" s="129"/>
      <c r="CQ147" s="129"/>
      <c r="CR147" s="129"/>
      <c r="CS147" s="129" t="str">
        <f t="shared" si="32"/>
        <v>- -</v>
      </c>
      <c r="CT147" s="129"/>
      <c r="CU147" s="129"/>
      <c r="CV147" s="129"/>
      <c r="CW147" s="129"/>
      <c r="CX147" s="129"/>
      <c r="CY147" s="129"/>
      <c r="CZ147" s="129"/>
      <c r="DA147" s="129" t="str">
        <f>IF(T147="No Armour","- -",ROUNDUP((VLOOKUP(T147,Armour!$B$4:$EY$99,60,FALSE)*A147),0)+(ROUNDUP(CC147/3,0)))</f>
        <v>- -</v>
      </c>
      <c r="DB147" s="129"/>
      <c r="DC147" s="129"/>
      <c r="DD147" s="129"/>
      <c r="DE147" s="129"/>
      <c r="DF147" s="129"/>
      <c r="DG147" s="129"/>
      <c r="DH147" s="129"/>
      <c r="DI147" s="155" t="s">
        <v>782</v>
      </c>
      <c r="DJ147" s="129"/>
      <c r="DK147" s="129"/>
      <c r="DL147" s="129"/>
      <c r="DM147" s="129"/>
      <c r="DN147" s="129"/>
      <c r="DO147" s="129"/>
      <c r="DP147" s="129"/>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52"/>
    </row>
    <row r="148" spans="1:156" ht="15" customHeight="1" x14ac:dyDescent="0.4">
      <c r="A148" s="2">
        <v>1</v>
      </c>
      <c r="B148" s="164" t="s">
        <v>3115</v>
      </c>
      <c r="C148" s="165"/>
      <c r="D148" s="165"/>
      <c r="E148" s="165"/>
      <c r="F148" s="165"/>
      <c r="G148" s="165"/>
      <c r="H148" s="165"/>
      <c r="I148" s="165"/>
      <c r="J148" s="165"/>
      <c r="K148" s="165"/>
      <c r="L148" s="165"/>
      <c r="M148" s="165"/>
      <c r="N148" s="165"/>
      <c r="O148" s="165"/>
      <c r="P148" s="165"/>
      <c r="Q148" s="165"/>
      <c r="R148" s="165"/>
      <c r="S148" s="165"/>
      <c r="T148" s="163" t="str">
        <f>Calculations!DF23</f>
        <v>No Armour</v>
      </c>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57">
        <v>1</v>
      </c>
      <c r="AP148" s="157"/>
      <c r="AQ148" s="157"/>
      <c r="AR148" s="157"/>
      <c r="AS148" s="157"/>
      <c r="AT148" s="157"/>
      <c r="AU148" s="157"/>
      <c r="AV148" s="157"/>
      <c r="AW148" s="158" t="str">
        <f>IF(T148="No Armour","- -",IF(T148=Calculations!DF23,"- -",VLOOKUP(T148,Armour!$B$4:$AU$99,19,FALSE)*'Character Creation'!$Z$18*'Character Sheet'!$AO148))</f>
        <v>- -</v>
      </c>
      <c r="AX148" s="158"/>
      <c r="AY148" s="158"/>
      <c r="AZ148" s="158"/>
      <c r="BA148" s="158"/>
      <c r="BB148" s="158"/>
      <c r="BC148" s="158"/>
      <c r="BD148" s="158"/>
      <c r="BE148" s="158" t="str">
        <f>IF(T148="No Armour","- -",VLOOKUP(T148,Armour!$B$4:$AU$99,4,FALSE)+BU148+CC148)</f>
        <v>- -</v>
      </c>
      <c r="BF148" s="158"/>
      <c r="BG148" s="158"/>
      <c r="BH148" s="158"/>
      <c r="BI148" s="158"/>
      <c r="BJ148" s="158"/>
      <c r="BK148" s="158"/>
      <c r="BL148" s="158"/>
      <c r="BM148" s="158" t="str">
        <f>IF(T148="No Armour","- -",IF(T148="No Armour",0,VLOOKUP(T148,Armour!$B$4:$AU$99,3,FALSE)+VLOOKUP(((AO148*100)-100),Charts!$AW$2:$AX$42,2,FALSE)))</f>
        <v>- -</v>
      </c>
      <c r="BN148" s="158"/>
      <c r="BO148" s="158"/>
      <c r="BP148" s="158"/>
      <c r="BQ148" s="158"/>
      <c r="BR148" s="158"/>
      <c r="BS148" s="158"/>
      <c r="BT148" s="158"/>
      <c r="BU148" s="159" t="str">
        <f t="shared" si="30"/>
        <v>- -</v>
      </c>
      <c r="BV148" s="159"/>
      <c r="BW148" s="159"/>
      <c r="BX148" s="159"/>
      <c r="BY148" s="159"/>
      <c r="BZ148" s="159"/>
      <c r="CA148" s="159"/>
      <c r="CB148" s="159"/>
      <c r="CC148" s="159" t="str">
        <f t="shared" si="31"/>
        <v>- -</v>
      </c>
      <c r="CD148" s="159"/>
      <c r="CE148" s="159"/>
      <c r="CF148" s="159"/>
      <c r="CG148" s="159"/>
      <c r="CH148" s="159"/>
      <c r="CI148" s="159"/>
      <c r="CJ148" s="159"/>
      <c r="CK148" s="158" t="str">
        <f t="shared" si="29"/>
        <v>- -</v>
      </c>
      <c r="CL148" s="158"/>
      <c r="CM148" s="158"/>
      <c r="CN148" s="158"/>
      <c r="CO148" s="158"/>
      <c r="CP148" s="158"/>
      <c r="CQ148" s="158"/>
      <c r="CR148" s="158"/>
      <c r="CS148" s="158" t="str">
        <f t="shared" si="32"/>
        <v>- -</v>
      </c>
      <c r="CT148" s="158"/>
      <c r="CU148" s="158"/>
      <c r="CV148" s="158"/>
      <c r="CW148" s="158"/>
      <c r="CX148" s="158"/>
      <c r="CY148" s="158"/>
      <c r="CZ148" s="158"/>
      <c r="DA148" s="158" t="str">
        <f>IF(T148="No Armour","- -",ROUNDUP((VLOOKUP(T148,Armour!$B$4:$EY$99,60,FALSE)*A148),0)+(ROUNDUP(CC148/3,0)))</f>
        <v>- -</v>
      </c>
      <c r="DB148" s="158"/>
      <c r="DC148" s="158"/>
      <c r="DD148" s="158"/>
      <c r="DE148" s="158"/>
      <c r="DF148" s="158"/>
      <c r="DG148" s="158"/>
      <c r="DH148" s="158"/>
      <c r="DI148" s="160" t="s">
        <v>782</v>
      </c>
      <c r="DJ148" s="158"/>
      <c r="DK148" s="158"/>
      <c r="DL148" s="158"/>
      <c r="DM148" s="158"/>
      <c r="DN148" s="158"/>
      <c r="DO148" s="158"/>
      <c r="DP148" s="158"/>
      <c r="DQ148" s="161"/>
      <c r="DR148" s="161"/>
      <c r="DS148" s="161"/>
      <c r="DT148" s="161"/>
      <c r="DU148" s="161"/>
      <c r="DV148" s="161"/>
      <c r="DW148" s="161"/>
      <c r="DX148" s="161"/>
      <c r="DY148" s="161"/>
      <c r="DZ148" s="161"/>
      <c r="EA148" s="161"/>
      <c r="EB148" s="161"/>
      <c r="EC148" s="161"/>
      <c r="ED148" s="161"/>
      <c r="EE148" s="161"/>
      <c r="EF148" s="161"/>
      <c r="EG148" s="161"/>
      <c r="EH148" s="161"/>
      <c r="EI148" s="161"/>
      <c r="EJ148" s="161"/>
      <c r="EK148" s="161"/>
      <c r="EL148" s="161"/>
      <c r="EM148" s="161"/>
      <c r="EN148" s="161"/>
      <c r="EO148" s="161"/>
      <c r="EP148" s="161"/>
      <c r="EQ148" s="161"/>
      <c r="ER148" s="161"/>
      <c r="ES148" s="161"/>
      <c r="ET148" s="161"/>
      <c r="EU148" s="161"/>
      <c r="EV148" s="161"/>
      <c r="EW148" s="161"/>
      <c r="EX148" s="161"/>
      <c r="EY148" s="161"/>
      <c r="EZ148" s="162"/>
    </row>
    <row r="149" spans="1:156" ht="15" customHeight="1" x14ac:dyDescent="0.25">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row>
    <row r="150" spans="1:156" ht="15" customHeight="1" x14ac:dyDescent="0.25">
      <c r="B150" s="94" t="s">
        <v>118</v>
      </c>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c r="AA150" s="95"/>
      <c r="AB150" s="95"/>
      <c r="AC150" s="95"/>
      <c r="AD150" s="95"/>
      <c r="AE150" s="95"/>
      <c r="AF150" s="95"/>
      <c r="AG150" s="95"/>
      <c r="AH150" s="95"/>
      <c r="AI150" s="95"/>
      <c r="AJ150" s="95"/>
      <c r="AK150" s="95"/>
      <c r="AL150" s="95"/>
      <c r="AM150" s="95"/>
      <c r="AN150" s="95"/>
      <c r="AO150" s="95"/>
      <c r="AP150" s="95"/>
      <c r="AQ150" s="95"/>
      <c r="AR150" s="95"/>
      <c r="AS150" s="95"/>
      <c r="AT150" s="95"/>
      <c r="AU150" s="96"/>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row>
    <row r="151" spans="1:156" ht="15" customHeight="1" x14ac:dyDescent="0.25">
      <c r="B151" s="98" t="s">
        <v>3119</v>
      </c>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99"/>
      <c r="AC151" s="99"/>
      <c r="AD151" s="99"/>
      <c r="AE151" s="99"/>
      <c r="AF151" s="99"/>
      <c r="AG151" s="99"/>
      <c r="AH151" s="99"/>
      <c r="AI151" s="99"/>
      <c r="AJ151" s="99"/>
      <c r="AK151" s="99"/>
      <c r="AL151" s="99"/>
      <c r="AM151" s="99"/>
      <c r="AN151" s="99"/>
      <c r="AO151" s="99"/>
      <c r="AP151" s="99"/>
      <c r="AQ151" s="99"/>
      <c r="AR151" s="99"/>
      <c r="AS151" s="99"/>
      <c r="AT151" s="99"/>
      <c r="AU151" s="100"/>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row>
    <row r="152" spans="1:156" ht="15" customHeight="1" x14ac:dyDescent="0.25">
      <c r="B152" s="74" t="s">
        <v>121</v>
      </c>
      <c r="AB152" s="80"/>
      <c r="AC152" s="80"/>
      <c r="AD152" s="80"/>
      <c r="AE152" s="80"/>
      <c r="AF152" s="80"/>
      <c r="AG152" s="80"/>
      <c r="AH152" s="80"/>
      <c r="AI152" s="80"/>
      <c r="AJ152" s="2" t="s">
        <v>117</v>
      </c>
      <c r="AN152" s="81"/>
      <c r="AO152" s="81"/>
      <c r="AP152" s="81"/>
      <c r="AQ152" s="81"/>
      <c r="AR152" s="81"/>
      <c r="AS152" s="81"/>
      <c r="AT152" s="81"/>
      <c r="AU152" s="93"/>
    </row>
    <row r="153" spans="1:156" ht="15" customHeight="1" x14ac:dyDescent="0.25">
      <c r="B153" s="74" t="s">
        <v>123</v>
      </c>
      <c r="AB153" s="77"/>
      <c r="AC153" s="77"/>
      <c r="AD153" s="77"/>
      <c r="AE153" s="77"/>
      <c r="AF153" s="77"/>
      <c r="AG153" s="77"/>
      <c r="AH153" s="77"/>
      <c r="AI153" s="77"/>
      <c r="AJ153" s="2" t="s">
        <v>117</v>
      </c>
      <c r="AN153" s="77"/>
      <c r="AO153" s="77"/>
      <c r="AP153" s="77"/>
      <c r="AQ153" s="77"/>
      <c r="AR153" s="77"/>
      <c r="AS153" s="77"/>
      <c r="AT153" s="77"/>
      <c r="AU153" s="78"/>
    </row>
    <row r="154" spans="1:156" ht="15" customHeight="1" x14ac:dyDescent="0.25">
      <c r="B154" s="74" t="s">
        <v>3123</v>
      </c>
      <c r="AU154" s="73"/>
    </row>
    <row r="155" spans="1:156" ht="15" customHeight="1" x14ac:dyDescent="0.25">
      <c r="B155" s="74" t="s">
        <v>3118</v>
      </c>
      <c r="AB155" s="79"/>
      <c r="AC155" s="79"/>
      <c r="AD155" s="79"/>
      <c r="AE155" s="79"/>
      <c r="AF155" s="79"/>
      <c r="AG155" s="79"/>
      <c r="AH155" s="79"/>
      <c r="AI155" s="79"/>
      <c r="AJ155" s="79"/>
      <c r="AK155" s="79"/>
      <c r="AL155" s="79"/>
      <c r="AM155" s="79"/>
      <c r="AN155" s="79"/>
      <c r="AO155" s="79"/>
      <c r="AP155" s="79"/>
      <c r="AQ155" s="79"/>
      <c r="AR155" s="79"/>
      <c r="AS155" s="79"/>
      <c r="AT155" s="79"/>
      <c r="AU155" s="97"/>
    </row>
    <row r="156" spans="1:156" ht="15" customHeight="1" x14ac:dyDescent="0.25">
      <c r="B156" s="75" t="s">
        <v>3124</v>
      </c>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82"/>
      <c r="AC156" s="82"/>
      <c r="AD156" s="82"/>
      <c r="AE156" s="82"/>
      <c r="AF156" s="82"/>
      <c r="AG156" s="82"/>
      <c r="AH156" s="82"/>
      <c r="AI156" s="82"/>
      <c r="AJ156" s="82"/>
      <c r="AK156" s="82"/>
      <c r="AL156" s="82"/>
      <c r="AM156" s="82"/>
      <c r="AN156" s="82"/>
      <c r="AO156" s="82"/>
      <c r="AP156" s="82"/>
      <c r="AQ156" s="82"/>
      <c r="AR156" s="82"/>
      <c r="AS156" s="82"/>
      <c r="AT156" s="82"/>
      <c r="AU156" s="92"/>
    </row>
    <row r="157" spans="1:156" ht="15" customHeight="1" x14ac:dyDescent="0.25">
      <c r="B157" s="94" t="s">
        <v>3122</v>
      </c>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c r="AA157" s="95"/>
      <c r="AB157" s="95"/>
      <c r="AC157" s="95"/>
      <c r="AD157" s="95"/>
      <c r="AE157" s="95"/>
      <c r="AF157" s="95"/>
      <c r="AG157" s="95"/>
      <c r="AH157" s="95"/>
      <c r="AI157" s="95"/>
      <c r="AJ157" s="95"/>
      <c r="AK157" s="95"/>
      <c r="AL157" s="95"/>
      <c r="AM157" s="95"/>
      <c r="AN157" s="95"/>
      <c r="AO157" s="95"/>
      <c r="AP157" s="95"/>
      <c r="AQ157" s="95"/>
      <c r="AR157" s="95"/>
      <c r="AS157" s="95"/>
      <c r="AT157" s="95"/>
      <c r="AU157" s="96"/>
    </row>
    <row r="158" spans="1:156" ht="15" customHeight="1" x14ac:dyDescent="0.25">
      <c r="B158" s="98" t="s">
        <v>3125</v>
      </c>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8"/>
    </row>
    <row r="159" spans="1:156" ht="15" customHeight="1" x14ac:dyDescent="0.25">
      <c r="B159" s="74" t="s">
        <v>3127</v>
      </c>
      <c r="AJ159" s="2" t="s">
        <v>117</v>
      </c>
      <c r="AN159" s="101"/>
      <c r="AO159" s="101"/>
      <c r="AP159" s="101"/>
      <c r="AQ159" s="101"/>
      <c r="AR159" s="101"/>
      <c r="AS159" s="101"/>
      <c r="AT159" s="101"/>
      <c r="AU159" s="102"/>
    </row>
    <row r="160" spans="1:156" ht="15" customHeight="1" x14ac:dyDescent="0.25">
      <c r="B160" s="74" t="s">
        <v>115</v>
      </c>
      <c r="AJ160" s="2" t="s">
        <v>117</v>
      </c>
      <c r="AU160" s="73"/>
    </row>
    <row r="161" spans="2:47" ht="15" customHeight="1" x14ac:dyDescent="0.25">
      <c r="B161" s="75" t="s">
        <v>3126</v>
      </c>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82"/>
      <c r="AC161" s="82"/>
      <c r="AD161" s="82"/>
      <c r="AE161" s="82"/>
      <c r="AF161" s="82"/>
      <c r="AG161" s="82"/>
      <c r="AH161" s="82"/>
      <c r="AI161" s="82"/>
      <c r="AJ161" s="82"/>
      <c r="AK161" s="82"/>
      <c r="AL161" s="82"/>
      <c r="AM161" s="82"/>
      <c r="AN161" s="82"/>
      <c r="AO161" s="82"/>
      <c r="AP161" s="82"/>
      <c r="AQ161" s="82"/>
      <c r="AR161" s="82"/>
      <c r="AS161" s="82"/>
      <c r="AT161" s="82"/>
      <c r="AU161" s="92"/>
    </row>
  </sheetData>
  <sortState xmlns:xlrd2="http://schemas.microsoft.com/office/spreadsheetml/2017/richdata2" ref="BLI164:BMM166">
    <sortCondition ref="BLI164"/>
  </sortState>
  <mergeCells count="9068">
    <mergeCell ref="ES19:EZ19"/>
    <mergeCell ref="ES20:EZ20"/>
    <mergeCell ref="ES21:EZ21"/>
    <mergeCell ref="ES22:EZ22"/>
    <mergeCell ref="B15:P15"/>
    <mergeCell ref="B16:P16"/>
    <mergeCell ref="B17:P17"/>
    <mergeCell ref="B18:P18"/>
    <mergeCell ref="B19:P19"/>
    <mergeCell ref="B20:P20"/>
    <mergeCell ref="B21:P21"/>
    <mergeCell ref="B22:P22"/>
    <mergeCell ref="B11:BF11"/>
    <mergeCell ref="CY5:DB5"/>
    <mergeCell ref="CY6:DB6"/>
    <mergeCell ref="CY7:DB7"/>
    <mergeCell ref="CY8:DB8"/>
    <mergeCell ref="CY9:DB9"/>
    <mergeCell ref="J6:Q6"/>
    <mergeCell ref="J7:Q7"/>
    <mergeCell ref="J8:Q8"/>
    <mergeCell ref="J9:Q9"/>
    <mergeCell ref="AR6:AY6"/>
    <mergeCell ref="AR7:AY7"/>
    <mergeCell ref="AR8:AY8"/>
    <mergeCell ref="CA19:CG19"/>
    <mergeCell ref="CH19:CN19"/>
    <mergeCell ref="CO19:CU19"/>
    <mergeCell ref="CV19:DB19"/>
    <mergeCell ref="CA17:CG17"/>
    <mergeCell ref="CH17:CN17"/>
    <mergeCell ref="CO17:CU17"/>
    <mergeCell ref="BH12:BZ12"/>
    <mergeCell ref="BH13:BZ13"/>
    <mergeCell ref="BH14:BZ14"/>
    <mergeCell ref="BH15:BZ15"/>
    <mergeCell ref="BH16:BZ16"/>
    <mergeCell ref="BH17:BZ17"/>
    <mergeCell ref="BH18:BZ18"/>
    <mergeCell ref="BH19:BZ19"/>
    <mergeCell ref="BH20:BZ20"/>
    <mergeCell ref="BH21:BZ21"/>
    <mergeCell ref="BH11:DB11"/>
    <mergeCell ref="AA9:AH9"/>
    <mergeCell ref="AR9:AY9"/>
    <mergeCell ref="CO9:CX9"/>
    <mergeCell ref="CA21:CG21"/>
    <mergeCell ref="CH21:CN21"/>
    <mergeCell ref="CO21:CU21"/>
    <mergeCell ref="CV21:DB21"/>
    <mergeCell ref="CA20:CG20"/>
    <mergeCell ref="CH20:CN20"/>
    <mergeCell ref="CO20:CU20"/>
    <mergeCell ref="CV20:DB20"/>
    <mergeCell ref="CV17:DB17"/>
    <mergeCell ref="CA18:CG18"/>
    <mergeCell ref="CH18:CN18"/>
    <mergeCell ref="CO18:CU18"/>
    <mergeCell ref="B2:BX2"/>
    <mergeCell ref="Q3:AY3"/>
    <mergeCell ref="Q4:AY4"/>
    <mergeCell ref="Q5:AY5"/>
    <mergeCell ref="BZ2:DB2"/>
    <mergeCell ref="BZ3:CJ3"/>
    <mergeCell ref="BZ4:CJ4"/>
    <mergeCell ref="BZ5:CJ5"/>
    <mergeCell ref="BZ6:CJ6"/>
    <mergeCell ref="BZ7:CJ7"/>
    <mergeCell ref="BZ8:CJ8"/>
    <mergeCell ref="BZ9:CJ9"/>
    <mergeCell ref="CK3:CN3"/>
    <mergeCell ref="CK4:CN4"/>
    <mergeCell ref="CK5:CN5"/>
    <mergeCell ref="CK6:CN6"/>
    <mergeCell ref="CK7:CN7"/>
    <mergeCell ref="CK8:CN8"/>
    <mergeCell ref="CK9:CN9"/>
    <mergeCell ref="BJ5:BN5"/>
    <mergeCell ref="BJ3:BX3"/>
    <mergeCell ref="BJ4:BX4"/>
    <mergeCell ref="BJ6:BX6"/>
    <mergeCell ref="BJ7:BX7"/>
    <mergeCell ref="BJ8:BX8"/>
    <mergeCell ref="BJ9:BX9"/>
    <mergeCell ref="CO3:CX3"/>
    <mergeCell ref="CO4:CX4"/>
    <mergeCell ref="CO5:CX5"/>
    <mergeCell ref="CO6:CX6"/>
    <mergeCell ref="CO7:CX7"/>
    <mergeCell ref="CO8:CX8"/>
    <mergeCell ref="B45:D45"/>
    <mergeCell ref="E45:AF45"/>
    <mergeCell ref="AG45:BA45"/>
    <mergeCell ref="BB45:BH45"/>
    <mergeCell ref="BI45:BP45"/>
    <mergeCell ref="BQ45:BX45"/>
    <mergeCell ref="BY45:CF45"/>
    <mergeCell ref="CG45:CN45"/>
    <mergeCell ref="CO45:CV45"/>
    <mergeCell ref="CW45:DD45"/>
    <mergeCell ref="DE45:DL45"/>
    <mergeCell ref="DM45:DT45"/>
    <mergeCell ref="DU45:EB45"/>
    <mergeCell ref="EC45:EJ45"/>
    <mergeCell ref="EK45:ER45"/>
    <mergeCell ref="CY3:DB3"/>
    <mergeCell ref="CY4:DB4"/>
    <mergeCell ref="B24:EZ24"/>
    <mergeCell ref="B44:D44"/>
    <mergeCell ref="E44:AF44"/>
    <mergeCell ref="AG44:BA44"/>
    <mergeCell ref="BB44:BH44"/>
    <mergeCell ref="BI44:BP44"/>
    <mergeCell ref="BQ44:BX44"/>
    <mergeCell ref="BY44:CF44"/>
    <mergeCell ref="CG44:CN44"/>
    <mergeCell ref="CO44:CV44"/>
    <mergeCell ref="CW44:DD44"/>
    <mergeCell ref="DE44:DL44"/>
    <mergeCell ref="DM44:DT44"/>
    <mergeCell ref="DU44:EB44"/>
    <mergeCell ref="EC44:EJ44"/>
    <mergeCell ref="B42:D42"/>
    <mergeCell ref="E42:AF42"/>
    <mergeCell ref="AG42:BA42"/>
    <mergeCell ref="BB42:BH42"/>
    <mergeCell ref="BI42:BP42"/>
    <mergeCell ref="BQ42:BX42"/>
    <mergeCell ref="BY42:CF42"/>
    <mergeCell ref="CG42:CN42"/>
    <mergeCell ref="CO42:CV42"/>
    <mergeCell ref="CW42:DD42"/>
    <mergeCell ref="DE42:DL42"/>
    <mergeCell ref="DM42:DT42"/>
    <mergeCell ref="DU42:EB42"/>
    <mergeCell ref="EC42:EJ42"/>
    <mergeCell ref="EK42:ER42"/>
    <mergeCell ref="ES42:EZ42"/>
    <mergeCell ref="EC43:EJ43"/>
    <mergeCell ref="EK43:ER43"/>
    <mergeCell ref="B43:D43"/>
    <mergeCell ref="E43:AF43"/>
    <mergeCell ref="AG43:BA43"/>
    <mergeCell ref="BB43:BH43"/>
    <mergeCell ref="BI43:BP43"/>
    <mergeCell ref="BQ43:BX43"/>
    <mergeCell ref="BY43:CF43"/>
    <mergeCell ref="CG43:CN43"/>
    <mergeCell ref="CO43:CV43"/>
    <mergeCell ref="CW43:DD43"/>
    <mergeCell ref="DE43:DL43"/>
    <mergeCell ref="DM43:DT43"/>
    <mergeCell ref="DU43:EB43"/>
    <mergeCell ref="IJ76:IP76"/>
    <mergeCell ref="IJ77:IP77"/>
    <mergeCell ref="IJ78:IP78"/>
    <mergeCell ref="IJ79:IP79"/>
    <mergeCell ref="IJ80:IP80"/>
    <mergeCell ref="IJ81:IP81"/>
    <mergeCell ref="IJ82:IP82"/>
    <mergeCell ref="IJ61:IP61"/>
    <mergeCell ref="IJ62:IP62"/>
    <mergeCell ref="IJ63:IP63"/>
    <mergeCell ref="IJ64:IP64"/>
    <mergeCell ref="IJ65:IP65"/>
    <mergeCell ref="IJ66:IP66"/>
    <mergeCell ref="IJ67:IP67"/>
    <mergeCell ref="IJ68:IP68"/>
    <mergeCell ref="IJ69:IP69"/>
    <mergeCell ref="IJ70:IP70"/>
    <mergeCell ref="IJ71:IP71"/>
    <mergeCell ref="IJ72:IP72"/>
    <mergeCell ref="BI40:BP40"/>
    <mergeCell ref="ES43:EZ43"/>
    <mergeCell ref="BI41:BP41"/>
    <mergeCell ref="BQ38:BX38"/>
    <mergeCell ref="BQ39:BX39"/>
    <mergeCell ref="BQ40:BX40"/>
    <mergeCell ref="BQ41:BX41"/>
    <mergeCell ref="HB56:HI56"/>
    <mergeCell ref="HJ56:HQ56"/>
    <mergeCell ref="HR56:HY56"/>
    <mergeCell ref="HZ56:II56"/>
    <mergeCell ref="GT52:HA52"/>
    <mergeCell ref="HB52:HI52"/>
    <mergeCell ref="FB45:GS45"/>
    <mergeCell ref="GT45:HA45"/>
    <mergeCell ref="HB45:HI45"/>
    <mergeCell ref="ES45:EZ45"/>
    <mergeCell ref="EK44:ER44"/>
    <mergeCell ref="ES44:EZ44"/>
    <mergeCell ref="FB44:GS44"/>
    <mergeCell ref="GT54:HA54"/>
    <mergeCell ref="HB54:HI54"/>
    <mergeCell ref="HJ54:HQ54"/>
    <mergeCell ref="HR54:HY54"/>
    <mergeCell ref="HZ54:II54"/>
    <mergeCell ref="HJ52:HQ52"/>
    <mergeCell ref="HR52:HY52"/>
    <mergeCell ref="HZ52:II52"/>
    <mergeCell ref="FB42:GS42"/>
    <mergeCell ref="GT42:HA42"/>
    <mergeCell ref="HB42:HI42"/>
    <mergeCell ref="HJ42:HQ42"/>
    <mergeCell ref="DY68:EZ68"/>
    <mergeCell ref="DY69:EZ69"/>
    <mergeCell ref="IJ3:IP3"/>
    <mergeCell ref="IJ4:IP4"/>
    <mergeCell ref="IJ5:IP5"/>
    <mergeCell ref="IJ6:IP6"/>
    <mergeCell ref="IJ7:IP7"/>
    <mergeCell ref="IJ8:IP8"/>
    <mergeCell ref="IJ9:IP9"/>
    <mergeCell ref="IJ10:IP10"/>
    <mergeCell ref="IJ11:IP11"/>
    <mergeCell ref="IJ12:IP12"/>
    <mergeCell ref="IJ13:IP13"/>
    <mergeCell ref="IJ14:IP14"/>
    <mergeCell ref="IJ15:IP15"/>
    <mergeCell ref="IJ16:IP16"/>
    <mergeCell ref="IJ17:IP17"/>
    <mergeCell ref="IJ18:IP18"/>
    <mergeCell ref="IJ19:IP19"/>
    <mergeCell ref="IJ20:IP20"/>
    <mergeCell ref="IJ21:IP21"/>
    <mergeCell ref="IJ22:IP22"/>
    <mergeCell ref="IJ23:IP23"/>
    <mergeCell ref="IJ24:IP24"/>
    <mergeCell ref="IJ25:IP25"/>
    <mergeCell ref="IJ26:IP26"/>
    <mergeCell ref="DD18:EZ18"/>
    <mergeCell ref="DD19:EF19"/>
    <mergeCell ref="DD20:EF20"/>
    <mergeCell ref="DD21:EF21"/>
    <mergeCell ref="DD22:EF22"/>
    <mergeCell ref="EG22:EN22"/>
    <mergeCell ref="JF57:JJ57"/>
    <mergeCell ref="KU57:MZ57"/>
    <mergeCell ref="DY48:EZ48"/>
    <mergeCell ref="DY49:EZ49"/>
    <mergeCell ref="DY50:EZ50"/>
    <mergeCell ref="DY51:EZ51"/>
    <mergeCell ref="DY52:EZ52"/>
    <mergeCell ref="DY53:EZ53"/>
    <mergeCell ref="DY54:EZ54"/>
    <mergeCell ref="DY55:EZ55"/>
    <mergeCell ref="DY56:EZ56"/>
    <mergeCell ref="DY57:EZ57"/>
    <mergeCell ref="DY58:EZ58"/>
    <mergeCell ref="DY59:EZ59"/>
    <mergeCell ref="DY60:EZ60"/>
    <mergeCell ref="IJ50:IP50"/>
    <mergeCell ref="IJ51:IP51"/>
    <mergeCell ref="IJ52:IP52"/>
    <mergeCell ref="IJ53:IP53"/>
    <mergeCell ref="IJ54:IP54"/>
    <mergeCell ref="IJ55:IP55"/>
    <mergeCell ref="IJ57:IP57"/>
    <mergeCell ref="IJ58:IP58"/>
    <mergeCell ref="IJ59:IP59"/>
    <mergeCell ref="IJ60:IP60"/>
    <mergeCell ref="JK60:KB60"/>
    <mergeCell ref="FB54:GS54"/>
    <mergeCell ref="IJ48:IP48"/>
    <mergeCell ref="IJ49:IP49"/>
    <mergeCell ref="KC60:KT60"/>
    <mergeCell ref="IQ59:IW59"/>
    <mergeCell ref="IQ60:IW60"/>
    <mergeCell ref="JK55:KB55"/>
    <mergeCell ref="KC55:KT55"/>
    <mergeCell ref="IX60:JE60"/>
    <mergeCell ref="FB56:GS56"/>
    <mergeCell ref="GT56:HA56"/>
    <mergeCell ref="JF56:JJ56"/>
    <mergeCell ref="IJ56:IP56"/>
    <mergeCell ref="KC52:KT52"/>
    <mergeCell ref="KU52:MZ52"/>
    <mergeCell ref="FB53:GS53"/>
    <mergeCell ref="GT53:HA53"/>
    <mergeCell ref="HB53:HI53"/>
    <mergeCell ref="HJ53:HQ53"/>
    <mergeCell ref="HR53:HY53"/>
    <mergeCell ref="HZ53:II53"/>
    <mergeCell ref="IQ53:IW53"/>
    <mergeCell ref="IX53:JE53"/>
    <mergeCell ref="JF53:JJ53"/>
    <mergeCell ref="JK53:KB53"/>
    <mergeCell ref="IQ56:IW56"/>
    <mergeCell ref="IX56:JE56"/>
    <mergeCell ref="JK56:KB56"/>
    <mergeCell ref="KC56:KT56"/>
    <mergeCell ref="HB57:HI57"/>
    <mergeCell ref="KU60:MZ60"/>
    <mergeCell ref="KU59:MZ59"/>
    <mergeCell ref="JF60:JJ60"/>
    <mergeCell ref="FB57:GS57"/>
    <mergeCell ref="GT57:HA57"/>
    <mergeCell ref="JK57:KB57"/>
    <mergeCell ref="KC57:KT57"/>
    <mergeCell ref="KU56:MZ56"/>
    <mergeCell ref="KC20:KT20"/>
    <mergeCell ref="KU20:MZ20"/>
    <mergeCell ref="FB48:GS48"/>
    <mergeCell ref="GT48:HA48"/>
    <mergeCell ref="HB48:HI48"/>
    <mergeCell ref="HJ48:HQ48"/>
    <mergeCell ref="HR48:HY48"/>
    <mergeCell ref="HZ48:II48"/>
    <mergeCell ref="IQ48:IW48"/>
    <mergeCell ref="IX48:JE48"/>
    <mergeCell ref="JF48:JJ48"/>
    <mergeCell ref="JK48:KB48"/>
    <mergeCell ref="KC48:KT48"/>
    <mergeCell ref="KU48:MZ48"/>
    <mergeCell ref="FB49:GS49"/>
    <mergeCell ref="GT49:HA49"/>
    <mergeCell ref="HB49:HI49"/>
    <mergeCell ref="HJ49:HQ49"/>
    <mergeCell ref="HR49:HY49"/>
    <mergeCell ref="HZ49:II49"/>
    <mergeCell ref="IQ49:IW49"/>
    <mergeCell ref="IX49:JE49"/>
    <mergeCell ref="JF49:JJ49"/>
    <mergeCell ref="JK49:KB49"/>
    <mergeCell ref="IQ54:IW54"/>
    <mergeCell ref="IX54:JE54"/>
    <mergeCell ref="JF54:JJ54"/>
    <mergeCell ref="JK54:KB54"/>
    <mergeCell ref="KC54:KT54"/>
    <mergeCell ref="IJ47:IP47"/>
    <mergeCell ref="B70:AN70"/>
    <mergeCell ref="J71:AN71"/>
    <mergeCell ref="DY70:EZ70"/>
    <mergeCell ref="DY71:EZ71"/>
    <mergeCell ref="CS65:CZ65"/>
    <mergeCell ref="CS66:CZ66"/>
    <mergeCell ref="CS67:CZ67"/>
    <mergeCell ref="CS68:CZ68"/>
    <mergeCell ref="CS69:CZ69"/>
    <mergeCell ref="B48:AN48"/>
    <mergeCell ref="P49:AN49"/>
    <mergeCell ref="P50:AN50"/>
    <mergeCell ref="P51:AN51"/>
    <mergeCell ref="P52:AN52"/>
    <mergeCell ref="P53:AN53"/>
    <mergeCell ref="P54:AN54"/>
    <mergeCell ref="P55:AN55"/>
    <mergeCell ref="P56:AN56"/>
    <mergeCell ref="P57:AN57"/>
    <mergeCell ref="P58:AN58"/>
    <mergeCell ref="P59:AN59"/>
    <mergeCell ref="P60:AN60"/>
    <mergeCell ref="P61:AN61"/>
    <mergeCell ref="P62:AN62"/>
    <mergeCell ref="HJ57:HQ57"/>
    <mergeCell ref="HR57:HY57"/>
    <mergeCell ref="HZ57:II57"/>
    <mergeCell ref="DY61:EZ61"/>
    <mergeCell ref="DY62:EZ62"/>
    <mergeCell ref="DY63:EZ63"/>
    <mergeCell ref="DY64:EZ64"/>
    <mergeCell ref="P64:AN64"/>
    <mergeCell ref="P65:AN65"/>
    <mergeCell ref="P66:AN66"/>
    <mergeCell ref="P67:AN67"/>
    <mergeCell ref="P68:AN68"/>
    <mergeCell ref="DY65:EZ65"/>
    <mergeCell ref="DY66:EZ66"/>
    <mergeCell ref="P69:AN69"/>
    <mergeCell ref="CS50:CZ50"/>
    <mergeCell ref="HZ80:II80"/>
    <mergeCell ref="IQ80:IW80"/>
    <mergeCell ref="IX80:JE80"/>
    <mergeCell ref="JF80:JJ80"/>
    <mergeCell ref="JK80:KB80"/>
    <mergeCell ref="KC80:KT80"/>
    <mergeCell ref="KU80:MZ80"/>
    <mergeCell ref="HZ78:II78"/>
    <mergeCell ref="IQ78:IW78"/>
    <mergeCell ref="IX78:JE78"/>
    <mergeCell ref="JF78:JJ78"/>
    <mergeCell ref="JK78:KB78"/>
    <mergeCell ref="KC78:KT78"/>
    <mergeCell ref="KU78:MZ78"/>
    <mergeCell ref="FB79:GS79"/>
    <mergeCell ref="GT79:HA79"/>
    <mergeCell ref="HB79:HI79"/>
    <mergeCell ref="HJ79:HQ79"/>
    <mergeCell ref="HR79:HY79"/>
    <mergeCell ref="HZ79:II79"/>
    <mergeCell ref="IQ79:IW79"/>
    <mergeCell ref="IX79:JE79"/>
    <mergeCell ref="IQ57:IW57"/>
    <mergeCell ref="HZ81:II81"/>
    <mergeCell ref="IQ81:IW81"/>
    <mergeCell ref="IX81:JE81"/>
    <mergeCell ref="JF81:JJ81"/>
    <mergeCell ref="JK81:KB81"/>
    <mergeCell ref="KC81:KT81"/>
    <mergeCell ref="KU81:MZ81"/>
    <mergeCell ref="CS51:CZ51"/>
    <mergeCell ref="CS52:CZ52"/>
    <mergeCell ref="CS53:CZ53"/>
    <mergeCell ref="CS54:CZ54"/>
    <mergeCell ref="FB81:GS81"/>
    <mergeCell ref="GT81:HA81"/>
    <mergeCell ref="HB81:HI81"/>
    <mergeCell ref="HJ81:HQ81"/>
    <mergeCell ref="IQ51:IW51"/>
    <mergeCell ref="IX51:JE51"/>
    <mergeCell ref="JF51:JJ51"/>
    <mergeCell ref="JK51:KB51"/>
    <mergeCell ref="KC51:KT51"/>
    <mergeCell ref="KU51:MZ51"/>
    <mergeCell ref="FB52:GS52"/>
    <mergeCell ref="JF77:JJ77"/>
    <mergeCell ref="JK77:KB77"/>
    <mergeCell ref="KC77:KT77"/>
    <mergeCell ref="KU77:MZ77"/>
    <mergeCell ref="FB78:GS78"/>
    <mergeCell ref="GT78:HA78"/>
    <mergeCell ref="HB78:HI78"/>
    <mergeCell ref="HJ78:HQ78"/>
    <mergeCell ref="HR78:HY78"/>
    <mergeCell ref="IX57:JE57"/>
    <mergeCell ref="JF79:JJ79"/>
    <mergeCell ref="JK79:KB79"/>
    <mergeCell ref="KC79:KT79"/>
    <mergeCell ref="KU79:MZ79"/>
    <mergeCell ref="FB77:GS77"/>
    <mergeCell ref="GT77:HA77"/>
    <mergeCell ref="HB77:HI77"/>
    <mergeCell ref="JF76:JJ76"/>
    <mergeCell ref="JK76:KB76"/>
    <mergeCell ref="KC76:KT76"/>
    <mergeCell ref="KU76:MZ76"/>
    <mergeCell ref="FB50:GS50"/>
    <mergeCell ref="GT50:HA50"/>
    <mergeCell ref="HB50:HI50"/>
    <mergeCell ref="HJ50:HQ50"/>
    <mergeCell ref="HR50:HY50"/>
    <mergeCell ref="HZ50:II50"/>
    <mergeCell ref="IQ50:IW50"/>
    <mergeCell ref="IX50:JE50"/>
    <mergeCell ref="HJ51:HQ51"/>
    <mergeCell ref="HR51:HY51"/>
    <mergeCell ref="HZ51:II51"/>
    <mergeCell ref="KC53:KT53"/>
    <mergeCell ref="KU53:MZ53"/>
    <mergeCell ref="KU54:MZ54"/>
    <mergeCell ref="FB55:GS55"/>
    <mergeCell ref="GT55:HA55"/>
    <mergeCell ref="HB55:HI55"/>
    <mergeCell ref="HJ55:HQ55"/>
    <mergeCell ref="HR55:HY55"/>
    <mergeCell ref="HZ55:II55"/>
    <mergeCell ref="KU55:MZ55"/>
    <mergeCell ref="JF52:JJ52"/>
    <mergeCell ref="JK52:KB52"/>
    <mergeCell ref="GT44:HA44"/>
    <mergeCell ref="HB44:HI44"/>
    <mergeCell ref="HJ44:HQ44"/>
    <mergeCell ref="HR44:HY44"/>
    <mergeCell ref="HZ44:II44"/>
    <mergeCell ref="IQ44:IW44"/>
    <mergeCell ref="IX44:JE44"/>
    <mergeCell ref="JF44:JJ44"/>
    <mergeCell ref="JK44:KB44"/>
    <mergeCell ref="KC44:KT44"/>
    <mergeCell ref="KU44:MZ44"/>
    <mergeCell ref="IJ43:IP43"/>
    <mergeCell ref="IJ44:IP44"/>
    <mergeCell ref="HJ45:HQ45"/>
    <mergeCell ref="HR45:HY45"/>
    <mergeCell ref="HZ45:II45"/>
    <mergeCell ref="IQ45:IW45"/>
    <mergeCell ref="IX45:JE45"/>
    <mergeCell ref="JF45:JJ45"/>
    <mergeCell ref="JK45:KB45"/>
    <mergeCell ref="KC45:KT45"/>
    <mergeCell ref="KU45:MZ45"/>
    <mergeCell ref="IJ45:IP45"/>
    <mergeCell ref="KU46:MZ46"/>
    <mergeCell ref="JF47:JJ47"/>
    <mergeCell ref="JK47:KB47"/>
    <mergeCell ref="KC47:KT47"/>
    <mergeCell ref="KC49:KT49"/>
    <mergeCell ref="KU49:MZ49"/>
    <mergeCell ref="IJ46:IP46"/>
    <mergeCell ref="HR42:HY42"/>
    <mergeCell ref="HZ42:II42"/>
    <mergeCell ref="IQ42:IW42"/>
    <mergeCell ref="IX42:JE42"/>
    <mergeCell ref="JF42:JJ42"/>
    <mergeCell ref="JK42:KB42"/>
    <mergeCell ref="KC42:KT42"/>
    <mergeCell ref="KU42:MZ42"/>
    <mergeCell ref="IJ41:IP41"/>
    <mergeCell ref="IJ42:IP42"/>
    <mergeCell ref="FB43:GS43"/>
    <mergeCell ref="GT43:HA43"/>
    <mergeCell ref="HB43:HI43"/>
    <mergeCell ref="HJ43:HQ43"/>
    <mergeCell ref="HR43:HY43"/>
    <mergeCell ref="HZ43:II43"/>
    <mergeCell ref="IQ43:IW43"/>
    <mergeCell ref="IX43:JE43"/>
    <mergeCell ref="JF43:JJ43"/>
    <mergeCell ref="JK43:KB43"/>
    <mergeCell ref="KC43:KT43"/>
    <mergeCell ref="KU43:MZ43"/>
    <mergeCell ref="FB40:GS40"/>
    <mergeCell ref="GT40:HA40"/>
    <mergeCell ref="HB40:HI40"/>
    <mergeCell ref="HJ40:HQ40"/>
    <mergeCell ref="HR40:HY40"/>
    <mergeCell ref="HZ40:II40"/>
    <mergeCell ref="IQ40:IW40"/>
    <mergeCell ref="IX40:JE40"/>
    <mergeCell ref="JF40:JJ40"/>
    <mergeCell ref="JK40:KB40"/>
    <mergeCell ref="KC40:KT40"/>
    <mergeCell ref="KU40:MZ40"/>
    <mergeCell ref="IJ39:IP39"/>
    <mergeCell ref="IJ40:IP40"/>
    <mergeCell ref="FB41:GS41"/>
    <mergeCell ref="GT41:HA41"/>
    <mergeCell ref="HB41:HI41"/>
    <mergeCell ref="HJ41:HQ41"/>
    <mergeCell ref="HR41:HY41"/>
    <mergeCell ref="HZ41:II41"/>
    <mergeCell ref="IQ41:IW41"/>
    <mergeCell ref="IX41:JE41"/>
    <mergeCell ref="JF41:JJ41"/>
    <mergeCell ref="JK41:KB41"/>
    <mergeCell ref="KC41:KT41"/>
    <mergeCell ref="KU41:MZ41"/>
    <mergeCell ref="FB38:GS38"/>
    <mergeCell ref="GT38:HA38"/>
    <mergeCell ref="HB38:HI38"/>
    <mergeCell ref="HJ38:HQ38"/>
    <mergeCell ref="HR38:HY38"/>
    <mergeCell ref="HZ38:II38"/>
    <mergeCell ref="IQ38:IW38"/>
    <mergeCell ref="IX38:JE38"/>
    <mergeCell ref="JF38:JJ38"/>
    <mergeCell ref="JK38:KB38"/>
    <mergeCell ref="KC38:KT38"/>
    <mergeCell ref="KU38:MZ38"/>
    <mergeCell ref="IJ38:IP38"/>
    <mergeCell ref="FB39:GS39"/>
    <mergeCell ref="GT39:HA39"/>
    <mergeCell ref="HB39:HI39"/>
    <mergeCell ref="HJ39:HQ39"/>
    <mergeCell ref="HR39:HY39"/>
    <mergeCell ref="HZ39:II39"/>
    <mergeCell ref="IQ39:IW39"/>
    <mergeCell ref="IX39:JE39"/>
    <mergeCell ref="JF39:JJ39"/>
    <mergeCell ref="JK39:KB39"/>
    <mergeCell ref="KC39:KT39"/>
    <mergeCell ref="KU39:MZ39"/>
    <mergeCell ref="FB36:GS36"/>
    <mergeCell ref="GT36:HA36"/>
    <mergeCell ref="HB36:HI36"/>
    <mergeCell ref="HJ36:HQ36"/>
    <mergeCell ref="HR36:HY36"/>
    <mergeCell ref="HZ36:II36"/>
    <mergeCell ref="IQ36:IW36"/>
    <mergeCell ref="IX36:JE36"/>
    <mergeCell ref="JF36:JJ36"/>
    <mergeCell ref="JK36:KB36"/>
    <mergeCell ref="KC36:KT36"/>
    <mergeCell ref="KU36:MZ36"/>
    <mergeCell ref="FB37:GS37"/>
    <mergeCell ref="GT37:HA37"/>
    <mergeCell ref="HB37:HI37"/>
    <mergeCell ref="HJ37:HQ37"/>
    <mergeCell ref="HR37:HY37"/>
    <mergeCell ref="HZ37:II37"/>
    <mergeCell ref="IQ37:IW37"/>
    <mergeCell ref="IX37:JE37"/>
    <mergeCell ref="JF37:JJ37"/>
    <mergeCell ref="JK37:KB37"/>
    <mergeCell ref="KC37:KT37"/>
    <mergeCell ref="KU37:MZ37"/>
    <mergeCell ref="IJ36:IP36"/>
    <mergeCell ref="IJ37:IP37"/>
    <mergeCell ref="HR34:HY34"/>
    <mergeCell ref="HZ34:II34"/>
    <mergeCell ref="IQ34:IW34"/>
    <mergeCell ref="IX34:JE34"/>
    <mergeCell ref="JF34:JJ34"/>
    <mergeCell ref="JK34:KB34"/>
    <mergeCell ref="KC34:KT34"/>
    <mergeCell ref="KU34:MZ34"/>
    <mergeCell ref="GT35:HA35"/>
    <mergeCell ref="HB35:HI35"/>
    <mergeCell ref="HJ35:HQ35"/>
    <mergeCell ref="HR35:HY35"/>
    <mergeCell ref="HZ35:II35"/>
    <mergeCell ref="IQ35:IW35"/>
    <mergeCell ref="IX35:JE35"/>
    <mergeCell ref="JF35:JJ35"/>
    <mergeCell ref="JK35:KB35"/>
    <mergeCell ref="KC35:KT35"/>
    <mergeCell ref="KU35:MZ35"/>
    <mergeCell ref="IJ34:IP34"/>
    <mergeCell ref="IJ35:IP35"/>
    <mergeCell ref="JF31:JJ31"/>
    <mergeCell ref="JK31:KB31"/>
    <mergeCell ref="KC31:KT31"/>
    <mergeCell ref="KU31:MZ31"/>
    <mergeCell ref="GT32:HA32"/>
    <mergeCell ref="HB32:HI32"/>
    <mergeCell ref="HJ32:HQ32"/>
    <mergeCell ref="HR32:HY32"/>
    <mergeCell ref="HZ32:II32"/>
    <mergeCell ref="IQ32:IW32"/>
    <mergeCell ref="IX32:JE32"/>
    <mergeCell ref="JF32:JJ32"/>
    <mergeCell ref="JK32:KB32"/>
    <mergeCell ref="KC32:KT32"/>
    <mergeCell ref="KU32:MZ32"/>
    <mergeCell ref="GT33:HA33"/>
    <mergeCell ref="HB33:HI33"/>
    <mergeCell ref="HJ33:HQ33"/>
    <mergeCell ref="HR33:HY33"/>
    <mergeCell ref="HZ33:II33"/>
    <mergeCell ref="IQ33:IW33"/>
    <mergeCell ref="IX33:JE33"/>
    <mergeCell ref="JF33:JJ33"/>
    <mergeCell ref="JK33:KB33"/>
    <mergeCell ref="KC33:KT33"/>
    <mergeCell ref="KU33:MZ33"/>
    <mergeCell ref="IJ31:IP31"/>
    <mergeCell ref="IJ32:IP32"/>
    <mergeCell ref="IJ33:IP33"/>
    <mergeCell ref="KC27:KT27"/>
    <mergeCell ref="KU27:MZ27"/>
    <mergeCell ref="FB28:GS28"/>
    <mergeCell ref="GT28:HA28"/>
    <mergeCell ref="HB28:HI28"/>
    <mergeCell ref="HJ28:HQ28"/>
    <mergeCell ref="HR28:HY28"/>
    <mergeCell ref="HZ28:II28"/>
    <mergeCell ref="IQ28:IW28"/>
    <mergeCell ref="IX28:JE28"/>
    <mergeCell ref="JF28:JJ28"/>
    <mergeCell ref="JK28:KB28"/>
    <mergeCell ref="KC28:KT28"/>
    <mergeCell ref="KU28:MZ28"/>
    <mergeCell ref="HZ30:II30"/>
    <mergeCell ref="IQ30:IW30"/>
    <mergeCell ref="IX30:JE30"/>
    <mergeCell ref="JF30:JJ30"/>
    <mergeCell ref="JK30:KB30"/>
    <mergeCell ref="KC30:KT30"/>
    <mergeCell ref="KU30:MZ30"/>
    <mergeCell ref="IJ27:IP27"/>
    <mergeCell ref="IJ28:IP28"/>
    <mergeCell ref="IJ29:IP29"/>
    <mergeCell ref="IJ30:IP30"/>
    <mergeCell ref="JF29:JJ29"/>
    <mergeCell ref="JK29:KB29"/>
    <mergeCell ref="KC29:KT29"/>
    <mergeCell ref="KU29:MZ29"/>
    <mergeCell ref="GT30:HA30"/>
    <mergeCell ref="IX82:JE82"/>
    <mergeCell ref="DO78:EQ78"/>
    <mergeCell ref="DO79:EQ79"/>
    <mergeCell ref="DO80:EQ80"/>
    <mergeCell ref="ER78:EZ78"/>
    <mergeCell ref="ER79:EZ79"/>
    <mergeCell ref="IQ77:IW77"/>
    <mergeCell ref="IX77:JE77"/>
    <mergeCell ref="FB80:GS80"/>
    <mergeCell ref="GT80:HA80"/>
    <mergeCell ref="HB80:HI80"/>
    <mergeCell ref="HJ80:HQ80"/>
    <mergeCell ref="HR80:HY80"/>
    <mergeCell ref="IQ82:IW82"/>
    <mergeCell ref="IX75:JE75"/>
    <mergeCell ref="FB47:GS47"/>
    <mergeCell ref="GT47:HA47"/>
    <mergeCell ref="HB47:HI47"/>
    <mergeCell ref="HJ47:HQ47"/>
    <mergeCell ref="HR47:HY47"/>
    <mergeCell ref="HZ47:II47"/>
    <mergeCell ref="IX47:JE47"/>
    <mergeCell ref="ER76:EZ76"/>
    <mergeCell ref="DO77:EQ77"/>
    <mergeCell ref="ER74:EZ74"/>
    <mergeCell ref="ER75:EZ75"/>
    <mergeCell ref="DQ54:DX54"/>
    <mergeCell ref="DI55:DP55"/>
    <mergeCell ref="DI57:DP57"/>
    <mergeCell ref="IQ52:IW52"/>
    <mergeCell ref="IX52:JE52"/>
    <mergeCell ref="HR81:HY81"/>
    <mergeCell ref="IX8:JE8"/>
    <mergeCell ref="IX9:JE9"/>
    <mergeCell ref="IX10:JE10"/>
    <mergeCell ref="IX11:JE11"/>
    <mergeCell ref="IX12:JE12"/>
    <mergeCell ref="IX13:JE13"/>
    <mergeCell ref="IX14:JE14"/>
    <mergeCell ref="IX15:JE15"/>
    <mergeCell ref="IX16:JE16"/>
    <mergeCell ref="IX17:JE17"/>
    <mergeCell ref="IX18:JE18"/>
    <mergeCell ref="IX19:JE19"/>
    <mergeCell ref="HZ29:II29"/>
    <mergeCell ref="IQ29:IW29"/>
    <mergeCell ref="IX29:JE29"/>
    <mergeCell ref="HZ27:II27"/>
    <mergeCell ref="IQ27:IW27"/>
    <mergeCell ref="IX27:JE27"/>
    <mergeCell ref="DE93:DM93"/>
    <mergeCell ref="IX61:JE61"/>
    <mergeCell ref="IX62:JE62"/>
    <mergeCell ref="IX63:JE63"/>
    <mergeCell ref="CB77:DD77"/>
    <mergeCell ref="CB78:DD78"/>
    <mergeCell ref="CB79:DD79"/>
    <mergeCell ref="CB80:DD80"/>
    <mergeCell ref="CB81:DD81"/>
    <mergeCell ref="CB82:DD82"/>
    <mergeCell ref="CB83:DD83"/>
    <mergeCell ref="CB84:DD84"/>
    <mergeCell ref="CB85:DD85"/>
    <mergeCell ref="IQ75:IW75"/>
    <mergeCell ref="FB60:GS60"/>
    <mergeCell ref="GT60:HA60"/>
    <mergeCell ref="HB60:HI60"/>
    <mergeCell ref="HJ60:HQ60"/>
    <mergeCell ref="HR60:HY60"/>
    <mergeCell ref="HZ60:II60"/>
    <mergeCell ref="HJ77:HQ77"/>
    <mergeCell ref="HR77:HY77"/>
    <mergeCell ref="HZ77:II77"/>
    <mergeCell ref="FB76:GS76"/>
    <mergeCell ref="GT76:HA76"/>
    <mergeCell ref="HB76:HI76"/>
    <mergeCell ref="HJ76:HQ76"/>
    <mergeCell ref="HR76:HY76"/>
    <mergeCell ref="HZ76:II76"/>
    <mergeCell ref="IQ76:IW76"/>
    <mergeCell ref="IX76:JE76"/>
    <mergeCell ref="DY67:EZ67"/>
    <mergeCell ref="DE78:DM78"/>
    <mergeCell ref="DE79:DM79"/>
    <mergeCell ref="DE80:DM80"/>
    <mergeCell ref="DE81:DM81"/>
    <mergeCell ref="DE82:DM82"/>
    <mergeCell ref="DE83:DM83"/>
    <mergeCell ref="DE84:DM84"/>
    <mergeCell ref="DE85:DM85"/>
    <mergeCell ref="DE86:DM86"/>
    <mergeCell ref="DE87:DM87"/>
    <mergeCell ref="DE88:DM88"/>
    <mergeCell ref="DE89:DM89"/>
    <mergeCell ref="DE90:DM90"/>
    <mergeCell ref="DE91:DM91"/>
    <mergeCell ref="DE92:DM92"/>
    <mergeCell ref="IX21:JE21"/>
    <mergeCell ref="IX22:JE22"/>
    <mergeCell ref="IX23:JE23"/>
    <mergeCell ref="IX24:JE24"/>
    <mergeCell ref="IX25:JE25"/>
    <mergeCell ref="IX26:JE26"/>
    <mergeCell ref="FB27:GS27"/>
    <mergeCell ref="IX58:JE58"/>
    <mergeCell ref="IX59:JE59"/>
    <mergeCell ref="HR27:HY27"/>
    <mergeCell ref="HR31:HY31"/>
    <mergeCell ref="HZ31:II31"/>
    <mergeCell ref="IQ31:IW31"/>
    <mergeCell ref="IX31:JE31"/>
    <mergeCell ref="GT34:HA34"/>
    <mergeCell ref="HB34:HI34"/>
    <mergeCell ref="HJ34:HQ34"/>
    <mergeCell ref="CB101:DD101"/>
    <mergeCell ref="CB102:DD102"/>
    <mergeCell ref="CB103:DD103"/>
    <mergeCell ref="CB104:DD104"/>
    <mergeCell ref="CB94:DD94"/>
    <mergeCell ref="CB95:DD95"/>
    <mergeCell ref="CB96:DD96"/>
    <mergeCell ref="CB97:DD97"/>
    <mergeCell ref="CB98:DD98"/>
    <mergeCell ref="ER99:EZ99"/>
    <mergeCell ref="ER100:EZ100"/>
    <mergeCell ref="ER101:EZ101"/>
    <mergeCell ref="ER102:EZ102"/>
    <mergeCell ref="ER103:EZ103"/>
    <mergeCell ref="ER104:EZ104"/>
    <mergeCell ref="ER90:EZ90"/>
    <mergeCell ref="ER91:EZ91"/>
    <mergeCell ref="ER92:EZ92"/>
    <mergeCell ref="ER93:EZ93"/>
    <mergeCell ref="ER94:EZ94"/>
    <mergeCell ref="ER95:EZ95"/>
    <mergeCell ref="ER96:EZ96"/>
    <mergeCell ref="ER97:EZ97"/>
    <mergeCell ref="ER98:EZ98"/>
    <mergeCell ref="DO99:EQ99"/>
    <mergeCell ref="DO100:EQ100"/>
    <mergeCell ref="DO101:EQ101"/>
    <mergeCell ref="DO102:EQ102"/>
    <mergeCell ref="DO103:EQ103"/>
    <mergeCell ref="DO104:EQ104"/>
    <mergeCell ref="DO90:EQ90"/>
    <mergeCell ref="DO91:EQ91"/>
    <mergeCell ref="AVP4:AVU4"/>
    <mergeCell ref="AVV4:AWB4"/>
    <mergeCell ref="AWC4:AWI4"/>
    <mergeCell ref="AWJ4:AWP4"/>
    <mergeCell ref="AWQ4:AWW4"/>
    <mergeCell ref="AWX4:AXD4"/>
    <mergeCell ref="ARZ7:ASE7"/>
    <mergeCell ref="ASF7:ASL7"/>
    <mergeCell ref="ASM7:ASS7"/>
    <mergeCell ref="AST7:ASZ7"/>
    <mergeCell ref="ATA7:ATG7"/>
    <mergeCell ref="ATH7:ATN7"/>
    <mergeCell ref="ASF6:ASL6"/>
    <mergeCell ref="ASM6:ASS6"/>
    <mergeCell ref="AST6:ASZ6"/>
    <mergeCell ref="AWJ5:AWP5"/>
    <mergeCell ref="CB100:DD100"/>
    <mergeCell ref="DO92:EQ92"/>
    <mergeCell ref="DO93:EQ93"/>
    <mergeCell ref="DO94:EQ94"/>
    <mergeCell ref="DO95:EQ95"/>
    <mergeCell ref="DO96:EQ96"/>
    <mergeCell ref="DO97:EQ97"/>
    <mergeCell ref="DO98:EQ98"/>
    <mergeCell ref="CB86:DD86"/>
    <mergeCell ref="CB87:DD87"/>
    <mergeCell ref="CB88:DD88"/>
    <mergeCell ref="CB89:DD89"/>
    <mergeCell ref="CB90:DD90"/>
    <mergeCell ref="CB91:DD91"/>
    <mergeCell ref="CB92:DD92"/>
    <mergeCell ref="CB93:DD93"/>
    <mergeCell ref="ASM10:ASS10"/>
    <mergeCell ref="AST10:ASZ10"/>
    <mergeCell ref="ATA10:ATG10"/>
    <mergeCell ref="ATH10:ATN10"/>
    <mergeCell ref="AST9:ASZ9"/>
    <mergeCell ref="ATA9:ATG9"/>
    <mergeCell ref="AVV5:AWB5"/>
    <mergeCell ref="AWC5:AWI5"/>
    <mergeCell ref="ATA8:ATG8"/>
    <mergeCell ref="ATH8:ATN8"/>
    <mergeCell ref="AWQ5:AWW5"/>
    <mergeCell ref="AWX5:AXD5"/>
    <mergeCell ref="ATP5:AUT5"/>
    <mergeCell ref="AUU5:AUX5"/>
    <mergeCell ref="AUY5:AVC5"/>
    <mergeCell ref="AVD5:AVI5"/>
    <mergeCell ref="AVJ5:AVO5"/>
    <mergeCell ref="AVP5:AVU5"/>
    <mergeCell ref="ASF18:ASL18"/>
    <mergeCell ref="ASM18:ASS18"/>
    <mergeCell ref="AST18:ASZ18"/>
    <mergeCell ref="ATA18:ATG18"/>
    <mergeCell ref="ASM16:ASS16"/>
    <mergeCell ref="AST16:ASZ16"/>
    <mergeCell ref="ATA16:ATG16"/>
    <mergeCell ref="ATH16:ATN16"/>
    <mergeCell ref="APZ17:ARD17"/>
    <mergeCell ref="ARE17:ARH17"/>
    <mergeCell ref="ARI17:ARM17"/>
    <mergeCell ref="ATP2:AXD2"/>
    <mergeCell ref="ATP3:AXD3"/>
    <mergeCell ref="ATP4:AUT4"/>
    <mergeCell ref="AUU4:AUX4"/>
    <mergeCell ref="AUY4:AVC4"/>
    <mergeCell ref="AVD4:AVI4"/>
    <mergeCell ref="AVJ4:AVO4"/>
    <mergeCell ref="ASF9:ASL9"/>
    <mergeCell ref="ASM9:ASS9"/>
    <mergeCell ref="APZ11:ARD11"/>
    <mergeCell ref="ARE11:ARH11"/>
    <mergeCell ref="ARI11:ARM11"/>
    <mergeCell ref="ARN11:ARS11"/>
    <mergeCell ref="ART11:ARY11"/>
    <mergeCell ref="ASM11:ASS11"/>
    <mergeCell ref="APZ9:ARD9"/>
    <mergeCell ref="ARE9:ARH9"/>
    <mergeCell ref="ARI9:ARM9"/>
    <mergeCell ref="ARN9:ARS9"/>
    <mergeCell ref="ART9:ARY9"/>
    <mergeCell ref="ARZ9:ASE9"/>
    <mergeCell ref="APZ8:ARD8"/>
    <mergeCell ref="ARE8:ARH8"/>
    <mergeCell ref="ATH18:ATN18"/>
    <mergeCell ref="APZ18:ARD18"/>
    <mergeCell ref="ARE18:ARH18"/>
    <mergeCell ref="ARI18:ARM18"/>
    <mergeCell ref="ARN18:ARS18"/>
    <mergeCell ref="ART18:ARY18"/>
    <mergeCell ref="ARZ18:ASE18"/>
    <mergeCell ref="ARZ17:ASE17"/>
    <mergeCell ref="ASF17:ASL17"/>
    <mergeCell ref="ASM17:ASS17"/>
    <mergeCell ref="AST17:ASZ17"/>
    <mergeCell ref="ATA17:ATG17"/>
    <mergeCell ref="ATH17:ATN17"/>
    <mergeCell ref="ASF16:ASL16"/>
    <mergeCell ref="ATH20:ATN20"/>
    <mergeCell ref="APZ20:ARD20"/>
    <mergeCell ref="ARE20:ARH20"/>
    <mergeCell ref="ARI20:ARM20"/>
    <mergeCell ref="ARN20:ARS20"/>
    <mergeCell ref="ART20:ARY20"/>
    <mergeCell ref="ARZ20:ASE20"/>
    <mergeCell ref="ARI8:ARM8"/>
    <mergeCell ref="ARN8:ARS8"/>
    <mergeCell ref="ART8:ARY8"/>
    <mergeCell ref="ARZ8:ASE8"/>
    <mergeCell ref="ASF8:ASL8"/>
    <mergeCell ref="ASM8:ASS8"/>
    <mergeCell ref="AST8:ASZ8"/>
    <mergeCell ref="ARZ11:ASE11"/>
    <mergeCell ref="ASF11:ASL11"/>
    <mergeCell ref="CSF59:CTJ59"/>
    <mergeCell ref="APZ43:ARD43"/>
    <mergeCell ref="ARE43:ARH43"/>
    <mergeCell ref="ARI43:ARM43"/>
    <mergeCell ref="CTO58:CTS58"/>
    <mergeCell ref="ARZ23:ASE23"/>
    <mergeCell ref="ASF23:ASL23"/>
    <mergeCell ref="ASM23:ASS23"/>
    <mergeCell ref="AST23:ASZ23"/>
    <mergeCell ref="ATA23:ATG23"/>
    <mergeCell ref="ATH23:ATN23"/>
    <mergeCell ref="CSF55:CTJ55"/>
    <mergeCell ref="CTK55:CTN55"/>
    <mergeCell ref="CTO55:CTS55"/>
    <mergeCell ref="CSF54:CTJ54"/>
    <mergeCell ref="CTK54:CTN54"/>
    <mergeCell ref="CTO54:CTS54"/>
    <mergeCell ref="CSF35:CTJ35"/>
    <mergeCell ref="CTK35:CTN35"/>
    <mergeCell ref="CTO35:CTS35"/>
    <mergeCell ref="CQP59:CQU59"/>
    <mergeCell ref="CQV59:CRB59"/>
    <mergeCell ref="CRC59:CRI59"/>
    <mergeCell ref="CRJ59:CRP59"/>
    <mergeCell ref="CRQ59:CRW59"/>
    <mergeCell ref="CRX59:CSD59"/>
    <mergeCell ref="APZ23:ARD23"/>
    <mergeCell ref="ARE23:ARH23"/>
    <mergeCell ref="ARI23:ARM23"/>
    <mergeCell ref="ARN23:ARS23"/>
    <mergeCell ref="ART23:ARY23"/>
    <mergeCell ref="CQV58:CRB58"/>
    <mergeCell ref="CUZ59:CVF59"/>
    <mergeCell ref="CVG59:CVM59"/>
    <mergeCell ref="CVN59:CVT59"/>
    <mergeCell ref="APZ24:ARD24"/>
    <mergeCell ref="ARE24:ARH24"/>
    <mergeCell ref="ARI24:ARM24"/>
    <mergeCell ref="ARN24:ARS24"/>
    <mergeCell ref="ART24:ARY24"/>
    <mergeCell ref="ARZ24:ASE24"/>
    <mergeCell ref="CTK59:CTN59"/>
    <mergeCell ref="CTO59:CTS59"/>
    <mergeCell ref="CTT59:CTY59"/>
    <mergeCell ref="CTZ59:CUE59"/>
    <mergeCell ref="CUF59:CUK59"/>
    <mergeCell ref="CUL59:CUR59"/>
    <mergeCell ref="ASF43:ASL43"/>
    <mergeCell ref="ASM43:ASS43"/>
    <mergeCell ref="AST43:ASZ43"/>
    <mergeCell ref="ATA43:ATG43"/>
    <mergeCell ref="CUS59:CUY59"/>
    <mergeCell ref="ATH38:ATN38"/>
    <mergeCell ref="ASF37:ASL37"/>
    <mergeCell ref="ASM37:ASS37"/>
    <mergeCell ref="AST37:ASZ37"/>
    <mergeCell ref="ATA37:ATG37"/>
    <mergeCell ref="ATH37:ATN37"/>
    <mergeCell ref="APZ38:ARD38"/>
    <mergeCell ref="ARE38:ARH38"/>
    <mergeCell ref="ARI38:ARM38"/>
    <mergeCell ref="ARN38:ARS38"/>
    <mergeCell ref="ART38:ARY38"/>
    <mergeCell ref="APZ37:ARD37"/>
    <mergeCell ref="CUL18:CUR18"/>
    <mergeCell ref="CUS18:CUY18"/>
    <mergeCell ref="CUZ18:CVF18"/>
    <mergeCell ref="CVG18:CVM18"/>
    <mergeCell ref="CVN18:CVT18"/>
    <mergeCell ref="APZ36:ARD36"/>
    <mergeCell ref="ARE36:ARH36"/>
    <mergeCell ref="ARI36:ARM36"/>
    <mergeCell ref="ARN36:ARS36"/>
    <mergeCell ref="ART36:ARY36"/>
    <mergeCell ref="CSF18:CTJ18"/>
    <mergeCell ref="CTK18:CTN18"/>
    <mergeCell ref="CTO18:CTS18"/>
    <mergeCell ref="CTT18:CTY18"/>
    <mergeCell ref="CTZ18:CUE18"/>
    <mergeCell ref="CUF18:CUK18"/>
    <mergeCell ref="CUF36:CUK36"/>
    <mergeCell ref="CUL36:CUR36"/>
    <mergeCell ref="CUS36:CUY36"/>
    <mergeCell ref="CUZ36:CVF36"/>
    <mergeCell ref="CVG36:CVM36"/>
    <mergeCell ref="CVN36:CVT36"/>
    <mergeCell ref="CUL35:CUR35"/>
    <mergeCell ref="CUS35:CUY35"/>
    <mergeCell ref="CUZ35:CVF35"/>
    <mergeCell ref="CVG35:CVM35"/>
    <mergeCell ref="CVN35:CVT35"/>
    <mergeCell ref="CSF36:CTJ36"/>
    <mergeCell ref="CTK36:CTN36"/>
    <mergeCell ref="CTO36:CTS36"/>
    <mergeCell ref="CTT36:CTY36"/>
    <mergeCell ref="ARZ36:ASE36"/>
    <mergeCell ref="PB29:PG29"/>
    <mergeCell ref="PH29:PN29"/>
    <mergeCell ref="PO29:PU29"/>
    <mergeCell ref="PV29:QB29"/>
    <mergeCell ref="QC29:QI29"/>
    <mergeCell ref="QJ29:QP29"/>
    <mergeCell ref="PH28:PN28"/>
    <mergeCell ref="PO28:PU28"/>
    <mergeCell ref="PV28:QB28"/>
    <mergeCell ref="QC28:QI28"/>
    <mergeCell ref="QJ28:QP28"/>
    <mergeCell ref="NB29:OF29"/>
    <mergeCell ref="OG29:OJ29"/>
    <mergeCell ref="OK29:OO29"/>
    <mergeCell ref="OP29:OU29"/>
    <mergeCell ref="OV29:PA29"/>
    <mergeCell ref="PO27:PU27"/>
    <mergeCell ref="PV27:QB27"/>
    <mergeCell ref="QC27:QI27"/>
    <mergeCell ref="QJ27:QP27"/>
    <mergeCell ref="NB28:OF28"/>
    <mergeCell ref="OG28:OJ28"/>
    <mergeCell ref="OK28:OO28"/>
    <mergeCell ref="OP28:OU28"/>
    <mergeCell ref="OV28:PA28"/>
    <mergeCell ref="PB28:PG28"/>
    <mergeCell ref="PV26:QB26"/>
    <mergeCell ref="QC26:QI26"/>
    <mergeCell ref="QJ26:QP26"/>
    <mergeCell ref="NB27:OF27"/>
    <mergeCell ref="OG27:OJ27"/>
    <mergeCell ref="OK27:OO27"/>
    <mergeCell ref="OP27:OU27"/>
    <mergeCell ref="OV27:PA27"/>
    <mergeCell ref="PB27:PG27"/>
    <mergeCell ref="PH27:PN27"/>
    <mergeCell ref="QC25:QI25"/>
    <mergeCell ref="QJ25:QP25"/>
    <mergeCell ref="NB26:OF26"/>
    <mergeCell ref="OG26:OJ26"/>
    <mergeCell ref="OK26:OO26"/>
    <mergeCell ref="OP26:OU26"/>
    <mergeCell ref="OV26:PA26"/>
    <mergeCell ref="PB26:PG26"/>
    <mergeCell ref="PH26:PN26"/>
    <mergeCell ref="PO26:PU26"/>
    <mergeCell ref="NB24:QP24"/>
    <mergeCell ref="NB25:OF25"/>
    <mergeCell ref="OG25:OJ25"/>
    <mergeCell ref="OK25:OO25"/>
    <mergeCell ref="OP25:OU25"/>
    <mergeCell ref="OV25:PA25"/>
    <mergeCell ref="PB25:PG25"/>
    <mergeCell ref="PH25:PN25"/>
    <mergeCell ref="PO25:PU25"/>
    <mergeCell ref="PV25:QB25"/>
    <mergeCell ref="ARZ13:ASE13"/>
    <mergeCell ref="ASF13:ASL13"/>
    <mergeCell ref="ASM13:ASS13"/>
    <mergeCell ref="AST13:ASZ13"/>
    <mergeCell ref="ATA13:ATG13"/>
    <mergeCell ref="ATH13:ATN13"/>
    <mergeCell ref="ASF12:ASL12"/>
    <mergeCell ref="ASM12:ASS12"/>
    <mergeCell ref="AST12:ASZ12"/>
    <mergeCell ref="ATA12:ATG12"/>
    <mergeCell ref="ATH12:ATN12"/>
    <mergeCell ref="APZ13:ARD13"/>
    <mergeCell ref="ARE13:ARH13"/>
    <mergeCell ref="ARI13:ARM13"/>
    <mergeCell ref="ARN13:ARS13"/>
    <mergeCell ref="ART13:ARY13"/>
    <mergeCell ref="APZ12:ARD12"/>
    <mergeCell ref="ARE12:ARH12"/>
    <mergeCell ref="ARI12:ARM12"/>
    <mergeCell ref="ARN12:ARS12"/>
    <mergeCell ref="ART12:ARY12"/>
    <mergeCell ref="ARZ12:ASE12"/>
    <mergeCell ref="BDI9:BDO9"/>
    <mergeCell ref="BDP9:BDV9"/>
    <mergeCell ref="BDW9:BEC9"/>
    <mergeCell ref="AST11:ASZ11"/>
    <mergeCell ref="ATA11:ATG11"/>
    <mergeCell ref="ATH11:ATN11"/>
    <mergeCell ref="AZF10:AZK10"/>
    <mergeCell ref="AZL10:AZR10"/>
    <mergeCell ref="AZS10:AZY10"/>
    <mergeCell ref="AZZ10:BAF10"/>
    <mergeCell ref="BAG10:BAM10"/>
    <mergeCell ref="BAN10:BAT10"/>
    <mergeCell ref="AZL9:AZR9"/>
    <mergeCell ref="AZS9:AZY9"/>
    <mergeCell ref="AZZ9:BAF9"/>
    <mergeCell ref="BAG9:BAM9"/>
    <mergeCell ref="BAN9:BAT9"/>
    <mergeCell ref="AXF10:AYJ10"/>
    <mergeCell ref="AYK10:AYN10"/>
    <mergeCell ref="AYO10:AYS10"/>
    <mergeCell ref="AYT10:AYY10"/>
    <mergeCell ref="AYZ10:AZE10"/>
    <mergeCell ref="AXF9:AYJ9"/>
    <mergeCell ref="AYK9:AYN9"/>
    <mergeCell ref="AYO9:AYS9"/>
    <mergeCell ref="AYT9:AYY9"/>
    <mergeCell ref="AYZ9:AZE9"/>
    <mergeCell ref="AZF9:AZK9"/>
    <mergeCell ref="DGR27:DKF27"/>
    <mergeCell ref="DIR25:DIW25"/>
    <mergeCell ref="DIX25:DJD25"/>
    <mergeCell ref="DJE25:DJK25"/>
    <mergeCell ref="DJL25:DJR25"/>
    <mergeCell ref="DJS25:DJY25"/>
    <mergeCell ref="DJZ25:DKF25"/>
    <mergeCell ref="DIX24:DJD24"/>
    <mergeCell ref="DJE24:DJK24"/>
    <mergeCell ref="DJL24:DJR24"/>
    <mergeCell ref="DJS24:DJY24"/>
    <mergeCell ref="DJZ24:DKF24"/>
    <mergeCell ref="DGR25:DHV25"/>
    <mergeCell ref="DHW25:DHZ25"/>
    <mergeCell ref="ATH9:ATN9"/>
    <mergeCell ref="APZ10:ARD10"/>
    <mergeCell ref="ARE10:ARH10"/>
    <mergeCell ref="ARI10:ARM10"/>
    <mergeCell ref="ARN10:ARS10"/>
    <mergeCell ref="ART10:ARY10"/>
    <mergeCell ref="ARZ10:ASE10"/>
    <mergeCell ref="ASF10:ASL10"/>
    <mergeCell ref="ARZ19:ASE19"/>
    <mergeCell ref="ASF19:ASL19"/>
    <mergeCell ref="ASM19:ASS19"/>
    <mergeCell ref="AST19:ASZ19"/>
    <mergeCell ref="ATA19:ATG19"/>
    <mergeCell ref="ATH19:ATN19"/>
    <mergeCell ref="ASF24:ASL24"/>
    <mergeCell ref="ASM24:ASS24"/>
    <mergeCell ref="AST24:ASZ24"/>
    <mergeCell ref="ATA24:ATG24"/>
    <mergeCell ref="DIX34:DJD34"/>
    <mergeCell ref="DJE34:DJK34"/>
    <mergeCell ref="DJL34:DJR34"/>
    <mergeCell ref="DJS34:DJY34"/>
    <mergeCell ref="DJZ34:DKF34"/>
    <mergeCell ref="DIX33:DJD33"/>
    <mergeCell ref="DJE33:DJK33"/>
    <mergeCell ref="DJL33:DJR33"/>
    <mergeCell ref="DJS33:DJY33"/>
    <mergeCell ref="DJZ33:DKF33"/>
    <mergeCell ref="DGR34:DHV34"/>
    <mergeCell ref="DHW34:DHZ34"/>
    <mergeCell ref="DIA34:DIE34"/>
    <mergeCell ref="DIF34:DIK34"/>
    <mergeCell ref="DIL34:DIQ34"/>
    <mergeCell ref="DGR33:DHV33"/>
    <mergeCell ref="DHW33:DHZ33"/>
    <mergeCell ref="DIA33:DIE33"/>
    <mergeCell ref="DIF33:DIK33"/>
    <mergeCell ref="DIL33:DIQ33"/>
    <mergeCell ref="DIR33:DIW33"/>
    <mergeCell ref="DIR34:DIW34"/>
    <mergeCell ref="DIX32:DJD32"/>
    <mergeCell ref="DJE32:DJK32"/>
    <mergeCell ref="DJL32:DJR32"/>
    <mergeCell ref="DJS32:DJY32"/>
    <mergeCell ref="DJZ32:DKF32"/>
    <mergeCell ref="DIX31:DJD31"/>
    <mergeCell ref="DJE31:DJK31"/>
    <mergeCell ref="DJL31:DJR31"/>
    <mergeCell ref="DJS31:DJY31"/>
    <mergeCell ref="DJZ31:DKF31"/>
    <mergeCell ref="DGR32:DHV32"/>
    <mergeCell ref="DHW32:DHZ32"/>
    <mergeCell ref="DIA32:DIE32"/>
    <mergeCell ref="DIF32:DIK32"/>
    <mergeCell ref="DIL32:DIQ32"/>
    <mergeCell ref="DJE30:DJK30"/>
    <mergeCell ref="DJL30:DJR30"/>
    <mergeCell ref="DJS30:DJY30"/>
    <mergeCell ref="DJZ30:DKF30"/>
    <mergeCell ref="DGR31:DHV31"/>
    <mergeCell ref="DHW31:DHZ31"/>
    <mergeCell ref="DIA31:DIE31"/>
    <mergeCell ref="DIF31:DIK31"/>
    <mergeCell ref="DIL31:DIQ31"/>
    <mergeCell ref="DIR31:DIW31"/>
    <mergeCell ref="DIR32:DIW32"/>
    <mergeCell ref="DJL29:DJR29"/>
    <mergeCell ref="DJS29:DJY29"/>
    <mergeCell ref="DJZ29:DKF29"/>
    <mergeCell ref="DGR30:DHV30"/>
    <mergeCell ref="DHW30:DHZ30"/>
    <mergeCell ref="DIA30:DIE30"/>
    <mergeCell ref="DIF30:DIK30"/>
    <mergeCell ref="DIL30:DIQ30"/>
    <mergeCell ref="DIR30:DIW30"/>
    <mergeCell ref="DIX30:DJD30"/>
    <mergeCell ref="DJS28:DJY28"/>
    <mergeCell ref="DJZ28:DKF28"/>
    <mergeCell ref="DGR29:DHV29"/>
    <mergeCell ref="DHW29:DHZ29"/>
    <mergeCell ref="DIA29:DIE29"/>
    <mergeCell ref="DIF29:DIK29"/>
    <mergeCell ref="DIL29:DIQ29"/>
    <mergeCell ref="DIR29:DIW29"/>
    <mergeCell ref="DIX29:DJD29"/>
    <mergeCell ref="DJE29:DJK29"/>
    <mergeCell ref="DGR28:DHV28"/>
    <mergeCell ref="DHW28:DHZ28"/>
    <mergeCell ref="DIA28:DIE28"/>
    <mergeCell ref="DIF28:DIK28"/>
    <mergeCell ref="DIL28:DIQ28"/>
    <mergeCell ref="DIR28:DIW28"/>
    <mergeCell ref="DIX28:DJD28"/>
    <mergeCell ref="DJE28:DJK28"/>
    <mergeCell ref="DJL28:DJR28"/>
    <mergeCell ref="DIA25:DIE25"/>
    <mergeCell ref="DIF25:DIK25"/>
    <mergeCell ref="DIL25:DIQ25"/>
    <mergeCell ref="DGR24:DHV24"/>
    <mergeCell ref="DHW24:DHZ24"/>
    <mergeCell ref="DIA24:DIE24"/>
    <mergeCell ref="DIF24:DIK24"/>
    <mergeCell ref="DIL24:DIQ24"/>
    <mergeCell ref="DIR24:DIW24"/>
    <mergeCell ref="DIR23:DIW23"/>
    <mergeCell ref="DIX23:DJD23"/>
    <mergeCell ref="DJE23:DJK23"/>
    <mergeCell ref="DJL23:DJR23"/>
    <mergeCell ref="DJS23:DJY23"/>
    <mergeCell ref="DJZ23:DKF23"/>
    <mergeCell ref="DIX22:DJD22"/>
    <mergeCell ref="DJE22:DJK22"/>
    <mergeCell ref="DJL22:DJR22"/>
    <mergeCell ref="DJS22:DJY22"/>
    <mergeCell ref="DJZ22:DKF22"/>
    <mergeCell ref="DGR23:DHV23"/>
    <mergeCell ref="DHW23:DHZ23"/>
    <mergeCell ref="DIA23:DIE23"/>
    <mergeCell ref="DIF23:DIK23"/>
    <mergeCell ref="DIL23:DIQ23"/>
    <mergeCell ref="DGR22:DHV22"/>
    <mergeCell ref="DHW22:DHZ22"/>
    <mergeCell ref="DIA22:DIE22"/>
    <mergeCell ref="DIF22:DIK22"/>
    <mergeCell ref="DIL22:DIQ22"/>
    <mergeCell ref="DIR22:DIW22"/>
    <mergeCell ref="DIR21:DIW21"/>
    <mergeCell ref="DIX21:DJD21"/>
    <mergeCell ref="DJE21:DJK21"/>
    <mergeCell ref="DJL21:DJR21"/>
    <mergeCell ref="DJS21:DJY21"/>
    <mergeCell ref="DJZ21:DKF21"/>
    <mergeCell ref="DIX20:DJD20"/>
    <mergeCell ref="DJE20:DJK20"/>
    <mergeCell ref="DJL20:DJR20"/>
    <mergeCell ref="DJS20:DJY20"/>
    <mergeCell ref="DJZ20:DKF20"/>
    <mergeCell ref="DGR21:DHV21"/>
    <mergeCell ref="DHW21:DHZ21"/>
    <mergeCell ref="DIA21:DIE21"/>
    <mergeCell ref="DIF21:DIK21"/>
    <mergeCell ref="DIL21:DIQ21"/>
    <mergeCell ref="DGR20:DHV20"/>
    <mergeCell ref="DHW20:DHZ20"/>
    <mergeCell ref="DIA20:DIE20"/>
    <mergeCell ref="DIF20:DIK20"/>
    <mergeCell ref="DIL20:DIQ20"/>
    <mergeCell ref="DIR20:DIW20"/>
    <mergeCell ref="DIR19:DIW19"/>
    <mergeCell ref="DIX19:DJD19"/>
    <mergeCell ref="DJE19:DJK19"/>
    <mergeCell ref="DJL19:DJR19"/>
    <mergeCell ref="DJS19:DJY19"/>
    <mergeCell ref="DJZ19:DKF19"/>
    <mergeCell ref="DIX18:DJD18"/>
    <mergeCell ref="DJE18:DJK18"/>
    <mergeCell ref="DJL18:DJR18"/>
    <mergeCell ref="DJS18:DJY18"/>
    <mergeCell ref="DJZ18:DKF18"/>
    <mergeCell ref="DGR19:DHV19"/>
    <mergeCell ref="DHW19:DHZ19"/>
    <mergeCell ref="DIA19:DIE19"/>
    <mergeCell ref="DIF19:DIK19"/>
    <mergeCell ref="DIL19:DIQ19"/>
    <mergeCell ref="DGR18:DHV18"/>
    <mergeCell ref="DHW18:DHZ18"/>
    <mergeCell ref="DIA18:DIE18"/>
    <mergeCell ref="DIF18:DIK18"/>
    <mergeCell ref="DIL18:DIQ18"/>
    <mergeCell ref="DIR18:DIW18"/>
    <mergeCell ref="DIR17:DIW17"/>
    <mergeCell ref="DIX17:DJD17"/>
    <mergeCell ref="DJE17:DJK17"/>
    <mergeCell ref="DJL17:DJR17"/>
    <mergeCell ref="DJS17:DJY17"/>
    <mergeCell ref="DJZ17:DKF17"/>
    <mergeCell ref="DIX16:DJD16"/>
    <mergeCell ref="DJE16:DJK16"/>
    <mergeCell ref="DJL16:DJR16"/>
    <mergeCell ref="DJS16:DJY16"/>
    <mergeCell ref="DJZ16:DKF16"/>
    <mergeCell ref="DGR17:DHV17"/>
    <mergeCell ref="DHW17:DHZ17"/>
    <mergeCell ref="DIA17:DIE17"/>
    <mergeCell ref="DIF17:DIK17"/>
    <mergeCell ref="DIL17:DIQ17"/>
    <mergeCell ref="DGR16:DHV16"/>
    <mergeCell ref="DHW16:DHZ16"/>
    <mergeCell ref="DIA16:DIE16"/>
    <mergeCell ref="DIF16:DIK16"/>
    <mergeCell ref="DIL16:DIQ16"/>
    <mergeCell ref="DIR16:DIW16"/>
    <mergeCell ref="DIR15:DIW15"/>
    <mergeCell ref="DIX15:DJD15"/>
    <mergeCell ref="DJE15:DJK15"/>
    <mergeCell ref="DJL15:DJR15"/>
    <mergeCell ref="DJS15:DJY15"/>
    <mergeCell ref="DJZ15:DKF15"/>
    <mergeCell ref="DIX14:DJD14"/>
    <mergeCell ref="DJE14:DJK14"/>
    <mergeCell ref="DJL14:DJR14"/>
    <mergeCell ref="DJS14:DJY14"/>
    <mergeCell ref="DJZ14:DKF14"/>
    <mergeCell ref="DGR15:DHV15"/>
    <mergeCell ref="DHW15:DHZ15"/>
    <mergeCell ref="DIA15:DIE15"/>
    <mergeCell ref="DIF15:DIK15"/>
    <mergeCell ref="DIL15:DIQ15"/>
    <mergeCell ref="DGR14:DHV14"/>
    <mergeCell ref="DHW14:DHZ14"/>
    <mergeCell ref="DIA14:DIE14"/>
    <mergeCell ref="DIF14:DIK14"/>
    <mergeCell ref="DIL14:DIQ14"/>
    <mergeCell ref="DIR14:DIW14"/>
    <mergeCell ref="DIX11:DJD11"/>
    <mergeCell ref="DJE11:DJK11"/>
    <mergeCell ref="DJL11:DJR11"/>
    <mergeCell ref="DJS11:DJY11"/>
    <mergeCell ref="DJZ11:DKF11"/>
    <mergeCell ref="DGR13:DKF13"/>
    <mergeCell ref="DGR11:DHV11"/>
    <mergeCell ref="DHW11:DHZ11"/>
    <mergeCell ref="DIA11:DIE11"/>
    <mergeCell ref="DIF11:DIK11"/>
    <mergeCell ref="DIL11:DIQ11"/>
    <mergeCell ref="DIR11:DIW11"/>
    <mergeCell ref="DIR10:DIW10"/>
    <mergeCell ref="DIX10:DJD10"/>
    <mergeCell ref="DJE10:DJK10"/>
    <mergeCell ref="DJL10:DJR10"/>
    <mergeCell ref="DJS10:DJY10"/>
    <mergeCell ref="DJZ10:DKF10"/>
    <mergeCell ref="DIX9:DJD9"/>
    <mergeCell ref="DJE9:DJK9"/>
    <mergeCell ref="DJL9:DJR9"/>
    <mergeCell ref="DJS9:DJY9"/>
    <mergeCell ref="DJZ9:DKF9"/>
    <mergeCell ref="DGR10:DHV10"/>
    <mergeCell ref="DHW10:DHZ10"/>
    <mergeCell ref="DIA10:DIE10"/>
    <mergeCell ref="DIF10:DIK10"/>
    <mergeCell ref="DIL10:DIQ10"/>
    <mergeCell ref="DGR9:DHV9"/>
    <mergeCell ref="DHW9:DHZ9"/>
    <mergeCell ref="DIA9:DIE9"/>
    <mergeCell ref="DIF9:DIK9"/>
    <mergeCell ref="DIL9:DIQ9"/>
    <mergeCell ref="DIR9:DIW9"/>
    <mergeCell ref="DIR8:DIW8"/>
    <mergeCell ref="DIX8:DJD8"/>
    <mergeCell ref="DJE8:DJK8"/>
    <mergeCell ref="DJL8:DJR8"/>
    <mergeCell ref="DJS8:DJY8"/>
    <mergeCell ref="DJZ8:DKF8"/>
    <mergeCell ref="DIX7:DJD7"/>
    <mergeCell ref="DJE7:DJK7"/>
    <mergeCell ref="DJL7:DJR7"/>
    <mergeCell ref="DJS7:DJY7"/>
    <mergeCell ref="DJZ7:DKF7"/>
    <mergeCell ref="DGR8:DHV8"/>
    <mergeCell ref="DHW8:DHZ8"/>
    <mergeCell ref="DIA8:DIE8"/>
    <mergeCell ref="DIF8:DIK8"/>
    <mergeCell ref="DIL8:DIQ8"/>
    <mergeCell ref="DJE6:DJK6"/>
    <mergeCell ref="DJL6:DJR6"/>
    <mergeCell ref="DJS6:DJY6"/>
    <mergeCell ref="DJZ6:DKF6"/>
    <mergeCell ref="DGR7:DHV7"/>
    <mergeCell ref="DHW7:DHZ7"/>
    <mergeCell ref="DIA7:DIE7"/>
    <mergeCell ref="DIF7:DIK7"/>
    <mergeCell ref="DIL7:DIQ7"/>
    <mergeCell ref="DIR7:DIW7"/>
    <mergeCell ref="DJL5:DJR5"/>
    <mergeCell ref="DJS5:DJY5"/>
    <mergeCell ref="DJZ5:DKF5"/>
    <mergeCell ref="DGR6:DHV6"/>
    <mergeCell ref="DHW6:DHZ6"/>
    <mergeCell ref="DIA6:DIE6"/>
    <mergeCell ref="DIF6:DIK6"/>
    <mergeCell ref="DIL6:DIQ6"/>
    <mergeCell ref="DIR6:DIW6"/>
    <mergeCell ref="DIX6:DJD6"/>
    <mergeCell ref="DJS4:DJY4"/>
    <mergeCell ref="DJZ4:DKF4"/>
    <mergeCell ref="DGR5:DHV5"/>
    <mergeCell ref="DHW5:DHZ5"/>
    <mergeCell ref="DIA5:DIE5"/>
    <mergeCell ref="DIF5:DIK5"/>
    <mergeCell ref="DIL5:DIQ5"/>
    <mergeCell ref="DIR5:DIW5"/>
    <mergeCell ref="DIX5:DJD5"/>
    <mergeCell ref="DJE5:DJK5"/>
    <mergeCell ref="DIF4:DIK4"/>
    <mergeCell ref="DIL4:DIQ4"/>
    <mergeCell ref="DIR4:DIW4"/>
    <mergeCell ref="DIX4:DJD4"/>
    <mergeCell ref="DJE4:DJK4"/>
    <mergeCell ref="DJL4:DJR4"/>
    <mergeCell ref="DGR2:DKF2"/>
    <mergeCell ref="DGR3:DKF3"/>
    <mergeCell ref="DGR4:DHV4"/>
    <mergeCell ref="DHW4:DHZ4"/>
    <mergeCell ref="DIA4:DIE4"/>
    <mergeCell ref="DFB53:DFG53"/>
    <mergeCell ref="DFH53:DFN53"/>
    <mergeCell ref="DFO53:DFU53"/>
    <mergeCell ref="DFV53:DGB53"/>
    <mergeCell ref="DGC53:DGI53"/>
    <mergeCell ref="DGJ53:DGP53"/>
    <mergeCell ref="DFH52:DFN52"/>
    <mergeCell ref="DFO52:DFU52"/>
    <mergeCell ref="DFV52:DGB52"/>
    <mergeCell ref="DGC52:DGI52"/>
    <mergeCell ref="DGJ52:DGP52"/>
    <mergeCell ref="DDB53:DEF53"/>
    <mergeCell ref="DEG53:DEJ53"/>
    <mergeCell ref="DEK53:DEO53"/>
    <mergeCell ref="DEP53:DEU53"/>
    <mergeCell ref="DEV53:DFA53"/>
    <mergeCell ref="DDB52:DEF52"/>
    <mergeCell ref="DEG52:DEJ52"/>
    <mergeCell ref="DEK52:DEO52"/>
    <mergeCell ref="DEP52:DEU52"/>
    <mergeCell ref="DEV52:DFA52"/>
    <mergeCell ref="DFB52:DFG52"/>
    <mergeCell ref="DFB51:DFG51"/>
    <mergeCell ref="DFH51:DFN51"/>
    <mergeCell ref="DFO51:DFU51"/>
    <mergeCell ref="DFV51:DGB51"/>
    <mergeCell ref="DGC51:DGI51"/>
    <mergeCell ref="DGJ51:DGP51"/>
    <mergeCell ref="DFH50:DFN50"/>
    <mergeCell ref="DFO50:DFU50"/>
    <mergeCell ref="DFV50:DGB50"/>
    <mergeCell ref="DGC50:DGI50"/>
    <mergeCell ref="DGJ50:DGP50"/>
    <mergeCell ref="DDB51:DEF51"/>
    <mergeCell ref="DEG51:DEJ51"/>
    <mergeCell ref="DEK51:DEO51"/>
    <mergeCell ref="DEP51:DEU51"/>
    <mergeCell ref="DEV51:DFA51"/>
    <mergeCell ref="DDB50:DEF50"/>
    <mergeCell ref="DEG50:DEJ50"/>
    <mergeCell ref="DEK50:DEO50"/>
    <mergeCell ref="DEP50:DEU50"/>
    <mergeCell ref="DEV50:DFA50"/>
    <mergeCell ref="DFB50:DFG50"/>
    <mergeCell ref="DFH47:DFN47"/>
    <mergeCell ref="DFO47:DFU47"/>
    <mergeCell ref="DFV47:DGB47"/>
    <mergeCell ref="DGC47:DGI47"/>
    <mergeCell ref="DGJ47:DGP47"/>
    <mergeCell ref="DDB49:DGP49"/>
    <mergeCell ref="DDB47:DEF47"/>
    <mergeCell ref="DEG47:DEJ47"/>
    <mergeCell ref="DEK47:DEO47"/>
    <mergeCell ref="DEP47:DEU47"/>
    <mergeCell ref="DEV47:DFA47"/>
    <mergeCell ref="DFB47:DFG47"/>
    <mergeCell ref="DFB46:DFG46"/>
    <mergeCell ref="DFH46:DFN46"/>
    <mergeCell ref="DFO46:DFU46"/>
    <mergeCell ref="DFV46:DGB46"/>
    <mergeCell ref="DGC46:DGI46"/>
    <mergeCell ref="DGJ46:DGP46"/>
    <mergeCell ref="DFH45:DFN45"/>
    <mergeCell ref="DFO45:DFU45"/>
    <mergeCell ref="DFV45:DGB45"/>
    <mergeCell ref="DGC45:DGI45"/>
    <mergeCell ref="DGJ45:DGP45"/>
    <mergeCell ref="DDB46:DEF46"/>
    <mergeCell ref="DEG46:DEJ46"/>
    <mergeCell ref="DEK46:DEO46"/>
    <mergeCell ref="DEP46:DEU46"/>
    <mergeCell ref="DEV46:DFA46"/>
    <mergeCell ref="DDB45:DEF45"/>
    <mergeCell ref="DEG45:DEJ45"/>
    <mergeCell ref="DEK45:DEO45"/>
    <mergeCell ref="DEP45:DEU45"/>
    <mergeCell ref="DEV45:DFA45"/>
    <mergeCell ref="DFB45:DFG45"/>
    <mergeCell ref="DFB44:DFG44"/>
    <mergeCell ref="DFH44:DFN44"/>
    <mergeCell ref="DFO44:DFU44"/>
    <mergeCell ref="DFV44:DGB44"/>
    <mergeCell ref="DGC44:DGI44"/>
    <mergeCell ref="DGJ44:DGP44"/>
    <mergeCell ref="DFH43:DFN43"/>
    <mergeCell ref="DFO43:DFU43"/>
    <mergeCell ref="DFV43:DGB43"/>
    <mergeCell ref="DGC43:DGI43"/>
    <mergeCell ref="DGJ43:DGP43"/>
    <mergeCell ref="DDB44:DEF44"/>
    <mergeCell ref="DEG44:DEJ44"/>
    <mergeCell ref="DEK44:DEO44"/>
    <mergeCell ref="DEP44:DEU44"/>
    <mergeCell ref="DEV44:DFA44"/>
    <mergeCell ref="DDB43:DEF43"/>
    <mergeCell ref="DEG43:DEJ43"/>
    <mergeCell ref="DEK43:DEO43"/>
    <mergeCell ref="DEP43:DEU43"/>
    <mergeCell ref="DEV43:DFA43"/>
    <mergeCell ref="DFB43:DFG43"/>
    <mergeCell ref="DFH40:DFN40"/>
    <mergeCell ref="DFO40:DFU40"/>
    <mergeCell ref="DFV40:DGB40"/>
    <mergeCell ref="DGC40:DGI40"/>
    <mergeCell ref="DGJ40:DGP40"/>
    <mergeCell ref="DDB42:DGP42"/>
    <mergeCell ref="DDB40:DEF40"/>
    <mergeCell ref="DEG40:DEJ40"/>
    <mergeCell ref="DEK40:DEO40"/>
    <mergeCell ref="DEP40:DEU40"/>
    <mergeCell ref="DEV40:DFA40"/>
    <mergeCell ref="DFB40:DFG40"/>
    <mergeCell ref="DFB39:DFG39"/>
    <mergeCell ref="DFH39:DFN39"/>
    <mergeCell ref="DFO39:DFU39"/>
    <mergeCell ref="DFV39:DGB39"/>
    <mergeCell ref="DGC39:DGI39"/>
    <mergeCell ref="DGJ39:DGP39"/>
    <mergeCell ref="DFH38:DFN38"/>
    <mergeCell ref="DFO38:DFU38"/>
    <mergeCell ref="DFV38:DGB38"/>
    <mergeCell ref="DGC38:DGI38"/>
    <mergeCell ref="DGJ38:DGP38"/>
    <mergeCell ref="DDB39:DEF39"/>
    <mergeCell ref="DEG39:DEJ39"/>
    <mergeCell ref="DEK39:DEO39"/>
    <mergeCell ref="DEP39:DEU39"/>
    <mergeCell ref="DEV39:DFA39"/>
    <mergeCell ref="DFO37:DFU37"/>
    <mergeCell ref="DFV37:DGB37"/>
    <mergeCell ref="DGC37:DGI37"/>
    <mergeCell ref="DGJ37:DGP37"/>
    <mergeCell ref="DDB38:DEF38"/>
    <mergeCell ref="DEG38:DEJ38"/>
    <mergeCell ref="DEK38:DEO38"/>
    <mergeCell ref="DEP38:DEU38"/>
    <mergeCell ref="DEV38:DFA38"/>
    <mergeCell ref="DFB38:DFG38"/>
    <mergeCell ref="DFV36:DGB36"/>
    <mergeCell ref="DGC36:DGI36"/>
    <mergeCell ref="DGJ36:DGP36"/>
    <mergeCell ref="DDB37:DEF37"/>
    <mergeCell ref="DEG37:DEJ37"/>
    <mergeCell ref="DEK37:DEO37"/>
    <mergeCell ref="DEP37:DEU37"/>
    <mergeCell ref="DEV37:DFA37"/>
    <mergeCell ref="DFB37:DFG37"/>
    <mergeCell ref="DFH37:DFN37"/>
    <mergeCell ref="DGC35:DGI35"/>
    <mergeCell ref="DGJ35:DGP35"/>
    <mergeCell ref="DDB36:DEF36"/>
    <mergeCell ref="DEG36:DEJ36"/>
    <mergeCell ref="DEK36:DEO36"/>
    <mergeCell ref="DEP36:DEU36"/>
    <mergeCell ref="DEV36:DFA36"/>
    <mergeCell ref="DFB36:DFG36"/>
    <mergeCell ref="DFH36:DFN36"/>
    <mergeCell ref="DFO36:DFU36"/>
    <mergeCell ref="DDB34:DGP34"/>
    <mergeCell ref="DDB35:DEF35"/>
    <mergeCell ref="DEG35:DEJ35"/>
    <mergeCell ref="DEK35:DEO35"/>
    <mergeCell ref="DEP35:DEU35"/>
    <mergeCell ref="DEV35:DFA35"/>
    <mergeCell ref="DFB35:DFG35"/>
    <mergeCell ref="DFH35:DFN35"/>
    <mergeCell ref="DFO35:DFU35"/>
    <mergeCell ref="DFV35:DGB35"/>
    <mergeCell ref="DFB9:DFG9"/>
    <mergeCell ref="DFH9:DFN9"/>
    <mergeCell ref="DFO9:DFU9"/>
    <mergeCell ref="DFV9:DGB9"/>
    <mergeCell ref="DGC9:DGI9"/>
    <mergeCell ref="DGJ9:DGP9"/>
    <mergeCell ref="DDB9:DEF9"/>
    <mergeCell ref="DEG9:DEJ9"/>
    <mergeCell ref="DEK9:DEO9"/>
    <mergeCell ref="DEP9:DEU9"/>
    <mergeCell ref="DEV9:DFA9"/>
    <mergeCell ref="DFB32:DFG32"/>
    <mergeCell ref="DFH32:DFN32"/>
    <mergeCell ref="DFO32:DFU32"/>
    <mergeCell ref="DFV32:DGB32"/>
    <mergeCell ref="DGC32:DGI32"/>
    <mergeCell ref="DGJ32:DGP32"/>
    <mergeCell ref="DFH31:DFN31"/>
    <mergeCell ref="DFO31:DFU31"/>
    <mergeCell ref="DFV31:DGB31"/>
    <mergeCell ref="DGC31:DGI31"/>
    <mergeCell ref="DGJ31:DGP31"/>
    <mergeCell ref="DDB32:DEF32"/>
    <mergeCell ref="DEG32:DEJ32"/>
    <mergeCell ref="DEK32:DEO32"/>
    <mergeCell ref="DEP32:DEU32"/>
    <mergeCell ref="DEV32:DFA32"/>
    <mergeCell ref="DDB31:DEF31"/>
    <mergeCell ref="DEG31:DEJ31"/>
    <mergeCell ref="DEK31:DEO31"/>
    <mergeCell ref="DEP31:DEU31"/>
    <mergeCell ref="DEV31:DFA31"/>
    <mergeCell ref="DFB31:DFG31"/>
    <mergeCell ref="DFB30:DFG30"/>
    <mergeCell ref="DFH30:DFN30"/>
    <mergeCell ref="DFO30:DFU30"/>
    <mergeCell ref="DFV30:DGB30"/>
    <mergeCell ref="DGC30:DGI30"/>
    <mergeCell ref="DGJ30:DGP30"/>
    <mergeCell ref="DFH29:DFN29"/>
    <mergeCell ref="DFO29:DFU29"/>
    <mergeCell ref="DFV29:DGB29"/>
    <mergeCell ref="DGC29:DGI29"/>
    <mergeCell ref="DGJ29:DGP29"/>
    <mergeCell ref="DDB30:DEF30"/>
    <mergeCell ref="DEG30:DEJ30"/>
    <mergeCell ref="DEK30:DEO30"/>
    <mergeCell ref="DEP30:DEU30"/>
    <mergeCell ref="DEV30:DFA30"/>
    <mergeCell ref="DDB29:DEF29"/>
    <mergeCell ref="DEG29:DEJ29"/>
    <mergeCell ref="DEK29:DEO29"/>
    <mergeCell ref="DEP29:DEU29"/>
    <mergeCell ref="DEV29:DFA29"/>
    <mergeCell ref="DFB29:DFG29"/>
    <mergeCell ref="DDB28:DGP28"/>
    <mergeCell ref="DFH26:DFN26"/>
    <mergeCell ref="DFO26:DFU26"/>
    <mergeCell ref="DFV26:DGB26"/>
    <mergeCell ref="DGC26:DGI26"/>
    <mergeCell ref="DGJ26:DGP26"/>
    <mergeCell ref="DDB26:DEF26"/>
    <mergeCell ref="DEG26:DEJ26"/>
    <mergeCell ref="DEK26:DEO26"/>
    <mergeCell ref="DEP26:DEU26"/>
    <mergeCell ref="DEV26:DFA26"/>
    <mergeCell ref="DFB26:DFG26"/>
    <mergeCell ref="DFB25:DFG25"/>
    <mergeCell ref="DFH25:DFN25"/>
    <mergeCell ref="DFO25:DFU25"/>
    <mergeCell ref="DFV25:DGB25"/>
    <mergeCell ref="DGC25:DGI25"/>
    <mergeCell ref="DGJ25:DGP25"/>
    <mergeCell ref="DFH24:DFN24"/>
    <mergeCell ref="DFO24:DFU24"/>
    <mergeCell ref="DFV24:DGB24"/>
    <mergeCell ref="DGC24:DGI24"/>
    <mergeCell ref="DGJ24:DGP24"/>
    <mergeCell ref="DDB25:DEF25"/>
    <mergeCell ref="DEG25:DEJ25"/>
    <mergeCell ref="DEK25:DEO25"/>
    <mergeCell ref="DEP25:DEU25"/>
    <mergeCell ref="DEV25:DFA25"/>
    <mergeCell ref="DDB24:DEF24"/>
    <mergeCell ref="DEG24:DEJ24"/>
    <mergeCell ref="DEK24:DEO24"/>
    <mergeCell ref="DEP24:DEU24"/>
    <mergeCell ref="DEV24:DFA24"/>
    <mergeCell ref="DFB24:DFG24"/>
    <mergeCell ref="DDB23:DGP23"/>
    <mergeCell ref="DFB21:DFG21"/>
    <mergeCell ref="DFH21:DFN21"/>
    <mergeCell ref="DFO21:DFU21"/>
    <mergeCell ref="DFV21:DGB21"/>
    <mergeCell ref="DGC21:DGI21"/>
    <mergeCell ref="DGJ21:DGP21"/>
    <mergeCell ref="DFH20:DFN20"/>
    <mergeCell ref="DFO20:DFU20"/>
    <mergeCell ref="DFV20:DGB20"/>
    <mergeCell ref="DGC20:DGI20"/>
    <mergeCell ref="DGJ20:DGP20"/>
    <mergeCell ref="DDB21:DEF21"/>
    <mergeCell ref="DEG21:DEJ21"/>
    <mergeCell ref="DEK21:DEO21"/>
    <mergeCell ref="DEP21:DEU21"/>
    <mergeCell ref="DEV21:DFA21"/>
    <mergeCell ref="DDB20:DEF20"/>
    <mergeCell ref="DEG20:DEJ20"/>
    <mergeCell ref="DEK20:DEO20"/>
    <mergeCell ref="DEP20:DEU20"/>
    <mergeCell ref="DEV20:DFA20"/>
    <mergeCell ref="DFB20:DFG20"/>
    <mergeCell ref="DFB19:DFG19"/>
    <mergeCell ref="DFH19:DFN19"/>
    <mergeCell ref="DFO19:DFU19"/>
    <mergeCell ref="DFV19:DGB19"/>
    <mergeCell ref="DGC19:DGI19"/>
    <mergeCell ref="DGJ19:DGP19"/>
    <mergeCell ref="DFH18:DFN18"/>
    <mergeCell ref="DFO18:DFU18"/>
    <mergeCell ref="DFV18:DGB18"/>
    <mergeCell ref="DGC18:DGI18"/>
    <mergeCell ref="DGJ18:DGP18"/>
    <mergeCell ref="DDB19:DEF19"/>
    <mergeCell ref="DEG19:DEJ19"/>
    <mergeCell ref="DEK19:DEO19"/>
    <mergeCell ref="DEP19:DEU19"/>
    <mergeCell ref="DEV19:DFA19"/>
    <mergeCell ref="DDB18:DEF18"/>
    <mergeCell ref="DEG18:DEJ18"/>
    <mergeCell ref="DEK18:DEO18"/>
    <mergeCell ref="DEP18:DEU18"/>
    <mergeCell ref="DEV18:DFA18"/>
    <mergeCell ref="DFB18:DFG18"/>
    <mergeCell ref="DFB17:DFG17"/>
    <mergeCell ref="DFH17:DFN17"/>
    <mergeCell ref="DFO17:DFU17"/>
    <mergeCell ref="DFV17:DGB17"/>
    <mergeCell ref="DGC17:DGI17"/>
    <mergeCell ref="DGJ17:DGP17"/>
    <mergeCell ref="DFH16:DFN16"/>
    <mergeCell ref="DFO16:DFU16"/>
    <mergeCell ref="DFV16:DGB16"/>
    <mergeCell ref="DGC16:DGI16"/>
    <mergeCell ref="DGJ16:DGP16"/>
    <mergeCell ref="DDB17:DEF17"/>
    <mergeCell ref="DEG17:DEJ17"/>
    <mergeCell ref="DEK17:DEO17"/>
    <mergeCell ref="DEP17:DEU17"/>
    <mergeCell ref="DEV17:DFA17"/>
    <mergeCell ref="DDB16:DEF16"/>
    <mergeCell ref="DEG16:DEJ16"/>
    <mergeCell ref="DEK16:DEO16"/>
    <mergeCell ref="DEP16:DEU16"/>
    <mergeCell ref="DEV16:DFA16"/>
    <mergeCell ref="DFB16:DFG16"/>
    <mergeCell ref="DFB15:DFG15"/>
    <mergeCell ref="DFH15:DFN15"/>
    <mergeCell ref="DFO15:DFU15"/>
    <mergeCell ref="DFV15:DGB15"/>
    <mergeCell ref="DGC15:DGI15"/>
    <mergeCell ref="DGJ15:DGP15"/>
    <mergeCell ref="DFH14:DFN14"/>
    <mergeCell ref="DFO14:DFU14"/>
    <mergeCell ref="DFV14:DGB14"/>
    <mergeCell ref="DGC14:DGI14"/>
    <mergeCell ref="DGJ14:DGP14"/>
    <mergeCell ref="DDB15:DEF15"/>
    <mergeCell ref="DEG15:DEJ15"/>
    <mergeCell ref="DEK15:DEO15"/>
    <mergeCell ref="DEP15:DEU15"/>
    <mergeCell ref="DEV15:DFA15"/>
    <mergeCell ref="DDB14:DEF14"/>
    <mergeCell ref="DEG14:DEJ14"/>
    <mergeCell ref="DEK14:DEO14"/>
    <mergeCell ref="DEP14:DEU14"/>
    <mergeCell ref="DEV14:DFA14"/>
    <mergeCell ref="DFB14:DFG14"/>
    <mergeCell ref="DFB13:DFG13"/>
    <mergeCell ref="DFH13:DFN13"/>
    <mergeCell ref="DFO13:DFU13"/>
    <mergeCell ref="DFV13:DGB13"/>
    <mergeCell ref="DGC13:DGI13"/>
    <mergeCell ref="DGJ13:DGP13"/>
    <mergeCell ref="DFH12:DFN12"/>
    <mergeCell ref="DFO12:DFU12"/>
    <mergeCell ref="DFV12:DGB12"/>
    <mergeCell ref="DGC12:DGI12"/>
    <mergeCell ref="DGJ12:DGP12"/>
    <mergeCell ref="DDB13:DEF13"/>
    <mergeCell ref="DEG13:DEJ13"/>
    <mergeCell ref="DEK13:DEO13"/>
    <mergeCell ref="DEP13:DEU13"/>
    <mergeCell ref="DEV13:DFA13"/>
    <mergeCell ref="DDB12:DEF12"/>
    <mergeCell ref="DEG12:DEJ12"/>
    <mergeCell ref="DEK12:DEO12"/>
    <mergeCell ref="DEP12:DEU12"/>
    <mergeCell ref="DEV12:DFA12"/>
    <mergeCell ref="DFB12:DFG12"/>
    <mergeCell ref="DFB11:DFG11"/>
    <mergeCell ref="DFH11:DFN11"/>
    <mergeCell ref="DFO11:DFU11"/>
    <mergeCell ref="DFV11:DGB11"/>
    <mergeCell ref="DGC11:DGI11"/>
    <mergeCell ref="DGJ11:DGP11"/>
    <mergeCell ref="DFH10:DFN10"/>
    <mergeCell ref="DFO10:DFU10"/>
    <mergeCell ref="DFV10:DGB10"/>
    <mergeCell ref="DGC10:DGI10"/>
    <mergeCell ref="DGJ10:DGP10"/>
    <mergeCell ref="DDB11:DEF11"/>
    <mergeCell ref="DEG11:DEJ11"/>
    <mergeCell ref="DEK11:DEO11"/>
    <mergeCell ref="DEP11:DEU11"/>
    <mergeCell ref="DEV11:DFA11"/>
    <mergeCell ref="DDB10:DEF10"/>
    <mergeCell ref="DEG10:DEJ10"/>
    <mergeCell ref="DEK10:DEO10"/>
    <mergeCell ref="DEP10:DEU10"/>
    <mergeCell ref="DEV10:DFA10"/>
    <mergeCell ref="DFB10:DFG10"/>
    <mergeCell ref="DFB8:DFG8"/>
    <mergeCell ref="DFH8:DFN8"/>
    <mergeCell ref="DFO8:DFU8"/>
    <mergeCell ref="DFV8:DGB8"/>
    <mergeCell ref="DGC8:DGI8"/>
    <mergeCell ref="DGJ8:DGP8"/>
    <mergeCell ref="DFH7:DFN7"/>
    <mergeCell ref="DFO7:DFU7"/>
    <mergeCell ref="DFV7:DGB7"/>
    <mergeCell ref="DGC7:DGI7"/>
    <mergeCell ref="DGJ7:DGP7"/>
    <mergeCell ref="DDB8:DEF8"/>
    <mergeCell ref="DEG8:DEJ8"/>
    <mergeCell ref="DEK8:DEO8"/>
    <mergeCell ref="DEP8:DEU8"/>
    <mergeCell ref="DEV8:DFA8"/>
    <mergeCell ref="DFO6:DFU6"/>
    <mergeCell ref="DFV6:DGB6"/>
    <mergeCell ref="DGC6:DGI6"/>
    <mergeCell ref="DGJ6:DGP6"/>
    <mergeCell ref="DDB7:DEF7"/>
    <mergeCell ref="DEG7:DEJ7"/>
    <mergeCell ref="DEK7:DEO7"/>
    <mergeCell ref="DEP7:DEU7"/>
    <mergeCell ref="DEV7:DFA7"/>
    <mergeCell ref="DFB7:DFG7"/>
    <mergeCell ref="DFV5:DGB5"/>
    <mergeCell ref="DGC5:DGI5"/>
    <mergeCell ref="DGJ5:DGP5"/>
    <mergeCell ref="DDB6:DEF6"/>
    <mergeCell ref="DEG6:DEJ6"/>
    <mergeCell ref="DEK6:DEO6"/>
    <mergeCell ref="DEP6:DEU6"/>
    <mergeCell ref="DEV6:DFA6"/>
    <mergeCell ref="DFB6:DFG6"/>
    <mergeCell ref="DFH6:DFN6"/>
    <mergeCell ref="DGC4:DGI4"/>
    <mergeCell ref="DGJ4:DGP4"/>
    <mergeCell ref="DDB5:DEF5"/>
    <mergeCell ref="DEG5:DEJ5"/>
    <mergeCell ref="DEK5:DEO5"/>
    <mergeCell ref="DEP5:DEU5"/>
    <mergeCell ref="DEV5:DFA5"/>
    <mergeCell ref="DFB5:DFG5"/>
    <mergeCell ref="DFH5:DFN5"/>
    <mergeCell ref="DFO5:DFU5"/>
    <mergeCell ref="DEP4:DEU4"/>
    <mergeCell ref="DEV4:DFA4"/>
    <mergeCell ref="DFB4:DFG4"/>
    <mergeCell ref="DFH4:DFN4"/>
    <mergeCell ref="DFO4:DFU4"/>
    <mergeCell ref="DFV4:DGB4"/>
    <mergeCell ref="DBR16:DBX16"/>
    <mergeCell ref="DBY16:DCE16"/>
    <mergeCell ref="DCF16:DCL16"/>
    <mergeCell ref="DCM16:DCS16"/>
    <mergeCell ref="DCT16:DCZ16"/>
    <mergeCell ref="DDB2:DGP2"/>
    <mergeCell ref="DDB3:DGP3"/>
    <mergeCell ref="DDB4:DEF4"/>
    <mergeCell ref="DEG4:DEJ4"/>
    <mergeCell ref="DEK4:DEO4"/>
    <mergeCell ref="CZL16:DAP16"/>
    <mergeCell ref="DAQ16:DAT16"/>
    <mergeCell ref="DAU16:DAY16"/>
    <mergeCell ref="DAZ16:DBE16"/>
    <mergeCell ref="DBF16:DBK16"/>
    <mergeCell ref="DBL16:DBQ16"/>
    <mergeCell ref="DBL15:DBQ15"/>
    <mergeCell ref="DBR15:DBX15"/>
    <mergeCell ref="DBY15:DCE15"/>
    <mergeCell ref="DCF15:DCL15"/>
    <mergeCell ref="DCM15:DCS15"/>
    <mergeCell ref="DCT15:DCZ15"/>
    <mergeCell ref="DBR14:DBX14"/>
    <mergeCell ref="DBY14:DCE14"/>
    <mergeCell ref="DCF14:DCL14"/>
    <mergeCell ref="DCM14:DCS14"/>
    <mergeCell ref="DCT14:DCZ14"/>
    <mergeCell ref="CZL15:DAP15"/>
    <mergeCell ref="DAQ15:DAT15"/>
    <mergeCell ref="DAU15:DAY15"/>
    <mergeCell ref="DAZ15:DBE15"/>
    <mergeCell ref="DBF15:DBK15"/>
    <mergeCell ref="DBY13:DCE13"/>
    <mergeCell ref="DCF13:DCL13"/>
    <mergeCell ref="DCM13:DCS13"/>
    <mergeCell ref="DCT13:DCZ13"/>
    <mergeCell ref="CZL14:DAP14"/>
    <mergeCell ref="DAQ14:DAT14"/>
    <mergeCell ref="DAU14:DAY14"/>
    <mergeCell ref="DAZ14:DBE14"/>
    <mergeCell ref="DBF14:DBK14"/>
    <mergeCell ref="DBL14:DBQ14"/>
    <mergeCell ref="DCF12:DCL12"/>
    <mergeCell ref="DCM12:DCS12"/>
    <mergeCell ref="DCT12:DCZ12"/>
    <mergeCell ref="CZL13:DAP13"/>
    <mergeCell ref="DAQ13:DAT13"/>
    <mergeCell ref="DAU13:DAY13"/>
    <mergeCell ref="DAZ13:DBE13"/>
    <mergeCell ref="DBF13:DBK13"/>
    <mergeCell ref="DBL13:DBQ13"/>
    <mergeCell ref="DBR13:DBX13"/>
    <mergeCell ref="DCM11:DCS11"/>
    <mergeCell ref="DCT11:DCZ11"/>
    <mergeCell ref="CZL12:DAP12"/>
    <mergeCell ref="DAQ12:DAT12"/>
    <mergeCell ref="DAU12:DAY12"/>
    <mergeCell ref="DAZ12:DBE12"/>
    <mergeCell ref="DBF12:DBK12"/>
    <mergeCell ref="DBL12:DBQ12"/>
    <mergeCell ref="DBR12:DBX12"/>
    <mergeCell ref="DBY12:DCE12"/>
    <mergeCell ref="CZL10:DCZ10"/>
    <mergeCell ref="CZL11:DAP11"/>
    <mergeCell ref="DAQ11:DAT11"/>
    <mergeCell ref="DAU11:DAY11"/>
    <mergeCell ref="DAZ11:DBE11"/>
    <mergeCell ref="DBF11:DBK11"/>
    <mergeCell ref="DBL11:DBQ11"/>
    <mergeCell ref="DBR11:DBX11"/>
    <mergeCell ref="DBY11:DCE11"/>
    <mergeCell ref="DCF11:DCL11"/>
    <mergeCell ref="DBL8:DBQ8"/>
    <mergeCell ref="DBR8:DBX8"/>
    <mergeCell ref="DBY8:DCE8"/>
    <mergeCell ref="DCF8:DCL8"/>
    <mergeCell ref="DCM8:DCS8"/>
    <mergeCell ref="DCT8:DCZ8"/>
    <mergeCell ref="DBR7:DBX7"/>
    <mergeCell ref="DBY7:DCE7"/>
    <mergeCell ref="DCF7:DCL7"/>
    <mergeCell ref="DCM7:DCS7"/>
    <mergeCell ref="DCT7:DCZ7"/>
    <mergeCell ref="CZL8:DAP8"/>
    <mergeCell ref="DAQ8:DAT8"/>
    <mergeCell ref="DAU8:DAY8"/>
    <mergeCell ref="DAZ8:DBE8"/>
    <mergeCell ref="DBF8:DBK8"/>
    <mergeCell ref="DBY6:DCE6"/>
    <mergeCell ref="DCF6:DCL6"/>
    <mergeCell ref="DCM6:DCS6"/>
    <mergeCell ref="DCT6:DCZ6"/>
    <mergeCell ref="CZL7:DAP7"/>
    <mergeCell ref="DAQ7:DAT7"/>
    <mergeCell ref="DAU7:DAY7"/>
    <mergeCell ref="DAZ7:DBE7"/>
    <mergeCell ref="DBF7:DBK7"/>
    <mergeCell ref="DBL7:DBQ7"/>
    <mergeCell ref="DCF5:DCL5"/>
    <mergeCell ref="DCM5:DCS5"/>
    <mergeCell ref="DCT5:DCZ5"/>
    <mergeCell ref="CZL6:DAP6"/>
    <mergeCell ref="DAQ6:DAT6"/>
    <mergeCell ref="DAU6:DAY6"/>
    <mergeCell ref="DAZ6:DBE6"/>
    <mergeCell ref="DBF6:DBK6"/>
    <mergeCell ref="DBL6:DBQ6"/>
    <mergeCell ref="DBR6:DBX6"/>
    <mergeCell ref="DCM4:DCS4"/>
    <mergeCell ref="DCT4:DCZ4"/>
    <mergeCell ref="CZL5:DAP5"/>
    <mergeCell ref="DAQ5:DAT5"/>
    <mergeCell ref="DAU5:DAY5"/>
    <mergeCell ref="DAZ5:DBE5"/>
    <mergeCell ref="DBF5:DBK5"/>
    <mergeCell ref="DBL5:DBQ5"/>
    <mergeCell ref="DBR5:DBX5"/>
    <mergeCell ref="DBY5:DCE5"/>
    <mergeCell ref="DAZ4:DBE4"/>
    <mergeCell ref="DBF4:DBK4"/>
    <mergeCell ref="DBL4:DBQ4"/>
    <mergeCell ref="DBR4:DBX4"/>
    <mergeCell ref="DBY4:DCE4"/>
    <mergeCell ref="DCF4:DCL4"/>
    <mergeCell ref="CYB23:CYH23"/>
    <mergeCell ref="CYI23:CYO23"/>
    <mergeCell ref="CYP23:CYV23"/>
    <mergeCell ref="CYW23:CZC23"/>
    <mergeCell ref="CZD23:CZJ23"/>
    <mergeCell ref="CZL2:DCZ2"/>
    <mergeCell ref="CZL3:DCZ3"/>
    <mergeCell ref="CZL4:DAP4"/>
    <mergeCell ref="DAQ4:DAT4"/>
    <mergeCell ref="DAU4:DAY4"/>
    <mergeCell ref="CVV23:CWZ23"/>
    <mergeCell ref="CXA23:CXD23"/>
    <mergeCell ref="CXE23:CXI23"/>
    <mergeCell ref="CXJ23:CXO23"/>
    <mergeCell ref="CXP23:CXU23"/>
    <mergeCell ref="CXV23:CYA23"/>
    <mergeCell ref="CXV22:CYA22"/>
    <mergeCell ref="CYB22:CYH22"/>
    <mergeCell ref="CYI22:CYO22"/>
    <mergeCell ref="CYP22:CYV22"/>
    <mergeCell ref="CYW22:CZC22"/>
    <mergeCell ref="CZD22:CZJ22"/>
    <mergeCell ref="CYB21:CYH21"/>
    <mergeCell ref="CYI21:CYO21"/>
    <mergeCell ref="CYP21:CYV21"/>
    <mergeCell ref="CYW21:CZC21"/>
    <mergeCell ref="CZD21:CZJ21"/>
    <mergeCell ref="CVV22:CWZ22"/>
    <mergeCell ref="CXA22:CXD22"/>
    <mergeCell ref="CXE22:CXI22"/>
    <mergeCell ref="CXJ22:CXO22"/>
    <mergeCell ref="CXP22:CXU22"/>
    <mergeCell ref="CVV21:CWZ21"/>
    <mergeCell ref="CXA21:CXD21"/>
    <mergeCell ref="CXE21:CXI21"/>
    <mergeCell ref="CXJ21:CXO21"/>
    <mergeCell ref="CXP21:CXU21"/>
    <mergeCell ref="CXV21:CYA21"/>
    <mergeCell ref="CXV20:CYA20"/>
    <mergeCell ref="CYB20:CYH20"/>
    <mergeCell ref="CYI20:CYO20"/>
    <mergeCell ref="CYP20:CYV20"/>
    <mergeCell ref="CYW20:CZC20"/>
    <mergeCell ref="CZD20:CZJ20"/>
    <mergeCell ref="CYB19:CYH19"/>
    <mergeCell ref="CYI19:CYO19"/>
    <mergeCell ref="CYP19:CYV19"/>
    <mergeCell ref="CYW19:CZC19"/>
    <mergeCell ref="CZD19:CZJ19"/>
    <mergeCell ref="CVV20:CWZ20"/>
    <mergeCell ref="CXA20:CXD20"/>
    <mergeCell ref="CXE20:CXI20"/>
    <mergeCell ref="CXJ20:CXO20"/>
    <mergeCell ref="CXP20:CXU20"/>
    <mergeCell ref="CVV19:CWZ19"/>
    <mergeCell ref="CXA19:CXD19"/>
    <mergeCell ref="CXE19:CXI19"/>
    <mergeCell ref="CXJ19:CXO19"/>
    <mergeCell ref="CXP19:CXU19"/>
    <mergeCell ref="CXV19:CYA19"/>
    <mergeCell ref="CXV18:CYA18"/>
    <mergeCell ref="CYB18:CYH18"/>
    <mergeCell ref="CYI18:CYO18"/>
    <mergeCell ref="CYP18:CYV18"/>
    <mergeCell ref="CYW18:CZC18"/>
    <mergeCell ref="CZD18:CZJ18"/>
    <mergeCell ref="CYB17:CYH17"/>
    <mergeCell ref="CYI17:CYO17"/>
    <mergeCell ref="CYP17:CYV17"/>
    <mergeCell ref="CYW17:CZC17"/>
    <mergeCell ref="CZD17:CZJ17"/>
    <mergeCell ref="CVV18:CWZ18"/>
    <mergeCell ref="CXA18:CXD18"/>
    <mergeCell ref="CXE18:CXI18"/>
    <mergeCell ref="CXJ18:CXO18"/>
    <mergeCell ref="CXP18:CXU18"/>
    <mergeCell ref="CVV17:CWZ17"/>
    <mergeCell ref="CXA17:CXD17"/>
    <mergeCell ref="CXE17:CXI17"/>
    <mergeCell ref="CXJ17:CXO17"/>
    <mergeCell ref="CXP17:CXU17"/>
    <mergeCell ref="CXV17:CYA17"/>
    <mergeCell ref="CVV16:CZJ16"/>
    <mergeCell ref="CXV14:CYA14"/>
    <mergeCell ref="CYB14:CYH14"/>
    <mergeCell ref="CYI14:CYO14"/>
    <mergeCell ref="CYP14:CYV14"/>
    <mergeCell ref="CYW14:CZC14"/>
    <mergeCell ref="CZD14:CZJ14"/>
    <mergeCell ref="CYB13:CYH13"/>
    <mergeCell ref="CYI13:CYO13"/>
    <mergeCell ref="CYP13:CYV13"/>
    <mergeCell ref="CYW13:CZC13"/>
    <mergeCell ref="CZD13:CZJ13"/>
    <mergeCell ref="CVV14:CWZ14"/>
    <mergeCell ref="CXA14:CXD14"/>
    <mergeCell ref="CXE14:CXI14"/>
    <mergeCell ref="CXJ14:CXO14"/>
    <mergeCell ref="CXP14:CXU14"/>
    <mergeCell ref="CVV13:CWZ13"/>
    <mergeCell ref="CXA13:CXD13"/>
    <mergeCell ref="CXE13:CXI13"/>
    <mergeCell ref="CXJ13:CXO13"/>
    <mergeCell ref="CXP13:CXU13"/>
    <mergeCell ref="CXV13:CYA13"/>
    <mergeCell ref="CXV12:CYA12"/>
    <mergeCell ref="CYB12:CYH12"/>
    <mergeCell ref="CYI12:CYO12"/>
    <mergeCell ref="CYP12:CYV12"/>
    <mergeCell ref="CYW12:CZC12"/>
    <mergeCell ref="CZD12:CZJ12"/>
    <mergeCell ref="CYB11:CYH11"/>
    <mergeCell ref="CYI11:CYO11"/>
    <mergeCell ref="CYP11:CYV11"/>
    <mergeCell ref="CYW11:CZC11"/>
    <mergeCell ref="CZD11:CZJ11"/>
    <mergeCell ref="CVV12:CWZ12"/>
    <mergeCell ref="CXA12:CXD12"/>
    <mergeCell ref="CXE12:CXI12"/>
    <mergeCell ref="CXJ12:CXO12"/>
    <mergeCell ref="CXP12:CXU12"/>
    <mergeCell ref="CVV11:CWZ11"/>
    <mergeCell ref="CXA11:CXD11"/>
    <mergeCell ref="CXE11:CXI11"/>
    <mergeCell ref="CXJ11:CXO11"/>
    <mergeCell ref="CXP11:CXU11"/>
    <mergeCell ref="CXV11:CYA11"/>
    <mergeCell ref="CXV10:CYA10"/>
    <mergeCell ref="CYB10:CYH10"/>
    <mergeCell ref="CYI10:CYO10"/>
    <mergeCell ref="CYP10:CYV10"/>
    <mergeCell ref="CYW10:CZC10"/>
    <mergeCell ref="CZD10:CZJ10"/>
    <mergeCell ref="CYB9:CYH9"/>
    <mergeCell ref="CYI9:CYO9"/>
    <mergeCell ref="CYP9:CYV9"/>
    <mergeCell ref="CYW9:CZC9"/>
    <mergeCell ref="CZD9:CZJ9"/>
    <mergeCell ref="CVV10:CWZ10"/>
    <mergeCell ref="CXA10:CXD10"/>
    <mergeCell ref="CXE10:CXI10"/>
    <mergeCell ref="CXJ10:CXO10"/>
    <mergeCell ref="CXP10:CXU10"/>
    <mergeCell ref="CVV9:CWZ9"/>
    <mergeCell ref="CXA9:CXD9"/>
    <mergeCell ref="CXE9:CXI9"/>
    <mergeCell ref="CXJ9:CXO9"/>
    <mergeCell ref="CXP9:CXU9"/>
    <mergeCell ref="CXV9:CYA9"/>
    <mergeCell ref="CXV8:CYA8"/>
    <mergeCell ref="CYB8:CYH8"/>
    <mergeCell ref="CYI8:CYO8"/>
    <mergeCell ref="CYP8:CYV8"/>
    <mergeCell ref="CYW8:CZC8"/>
    <mergeCell ref="CZD8:CZJ8"/>
    <mergeCell ref="CYB7:CYH7"/>
    <mergeCell ref="CYI7:CYO7"/>
    <mergeCell ref="CYP7:CYV7"/>
    <mergeCell ref="CYW7:CZC7"/>
    <mergeCell ref="CZD7:CZJ7"/>
    <mergeCell ref="CVV8:CWZ8"/>
    <mergeCell ref="CXA8:CXD8"/>
    <mergeCell ref="CXE8:CXI8"/>
    <mergeCell ref="CXJ8:CXO8"/>
    <mergeCell ref="CXP8:CXU8"/>
    <mergeCell ref="CYI6:CYO6"/>
    <mergeCell ref="CYP6:CYV6"/>
    <mergeCell ref="CYW6:CZC6"/>
    <mergeCell ref="CZD6:CZJ6"/>
    <mergeCell ref="CVV7:CWZ7"/>
    <mergeCell ref="CXA7:CXD7"/>
    <mergeCell ref="CXE7:CXI7"/>
    <mergeCell ref="CXJ7:CXO7"/>
    <mergeCell ref="CXP7:CXU7"/>
    <mergeCell ref="CXV7:CYA7"/>
    <mergeCell ref="CYP5:CYV5"/>
    <mergeCell ref="CYW5:CZC5"/>
    <mergeCell ref="CZD5:CZJ5"/>
    <mergeCell ref="CVV6:CWZ6"/>
    <mergeCell ref="CXA6:CXD6"/>
    <mergeCell ref="CXE6:CXI6"/>
    <mergeCell ref="CXJ6:CXO6"/>
    <mergeCell ref="CXP6:CXU6"/>
    <mergeCell ref="CXV6:CYA6"/>
    <mergeCell ref="CYB6:CYH6"/>
    <mergeCell ref="CYW4:CZC4"/>
    <mergeCell ref="CZD4:CZJ4"/>
    <mergeCell ref="CVV5:CWZ5"/>
    <mergeCell ref="CXA5:CXD5"/>
    <mergeCell ref="CXE5:CXI5"/>
    <mergeCell ref="CXJ5:CXO5"/>
    <mergeCell ref="CXP5:CXU5"/>
    <mergeCell ref="CXV5:CYA5"/>
    <mergeCell ref="CYB5:CYH5"/>
    <mergeCell ref="CYI5:CYO5"/>
    <mergeCell ref="CXJ4:CXO4"/>
    <mergeCell ref="CXP4:CXU4"/>
    <mergeCell ref="CXV4:CYA4"/>
    <mergeCell ref="CYB4:CYH4"/>
    <mergeCell ref="CYI4:CYO4"/>
    <mergeCell ref="CYP4:CYV4"/>
    <mergeCell ref="CVV2:CZJ2"/>
    <mergeCell ref="CVV3:CZJ3"/>
    <mergeCell ref="CVV4:CWZ4"/>
    <mergeCell ref="CXA4:CXD4"/>
    <mergeCell ref="CXE4:CXI4"/>
    <mergeCell ref="CUS61:CUY61"/>
    <mergeCell ref="CUZ61:CVF61"/>
    <mergeCell ref="CVG61:CVM61"/>
    <mergeCell ref="CVN61:CVT61"/>
    <mergeCell ref="CUZ60:CVF60"/>
    <mergeCell ref="CVG60:CVM60"/>
    <mergeCell ref="CVN60:CVT60"/>
    <mergeCell ref="CSF61:CTJ61"/>
    <mergeCell ref="CTK61:CTN61"/>
    <mergeCell ref="CTO61:CTS61"/>
    <mergeCell ref="CTT61:CTY61"/>
    <mergeCell ref="CTZ61:CUE61"/>
    <mergeCell ref="CUF61:CUK61"/>
    <mergeCell ref="CUL61:CUR61"/>
    <mergeCell ref="CVG58:CVM58"/>
    <mergeCell ref="CVN58:CVT58"/>
    <mergeCell ref="CSF60:CTJ60"/>
    <mergeCell ref="CTK60:CTN60"/>
    <mergeCell ref="CTO60:CTS60"/>
    <mergeCell ref="CTT60:CTY60"/>
    <mergeCell ref="CTZ60:CUE60"/>
    <mergeCell ref="CUF60:CUK60"/>
    <mergeCell ref="CUL60:CUR60"/>
    <mergeCell ref="CUS60:CUY60"/>
    <mergeCell ref="CSF57:CVT57"/>
    <mergeCell ref="CSF58:CTJ58"/>
    <mergeCell ref="CTK58:CTN58"/>
    <mergeCell ref="CTT58:CTY58"/>
    <mergeCell ref="CTZ58:CUE58"/>
    <mergeCell ref="CUF58:CUK58"/>
    <mergeCell ref="CUL58:CUR58"/>
    <mergeCell ref="CUS58:CUY58"/>
    <mergeCell ref="CUZ58:CVF58"/>
    <mergeCell ref="CUF55:CUK55"/>
    <mergeCell ref="CUL55:CUR55"/>
    <mergeCell ref="CUS55:CUY55"/>
    <mergeCell ref="CUZ55:CVF55"/>
    <mergeCell ref="CVG55:CVM55"/>
    <mergeCell ref="CVN55:CVT55"/>
    <mergeCell ref="CUL54:CUR54"/>
    <mergeCell ref="CUS54:CUY54"/>
    <mergeCell ref="CUZ54:CVF54"/>
    <mergeCell ref="CVG54:CVM54"/>
    <mergeCell ref="CVN54:CVT54"/>
    <mergeCell ref="CTT55:CTY55"/>
    <mergeCell ref="CTZ55:CUE55"/>
    <mergeCell ref="CTT54:CTY54"/>
    <mergeCell ref="CTZ54:CUE54"/>
    <mergeCell ref="CUF54:CUK54"/>
    <mergeCell ref="CUL53:CUR53"/>
    <mergeCell ref="CUS53:CUY53"/>
    <mergeCell ref="CUZ53:CVF53"/>
    <mergeCell ref="CVG53:CVM53"/>
    <mergeCell ref="CVN53:CVT53"/>
    <mergeCell ref="CSF52:CVT52"/>
    <mergeCell ref="CSF53:CTJ53"/>
    <mergeCell ref="CTK53:CTN53"/>
    <mergeCell ref="CTO53:CTS53"/>
    <mergeCell ref="CTT53:CTY53"/>
    <mergeCell ref="CTZ53:CUE53"/>
    <mergeCell ref="CUF53:CUK53"/>
    <mergeCell ref="CUF50:CUK50"/>
    <mergeCell ref="CUL50:CUR50"/>
    <mergeCell ref="CUS50:CUY50"/>
    <mergeCell ref="CUZ50:CVF50"/>
    <mergeCell ref="CVG50:CVM50"/>
    <mergeCell ref="CVN50:CVT50"/>
    <mergeCell ref="CUL49:CUR49"/>
    <mergeCell ref="CUS49:CUY49"/>
    <mergeCell ref="CUZ49:CVF49"/>
    <mergeCell ref="CVG49:CVM49"/>
    <mergeCell ref="CVN49:CVT49"/>
    <mergeCell ref="CSF50:CTJ50"/>
    <mergeCell ref="CTK50:CTN50"/>
    <mergeCell ref="CTO50:CTS50"/>
    <mergeCell ref="CTT50:CTY50"/>
    <mergeCell ref="CTZ50:CUE50"/>
    <mergeCell ref="CSF49:CTJ49"/>
    <mergeCell ref="CTK49:CTN49"/>
    <mergeCell ref="CTO49:CTS49"/>
    <mergeCell ref="CTT49:CTY49"/>
    <mergeCell ref="CTZ49:CUE49"/>
    <mergeCell ref="CUF49:CUK49"/>
    <mergeCell ref="CUF48:CUK48"/>
    <mergeCell ref="CUL48:CUR48"/>
    <mergeCell ref="CUS48:CUY48"/>
    <mergeCell ref="CUZ48:CVF48"/>
    <mergeCell ref="CVG48:CVM48"/>
    <mergeCell ref="CVN48:CVT48"/>
    <mergeCell ref="CUL47:CUR47"/>
    <mergeCell ref="CUS47:CUY47"/>
    <mergeCell ref="CUZ47:CVF47"/>
    <mergeCell ref="CVG47:CVM47"/>
    <mergeCell ref="CVN47:CVT47"/>
    <mergeCell ref="CSF48:CTJ48"/>
    <mergeCell ref="CTK48:CTN48"/>
    <mergeCell ref="CTO48:CTS48"/>
    <mergeCell ref="CTT48:CTY48"/>
    <mergeCell ref="CTZ48:CUE48"/>
    <mergeCell ref="CSF47:CTJ47"/>
    <mergeCell ref="CTK47:CTN47"/>
    <mergeCell ref="CTO47:CTS47"/>
    <mergeCell ref="CTT47:CTY47"/>
    <mergeCell ref="CTZ47:CUE47"/>
    <mergeCell ref="CUF47:CUK47"/>
    <mergeCell ref="CUF46:CUK46"/>
    <mergeCell ref="CUL46:CUR46"/>
    <mergeCell ref="CUS46:CUY46"/>
    <mergeCell ref="CUZ46:CVF46"/>
    <mergeCell ref="CVG46:CVM46"/>
    <mergeCell ref="CVN46:CVT46"/>
    <mergeCell ref="CUL45:CUR45"/>
    <mergeCell ref="CUS45:CUY45"/>
    <mergeCell ref="CUZ45:CVF45"/>
    <mergeCell ref="CVG45:CVM45"/>
    <mergeCell ref="CVN45:CVT45"/>
    <mergeCell ref="CSF46:CTJ46"/>
    <mergeCell ref="CTK46:CTN46"/>
    <mergeCell ref="CTO46:CTS46"/>
    <mergeCell ref="CTT46:CTY46"/>
    <mergeCell ref="CTZ46:CUE46"/>
    <mergeCell ref="CSF45:CTJ45"/>
    <mergeCell ref="CTK45:CTN45"/>
    <mergeCell ref="CTO45:CTS45"/>
    <mergeCell ref="CTT45:CTY45"/>
    <mergeCell ref="CTZ45:CUE45"/>
    <mergeCell ref="CUF45:CUK45"/>
    <mergeCell ref="CUF44:CUK44"/>
    <mergeCell ref="CUL44:CUR44"/>
    <mergeCell ref="CUS44:CUY44"/>
    <mergeCell ref="CUZ44:CVF44"/>
    <mergeCell ref="CVG44:CVM44"/>
    <mergeCell ref="CVN44:CVT44"/>
    <mergeCell ref="CUL43:CUR43"/>
    <mergeCell ref="CUS43:CUY43"/>
    <mergeCell ref="CUZ43:CVF43"/>
    <mergeCell ref="CVG43:CVM43"/>
    <mergeCell ref="CVN43:CVT43"/>
    <mergeCell ref="CSF44:CTJ44"/>
    <mergeCell ref="CTK44:CTN44"/>
    <mergeCell ref="CTO44:CTS44"/>
    <mergeCell ref="CTT44:CTY44"/>
    <mergeCell ref="CTZ44:CUE44"/>
    <mergeCell ref="CSF43:CTJ43"/>
    <mergeCell ref="CTK43:CTN43"/>
    <mergeCell ref="CTO43:CTS43"/>
    <mergeCell ref="CTT43:CTY43"/>
    <mergeCell ref="CTZ43:CUE43"/>
    <mergeCell ref="CUF43:CUK43"/>
    <mergeCell ref="CUF42:CUK42"/>
    <mergeCell ref="CUL42:CUR42"/>
    <mergeCell ref="CUS42:CUY42"/>
    <mergeCell ref="CUZ42:CVF42"/>
    <mergeCell ref="CVG42:CVM42"/>
    <mergeCell ref="CVN42:CVT42"/>
    <mergeCell ref="CUL41:CUR41"/>
    <mergeCell ref="CUS41:CUY41"/>
    <mergeCell ref="CUZ41:CVF41"/>
    <mergeCell ref="CVG41:CVM41"/>
    <mergeCell ref="CVN41:CVT41"/>
    <mergeCell ref="CSF42:CTJ42"/>
    <mergeCell ref="CTK42:CTN42"/>
    <mergeCell ref="CTO42:CTS42"/>
    <mergeCell ref="CTT42:CTY42"/>
    <mergeCell ref="CTZ42:CUE42"/>
    <mergeCell ref="CSF41:CTJ41"/>
    <mergeCell ref="CTK41:CTN41"/>
    <mergeCell ref="CTO41:CTS41"/>
    <mergeCell ref="CTT41:CTY41"/>
    <mergeCell ref="CTZ41:CUE41"/>
    <mergeCell ref="CUF41:CUK41"/>
    <mergeCell ref="CUF40:CUK40"/>
    <mergeCell ref="CUL40:CUR40"/>
    <mergeCell ref="CUS40:CUY40"/>
    <mergeCell ref="CUZ40:CVF40"/>
    <mergeCell ref="CVG40:CVM40"/>
    <mergeCell ref="CVN40:CVT40"/>
    <mergeCell ref="CUL39:CUR39"/>
    <mergeCell ref="CUS39:CUY39"/>
    <mergeCell ref="CUZ39:CVF39"/>
    <mergeCell ref="CVG39:CVM39"/>
    <mergeCell ref="CVN39:CVT39"/>
    <mergeCell ref="CSF40:CTJ40"/>
    <mergeCell ref="CTK40:CTN40"/>
    <mergeCell ref="CTO40:CTS40"/>
    <mergeCell ref="CTT40:CTY40"/>
    <mergeCell ref="CTZ40:CUE40"/>
    <mergeCell ref="CSF39:CTJ39"/>
    <mergeCell ref="CTK39:CTN39"/>
    <mergeCell ref="CTO39:CTS39"/>
    <mergeCell ref="CTT39:CTY39"/>
    <mergeCell ref="CTZ39:CUE39"/>
    <mergeCell ref="CUF39:CUK39"/>
    <mergeCell ref="CUF38:CUK38"/>
    <mergeCell ref="CUL38:CUR38"/>
    <mergeCell ref="CUS38:CUY38"/>
    <mergeCell ref="CUZ38:CVF38"/>
    <mergeCell ref="CVG38:CVM38"/>
    <mergeCell ref="CVN38:CVT38"/>
    <mergeCell ref="CUL37:CUR37"/>
    <mergeCell ref="CUS37:CUY37"/>
    <mergeCell ref="CUZ37:CVF37"/>
    <mergeCell ref="CVG37:CVM37"/>
    <mergeCell ref="CVN37:CVT37"/>
    <mergeCell ref="CSF38:CTJ38"/>
    <mergeCell ref="CTK38:CTN38"/>
    <mergeCell ref="CTO38:CTS38"/>
    <mergeCell ref="CTT38:CTY38"/>
    <mergeCell ref="CTZ38:CUE38"/>
    <mergeCell ref="CSF37:CTJ37"/>
    <mergeCell ref="CTK37:CTN37"/>
    <mergeCell ref="CTO37:CTS37"/>
    <mergeCell ref="CTT37:CTY37"/>
    <mergeCell ref="CTZ37:CUE37"/>
    <mergeCell ref="CUF37:CUK37"/>
    <mergeCell ref="CTZ36:CUE36"/>
    <mergeCell ref="CTT35:CTY35"/>
    <mergeCell ref="CTZ35:CUE35"/>
    <mergeCell ref="CUF35:CUK35"/>
    <mergeCell ref="CUF34:CUK34"/>
    <mergeCell ref="CUL34:CUR34"/>
    <mergeCell ref="CUS34:CUY34"/>
    <mergeCell ref="CUZ34:CVF34"/>
    <mergeCell ref="CVG34:CVM34"/>
    <mergeCell ref="CVN34:CVT34"/>
    <mergeCell ref="CUL33:CUR33"/>
    <mergeCell ref="CUS33:CUY33"/>
    <mergeCell ref="CUZ33:CVF33"/>
    <mergeCell ref="CVG33:CVM33"/>
    <mergeCell ref="CVN33:CVT33"/>
    <mergeCell ref="CSF34:CTJ34"/>
    <mergeCell ref="CTK34:CTN34"/>
    <mergeCell ref="CTO34:CTS34"/>
    <mergeCell ref="CTT34:CTY34"/>
    <mergeCell ref="CTZ34:CUE34"/>
    <mergeCell ref="CSF33:CTJ33"/>
    <mergeCell ref="CTK33:CTN33"/>
    <mergeCell ref="CTO33:CTS33"/>
    <mergeCell ref="CTT33:CTY33"/>
    <mergeCell ref="CTZ33:CUE33"/>
    <mergeCell ref="CUF33:CUK33"/>
    <mergeCell ref="CUF32:CUK32"/>
    <mergeCell ref="CUL32:CUR32"/>
    <mergeCell ref="CUS32:CUY32"/>
    <mergeCell ref="CUZ32:CVF32"/>
    <mergeCell ref="CVG32:CVM32"/>
    <mergeCell ref="CVN32:CVT32"/>
    <mergeCell ref="CUL31:CUR31"/>
    <mergeCell ref="CUS31:CUY31"/>
    <mergeCell ref="CUZ31:CVF31"/>
    <mergeCell ref="CVG31:CVM31"/>
    <mergeCell ref="CVN31:CVT31"/>
    <mergeCell ref="CSF32:CTJ32"/>
    <mergeCell ref="CTK32:CTN32"/>
    <mergeCell ref="CTO32:CTS32"/>
    <mergeCell ref="CTT32:CTY32"/>
    <mergeCell ref="CTZ32:CUE32"/>
    <mergeCell ref="CSF31:CTJ31"/>
    <mergeCell ref="CTK31:CTN31"/>
    <mergeCell ref="CTO31:CTS31"/>
    <mergeCell ref="CTT31:CTY31"/>
    <mergeCell ref="CTZ31:CUE31"/>
    <mergeCell ref="CUF31:CUK31"/>
    <mergeCell ref="CUF30:CUK30"/>
    <mergeCell ref="CUL30:CUR30"/>
    <mergeCell ref="CUS30:CUY30"/>
    <mergeCell ref="CUZ30:CVF30"/>
    <mergeCell ref="CVG30:CVM30"/>
    <mergeCell ref="CVN30:CVT30"/>
    <mergeCell ref="CUL29:CUR29"/>
    <mergeCell ref="CUS29:CUY29"/>
    <mergeCell ref="CUZ29:CVF29"/>
    <mergeCell ref="CVG29:CVM29"/>
    <mergeCell ref="CVN29:CVT29"/>
    <mergeCell ref="CSF30:CTJ30"/>
    <mergeCell ref="CTK30:CTN30"/>
    <mergeCell ref="CTO30:CTS30"/>
    <mergeCell ref="CTT30:CTY30"/>
    <mergeCell ref="CTZ30:CUE30"/>
    <mergeCell ref="CSF29:CTJ29"/>
    <mergeCell ref="CTK29:CTN29"/>
    <mergeCell ref="CTO29:CTS29"/>
    <mergeCell ref="CTT29:CTY29"/>
    <mergeCell ref="CTZ29:CUE29"/>
    <mergeCell ref="CUF29:CUK29"/>
    <mergeCell ref="CUF28:CUK28"/>
    <mergeCell ref="CUL28:CUR28"/>
    <mergeCell ref="CUS28:CUY28"/>
    <mergeCell ref="CUZ28:CVF28"/>
    <mergeCell ref="CVG28:CVM28"/>
    <mergeCell ref="CVN28:CVT28"/>
    <mergeCell ref="CUL27:CUR27"/>
    <mergeCell ref="CUS27:CUY27"/>
    <mergeCell ref="CUZ27:CVF27"/>
    <mergeCell ref="CVG27:CVM27"/>
    <mergeCell ref="CVN27:CVT27"/>
    <mergeCell ref="CSF28:CTJ28"/>
    <mergeCell ref="CTK28:CTN28"/>
    <mergeCell ref="CTO28:CTS28"/>
    <mergeCell ref="CTT28:CTY28"/>
    <mergeCell ref="CTZ28:CUE28"/>
    <mergeCell ref="CSF27:CTJ27"/>
    <mergeCell ref="CTK27:CTN27"/>
    <mergeCell ref="CTO27:CTS27"/>
    <mergeCell ref="CTT27:CTY27"/>
    <mergeCell ref="CTZ27:CUE27"/>
    <mergeCell ref="CUF27:CUK27"/>
    <mergeCell ref="CUF26:CUK26"/>
    <mergeCell ref="CUL26:CUR26"/>
    <mergeCell ref="CUS26:CUY26"/>
    <mergeCell ref="CUZ26:CVF26"/>
    <mergeCell ref="CVG26:CVM26"/>
    <mergeCell ref="CVN26:CVT26"/>
    <mergeCell ref="CUL25:CUR25"/>
    <mergeCell ref="CUS25:CUY25"/>
    <mergeCell ref="CUZ25:CVF25"/>
    <mergeCell ref="CVG25:CVM25"/>
    <mergeCell ref="CVN25:CVT25"/>
    <mergeCell ref="CSF26:CTJ26"/>
    <mergeCell ref="CTK26:CTN26"/>
    <mergeCell ref="CTO26:CTS26"/>
    <mergeCell ref="CTT26:CTY26"/>
    <mergeCell ref="CTZ26:CUE26"/>
    <mergeCell ref="CSF25:CTJ25"/>
    <mergeCell ref="CTK25:CTN25"/>
    <mergeCell ref="CTO25:CTS25"/>
    <mergeCell ref="CTT25:CTY25"/>
    <mergeCell ref="CTZ25:CUE25"/>
    <mergeCell ref="CUF25:CUK25"/>
    <mergeCell ref="CUF24:CUK24"/>
    <mergeCell ref="CUL24:CUR24"/>
    <mergeCell ref="CUS24:CUY24"/>
    <mergeCell ref="CUZ24:CVF24"/>
    <mergeCell ref="CVG24:CVM24"/>
    <mergeCell ref="CVN24:CVT24"/>
    <mergeCell ref="CUL23:CUR23"/>
    <mergeCell ref="CUS23:CUY23"/>
    <mergeCell ref="CUZ23:CVF23"/>
    <mergeCell ref="CVG23:CVM23"/>
    <mergeCell ref="CVN23:CVT23"/>
    <mergeCell ref="CSF24:CTJ24"/>
    <mergeCell ref="CTK24:CTN24"/>
    <mergeCell ref="CTO24:CTS24"/>
    <mergeCell ref="CTT24:CTY24"/>
    <mergeCell ref="CTZ24:CUE24"/>
    <mergeCell ref="CSF23:CTJ23"/>
    <mergeCell ref="CTK23:CTN23"/>
    <mergeCell ref="CTO23:CTS23"/>
    <mergeCell ref="CTT23:CTY23"/>
    <mergeCell ref="CTZ23:CUE23"/>
    <mergeCell ref="CUF23:CUK23"/>
    <mergeCell ref="CUF22:CUK22"/>
    <mergeCell ref="CUL22:CUR22"/>
    <mergeCell ref="CUS22:CUY22"/>
    <mergeCell ref="CUZ22:CVF22"/>
    <mergeCell ref="CVG22:CVM22"/>
    <mergeCell ref="CVN22:CVT22"/>
    <mergeCell ref="CUL21:CUR21"/>
    <mergeCell ref="CUS21:CUY21"/>
    <mergeCell ref="CUZ21:CVF21"/>
    <mergeCell ref="CVG21:CVM21"/>
    <mergeCell ref="CVN21:CVT21"/>
    <mergeCell ref="CSF22:CTJ22"/>
    <mergeCell ref="CTK22:CTN22"/>
    <mergeCell ref="CTO22:CTS22"/>
    <mergeCell ref="CTT22:CTY22"/>
    <mergeCell ref="CTZ22:CUE22"/>
    <mergeCell ref="CSF21:CTJ21"/>
    <mergeCell ref="CTK21:CTN21"/>
    <mergeCell ref="CTO21:CTS21"/>
    <mergeCell ref="CTT21:CTY21"/>
    <mergeCell ref="CTZ21:CUE21"/>
    <mergeCell ref="CUF21:CUK21"/>
    <mergeCell ref="CUF20:CUK20"/>
    <mergeCell ref="CUL20:CUR20"/>
    <mergeCell ref="CUS20:CUY20"/>
    <mergeCell ref="CUZ20:CVF20"/>
    <mergeCell ref="CVG20:CVM20"/>
    <mergeCell ref="CVN20:CVT20"/>
    <mergeCell ref="CUL19:CUR19"/>
    <mergeCell ref="CUS19:CUY19"/>
    <mergeCell ref="CUZ19:CVF19"/>
    <mergeCell ref="CVG19:CVM19"/>
    <mergeCell ref="CVN19:CVT19"/>
    <mergeCell ref="CSF20:CTJ20"/>
    <mergeCell ref="CTK20:CTN20"/>
    <mergeCell ref="CTO20:CTS20"/>
    <mergeCell ref="CTT20:CTY20"/>
    <mergeCell ref="CTZ20:CUE20"/>
    <mergeCell ref="CSF19:CTJ19"/>
    <mergeCell ref="CTK19:CTN19"/>
    <mergeCell ref="CTO19:CTS19"/>
    <mergeCell ref="CTT19:CTY19"/>
    <mergeCell ref="CTZ19:CUE19"/>
    <mergeCell ref="CUF19:CUK19"/>
    <mergeCell ref="CUF17:CUK17"/>
    <mergeCell ref="CUL17:CUR17"/>
    <mergeCell ref="CUS17:CUY17"/>
    <mergeCell ref="CUZ17:CVF17"/>
    <mergeCell ref="CVG17:CVM17"/>
    <mergeCell ref="CVN17:CVT17"/>
    <mergeCell ref="CUL16:CUR16"/>
    <mergeCell ref="CUS16:CUY16"/>
    <mergeCell ref="CUZ16:CVF16"/>
    <mergeCell ref="CVG16:CVM16"/>
    <mergeCell ref="CVN16:CVT16"/>
    <mergeCell ref="CSF17:CTJ17"/>
    <mergeCell ref="CTK17:CTN17"/>
    <mergeCell ref="CTO17:CTS17"/>
    <mergeCell ref="CTT17:CTY17"/>
    <mergeCell ref="CTZ17:CUE17"/>
    <mergeCell ref="CSF16:CTJ16"/>
    <mergeCell ref="CTK16:CTN16"/>
    <mergeCell ref="CTO16:CTS16"/>
    <mergeCell ref="CTT16:CTY16"/>
    <mergeCell ref="CTZ16:CUE16"/>
    <mergeCell ref="CUF16:CUK16"/>
    <mergeCell ref="CUF15:CUK15"/>
    <mergeCell ref="CUL15:CUR15"/>
    <mergeCell ref="CUS15:CUY15"/>
    <mergeCell ref="CUZ15:CVF15"/>
    <mergeCell ref="CVG15:CVM15"/>
    <mergeCell ref="CVN15:CVT15"/>
    <mergeCell ref="CUL14:CUR14"/>
    <mergeCell ref="CUS14:CUY14"/>
    <mergeCell ref="CUZ14:CVF14"/>
    <mergeCell ref="CVG14:CVM14"/>
    <mergeCell ref="CVN14:CVT14"/>
    <mergeCell ref="CSF15:CTJ15"/>
    <mergeCell ref="CTK15:CTN15"/>
    <mergeCell ref="CTO15:CTS15"/>
    <mergeCell ref="CTT15:CTY15"/>
    <mergeCell ref="CTZ15:CUE15"/>
    <mergeCell ref="CSF14:CTJ14"/>
    <mergeCell ref="CTK14:CTN14"/>
    <mergeCell ref="CTO14:CTS14"/>
    <mergeCell ref="CTT14:CTY14"/>
    <mergeCell ref="CTZ14:CUE14"/>
    <mergeCell ref="CUF14:CUK14"/>
    <mergeCell ref="CUF13:CUK13"/>
    <mergeCell ref="CUL13:CUR13"/>
    <mergeCell ref="CUS13:CUY13"/>
    <mergeCell ref="CUZ13:CVF13"/>
    <mergeCell ref="CVG13:CVM13"/>
    <mergeCell ref="CVN13:CVT13"/>
    <mergeCell ref="CUL12:CUR12"/>
    <mergeCell ref="CUS12:CUY12"/>
    <mergeCell ref="CUZ12:CVF12"/>
    <mergeCell ref="CVG12:CVM12"/>
    <mergeCell ref="CVN12:CVT12"/>
    <mergeCell ref="CSF13:CTJ13"/>
    <mergeCell ref="CTK13:CTN13"/>
    <mergeCell ref="CTO13:CTS13"/>
    <mergeCell ref="CTT13:CTY13"/>
    <mergeCell ref="CTZ13:CUE13"/>
    <mergeCell ref="CSF12:CTJ12"/>
    <mergeCell ref="CTK12:CTN12"/>
    <mergeCell ref="CTO12:CTS12"/>
    <mergeCell ref="CTT12:CTY12"/>
    <mergeCell ref="CTZ12:CUE12"/>
    <mergeCell ref="CUF12:CUK12"/>
    <mergeCell ref="CUF11:CUK11"/>
    <mergeCell ref="CUL11:CUR11"/>
    <mergeCell ref="CUS11:CUY11"/>
    <mergeCell ref="CUZ11:CVF11"/>
    <mergeCell ref="CVG11:CVM11"/>
    <mergeCell ref="CVN11:CVT11"/>
    <mergeCell ref="CUL10:CUR10"/>
    <mergeCell ref="CUS10:CUY10"/>
    <mergeCell ref="CUZ10:CVF10"/>
    <mergeCell ref="CVG10:CVM10"/>
    <mergeCell ref="CVN10:CVT10"/>
    <mergeCell ref="CSF11:CTJ11"/>
    <mergeCell ref="CTK11:CTN11"/>
    <mergeCell ref="CTO11:CTS11"/>
    <mergeCell ref="CTT11:CTY11"/>
    <mergeCell ref="CTZ11:CUE11"/>
    <mergeCell ref="CSF10:CTJ10"/>
    <mergeCell ref="CTK10:CTN10"/>
    <mergeCell ref="CTO10:CTS10"/>
    <mergeCell ref="CTT10:CTY10"/>
    <mergeCell ref="CTZ10:CUE10"/>
    <mergeCell ref="CUF10:CUK10"/>
    <mergeCell ref="CUF9:CUK9"/>
    <mergeCell ref="CUL9:CUR9"/>
    <mergeCell ref="CUS9:CUY9"/>
    <mergeCell ref="CUZ9:CVF9"/>
    <mergeCell ref="CVG9:CVM9"/>
    <mergeCell ref="CVN9:CVT9"/>
    <mergeCell ref="CUL8:CUR8"/>
    <mergeCell ref="CUS8:CUY8"/>
    <mergeCell ref="CUZ8:CVF8"/>
    <mergeCell ref="CVG8:CVM8"/>
    <mergeCell ref="CVN8:CVT8"/>
    <mergeCell ref="CSF9:CTJ9"/>
    <mergeCell ref="CTK9:CTN9"/>
    <mergeCell ref="CTO9:CTS9"/>
    <mergeCell ref="CTT9:CTY9"/>
    <mergeCell ref="CTZ9:CUE9"/>
    <mergeCell ref="CSF8:CTJ8"/>
    <mergeCell ref="CTK8:CTN8"/>
    <mergeCell ref="CTO8:CTS8"/>
    <mergeCell ref="CTT8:CTY8"/>
    <mergeCell ref="CTZ8:CUE8"/>
    <mergeCell ref="CUF8:CUK8"/>
    <mergeCell ref="CUF7:CUK7"/>
    <mergeCell ref="CUL7:CUR7"/>
    <mergeCell ref="CUS7:CUY7"/>
    <mergeCell ref="CUZ7:CVF7"/>
    <mergeCell ref="CVG7:CVM7"/>
    <mergeCell ref="CVN7:CVT7"/>
    <mergeCell ref="CUL6:CUR6"/>
    <mergeCell ref="CUS6:CUY6"/>
    <mergeCell ref="CUZ6:CVF6"/>
    <mergeCell ref="CVG6:CVM6"/>
    <mergeCell ref="CVN6:CVT6"/>
    <mergeCell ref="CSF7:CTJ7"/>
    <mergeCell ref="CTK7:CTN7"/>
    <mergeCell ref="CTO7:CTS7"/>
    <mergeCell ref="CTT7:CTY7"/>
    <mergeCell ref="CTZ7:CUE7"/>
    <mergeCell ref="CUS5:CUY5"/>
    <mergeCell ref="CUZ5:CVF5"/>
    <mergeCell ref="CVG5:CVM5"/>
    <mergeCell ref="CVN5:CVT5"/>
    <mergeCell ref="CSF6:CTJ6"/>
    <mergeCell ref="CTK6:CTN6"/>
    <mergeCell ref="CTO6:CTS6"/>
    <mergeCell ref="CTT6:CTY6"/>
    <mergeCell ref="CTZ6:CUE6"/>
    <mergeCell ref="CUF6:CUK6"/>
    <mergeCell ref="CUZ4:CVF4"/>
    <mergeCell ref="CVG4:CVM4"/>
    <mergeCell ref="CVN4:CVT4"/>
    <mergeCell ref="CSF5:CTJ5"/>
    <mergeCell ref="CTK5:CTN5"/>
    <mergeCell ref="CTO5:CTS5"/>
    <mergeCell ref="CTT5:CTY5"/>
    <mergeCell ref="CTZ5:CUE5"/>
    <mergeCell ref="CUF5:CUK5"/>
    <mergeCell ref="CUL5:CUR5"/>
    <mergeCell ref="CSF2:CVT2"/>
    <mergeCell ref="CSF3:CVT3"/>
    <mergeCell ref="CSF4:CTJ4"/>
    <mergeCell ref="CTK4:CTN4"/>
    <mergeCell ref="CTO4:CTS4"/>
    <mergeCell ref="CTT4:CTY4"/>
    <mergeCell ref="CTZ4:CUE4"/>
    <mergeCell ref="CUF4:CUK4"/>
    <mergeCell ref="CUL4:CUR4"/>
    <mergeCell ref="CUS4:CUY4"/>
    <mergeCell ref="CRC58:CRI58"/>
    <mergeCell ref="CRJ58:CRP58"/>
    <mergeCell ref="CRQ58:CRW58"/>
    <mergeCell ref="CRX58:CSD58"/>
    <mergeCell ref="COP59:CPT59"/>
    <mergeCell ref="CPU59:CPX59"/>
    <mergeCell ref="CPY59:CQC59"/>
    <mergeCell ref="CQD59:CQI59"/>
    <mergeCell ref="CQJ59:CQO59"/>
    <mergeCell ref="COP58:CPT58"/>
    <mergeCell ref="CPU58:CPX58"/>
    <mergeCell ref="CPY58:CQC58"/>
    <mergeCell ref="CQD58:CQI58"/>
    <mergeCell ref="CQJ58:CQO58"/>
    <mergeCell ref="CQP58:CQU58"/>
    <mergeCell ref="CQP57:CQU57"/>
    <mergeCell ref="CQV57:CRB57"/>
    <mergeCell ref="CRC57:CRI57"/>
    <mergeCell ref="CRJ57:CRP57"/>
    <mergeCell ref="CRQ57:CRW57"/>
    <mergeCell ref="CRX57:CSD57"/>
    <mergeCell ref="CQV56:CRB56"/>
    <mergeCell ref="CRC56:CRI56"/>
    <mergeCell ref="CRJ56:CRP56"/>
    <mergeCell ref="CRQ56:CRW56"/>
    <mergeCell ref="CRX56:CSD56"/>
    <mergeCell ref="COP57:CPT57"/>
    <mergeCell ref="CPU57:CPX57"/>
    <mergeCell ref="CPY57:CQC57"/>
    <mergeCell ref="CQD57:CQI57"/>
    <mergeCell ref="CQJ57:CQO57"/>
    <mergeCell ref="COP56:CPT56"/>
    <mergeCell ref="CPU56:CPX56"/>
    <mergeCell ref="CPY56:CQC56"/>
    <mergeCell ref="CQD56:CQI56"/>
    <mergeCell ref="CQJ56:CQO56"/>
    <mergeCell ref="CQP56:CQU56"/>
    <mergeCell ref="CQP55:CQU55"/>
    <mergeCell ref="CQV55:CRB55"/>
    <mergeCell ref="CRC55:CRI55"/>
    <mergeCell ref="CRJ55:CRP55"/>
    <mergeCell ref="CRQ55:CRW55"/>
    <mergeCell ref="CRX55:CSD55"/>
    <mergeCell ref="CQV54:CRB54"/>
    <mergeCell ref="CRC54:CRI54"/>
    <mergeCell ref="CRJ54:CRP54"/>
    <mergeCell ref="CRQ54:CRW54"/>
    <mergeCell ref="CRX54:CSD54"/>
    <mergeCell ref="COP55:CPT55"/>
    <mergeCell ref="CPU55:CPX55"/>
    <mergeCell ref="CPY55:CQC55"/>
    <mergeCell ref="CQD55:CQI55"/>
    <mergeCell ref="CQJ55:CQO55"/>
    <mergeCell ref="CRC53:CRI53"/>
    <mergeCell ref="CRJ53:CRP53"/>
    <mergeCell ref="CRQ53:CRW53"/>
    <mergeCell ref="CRX53:CSD53"/>
    <mergeCell ref="COP54:CPT54"/>
    <mergeCell ref="CPU54:CPX54"/>
    <mergeCell ref="CPY54:CQC54"/>
    <mergeCell ref="CQD54:CQI54"/>
    <mergeCell ref="CQJ54:CQO54"/>
    <mergeCell ref="CQP54:CQU54"/>
    <mergeCell ref="CRJ52:CRP52"/>
    <mergeCell ref="CRQ52:CRW52"/>
    <mergeCell ref="CRX52:CSD52"/>
    <mergeCell ref="COP53:CPT53"/>
    <mergeCell ref="CPU53:CPX53"/>
    <mergeCell ref="CPY53:CQC53"/>
    <mergeCell ref="CQD53:CQI53"/>
    <mergeCell ref="CQJ53:CQO53"/>
    <mergeCell ref="CQP53:CQU53"/>
    <mergeCell ref="CQV53:CRB53"/>
    <mergeCell ref="CRQ51:CRW51"/>
    <mergeCell ref="CRX51:CSD51"/>
    <mergeCell ref="COP52:CPT52"/>
    <mergeCell ref="CPU52:CPX52"/>
    <mergeCell ref="CPY52:CQC52"/>
    <mergeCell ref="CQD52:CQI52"/>
    <mergeCell ref="CQJ52:CQO52"/>
    <mergeCell ref="CQP52:CQU52"/>
    <mergeCell ref="CQV52:CRB52"/>
    <mergeCell ref="CRC52:CRI52"/>
    <mergeCell ref="COP50:CSD50"/>
    <mergeCell ref="COP51:CPT51"/>
    <mergeCell ref="CPU51:CPX51"/>
    <mergeCell ref="CPY51:CQC51"/>
    <mergeCell ref="CQD51:CQI51"/>
    <mergeCell ref="CQJ51:CQO51"/>
    <mergeCell ref="CQP51:CQU51"/>
    <mergeCell ref="CQV51:CRB51"/>
    <mergeCell ref="CRC51:CRI51"/>
    <mergeCell ref="CRJ51:CRP51"/>
    <mergeCell ref="CQP48:CQU48"/>
    <mergeCell ref="CQV48:CRB48"/>
    <mergeCell ref="CRC48:CRI48"/>
    <mergeCell ref="CRJ48:CRP48"/>
    <mergeCell ref="CRQ48:CRW48"/>
    <mergeCell ref="CRX48:CSD48"/>
    <mergeCell ref="CQV47:CRB47"/>
    <mergeCell ref="CRC47:CRI47"/>
    <mergeCell ref="CRJ47:CRP47"/>
    <mergeCell ref="CRQ47:CRW47"/>
    <mergeCell ref="CRX47:CSD47"/>
    <mergeCell ref="COP48:CPT48"/>
    <mergeCell ref="CPU48:CPX48"/>
    <mergeCell ref="CPY48:CQC48"/>
    <mergeCell ref="CQD48:CQI48"/>
    <mergeCell ref="CQJ48:CQO48"/>
    <mergeCell ref="COP47:CPT47"/>
    <mergeCell ref="CPU47:CPX47"/>
    <mergeCell ref="CPY47:CQC47"/>
    <mergeCell ref="CQD47:CQI47"/>
    <mergeCell ref="CQJ47:CQO47"/>
    <mergeCell ref="CQP47:CQU47"/>
    <mergeCell ref="CQP46:CQU46"/>
    <mergeCell ref="CQV46:CRB46"/>
    <mergeCell ref="CRC46:CRI46"/>
    <mergeCell ref="CRJ46:CRP46"/>
    <mergeCell ref="CRQ46:CRW46"/>
    <mergeCell ref="CRX46:CSD46"/>
    <mergeCell ref="CQV45:CRB45"/>
    <mergeCell ref="CRC45:CRI45"/>
    <mergeCell ref="CRJ45:CRP45"/>
    <mergeCell ref="CRQ45:CRW45"/>
    <mergeCell ref="CRX45:CSD45"/>
    <mergeCell ref="COP46:CPT46"/>
    <mergeCell ref="CPU46:CPX46"/>
    <mergeCell ref="CPY46:CQC46"/>
    <mergeCell ref="CQD46:CQI46"/>
    <mergeCell ref="CQJ46:CQO46"/>
    <mergeCell ref="CRC44:CRI44"/>
    <mergeCell ref="CRJ44:CRP44"/>
    <mergeCell ref="CRQ44:CRW44"/>
    <mergeCell ref="CRX44:CSD44"/>
    <mergeCell ref="COP45:CPT45"/>
    <mergeCell ref="CPU45:CPX45"/>
    <mergeCell ref="CPY45:CQC45"/>
    <mergeCell ref="CQD45:CQI45"/>
    <mergeCell ref="CQJ45:CQO45"/>
    <mergeCell ref="CQP45:CQU45"/>
    <mergeCell ref="CRJ43:CRP43"/>
    <mergeCell ref="CRQ43:CRW43"/>
    <mergeCell ref="CRX43:CSD43"/>
    <mergeCell ref="COP44:CPT44"/>
    <mergeCell ref="CPU44:CPX44"/>
    <mergeCell ref="CPY44:CQC44"/>
    <mergeCell ref="CQD44:CQI44"/>
    <mergeCell ref="CQJ44:CQO44"/>
    <mergeCell ref="CQP44:CQU44"/>
    <mergeCell ref="CQV44:CRB44"/>
    <mergeCell ref="CRQ42:CRW42"/>
    <mergeCell ref="CRX42:CSD42"/>
    <mergeCell ref="COP43:CPT43"/>
    <mergeCell ref="CPU43:CPX43"/>
    <mergeCell ref="CPY43:CQC43"/>
    <mergeCell ref="CQD43:CQI43"/>
    <mergeCell ref="CQJ43:CQO43"/>
    <mergeCell ref="CQP43:CQU43"/>
    <mergeCell ref="CQV43:CRB43"/>
    <mergeCell ref="CRC43:CRI43"/>
    <mergeCell ref="COP41:CSD41"/>
    <mergeCell ref="COP42:CPT42"/>
    <mergeCell ref="CPU42:CPX42"/>
    <mergeCell ref="CPY42:CQC42"/>
    <mergeCell ref="CQD42:CQI42"/>
    <mergeCell ref="CQJ42:CQO42"/>
    <mergeCell ref="CQP42:CQU42"/>
    <mergeCell ref="CQV42:CRB42"/>
    <mergeCell ref="CRC42:CRI42"/>
    <mergeCell ref="CRJ42:CRP42"/>
    <mergeCell ref="CQP39:CQU39"/>
    <mergeCell ref="CQV39:CRB39"/>
    <mergeCell ref="CRC39:CRI39"/>
    <mergeCell ref="CRJ39:CRP39"/>
    <mergeCell ref="CRQ39:CRW39"/>
    <mergeCell ref="CRX39:CSD39"/>
    <mergeCell ref="CQV38:CRB38"/>
    <mergeCell ref="CRC38:CRI38"/>
    <mergeCell ref="CRJ38:CRP38"/>
    <mergeCell ref="CRQ38:CRW38"/>
    <mergeCell ref="CRX38:CSD38"/>
    <mergeCell ref="COP39:CPT39"/>
    <mergeCell ref="CPU39:CPX39"/>
    <mergeCell ref="CPY39:CQC39"/>
    <mergeCell ref="CQD39:CQI39"/>
    <mergeCell ref="CQJ39:CQO39"/>
    <mergeCell ref="COP38:CPT38"/>
    <mergeCell ref="CPU38:CPX38"/>
    <mergeCell ref="CPY38:CQC38"/>
    <mergeCell ref="CQD38:CQI38"/>
    <mergeCell ref="CQJ38:CQO38"/>
    <mergeCell ref="CQP38:CQU38"/>
    <mergeCell ref="CQP37:CQU37"/>
    <mergeCell ref="CQV37:CRB37"/>
    <mergeCell ref="CRC37:CRI37"/>
    <mergeCell ref="CRJ37:CRP37"/>
    <mergeCell ref="CRQ37:CRW37"/>
    <mergeCell ref="CRX37:CSD37"/>
    <mergeCell ref="CQV31:CRB31"/>
    <mergeCell ref="CRC31:CRI31"/>
    <mergeCell ref="CRJ31:CRP31"/>
    <mergeCell ref="CRQ31:CRW31"/>
    <mergeCell ref="CRX31:CSD31"/>
    <mergeCell ref="COP37:CPT37"/>
    <mergeCell ref="CPU37:CPX37"/>
    <mergeCell ref="CPY37:CQC37"/>
    <mergeCell ref="CQD37:CQI37"/>
    <mergeCell ref="CQJ37:CQO37"/>
    <mergeCell ref="COP31:CPT31"/>
    <mergeCell ref="CPU31:CPX31"/>
    <mergeCell ref="CPY31:CQC31"/>
    <mergeCell ref="CQD31:CQI31"/>
    <mergeCell ref="CQJ31:CQO31"/>
    <mergeCell ref="CQP31:CQU31"/>
    <mergeCell ref="COP32:CPT32"/>
    <mergeCell ref="CPU32:CPX32"/>
    <mergeCell ref="CPY32:CQC32"/>
    <mergeCell ref="CQD32:CQI32"/>
    <mergeCell ref="CQJ32:CQO32"/>
    <mergeCell ref="CQP32:CQU32"/>
    <mergeCell ref="CQV32:CRB32"/>
    <mergeCell ref="CRC32:CRI32"/>
    <mergeCell ref="CRJ32:CRP32"/>
    <mergeCell ref="CRQ32:CRW32"/>
    <mergeCell ref="CQP30:CQU30"/>
    <mergeCell ref="CQV30:CRB30"/>
    <mergeCell ref="CRC30:CRI30"/>
    <mergeCell ref="CRJ30:CRP30"/>
    <mergeCell ref="CRQ30:CRW30"/>
    <mergeCell ref="CRX30:CSD30"/>
    <mergeCell ref="CQV29:CRB29"/>
    <mergeCell ref="CRC29:CRI29"/>
    <mergeCell ref="CRJ29:CRP29"/>
    <mergeCell ref="CRQ29:CRW29"/>
    <mergeCell ref="CRX29:CSD29"/>
    <mergeCell ref="COP30:CPT30"/>
    <mergeCell ref="CPU30:CPX30"/>
    <mergeCell ref="CPY30:CQC30"/>
    <mergeCell ref="CQD30:CQI30"/>
    <mergeCell ref="CQJ30:CQO30"/>
    <mergeCell ref="CRC28:CRI28"/>
    <mergeCell ref="CRJ28:CRP28"/>
    <mergeCell ref="CRQ28:CRW28"/>
    <mergeCell ref="CRX28:CSD28"/>
    <mergeCell ref="COP29:CPT29"/>
    <mergeCell ref="CPU29:CPX29"/>
    <mergeCell ref="CPY29:CQC29"/>
    <mergeCell ref="CQD29:CQI29"/>
    <mergeCell ref="CQJ29:CQO29"/>
    <mergeCell ref="CQP29:CQU29"/>
    <mergeCell ref="CRJ27:CRP27"/>
    <mergeCell ref="CRQ27:CRW27"/>
    <mergeCell ref="CRX27:CSD27"/>
    <mergeCell ref="COP28:CPT28"/>
    <mergeCell ref="CPU28:CPX28"/>
    <mergeCell ref="CPY28:CQC28"/>
    <mergeCell ref="CQD28:CQI28"/>
    <mergeCell ref="CQJ28:CQO28"/>
    <mergeCell ref="CQP28:CQU28"/>
    <mergeCell ref="CQV28:CRB28"/>
    <mergeCell ref="CRQ26:CRW26"/>
    <mergeCell ref="CRX26:CSD26"/>
    <mergeCell ref="COP27:CPT27"/>
    <mergeCell ref="CPU27:CPX27"/>
    <mergeCell ref="CPY27:CQC27"/>
    <mergeCell ref="CQD27:CQI27"/>
    <mergeCell ref="CQJ27:CQO27"/>
    <mergeCell ref="CQP27:CQU27"/>
    <mergeCell ref="CQV27:CRB27"/>
    <mergeCell ref="CRC27:CRI27"/>
    <mergeCell ref="COP25:CSD25"/>
    <mergeCell ref="COP26:CPT26"/>
    <mergeCell ref="CPU26:CPX26"/>
    <mergeCell ref="CPY26:CQC26"/>
    <mergeCell ref="CQD26:CQI26"/>
    <mergeCell ref="CQJ26:CQO26"/>
    <mergeCell ref="CQP26:CQU26"/>
    <mergeCell ref="CQV26:CRB26"/>
    <mergeCell ref="CRC26:CRI26"/>
    <mergeCell ref="CRJ26:CRP26"/>
    <mergeCell ref="CQP23:CQU23"/>
    <mergeCell ref="CQV23:CRB23"/>
    <mergeCell ref="CRC23:CRI23"/>
    <mergeCell ref="CRJ23:CRP23"/>
    <mergeCell ref="CRQ23:CRW23"/>
    <mergeCell ref="CRX23:CSD23"/>
    <mergeCell ref="CQV22:CRB22"/>
    <mergeCell ref="CRC22:CRI22"/>
    <mergeCell ref="CRJ22:CRP22"/>
    <mergeCell ref="CRQ22:CRW22"/>
    <mergeCell ref="CRX22:CSD22"/>
    <mergeCell ref="COP23:CPT23"/>
    <mergeCell ref="CPU23:CPX23"/>
    <mergeCell ref="CPY23:CQC23"/>
    <mergeCell ref="CQD23:CQI23"/>
    <mergeCell ref="CQJ23:CQO23"/>
    <mergeCell ref="COP22:CPT22"/>
    <mergeCell ref="CPU22:CPX22"/>
    <mergeCell ref="CPY22:CQC22"/>
    <mergeCell ref="CQD22:CQI22"/>
    <mergeCell ref="CQJ22:CQO22"/>
    <mergeCell ref="CQP22:CQU22"/>
    <mergeCell ref="CQP21:CQU21"/>
    <mergeCell ref="CQV21:CRB21"/>
    <mergeCell ref="CRC21:CRI21"/>
    <mergeCell ref="CRJ21:CRP21"/>
    <mergeCell ref="CRQ21:CRW21"/>
    <mergeCell ref="CRX21:CSD21"/>
    <mergeCell ref="CQV20:CRB20"/>
    <mergeCell ref="CRC20:CRI20"/>
    <mergeCell ref="CRJ20:CRP20"/>
    <mergeCell ref="CRQ20:CRW20"/>
    <mergeCell ref="CRX20:CSD20"/>
    <mergeCell ref="COP21:CPT21"/>
    <mergeCell ref="CPU21:CPX21"/>
    <mergeCell ref="CPY21:CQC21"/>
    <mergeCell ref="CQD21:CQI21"/>
    <mergeCell ref="CQJ21:CQO21"/>
    <mergeCell ref="COP20:CPT20"/>
    <mergeCell ref="CPU20:CPX20"/>
    <mergeCell ref="CPY20:CQC20"/>
    <mergeCell ref="CQD20:CQI20"/>
    <mergeCell ref="CQJ20:CQO20"/>
    <mergeCell ref="CQP20:CQU20"/>
    <mergeCell ref="CQP19:CQU19"/>
    <mergeCell ref="CQV19:CRB19"/>
    <mergeCell ref="CRC19:CRI19"/>
    <mergeCell ref="CRJ19:CRP19"/>
    <mergeCell ref="CRQ19:CRW19"/>
    <mergeCell ref="CRX19:CSD19"/>
    <mergeCell ref="CQV18:CRB18"/>
    <mergeCell ref="CRC18:CRI18"/>
    <mergeCell ref="CRJ18:CRP18"/>
    <mergeCell ref="CRQ18:CRW18"/>
    <mergeCell ref="CRX18:CSD18"/>
    <mergeCell ref="COP19:CPT19"/>
    <mergeCell ref="CPU19:CPX19"/>
    <mergeCell ref="CPY19:CQC19"/>
    <mergeCell ref="CQD19:CQI19"/>
    <mergeCell ref="CQJ19:CQO19"/>
    <mergeCell ref="COP18:CPT18"/>
    <mergeCell ref="CPU18:CPX18"/>
    <mergeCell ref="CPY18:CQC18"/>
    <mergeCell ref="CQD18:CQI18"/>
    <mergeCell ref="CQJ18:CQO18"/>
    <mergeCell ref="CQP18:CQU18"/>
    <mergeCell ref="CQP17:CQU17"/>
    <mergeCell ref="CQV17:CRB17"/>
    <mergeCell ref="CRC17:CRI17"/>
    <mergeCell ref="CRJ17:CRP17"/>
    <mergeCell ref="CRQ17:CRW17"/>
    <mergeCell ref="CRX17:CSD17"/>
    <mergeCell ref="CQV16:CRB16"/>
    <mergeCell ref="CRC16:CRI16"/>
    <mergeCell ref="CRJ16:CRP16"/>
    <mergeCell ref="CRQ16:CRW16"/>
    <mergeCell ref="CRX16:CSD16"/>
    <mergeCell ref="COP17:CPT17"/>
    <mergeCell ref="CPU17:CPX17"/>
    <mergeCell ref="CPY17:CQC17"/>
    <mergeCell ref="CQD17:CQI17"/>
    <mergeCell ref="CQJ17:CQO17"/>
    <mergeCell ref="CRC15:CRI15"/>
    <mergeCell ref="CRJ15:CRP15"/>
    <mergeCell ref="CRQ15:CRW15"/>
    <mergeCell ref="CRX15:CSD15"/>
    <mergeCell ref="COP16:CPT16"/>
    <mergeCell ref="CPU16:CPX16"/>
    <mergeCell ref="CPY16:CQC16"/>
    <mergeCell ref="CQD16:CQI16"/>
    <mergeCell ref="CQJ16:CQO16"/>
    <mergeCell ref="CQP16:CQU16"/>
    <mergeCell ref="CRJ14:CRP14"/>
    <mergeCell ref="CRQ14:CRW14"/>
    <mergeCell ref="CRX14:CSD14"/>
    <mergeCell ref="COP15:CPT15"/>
    <mergeCell ref="CPU15:CPX15"/>
    <mergeCell ref="CPY15:CQC15"/>
    <mergeCell ref="CQD15:CQI15"/>
    <mergeCell ref="CQJ15:CQO15"/>
    <mergeCell ref="CQP15:CQU15"/>
    <mergeCell ref="CQV15:CRB15"/>
    <mergeCell ref="CRQ13:CRW13"/>
    <mergeCell ref="CRX13:CSD13"/>
    <mergeCell ref="COP14:CPT14"/>
    <mergeCell ref="CPU14:CPX14"/>
    <mergeCell ref="CPY14:CQC14"/>
    <mergeCell ref="CQD14:CQI14"/>
    <mergeCell ref="CQJ14:CQO14"/>
    <mergeCell ref="CQP14:CQU14"/>
    <mergeCell ref="CQV14:CRB14"/>
    <mergeCell ref="CRC14:CRI14"/>
    <mergeCell ref="COP12:CSD12"/>
    <mergeCell ref="COP13:CPT13"/>
    <mergeCell ref="CPU13:CPX13"/>
    <mergeCell ref="CPY13:CQC13"/>
    <mergeCell ref="CQD13:CQI13"/>
    <mergeCell ref="CQJ13:CQO13"/>
    <mergeCell ref="CQP13:CQU13"/>
    <mergeCell ref="CQV13:CRB13"/>
    <mergeCell ref="CRC13:CRI13"/>
    <mergeCell ref="CRJ13:CRP13"/>
    <mergeCell ref="CQP10:CQU10"/>
    <mergeCell ref="CQV10:CRB10"/>
    <mergeCell ref="CRC10:CRI10"/>
    <mergeCell ref="CRJ10:CRP10"/>
    <mergeCell ref="CRQ10:CRW10"/>
    <mergeCell ref="CRX10:CSD10"/>
    <mergeCell ref="CQV9:CRB9"/>
    <mergeCell ref="CRC9:CRI9"/>
    <mergeCell ref="CRJ9:CRP9"/>
    <mergeCell ref="CRQ9:CRW9"/>
    <mergeCell ref="CRX9:CSD9"/>
    <mergeCell ref="COP10:CPT10"/>
    <mergeCell ref="CPU10:CPX10"/>
    <mergeCell ref="CPY10:CQC10"/>
    <mergeCell ref="CQD10:CQI10"/>
    <mergeCell ref="CQJ10:CQO10"/>
    <mergeCell ref="COP9:CPT9"/>
    <mergeCell ref="CPU9:CPX9"/>
    <mergeCell ref="CPY9:CQC9"/>
    <mergeCell ref="CQD9:CQI9"/>
    <mergeCell ref="CQJ9:CQO9"/>
    <mergeCell ref="CQP9:CQU9"/>
    <mergeCell ref="CQP8:CQU8"/>
    <mergeCell ref="CQV8:CRB8"/>
    <mergeCell ref="CRC8:CRI8"/>
    <mergeCell ref="CRJ8:CRP8"/>
    <mergeCell ref="CRQ8:CRW8"/>
    <mergeCell ref="CRX8:CSD8"/>
    <mergeCell ref="CQV7:CRB7"/>
    <mergeCell ref="CRC7:CRI7"/>
    <mergeCell ref="CRJ7:CRP7"/>
    <mergeCell ref="CRQ7:CRW7"/>
    <mergeCell ref="CRX7:CSD7"/>
    <mergeCell ref="COP8:CPT8"/>
    <mergeCell ref="CPU8:CPX8"/>
    <mergeCell ref="CPY8:CQC8"/>
    <mergeCell ref="CQD8:CQI8"/>
    <mergeCell ref="CQJ8:CQO8"/>
    <mergeCell ref="CRC6:CRI6"/>
    <mergeCell ref="CRJ6:CRP6"/>
    <mergeCell ref="CRQ6:CRW6"/>
    <mergeCell ref="CRX6:CSD6"/>
    <mergeCell ref="COP7:CPT7"/>
    <mergeCell ref="CPU7:CPX7"/>
    <mergeCell ref="CPY7:CQC7"/>
    <mergeCell ref="CQD7:CQI7"/>
    <mergeCell ref="CQJ7:CQO7"/>
    <mergeCell ref="CQP7:CQU7"/>
    <mergeCell ref="CRJ5:CRP5"/>
    <mergeCell ref="CRQ5:CRW5"/>
    <mergeCell ref="CRX5:CSD5"/>
    <mergeCell ref="COP6:CPT6"/>
    <mergeCell ref="CPU6:CPX6"/>
    <mergeCell ref="CPY6:CQC6"/>
    <mergeCell ref="CQD6:CQI6"/>
    <mergeCell ref="CQJ6:CQO6"/>
    <mergeCell ref="CQP6:CQU6"/>
    <mergeCell ref="CQV6:CRB6"/>
    <mergeCell ref="CRQ4:CRW4"/>
    <mergeCell ref="CRX4:CSD4"/>
    <mergeCell ref="COP5:CPT5"/>
    <mergeCell ref="CPU5:CPX5"/>
    <mergeCell ref="CPY5:CQC5"/>
    <mergeCell ref="CQD5:CQI5"/>
    <mergeCell ref="CQJ5:CQO5"/>
    <mergeCell ref="CQP5:CQU5"/>
    <mergeCell ref="CQV5:CRB5"/>
    <mergeCell ref="CRC5:CRI5"/>
    <mergeCell ref="CQD4:CQI4"/>
    <mergeCell ref="CQJ4:CQO4"/>
    <mergeCell ref="CQP4:CQU4"/>
    <mergeCell ref="CQV4:CRB4"/>
    <mergeCell ref="CRC4:CRI4"/>
    <mergeCell ref="CRJ4:CRP4"/>
    <mergeCell ref="CNF13:CNL13"/>
    <mergeCell ref="CNM13:CNS13"/>
    <mergeCell ref="CNT13:CNZ13"/>
    <mergeCell ref="COA13:COG13"/>
    <mergeCell ref="COH13:CON13"/>
    <mergeCell ref="COP2:CSD2"/>
    <mergeCell ref="COP3:CSD3"/>
    <mergeCell ref="COP4:CPT4"/>
    <mergeCell ref="CPU4:CPX4"/>
    <mergeCell ref="CPY4:CQC4"/>
    <mergeCell ref="CNM12:CNS12"/>
    <mergeCell ref="CNT12:CNZ12"/>
    <mergeCell ref="COA12:COG12"/>
    <mergeCell ref="COH12:CON12"/>
    <mergeCell ref="CKZ13:CMD13"/>
    <mergeCell ref="CME13:CMH13"/>
    <mergeCell ref="CMI13:CMM13"/>
    <mergeCell ref="CMN13:CMS13"/>
    <mergeCell ref="CMT13:CMY13"/>
    <mergeCell ref="CMZ13:CNE13"/>
    <mergeCell ref="CNT11:CNZ11"/>
    <mergeCell ref="COA11:COG11"/>
    <mergeCell ref="COH11:CON11"/>
    <mergeCell ref="CKZ12:CMD12"/>
    <mergeCell ref="CME12:CMH12"/>
    <mergeCell ref="CMI12:CMM12"/>
    <mergeCell ref="CMN12:CMS12"/>
    <mergeCell ref="CMT12:CMY12"/>
    <mergeCell ref="CMZ12:CNE12"/>
    <mergeCell ref="CNF12:CNL12"/>
    <mergeCell ref="COA10:COG10"/>
    <mergeCell ref="COH10:CON10"/>
    <mergeCell ref="CKZ11:CMD11"/>
    <mergeCell ref="CME11:CMH11"/>
    <mergeCell ref="CMI11:CMM11"/>
    <mergeCell ref="CMN11:CMS11"/>
    <mergeCell ref="CMT11:CMY11"/>
    <mergeCell ref="CMZ11:CNE11"/>
    <mergeCell ref="CNF11:CNL11"/>
    <mergeCell ref="CNM11:CNS11"/>
    <mergeCell ref="CKZ9:CON9"/>
    <mergeCell ref="CKZ10:CMD10"/>
    <mergeCell ref="CME10:CMH10"/>
    <mergeCell ref="CMI10:CMM10"/>
    <mergeCell ref="CMN10:CMS10"/>
    <mergeCell ref="CMT10:CMY10"/>
    <mergeCell ref="CMZ10:CNE10"/>
    <mergeCell ref="CNF10:CNL10"/>
    <mergeCell ref="CNM10:CNS10"/>
    <mergeCell ref="CNT10:CNZ10"/>
    <mergeCell ref="CMZ7:CNE7"/>
    <mergeCell ref="CNF7:CNL7"/>
    <mergeCell ref="CNM7:CNS7"/>
    <mergeCell ref="CNT7:CNZ7"/>
    <mergeCell ref="COA7:COG7"/>
    <mergeCell ref="COH7:CON7"/>
    <mergeCell ref="CNF6:CNL6"/>
    <mergeCell ref="CNM6:CNS6"/>
    <mergeCell ref="CNT6:CNZ6"/>
    <mergeCell ref="COA6:COG6"/>
    <mergeCell ref="COH6:CON6"/>
    <mergeCell ref="CKZ7:CMD7"/>
    <mergeCell ref="CME7:CMH7"/>
    <mergeCell ref="CMI7:CMM7"/>
    <mergeCell ref="CMN7:CMS7"/>
    <mergeCell ref="CMT7:CMY7"/>
    <mergeCell ref="CNM5:CNS5"/>
    <mergeCell ref="CNT5:CNZ5"/>
    <mergeCell ref="COA5:COG5"/>
    <mergeCell ref="COH5:CON5"/>
    <mergeCell ref="CKZ6:CMD6"/>
    <mergeCell ref="CME6:CMH6"/>
    <mergeCell ref="CMI6:CMM6"/>
    <mergeCell ref="CMN6:CMS6"/>
    <mergeCell ref="CMT6:CMY6"/>
    <mergeCell ref="CMZ6:CNE6"/>
    <mergeCell ref="CNT4:CNZ4"/>
    <mergeCell ref="COA4:COG4"/>
    <mergeCell ref="COH4:CON4"/>
    <mergeCell ref="CKZ5:CMD5"/>
    <mergeCell ref="CME5:CMH5"/>
    <mergeCell ref="CMI5:CMM5"/>
    <mergeCell ref="CMN5:CMS5"/>
    <mergeCell ref="CMT5:CMY5"/>
    <mergeCell ref="CMZ5:CNE5"/>
    <mergeCell ref="CNF5:CNL5"/>
    <mergeCell ref="CKZ2:CON2"/>
    <mergeCell ref="CKZ3:CON3"/>
    <mergeCell ref="CKZ4:CMD4"/>
    <mergeCell ref="CME4:CMH4"/>
    <mergeCell ref="CMI4:CMM4"/>
    <mergeCell ref="CMN4:CMS4"/>
    <mergeCell ref="CMT4:CMY4"/>
    <mergeCell ref="CMZ4:CNE4"/>
    <mergeCell ref="CNF4:CNL4"/>
    <mergeCell ref="CNM4:CNS4"/>
    <mergeCell ref="CJJ21:CJO21"/>
    <mergeCell ref="CJP21:CJV21"/>
    <mergeCell ref="CJW21:CKC21"/>
    <mergeCell ref="CKD21:CKJ21"/>
    <mergeCell ref="CKK21:CKQ21"/>
    <mergeCell ref="CKR21:CKX21"/>
    <mergeCell ref="CJP20:CJV20"/>
    <mergeCell ref="CJW20:CKC20"/>
    <mergeCell ref="CKD20:CKJ20"/>
    <mergeCell ref="CKK20:CKQ20"/>
    <mergeCell ref="CKR20:CKX20"/>
    <mergeCell ref="CHJ21:CIN21"/>
    <mergeCell ref="CIO21:CIR21"/>
    <mergeCell ref="CIS21:CIW21"/>
    <mergeCell ref="CIX21:CJC21"/>
    <mergeCell ref="CJD21:CJI21"/>
    <mergeCell ref="CHJ20:CIN20"/>
    <mergeCell ref="CIO20:CIR20"/>
    <mergeCell ref="CIS20:CIW20"/>
    <mergeCell ref="CIX20:CJC20"/>
    <mergeCell ref="CJD20:CJI20"/>
    <mergeCell ref="CJJ20:CJO20"/>
    <mergeCell ref="CJJ19:CJO19"/>
    <mergeCell ref="CJP19:CJV19"/>
    <mergeCell ref="CJW19:CKC19"/>
    <mergeCell ref="CKD19:CKJ19"/>
    <mergeCell ref="CKK19:CKQ19"/>
    <mergeCell ref="CKR19:CKX19"/>
    <mergeCell ref="CJP18:CJV18"/>
    <mergeCell ref="CJW18:CKC18"/>
    <mergeCell ref="CKD18:CKJ18"/>
    <mergeCell ref="CKK18:CKQ18"/>
    <mergeCell ref="CKR18:CKX18"/>
    <mergeCell ref="CHJ19:CIN19"/>
    <mergeCell ref="CIO19:CIR19"/>
    <mergeCell ref="CIS19:CIW19"/>
    <mergeCell ref="CIX19:CJC19"/>
    <mergeCell ref="CJD19:CJI19"/>
    <mergeCell ref="CHJ18:CIN18"/>
    <mergeCell ref="CIO18:CIR18"/>
    <mergeCell ref="CIS18:CIW18"/>
    <mergeCell ref="CIX18:CJC18"/>
    <mergeCell ref="CJD18:CJI18"/>
    <mergeCell ref="CJJ18:CJO18"/>
    <mergeCell ref="CJJ17:CJO17"/>
    <mergeCell ref="CJP17:CJV17"/>
    <mergeCell ref="CJW17:CKC17"/>
    <mergeCell ref="CKD17:CKJ17"/>
    <mergeCell ref="CKK17:CKQ17"/>
    <mergeCell ref="CKR17:CKX17"/>
    <mergeCell ref="CJP16:CJV16"/>
    <mergeCell ref="CJW16:CKC16"/>
    <mergeCell ref="CKD16:CKJ16"/>
    <mergeCell ref="CKK16:CKQ16"/>
    <mergeCell ref="CKR16:CKX16"/>
    <mergeCell ref="CHJ17:CIN17"/>
    <mergeCell ref="CIO17:CIR17"/>
    <mergeCell ref="CIS17:CIW17"/>
    <mergeCell ref="CIX17:CJC17"/>
    <mergeCell ref="CJD17:CJI17"/>
    <mergeCell ref="CHJ16:CIN16"/>
    <mergeCell ref="CIO16:CIR16"/>
    <mergeCell ref="CIS16:CIW16"/>
    <mergeCell ref="CIX16:CJC16"/>
    <mergeCell ref="CJD16:CJI16"/>
    <mergeCell ref="CJJ16:CJO16"/>
    <mergeCell ref="CJP13:CJV13"/>
    <mergeCell ref="CJW13:CKC13"/>
    <mergeCell ref="CKD13:CKJ13"/>
    <mergeCell ref="CKK13:CKQ13"/>
    <mergeCell ref="CKR13:CKX13"/>
    <mergeCell ref="CHJ15:CKX15"/>
    <mergeCell ref="CHJ13:CIN13"/>
    <mergeCell ref="CIO13:CIR13"/>
    <mergeCell ref="CIS13:CIW13"/>
    <mergeCell ref="CIX13:CJC13"/>
    <mergeCell ref="CJD13:CJI13"/>
    <mergeCell ref="CJJ13:CJO13"/>
    <mergeCell ref="CJJ12:CJO12"/>
    <mergeCell ref="CJP12:CJV12"/>
    <mergeCell ref="CJW12:CKC12"/>
    <mergeCell ref="CKD12:CKJ12"/>
    <mergeCell ref="CKK12:CKQ12"/>
    <mergeCell ref="CKR12:CKX12"/>
    <mergeCell ref="CJP11:CJV11"/>
    <mergeCell ref="CJW11:CKC11"/>
    <mergeCell ref="CKD11:CKJ11"/>
    <mergeCell ref="CKK11:CKQ11"/>
    <mergeCell ref="CKR11:CKX11"/>
    <mergeCell ref="CHJ12:CIN12"/>
    <mergeCell ref="CIO12:CIR12"/>
    <mergeCell ref="CIS12:CIW12"/>
    <mergeCell ref="CIX12:CJC12"/>
    <mergeCell ref="CJD12:CJI12"/>
    <mergeCell ref="CJW10:CKC10"/>
    <mergeCell ref="CKD10:CKJ10"/>
    <mergeCell ref="CKK10:CKQ10"/>
    <mergeCell ref="CKR10:CKX10"/>
    <mergeCell ref="CHJ11:CIN11"/>
    <mergeCell ref="CIO11:CIR11"/>
    <mergeCell ref="CIS11:CIW11"/>
    <mergeCell ref="CIX11:CJC11"/>
    <mergeCell ref="CJD11:CJI11"/>
    <mergeCell ref="CJJ11:CJO11"/>
    <mergeCell ref="CKD9:CKJ9"/>
    <mergeCell ref="CKK9:CKQ9"/>
    <mergeCell ref="CKR9:CKX9"/>
    <mergeCell ref="CHJ10:CIN10"/>
    <mergeCell ref="CIO10:CIR10"/>
    <mergeCell ref="CIS10:CIW10"/>
    <mergeCell ref="CIX10:CJC10"/>
    <mergeCell ref="CJD10:CJI10"/>
    <mergeCell ref="CJJ10:CJO10"/>
    <mergeCell ref="CJP10:CJV10"/>
    <mergeCell ref="CKK8:CKQ8"/>
    <mergeCell ref="CKR8:CKX8"/>
    <mergeCell ref="CHJ9:CIN9"/>
    <mergeCell ref="CIO9:CIR9"/>
    <mergeCell ref="CIS9:CIW9"/>
    <mergeCell ref="CIX9:CJC9"/>
    <mergeCell ref="CJD9:CJI9"/>
    <mergeCell ref="CJJ9:CJO9"/>
    <mergeCell ref="CJP9:CJV9"/>
    <mergeCell ref="CJW9:CKC9"/>
    <mergeCell ref="CIX8:CJC8"/>
    <mergeCell ref="CJD8:CJI8"/>
    <mergeCell ref="CJJ8:CJO8"/>
    <mergeCell ref="CJP8:CJV8"/>
    <mergeCell ref="CJW8:CKC8"/>
    <mergeCell ref="CKD8:CKJ8"/>
    <mergeCell ref="CFZ20:CGF20"/>
    <mergeCell ref="CGG20:CGM20"/>
    <mergeCell ref="CGN20:CGT20"/>
    <mergeCell ref="CGU20:CHA20"/>
    <mergeCell ref="CHB20:CHH20"/>
    <mergeCell ref="CHJ2:CKX2"/>
    <mergeCell ref="CHJ7:CKX7"/>
    <mergeCell ref="CHJ8:CIN8"/>
    <mergeCell ref="CIO8:CIR8"/>
    <mergeCell ref="CIS8:CIW8"/>
    <mergeCell ref="CDT20:CEX20"/>
    <mergeCell ref="CEY20:CFB20"/>
    <mergeCell ref="CFC20:CFG20"/>
    <mergeCell ref="CFH20:CFM20"/>
    <mergeCell ref="CFN20:CFS20"/>
    <mergeCell ref="CFT20:CFY20"/>
    <mergeCell ref="CFT19:CFY19"/>
    <mergeCell ref="CFZ19:CGF19"/>
    <mergeCell ref="CGG19:CGM19"/>
    <mergeCell ref="CGN19:CGT19"/>
    <mergeCell ref="CGU19:CHA19"/>
    <mergeCell ref="CHB19:CHH19"/>
    <mergeCell ref="CFZ18:CGF18"/>
    <mergeCell ref="CGG18:CGM18"/>
    <mergeCell ref="CGN18:CGT18"/>
    <mergeCell ref="CGU18:CHA18"/>
    <mergeCell ref="CHB18:CHH18"/>
    <mergeCell ref="CDT19:CEX19"/>
    <mergeCell ref="CEY19:CFB19"/>
    <mergeCell ref="CFC19:CFG19"/>
    <mergeCell ref="CFH19:CFM19"/>
    <mergeCell ref="CFN19:CFS19"/>
    <mergeCell ref="CDT18:CEX18"/>
    <mergeCell ref="CEY18:CFB18"/>
    <mergeCell ref="CFC18:CFG18"/>
    <mergeCell ref="CFH18:CFM18"/>
    <mergeCell ref="CFN18:CFS18"/>
    <mergeCell ref="CFT18:CFY18"/>
    <mergeCell ref="CFT17:CFY17"/>
    <mergeCell ref="CFZ17:CGF17"/>
    <mergeCell ref="CGG17:CGM17"/>
    <mergeCell ref="CGN17:CGT17"/>
    <mergeCell ref="CGU17:CHA17"/>
    <mergeCell ref="CHB17:CHH17"/>
    <mergeCell ref="CDT17:CEX17"/>
    <mergeCell ref="CEY17:CFB17"/>
    <mergeCell ref="CFC17:CFG17"/>
    <mergeCell ref="CFH17:CFM17"/>
    <mergeCell ref="CFN17:CFS17"/>
    <mergeCell ref="CDT16:CHH16"/>
    <mergeCell ref="CFZ14:CGF14"/>
    <mergeCell ref="CGG14:CGM14"/>
    <mergeCell ref="CGN14:CGT14"/>
    <mergeCell ref="CGU14:CHA14"/>
    <mergeCell ref="CHB14:CHH14"/>
    <mergeCell ref="CDT14:CEX14"/>
    <mergeCell ref="CEY14:CFB14"/>
    <mergeCell ref="CFC14:CFG14"/>
    <mergeCell ref="CFH14:CFM14"/>
    <mergeCell ref="CFN14:CFS14"/>
    <mergeCell ref="CFT14:CFY14"/>
    <mergeCell ref="CFT13:CFY13"/>
    <mergeCell ref="CFZ13:CGF13"/>
    <mergeCell ref="CGG13:CGM13"/>
    <mergeCell ref="CGN13:CGT13"/>
    <mergeCell ref="CGU13:CHA13"/>
    <mergeCell ref="CHB13:CHH13"/>
    <mergeCell ref="CFZ12:CGF12"/>
    <mergeCell ref="CGG12:CGM12"/>
    <mergeCell ref="CGN12:CGT12"/>
    <mergeCell ref="CGU12:CHA12"/>
    <mergeCell ref="CHB12:CHH12"/>
    <mergeCell ref="CDT13:CEX13"/>
    <mergeCell ref="CEY13:CFB13"/>
    <mergeCell ref="CFC13:CFG13"/>
    <mergeCell ref="CFH13:CFM13"/>
    <mergeCell ref="CFN13:CFS13"/>
    <mergeCell ref="CDT12:CEX12"/>
    <mergeCell ref="CEY12:CFB12"/>
    <mergeCell ref="CFC12:CFG12"/>
    <mergeCell ref="CFH12:CFM12"/>
    <mergeCell ref="CFN12:CFS12"/>
    <mergeCell ref="CFT12:CFY12"/>
    <mergeCell ref="CFT11:CFY11"/>
    <mergeCell ref="CFZ11:CGF11"/>
    <mergeCell ref="CGG11:CGM11"/>
    <mergeCell ref="CGN11:CGT11"/>
    <mergeCell ref="CGU11:CHA11"/>
    <mergeCell ref="CHB11:CHH11"/>
    <mergeCell ref="CFZ10:CGF10"/>
    <mergeCell ref="CGG10:CGM10"/>
    <mergeCell ref="CGN10:CGT10"/>
    <mergeCell ref="CGU10:CHA10"/>
    <mergeCell ref="CHB10:CHH10"/>
    <mergeCell ref="CDT11:CEX11"/>
    <mergeCell ref="CEY11:CFB11"/>
    <mergeCell ref="CFC11:CFG11"/>
    <mergeCell ref="CFH11:CFM11"/>
    <mergeCell ref="CFN11:CFS11"/>
    <mergeCell ref="CDT10:CEX10"/>
    <mergeCell ref="CEY10:CFB10"/>
    <mergeCell ref="CFC10:CFG10"/>
    <mergeCell ref="CFH10:CFM10"/>
    <mergeCell ref="CFN10:CFS10"/>
    <mergeCell ref="CFT10:CFY10"/>
    <mergeCell ref="CFT9:CFY9"/>
    <mergeCell ref="CFZ9:CGF9"/>
    <mergeCell ref="CGG9:CGM9"/>
    <mergeCell ref="CGN9:CGT9"/>
    <mergeCell ref="CGU9:CHA9"/>
    <mergeCell ref="CHB9:CHH9"/>
    <mergeCell ref="CFZ8:CGF8"/>
    <mergeCell ref="CGG8:CGM8"/>
    <mergeCell ref="CGN8:CGT8"/>
    <mergeCell ref="CGU8:CHA8"/>
    <mergeCell ref="CHB8:CHH8"/>
    <mergeCell ref="CDT9:CEX9"/>
    <mergeCell ref="CEY9:CFB9"/>
    <mergeCell ref="CFC9:CFG9"/>
    <mergeCell ref="CFH9:CFM9"/>
    <mergeCell ref="CFN9:CFS9"/>
    <mergeCell ref="CDT8:CEX8"/>
    <mergeCell ref="CEY8:CFB8"/>
    <mergeCell ref="CFC8:CFG8"/>
    <mergeCell ref="CFH8:CFM8"/>
    <mergeCell ref="CFN8:CFS8"/>
    <mergeCell ref="CFT8:CFY8"/>
    <mergeCell ref="CFT7:CFY7"/>
    <mergeCell ref="CFZ7:CGF7"/>
    <mergeCell ref="CGG7:CGM7"/>
    <mergeCell ref="CGN7:CGT7"/>
    <mergeCell ref="CGU7:CHA7"/>
    <mergeCell ref="CHB7:CHH7"/>
    <mergeCell ref="CFZ6:CGF6"/>
    <mergeCell ref="CGG6:CGM6"/>
    <mergeCell ref="CGN6:CGT6"/>
    <mergeCell ref="CGU6:CHA6"/>
    <mergeCell ref="CHB6:CHH6"/>
    <mergeCell ref="CDT7:CEX7"/>
    <mergeCell ref="CEY7:CFB7"/>
    <mergeCell ref="CFC7:CFG7"/>
    <mergeCell ref="CFH7:CFM7"/>
    <mergeCell ref="CFN7:CFS7"/>
    <mergeCell ref="CGG5:CGM5"/>
    <mergeCell ref="CGN5:CGT5"/>
    <mergeCell ref="CGU5:CHA5"/>
    <mergeCell ref="CHB5:CHH5"/>
    <mergeCell ref="CDT6:CEX6"/>
    <mergeCell ref="CEY6:CFB6"/>
    <mergeCell ref="CFC6:CFG6"/>
    <mergeCell ref="CFH6:CFM6"/>
    <mergeCell ref="CFN6:CFS6"/>
    <mergeCell ref="CFT6:CFY6"/>
    <mergeCell ref="CGN4:CGT4"/>
    <mergeCell ref="CGU4:CHA4"/>
    <mergeCell ref="CHB4:CHH4"/>
    <mergeCell ref="CDT5:CEX5"/>
    <mergeCell ref="CEY5:CFB5"/>
    <mergeCell ref="CFC5:CFG5"/>
    <mergeCell ref="CFH5:CFM5"/>
    <mergeCell ref="CFN5:CFS5"/>
    <mergeCell ref="CFT5:CFY5"/>
    <mergeCell ref="CFZ5:CGF5"/>
    <mergeCell ref="CDT2:CHH2"/>
    <mergeCell ref="CDT3:CHH3"/>
    <mergeCell ref="CDT4:CEX4"/>
    <mergeCell ref="CEY4:CFB4"/>
    <mergeCell ref="CFC4:CFG4"/>
    <mergeCell ref="CFH4:CFM4"/>
    <mergeCell ref="CFN4:CFS4"/>
    <mergeCell ref="CFT4:CFY4"/>
    <mergeCell ref="CFZ4:CGF4"/>
    <mergeCell ref="CGG4:CGM4"/>
    <mergeCell ref="CCD8:CCI8"/>
    <mergeCell ref="CCJ8:CCP8"/>
    <mergeCell ref="CCQ8:CCW8"/>
    <mergeCell ref="CCX8:CDD8"/>
    <mergeCell ref="CDE8:CDK8"/>
    <mergeCell ref="CDL8:CDR8"/>
    <mergeCell ref="CCJ7:CCP7"/>
    <mergeCell ref="CCQ7:CCW7"/>
    <mergeCell ref="CCX7:CDD7"/>
    <mergeCell ref="CDE7:CDK7"/>
    <mergeCell ref="CDL7:CDR7"/>
    <mergeCell ref="CAD8:CBH8"/>
    <mergeCell ref="CBI8:CBL8"/>
    <mergeCell ref="CBM8:CBQ8"/>
    <mergeCell ref="CBR8:CBW8"/>
    <mergeCell ref="CBX8:CCC8"/>
    <mergeCell ref="CCQ6:CCW6"/>
    <mergeCell ref="CCX6:CDD6"/>
    <mergeCell ref="CDE6:CDK6"/>
    <mergeCell ref="CDL6:CDR6"/>
    <mergeCell ref="CAD7:CBH7"/>
    <mergeCell ref="CBI7:CBL7"/>
    <mergeCell ref="CBM7:CBQ7"/>
    <mergeCell ref="CBR7:CBW7"/>
    <mergeCell ref="CBX7:CCC7"/>
    <mergeCell ref="CCD7:CCI7"/>
    <mergeCell ref="CCX5:CDD5"/>
    <mergeCell ref="CDE5:CDK5"/>
    <mergeCell ref="CDL5:CDR5"/>
    <mergeCell ref="CAD6:CBH6"/>
    <mergeCell ref="CBI6:CBL6"/>
    <mergeCell ref="CBM6:CBQ6"/>
    <mergeCell ref="CBR6:CBW6"/>
    <mergeCell ref="CBX6:CCC6"/>
    <mergeCell ref="CCD6:CCI6"/>
    <mergeCell ref="CCJ6:CCP6"/>
    <mergeCell ref="CDE4:CDK4"/>
    <mergeCell ref="CDL4:CDR4"/>
    <mergeCell ref="CAD5:CBH5"/>
    <mergeCell ref="CBI5:CBL5"/>
    <mergeCell ref="CBM5:CBQ5"/>
    <mergeCell ref="CBR5:CBW5"/>
    <mergeCell ref="CBX5:CCC5"/>
    <mergeCell ref="CCD5:CCI5"/>
    <mergeCell ref="CCJ5:CCP5"/>
    <mergeCell ref="CCQ5:CCW5"/>
    <mergeCell ref="CBR4:CBW4"/>
    <mergeCell ref="CBX4:CCC4"/>
    <mergeCell ref="CCD4:CCI4"/>
    <mergeCell ref="CCJ4:CCP4"/>
    <mergeCell ref="CCQ4:CCW4"/>
    <mergeCell ref="CCX4:CDD4"/>
    <mergeCell ref="BYT8:BYZ8"/>
    <mergeCell ref="BZA8:BZG8"/>
    <mergeCell ref="BZH8:BZN8"/>
    <mergeCell ref="BZO8:BZU8"/>
    <mergeCell ref="BZV8:CAB8"/>
    <mergeCell ref="CAD2:CDR2"/>
    <mergeCell ref="CAD3:CDR3"/>
    <mergeCell ref="CAD4:CBH4"/>
    <mergeCell ref="CBI4:CBL4"/>
    <mergeCell ref="CBM4:CBQ4"/>
    <mergeCell ref="BWN8:BXR8"/>
    <mergeCell ref="BXS8:BXV8"/>
    <mergeCell ref="BXW8:BYA8"/>
    <mergeCell ref="BYB8:BYG8"/>
    <mergeCell ref="BYH8:BYM8"/>
    <mergeCell ref="BYN8:BYS8"/>
    <mergeCell ref="BYN7:BYS7"/>
    <mergeCell ref="BYT7:BYZ7"/>
    <mergeCell ref="BZA7:BZG7"/>
    <mergeCell ref="BZH7:BZN7"/>
    <mergeCell ref="BZO7:BZU7"/>
    <mergeCell ref="BZV7:CAB7"/>
    <mergeCell ref="BYT6:BYZ6"/>
    <mergeCell ref="BZA6:BZG6"/>
    <mergeCell ref="BZH6:BZN6"/>
    <mergeCell ref="BZO6:BZU6"/>
    <mergeCell ref="BZV6:CAB6"/>
    <mergeCell ref="BWN7:BXR7"/>
    <mergeCell ref="BXS7:BXV7"/>
    <mergeCell ref="BXW7:BYA7"/>
    <mergeCell ref="BYB7:BYG7"/>
    <mergeCell ref="BYH7:BYM7"/>
    <mergeCell ref="BWN2:CAB2"/>
    <mergeCell ref="BWN3:CAB3"/>
    <mergeCell ref="BWN4:BXR4"/>
    <mergeCell ref="BXS4:BXV4"/>
    <mergeCell ref="BXW4:BYA4"/>
    <mergeCell ref="BYB4:BYG4"/>
    <mergeCell ref="BYH4:BYM4"/>
    <mergeCell ref="BYN4:BYS4"/>
    <mergeCell ref="BYT4:BYZ4"/>
    <mergeCell ref="BZA4:BZG4"/>
    <mergeCell ref="BZA5:BZG5"/>
    <mergeCell ref="BZH5:BZN5"/>
    <mergeCell ref="BZO5:BZU5"/>
    <mergeCell ref="BZV5:CAB5"/>
    <mergeCell ref="BWN6:BXR6"/>
    <mergeCell ref="BXS6:BXV6"/>
    <mergeCell ref="BXW6:BYA6"/>
    <mergeCell ref="BYB6:BYG6"/>
    <mergeCell ref="BYH6:BYM6"/>
    <mergeCell ref="BYN6:BYS6"/>
    <mergeCell ref="BZH4:BZN4"/>
    <mergeCell ref="BZO4:BZU4"/>
    <mergeCell ref="BZV4:CAB4"/>
    <mergeCell ref="BWN5:BXR5"/>
    <mergeCell ref="BXS5:BXV5"/>
    <mergeCell ref="BXW5:BYA5"/>
    <mergeCell ref="BYB5:BYG5"/>
    <mergeCell ref="BYH5:BYM5"/>
    <mergeCell ref="BYN5:BYS5"/>
    <mergeCell ref="BYT5:BYZ5"/>
    <mergeCell ref="BVD7:BVJ7"/>
    <mergeCell ref="BVK7:BVQ7"/>
    <mergeCell ref="BVR7:BVX7"/>
    <mergeCell ref="BVY7:BWE7"/>
    <mergeCell ref="BWF7:BWL7"/>
    <mergeCell ref="BSX8:BUB8"/>
    <mergeCell ref="BUC8:BUF8"/>
    <mergeCell ref="BUG8:BUK8"/>
    <mergeCell ref="BUL8:BUQ8"/>
    <mergeCell ref="BUR8:BUW8"/>
    <mergeCell ref="BVK6:BVQ6"/>
    <mergeCell ref="BVR6:BVX6"/>
    <mergeCell ref="BVY6:BWE6"/>
    <mergeCell ref="BWF6:BWL6"/>
    <mergeCell ref="BSX7:BUB7"/>
    <mergeCell ref="BUC7:BUF7"/>
    <mergeCell ref="BUG7:BUK7"/>
    <mergeCell ref="BUL7:BUQ7"/>
    <mergeCell ref="BUR7:BUW7"/>
    <mergeCell ref="BUX7:BVC7"/>
    <mergeCell ref="BUX8:BVC8"/>
    <mergeCell ref="BVD8:BVJ8"/>
    <mergeCell ref="BVK8:BVQ8"/>
    <mergeCell ref="BVR8:BVX8"/>
    <mergeCell ref="BVY8:BWE8"/>
    <mergeCell ref="BWF8:BWL8"/>
    <mergeCell ref="BVR5:BVX5"/>
    <mergeCell ref="BVY5:BWE5"/>
    <mergeCell ref="BWF5:BWL5"/>
    <mergeCell ref="BSX6:BUB6"/>
    <mergeCell ref="BUC6:BUF6"/>
    <mergeCell ref="BUG6:BUK6"/>
    <mergeCell ref="BUL6:BUQ6"/>
    <mergeCell ref="BUR6:BUW6"/>
    <mergeCell ref="BUX6:BVC6"/>
    <mergeCell ref="BVD6:BVJ6"/>
    <mergeCell ref="BVY4:BWE4"/>
    <mergeCell ref="BWF4:BWL4"/>
    <mergeCell ref="BSX5:BUB5"/>
    <mergeCell ref="BUC5:BUF5"/>
    <mergeCell ref="BUG5:BUK5"/>
    <mergeCell ref="BUL5:BUQ5"/>
    <mergeCell ref="BUR5:BUW5"/>
    <mergeCell ref="BUX5:BVC5"/>
    <mergeCell ref="BVD5:BVJ5"/>
    <mergeCell ref="BVK5:BVQ5"/>
    <mergeCell ref="BUL4:BUQ4"/>
    <mergeCell ref="BUR4:BUW4"/>
    <mergeCell ref="BUX4:BVC4"/>
    <mergeCell ref="BVD4:BVJ4"/>
    <mergeCell ref="BVK4:BVQ4"/>
    <mergeCell ref="BVR4:BVX4"/>
    <mergeCell ref="BRN9:BRT9"/>
    <mergeCell ref="BRU9:BSA9"/>
    <mergeCell ref="BSB9:BSH9"/>
    <mergeCell ref="BSI9:BSO9"/>
    <mergeCell ref="BSP9:BSV9"/>
    <mergeCell ref="BSX2:BWL2"/>
    <mergeCell ref="BSX3:BWL3"/>
    <mergeCell ref="BSX4:BUB4"/>
    <mergeCell ref="BUC4:BUF4"/>
    <mergeCell ref="BUG4:BUK4"/>
    <mergeCell ref="BPH9:BQL9"/>
    <mergeCell ref="BQM9:BQP9"/>
    <mergeCell ref="BQQ9:BQU9"/>
    <mergeCell ref="BQV9:BRA9"/>
    <mergeCell ref="BRB9:BRG9"/>
    <mergeCell ref="BRH9:BRM9"/>
    <mergeCell ref="BRH8:BRM8"/>
    <mergeCell ref="BRN8:BRT8"/>
    <mergeCell ref="BRU8:BSA8"/>
    <mergeCell ref="BSB8:BSH8"/>
    <mergeCell ref="BSI8:BSO8"/>
    <mergeCell ref="BSP8:BSV8"/>
    <mergeCell ref="BRN7:BRT7"/>
    <mergeCell ref="BRU7:BSA7"/>
    <mergeCell ref="BSB7:BSH7"/>
    <mergeCell ref="BSI7:BSO7"/>
    <mergeCell ref="BSP7:BSV7"/>
    <mergeCell ref="BPH8:BQL8"/>
    <mergeCell ref="BQM8:BQP8"/>
    <mergeCell ref="BQQ8:BQU8"/>
    <mergeCell ref="BQV8:BRA8"/>
    <mergeCell ref="BRB8:BRG8"/>
    <mergeCell ref="BRU6:BSA6"/>
    <mergeCell ref="BSB6:BSH6"/>
    <mergeCell ref="BSI6:BSO6"/>
    <mergeCell ref="BSP6:BSV6"/>
    <mergeCell ref="BPH7:BQL7"/>
    <mergeCell ref="BQM7:BQP7"/>
    <mergeCell ref="BQQ7:BQU7"/>
    <mergeCell ref="BQV7:BRA7"/>
    <mergeCell ref="BRB7:BRG7"/>
    <mergeCell ref="BRH7:BRM7"/>
    <mergeCell ref="BSB5:BSH5"/>
    <mergeCell ref="BSI5:BSO5"/>
    <mergeCell ref="BSP5:BSV5"/>
    <mergeCell ref="BPH6:BQL6"/>
    <mergeCell ref="BQM6:BQP6"/>
    <mergeCell ref="BQQ6:BQU6"/>
    <mergeCell ref="BQV6:BRA6"/>
    <mergeCell ref="BRB6:BRG6"/>
    <mergeCell ref="BRH6:BRM6"/>
    <mergeCell ref="BRN6:BRT6"/>
    <mergeCell ref="BSI4:BSO4"/>
    <mergeCell ref="BSP4:BSV4"/>
    <mergeCell ref="BPH5:BQL5"/>
    <mergeCell ref="BQM5:BQP5"/>
    <mergeCell ref="BQQ5:BQU5"/>
    <mergeCell ref="BQV5:BRA5"/>
    <mergeCell ref="BRB5:BRG5"/>
    <mergeCell ref="BRH5:BRM5"/>
    <mergeCell ref="BRN5:BRT5"/>
    <mergeCell ref="BRU5:BSA5"/>
    <mergeCell ref="BQV4:BRA4"/>
    <mergeCell ref="BRB4:BRG4"/>
    <mergeCell ref="BRH4:BRM4"/>
    <mergeCell ref="BRN4:BRT4"/>
    <mergeCell ref="BRU4:BSA4"/>
    <mergeCell ref="BSB4:BSH4"/>
    <mergeCell ref="BPH2:BSV2"/>
    <mergeCell ref="BPH3:BSV3"/>
    <mergeCell ref="BPH4:BQL4"/>
    <mergeCell ref="BQM4:BQP4"/>
    <mergeCell ref="BQQ4:BQU4"/>
    <mergeCell ref="BNX90:BOD90"/>
    <mergeCell ref="BOE90:BOK90"/>
    <mergeCell ref="BOL90:BOR90"/>
    <mergeCell ref="BOS90:BOY90"/>
    <mergeCell ref="BOZ90:BPF90"/>
    <mergeCell ref="BLR90:BMV90"/>
    <mergeCell ref="BMW90:BMZ90"/>
    <mergeCell ref="BNA90:BNE90"/>
    <mergeCell ref="BNF90:BNK90"/>
    <mergeCell ref="BNL90:BNQ90"/>
    <mergeCell ref="BNR90:BNW90"/>
    <mergeCell ref="BNR89:BNW89"/>
    <mergeCell ref="BNX89:BOD89"/>
    <mergeCell ref="BOE89:BOK89"/>
    <mergeCell ref="BOL89:BOR89"/>
    <mergeCell ref="BOS89:BOY89"/>
    <mergeCell ref="BOZ89:BPF89"/>
    <mergeCell ref="BNX88:BOD88"/>
    <mergeCell ref="BOE88:BOK88"/>
    <mergeCell ref="BOL88:BOR88"/>
    <mergeCell ref="BOS88:BOY88"/>
    <mergeCell ref="BOZ88:BPF88"/>
    <mergeCell ref="BLR89:BMV89"/>
    <mergeCell ref="BMW89:BMZ89"/>
    <mergeCell ref="BNA89:BNE89"/>
    <mergeCell ref="BNF89:BNK89"/>
    <mergeCell ref="BNL89:BNQ89"/>
    <mergeCell ref="BLR88:BMV88"/>
    <mergeCell ref="BMW88:BMZ88"/>
    <mergeCell ref="BNA88:BNE88"/>
    <mergeCell ref="BNF88:BNK88"/>
    <mergeCell ref="BNL88:BNQ88"/>
    <mergeCell ref="BNR88:BNW88"/>
    <mergeCell ref="BNR87:BNW87"/>
    <mergeCell ref="BNX87:BOD87"/>
    <mergeCell ref="BOE87:BOK87"/>
    <mergeCell ref="BOL87:BOR87"/>
    <mergeCell ref="BOS87:BOY87"/>
    <mergeCell ref="BOZ87:BPF87"/>
    <mergeCell ref="BNX86:BOD86"/>
    <mergeCell ref="BOE86:BOK86"/>
    <mergeCell ref="BOL86:BOR86"/>
    <mergeCell ref="BOS86:BOY86"/>
    <mergeCell ref="BOZ86:BPF86"/>
    <mergeCell ref="BLR87:BMV87"/>
    <mergeCell ref="BMW87:BMZ87"/>
    <mergeCell ref="BNA87:BNE87"/>
    <mergeCell ref="BNF87:BNK87"/>
    <mergeCell ref="BNL87:BNQ87"/>
    <mergeCell ref="BLR86:BMV86"/>
    <mergeCell ref="BMW86:BMZ86"/>
    <mergeCell ref="BNA86:BNE86"/>
    <mergeCell ref="BNF86:BNK86"/>
    <mergeCell ref="BNL86:BNQ86"/>
    <mergeCell ref="BNR86:BNW86"/>
    <mergeCell ref="BNR85:BNW85"/>
    <mergeCell ref="BNX85:BOD85"/>
    <mergeCell ref="BOE85:BOK85"/>
    <mergeCell ref="BOL85:BOR85"/>
    <mergeCell ref="BOS85:BOY85"/>
    <mergeCell ref="BOZ85:BPF85"/>
    <mergeCell ref="BNX84:BOD84"/>
    <mergeCell ref="BOE84:BOK84"/>
    <mergeCell ref="BOL84:BOR84"/>
    <mergeCell ref="BOS84:BOY84"/>
    <mergeCell ref="BOZ84:BPF84"/>
    <mergeCell ref="BLR85:BMV85"/>
    <mergeCell ref="BMW85:BMZ85"/>
    <mergeCell ref="BNA85:BNE85"/>
    <mergeCell ref="BNF85:BNK85"/>
    <mergeCell ref="BNL85:BNQ85"/>
    <mergeCell ref="BLR84:BMV84"/>
    <mergeCell ref="BMW84:BMZ84"/>
    <mergeCell ref="BNA84:BNE84"/>
    <mergeCell ref="BNF84:BNK84"/>
    <mergeCell ref="BNL84:BNQ84"/>
    <mergeCell ref="BNR84:BNW84"/>
    <mergeCell ref="BNX81:BOD81"/>
    <mergeCell ref="BOE81:BOK81"/>
    <mergeCell ref="BOL81:BOR81"/>
    <mergeCell ref="BOS81:BOY81"/>
    <mergeCell ref="BOZ81:BPF81"/>
    <mergeCell ref="BLR83:BPF83"/>
    <mergeCell ref="BLR81:BMV81"/>
    <mergeCell ref="BMW81:BMZ81"/>
    <mergeCell ref="BNA81:BNE81"/>
    <mergeCell ref="BNF81:BNK81"/>
    <mergeCell ref="BNL81:BNQ81"/>
    <mergeCell ref="BNR81:BNW81"/>
    <mergeCell ref="BNR80:BNW80"/>
    <mergeCell ref="BNX80:BOD80"/>
    <mergeCell ref="BOE80:BOK80"/>
    <mergeCell ref="BOL80:BOR80"/>
    <mergeCell ref="BOS80:BOY80"/>
    <mergeCell ref="BOZ80:BPF80"/>
    <mergeCell ref="BNX79:BOD79"/>
    <mergeCell ref="BOE79:BOK79"/>
    <mergeCell ref="BOL79:BOR79"/>
    <mergeCell ref="BOS79:BOY79"/>
    <mergeCell ref="BOZ79:BPF79"/>
    <mergeCell ref="BLR80:BMV80"/>
    <mergeCell ref="BMW80:BMZ80"/>
    <mergeCell ref="BNA80:BNE80"/>
    <mergeCell ref="BNF80:BNK80"/>
    <mergeCell ref="BNL80:BNQ80"/>
    <mergeCell ref="BLR79:BMV79"/>
    <mergeCell ref="BMW79:BMZ79"/>
    <mergeCell ref="BNA79:BNE79"/>
    <mergeCell ref="BNF79:BNK79"/>
    <mergeCell ref="BNL79:BNQ79"/>
    <mergeCell ref="BNR79:BNW79"/>
    <mergeCell ref="BNR78:BNW78"/>
    <mergeCell ref="BNX78:BOD78"/>
    <mergeCell ref="BOE78:BOK78"/>
    <mergeCell ref="BOL78:BOR78"/>
    <mergeCell ref="BOS78:BOY78"/>
    <mergeCell ref="BOZ78:BPF78"/>
    <mergeCell ref="BNX77:BOD77"/>
    <mergeCell ref="BOE77:BOK77"/>
    <mergeCell ref="BOL77:BOR77"/>
    <mergeCell ref="BOS77:BOY77"/>
    <mergeCell ref="BOZ77:BPF77"/>
    <mergeCell ref="BLR78:BMV78"/>
    <mergeCell ref="BMW78:BMZ78"/>
    <mergeCell ref="BNA78:BNE78"/>
    <mergeCell ref="BNF78:BNK78"/>
    <mergeCell ref="BNL78:BNQ78"/>
    <mergeCell ref="BLR77:BMV77"/>
    <mergeCell ref="BMW77:BMZ77"/>
    <mergeCell ref="BNA77:BNE77"/>
    <mergeCell ref="BNF77:BNK77"/>
    <mergeCell ref="BNL77:BNQ77"/>
    <mergeCell ref="BNR77:BNW77"/>
    <mergeCell ref="BNR76:BNW76"/>
    <mergeCell ref="BNX76:BOD76"/>
    <mergeCell ref="BOE76:BOK76"/>
    <mergeCell ref="BOL76:BOR76"/>
    <mergeCell ref="BOS76:BOY76"/>
    <mergeCell ref="BOZ76:BPF76"/>
    <mergeCell ref="BNX75:BOD75"/>
    <mergeCell ref="BOE75:BOK75"/>
    <mergeCell ref="BOL75:BOR75"/>
    <mergeCell ref="BOS75:BOY75"/>
    <mergeCell ref="BOZ75:BPF75"/>
    <mergeCell ref="BLR76:BMV76"/>
    <mergeCell ref="BMW76:BMZ76"/>
    <mergeCell ref="BNA76:BNE76"/>
    <mergeCell ref="BNF76:BNK76"/>
    <mergeCell ref="BNL76:BNQ76"/>
    <mergeCell ref="BLR75:BMV75"/>
    <mergeCell ref="BMW75:BMZ75"/>
    <mergeCell ref="BNA75:BNE75"/>
    <mergeCell ref="BNF75:BNK75"/>
    <mergeCell ref="BNL75:BNQ75"/>
    <mergeCell ref="BNR75:BNW75"/>
    <mergeCell ref="BNX72:BOD72"/>
    <mergeCell ref="BOE72:BOK72"/>
    <mergeCell ref="BOL72:BOR72"/>
    <mergeCell ref="BOS72:BOY72"/>
    <mergeCell ref="BOZ72:BPF72"/>
    <mergeCell ref="BLR74:BPF74"/>
    <mergeCell ref="BLR72:BMV72"/>
    <mergeCell ref="BMW72:BMZ72"/>
    <mergeCell ref="BNA72:BNE72"/>
    <mergeCell ref="BNF72:BNK72"/>
    <mergeCell ref="BNL72:BNQ72"/>
    <mergeCell ref="BNR72:BNW72"/>
    <mergeCell ref="BNR71:BNW71"/>
    <mergeCell ref="BNX71:BOD71"/>
    <mergeCell ref="BOE71:BOK71"/>
    <mergeCell ref="BOL71:BOR71"/>
    <mergeCell ref="BOS71:BOY71"/>
    <mergeCell ref="BOZ71:BPF71"/>
    <mergeCell ref="BNX70:BOD70"/>
    <mergeCell ref="BOE70:BOK70"/>
    <mergeCell ref="BOL70:BOR70"/>
    <mergeCell ref="BOS70:BOY70"/>
    <mergeCell ref="BOZ70:BPF70"/>
    <mergeCell ref="BLR71:BMV71"/>
    <mergeCell ref="BMW71:BMZ71"/>
    <mergeCell ref="BNA71:BNE71"/>
    <mergeCell ref="BNF71:BNK71"/>
    <mergeCell ref="BNL71:BNQ71"/>
    <mergeCell ref="BLR70:BMV70"/>
    <mergeCell ref="BMW70:BMZ70"/>
    <mergeCell ref="BNA70:BNE70"/>
    <mergeCell ref="BNF70:BNK70"/>
    <mergeCell ref="BNL70:BNQ70"/>
    <mergeCell ref="BNR70:BNW70"/>
    <mergeCell ref="BNR69:BNW69"/>
    <mergeCell ref="BNX69:BOD69"/>
    <mergeCell ref="BOE69:BOK69"/>
    <mergeCell ref="BOL69:BOR69"/>
    <mergeCell ref="BOS69:BOY69"/>
    <mergeCell ref="BOZ69:BPF69"/>
    <mergeCell ref="BLR69:BMV69"/>
    <mergeCell ref="BMW69:BMZ69"/>
    <mergeCell ref="BNA69:BNE69"/>
    <mergeCell ref="BNF69:BNK69"/>
    <mergeCell ref="BNL69:BNQ69"/>
    <mergeCell ref="BOL67:BOR67"/>
    <mergeCell ref="BOS67:BOY67"/>
    <mergeCell ref="BOZ67:BPF67"/>
    <mergeCell ref="BOS66:BOY66"/>
    <mergeCell ref="BOZ66:BPF66"/>
    <mergeCell ref="BLR67:BMV67"/>
    <mergeCell ref="BMW67:BMZ67"/>
    <mergeCell ref="BNA67:BNE67"/>
    <mergeCell ref="BNF67:BNK67"/>
    <mergeCell ref="BNL67:BNQ67"/>
    <mergeCell ref="BNR67:BNW67"/>
    <mergeCell ref="BNX67:BOD67"/>
    <mergeCell ref="BOE67:BOK67"/>
    <mergeCell ref="BNX68:BOD68"/>
    <mergeCell ref="BOE68:BOK68"/>
    <mergeCell ref="BOL68:BOR68"/>
    <mergeCell ref="BOS68:BOY68"/>
    <mergeCell ref="BOZ68:BPF68"/>
    <mergeCell ref="BLR68:BMV68"/>
    <mergeCell ref="BMW68:BMZ68"/>
    <mergeCell ref="BNA68:BNE68"/>
    <mergeCell ref="BNF68:BNK68"/>
    <mergeCell ref="BNL68:BNQ68"/>
    <mergeCell ref="BNR68:BNW68"/>
    <mergeCell ref="BLR65:BPF65"/>
    <mergeCell ref="BLR66:BMV66"/>
    <mergeCell ref="BMW66:BMZ66"/>
    <mergeCell ref="BNA66:BNE66"/>
    <mergeCell ref="BNF66:BNK66"/>
    <mergeCell ref="BNL66:BNQ66"/>
    <mergeCell ref="BNR66:BNW66"/>
    <mergeCell ref="BNX66:BOD66"/>
    <mergeCell ref="BOE66:BOK66"/>
    <mergeCell ref="BOL66:BOR66"/>
    <mergeCell ref="BNR63:BNW63"/>
    <mergeCell ref="BNX63:BOD63"/>
    <mergeCell ref="BOE63:BOK63"/>
    <mergeCell ref="BOL63:BOR63"/>
    <mergeCell ref="BOS63:BOY63"/>
    <mergeCell ref="BOZ63:BPF63"/>
    <mergeCell ref="BNX62:BOD62"/>
    <mergeCell ref="BOE62:BOK62"/>
    <mergeCell ref="BOL62:BOR62"/>
    <mergeCell ref="BOS62:BOY62"/>
    <mergeCell ref="BOZ62:BPF62"/>
    <mergeCell ref="BLR63:BMV63"/>
    <mergeCell ref="BMW63:BMZ63"/>
    <mergeCell ref="BNA63:BNE63"/>
    <mergeCell ref="BNF63:BNK63"/>
    <mergeCell ref="BNL63:BNQ63"/>
    <mergeCell ref="BLR62:BMV62"/>
    <mergeCell ref="BMW62:BMZ62"/>
    <mergeCell ref="BNA62:BNE62"/>
    <mergeCell ref="BNF62:BNK62"/>
    <mergeCell ref="BNL62:BNQ62"/>
    <mergeCell ref="BNR62:BNW62"/>
    <mergeCell ref="BNR61:BNW61"/>
    <mergeCell ref="BNX61:BOD61"/>
    <mergeCell ref="BOE61:BOK61"/>
    <mergeCell ref="BOL61:BOR61"/>
    <mergeCell ref="BOS61:BOY61"/>
    <mergeCell ref="BOZ61:BPF61"/>
    <mergeCell ref="BNX60:BOD60"/>
    <mergeCell ref="BOE60:BOK60"/>
    <mergeCell ref="BOL60:BOR60"/>
    <mergeCell ref="BOS60:BOY60"/>
    <mergeCell ref="BOZ60:BPF60"/>
    <mergeCell ref="BLR61:BMV61"/>
    <mergeCell ref="BMW61:BMZ61"/>
    <mergeCell ref="BNA61:BNE61"/>
    <mergeCell ref="BNF61:BNK61"/>
    <mergeCell ref="BNL61:BNQ61"/>
    <mergeCell ref="BOE59:BOK59"/>
    <mergeCell ref="BOL59:BOR59"/>
    <mergeCell ref="BOS59:BOY59"/>
    <mergeCell ref="BOZ59:BPF59"/>
    <mergeCell ref="BLR60:BMV60"/>
    <mergeCell ref="BMW60:BMZ60"/>
    <mergeCell ref="BNA60:BNE60"/>
    <mergeCell ref="BNF60:BNK60"/>
    <mergeCell ref="BNL60:BNQ60"/>
    <mergeCell ref="BNR60:BNW60"/>
    <mergeCell ref="BOL58:BOR58"/>
    <mergeCell ref="BOS58:BOY58"/>
    <mergeCell ref="BOZ58:BPF58"/>
    <mergeCell ref="BLR59:BMV59"/>
    <mergeCell ref="BMW59:BMZ59"/>
    <mergeCell ref="BNA59:BNE59"/>
    <mergeCell ref="BNF59:BNK59"/>
    <mergeCell ref="BNL59:BNQ59"/>
    <mergeCell ref="BNR59:BNW59"/>
    <mergeCell ref="BNX59:BOD59"/>
    <mergeCell ref="BOS57:BOY57"/>
    <mergeCell ref="BOZ57:BPF57"/>
    <mergeCell ref="BLR58:BMV58"/>
    <mergeCell ref="BMW58:BMZ58"/>
    <mergeCell ref="BNA58:BNE58"/>
    <mergeCell ref="BNF58:BNK58"/>
    <mergeCell ref="BNL58:BNQ58"/>
    <mergeCell ref="BNR58:BNW58"/>
    <mergeCell ref="BNX58:BOD58"/>
    <mergeCell ref="BOE58:BOK58"/>
    <mergeCell ref="BLR56:BPF56"/>
    <mergeCell ref="BLR57:BMV57"/>
    <mergeCell ref="BMW57:BMZ57"/>
    <mergeCell ref="BNA57:BNE57"/>
    <mergeCell ref="BNF57:BNK57"/>
    <mergeCell ref="BNL57:BNQ57"/>
    <mergeCell ref="BNR57:BNW57"/>
    <mergeCell ref="BNX57:BOD57"/>
    <mergeCell ref="BOE57:BOK57"/>
    <mergeCell ref="BOL57:BOR57"/>
    <mergeCell ref="BNR54:BNW54"/>
    <mergeCell ref="BNX54:BOD54"/>
    <mergeCell ref="BOE54:BOK54"/>
    <mergeCell ref="BOL54:BOR54"/>
    <mergeCell ref="BOS54:BOY54"/>
    <mergeCell ref="BOZ54:BPF54"/>
    <mergeCell ref="BNX53:BOD53"/>
    <mergeCell ref="BOE53:BOK53"/>
    <mergeCell ref="BOL53:BOR53"/>
    <mergeCell ref="BOS53:BOY53"/>
    <mergeCell ref="BOZ53:BPF53"/>
    <mergeCell ref="BLR54:BMV54"/>
    <mergeCell ref="BMW54:BMZ54"/>
    <mergeCell ref="BNA54:BNE54"/>
    <mergeCell ref="BNF54:BNK54"/>
    <mergeCell ref="BNL54:BNQ54"/>
    <mergeCell ref="BLR53:BMV53"/>
    <mergeCell ref="BMW53:BMZ53"/>
    <mergeCell ref="BNA53:BNE53"/>
    <mergeCell ref="BNF53:BNK53"/>
    <mergeCell ref="BNL53:BNQ53"/>
    <mergeCell ref="BNR53:BNW53"/>
    <mergeCell ref="BNR52:BNW52"/>
    <mergeCell ref="BNX52:BOD52"/>
    <mergeCell ref="BOE52:BOK52"/>
    <mergeCell ref="BOL52:BOR52"/>
    <mergeCell ref="BOS52:BOY52"/>
    <mergeCell ref="BOZ52:BPF52"/>
    <mergeCell ref="BNX51:BOD51"/>
    <mergeCell ref="BOE51:BOK51"/>
    <mergeCell ref="BOL51:BOR51"/>
    <mergeCell ref="BOS51:BOY51"/>
    <mergeCell ref="BOZ51:BPF51"/>
    <mergeCell ref="BLR52:BMV52"/>
    <mergeCell ref="BMW52:BMZ52"/>
    <mergeCell ref="BNA52:BNE52"/>
    <mergeCell ref="BNF52:BNK52"/>
    <mergeCell ref="BNL52:BNQ52"/>
    <mergeCell ref="BLR51:BMV51"/>
    <mergeCell ref="BMW51:BMZ51"/>
    <mergeCell ref="BNA51:BNE51"/>
    <mergeCell ref="BNF51:BNK51"/>
    <mergeCell ref="BNL51:BNQ51"/>
    <mergeCell ref="BNR51:BNW51"/>
    <mergeCell ref="BNX48:BOD48"/>
    <mergeCell ref="BOE48:BOK48"/>
    <mergeCell ref="BOL48:BOR48"/>
    <mergeCell ref="BOS48:BOY48"/>
    <mergeCell ref="BOZ48:BPF48"/>
    <mergeCell ref="BLR50:BPF50"/>
    <mergeCell ref="BLR48:BMV48"/>
    <mergeCell ref="BMW48:BMZ48"/>
    <mergeCell ref="BNA48:BNE48"/>
    <mergeCell ref="BNF48:BNK48"/>
    <mergeCell ref="BNL48:BNQ48"/>
    <mergeCell ref="BNR48:BNW48"/>
    <mergeCell ref="BNR47:BNW47"/>
    <mergeCell ref="BNX47:BOD47"/>
    <mergeCell ref="BOE47:BOK47"/>
    <mergeCell ref="BOL47:BOR47"/>
    <mergeCell ref="BOS47:BOY47"/>
    <mergeCell ref="BOZ47:BPF47"/>
    <mergeCell ref="BNX46:BOD46"/>
    <mergeCell ref="BOE46:BOK46"/>
    <mergeCell ref="BOL46:BOR46"/>
    <mergeCell ref="BOS46:BOY46"/>
    <mergeCell ref="BOZ46:BPF46"/>
    <mergeCell ref="BLR47:BMV47"/>
    <mergeCell ref="BMW47:BMZ47"/>
    <mergeCell ref="BNA47:BNE47"/>
    <mergeCell ref="BNF47:BNK47"/>
    <mergeCell ref="BNL47:BNQ47"/>
    <mergeCell ref="BLR46:BMV46"/>
    <mergeCell ref="BMW46:BMZ46"/>
    <mergeCell ref="BNA46:BNE46"/>
    <mergeCell ref="BNF46:BNK46"/>
    <mergeCell ref="BNL46:BNQ46"/>
    <mergeCell ref="BNR46:BNW46"/>
    <mergeCell ref="BNX43:BOD43"/>
    <mergeCell ref="BOE43:BOK43"/>
    <mergeCell ref="BOL43:BOR43"/>
    <mergeCell ref="BOS43:BOY43"/>
    <mergeCell ref="BOZ43:BPF43"/>
    <mergeCell ref="BLR45:BPF45"/>
    <mergeCell ref="BOE42:BOK42"/>
    <mergeCell ref="BOL42:BOR42"/>
    <mergeCell ref="BOS42:BOY42"/>
    <mergeCell ref="BOZ42:BPF42"/>
    <mergeCell ref="BLR43:BMV43"/>
    <mergeCell ref="BMW43:BMZ43"/>
    <mergeCell ref="BNA43:BNE43"/>
    <mergeCell ref="BNF43:BNK43"/>
    <mergeCell ref="BNL43:BNQ43"/>
    <mergeCell ref="BNR43:BNW43"/>
    <mergeCell ref="BOL41:BOR41"/>
    <mergeCell ref="BOS41:BOY41"/>
    <mergeCell ref="BOZ41:BPF41"/>
    <mergeCell ref="BLR42:BMV42"/>
    <mergeCell ref="BMW42:BMZ42"/>
    <mergeCell ref="BNA42:BNE42"/>
    <mergeCell ref="BNF42:BNK42"/>
    <mergeCell ref="BNL42:BNQ42"/>
    <mergeCell ref="BNR42:BNW42"/>
    <mergeCell ref="BNX42:BOD42"/>
    <mergeCell ref="BOS40:BOY40"/>
    <mergeCell ref="BOZ40:BPF40"/>
    <mergeCell ref="BLR41:BMV41"/>
    <mergeCell ref="BMW41:BMZ41"/>
    <mergeCell ref="BNA41:BNE41"/>
    <mergeCell ref="BNF41:BNK41"/>
    <mergeCell ref="BNL41:BNQ41"/>
    <mergeCell ref="BNR41:BNW41"/>
    <mergeCell ref="BNX41:BOD41"/>
    <mergeCell ref="BOE41:BOK41"/>
    <mergeCell ref="BLR39:BPF39"/>
    <mergeCell ref="BLR40:BMV40"/>
    <mergeCell ref="BMW40:BMZ40"/>
    <mergeCell ref="BNA40:BNE40"/>
    <mergeCell ref="BNF40:BNK40"/>
    <mergeCell ref="BNL40:BNQ40"/>
    <mergeCell ref="BNR40:BNW40"/>
    <mergeCell ref="BNX40:BOD40"/>
    <mergeCell ref="BOE40:BOK40"/>
    <mergeCell ref="BOL40:BOR40"/>
    <mergeCell ref="BNR37:BNW37"/>
    <mergeCell ref="BNX37:BOD37"/>
    <mergeCell ref="BOE37:BOK37"/>
    <mergeCell ref="BOL37:BOR37"/>
    <mergeCell ref="BOS37:BOY37"/>
    <mergeCell ref="BOZ37:BPF37"/>
    <mergeCell ref="BNX36:BOD36"/>
    <mergeCell ref="BOE36:BOK36"/>
    <mergeCell ref="BOL36:BOR36"/>
    <mergeCell ref="BOS36:BOY36"/>
    <mergeCell ref="BOZ36:BPF36"/>
    <mergeCell ref="BLR37:BMV37"/>
    <mergeCell ref="BMW37:BMZ37"/>
    <mergeCell ref="BNA37:BNE37"/>
    <mergeCell ref="BNF37:BNK37"/>
    <mergeCell ref="BNL37:BNQ37"/>
    <mergeCell ref="BLR36:BMV36"/>
    <mergeCell ref="BMW36:BMZ36"/>
    <mergeCell ref="BNA36:BNE36"/>
    <mergeCell ref="BNF36:BNK36"/>
    <mergeCell ref="BNL36:BNQ36"/>
    <mergeCell ref="BNR36:BNW36"/>
    <mergeCell ref="BNR35:BNW35"/>
    <mergeCell ref="BNX35:BOD35"/>
    <mergeCell ref="BOE35:BOK35"/>
    <mergeCell ref="BOL35:BOR35"/>
    <mergeCell ref="BOS35:BOY35"/>
    <mergeCell ref="BOZ35:BPF35"/>
    <mergeCell ref="BNX34:BOD34"/>
    <mergeCell ref="BOE34:BOK34"/>
    <mergeCell ref="BOL34:BOR34"/>
    <mergeCell ref="BOS34:BOY34"/>
    <mergeCell ref="BOZ34:BPF34"/>
    <mergeCell ref="BLR35:BMV35"/>
    <mergeCell ref="BMW35:BMZ35"/>
    <mergeCell ref="BNA35:BNE35"/>
    <mergeCell ref="BNF35:BNK35"/>
    <mergeCell ref="BNL35:BNQ35"/>
    <mergeCell ref="BLR34:BMV34"/>
    <mergeCell ref="BMW34:BMZ34"/>
    <mergeCell ref="BNA34:BNE34"/>
    <mergeCell ref="BNF34:BNK34"/>
    <mergeCell ref="BNL34:BNQ34"/>
    <mergeCell ref="BNR34:BNW34"/>
    <mergeCell ref="BNX31:BOD31"/>
    <mergeCell ref="BOE31:BOK31"/>
    <mergeCell ref="BOL31:BOR31"/>
    <mergeCell ref="BOS31:BOY31"/>
    <mergeCell ref="BOZ31:BPF31"/>
    <mergeCell ref="BLR33:BPF33"/>
    <mergeCell ref="BOE30:BOK30"/>
    <mergeCell ref="BOL30:BOR30"/>
    <mergeCell ref="BOS30:BOY30"/>
    <mergeCell ref="BOZ30:BPF30"/>
    <mergeCell ref="BLR31:BMV31"/>
    <mergeCell ref="BMW31:BMZ31"/>
    <mergeCell ref="BNA31:BNE31"/>
    <mergeCell ref="BNF31:BNK31"/>
    <mergeCell ref="BNL31:BNQ31"/>
    <mergeCell ref="BNR31:BNW31"/>
    <mergeCell ref="BOL29:BOR29"/>
    <mergeCell ref="BOS29:BOY29"/>
    <mergeCell ref="BOZ29:BPF29"/>
    <mergeCell ref="BLR30:BMV30"/>
    <mergeCell ref="BMW30:BMZ30"/>
    <mergeCell ref="BNA30:BNE30"/>
    <mergeCell ref="BNF30:BNK30"/>
    <mergeCell ref="BNL30:BNQ30"/>
    <mergeCell ref="BNR30:BNW30"/>
    <mergeCell ref="BNX30:BOD30"/>
    <mergeCell ref="BOS28:BOY28"/>
    <mergeCell ref="BOZ28:BPF28"/>
    <mergeCell ref="BLR29:BMV29"/>
    <mergeCell ref="BMW29:BMZ29"/>
    <mergeCell ref="BNA29:BNE29"/>
    <mergeCell ref="BNF29:BNK29"/>
    <mergeCell ref="BNL29:BNQ29"/>
    <mergeCell ref="BNR29:BNW29"/>
    <mergeCell ref="BNX29:BOD29"/>
    <mergeCell ref="BOE29:BOK29"/>
    <mergeCell ref="BLR27:BPF27"/>
    <mergeCell ref="BLR28:BMV28"/>
    <mergeCell ref="BMW28:BMZ28"/>
    <mergeCell ref="BNA28:BNE28"/>
    <mergeCell ref="BNF28:BNK28"/>
    <mergeCell ref="BNL28:BNQ28"/>
    <mergeCell ref="BNR28:BNW28"/>
    <mergeCell ref="BNX28:BOD28"/>
    <mergeCell ref="BOE28:BOK28"/>
    <mergeCell ref="BOL28:BOR28"/>
    <mergeCell ref="BNR25:BNW25"/>
    <mergeCell ref="BNX25:BOD25"/>
    <mergeCell ref="BOE25:BOK25"/>
    <mergeCell ref="BOL25:BOR25"/>
    <mergeCell ref="BOS25:BOY25"/>
    <mergeCell ref="BOZ25:BPF25"/>
    <mergeCell ref="BNX24:BOD24"/>
    <mergeCell ref="BOE24:BOK24"/>
    <mergeCell ref="BOL24:BOR24"/>
    <mergeCell ref="BOS24:BOY24"/>
    <mergeCell ref="BOZ24:BPF24"/>
    <mergeCell ref="BLR25:BMV25"/>
    <mergeCell ref="BMW25:BMZ25"/>
    <mergeCell ref="BNA25:BNE25"/>
    <mergeCell ref="BNF25:BNK25"/>
    <mergeCell ref="BNL25:BNQ25"/>
    <mergeCell ref="BLR24:BMV24"/>
    <mergeCell ref="BMW24:BMZ24"/>
    <mergeCell ref="BNA24:BNE24"/>
    <mergeCell ref="BNF24:BNK24"/>
    <mergeCell ref="BNL24:BNQ24"/>
    <mergeCell ref="BNR24:BNW24"/>
    <mergeCell ref="BNR23:BNW23"/>
    <mergeCell ref="BNX23:BOD23"/>
    <mergeCell ref="BOE23:BOK23"/>
    <mergeCell ref="BOL23:BOR23"/>
    <mergeCell ref="BOS23:BOY23"/>
    <mergeCell ref="BOZ23:BPF23"/>
    <mergeCell ref="BNX22:BOD22"/>
    <mergeCell ref="BOE22:BOK22"/>
    <mergeCell ref="BOL22:BOR22"/>
    <mergeCell ref="BOS22:BOY22"/>
    <mergeCell ref="BOZ22:BPF22"/>
    <mergeCell ref="BLR23:BMV23"/>
    <mergeCell ref="BMW23:BMZ23"/>
    <mergeCell ref="BNA23:BNE23"/>
    <mergeCell ref="BNF23:BNK23"/>
    <mergeCell ref="BNL23:BNQ23"/>
    <mergeCell ref="BLR22:BMV22"/>
    <mergeCell ref="BMW22:BMZ22"/>
    <mergeCell ref="BNA22:BNE22"/>
    <mergeCell ref="BNF22:BNK22"/>
    <mergeCell ref="BNL22:BNQ22"/>
    <mergeCell ref="BNR22:BNW22"/>
    <mergeCell ref="BLR21:BPF21"/>
    <mergeCell ref="BNX19:BOD19"/>
    <mergeCell ref="BOE19:BOK19"/>
    <mergeCell ref="BOL19:BOR19"/>
    <mergeCell ref="BOS19:BOY19"/>
    <mergeCell ref="BOZ19:BPF19"/>
    <mergeCell ref="BLR19:BMV19"/>
    <mergeCell ref="BMW19:BMZ19"/>
    <mergeCell ref="BNA19:BNE19"/>
    <mergeCell ref="BNF19:BNK19"/>
    <mergeCell ref="BNL19:BNQ19"/>
    <mergeCell ref="BNR19:BNW19"/>
    <mergeCell ref="BNR18:BNW18"/>
    <mergeCell ref="BNX18:BOD18"/>
    <mergeCell ref="BOE18:BOK18"/>
    <mergeCell ref="BOL18:BOR18"/>
    <mergeCell ref="BOS18:BOY18"/>
    <mergeCell ref="BOZ18:BPF18"/>
    <mergeCell ref="BNX17:BOD17"/>
    <mergeCell ref="BOE17:BOK17"/>
    <mergeCell ref="BOL17:BOR17"/>
    <mergeCell ref="BOS17:BOY17"/>
    <mergeCell ref="BOZ17:BPF17"/>
    <mergeCell ref="BLR18:BMV18"/>
    <mergeCell ref="BMW18:BMZ18"/>
    <mergeCell ref="BNA18:BNE18"/>
    <mergeCell ref="BNF18:BNK18"/>
    <mergeCell ref="BNL18:BNQ18"/>
    <mergeCell ref="BLR17:BMV17"/>
    <mergeCell ref="BMW17:BMZ17"/>
    <mergeCell ref="BNA17:BNE17"/>
    <mergeCell ref="BNF17:BNK17"/>
    <mergeCell ref="BNL17:BNQ17"/>
    <mergeCell ref="BNR17:BNW17"/>
    <mergeCell ref="BNR16:BNW16"/>
    <mergeCell ref="BNX16:BOD16"/>
    <mergeCell ref="BOE16:BOK16"/>
    <mergeCell ref="BOL16:BOR16"/>
    <mergeCell ref="BOS16:BOY16"/>
    <mergeCell ref="BOZ16:BPF16"/>
    <mergeCell ref="BNX15:BOD15"/>
    <mergeCell ref="BOE15:BOK15"/>
    <mergeCell ref="BOL15:BOR15"/>
    <mergeCell ref="BOS15:BOY15"/>
    <mergeCell ref="BOZ15:BPF15"/>
    <mergeCell ref="BLR16:BMV16"/>
    <mergeCell ref="BMW16:BMZ16"/>
    <mergeCell ref="BNA16:BNE16"/>
    <mergeCell ref="BNF16:BNK16"/>
    <mergeCell ref="BNL16:BNQ16"/>
    <mergeCell ref="BLR15:BMV15"/>
    <mergeCell ref="BMW15:BMZ15"/>
    <mergeCell ref="BNA15:BNE15"/>
    <mergeCell ref="BNF15:BNK15"/>
    <mergeCell ref="BNL15:BNQ15"/>
    <mergeCell ref="BNR15:BNW15"/>
    <mergeCell ref="BNR14:BNW14"/>
    <mergeCell ref="BNX14:BOD14"/>
    <mergeCell ref="BOE14:BOK14"/>
    <mergeCell ref="BOL14:BOR14"/>
    <mergeCell ref="BOS14:BOY14"/>
    <mergeCell ref="BOZ14:BPF14"/>
    <mergeCell ref="BNX13:BOD13"/>
    <mergeCell ref="BOE13:BOK13"/>
    <mergeCell ref="BOL13:BOR13"/>
    <mergeCell ref="BOS13:BOY13"/>
    <mergeCell ref="BOZ13:BPF13"/>
    <mergeCell ref="BLR14:BMV14"/>
    <mergeCell ref="BMW14:BMZ14"/>
    <mergeCell ref="BNA14:BNE14"/>
    <mergeCell ref="BNF14:BNK14"/>
    <mergeCell ref="BNL14:BNQ14"/>
    <mergeCell ref="BLR13:BMV13"/>
    <mergeCell ref="BMW13:BMZ13"/>
    <mergeCell ref="BNA13:BNE13"/>
    <mergeCell ref="BNF13:BNK13"/>
    <mergeCell ref="BNL13:BNQ13"/>
    <mergeCell ref="BNR13:BNW13"/>
    <mergeCell ref="BNR12:BNW12"/>
    <mergeCell ref="BNX12:BOD12"/>
    <mergeCell ref="BOE12:BOK12"/>
    <mergeCell ref="BOL12:BOR12"/>
    <mergeCell ref="BOS12:BOY12"/>
    <mergeCell ref="BOZ12:BPF12"/>
    <mergeCell ref="BNX11:BOD11"/>
    <mergeCell ref="BOE11:BOK11"/>
    <mergeCell ref="BOL11:BOR11"/>
    <mergeCell ref="BOS11:BOY11"/>
    <mergeCell ref="BOZ11:BPF11"/>
    <mergeCell ref="BLR12:BMV12"/>
    <mergeCell ref="BMW12:BMZ12"/>
    <mergeCell ref="BNA12:BNE12"/>
    <mergeCell ref="BNF12:BNK12"/>
    <mergeCell ref="BNL12:BNQ12"/>
    <mergeCell ref="BLR11:BMV11"/>
    <mergeCell ref="BMW11:BMZ11"/>
    <mergeCell ref="BNA11:BNE11"/>
    <mergeCell ref="BNF11:BNK11"/>
    <mergeCell ref="BNL11:BNQ11"/>
    <mergeCell ref="BNR11:BNW11"/>
    <mergeCell ref="BNR10:BNW10"/>
    <mergeCell ref="BNX10:BOD10"/>
    <mergeCell ref="BOE10:BOK10"/>
    <mergeCell ref="BOL10:BOR10"/>
    <mergeCell ref="BOS10:BOY10"/>
    <mergeCell ref="BOZ10:BPF10"/>
    <mergeCell ref="BNX9:BOD9"/>
    <mergeCell ref="BOE9:BOK9"/>
    <mergeCell ref="BOL9:BOR9"/>
    <mergeCell ref="BOS9:BOY9"/>
    <mergeCell ref="BOZ9:BPF9"/>
    <mergeCell ref="BLR10:BMV10"/>
    <mergeCell ref="BMW10:BMZ10"/>
    <mergeCell ref="BNA10:BNE10"/>
    <mergeCell ref="BNF10:BNK10"/>
    <mergeCell ref="BNL10:BNQ10"/>
    <mergeCell ref="BLR9:BMV9"/>
    <mergeCell ref="BMW9:BMZ9"/>
    <mergeCell ref="BNA9:BNE9"/>
    <mergeCell ref="BNF9:BNK9"/>
    <mergeCell ref="BNL9:BNQ9"/>
    <mergeCell ref="BNR9:BNW9"/>
    <mergeCell ref="BNR8:BNW8"/>
    <mergeCell ref="BNX8:BOD8"/>
    <mergeCell ref="BOE8:BOK8"/>
    <mergeCell ref="BOL8:BOR8"/>
    <mergeCell ref="BOS8:BOY8"/>
    <mergeCell ref="BOZ8:BPF8"/>
    <mergeCell ref="BNX6:BOD6"/>
    <mergeCell ref="BOE6:BOK6"/>
    <mergeCell ref="BOL6:BOR6"/>
    <mergeCell ref="BOS6:BOY6"/>
    <mergeCell ref="BOZ6:BPF6"/>
    <mergeCell ref="BLR8:BMV8"/>
    <mergeCell ref="BMW8:BMZ8"/>
    <mergeCell ref="BNA8:BNE8"/>
    <mergeCell ref="BNF8:BNK8"/>
    <mergeCell ref="BNL8:BNQ8"/>
    <mergeCell ref="BOE5:BOK5"/>
    <mergeCell ref="BOL5:BOR5"/>
    <mergeCell ref="BOS5:BOY5"/>
    <mergeCell ref="BOZ5:BPF5"/>
    <mergeCell ref="BLR6:BMV6"/>
    <mergeCell ref="BMW6:BMZ6"/>
    <mergeCell ref="BNA6:BNE6"/>
    <mergeCell ref="BNF6:BNK6"/>
    <mergeCell ref="BNL6:BNQ6"/>
    <mergeCell ref="BNR6:BNW6"/>
    <mergeCell ref="BLR7:BMV7"/>
    <mergeCell ref="BMW7:BMZ7"/>
    <mergeCell ref="BNA7:BNE7"/>
    <mergeCell ref="BNF7:BNK7"/>
    <mergeCell ref="BNL7:BNQ7"/>
    <mergeCell ref="BNR7:BNW7"/>
    <mergeCell ref="BNX7:BOD7"/>
    <mergeCell ref="BOE7:BOK7"/>
    <mergeCell ref="BOL7:BOR7"/>
    <mergeCell ref="BOS7:BOY7"/>
    <mergeCell ref="BOZ7:BPF7"/>
    <mergeCell ref="BOL4:BOR4"/>
    <mergeCell ref="BOS4:BOY4"/>
    <mergeCell ref="BOZ4:BPF4"/>
    <mergeCell ref="BLR5:BMV5"/>
    <mergeCell ref="BMW5:BMZ5"/>
    <mergeCell ref="BNA5:BNE5"/>
    <mergeCell ref="BNF5:BNK5"/>
    <mergeCell ref="BNL5:BNQ5"/>
    <mergeCell ref="BNR5:BNW5"/>
    <mergeCell ref="BNX5:BOD5"/>
    <mergeCell ref="BLR2:BPF2"/>
    <mergeCell ref="BLR3:BPF3"/>
    <mergeCell ref="BLR4:BMV4"/>
    <mergeCell ref="BMW4:BMZ4"/>
    <mergeCell ref="BNA4:BNE4"/>
    <mergeCell ref="BNF4:BNK4"/>
    <mergeCell ref="BNL4:BNQ4"/>
    <mergeCell ref="BNR4:BNW4"/>
    <mergeCell ref="BNX4:BOD4"/>
    <mergeCell ref="BOE4:BOK4"/>
    <mergeCell ref="BKB7:BKG7"/>
    <mergeCell ref="BKH7:BKN7"/>
    <mergeCell ref="BKO7:BKU7"/>
    <mergeCell ref="BKV7:BLB7"/>
    <mergeCell ref="BLC7:BLI7"/>
    <mergeCell ref="BLJ7:BLP7"/>
    <mergeCell ref="BKH6:BKN6"/>
    <mergeCell ref="BKO6:BKU6"/>
    <mergeCell ref="BKV6:BLB6"/>
    <mergeCell ref="BLC6:BLI6"/>
    <mergeCell ref="BLJ6:BLP6"/>
    <mergeCell ref="BIB7:BJF7"/>
    <mergeCell ref="BJG7:BJJ7"/>
    <mergeCell ref="BJK7:BJO7"/>
    <mergeCell ref="BJP7:BJU7"/>
    <mergeCell ref="BJV7:BKA7"/>
    <mergeCell ref="BKO5:BKU5"/>
    <mergeCell ref="BKV5:BLB5"/>
    <mergeCell ref="BLC5:BLI5"/>
    <mergeCell ref="BLJ5:BLP5"/>
    <mergeCell ref="BIB6:BJF6"/>
    <mergeCell ref="BJG6:BJJ6"/>
    <mergeCell ref="BJK6:BJO6"/>
    <mergeCell ref="BJP6:BJU6"/>
    <mergeCell ref="BJV6:BKA6"/>
    <mergeCell ref="BKB6:BKG6"/>
    <mergeCell ref="BKV4:BLB4"/>
    <mergeCell ref="BLC4:BLI4"/>
    <mergeCell ref="BLJ4:BLP4"/>
    <mergeCell ref="BIB5:BJF5"/>
    <mergeCell ref="BJG5:BJJ5"/>
    <mergeCell ref="BJK5:BJO5"/>
    <mergeCell ref="BJP5:BJU5"/>
    <mergeCell ref="BJV5:BKA5"/>
    <mergeCell ref="BKB5:BKG5"/>
    <mergeCell ref="BKH5:BKN5"/>
    <mergeCell ref="BIB2:BLP2"/>
    <mergeCell ref="BIB3:BLP3"/>
    <mergeCell ref="BIB4:BJF4"/>
    <mergeCell ref="BJG4:BJJ4"/>
    <mergeCell ref="BJK4:BJO4"/>
    <mergeCell ref="BJP4:BJU4"/>
    <mergeCell ref="BJV4:BKA4"/>
    <mergeCell ref="BKB4:BKG4"/>
    <mergeCell ref="BKH4:BKN4"/>
    <mergeCell ref="BKO4:BKU4"/>
    <mergeCell ref="BGL8:BGQ8"/>
    <mergeCell ref="BGR8:BGX8"/>
    <mergeCell ref="BGY8:BHE8"/>
    <mergeCell ref="BHF8:BHL8"/>
    <mergeCell ref="BHM8:BHS8"/>
    <mergeCell ref="BHT8:BHZ8"/>
    <mergeCell ref="BGR7:BGX7"/>
    <mergeCell ref="BGY7:BHE7"/>
    <mergeCell ref="BHF7:BHL7"/>
    <mergeCell ref="BHM7:BHS7"/>
    <mergeCell ref="BHT7:BHZ7"/>
    <mergeCell ref="BEL8:BFP8"/>
    <mergeCell ref="BFQ8:BFT8"/>
    <mergeCell ref="BFU8:BFY8"/>
    <mergeCell ref="BFZ8:BGE8"/>
    <mergeCell ref="BGF8:BGK8"/>
    <mergeCell ref="BGY6:BHE6"/>
    <mergeCell ref="BHF6:BHL6"/>
    <mergeCell ref="BHM6:BHS6"/>
    <mergeCell ref="BHT6:BHZ6"/>
    <mergeCell ref="BEL7:BFP7"/>
    <mergeCell ref="BFQ7:BFT7"/>
    <mergeCell ref="BFU7:BFY7"/>
    <mergeCell ref="BFZ7:BGE7"/>
    <mergeCell ref="BGF7:BGK7"/>
    <mergeCell ref="BGL7:BGQ7"/>
    <mergeCell ref="BHF5:BHL5"/>
    <mergeCell ref="BHM5:BHS5"/>
    <mergeCell ref="BHT5:BHZ5"/>
    <mergeCell ref="BEL6:BFP6"/>
    <mergeCell ref="BFQ6:BFT6"/>
    <mergeCell ref="BFU6:BFY6"/>
    <mergeCell ref="BFZ6:BGE6"/>
    <mergeCell ref="BGF6:BGK6"/>
    <mergeCell ref="BGL6:BGQ6"/>
    <mergeCell ref="BGR6:BGX6"/>
    <mergeCell ref="BHM4:BHS4"/>
    <mergeCell ref="BHT4:BHZ4"/>
    <mergeCell ref="BEL5:BFP5"/>
    <mergeCell ref="BFQ5:BFT5"/>
    <mergeCell ref="BFU5:BFY5"/>
    <mergeCell ref="BFZ5:BGE5"/>
    <mergeCell ref="BGF5:BGK5"/>
    <mergeCell ref="BGL5:BGQ5"/>
    <mergeCell ref="BGR5:BGX5"/>
    <mergeCell ref="BGY5:BHE5"/>
    <mergeCell ref="BFZ4:BGE4"/>
    <mergeCell ref="BGF4:BGK4"/>
    <mergeCell ref="BGL4:BGQ4"/>
    <mergeCell ref="BGR4:BGX4"/>
    <mergeCell ref="BGY4:BHE4"/>
    <mergeCell ref="BHF4:BHL4"/>
    <mergeCell ref="BEL2:BHZ2"/>
    <mergeCell ref="BEL3:BHZ3"/>
    <mergeCell ref="BEL4:BFP4"/>
    <mergeCell ref="BFQ4:BFT4"/>
    <mergeCell ref="BFU4:BFY4"/>
    <mergeCell ref="BDB33:BDH33"/>
    <mergeCell ref="BDI33:BDO33"/>
    <mergeCell ref="BDP33:BDV33"/>
    <mergeCell ref="BDW33:BEC33"/>
    <mergeCell ref="BED33:BEJ33"/>
    <mergeCell ref="BAV33:BBZ33"/>
    <mergeCell ref="BCA33:BCD33"/>
    <mergeCell ref="BCE33:BCI33"/>
    <mergeCell ref="BCJ33:BCO33"/>
    <mergeCell ref="BCP33:BCU33"/>
    <mergeCell ref="BCV33:BDA33"/>
    <mergeCell ref="BCV32:BDA32"/>
    <mergeCell ref="BDB32:BDH32"/>
    <mergeCell ref="BDI32:BDO32"/>
    <mergeCell ref="BDP32:BDV32"/>
    <mergeCell ref="BDW32:BEC32"/>
    <mergeCell ref="BED32:BEJ32"/>
    <mergeCell ref="BDB31:BDH31"/>
    <mergeCell ref="BDI31:BDO31"/>
    <mergeCell ref="BDP31:BDV31"/>
    <mergeCell ref="BDW31:BEC31"/>
    <mergeCell ref="BED31:BEJ31"/>
    <mergeCell ref="BAV32:BBZ32"/>
    <mergeCell ref="BCA32:BCD32"/>
    <mergeCell ref="BCE32:BCI32"/>
    <mergeCell ref="BCJ32:BCO32"/>
    <mergeCell ref="BCP32:BCU32"/>
    <mergeCell ref="BAV31:BBZ31"/>
    <mergeCell ref="BCA31:BCD31"/>
    <mergeCell ref="BCE31:BCI31"/>
    <mergeCell ref="BCJ31:BCO31"/>
    <mergeCell ref="BCP31:BCU31"/>
    <mergeCell ref="BCV31:BDA31"/>
    <mergeCell ref="BCV30:BDA30"/>
    <mergeCell ref="BDB30:BDH30"/>
    <mergeCell ref="BDI30:BDO30"/>
    <mergeCell ref="BDP30:BDV30"/>
    <mergeCell ref="BDW30:BEC30"/>
    <mergeCell ref="BED30:BEJ30"/>
    <mergeCell ref="BDB29:BDH29"/>
    <mergeCell ref="BDI29:BDO29"/>
    <mergeCell ref="BDP29:BDV29"/>
    <mergeCell ref="BDW29:BEC29"/>
    <mergeCell ref="BED29:BEJ29"/>
    <mergeCell ref="BAV30:BBZ30"/>
    <mergeCell ref="BCA30:BCD30"/>
    <mergeCell ref="BCE30:BCI30"/>
    <mergeCell ref="BCJ30:BCO30"/>
    <mergeCell ref="BCP30:BCU30"/>
    <mergeCell ref="BAV29:BBZ29"/>
    <mergeCell ref="BCA29:BCD29"/>
    <mergeCell ref="BCE29:BCI29"/>
    <mergeCell ref="BCJ29:BCO29"/>
    <mergeCell ref="BCP29:BCU29"/>
    <mergeCell ref="BCV29:BDA29"/>
    <mergeCell ref="BCV28:BDA28"/>
    <mergeCell ref="BDB28:BDH28"/>
    <mergeCell ref="BDI28:BDO28"/>
    <mergeCell ref="BDP28:BDV28"/>
    <mergeCell ref="BDW28:BEC28"/>
    <mergeCell ref="BED28:BEJ28"/>
    <mergeCell ref="BDB27:BDH27"/>
    <mergeCell ref="BDI27:BDO27"/>
    <mergeCell ref="BDP27:BDV27"/>
    <mergeCell ref="BDW27:BEC27"/>
    <mergeCell ref="BED27:BEJ27"/>
    <mergeCell ref="BAV28:BBZ28"/>
    <mergeCell ref="BCA28:BCD28"/>
    <mergeCell ref="BCE28:BCI28"/>
    <mergeCell ref="BCJ28:BCO28"/>
    <mergeCell ref="BCP28:BCU28"/>
    <mergeCell ref="BAV27:BBZ27"/>
    <mergeCell ref="BCA27:BCD27"/>
    <mergeCell ref="BCE27:BCI27"/>
    <mergeCell ref="BCJ27:BCO27"/>
    <mergeCell ref="BCP27:BCU27"/>
    <mergeCell ref="BCV27:BDA27"/>
    <mergeCell ref="BCV26:BDA26"/>
    <mergeCell ref="BDB26:BDH26"/>
    <mergeCell ref="BDI26:BDO26"/>
    <mergeCell ref="BDP26:BDV26"/>
    <mergeCell ref="BDW26:BEC26"/>
    <mergeCell ref="BED26:BEJ26"/>
    <mergeCell ref="BDB25:BDH25"/>
    <mergeCell ref="BDI25:BDO25"/>
    <mergeCell ref="BDP25:BDV25"/>
    <mergeCell ref="BDW25:BEC25"/>
    <mergeCell ref="BED25:BEJ25"/>
    <mergeCell ref="BAV26:BBZ26"/>
    <mergeCell ref="BCA26:BCD26"/>
    <mergeCell ref="BCE26:BCI26"/>
    <mergeCell ref="BCJ26:BCO26"/>
    <mergeCell ref="BCP26:BCU26"/>
    <mergeCell ref="BAV25:BBZ25"/>
    <mergeCell ref="BCA25:BCD25"/>
    <mergeCell ref="BCE25:BCI25"/>
    <mergeCell ref="BCJ25:BCO25"/>
    <mergeCell ref="BCP25:BCU25"/>
    <mergeCell ref="BCV25:BDA25"/>
    <mergeCell ref="BCV24:BDA24"/>
    <mergeCell ref="BDB24:BDH24"/>
    <mergeCell ref="BDI24:BDO24"/>
    <mergeCell ref="BDP24:BDV24"/>
    <mergeCell ref="BDW24:BEC24"/>
    <mergeCell ref="BED24:BEJ24"/>
    <mergeCell ref="BDB23:BDH23"/>
    <mergeCell ref="BDI23:BDO23"/>
    <mergeCell ref="BDP23:BDV23"/>
    <mergeCell ref="BDW23:BEC23"/>
    <mergeCell ref="BED23:BEJ23"/>
    <mergeCell ref="BAV24:BBZ24"/>
    <mergeCell ref="BCA24:BCD24"/>
    <mergeCell ref="BCE24:BCI24"/>
    <mergeCell ref="BCJ24:BCO24"/>
    <mergeCell ref="BCP24:BCU24"/>
    <mergeCell ref="BAV23:BBZ23"/>
    <mergeCell ref="BCA23:BCD23"/>
    <mergeCell ref="BCE23:BCI23"/>
    <mergeCell ref="BCJ23:BCO23"/>
    <mergeCell ref="BCP23:BCU23"/>
    <mergeCell ref="BCV23:BDA23"/>
    <mergeCell ref="BCV22:BDA22"/>
    <mergeCell ref="BDB22:BDH22"/>
    <mergeCell ref="BDI22:BDO22"/>
    <mergeCell ref="BDP22:BDV22"/>
    <mergeCell ref="BDW22:BEC22"/>
    <mergeCell ref="BED22:BEJ22"/>
    <mergeCell ref="BDB21:BDH21"/>
    <mergeCell ref="BDI21:BDO21"/>
    <mergeCell ref="BDP21:BDV21"/>
    <mergeCell ref="BDW21:BEC21"/>
    <mergeCell ref="BED21:BEJ21"/>
    <mergeCell ref="BAV22:BBZ22"/>
    <mergeCell ref="BCA22:BCD22"/>
    <mergeCell ref="BCE22:BCI22"/>
    <mergeCell ref="BCJ22:BCO22"/>
    <mergeCell ref="BCP22:BCU22"/>
    <mergeCell ref="BAV21:BBZ21"/>
    <mergeCell ref="BCA21:BCD21"/>
    <mergeCell ref="BCE21:BCI21"/>
    <mergeCell ref="BCJ21:BCO21"/>
    <mergeCell ref="BCP21:BCU21"/>
    <mergeCell ref="BCV21:BDA21"/>
    <mergeCell ref="BDB18:BDH18"/>
    <mergeCell ref="BDI18:BDO18"/>
    <mergeCell ref="BDP18:BDV18"/>
    <mergeCell ref="BDW18:BEC18"/>
    <mergeCell ref="BED18:BEJ18"/>
    <mergeCell ref="BAV20:BEJ20"/>
    <mergeCell ref="BAV18:BBZ18"/>
    <mergeCell ref="BCA18:BCD18"/>
    <mergeCell ref="BCE18:BCI18"/>
    <mergeCell ref="BCJ18:BCO18"/>
    <mergeCell ref="BCP18:BCU18"/>
    <mergeCell ref="BCV18:BDA18"/>
    <mergeCell ref="BCV16:BDA16"/>
    <mergeCell ref="BDB16:BDH16"/>
    <mergeCell ref="BDI16:BDO16"/>
    <mergeCell ref="BDP16:BDV16"/>
    <mergeCell ref="BDW16:BEC16"/>
    <mergeCell ref="BED16:BEJ16"/>
    <mergeCell ref="BDB17:BDH17"/>
    <mergeCell ref="BDI17:BDO17"/>
    <mergeCell ref="BDP17:BDV17"/>
    <mergeCell ref="BDW17:BEC17"/>
    <mergeCell ref="BED17:BEJ17"/>
    <mergeCell ref="BAV17:BBZ17"/>
    <mergeCell ref="BCA17:BCD17"/>
    <mergeCell ref="BCE17:BCI17"/>
    <mergeCell ref="BCJ17:BCO17"/>
    <mergeCell ref="BCP17:BCU17"/>
    <mergeCell ref="BCV17:BDA17"/>
    <mergeCell ref="BDB15:BDH15"/>
    <mergeCell ref="BDI15:BDO15"/>
    <mergeCell ref="BDP15:BDV15"/>
    <mergeCell ref="BDW15:BEC15"/>
    <mergeCell ref="BED15:BEJ15"/>
    <mergeCell ref="BAV16:BBZ16"/>
    <mergeCell ref="BCA16:BCD16"/>
    <mergeCell ref="BCE16:BCI16"/>
    <mergeCell ref="BCJ16:BCO16"/>
    <mergeCell ref="BCP16:BCU16"/>
    <mergeCell ref="BAV15:BBZ15"/>
    <mergeCell ref="BCA15:BCD15"/>
    <mergeCell ref="BCE15:BCI15"/>
    <mergeCell ref="BCJ15:BCO15"/>
    <mergeCell ref="BCP15:BCU15"/>
    <mergeCell ref="BCV15:BDA15"/>
    <mergeCell ref="BDB10:BDH10"/>
    <mergeCell ref="BDI10:BDO10"/>
    <mergeCell ref="BDP10:BDV10"/>
    <mergeCell ref="BDW10:BEC10"/>
    <mergeCell ref="BED10:BEJ10"/>
    <mergeCell ref="BAV14:BEJ14"/>
    <mergeCell ref="BAV11:BBZ11"/>
    <mergeCell ref="BCA11:BCD11"/>
    <mergeCell ref="BCE11:BCI11"/>
    <mergeCell ref="BCJ11:BCO11"/>
    <mergeCell ref="BAV10:BBZ10"/>
    <mergeCell ref="BCA10:BCD10"/>
    <mergeCell ref="BCE10:BCI10"/>
    <mergeCell ref="BCJ10:BCO10"/>
    <mergeCell ref="BCP10:BCU10"/>
    <mergeCell ref="BCV10:BDA10"/>
    <mergeCell ref="BCV12:BDA12"/>
    <mergeCell ref="BDB12:BDH12"/>
    <mergeCell ref="BDI12:BDO12"/>
    <mergeCell ref="BDP12:BDV12"/>
    <mergeCell ref="BDW12:BEC12"/>
    <mergeCell ref="BED12:BEJ12"/>
    <mergeCell ref="BAV12:BBZ12"/>
    <mergeCell ref="BCA12:BCD12"/>
    <mergeCell ref="BCE12:BCI12"/>
    <mergeCell ref="BCJ12:BCO12"/>
    <mergeCell ref="BCP12:BCU12"/>
    <mergeCell ref="BCV8:BDA8"/>
    <mergeCell ref="BDB8:BDH8"/>
    <mergeCell ref="BDI8:BDO8"/>
    <mergeCell ref="BDP8:BDV8"/>
    <mergeCell ref="BDW8:BEC8"/>
    <mergeCell ref="BED8:BEJ8"/>
    <mergeCell ref="BAV9:BBZ9"/>
    <mergeCell ref="BCA9:BCD9"/>
    <mergeCell ref="BCE9:BCI9"/>
    <mergeCell ref="BCJ9:BCO9"/>
    <mergeCell ref="BCP9:BCU9"/>
    <mergeCell ref="BED11:BEJ11"/>
    <mergeCell ref="BED9:BEJ9"/>
    <mergeCell ref="BCP11:BCU11"/>
    <mergeCell ref="BCV11:BDA11"/>
    <mergeCell ref="BDB11:BDH11"/>
    <mergeCell ref="BDI11:BDO11"/>
    <mergeCell ref="BDP11:BDV11"/>
    <mergeCell ref="BDW11:BEC11"/>
    <mergeCell ref="BCV9:BDA9"/>
    <mergeCell ref="BDB9:BDH9"/>
    <mergeCell ref="BAV7:BEJ7"/>
    <mergeCell ref="BAV8:BBZ8"/>
    <mergeCell ref="BCA8:BCD8"/>
    <mergeCell ref="BCE8:BCI8"/>
    <mergeCell ref="BCJ8:BCO8"/>
    <mergeCell ref="BCP8:BCU8"/>
    <mergeCell ref="BDP5:BDV5"/>
    <mergeCell ref="BDW5:BEC5"/>
    <mergeCell ref="BED5:BEJ5"/>
    <mergeCell ref="BDW4:BEC4"/>
    <mergeCell ref="BED4:BEJ4"/>
    <mergeCell ref="BAV5:BBZ5"/>
    <mergeCell ref="BCA5:BCD5"/>
    <mergeCell ref="BCE5:BCI5"/>
    <mergeCell ref="BCJ5:BCO5"/>
    <mergeCell ref="BCP5:BCU5"/>
    <mergeCell ref="BCV5:BDA5"/>
    <mergeCell ref="BDB5:BDH5"/>
    <mergeCell ref="BDI5:BDO5"/>
    <mergeCell ref="BCJ4:BCO4"/>
    <mergeCell ref="BCP4:BCU4"/>
    <mergeCell ref="BCV4:BDA4"/>
    <mergeCell ref="BDB4:BDH4"/>
    <mergeCell ref="BDI4:BDO4"/>
    <mergeCell ref="BDP4:BDV4"/>
    <mergeCell ref="BAV2:BEJ2"/>
    <mergeCell ref="BAV3:BEJ3"/>
    <mergeCell ref="BAV4:BBZ4"/>
    <mergeCell ref="BCA4:BCD4"/>
    <mergeCell ref="BCE4:BCI4"/>
    <mergeCell ref="AZF34:AZK34"/>
    <mergeCell ref="AZL34:AZR34"/>
    <mergeCell ref="AZS34:AZY34"/>
    <mergeCell ref="AZZ34:BAF34"/>
    <mergeCell ref="BAG34:BAM34"/>
    <mergeCell ref="BAN34:BAT34"/>
    <mergeCell ref="AZL33:AZR33"/>
    <mergeCell ref="AZS33:AZY33"/>
    <mergeCell ref="AZZ33:BAF33"/>
    <mergeCell ref="BAG33:BAM33"/>
    <mergeCell ref="BAN33:BAT33"/>
    <mergeCell ref="AXF34:AYJ34"/>
    <mergeCell ref="AYK34:AYN34"/>
    <mergeCell ref="AYO34:AYS34"/>
    <mergeCell ref="AYT34:AYY34"/>
    <mergeCell ref="AYZ34:AZE34"/>
    <mergeCell ref="AXF33:AYJ33"/>
    <mergeCell ref="AYK33:AYN33"/>
    <mergeCell ref="AYO33:AYS33"/>
    <mergeCell ref="AYT33:AYY33"/>
    <mergeCell ref="AYZ33:AZE33"/>
    <mergeCell ref="AZF33:AZK33"/>
    <mergeCell ref="AZF32:AZK32"/>
    <mergeCell ref="AZL32:AZR32"/>
    <mergeCell ref="AZS32:AZY32"/>
    <mergeCell ref="AZZ32:BAF32"/>
    <mergeCell ref="BAG32:BAM32"/>
    <mergeCell ref="BAN32:BAT32"/>
    <mergeCell ref="AZL31:AZR31"/>
    <mergeCell ref="AZS31:AZY31"/>
    <mergeCell ref="AZZ31:BAF31"/>
    <mergeCell ref="BAG31:BAM31"/>
    <mergeCell ref="BAN31:BAT31"/>
    <mergeCell ref="AXF32:AYJ32"/>
    <mergeCell ref="AYK32:AYN32"/>
    <mergeCell ref="AYO32:AYS32"/>
    <mergeCell ref="AYT32:AYY32"/>
    <mergeCell ref="AYZ32:AZE32"/>
    <mergeCell ref="AXF31:AYJ31"/>
    <mergeCell ref="AYK31:AYN31"/>
    <mergeCell ref="AYO31:AYS31"/>
    <mergeCell ref="AYT31:AYY31"/>
    <mergeCell ref="AYZ31:AZE31"/>
    <mergeCell ref="AZF31:AZK31"/>
    <mergeCell ref="AZL28:AZR28"/>
    <mergeCell ref="AZS28:AZY28"/>
    <mergeCell ref="AZZ28:BAF28"/>
    <mergeCell ref="BAG28:BAM28"/>
    <mergeCell ref="BAN28:BAT28"/>
    <mergeCell ref="AXF30:BAT30"/>
    <mergeCell ref="AXF28:AYJ28"/>
    <mergeCell ref="AYK28:AYN28"/>
    <mergeCell ref="AYO28:AYS28"/>
    <mergeCell ref="AYT28:AYY28"/>
    <mergeCell ref="AYZ28:AZE28"/>
    <mergeCell ref="AZF28:AZK28"/>
    <mergeCell ref="AZL27:AZR27"/>
    <mergeCell ref="AZS27:AZY27"/>
    <mergeCell ref="AZZ27:BAF27"/>
    <mergeCell ref="BAG27:BAM27"/>
    <mergeCell ref="BAN27:BAT27"/>
    <mergeCell ref="AXF26:BAT26"/>
    <mergeCell ref="AXF27:AYJ27"/>
    <mergeCell ref="AYK27:AYN27"/>
    <mergeCell ref="AYO27:AYS27"/>
    <mergeCell ref="AYT27:AYY27"/>
    <mergeCell ref="AYZ27:AZE27"/>
    <mergeCell ref="AZF27:AZK27"/>
    <mergeCell ref="AZS24:AZY24"/>
    <mergeCell ref="AZZ24:BAF24"/>
    <mergeCell ref="BAG24:BAM24"/>
    <mergeCell ref="BAN24:BAT24"/>
    <mergeCell ref="AZZ23:BAF23"/>
    <mergeCell ref="BAG23:BAM23"/>
    <mergeCell ref="BAN23:BAT23"/>
    <mergeCell ref="AXF24:AYJ24"/>
    <mergeCell ref="AYK24:AYN24"/>
    <mergeCell ref="AYO24:AYS24"/>
    <mergeCell ref="AYT24:AYY24"/>
    <mergeCell ref="AYZ24:AZE24"/>
    <mergeCell ref="AZF24:AZK24"/>
    <mergeCell ref="AZL24:AZR24"/>
    <mergeCell ref="BAG22:BAM22"/>
    <mergeCell ref="BAN22:BAT22"/>
    <mergeCell ref="AXF23:AYJ23"/>
    <mergeCell ref="AYK23:AYN23"/>
    <mergeCell ref="AYO23:AYS23"/>
    <mergeCell ref="AYT23:AYY23"/>
    <mergeCell ref="AYZ23:AZE23"/>
    <mergeCell ref="AZF23:AZK23"/>
    <mergeCell ref="AZL23:AZR23"/>
    <mergeCell ref="AZS23:AZY23"/>
    <mergeCell ref="AXF21:BAT21"/>
    <mergeCell ref="AXF22:AYJ22"/>
    <mergeCell ref="AYK22:AYN22"/>
    <mergeCell ref="AYO22:AYS22"/>
    <mergeCell ref="AYT22:AYY22"/>
    <mergeCell ref="AYZ22:AZE22"/>
    <mergeCell ref="AZF22:AZK22"/>
    <mergeCell ref="AZL22:AZR22"/>
    <mergeCell ref="AZS22:AZY22"/>
    <mergeCell ref="AZZ22:BAF22"/>
    <mergeCell ref="AZL19:AZR19"/>
    <mergeCell ref="AZS19:AZY19"/>
    <mergeCell ref="AZZ19:BAF19"/>
    <mergeCell ref="BAG19:BAM19"/>
    <mergeCell ref="BAN19:BAT19"/>
    <mergeCell ref="AXF19:AYJ19"/>
    <mergeCell ref="AYK19:AYN19"/>
    <mergeCell ref="AYO19:AYS19"/>
    <mergeCell ref="AYT19:AYY19"/>
    <mergeCell ref="AYZ19:AZE19"/>
    <mergeCell ref="AZF19:AZK19"/>
    <mergeCell ref="AZF18:AZK18"/>
    <mergeCell ref="AZL18:AZR18"/>
    <mergeCell ref="AZS18:AZY18"/>
    <mergeCell ref="AZZ18:BAF18"/>
    <mergeCell ref="BAG18:BAM18"/>
    <mergeCell ref="BAN18:BAT18"/>
    <mergeCell ref="AZL17:AZR17"/>
    <mergeCell ref="AZS17:AZY17"/>
    <mergeCell ref="AZZ17:BAF17"/>
    <mergeCell ref="BAG17:BAM17"/>
    <mergeCell ref="BAN17:BAT17"/>
    <mergeCell ref="AXF18:AYJ18"/>
    <mergeCell ref="AYK18:AYN18"/>
    <mergeCell ref="AYO18:AYS18"/>
    <mergeCell ref="AYT18:AYY18"/>
    <mergeCell ref="AYZ18:AZE18"/>
    <mergeCell ref="AXF17:AYJ17"/>
    <mergeCell ref="AYK17:AYN17"/>
    <mergeCell ref="AYO17:AYS17"/>
    <mergeCell ref="AYT17:AYY17"/>
    <mergeCell ref="AYZ17:AZE17"/>
    <mergeCell ref="AZF17:AZK17"/>
    <mergeCell ref="AZF16:AZK16"/>
    <mergeCell ref="AZL16:AZR16"/>
    <mergeCell ref="AZS16:AZY16"/>
    <mergeCell ref="AZZ16:BAF16"/>
    <mergeCell ref="BAG16:BAM16"/>
    <mergeCell ref="BAN16:BAT16"/>
    <mergeCell ref="AZL15:AZR15"/>
    <mergeCell ref="AZS15:AZY15"/>
    <mergeCell ref="AZZ15:BAF15"/>
    <mergeCell ref="BAG15:BAM15"/>
    <mergeCell ref="BAN15:BAT15"/>
    <mergeCell ref="AXF16:AYJ16"/>
    <mergeCell ref="AYK16:AYN16"/>
    <mergeCell ref="AYO16:AYS16"/>
    <mergeCell ref="AYT16:AYY16"/>
    <mergeCell ref="AYZ16:AZE16"/>
    <mergeCell ref="AXF15:AYJ15"/>
    <mergeCell ref="AYK15:AYN15"/>
    <mergeCell ref="AYO15:AYS15"/>
    <mergeCell ref="AYT15:AYY15"/>
    <mergeCell ref="AYZ15:AZE15"/>
    <mergeCell ref="AZF15:AZK15"/>
    <mergeCell ref="AXF14:BAT14"/>
    <mergeCell ref="AZF12:AZK12"/>
    <mergeCell ref="AZL12:AZR12"/>
    <mergeCell ref="AZS12:AZY12"/>
    <mergeCell ref="AZZ12:BAF12"/>
    <mergeCell ref="BAG12:BAM12"/>
    <mergeCell ref="BAN12:BAT12"/>
    <mergeCell ref="AZL11:AZR11"/>
    <mergeCell ref="AZS11:AZY11"/>
    <mergeCell ref="AZZ11:BAF11"/>
    <mergeCell ref="BAG11:BAM11"/>
    <mergeCell ref="BAN11:BAT11"/>
    <mergeCell ref="AXF12:AYJ12"/>
    <mergeCell ref="AYK12:AYN12"/>
    <mergeCell ref="AYO12:AYS12"/>
    <mergeCell ref="AYT12:AYY12"/>
    <mergeCell ref="AYZ12:AZE12"/>
    <mergeCell ref="AXF11:AYJ11"/>
    <mergeCell ref="AYK11:AYN11"/>
    <mergeCell ref="AYO11:AYS11"/>
    <mergeCell ref="AYT11:AYY11"/>
    <mergeCell ref="AYZ11:AZE11"/>
    <mergeCell ref="AZF11:AZK11"/>
    <mergeCell ref="AZF8:AZK8"/>
    <mergeCell ref="AZL8:AZR8"/>
    <mergeCell ref="AZS8:AZY8"/>
    <mergeCell ref="AZZ8:BAF8"/>
    <mergeCell ref="BAG8:BAM8"/>
    <mergeCell ref="BAN8:BAT8"/>
    <mergeCell ref="AZL7:AZR7"/>
    <mergeCell ref="AZS7:AZY7"/>
    <mergeCell ref="AZZ7:BAF7"/>
    <mergeCell ref="BAG7:BAM7"/>
    <mergeCell ref="BAN7:BAT7"/>
    <mergeCell ref="AXF8:AYJ8"/>
    <mergeCell ref="AYK8:AYN8"/>
    <mergeCell ref="AYO8:AYS8"/>
    <mergeCell ref="AYT8:AYY8"/>
    <mergeCell ref="AYZ8:AZE8"/>
    <mergeCell ref="AZS6:AZY6"/>
    <mergeCell ref="AZZ6:BAF6"/>
    <mergeCell ref="BAG6:BAM6"/>
    <mergeCell ref="BAN6:BAT6"/>
    <mergeCell ref="AXF7:AYJ7"/>
    <mergeCell ref="AYK7:AYN7"/>
    <mergeCell ref="AYO7:AYS7"/>
    <mergeCell ref="AYT7:AYY7"/>
    <mergeCell ref="AYZ7:AZE7"/>
    <mergeCell ref="AZF7:AZK7"/>
    <mergeCell ref="AZZ5:BAF5"/>
    <mergeCell ref="BAG5:BAM5"/>
    <mergeCell ref="BAN5:BAT5"/>
    <mergeCell ref="AXF6:AYJ6"/>
    <mergeCell ref="AYK6:AYN6"/>
    <mergeCell ref="AYO6:AYS6"/>
    <mergeCell ref="AYT6:AYY6"/>
    <mergeCell ref="AYZ6:AZE6"/>
    <mergeCell ref="AZF6:AZK6"/>
    <mergeCell ref="AZL6:AZR6"/>
    <mergeCell ref="BAG4:BAM4"/>
    <mergeCell ref="BAN4:BAT4"/>
    <mergeCell ref="AXF5:AYJ5"/>
    <mergeCell ref="AYK5:AYN5"/>
    <mergeCell ref="AYO5:AYS5"/>
    <mergeCell ref="AYT5:AYY5"/>
    <mergeCell ref="AYZ5:AZE5"/>
    <mergeCell ref="AZF5:AZK5"/>
    <mergeCell ref="AZL5:AZR5"/>
    <mergeCell ref="AZS5:AZY5"/>
    <mergeCell ref="AYT4:AYY4"/>
    <mergeCell ref="AYZ4:AZE4"/>
    <mergeCell ref="AZF4:AZK4"/>
    <mergeCell ref="AZL4:AZR4"/>
    <mergeCell ref="AZS4:AZY4"/>
    <mergeCell ref="AZZ4:BAF4"/>
    <mergeCell ref="AXF2:BAT2"/>
    <mergeCell ref="AXF3:BAT3"/>
    <mergeCell ref="AXF4:AYJ4"/>
    <mergeCell ref="AYK4:AYN4"/>
    <mergeCell ref="AYO4:AYS4"/>
    <mergeCell ref="ASF50:ASL50"/>
    <mergeCell ref="ASM50:ASS50"/>
    <mergeCell ref="AST50:ASZ50"/>
    <mergeCell ref="ATA50:ATG50"/>
    <mergeCell ref="ATH50:ATN50"/>
    <mergeCell ref="APZ50:ARD50"/>
    <mergeCell ref="ARE50:ARH50"/>
    <mergeCell ref="ARI50:ARM50"/>
    <mergeCell ref="ARN50:ARS50"/>
    <mergeCell ref="ART50:ARY50"/>
    <mergeCell ref="ARZ50:ASE50"/>
    <mergeCell ref="ARZ49:ASE49"/>
    <mergeCell ref="ASF49:ASL49"/>
    <mergeCell ref="ASM49:ASS49"/>
    <mergeCell ref="AST49:ASZ49"/>
    <mergeCell ref="ATA49:ATG49"/>
    <mergeCell ref="ATH49:ATN49"/>
    <mergeCell ref="ASF48:ASL48"/>
    <mergeCell ref="ASM48:ASS48"/>
    <mergeCell ref="AST48:ASZ48"/>
    <mergeCell ref="ATA48:ATG48"/>
    <mergeCell ref="ATH48:ATN48"/>
    <mergeCell ref="APZ49:ARD49"/>
    <mergeCell ref="ARE49:ARH49"/>
    <mergeCell ref="ARI49:ARM49"/>
    <mergeCell ref="ARN49:ARS49"/>
    <mergeCell ref="ART49:ARY49"/>
    <mergeCell ref="APZ48:ARD48"/>
    <mergeCell ref="ARE48:ARH48"/>
    <mergeCell ref="ARI48:ARM48"/>
    <mergeCell ref="ARN48:ARS48"/>
    <mergeCell ref="ART48:ARY48"/>
    <mergeCell ref="ARZ48:ASE48"/>
    <mergeCell ref="ARZ47:ASE47"/>
    <mergeCell ref="ASF47:ASL47"/>
    <mergeCell ref="ASM47:ASS47"/>
    <mergeCell ref="AST47:ASZ47"/>
    <mergeCell ref="ATA47:ATG47"/>
    <mergeCell ref="ATH47:ATN47"/>
    <mergeCell ref="ASF46:ASL46"/>
    <mergeCell ref="ASM46:ASS46"/>
    <mergeCell ref="AST46:ASZ46"/>
    <mergeCell ref="ATA46:ATG46"/>
    <mergeCell ref="ATH46:ATN46"/>
    <mergeCell ref="APZ47:ARD47"/>
    <mergeCell ref="ARE47:ARH47"/>
    <mergeCell ref="ARI47:ARM47"/>
    <mergeCell ref="ARN47:ARS47"/>
    <mergeCell ref="ART47:ARY47"/>
    <mergeCell ref="APZ46:ARD46"/>
    <mergeCell ref="ARE46:ARH46"/>
    <mergeCell ref="ARI46:ARM46"/>
    <mergeCell ref="ARN46:ARS46"/>
    <mergeCell ref="ART46:ARY46"/>
    <mergeCell ref="ARZ46:ASE46"/>
    <mergeCell ref="ARZ45:ASE45"/>
    <mergeCell ref="ASF45:ASL45"/>
    <mergeCell ref="ASM45:ASS45"/>
    <mergeCell ref="AST45:ASZ45"/>
    <mergeCell ref="ATA45:ATG45"/>
    <mergeCell ref="ATH45:ATN45"/>
    <mergeCell ref="ASF44:ASL44"/>
    <mergeCell ref="ASM44:ASS44"/>
    <mergeCell ref="AST44:ASZ44"/>
    <mergeCell ref="ATA44:ATG44"/>
    <mergeCell ref="ATH44:ATN44"/>
    <mergeCell ref="APZ45:ARD45"/>
    <mergeCell ref="ARE45:ARH45"/>
    <mergeCell ref="ARI45:ARM45"/>
    <mergeCell ref="ARN45:ARS45"/>
    <mergeCell ref="ART45:ARY45"/>
    <mergeCell ref="APZ44:ARD44"/>
    <mergeCell ref="ARE44:ARH44"/>
    <mergeCell ref="ARI44:ARM44"/>
    <mergeCell ref="ARN44:ARS44"/>
    <mergeCell ref="ART44:ARY44"/>
    <mergeCell ref="ARZ44:ASE44"/>
    <mergeCell ref="ARN43:ARS43"/>
    <mergeCell ref="ART43:ARY43"/>
    <mergeCell ref="ARZ43:ASE43"/>
    <mergeCell ref="ASF41:ASL41"/>
    <mergeCell ref="ASM41:ASS41"/>
    <mergeCell ref="AST41:ASZ41"/>
    <mergeCell ref="ATA41:ATG41"/>
    <mergeCell ref="ATH41:ATN41"/>
    <mergeCell ref="APZ42:ARD42"/>
    <mergeCell ref="ARE42:ARH42"/>
    <mergeCell ref="ARI42:ARM42"/>
    <mergeCell ref="ARN42:ARS42"/>
    <mergeCell ref="ART42:ARY42"/>
    <mergeCell ref="APZ41:ARD41"/>
    <mergeCell ref="ARE41:ARH41"/>
    <mergeCell ref="ARI41:ARM41"/>
    <mergeCell ref="ARN41:ARS41"/>
    <mergeCell ref="ART41:ARY41"/>
    <mergeCell ref="ARZ41:ASE41"/>
    <mergeCell ref="ATH43:ATN43"/>
    <mergeCell ref="APZ40:ARD40"/>
    <mergeCell ref="ARE40:ARH40"/>
    <mergeCell ref="ARI40:ARM40"/>
    <mergeCell ref="ARN40:ARS40"/>
    <mergeCell ref="ART40:ARY40"/>
    <mergeCell ref="APZ39:ARD39"/>
    <mergeCell ref="ARE39:ARH39"/>
    <mergeCell ref="ARI39:ARM39"/>
    <mergeCell ref="ARN39:ARS39"/>
    <mergeCell ref="ART39:ARY39"/>
    <mergeCell ref="ARZ39:ASE39"/>
    <mergeCell ref="ARZ42:ASE42"/>
    <mergeCell ref="ASF42:ASL42"/>
    <mergeCell ref="ASM42:ASS42"/>
    <mergeCell ref="AST42:ASZ42"/>
    <mergeCell ref="ATA42:ATG42"/>
    <mergeCell ref="ATH42:ATN42"/>
    <mergeCell ref="ATH36:ATN36"/>
    <mergeCell ref="ASF36:ASL36"/>
    <mergeCell ref="ASM36:ASS36"/>
    <mergeCell ref="AST36:ASZ36"/>
    <mergeCell ref="ATA36:ATG36"/>
    <mergeCell ref="ARE37:ARH37"/>
    <mergeCell ref="ARI37:ARM37"/>
    <mergeCell ref="ARN37:ARS37"/>
    <mergeCell ref="ARZ38:ASE38"/>
    <mergeCell ref="ASF38:ASL38"/>
    <mergeCell ref="ASF34:ASL34"/>
    <mergeCell ref="ASM34:ASS34"/>
    <mergeCell ref="AST34:ASZ34"/>
    <mergeCell ref="ATA34:ATG34"/>
    <mergeCell ref="ATH34:ATN34"/>
    <mergeCell ref="ARZ40:ASE40"/>
    <mergeCell ref="ASF40:ASL40"/>
    <mergeCell ref="ASM40:ASS40"/>
    <mergeCell ref="AST40:ASZ40"/>
    <mergeCell ref="ATA40:ATG40"/>
    <mergeCell ref="ATH40:ATN40"/>
    <mergeCell ref="ASF39:ASL39"/>
    <mergeCell ref="ASM39:ASS39"/>
    <mergeCell ref="AST39:ASZ39"/>
    <mergeCell ref="ATA39:ATG39"/>
    <mergeCell ref="ATH39:ATN39"/>
    <mergeCell ref="ASM38:ASS38"/>
    <mergeCell ref="AST38:ASZ38"/>
    <mergeCell ref="ATA38:ATG38"/>
    <mergeCell ref="ART37:ARY37"/>
    <mergeCell ref="ARZ37:ASE37"/>
    <mergeCell ref="APZ35:ARD35"/>
    <mergeCell ref="ARE35:ARH35"/>
    <mergeCell ref="ARI35:ARM35"/>
    <mergeCell ref="ARN35:ARS35"/>
    <mergeCell ref="ART35:ARY35"/>
    <mergeCell ref="APZ34:ARD34"/>
    <mergeCell ref="ARE34:ARH34"/>
    <mergeCell ref="ARI34:ARM34"/>
    <mergeCell ref="ARN34:ARS34"/>
    <mergeCell ref="ART34:ARY34"/>
    <mergeCell ref="ARZ34:ASE34"/>
    <mergeCell ref="ARZ33:ASE33"/>
    <mergeCell ref="ASF33:ASL33"/>
    <mergeCell ref="ASM33:ASS33"/>
    <mergeCell ref="AST33:ASZ33"/>
    <mergeCell ref="ATA33:ATG33"/>
    <mergeCell ref="ATH33:ATN33"/>
    <mergeCell ref="ARZ35:ASE35"/>
    <mergeCell ref="ASF35:ASL35"/>
    <mergeCell ref="ASM35:ASS35"/>
    <mergeCell ref="AST35:ASZ35"/>
    <mergeCell ref="ATA35:ATG35"/>
    <mergeCell ref="ATH35:ATN35"/>
    <mergeCell ref="ASF32:ASL32"/>
    <mergeCell ref="ASM32:ASS32"/>
    <mergeCell ref="AST32:ASZ32"/>
    <mergeCell ref="ATA32:ATG32"/>
    <mergeCell ref="ATH32:ATN32"/>
    <mergeCell ref="APZ33:ARD33"/>
    <mergeCell ref="ARE33:ARH33"/>
    <mergeCell ref="ARI33:ARM33"/>
    <mergeCell ref="ARN33:ARS33"/>
    <mergeCell ref="ART33:ARY33"/>
    <mergeCell ref="APZ32:ARD32"/>
    <mergeCell ref="ARE32:ARH32"/>
    <mergeCell ref="ARI32:ARM32"/>
    <mergeCell ref="ARN32:ARS32"/>
    <mergeCell ref="ART32:ARY32"/>
    <mergeCell ref="ARZ32:ASE32"/>
    <mergeCell ref="ARZ31:ASE31"/>
    <mergeCell ref="ASF31:ASL31"/>
    <mergeCell ref="ASM31:ASS31"/>
    <mergeCell ref="AST31:ASZ31"/>
    <mergeCell ref="ATA31:ATG31"/>
    <mergeCell ref="ATH31:ATN31"/>
    <mergeCell ref="ASF30:ASL30"/>
    <mergeCell ref="ASM30:ASS30"/>
    <mergeCell ref="AST30:ASZ30"/>
    <mergeCell ref="ATA30:ATG30"/>
    <mergeCell ref="ATH30:ATN30"/>
    <mergeCell ref="APZ31:ARD31"/>
    <mergeCell ref="ARE31:ARH31"/>
    <mergeCell ref="ARI31:ARM31"/>
    <mergeCell ref="ARN31:ARS31"/>
    <mergeCell ref="ART31:ARY31"/>
    <mergeCell ref="APZ30:ARD30"/>
    <mergeCell ref="ARE30:ARH30"/>
    <mergeCell ref="ARI30:ARM30"/>
    <mergeCell ref="ARN30:ARS30"/>
    <mergeCell ref="ART30:ARY30"/>
    <mergeCell ref="ARZ30:ASE30"/>
    <mergeCell ref="ARZ29:ASE29"/>
    <mergeCell ref="ASF29:ASL29"/>
    <mergeCell ref="ASM29:ASS29"/>
    <mergeCell ref="AST29:ASZ29"/>
    <mergeCell ref="ATA29:ATG29"/>
    <mergeCell ref="ATH29:ATN29"/>
    <mergeCell ref="ASF28:ASL28"/>
    <mergeCell ref="ASM28:ASS28"/>
    <mergeCell ref="AST28:ASZ28"/>
    <mergeCell ref="ATA28:ATG28"/>
    <mergeCell ref="ATH28:ATN28"/>
    <mergeCell ref="APZ29:ARD29"/>
    <mergeCell ref="ARE29:ARH29"/>
    <mergeCell ref="ARI29:ARM29"/>
    <mergeCell ref="ARN29:ARS29"/>
    <mergeCell ref="ART29:ARY29"/>
    <mergeCell ref="APZ28:ARD28"/>
    <mergeCell ref="ARE28:ARH28"/>
    <mergeCell ref="ARI28:ARM28"/>
    <mergeCell ref="ARN28:ARS28"/>
    <mergeCell ref="ART28:ARY28"/>
    <mergeCell ref="ARZ28:ASE28"/>
    <mergeCell ref="ARZ27:ASE27"/>
    <mergeCell ref="ASF27:ASL27"/>
    <mergeCell ref="ASM27:ASS27"/>
    <mergeCell ref="AST27:ASZ27"/>
    <mergeCell ref="ATA27:ATG27"/>
    <mergeCell ref="ATH27:ATN27"/>
    <mergeCell ref="ASF26:ASL26"/>
    <mergeCell ref="ASM26:ASS26"/>
    <mergeCell ref="AST26:ASZ26"/>
    <mergeCell ref="ATA26:ATG26"/>
    <mergeCell ref="ATH26:ATN26"/>
    <mergeCell ref="APZ27:ARD27"/>
    <mergeCell ref="ARE27:ARH27"/>
    <mergeCell ref="ARI27:ARM27"/>
    <mergeCell ref="ARN27:ARS27"/>
    <mergeCell ref="ART27:ARY27"/>
    <mergeCell ref="APZ26:ARD26"/>
    <mergeCell ref="ARE26:ARH26"/>
    <mergeCell ref="ARI26:ARM26"/>
    <mergeCell ref="ARN26:ARS26"/>
    <mergeCell ref="ART26:ARY26"/>
    <mergeCell ref="ARZ26:ASE26"/>
    <mergeCell ref="ARZ25:ASE25"/>
    <mergeCell ref="ASF25:ASL25"/>
    <mergeCell ref="ASM25:ASS25"/>
    <mergeCell ref="AST25:ASZ25"/>
    <mergeCell ref="ATA25:ATG25"/>
    <mergeCell ref="ATH25:ATN25"/>
    <mergeCell ref="APZ25:ARD25"/>
    <mergeCell ref="ARE25:ARH25"/>
    <mergeCell ref="ARI25:ARM25"/>
    <mergeCell ref="ARN25:ARS25"/>
    <mergeCell ref="ART25:ARY25"/>
    <mergeCell ref="ATH24:ATN24"/>
    <mergeCell ref="APZ19:ARD19"/>
    <mergeCell ref="ARE19:ARH19"/>
    <mergeCell ref="ARI19:ARM19"/>
    <mergeCell ref="ARN19:ARS19"/>
    <mergeCell ref="ART19:ARY19"/>
    <mergeCell ref="ASF20:ASL20"/>
    <mergeCell ref="ASM20:ASS20"/>
    <mergeCell ref="AST20:ASZ20"/>
    <mergeCell ref="ATA20:ATG20"/>
    <mergeCell ref="ARZ21:ASE21"/>
    <mergeCell ref="ASF21:ASL21"/>
    <mergeCell ref="ASM21:ASS21"/>
    <mergeCell ref="AST21:ASZ21"/>
    <mergeCell ref="ATA21:ATG21"/>
    <mergeCell ref="ATH21:ATN21"/>
    <mergeCell ref="ART22:ARY22"/>
    <mergeCell ref="ARZ22:ASE22"/>
    <mergeCell ref="ASF22:ASL22"/>
    <mergeCell ref="ASM22:ASS22"/>
    <mergeCell ref="AST22:ASZ22"/>
    <mergeCell ref="ATA22:ATG22"/>
    <mergeCell ref="ATH22:ATN22"/>
    <mergeCell ref="APZ22:ARD22"/>
    <mergeCell ref="ARE22:ARH22"/>
    <mergeCell ref="ARI22:ARM22"/>
    <mergeCell ref="ARN22:ARS22"/>
    <mergeCell ref="APZ21:ARD21"/>
    <mergeCell ref="ARE21:ARH21"/>
    <mergeCell ref="ARI21:ARM21"/>
    <mergeCell ref="ARN21:ARS21"/>
    <mergeCell ref="ART21:ARY21"/>
    <mergeCell ref="ARN17:ARS17"/>
    <mergeCell ref="ART17:ARY17"/>
    <mergeCell ref="APZ16:ARD16"/>
    <mergeCell ref="ARE16:ARH16"/>
    <mergeCell ref="ARI16:ARM16"/>
    <mergeCell ref="ARN16:ARS16"/>
    <mergeCell ref="ART16:ARY16"/>
    <mergeCell ref="ARZ16:ASE16"/>
    <mergeCell ref="ARZ15:ASE15"/>
    <mergeCell ref="ASF15:ASL15"/>
    <mergeCell ref="ASM15:ASS15"/>
    <mergeCell ref="AST15:ASZ15"/>
    <mergeCell ref="ATA15:ATG15"/>
    <mergeCell ref="ATH15:ATN15"/>
    <mergeCell ref="ASF14:ASL14"/>
    <mergeCell ref="ASM14:ASS14"/>
    <mergeCell ref="AST14:ASZ14"/>
    <mergeCell ref="ATA14:ATG14"/>
    <mergeCell ref="ATH14:ATN14"/>
    <mergeCell ref="APZ15:ARD15"/>
    <mergeCell ref="ARE15:ARH15"/>
    <mergeCell ref="ARI15:ARM15"/>
    <mergeCell ref="ARN15:ARS15"/>
    <mergeCell ref="ART15:ARY15"/>
    <mergeCell ref="APZ14:ARD14"/>
    <mergeCell ref="ARE14:ARH14"/>
    <mergeCell ref="ARI14:ARM14"/>
    <mergeCell ref="ARN14:ARS14"/>
    <mergeCell ref="ART14:ARY14"/>
    <mergeCell ref="ARZ14:ASE14"/>
    <mergeCell ref="ARI7:ARM7"/>
    <mergeCell ref="ARN7:ARS7"/>
    <mergeCell ref="ART7:ARY7"/>
    <mergeCell ref="ASM5:ASS5"/>
    <mergeCell ref="AST5:ASZ5"/>
    <mergeCell ref="ATA5:ATG5"/>
    <mergeCell ref="ATH5:ATN5"/>
    <mergeCell ref="APZ6:ARD6"/>
    <mergeCell ref="ARE6:ARH6"/>
    <mergeCell ref="ARI6:ARM6"/>
    <mergeCell ref="ARN6:ARS6"/>
    <mergeCell ref="ART6:ARY6"/>
    <mergeCell ref="ARZ6:ASE6"/>
    <mergeCell ref="AST4:ASZ4"/>
    <mergeCell ref="ATA4:ATG4"/>
    <mergeCell ref="ATH4:ATN4"/>
    <mergeCell ref="APZ5:ARD5"/>
    <mergeCell ref="ARE5:ARH5"/>
    <mergeCell ref="ARI5:ARM5"/>
    <mergeCell ref="ARN5:ARS5"/>
    <mergeCell ref="ART5:ARY5"/>
    <mergeCell ref="ARZ5:ASE5"/>
    <mergeCell ref="ASF5:ASL5"/>
    <mergeCell ref="ATA6:ATG6"/>
    <mergeCell ref="ATH6:ATN6"/>
    <mergeCell ref="APZ7:ARD7"/>
    <mergeCell ref="ARE7:ARH7"/>
    <mergeCell ref="APZ2:ATN2"/>
    <mergeCell ref="APZ3:ATN3"/>
    <mergeCell ref="APZ4:ARD4"/>
    <mergeCell ref="ARE4:ARH4"/>
    <mergeCell ref="ARI4:ARM4"/>
    <mergeCell ref="ARN4:ARS4"/>
    <mergeCell ref="ART4:ARY4"/>
    <mergeCell ref="ARZ4:ASE4"/>
    <mergeCell ref="ASF4:ASL4"/>
    <mergeCell ref="ASM4:ASS4"/>
    <mergeCell ref="AOJ11:AOO11"/>
    <mergeCell ref="AOP11:AOV11"/>
    <mergeCell ref="AOW11:APC11"/>
    <mergeCell ref="APD11:APJ11"/>
    <mergeCell ref="APK11:APQ11"/>
    <mergeCell ref="APR11:APX11"/>
    <mergeCell ref="AOP10:AOV10"/>
    <mergeCell ref="AOW10:APC10"/>
    <mergeCell ref="APD10:APJ10"/>
    <mergeCell ref="APK10:APQ10"/>
    <mergeCell ref="APR10:APX10"/>
    <mergeCell ref="AOP8:AOV8"/>
    <mergeCell ref="AOW8:APC8"/>
    <mergeCell ref="APD8:APJ8"/>
    <mergeCell ref="APK8:APQ8"/>
    <mergeCell ref="APR8:APX8"/>
    <mergeCell ref="AOW5:APC5"/>
    <mergeCell ref="APD5:APJ5"/>
    <mergeCell ref="APK5:APQ5"/>
    <mergeCell ref="APR5:APX5"/>
    <mergeCell ref="APD4:APJ4"/>
    <mergeCell ref="APK4:APQ4"/>
    <mergeCell ref="AMJ11:ANN11"/>
    <mergeCell ref="ANO11:ANR11"/>
    <mergeCell ref="ANS11:ANW11"/>
    <mergeCell ref="ANX11:AOC11"/>
    <mergeCell ref="AOD11:AOI11"/>
    <mergeCell ref="AMJ10:ANN10"/>
    <mergeCell ref="ANO10:ANR10"/>
    <mergeCell ref="ANS10:ANW10"/>
    <mergeCell ref="ANX10:AOC10"/>
    <mergeCell ref="AOD10:AOI10"/>
    <mergeCell ref="AOJ10:AOO10"/>
    <mergeCell ref="AOJ9:AOO9"/>
    <mergeCell ref="AOP9:AOV9"/>
    <mergeCell ref="AOW9:APC9"/>
    <mergeCell ref="APD9:APJ9"/>
    <mergeCell ref="APK9:APQ9"/>
    <mergeCell ref="APR9:APX9"/>
    <mergeCell ref="AMJ9:ANN9"/>
    <mergeCell ref="ANO9:ANR9"/>
    <mergeCell ref="ANS9:ANW9"/>
    <mergeCell ref="ANX9:AOC9"/>
    <mergeCell ref="AOD9:AOI9"/>
    <mergeCell ref="AMJ8:ANN8"/>
    <mergeCell ref="ANO8:ANR8"/>
    <mergeCell ref="ANS8:ANW8"/>
    <mergeCell ref="ANX8:AOC8"/>
    <mergeCell ref="AOD8:AOI8"/>
    <mergeCell ref="AOJ8:AOO8"/>
    <mergeCell ref="AOJ7:AOO7"/>
    <mergeCell ref="AOP7:AOV7"/>
    <mergeCell ref="AOW7:APC7"/>
    <mergeCell ref="APD7:APJ7"/>
    <mergeCell ref="APK7:APQ7"/>
    <mergeCell ref="APR7:APX7"/>
    <mergeCell ref="AOP6:AOV6"/>
    <mergeCell ref="AOW6:APC6"/>
    <mergeCell ref="APD6:APJ6"/>
    <mergeCell ref="APK6:APQ6"/>
    <mergeCell ref="APR6:APX6"/>
    <mergeCell ref="AMJ7:ANN7"/>
    <mergeCell ref="ANO7:ANR7"/>
    <mergeCell ref="ANS7:ANW7"/>
    <mergeCell ref="ANX7:AOC7"/>
    <mergeCell ref="AOD7:AOI7"/>
    <mergeCell ref="AMJ6:ANN6"/>
    <mergeCell ref="ANO6:ANR6"/>
    <mergeCell ref="ANS6:ANW6"/>
    <mergeCell ref="ANX6:AOC6"/>
    <mergeCell ref="AOD6:AOI6"/>
    <mergeCell ref="AOJ6:AOO6"/>
    <mergeCell ref="APR4:APX4"/>
    <mergeCell ref="AMJ5:ANN5"/>
    <mergeCell ref="ANO5:ANR5"/>
    <mergeCell ref="ANS5:ANW5"/>
    <mergeCell ref="ANX5:AOC5"/>
    <mergeCell ref="AOD5:AOI5"/>
    <mergeCell ref="AOJ5:AOO5"/>
    <mergeCell ref="AOP5:AOV5"/>
    <mergeCell ref="AMJ2:APX2"/>
    <mergeCell ref="AMJ3:APX3"/>
    <mergeCell ref="AMJ4:ANN4"/>
    <mergeCell ref="ANO4:ANR4"/>
    <mergeCell ref="ANS4:ANW4"/>
    <mergeCell ref="ANX4:AOC4"/>
    <mergeCell ref="AOD4:AOI4"/>
    <mergeCell ref="AOJ4:AOO4"/>
    <mergeCell ref="AOP4:AOV4"/>
    <mergeCell ref="AOW4:APC4"/>
    <mergeCell ref="AKT44:AKY44"/>
    <mergeCell ref="AKZ44:ALF44"/>
    <mergeCell ref="ALG44:ALM44"/>
    <mergeCell ref="ALN44:ALT44"/>
    <mergeCell ref="ALU44:AMA44"/>
    <mergeCell ref="AMB44:AMH44"/>
    <mergeCell ref="AKZ43:ALF43"/>
    <mergeCell ref="ALG43:ALM43"/>
    <mergeCell ref="ALN43:ALT43"/>
    <mergeCell ref="ALU43:AMA43"/>
    <mergeCell ref="AMB43:AMH43"/>
    <mergeCell ref="AIT44:AJX44"/>
    <mergeCell ref="AJY44:AKB44"/>
    <mergeCell ref="AKC44:AKG44"/>
    <mergeCell ref="AKH44:AKM44"/>
    <mergeCell ref="AKN44:AKS44"/>
    <mergeCell ref="ALG42:ALM42"/>
    <mergeCell ref="ALN42:ALT42"/>
    <mergeCell ref="ALU42:AMA42"/>
    <mergeCell ref="AMB42:AMH42"/>
    <mergeCell ref="AIT43:AJX43"/>
    <mergeCell ref="AJY43:AKB43"/>
    <mergeCell ref="AKC43:AKG43"/>
    <mergeCell ref="AKH43:AKM43"/>
    <mergeCell ref="AKN43:AKS43"/>
    <mergeCell ref="AKT43:AKY43"/>
    <mergeCell ref="ALN41:ALT41"/>
    <mergeCell ref="ALU41:AMA41"/>
    <mergeCell ref="AMB41:AMH41"/>
    <mergeCell ref="AIT42:AJX42"/>
    <mergeCell ref="AJY42:AKB42"/>
    <mergeCell ref="AKC42:AKG42"/>
    <mergeCell ref="AKH42:AKM42"/>
    <mergeCell ref="AKN42:AKS42"/>
    <mergeCell ref="AKT42:AKY42"/>
    <mergeCell ref="AKZ42:ALF42"/>
    <mergeCell ref="ALU40:AMA40"/>
    <mergeCell ref="AMB40:AMH40"/>
    <mergeCell ref="AIT41:AJX41"/>
    <mergeCell ref="AJY41:AKB41"/>
    <mergeCell ref="AKC41:AKG41"/>
    <mergeCell ref="AKH41:AKM41"/>
    <mergeCell ref="AKN41:AKS41"/>
    <mergeCell ref="AKT41:AKY41"/>
    <mergeCell ref="AKZ41:ALF41"/>
    <mergeCell ref="ALG41:ALM41"/>
    <mergeCell ref="AIT39:AMH39"/>
    <mergeCell ref="AIT40:AJX40"/>
    <mergeCell ref="AJY40:AKB40"/>
    <mergeCell ref="AKC40:AKG40"/>
    <mergeCell ref="AKH40:AKM40"/>
    <mergeCell ref="AKN40:AKS40"/>
    <mergeCell ref="AKT40:AKY40"/>
    <mergeCell ref="AKZ40:ALF40"/>
    <mergeCell ref="ALG40:ALM40"/>
    <mergeCell ref="ALN40:ALT40"/>
    <mergeCell ref="AIT17:AMH17"/>
    <mergeCell ref="AIT21:AMH21"/>
    <mergeCell ref="AIT33:AMH33"/>
    <mergeCell ref="AKT37:AKY37"/>
    <mergeCell ref="AKZ37:ALF37"/>
    <mergeCell ref="ALG37:ALM37"/>
    <mergeCell ref="ALN37:ALT37"/>
    <mergeCell ref="ALU37:AMA37"/>
    <mergeCell ref="AMB37:AMH37"/>
    <mergeCell ref="AKZ36:ALF36"/>
    <mergeCell ref="ALG36:ALM36"/>
    <mergeCell ref="ALN36:ALT36"/>
    <mergeCell ref="ALU36:AMA36"/>
    <mergeCell ref="AMB36:AMH36"/>
    <mergeCell ref="AIT37:AJX37"/>
    <mergeCell ref="AJY37:AKB37"/>
    <mergeCell ref="AKC37:AKG37"/>
    <mergeCell ref="AKH37:AKM37"/>
    <mergeCell ref="AKN37:AKS37"/>
    <mergeCell ref="AIT36:AJX36"/>
    <mergeCell ref="AJY36:AKB36"/>
    <mergeCell ref="AKC36:AKG36"/>
    <mergeCell ref="AKH36:AKM36"/>
    <mergeCell ref="AKN36:AKS36"/>
    <mergeCell ref="AKT36:AKY36"/>
    <mergeCell ref="AKT35:AKY35"/>
    <mergeCell ref="AKZ35:ALF35"/>
    <mergeCell ref="ALG35:ALM35"/>
    <mergeCell ref="ALN35:ALT35"/>
    <mergeCell ref="ALU35:AMA35"/>
    <mergeCell ref="AMB35:AMH35"/>
    <mergeCell ref="AKZ34:ALF34"/>
    <mergeCell ref="ALG34:ALM34"/>
    <mergeCell ref="ALN34:ALT34"/>
    <mergeCell ref="ALU34:AMA34"/>
    <mergeCell ref="AMB34:AMH34"/>
    <mergeCell ref="AIT35:AJX35"/>
    <mergeCell ref="AJY35:AKB35"/>
    <mergeCell ref="AKC35:AKG35"/>
    <mergeCell ref="AKH35:AKM35"/>
    <mergeCell ref="AKN35:AKS35"/>
    <mergeCell ref="AIT34:AJX34"/>
    <mergeCell ref="AJY34:AKB34"/>
    <mergeCell ref="AKC34:AKG34"/>
    <mergeCell ref="AKH34:AKM34"/>
    <mergeCell ref="AKN34:AKS34"/>
    <mergeCell ref="AKT34:AKY34"/>
    <mergeCell ref="AKT31:AKY31"/>
    <mergeCell ref="AKZ31:ALF31"/>
    <mergeCell ref="ALG31:ALM31"/>
    <mergeCell ref="ALN31:ALT31"/>
    <mergeCell ref="ALU31:AMA31"/>
    <mergeCell ref="AMB31:AMH31"/>
    <mergeCell ref="AKZ30:ALF30"/>
    <mergeCell ref="ALG30:ALM30"/>
    <mergeCell ref="ALN30:ALT30"/>
    <mergeCell ref="ALU30:AMA30"/>
    <mergeCell ref="AMB30:AMH30"/>
    <mergeCell ref="AIT31:AJX31"/>
    <mergeCell ref="AJY31:AKB31"/>
    <mergeCell ref="AKC31:AKG31"/>
    <mergeCell ref="AKH31:AKM31"/>
    <mergeCell ref="AKN31:AKS31"/>
    <mergeCell ref="AIT30:AJX30"/>
    <mergeCell ref="AJY30:AKB30"/>
    <mergeCell ref="AKC30:AKG30"/>
    <mergeCell ref="AKH30:AKM30"/>
    <mergeCell ref="AKN30:AKS30"/>
    <mergeCell ref="AKT30:AKY30"/>
    <mergeCell ref="AKT29:AKY29"/>
    <mergeCell ref="AKZ29:ALF29"/>
    <mergeCell ref="ALG29:ALM29"/>
    <mergeCell ref="ALN29:ALT29"/>
    <mergeCell ref="ALU29:AMA29"/>
    <mergeCell ref="AMB29:AMH29"/>
    <mergeCell ref="AKZ28:ALF28"/>
    <mergeCell ref="ALG28:ALM28"/>
    <mergeCell ref="ALN28:ALT28"/>
    <mergeCell ref="ALU28:AMA28"/>
    <mergeCell ref="AMB28:AMH28"/>
    <mergeCell ref="AIT29:AJX29"/>
    <mergeCell ref="AJY29:AKB29"/>
    <mergeCell ref="AKC29:AKG29"/>
    <mergeCell ref="AKH29:AKM29"/>
    <mergeCell ref="AKN29:AKS29"/>
    <mergeCell ref="AIT28:AJX28"/>
    <mergeCell ref="AJY28:AKB28"/>
    <mergeCell ref="AKC28:AKG28"/>
    <mergeCell ref="AKH28:AKM28"/>
    <mergeCell ref="AKN28:AKS28"/>
    <mergeCell ref="AKT28:AKY28"/>
    <mergeCell ref="AKT27:AKY27"/>
    <mergeCell ref="AKZ27:ALF27"/>
    <mergeCell ref="ALG27:ALM27"/>
    <mergeCell ref="ALN27:ALT27"/>
    <mergeCell ref="ALU27:AMA27"/>
    <mergeCell ref="AMB27:AMH27"/>
    <mergeCell ref="AKZ26:ALF26"/>
    <mergeCell ref="ALG26:ALM26"/>
    <mergeCell ref="ALN26:ALT26"/>
    <mergeCell ref="ALU26:AMA26"/>
    <mergeCell ref="AMB26:AMH26"/>
    <mergeCell ref="AIT27:AJX27"/>
    <mergeCell ref="AJY27:AKB27"/>
    <mergeCell ref="AKC27:AKG27"/>
    <mergeCell ref="AKH27:AKM27"/>
    <mergeCell ref="AKN27:AKS27"/>
    <mergeCell ref="AIT26:AJX26"/>
    <mergeCell ref="AJY26:AKB26"/>
    <mergeCell ref="AKC26:AKG26"/>
    <mergeCell ref="AKH26:AKM26"/>
    <mergeCell ref="AKN26:AKS26"/>
    <mergeCell ref="AKT26:AKY26"/>
    <mergeCell ref="AKT25:AKY25"/>
    <mergeCell ref="AKZ25:ALF25"/>
    <mergeCell ref="ALG25:ALM25"/>
    <mergeCell ref="ALN25:ALT25"/>
    <mergeCell ref="ALU25:AMA25"/>
    <mergeCell ref="AMB25:AMH25"/>
    <mergeCell ref="AKZ24:ALF24"/>
    <mergeCell ref="ALG24:ALM24"/>
    <mergeCell ref="ALN24:ALT24"/>
    <mergeCell ref="ALU24:AMA24"/>
    <mergeCell ref="AMB24:AMH24"/>
    <mergeCell ref="AIT25:AJX25"/>
    <mergeCell ref="AJY25:AKB25"/>
    <mergeCell ref="AKC25:AKG25"/>
    <mergeCell ref="AKH25:AKM25"/>
    <mergeCell ref="AKN25:AKS25"/>
    <mergeCell ref="AIT24:AJX24"/>
    <mergeCell ref="AJY24:AKB24"/>
    <mergeCell ref="AKC24:AKG24"/>
    <mergeCell ref="AKH24:AKM24"/>
    <mergeCell ref="AKN24:AKS24"/>
    <mergeCell ref="AKT24:AKY24"/>
    <mergeCell ref="AKT23:AKY23"/>
    <mergeCell ref="AKZ23:ALF23"/>
    <mergeCell ref="ALG23:ALM23"/>
    <mergeCell ref="ALN23:ALT23"/>
    <mergeCell ref="ALU23:AMA23"/>
    <mergeCell ref="AMB23:AMH23"/>
    <mergeCell ref="AKZ22:ALF22"/>
    <mergeCell ref="ALG22:ALM22"/>
    <mergeCell ref="ALN22:ALT22"/>
    <mergeCell ref="ALU22:AMA22"/>
    <mergeCell ref="AMB22:AMH22"/>
    <mergeCell ref="AIT23:AJX23"/>
    <mergeCell ref="AJY23:AKB23"/>
    <mergeCell ref="AKC23:AKG23"/>
    <mergeCell ref="AKH23:AKM23"/>
    <mergeCell ref="AKN23:AKS23"/>
    <mergeCell ref="AIT22:AJX22"/>
    <mergeCell ref="AJY22:AKB22"/>
    <mergeCell ref="AKC22:AKG22"/>
    <mergeCell ref="AKH22:AKM22"/>
    <mergeCell ref="AKN22:AKS22"/>
    <mergeCell ref="AKT22:AKY22"/>
    <mergeCell ref="AKT19:AKY19"/>
    <mergeCell ref="AKZ19:ALF19"/>
    <mergeCell ref="ALG19:ALM19"/>
    <mergeCell ref="ALN19:ALT19"/>
    <mergeCell ref="ALU19:AMA19"/>
    <mergeCell ref="AMB19:AMH19"/>
    <mergeCell ref="AKZ18:ALF18"/>
    <mergeCell ref="ALG18:ALM18"/>
    <mergeCell ref="ALN18:ALT18"/>
    <mergeCell ref="ALU18:AMA18"/>
    <mergeCell ref="AMB18:AMH18"/>
    <mergeCell ref="AIT19:AJX19"/>
    <mergeCell ref="AJY19:AKB19"/>
    <mergeCell ref="AKC19:AKG19"/>
    <mergeCell ref="AKH19:AKM19"/>
    <mergeCell ref="AKN19:AKS19"/>
    <mergeCell ref="AIT18:AJX18"/>
    <mergeCell ref="AJY18:AKB18"/>
    <mergeCell ref="AKC18:AKG18"/>
    <mergeCell ref="AKH18:AKM18"/>
    <mergeCell ref="AKN18:AKS18"/>
    <mergeCell ref="AKT18:AKY18"/>
    <mergeCell ref="AKT15:AKY15"/>
    <mergeCell ref="AKZ15:ALF15"/>
    <mergeCell ref="ALG15:ALM15"/>
    <mergeCell ref="ALN15:ALT15"/>
    <mergeCell ref="ALU15:AMA15"/>
    <mergeCell ref="AMB15:AMH15"/>
    <mergeCell ref="AKZ14:ALF14"/>
    <mergeCell ref="ALG14:ALM14"/>
    <mergeCell ref="ALN14:ALT14"/>
    <mergeCell ref="ALU14:AMA14"/>
    <mergeCell ref="AMB14:AMH14"/>
    <mergeCell ref="AIT15:AJX15"/>
    <mergeCell ref="AJY15:AKB15"/>
    <mergeCell ref="AKC15:AKG15"/>
    <mergeCell ref="AKH15:AKM15"/>
    <mergeCell ref="AKN15:AKS15"/>
    <mergeCell ref="AIT14:AJX14"/>
    <mergeCell ref="AJY14:AKB14"/>
    <mergeCell ref="AKC14:AKG14"/>
    <mergeCell ref="AKH14:AKM14"/>
    <mergeCell ref="AKN14:AKS14"/>
    <mergeCell ref="AKT14:AKY14"/>
    <mergeCell ref="AKT13:AKY13"/>
    <mergeCell ref="AKZ13:ALF13"/>
    <mergeCell ref="ALG13:ALM13"/>
    <mergeCell ref="ALN13:ALT13"/>
    <mergeCell ref="ALU13:AMA13"/>
    <mergeCell ref="AMB13:AMH13"/>
    <mergeCell ref="AKZ12:ALF12"/>
    <mergeCell ref="ALG12:ALM12"/>
    <mergeCell ref="ALN12:ALT12"/>
    <mergeCell ref="ALU12:AMA12"/>
    <mergeCell ref="AMB12:AMH12"/>
    <mergeCell ref="AIT13:AJX13"/>
    <mergeCell ref="AJY13:AKB13"/>
    <mergeCell ref="AKC13:AKG13"/>
    <mergeCell ref="AKH13:AKM13"/>
    <mergeCell ref="AKN13:AKS13"/>
    <mergeCell ref="AIT12:AJX12"/>
    <mergeCell ref="AJY12:AKB12"/>
    <mergeCell ref="AKC12:AKG12"/>
    <mergeCell ref="AKH12:AKM12"/>
    <mergeCell ref="AKN12:AKS12"/>
    <mergeCell ref="AKT12:AKY12"/>
    <mergeCell ref="AKT11:AKY11"/>
    <mergeCell ref="AKZ11:ALF11"/>
    <mergeCell ref="ALG11:ALM11"/>
    <mergeCell ref="ALN11:ALT11"/>
    <mergeCell ref="ALU11:AMA11"/>
    <mergeCell ref="AMB11:AMH11"/>
    <mergeCell ref="AKZ10:ALF10"/>
    <mergeCell ref="ALG10:ALM10"/>
    <mergeCell ref="ALN10:ALT10"/>
    <mergeCell ref="ALU10:AMA10"/>
    <mergeCell ref="AMB10:AMH10"/>
    <mergeCell ref="AIT11:AJX11"/>
    <mergeCell ref="AJY11:AKB11"/>
    <mergeCell ref="AKC11:AKG11"/>
    <mergeCell ref="AKH11:AKM11"/>
    <mergeCell ref="AKN11:AKS11"/>
    <mergeCell ref="AIT10:AJX10"/>
    <mergeCell ref="AJY10:AKB10"/>
    <mergeCell ref="AKC10:AKG10"/>
    <mergeCell ref="AKH10:AKM10"/>
    <mergeCell ref="AKN10:AKS10"/>
    <mergeCell ref="AKT10:AKY10"/>
    <mergeCell ref="AKT9:AKY9"/>
    <mergeCell ref="AKZ9:ALF9"/>
    <mergeCell ref="ALG9:ALM9"/>
    <mergeCell ref="ALN9:ALT9"/>
    <mergeCell ref="ALU9:AMA9"/>
    <mergeCell ref="AMB9:AMH9"/>
    <mergeCell ref="AKZ8:ALF8"/>
    <mergeCell ref="ALG8:ALM8"/>
    <mergeCell ref="ALN8:ALT8"/>
    <mergeCell ref="ALU8:AMA8"/>
    <mergeCell ref="AMB8:AMH8"/>
    <mergeCell ref="AIT9:AJX9"/>
    <mergeCell ref="AJY9:AKB9"/>
    <mergeCell ref="AKC9:AKG9"/>
    <mergeCell ref="AKH9:AKM9"/>
    <mergeCell ref="AKN9:AKS9"/>
    <mergeCell ref="AIT8:AJX8"/>
    <mergeCell ref="AJY8:AKB8"/>
    <mergeCell ref="AKC8:AKG8"/>
    <mergeCell ref="AKH8:AKM8"/>
    <mergeCell ref="AKN8:AKS8"/>
    <mergeCell ref="AKT8:AKY8"/>
    <mergeCell ref="AKT7:AKY7"/>
    <mergeCell ref="AKZ7:ALF7"/>
    <mergeCell ref="ALG7:ALM7"/>
    <mergeCell ref="ALN7:ALT7"/>
    <mergeCell ref="ALU7:AMA7"/>
    <mergeCell ref="AMB7:AMH7"/>
    <mergeCell ref="AKZ6:ALF6"/>
    <mergeCell ref="ALG6:ALM6"/>
    <mergeCell ref="ALN6:ALT6"/>
    <mergeCell ref="ALU6:AMA6"/>
    <mergeCell ref="AMB6:AMH6"/>
    <mergeCell ref="AIT7:AJX7"/>
    <mergeCell ref="AJY7:AKB7"/>
    <mergeCell ref="AKC7:AKG7"/>
    <mergeCell ref="AKH7:AKM7"/>
    <mergeCell ref="AKN7:AKS7"/>
    <mergeCell ref="ALG5:ALM5"/>
    <mergeCell ref="ALN5:ALT5"/>
    <mergeCell ref="ALU5:AMA5"/>
    <mergeCell ref="AMB5:AMH5"/>
    <mergeCell ref="AIT6:AJX6"/>
    <mergeCell ref="AJY6:AKB6"/>
    <mergeCell ref="AKC6:AKG6"/>
    <mergeCell ref="AKH6:AKM6"/>
    <mergeCell ref="AKN6:AKS6"/>
    <mergeCell ref="AKT6:AKY6"/>
    <mergeCell ref="ALN4:ALT4"/>
    <mergeCell ref="ALU4:AMA4"/>
    <mergeCell ref="AMB4:AMH4"/>
    <mergeCell ref="AIT5:AJX5"/>
    <mergeCell ref="AJY5:AKB5"/>
    <mergeCell ref="AKC5:AKG5"/>
    <mergeCell ref="AKH5:AKM5"/>
    <mergeCell ref="AKN5:AKS5"/>
    <mergeCell ref="AKT5:AKY5"/>
    <mergeCell ref="AKZ5:ALF5"/>
    <mergeCell ref="AIT2:AMH2"/>
    <mergeCell ref="AIT3:AMH3"/>
    <mergeCell ref="AIT4:AJX4"/>
    <mergeCell ref="AJY4:AKB4"/>
    <mergeCell ref="AKC4:AKG4"/>
    <mergeCell ref="AKH4:AKM4"/>
    <mergeCell ref="AKN4:AKS4"/>
    <mergeCell ref="AKT4:AKY4"/>
    <mergeCell ref="AKZ4:ALF4"/>
    <mergeCell ref="ALG4:ALM4"/>
    <mergeCell ref="AHD9:AHI9"/>
    <mergeCell ref="AHJ9:AHP9"/>
    <mergeCell ref="AHQ9:AHW9"/>
    <mergeCell ref="AHX9:AID9"/>
    <mergeCell ref="AIE9:AIK9"/>
    <mergeCell ref="AIL9:AIR9"/>
    <mergeCell ref="AHJ8:AHP8"/>
    <mergeCell ref="AHQ8:AHW8"/>
    <mergeCell ref="AHX8:AID8"/>
    <mergeCell ref="AIE8:AIK8"/>
    <mergeCell ref="AIL8:AIR8"/>
    <mergeCell ref="AFD9:AGH9"/>
    <mergeCell ref="AGI9:AGL9"/>
    <mergeCell ref="AGM9:AGQ9"/>
    <mergeCell ref="AGR9:AGW9"/>
    <mergeCell ref="AGX9:AHC9"/>
    <mergeCell ref="AFD8:AGH8"/>
    <mergeCell ref="AGI8:AGL8"/>
    <mergeCell ref="AGM8:AGQ8"/>
    <mergeCell ref="AGR8:AGW8"/>
    <mergeCell ref="AGX8:AHC8"/>
    <mergeCell ref="AHD8:AHI8"/>
    <mergeCell ref="AHD7:AHI7"/>
    <mergeCell ref="AHJ7:AHP7"/>
    <mergeCell ref="AHQ7:AHW7"/>
    <mergeCell ref="AHX7:AID7"/>
    <mergeCell ref="AIE7:AIK7"/>
    <mergeCell ref="AIL7:AIR7"/>
    <mergeCell ref="AHJ6:AHP6"/>
    <mergeCell ref="AHQ6:AHW6"/>
    <mergeCell ref="AHX6:AID6"/>
    <mergeCell ref="AIE6:AIK6"/>
    <mergeCell ref="AIL6:AIR6"/>
    <mergeCell ref="AFD7:AGH7"/>
    <mergeCell ref="AGI7:AGL7"/>
    <mergeCell ref="AGM7:AGQ7"/>
    <mergeCell ref="AGR7:AGW7"/>
    <mergeCell ref="AGX7:AHC7"/>
    <mergeCell ref="AHQ5:AHW5"/>
    <mergeCell ref="AHX5:AID5"/>
    <mergeCell ref="AIE5:AIK5"/>
    <mergeCell ref="AIL5:AIR5"/>
    <mergeCell ref="AFD6:AGH6"/>
    <mergeCell ref="AGI6:AGL6"/>
    <mergeCell ref="AGM6:AGQ6"/>
    <mergeCell ref="AGR6:AGW6"/>
    <mergeCell ref="AGX6:AHC6"/>
    <mergeCell ref="AHD6:AHI6"/>
    <mergeCell ref="AHX4:AID4"/>
    <mergeCell ref="AIE4:AIK4"/>
    <mergeCell ref="AIL4:AIR4"/>
    <mergeCell ref="AFD5:AGH5"/>
    <mergeCell ref="AGI5:AGL5"/>
    <mergeCell ref="AGM5:AGQ5"/>
    <mergeCell ref="AGR5:AGW5"/>
    <mergeCell ref="AGX5:AHC5"/>
    <mergeCell ref="AHD5:AHI5"/>
    <mergeCell ref="AHJ5:AHP5"/>
    <mergeCell ref="AFD2:AIR2"/>
    <mergeCell ref="AFD3:AIR3"/>
    <mergeCell ref="AFD4:AGH4"/>
    <mergeCell ref="AGI4:AGL4"/>
    <mergeCell ref="AGM4:AGQ4"/>
    <mergeCell ref="AGR4:AGW4"/>
    <mergeCell ref="AGX4:AHC4"/>
    <mergeCell ref="AHD4:AHI4"/>
    <mergeCell ref="AHJ4:AHP4"/>
    <mergeCell ref="AHQ4:AHW4"/>
    <mergeCell ref="ACS10:ACV10"/>
    <mergeCell ref="ACW10:ADA10"/>
    <mergeCell ref="ADB10:ADG10"/>
    <mergeCell ref="ADH10:ADM10"/>
    <mergeCell ref="ADN10:ADS10"/>
    <mergeCell ref="ADN13:ADS13"/>
    <mergeCell ref="ADT13:ADZ13"/>
    <mergeCell ref="AEA13:AEG13"/>
    <mergeCell ref="AEH13:AEN13"/>
    <mergeCell ref="AEO13:AEU13"/>
    <mergeCell ref="AEV13:AFB13"/>
    <mergeCell ref="ADT12:ADZ12"/>
    <mergeCell ref="AEA12:AEG12"/>
    <mergeCell ref="AEH12:AEN12"/>
    <mergeCell ref="AEO12:AEU12"/>
    <mergeCell ref="AEV12:AFB12"/>
    <mergeCell ref="ABN13:ACR13"/>
    <mergeCell ref="ACS13:ACV13"/>
    <mergeCell ref="ACW13:ADA13"/>
    <mergeCell ref="ADB13:ADG13"/>
    <mergeCell ref="ADH13:ADM13"/>
    <mergeCell ref="ABN12:ACR12"/>
    <mergeCell ref="ACS12:ACV12"/>
    <mergeCell ref="ACW12:ADA12"/>
    <mergeCell ref="ADB12:ADG12"/>
    <mergeCell ref="ADH12:ADM12"/>
    <mergeCell ref="ADN12:ADS12"/>
    <mergeCell ref="ACS7:ACV7"/>
    <mergeCell ref="ACW7:ADA7"/>
    <mergeCell ref="ADB7:ADG7"/>
    <mergeCell ref="ADH7:ADM7"/>
    <mergeCell ref="ADN7:ADS7"/>
    <mergeCell ref="AEH5:AEN5"/>
    <mergeCell ref="AEO5:AEU5"/>
    <mergeCell ref="AEV5:AFB5"/>
    <mergeCell ref="ABN6:ACR6"/>
    <mergeCell ref="ACS6:ACV6"/>
    <mergeCell ref="ACW6:ADA6"/>
    <mergeCell ref="ADB6:ADG6"/>
    <mergeCell ref="ADH6:ADM6"/>
    <mergeCell ref="ADN6:ADS6"/>
    <mergeCell ref="ADT6:ADZ6"/>
    <mergeCell ref="ADN11:ADS11"/>
    <mergeCell ref="ADT11:ADZ11"/>
    <mergeCell ref="AEA11:AEG11"/>
    <mergeCell ref="AEH11:AEN11"/>
    <mergeCell ref="AEO11:AEU11"/>
    <mergeCell ref="AEV11:AFB11"/>
    <mergeCell ref="ADT10:ADZ10"/>
    <mergeCell ref="AEA10:AEG10"/>
    <mergeCell ref="AEH10:AEN10"/>
    <mergeCell ref="AEO10:AEU10"/>
    <mergeCell ref="AEV10:AFB10"/>
    <mergeCell ref="ABN11:ACR11"/>
    <mergeCell ref="ACS11:ACV11"/>
    <mergeCell ref="ACW11:ADA11"/>
    <mergeCell ref="ADB11:ADG11"/>
    <mergeCell ref="ADH11:ADM11"/>
    <mergeCell ref="ABN10:ACR10"/>
    <mergeCell ref="AEO4:AEU4"/>
    <mergeCell ref="AEV4:AFB4"/>
    <mergeCell ref="ABN5:ACR5"/>
    <mergeCell ref="ACS5:ACV5"/>
    <mergeCell ref="ACW5:ADA5"/>
    <mergeCell ref="ADB5:ADG5"/>
    <mergeCell ref="ADH5:ADM5"/>
    <mergeCell ref="ADN5:ADS5"/>
    <mergeCell ref="ADT5:ADZ5"/>
    <mergeCell ref="AEA5:AEG5"/>
    <mergeCell ref="ADB4:ADG4"/>
    <mergeCell ref="ADH4:ADM4"/>
    <mergeCell ref="ADN4:ADS4"/>
    <mergeCell ref="ADT4:ADZ4"/>
    <mergeCell ref="AEA4:AEG4"/>
    <mergeCell ref="AEH4:AEN4"/>
    <mergeCell ref="AAD9:AAJ9"/>
    <mergeCell ref="AAK9:AAQ9"/>
    <mergeCell ref="AAR9:AAX9"/>
    <mergeCell ref="AAY9:ABE9"/>
    <mergeCell ref="ABF9:ABL9"/>
    <mergeCell ref="ADT7:ADZ7"/>
    <mergeCell ref="AEA7:AEG7"/>
    <mergeCell ref="AEH7:AEN7"/>
    <mergeCell ref="AEO7:AEU7"/>
    <mergeCell ref="AEV7:AFB7"/>
    <mergeCell ref="ABN9:AFB9"/>
    <mergeCell ref="AEA6:AEG6"/>
    <mergeCell ref="AEH6:AEN6"/>
    <mergeCell ref="AEO6:AEU6"/>
    <mergeCell ref="AEV6:AFB6"/>
    <mergeCell ref="ABN7:ACR7"/>
    <mergeCell ref="ABN2:AFB2"/>
    <mergeCell ref="ABN3:AFB3"/>
    <mergeCell ref="ABN4:ACR4"/>
    <mergeCell ref="ACS4:ACV4"/>
    <mergeCell ref="ACW4:ADA4"/>
    <mergeCell ref="XX9:ZB9"/>
    <mergeCell ref="ZC9:ZF9"/>
    <mergeCell ref="ZG9:ZK9"/>
    <mergeCell ref="ZL9:ZQ9"/>
    <mergeCell ref="ZR9:ZW9"/>
    <mergeCell ref="ZX9:AAC9"/>
    <mergeCell ref="ZX8:AAC8"/>
    <mergeCell ref="AAD8:AAJ8"/>
    <mergeCell ref="AAK8:AAQ8"/>
    <mergeCell ref="AAR8:AAX8"/>
    <mergeCell ref="AAY8:ABE8"/>
    <mergeCell ref="ABF8:ABL8"/>
    <mergeCell ref="AAD7:AAJ7"/>
    <mergeCell ref="AAK7:AAQ7"/>
    <mergeCell ref="AAR7:AAX7"/>
    <mergeCell ref="AAY7:ABE7"/>
    <mergeCell ref="ABF7:ABL7"/>
    <mergeCell ref="XX8:ZB8"/>
    <mergeCell ref="ZC8:ZF8"/>
    <mergeCell ref="ZG8:ZK8"/>
    <mergeCell ref="ZL8:ZQ8"/>
    <mergeCell ref="ZR8:ZW8"/>
    <mergeCell ref="AAK6:AAQ6"/>
    <mergeCell ref="AAR6:AAX6"/>
    <mergeCell ref="AAY6:ABE6"/>
    <mergeCell ref="ABF6:ABL6"/>
    <mergeCell ref="XX7:ZB7"/>
    <mergeCell ref="AAD6:AAJ6"/>
    <mergeCell ref="AAY4:ABE4"/>
    <mergeCell ref="ABF4:ABL4"/>
    <mergeCell ref="XX5:ZB5"/>
    <mergeCell ref="ZC5:ZF5"/>
    <mergeCell ref="ZG5:ZK5"/>
    <mergeCell ref="ZL5:ZQ5"/>
    <mergeCell ref="ZR5:ZW5"/>
    <mergeCell ref="ZX5:AAC5"/>
    <mergeCell ref="AAD5:AAJ5"/>
    <mergeCell ref="AAK5:AAQ5"/>
    <mergeCell ref="ZL4:ZQ4"/>
    <mergeCell ref="ZR4:ZW4"/>
    <mergeCell ref="ZX4:AAC4"/>
    <mergeCell ref="AAD4:AAJ4"/>
    <mergeCell ref="AAK4:AAQ4"/>
    <mergeCell ref="AAR4:AAX4"/>
    <mergeCell ref="XX2:ABL2"/>
    <mergeCell ref="XX3:ABL3"/>
    <mergeCell ref="XX4:ZB4"/>
    <mergeCell ref="ZC4:ZF4"/>
    <mergeCell ref="ZG4:ZK4"/>
    <mergeCell ref="UH9:VL9"/>
    <mergeCell ref="VM9:VP9"/>
    <mergeCell ref="VQ9:VU9"/>
    <mergeCell ref="VV9:WA9"/>
    <mergeCell ref="WB9:WG9"/>
    <mergeCell ref="WH9:WM9"/>
    <mergeCell ref="WH8:WM8"/>
    <mergeCell ref="WN8:WT8"/>
    <mergeCell ref="WU8:XA8"/>
    <mergeCell ref="XB8:XH8"/>
    <mergeCell ref="XI8:XO8"/>
    <mergeCell ref="XP8:XV8"/>
    <mergeCell ref="WN7:WT7"/>
    <mergeCell ref="WU7:XA7"/>
    <mergeCell ref="XB7:XH7"/>
    <mergeCell ref="XI7:XO7"/>
    <mergeCell ref="XP7:XV7"/>
    <mergeCell ref="UH8:VL8"/>
    <mergeCell ref="VM8:VP8"/>
    <mergeCell ref="VQ8:VU8"/>
    <mergeCell ref="VV8:WA8"/>
    <mergeCell ref="WB8:WG8"/>
    <mergeCell ref="ZC7:ZF7"/>
    <mergeCell ref="ZG7:ZK7"/>
    <mergeCell ref="ZL7:ZQ7"/>
    <mergeCell ref="ZR7:ZW7"/>
    <mergeCell ref="ZX7:AAC7"/>
    <mergeCell ref="UH7:VL7"/>
    <mergeCell ref="VM7:VP7"/>
    <mergeCell ref="VQ7:VU7"/>
    <mergeCell ref="VV7:WA7"/>
    <mergeCell ref="WB7:WG7"/>
    <mergeCell ref="WH7:WM7"/>
    <mergeCell ref="XB5:XH5"/>
    <mergeCell ref="XI5:XO5"/>
    <mergeCell ref="XP5:XV5"/>
    <mergeCell ref="UH6:VL6"/>
    <mergeCell ref="VM6:VP6"/>
    <mergeCell ref="VQ6:VU6"/>
    <mergeCell ref="VV6:WA6"/>
    <mergeCell ref="WB6:WG6"/>
    <mergeCell ref="WH6:WM6"/>
    <mergeCell ref="WN6:WT6"/>
    <mergeCell ref="WN9:WT9"/>
    <mergeCell ref="WU9:XA9"/>
    <mergeCell ref="XB9:XH9"/>
    <mergeCell ref="XI9:XO9"/>
    <mergeCell ref="XP9:XV9"/>
    <mergeCell ref="XI4:XO4"/>
    <mergeCell ref="XP4:XV4"/>
    <mergeCell ref="UH5:VL5"/>
    <mergeCell ref="VM5:VP5"/>
    <mergeCell ref="VQ5:VU5"/>
    <mergeCell ref="VV5:WA5"/>
    <mergeCell ref="WB5:WG5"/>
    <mergeCell ref="WH5:WM5"/>
    <mergeCell ref="WN5:WT5"/>
    <mergeCell ref="WU5:XA5"/>
    <mergeCell ref="VV4:WA4"/>
    <mergeCell ref="WB4:WG4"/>
    <mergeCell ref="WH4:WM4"/>
    <mergeCell ref="WN4:WT4"/>
    <mergeCell ref="WU4:XA4"/>
    <mergeCell ref="XB4:XH4"/>
    <mergeCell ref="SX6:TD6"/>
    <mergeCell ref="TE6:TK6"/>
    <mergeCell ref="TL6:TR6"/>
    <mergeCell ref="TS6:TY6"/>
    <mergeCell ref="TZ6:UF6"/>
    <mergeCell ref="WU6:XA6"/>
    <mergeCell ref="XB6:XH6"/>
    <mergeCell ref="XI6:XO6"/>
    <mergeCell ref="XP6:XV6"/>
    <mergeCell ref="UH2:XV2"/>
    <mergeCell ref="UH3:XV3"/>
    <mergeCell ref="UH4:VL4"/>
    <mergeCell ref="VM4:VP4"/>
    <mergeCell ref="VQ4:VU4"/>
    <mergeCell ref="TE5:TK5"/>
    <mergeCell ref="TL5:TR5"/>
    <mergeCell ref="TS5:TY5"/>
    <mergeCell ref="TZ5:UF5"/>
    <mergeCell ref="QR6:RV6"/>
    <mergeCell ref="RW6:RZ6"/>
    <mergeCell ref="SA6:SE6"/>
    <mergeCell ref="SF6:SK6"/>
    <mergeCell ref="SL6:SQ6"/>
    <mergeCell ref="SR6:SW6"/>
    <mergeCell ref="TL4:TR4"/>
    <mergeCell ref="TS4:TY4"/>
    <mergeCell ref="TZ4:UF4"/>
    <mergeCell ref="QR5:RV5"/>
    <mergeCell ref="RW5:RZ5"/>
    <mergeCell ref="SA5:SE5"/>
    <mergeCell ref="SF5:SK5"/>
    <mergeCell ref="SL5:SQ5"/>
    <mergeCell ref="SR5:SW5"/>
    <mergeCell ref="SX5:TD5"/>
    <mergeCell ref="QR2:UF2"/>
    <mergeCell ref="QR3:UF3"/>
    <mergeCell ref="QR4:RV4"/>
    <mergeCell ref="RW4:RZ4"/>
    <mergeCell ref="SA4:SE4"/>
    <mergeCell ref="SF4:SK4"/>
    <mergeCell ref="SL4:SQ4"/>
    <mergeCell ref="SR4:SW4"/>
    <mergeCell ref="SX4:TD4"/>
    <mergeCell ref="TE4:TK4"/>
    <mergeCell ref="PB22:PG22"/>
    <mergeCell ref="PH22:PN22"/>
    <mergeCell ref="PO22:PU22"/>
    <mergeCell ref="PV22:QB22"/>
    <mergeCell ref="QC22:QI22"/>
    <mergeCell ref="QJ22:QP22"/>
    <mergeCell ref="PH21:PN21"/>
    <mergeCell ref="PO21:PU21"/>
    <mergeCell ref="PV21:QB21"/>
    <mergeCell ref="QC21:QI21"/>
    <mergeCell ref="QJ21:QP21"/>
    <mergeCell ref="NB22:OF22"/>
    <mergeCell ref="OG22:OJ22"/>
    <mergeCell ref="OK22:OO22"/>
    <mergeCell ref="OP22:OU22"/>
    <mergeCell ref="OV22:PA22"/>
    <mergeCell ref="NB21:OF21"/>
    <mergeCell ref="OG21:OJ21"/>
    <mergeCell ref="OK21:OO21"/>
    <mergeCell ref="OP21:OU21"/>
    <mergeCell ref="OV21:PA21"/>
    <mergeCell ref="PB21:PG21"/>
    <mergeCell ref="PB20:PG20"/>
    <mergeCell ref="PH20:PN20"/>
    <mergeCell ref="PO20:PU20"/>
    <mergeCell ref="PV20:QB20"/>
    <mergeCell ref="QC20:QI20"/>
    <mergeCell ref="QJ20:QP20"/>
    <mergeCell ref="PH19:PN19"/>
    <mergeCell ref="PO19:PU19"/>
    <mergeCell ref="PV19:QB19"/>
    <mergeCell ref="QC19:QI19"/>
    <mergeCell ref="QJ19:QP19"/>
    <mergeCell ref="NB20:OF20"/>
    <mergeCell ref="OG20:OJ20"/>
    <mergeCell ref="OK20:OO20"/>
    <mergeCell ref="OP20:OU20"/>
    <mergeCell ref="OV20:PA20"/>
    <mergeCell ref="NB19:OF19"/>
    <mergeCell ref="OG19:OJ19"/>
    <mergeCell ref="OK19:OO19"/>
    <mergeCell ref="OP19:OU19"/>
    <mergeCell ref="OV19:PA19"/>
    <mergeCell ref="PB19:PG19"/>
    <mergeCell ref="PB18:PG18"/>
    <mergeCell ref="PH18:PN18"/>
    <mergeCell ref="PO18:PU18"/>
    <mergeCell ref="PV18:QB18"/>
    <mergeCell ref="QC18:QI18"/>
    <mergeCell ref="QJ18:QP18"/>
    <mergeCell ref="PO15:PU15"/>
    <mergeCell ref="PV15:QB15"/>
    <mergeCell ref="QC15:QI15"/>
    <mergeCell ref="QJ15:QP15"/>
    <mergeCell ref="NB17:QP17"/>
    <mergeCell ref="NB18:OF18"/>
    <mergeCell ref="OG18:OJ18"/>
    <mergeCell ref="OK18:OO18"/>
    <mergeCell ref="OP18:OU18"/>
    <mergeCell ref="OV18:PA18"/>
    <mergeCell ref="OG15:OJ15"/>
    <mergeCell ref="OK15:OO15"/>
    <mergeCell ref="OP15:OU15"/>
    <mergeCell ref="OV15:PA15"/>
    <mergeCell ref="PB15:PG15"/>
    <mergeCell ref="PH15:PN15"/>
    <mergeCell ref="PB14:PG14"/>
    <mergeCell ref="PH14:PN14"/>
    <mergeCell ref="PO14:PU14"/>
    <mergeCell ref="PV14:QB14"/>
    <mergeCell ref="QC14:QI14"/>
    <mergeCell ref="QJ14:QP14"/>
    <mergeCell ref="PH13:PN13"/>
    <mergeCell ref="PO13:PU13"/>
    <mergeCell ref="PV13:QB13"/>
    <mergeCell ref="QC13:QI13"/>
    <mergeCell ref="QJ13:QP13"/>
    <mergeCell ref="NB14:OF14"/>
    <mergeCell ref="OG14:OJ14"/>
    <mergeCell ref="OK14:OO14"/>
    <mergeCell ref="OP14:OU14"/>
    <mergeCell ref="OV14:PA14"/>
    <mergeCell ref="PO12:PU12"/>
    <mergeCell ref="PV12:QB12"/>
    <mergeCell ref="QC12:QI12"/>
    <mergeCell ref="QJ12:QP12"/>
    <mergeCell ref="NB13:OF13"/>
    <mergeCell ref="OG13:OJ13"/>
    <mergeCell ref="OK13:OO13"/>
    <mergeCell ref="OP13:OU13"/>
    <mergeCell ref="OV13:PA13"/>
    <mergeCell ref="PB13:PG13"/>
    <mergeCell ref="PV11:QB11"/>
    <mergeCell ref="QC11:QI11"/>
    <mergeCell ref="QJ11:QP11"/>
    <mergeCell ref="NB12:OF12"/>
    <mergeCell ref="OG12:OJ12"/>
    <mergeCell ref="OK12:OO12"/>
    <mergeCell ref="OP12:OU12"/>
    <mergeCell ref="OV12:PA12"/>
    <mergeCell ref="PB12:PG12"/>
    <mergeCell ref="PH12:PN12"/>
    <mergeCell ref="NB2:QP2"/>
    <mergeCell ref="NB10:QP10"/>
    <mergeCell ref="NB11:OF11"/>
    <mergeCell ref="OG11:OJ11"/>
    <mergeCell ref="OK11:OO11"/>
    <mergeCell ref="OP11:OU11"/>
    <mergeCell ref="OV11:PA11"/>
    <mergeCell ref="PB11:PG11"/>
    <mergeCell ref="PH11:PN11"/>
    <mergeCell ref="PO11:PU11"/>
    <mergeCell ref="QJ4:QP4"/>
    <mergeCell ref="QJ5:QP5"/>
    <mergeCell ref="QJ6:QP6"/>
    <mergeCell ref="QJ7:QP7"/>
    <mergeCell ref="QJ8:QP8"/>
    <mergeCell ref="NB3:QP3"/>
    <mergeCell ref="PV4:QB4"/>
    <mergeCell ref="PV5:QB5"/>
    <mergeCell ref="PV6:QB6"/>
    <mergeCell ref="PV7:QB7"/>
    <mergeCell ref="PV8:QB8"/>
    <mergeCell ref="QC4:QI4"/>
    <mergeCell ref="QC7:QI7"/>
    <mergeCell ref="QC8:QI8"/>
    <mergeCell ref="PH8:PN8"/>
    <mergeCell ref="PO4:PU4"/>
    <mergeCell ref="PO5:PU5"/>
    <mergeCell ref="PO6:PU6"/>
    <mergeCell ref="PO7:PU7"/>
    <mergeCell ref="PO8:PU8"/>
    <mergeCell ref="PB4:PG4"/>
    <mergeCell ref="PB5:PG5"/>
    <mergeCell ref="PB6:PG6"/>
    <mergeCell ref="PB7:PG7"/>
    <mergeCell ref="PB8:PG8"/>
    <mergeCell ref="PH4:PN4"/>
    <mergeCell ref="PH5:PN5"/>
    <mergeCell ref="PH6:PN6"/>
    <mergeCell ref="PH7:PN7"/>
    <mergeCell ref="OP4:OU4"/>
    <mergeCell ref="OP5:OU5"/>
    <mergeCell ref="OP6:OU6"/>
    <mergeCell ref="OP7:OU7"/>
    <mergeCell ref="OP8:OU8"/>
    <mergeCell ref="OV4:PA4"/>
    <mergeCell ref="OV5:PA5"/>
    <mergeCell ref="OV6:PA6"/>
    <mergeCell ref="OV7:PA7"/>
    <mergeCell ref="OV8:PA8"/>
    <mergeCell ref="OG4:OJ4"/>
    <mergeCell ref="OG5:OJ5"/>
    <mergeCell ref="OG6:OJ6"/>
    <mergeCell ref="OG7:OJ7"/>
    <mergeCell ref="OG8:OJ8"/>
    <mergeCell ref="OK4:OO4"/>
    <mergeCell ref="OK5:OO5"/>
    <mergeCell ref="OK6:OO6"/>
    <mergeCell ref="OK7:OO7"/>
    <mergeCell ref="OK8:OO8"/>
    <mergeCell ref="GT136:MZ136"/>
    <mergeCell ref="GT137:MZ137"/>
    <mergeCell ref="GT138:MZ138"/>
    <mergeCell ref="FB140:MZ140"/>
    <mergeCell ref="NB4:OF4"/>
    <mergeCell ref="NB5:OF5"/>
    <mergeCell ref="NB6:OF6"/>
    <mergeCell ref="NB7:OF7"/>
    <mergeCell ref="NB8:OF8"/>
    <mergeCell ref="NB15:OF15"/>
    <mergeCell ref="GT130:MZ130"/>
    <mergeCell ref="GT131:MZ131"/>
    <mergeCell ref="GT132:MZ132"/>
    <mergeCell ref="GT133:MZ133"/>
    <mergeCell ref="GT134:MZ134"/>
    <mergeCell ref="GT135:MZ135"/>
    <mergeCell ref="GT124:MZ124"/>
    <mergeCell ref="GT125:MZ125"/>
    <mergeCell ref="GT126:MZ126"/>
    <mergeCell ref="GT127:MZ127"/>
    <mergeCell ref="GT128:MZ128"/>
    <mergeCell ref="GT129:MZ129"/>
    <mergeCell ref="KU75:MZ75"/>
    <mergeCell ref="FB82:GS82"/>
    <mergeCell ref="GT82:HA82"/>
    <mergeCell ref="HB82:HI82"/>
    <mergeCell ref="HJ82:HQ82"/>
    <mergeCell ref="HR82:HY82"/>
    <mergeCell ref="HZ82:II82"/>
    <mergeCell ref="JF82:JJ82"/>
    <mergeCell ref="JK82:KB82"/>
    <mergeCell ref="KC82:KT82"/>
    <mergeCell ref="FB2:MZ2"/>
    <mergeCell ref="FB116:MZ116"/>
    <mergeCell ref="GT117:MZ117"/>
    <mergeCell ref="GT118:MZ118"/>
    <mergeCell ref="GT119:MZ119"/>
    <mergeCell ref="GT120:MZ120"/>
    <mergeCell ref="GT121:MZ121"/>
    <mergeCell ref="GT122:MZ122"/>
    <mergeCell ref="GT123:MZ123"/>
    <mergeCell ref="FB138:GS138"/>
    <mergeCell ref="FB137:GS137"/>
    <mergeCell ref="FB136:GS136"/>
    <mergeCell ref="FB135:GS135"/>
    <mergeCell ref="FB134:GS134"/>
    <mergeCell ref="FB133:GS133"/>
    <mergeCell ref="FB132:GS132"/>
    <mergeCell ref="FB131:GS131"/>
    <mergeCell ref="FB130:GS130"/>
    <mergeCell ref="FB129:GS129"/>
    <mergeCell ref="FB128:GS128"/>
    <mergeCell ref="FB127:GS127"/>
    <mergeCell ref="FB126:GS126"/>
    <mergeCell ref="FB125:GS125"/>
    <mergeCell ref="FB124:GS124"/>
    <mergeCell ref="FB123:GS123"/>
    <mergeCell ref="FB122:GS122"/>
    <mergeCell ref="FB121:GS121"/>
    <mergeCell ref="FB120:GS120"/>
    <mergeCell ref="FB119:GS119"/>
    <mergeCell ref="FB118:GS118"/>
    <mergeCell ref="FB117:GS117"/>
    <mergeCell ref="KU82:MZ82"/>
    <mergeCell ref="JF75:JJ75"/>
    <mergeCell ref="JK75:KB75"/>
    <mergeCell ref="KC75:KT75"/>
    <mergeCell ref="KU73:MZ73"/>
    <mergeCell ref="FB74:GS74"/>
    <mergeCell ref="GT74:HA74"/>
    <mergeCell ref="HB74:HI74"/>
    <mergeCell ref="HJ74:HQ74"/>
    <mergeCell ref="HR74:HY74"/>
    <mergeCell ref="HZ74:II74"/>
    <mergeCell ref="JF74:JJ74"/>
    <mergeCell ref="JK74:KB74"/>
    <mergeCell ref="KC74:KT74"/>
    <mergeCell ref="IQ73:IW73"/>
    <mergeCell ref="IQ74:IW74"/>
    <mergeCell ref="IX73:JE73"/>
    <mergeCell ref="IX74:JE74"/>
    <mergeCell ref="IJ74:IP74"/>
    <mergeCell ref="IJ75:IP75"/>
    <mergeCell ref="KU74:MZ74"/>
    <mergeCell ref="FB75:GS75"/>
    <mergeCell ref="GT75:HA75"/>
    <mergeCell ref="HB75:HI75"/>
    <mergeCell ref="HJ75:HQ75"/>
    <mergeCell ref="HR75:HY75"/>
    <mergeCell ref="HZ75:II75"/>
    <mergeCell ref="KU72:MZ72"/>
    <mergeCell ref="FB73:GS73"/>
    <mergeCell ref="GT73:HA73"/>
    <mergeCell ref="HB73:HI73"/>
    <mergeCell ref="HJ73:HQ73"/>
    <mergeCell ref="HR73:HY73"/>
    <mergeCell ref="HZ73:II73"/>
    <mergeCell ref="JF73:JJ73"/>
    <mergeCell ref="JK73:KB73"/>
    <mergeCell ref="KC73:KT73"/>
    <mergeCell ref="KU71:MZ71"/>
    <mergeCell ref="FB72:GS72"/>
    <mergeCell ref="GT72:HA72"/>
    <mergeCell ref="HB72:HI72"/>
    <mergeCell ref="HJ72:HQ72"/>
    <mergeCell ref="HR72:HY72"/>
    <mergeCell ref="HZ72:II72"/>
    <mergeCell ref="JF72:JJ72"/>
    <mergeCell ref="JK72:KB72"/>
    <mergeCell ref="KC72:KT72"/>
    <mergeCell ref="IQ71:IW71"/>
    <mergeCell ref="IQ72:IW72"/>
    <mergeCell ref="IX71:JE71"/>
    <mergeCell ref="IX72:JE72"/>
    <mergeCell ref="IJ73:IP73"/>
    <mergeCell ref="KU70:MZ70"/>
    <mergeCell ref="FB71:GS71"/>
    <mergeCell ref="GT71:HA71"/>
    <mergeCell ref="HB71:HI71"/>
    <mergeCell ref="HJ71:HQ71"/>
    <mergeCell ref="HR71:HY71"/>
    <mergeCell ref="HZ71:II71"/>
    <mergeCell ref="JF71:JJ71"/>
    <mergeCell ref="JK71:KB71"/>
    <mergeCell ref="KC71:KT71"/>
    <mergeCell ref="KU69:MZ69"/>
    <mergeCell ref="FB70:GS70"/>
    <mergeCell ref="GT70:HA70"/>
    <mergeCell ref="HB70:HI70"/>
    <mergeCell ref="HJ70:HQ70"/>
    <mergeCell ref="HR70:HY70"/>
    <mergeCell ref="HZ70:II70"/>
    <mergeCell ref="JF70:JJ70"/>
    <mergeCell ref="JK70:KB70"/>
    <mergeCell ref="KC70:KT70"/>
    <mergeCell ref="IQ69:IW69"/>
    <mergeCell ref="IQ70:IW70"/>
    <mergeCell ref="IX69:JE69"/>
    <mergeCell ref="IX70:JE70"/>
    <mergeCell ref="KU68:MZ68"/>
    <mergeCell ref="FB69:GS69"/>
    <mergeCell ref="GT69:HA69"/>
    <mergeCell ref="HB69:HI69"/>
    <mergeCell ref="HJ69:HQ69"/>
    <mergeCell ref="HR69:HY69"/>
    <mergeCell ref="HZ69:II69"/>
    <mergeCell ref="JF69:JJ69"/>
    <mergeCell ref="JK69:KB69"/>
    <mergeCell ref="KC69:KT69"/>
    <mergeCell ref="KU67:MZ67"/>
    <mergeCell ref="FB68:GS68"/>
    <mergeCell ref="GT68:HA68"/>
    <mergeCell ref="HB68:HI68"/>
    <mergeCell ref="HJ68:HQ68"/>
    <mergeCell ref="HR68:HY68"/>
    <mergeCell ref="HZ68:II68"/>
    <mergeCell ref="JF68:JJ68"/>
    <mergeCell ref="JK68:KB68"/>
    <mergeCell ref="KC68:KT68"/>
    <mergeCell ref="IQ67:IW67"/>
    <mergeCell ref="IQ68:IW68"/>
    <mergeCell ref="IX67:JE67"/>
    <mergeCell ref="IX68:JE68"/>
    <mergeCell ref="KU66:MZ66"/>
    <mergeCell ref="FB67:GS67"/>
    <mergeCell ref="GT67:HA67"/>
    <mergeCell ref="HB67:HI67"/>
    <mergeCell ref="HJ67:HQ67"/>
    <mergeCell ref="HR67:HY67"/>
    <mergeCell ref="HZ67:II67"/>
    <mergeCell ref="JF67:JJ67"/>
    <mergeCell ref="JK67:KB67"/>
    <mergeCell ref="KC67:KT67"/>
    <mergeCell ref="KU65:MZ65"/>
    <mergeCell ref="FB66:GS66"/>
    <mergeCell ref="GT66:HA66"/>
    <mergeCell ref="HB66:HI66"/>
    <mergeCell ref="HJ66:HQ66"/>
    <mergeCell ref="HR66:HY66"/>
    <mergeCell ref="HZ66:II66"/>
    <mergeCell ref="JF66:JJ66"/>
    <mergeCell ref="JK66:KB66"/>
    <mergeCell ref="KC66:KT66"/>
    <mergeCell ref="IQ65:IW65"/>
    <mergeCell ref="IQ66:IW66"/>
    <mergeCell ref="IX65:JE65"/>
    <mergeCell ref="IX66:JE66"/>
    <mergeCell ref="KU64:MZ64"/>
    <mergeCell ref="FB65:GS65"/>
    <mergeCell ref="GT65:HA65"/>
    <mergeCell ref="HB65:HI65"/>
    <mergeCell ref="HJ65:HQ65"/>
    <mergeCell ref="HR65:HY65"/>
    <mergeCell ref="HZ65:II65"/>
    <mergeCell ref="JF65:JJ65"/>
    <mergeCell ref="JK65:KB65"/>
    <mergeCell ref="KC65:KT65"/>
    <mergeCell ref="KU63:MZ63"/>
    <mergeCell ref="FB64:GS64"/>
    <mergeCell ref="GT64:HA64"/>
    <mergeCell ref="HB64:HI64"/>
    <mergeCell ref="HJ64:HQ64"/>
    <mergeCell ref="HR64:HY64"/>
    <mergeCell ref="HZ64:II64"/>
    <mergeCell ref="JF64:JJ64"/>
    <mergeCell ref="JK64:KB64"/>
    <mergeCell ref="KC64:KT64"/>
    <mergeCell ref="IQ63:IW63"/>
    <mergeCell ref="IQ64:IW64"/>
    <mergeCell ref="IX64:JE64"/>
    <mergeCell ref="KU62:MZ62"/>
    <mergeCell ref="FB63:GS63"/>
    <mergeCell ref="GT63:HA63"/>
    <mergeCell ref="HB63:HI63"/>
    <mergeCell ref="HJ63:HQ63"/>
    <mergeCell ref="HR63:HY63"/>
    <mergeCell ref="HZ63:II63"/>
    <mergeCell ref="JF63:JJ63"/>
    <mergeCell ref="JK63:KB63"/>
    <mergeCell ref="KC63:KT63"/>
    <mergeCell ref="KU61:MZ61"/>
    <mergeCell ref="FB62:GS62"/>
    <mergeCell ref="GT62:HA62"/>
    <mergeCell ref="HB62:HI62"/>
    <mergeCell ref="HJ62:HQ62"/>
    <mergeCell ref="HR62:HY62"/>
    <mergeCell ref="HZ62:II62"/>
    <mergeCell ref="JF62:JJ62"/>
    <mergeCell ref="JK62:KB62"/>
    <mergeCell ref="KC62:KT62"/>
    <mergeCell ref="IQ61:IW61"/>
    <mergeCell ref="IQ62:IW62"/>
    <mergeCell ref="FB61:GS61"/>
    <mergeCell ref="GT61:HA61"/>
    <mergeCell ref="HB61:HI61"/>
    <mergeCell ref="HJ61:HQ61"/>
    <mergeCell ref="HR61:HY61"/>
    <mergeCell ref="HZ61:II61"/>
    <mergeCell ref="JF61:JJ61"/>
    <mergeCell ref="JK61:KB61"/>
    <mergeCell ref="KC61:KT61"/>
    <mergeCell ref="KU58:MZ58"/>
    <mergeCell ref="FB59:GS59"/>
    <mergeCell ref="GT59:HA59"/>
    <mergeCell ref="HB59:HI59"/>
    <mergeCell ref="HJ59:HQ59"/>
    <mergeCell ref="HR59:HY59"/>
    <mergeCell ref="HZ59:II59"/>
    <mergeCell ref="JF59:JJ59"/>
    <mergeCell ref="JK59:KB59"/>
    <mergeCell ref="KC59:KT59"/>
    <mergeCell ref="KU47:MZ47"/>
    <mergeCell ref="FB58:GS58"/>
    <mergeCell ref="GT58:HA58"/>
    <mergeCell ref="HB58:HI58"/>
    <mergeCell ref="HJ58:HQ58"/>
    <mergeCell ref="HR58:HY58"/>
    <mergeCell ref="HZ58:II58"/>
    <mergeCell ref="JF58:JJ58"/>
    <mergeCell ref="JK58:KB58"/>
    <mergeCell ref="KC58:KT58"/>
    <mergeCell ref="IQ47:IW47"/>
    <mergeCell ref="IQ58:IW58"/>
    <mergeCell ref="JF50:JJ50"/>
    <mergeCell ref="JK50:KB50"/>
    <mergeCell ref="KC50:KT50"/>
    <mergeCell ref="KU50:MZ50"/>
    <mergeCell ref="FB51:GS51"/>
    <mergeCell ref="GT51:HA51"/>
    <mergeCell ref="HB51:HI51"/>
    <mergeCell ref="IQ55:IW55"/>
    <mergeCell ref="IX55:JE55"/>
    <mergeCell ref="JF55:JJ55"/>
    <mergeCell ref="FB46:GS46"/>
    <mergeCell ref="GT46:HA46"/>
    <mergeCell ref="HB46:HI46"/>
    <mergeCell ref="HJ46:HQ46"/>
    <mergeCell ref="HR46:HY46"/>
    <mergeCell ref="HZ46:II46"/>
    <mergeCell ref="JF46:JJ46"/>
    <mergeCell ref="JK46:KB46"/>
    <mergeCell ref="KC46:KT46"/>
    <mergeCell ref="IQ26:IW26"/>
    <mergeCell ref="IQ46:IW46"/>
    <mergeCell ref="FB29:GS29"/>
    <mergeCell ref="GT29:HA29"/>
    <mergeCell ref="HB29:HI29"/>
    <mergeCell ref="HJ29:HQ29"/>
    <mergeCell ref="HR29:HY29"/>
    <mergeCell ref="IX46:JE46"/>
    <mergeCell ref="GT27:HA27"/>
    <mergeCell ref="HB27:HI27"/>
    <mergeCell ref="HJ27:HQ27"/>
    <mergeCell ref="FB32:GS32"/>
    <mergeCell ref="FB33:GS33"/>
    <mergeCell ref="FB30:GS30"/>
    <mergeCell ref="FB31:GS31"/>
    <mergeCell ref="GT31:HA31"/>
    <mergeCell ref="HB31:HI31"/>
    <mergeCell ref="HJ31:HQ31"/>
    <mergeCell ref="HB30:HI30"/>
    <mergeCell ref="HJ30:HQ30"/>
    <mergeCell ref="HR30:HY30"/>
    <mergeCell ref="JF27:JJ27"/>
    <mergeCell ref="JK27:KB27"/>
    <mergeCell ref="KU25:MZ25"/>
    <mergeCell ref="FB26:GS26"/>
    <mergeCell ref="GT26:HA26"/>
    <mergeCell ref="HB26:HI26"/>
    <mergeCell ref="HJ26:HQ26"/>
    <mergeCell ref="HR26:HY26"/>
    <mergeCell ref="HZ26:II26"/>
    <mergeCell ref="JF26:JJ26"/>
    <mergeCell ref="JK26:KB26"/>
    <mergeCell ref="KC26:KT26"/>
    <mergeCell ref="KU24:MZ24"/>
    <mergeCell ref="FB25:GS25"/>
    <mergeCell ref="GT25:HA25"/>
    <mergeCell ref="HB25:HI25"/>
    <mergeCell ref="HJ25:HQ25"/>
    <mergeCell ref="HR25:HY25"/>
    <mergeCell ref="HZ25:II25"/>
    <mergeCell ref="JF25:JJ25"/>
    <mergeCell ref="JK25:KB25"/>
    <mergeCell ref="KC25:KT25"/>
    <mergeCell ref="IQ24:IW24"/>
    <mergeCell ref="IQ25:IW25"/>
    <mergeCell ref="KU26:MZ26"/>
    <mergeCell ref="KU23:MZ23"/>
    <mergeCell ref="FB24:GS24"/>
    <mergeCell ref="GT24:HA24"/>
    <mergeCell ref="HB24:HI24"/>
    <mergeCell ref="HJ24:HQ24"/>
    <mergeCell ref="HR24:HY24"/>
    <mergeCell ref="HZ24:II24"/>
    <mergeCell ref="JF24:JJ24"/>
    <mergeCell ref="JK24:KB24"/>
    <mergeCell ref="KC24:KT24"/>
    <mergeCell ref="KU22:MZ22"/>
    <mergeCell ref="FB23:GS23"/>
    <mergeCell ref="GT23:HA23"/>
    <mergeCell ref="HB23:HI23"/>
    <mergeCell ref="HJ23:HQ23"/>
    <mergeCell ref="HR23:HY23"/>
    <mergeCell ref="HZ23:II23"/>
    <mergeCell ref="JF23:JJ23"/>
    <mergeCell ref="JK23:KB23"/>
    <mergeCell ref="KC23:KT23"/>
    <mergeCell ref="IQ22:IW22"/>
    <mergeCell ref="IQ23:IW23"/>
    <mergeCell ref="KU21:MZ21"/>
    <mergeCell ref="FB22:GS22"/>
    <mergeCell ref="GT22:HA22"/>
    <mergeCell ref="HB22:HI22"/>
    <mergeCell ref="HJ22:HQ22"/>
    <mergeCell ref="HR22:HY22"/>
    <mergeCell ref="HZ22:II22"/>
    <mergeCell ref="JF22:JJ22"/>
    <mergeCell ref="JK22:KB22"/>
    <mergeCell ref="KC22:KT22"/>
    <mergeCell ref="KU19:MZ19"/>
    <mergeCell ref="FB21:GS21"/>
    <mergeCell ref="GT21:HA21"/>
    <mergeCell ref="HB21:HI21"/>
    <mergeCell ref="HJ21:HQ21"/>
    <mergeCell ref="HR21:HY21"/>
    <mergeCell ref="HZ21:II21"/>
    <mergeCell ref="JF21:JJ21"/>
    <mergeCell ref="JK21:KB21"/>
    <mergeCell ref="KC21:KT21"/>
    <mergeCell ref="IQ19:IW19"/>
    <mergeCell ref="IQ21:IW21"/>
    <mergeCell ref="FB20:GS20"/>
    <mergeCell ref="GT20:HA20"/>
    <mergeCell ref="HB20:HI20"/>
    <mergeCell ref="HJ20:HQ20"/>
    <mergeCell ref="HR20:HY20"/>
    <mergeCell ref="HZ20:II20"/>
    <mergeCell ref="IQ20:IW20"/>
    <mergeCell ref="IX20:JE20"/>
    <mergeCell ref="JF20:JJ20"/>
    <mergeCell ref="JK20:KB20"/>
    <mergeCell ref="KU18:MZ18"/>
    <mergeCell ref="FB19:GS19"/>
    <mergeCell ref="GT19:HA19"/>
    <mergeCell ref="HB19:HI19"/>
    <mergeCell ref="HJ19:HQ19"/>
    <mergeCell ref="HR19:HY19"/>
    <mergeCell ref="HZ19:II19"/>
    <mergeCell ref="JF19:JJ19"/>
    <mergeCell ref="JK19:KB19"/>
    <mergeCell ref="KC19:KT19"/>
    <mergeCell ref="KU17:MZ17"/>
    <mergeCell ref="FB18:GS18"/>
    <mergeCell ref="GT18:HA18"/>
    <mergeCell ref="HB18:HI18"/>
    <mergeCell ref="HJ18:HQ18"/>
    <mergeCell ref="HR18:HY18"/>
    <mergeCell ref="HZ18:II18"/>
    <mergeCell ref="JF18:JJ18"/>
    <mergeCell ref="JK18:KB18"/>
    <mergeCell ref="KC18:KT18"/>
    <mergeCell ref="IQ17:IW17"/>
    <mergeCell ref="IQ18:IW18"/>
    <mergeCell ref="KU16:MZ16"/>
    <mergeCell ref="FB17:GS17"/>
    <mergeCell ref="GT17:HA17"/>
    <mergeCell ref="HB17:HI17"/>
    <mergeCell ref="HJ17:HQ17"/>
    <mergeCell ref="HR17:HY17"/>
    <mergeCell ref="HZ17:II17"/>
    <mergeCell ref="JF17:JJ17"/>
    <mergeCell ref="JK17:KB17"/>
    <mergeCell ref="KC17:KT17"/>
    <mergeCell ref="KU15:MZ15"/>
    <mergeCell ref="FB16:GS16"/>
    <mergeCell ref="GT16:HA16"/>
    <mergeCell ref="HB16:HI16"/>
    <mergeCell ref="HJ16:HQ16"/>
    <mergeCell ref="HR16:HY16"/>
    <mergeCell ref="HZ16:II16"/>
    <mergeCell ref="JF16:JJ16"/>
    <mergeCell ref="JK16:KB16"/>
    <mergeCell ref="KC16:KT16"/>
    <mergeCell ref="IQ15:IW15"/>
    <mergeCell ref="IQ16:IW16"/>
    <mergeCell ref="KU14:MZ14"/>
    <mergeCell ref="FB15:GS15"/>
    <mergeCell ref="GT15:HA15"/>
    <mergeCell ref="HB15:HI15"/>
    <mergeCell ref="HJ15:HQ15"/>
    <mergeCell ref="HR15:HY15"/>
    <mergeCell ref="HZ15:II15"/>
    <mergeCell ref="JF15:JJ15"/>
    <mergeCell ref="JK15:KB15"/>
    <mergeCell ref="KC15:KT15"/>
    <mergeCell ref="KU13:MZ13"/>
    <mergeCell ref="FB14:GS14"/>
    <mergeCell ref="GT14:HA14"/>
    <mergeCell ref="HB14:HI14"/>
    <mergeCell ref="HJ14:HQ14"/>
    <mergeCell ref="HR14:HY14"/>
    <mergeCell ref="HZ14:II14"/>
    <mergeCell ref="JF14:JJ14"/>
    <mergeCell ref="JK14:KB14"/>
    <mergeCell ref="KC14:KT14"/>
    <mergeCell ref="IQ13:IW13"/>
    <mergeCell ref="IQ14:IW14"/>
    <mergeCell ref="KU12:MZ12"/>
    <mergeCell ref="FB13:GS13"/>
    <mergeCell ref="GT13:HA13"/>
    <mergeCell ref="HB13:HI13"/>
    <mergeCell ref="HJ13:HQ13"/>
    <mergeCell ref="HR13:HY13"/>
    <mergeCell ref="HZ13:II13"/>
    <mergeCell ref="JF13:JJ13"/>
    <mergeCell ref="JK13:KB13"/>
    <mergeCell ref="KC13:KT13"/>
    <mergeCell ref="KU11:MZ11"/>
    <mergeCell ref="FB12:GS12"/>
    <mergeCell ref="GT12:HA12"/>
    <mergeCell ref="HB12:HI12"/>
    <mergeCell ref="HJ12:HQ12"/>
    <mergeCell ref="HR12:HY12"/>
    <mergeCell ref="HZ12:II12"/>
    <mergeCell ref="JF12:JJ12"/>
    <mergeCell ref="JK12:KB12"/>
    <mergeCell ref="KC12:KT12"/>
    <mergeCell ref="IQ11:IW11"/>
    <mergeCell ref="IQ12:IW12"/>
    <mergeCell ref="KU10:MZ10"/>
    <mergeCell ref="FB11:GS11"/>
    <mergeCell ref="GT11:HA11"/>
    <mergeCell ref="HB11:HI11"/>
    <mergeCell ref="HJ11:HQ11"/>
    <mergeCell ref="HR11:HY11"/>
    <mergeCell ref="HZ11:II11"/>
    <mergeCell ref="JF11:JJ11"/>
    <mergeCell ref="JK11:KB11"/>
    <mergeCell ref="KC11:KT11"/>
    <mergeCell ref="KU9:MZ9"/>
    <mergeCell ref="FB10:GS10"/>
    <mergeCell ref="GT10:HA10"/>
    <mergeCell ref="HB10:HI10"/>
    <mergeCell ref="HJ10:HQ10"/>
    <mergeCell ref="HR10:HY10"/>
    <mergeCell ref="HZ10:II10"/>
    <mergeCell ref="JF10:JJ10"/>
    <mergeCell ref="JK10:KB10"/>
    <mergeCell ref="KC10:KT10"/>
    <mergeCell ref="IQ9:IW9"/>
    <mergeCell ref="IQ10:IW10"/>
    <mergeCell ref="KU8:MZ8"/>
    <mergeCell ref="FB9:GS9"/>
    <mergeCell ref="GT9:HA9"/>
    <mergeCell ref="HB9:HI9"/>
    <mergeCell ref="HJ9:HQ9"/>
    <mergeCell ref="HR9:HY9"/>
    <mergeCell ref="HZ9:II9"/>
    <mergeCell ref="JF9:JJ9"/>
    <mergeCell ref="JK9:KB9"/>
    <mergeCell ref="KC9:KT9"/>
    <mergeCell ref="KU7:MZ7"/>
    <mergeCell ref="FB8:GS8"/>
    <mergeCell ref="GT8:HA8"/>
    <mergeCell ref="HB8:HI8"/>
    <mergeCell ref="HJ8:HQ8"/>
    <mergeCell ref="HR8:HY8"/>
    <mergeCell ref="HZ8:II8"/>
    <mergeCell ref="JF8:JJ8"/>
    <mergeCell ref="JK8:KB8"/>
    <mergeCell ref="KC8:KT8"/>
    <mergeCell ref="IQ7:IW7"/>
    <mergeCell ref="IQ8:IW8"/>
    <mergeCell ref="FB7:GS7"/>
    <mergeCell ref="GT7:HA7"/>
    <mergeCell ref="HB7:HI7"/>
    <mergeCell ref="HJ7:HQ7"/>
    <mergeCell ref="HR7:HY7"/>
    <mergeCell ref="HZ7:II7"/>
    <mergeCell ref="JF7:JJ7"/>
    <mergeCell ref="JK7:KB7"/>
    <mergeCell ref="KC7:KT7"/>
    <mergeCell ref="IX7:JE7"/>
    <mergeCell ref="KU5:MZ5"/>
    <mergeCell ref="FB6:GS6"/>
    <mergeCell ref="GT6:HA6"/>
    <mergeCell ref="HB6:HI6"/>
    <mergeCell ref="HJ6:HQ6"/>
    <mergeCell ref="HR6:HY6"/>
    <mergeCell ref="HZ6:II6"/>
    <mergeCell ref="JF6:JJ6"/>
    <mergeCell ref="JK6:KB6"/>
    <mergeCell ref="KC6:KT6"/>
    <mergeCell ref="IQ5:IW5"/>
    <mergeCell ref="IQ6:IW6"/>
    <mergeCell ref="KU4:MZ4"/>
    <mergeCell ref="FB5:GS5"/>
    <mergeCell ref="GT5:HA5"/>
    <mergeCell ref="HB5:HI5"/>
    <mergeCell ref="HJ5:HQ5"/>
    <mergeCell ref="HR5:HY5"/>
    <mergeCell ref="HZ5:II5"/>
    <mergeCell ref="JF5:JJ5"/>
    <mergeCell ref="JK5:KB5"/>
    <mergeCell ref="KC5:KT5"/>
    <mergeCell ref="IX4:JE4"/>
    <mergeCell ref="IX5:JE5"/>
    <mergeCell ref="IX6:JE6"/>
    <mergeCell ref="KU3:MZ3"/>
    <mergeCell ref="FB4:GS4"/>
    <mergeCell ref="GT4:HA4"/>
    <mergeCell ref="HB4:HI4"/>
    <mergeCell ref="HJ4:HQ4"/>
    <mergeCell ref="HR4:HY4"/>
    <mergeCell ref="HZ4:II4"/>
    <mergeCell ref="JF4:JJ4"/>
    <mergeCell ref="JK4:KB4"/>
    <mergeCell ref="KC4:KT4"/>
    <mergeCell ref="HZ3:II3"/>
    <mergeCell ref="JF3:JJ3"/>
    <mergeCell ref="JK3:KB3"/>
    <mergeCell ref="KC3:KT3"/>
    <mergeCell ref="FB3:GS3"/>
    <mergeCell ref="GT3:HA3"/>
    <mergeCell ref="HB3:HI3"/>
    <mergeCell ref="HJ3:HQ3"/>
    <mergeCell ref="HR3:HY3"/>
    <mergeCell ref="IQ3:IW3"/>
    <mergeCell ref="IQ4:IW4"/>
    <mergeCell ref="IX3:JE3"/>
    <mergeCell ref="DV2:EZ2"/>
    <mergeCell ref="DV3:EZ4"/>
    <mergeCell ref="DD4:DL4"/>
    <mergeCell ref="DD5:DL5"/>
    <mergeCell ref="DD6:DL6"/>
    <mergeCell ref="DM5:DT5"/>
    <mergeCell ref="DM6:DT6"/>
    <mergeCell ref="DM3:DT3"/>
    <mergeCell ref="DM4:DT4"/>
    <mergeCell ref="EG16:EN16"/>
    <mergeCell ref="EO16:ER16"/>
    <mergeCell ref="ES16:EZ16"/>
    <mergeCell ref="EG10:EZ10"/>
    <mergeCell ref="EG12:EZ12"/>
    <mergeCell ref="EG14:EN14"/>
    <mergeCell ref="EO14:ER14"/>
    <mergeCell ref="ES14:EZ14"/>
    <mergeCell ref="EG15:EN15"/>
    <mergeCell ref="EO15:ER15"/>
    <mergeCell ref="ES15:EZ15"/>
    <mergeCell ref="EG9:EN9"/>
    <mergeCell ref="EO9:ER9"/>
    <mergeCell ref="ES9:EZ9"/>
    <mergeCell ref="EG11:EN11"/>
    <mergeCell ref="EO11:ER11"/>
    <mergeCell ref="ES11:EZ11"/>
    <mergeCell ref="EG13:EN13"/>
    <mergeCell ref="EO13:ER13"/>
    <mergeCell ref="ES13:EZ13"/>
    <mergeCell ref="DD2:DT2"/>
    <mergeCell ref="DD3:DL3"/>
    <mergeCell ref="DD9:EF9"/>
    <mergeCell ref="DD10:EF10"/>
    <mergeCell ref="DD11:EF11"/>
    <mergeCell ref="DD12:EF12"/>
    <mergeCell ref="DD13:EF13"/>
    <mergeCell ref="DD14:EF14"/>
    <mergeCell ref="DD15:EF15"/>
    <mergeCell ref="DD16:EF16"/>
    <mergeCell ref="DD8:EZ8"/>
    <mergeCell ref="BM104:BS104"/>
    <mergeCell ref="BT104:BZ104"/>
    <mergeCell ref="EG19:EN19"/>
    <mergeCell ref="EG20:EN20"/>
    <mergeCell ref="EG21:EN21"/>
    <mergeCell ref="BM100:BS100"/>
    <mergeCell ref="BT100:BZ100"/>
    <mergeCell ref="BM96:BS96"/>
    <mergeCell ref="BT96:BZ96"/>
    <mergeCell ref="BM92:BS92"/>
    <mergeCell ref="BT92:BZ92"/>
    <mergeCell ref="BM88:BS88"/>
    <mergeCell ref="BT88:BZ88"/>
    <mergeCell ref="BM84:BS84"/>
    <mergeCell ref="BT84:BZ84"/>
    <mergeCell ref="DO87:EQ87"/>
    <mergeCell ref="DO88:EQ88"/>
    <mergeCell ref="DO89:EQ89"/>
    <mergeCell ref="ER87:EZ87"/>
    <mergeCell ref="CA14:CG14"/>
    <mergeCell ref="CV12:DB12"/>
    <mergeCell ref="CV13:DB13"/>
    <mergeCell ref="CH14:CN14"/>
    <mergeCell ref="B79:BZ79"/>
    <mergeCell ref="AK104:AQ104"/>
    <mergeCell ref="AR104:AX104"/>
    <mergeCell ref="AY104:BE104"/>
    <mergeCell ref="BF104:BL104"/>
    <mergeCell ref="BM102:BS102"/>
    <mergeCell ref="BT102:BZ102"/>
    <mergeCell ref="AK103:AQ103"/>
    <mergeCell ref="AR103:AX103"/>
    <mergeCell ref="AY103:BE103"/>
    <mergeCell ref="BF103:BL103"/>
    <mergeCell ref="BM103:BS103"/>
    <mergeCell ref="BT103:BZ103"/>
    <mergeCell ref="AK102:AQ102"/>
    <mergeCell ref="AR102:AX102"/>
    <mergeCell ref="AY102:BE102"/>
    <mergeCell ref="BF102:BL102"/>
    <mergeCell ref="EO19:ER19"/>
    <mergeCell ref="EO20:ER20"/>
    <mergeCell ref="EO21:ER21"/>
    <mergeCell ref="EO22:ER22"/>
    <mergeCell ref="DE99:DM99"/>
    <mergeCell ref="DE100:DM100"/>
    <mergeCell ref="DE101:DM101"/>
    <mergeCell ref="DE102:DM102"/>
    <mergeCell ref="DE103:DM103"/>
    <mergeCell ref="DE104:DM104"/>
    <mergeCell ref="DE94:DM94"/>
    <mergeCell ref="DE95:DM95"/>
    <mergeCell ref="DE96:DM96"/>
    <mergeCell ref="DE97:DM97"/>
    <mergeCell ref="DE98:DM98"/>
    <mergeCell ref="CB99:DD99"/>
    <mergeCell ref="AK101:AQ101"/>
    <mergeCell ref="AR101:AX101"/>
    <mergeCell ref="AY101:BE101"/>
    <mergeCell ref="BF101:BL101"/>
    <mergeCell ref="BM101:BS101"/>
    <mergeCell ref="BT101:BZ101"/>
    <mergeCell ref="AK100:AQ100"/>
    <mergeCell ref="AR100:AX100"/>
    <mergeCell ref="AY100:BE100"/>
    <mergeCell ref="BF100:BL100"/>
    <mergeCell ref="BM98:BS98"/>
    <mergeCell ref="BT98:BZ98"/>
    <mergeCell ref="AK99:AQ99"/>
    <mergeCell ref="AR99:AX99"/>
    <mergeCell ref="AY99:BE99"/>
    <mergeCell ref="BF99:BL99"/>
    <mergeCell ref="BM99:BS99"/>
    <mergeCell ref="BT99:BZ99"/>
    <mergeCell ref="AK98:AQ98"/>
    <mergeCell ref="AR98:AX98"/>
    <mergeCell ref="AY98:BE98"/>
    <mergeCell ref="BF98:BL98"/>
    <mergeCell ref="AK97:AQ97"/>
    <mergeCell ref="AR97:AX97"/>
    <mergeCell ref="AY97:BE97"/>
    <mergeCell ref="BF97:BL97"/>
    <mergeCell ref="BM97:BS97"/>
    <mergeCell ref="BT97:BZ97"/>
    <mergeCell ref="AK96:AQ96"/>
    <mergeCell ref="AR96:AX96"/>
    <mergeCell ref="AY96:BE96"/>
    <mergeCell ref="BF96:BL96"/>
    <mergeCell ref="BM94:BS94"/>
    <mergeCell ref="BT94:BZ94"/>
    <mergeCell ref="AK95:AQ95"/>
    <mergeCell ref="AR95:AX95"/>
    <mergeCell ref="AY95:BE95"/>
    <mergeCell ref="BF95:BL95"/>
    <mergeCell ref="BM95:BS95"/>
    <mergeCell ref="BT95:BZ95"/>
    <mergeCell ref="AK94:AQ94"/>
    <mergeCell ref="AR94:AX94"/>
    <mergeCell ref="AY94:BE94"/>
    <mergeCell ref="BF94:BL94"/>
    <mergeCell ref="AK93:AQ93"/>
    <mergeCell ref="AR93:AX93"/>
    <mergeCell ref="AY93:BE93"/>
    <mergeCell ref="BF93:BL93"/>
    <mergeCell ref="BM93:BS93"/>
    <mergeCell ref="BT93:BZ93"/>
    <mergeCell ref="AK92:AQ92"/>
    <mergeCell ref="AR92:AX92"/>
    <mergeCell ref="AY92:BE92"/>
    <mergeCell ref="BF92:BL92"/>
    <mergeCell ref="BM90:BS90"/>
    <mergeCell ref="BT90:BZ90"/>
    <mergeCell ref="AK91:AQ91"/>
    <mergeCell ref="AR91:AX91"/>
    <mergeCell ref="AY91:BE91"/>
    <mergeCell ref="BF91:BL91"/>
    <mergeCell ref="BM91:BS91"/>
    <mergeCell ref="BT91:BZ91"/>
    <mergeCell ref="AK90:AQ90"/>
    <mergeCell ref="AR90:AX90"/>
    <mergeCell ref="AY90:BE90"/>
    <mergeCell ref="BF90:BL90"/>
    <mergeCell ref="W84:AD84"/>
    <mergeCell ref="W85:AD85"/>
    <mergeCell ref="AK89:AQ89"/>
    <mergeCell ref="AR89:AX89"/>
    <mergeCell ref="AY89:BE89"/>
    <mergeCell ref="BF89:BL89"/>
    <mergeCell ref="BM89:BS89"/>
    <mergeCell ref="BT89:BZ89"/>
    <mergeCell ref="AK88:AQ88"/>
    <mergeCell ref="AR88:AX88"/>
    <mergeCell ref="AY88:BE88"/>
    <mergeCell ref="BF88:BL88"/>
    <mergeCell ref="BM86:BS86"/>
    <mergeCell ref="BT86:BZ86"/>
    <mergeCell ref="AK87:AQ87"/>
    <mergeCell ref="AR87:AX87"/>
    <mergeCell ref="AY87:BE87"/>
    <mergeCell ref="BF87:BL87"/>
    <mergeCell ref="BM87:BS87"/>
    <mergeCell ref="BT87:BZ87"/>
    <mergeCell ref="AK86:AQ86"/>
    <mergeCell ref="AR86:AX86"/>
    <mergeCell ref="AY86:BE86"/>
    <mergeCell ref="BF86:BL86"/>
    <mergeCell ref="AK85:AQ85"/>
    <mergeCell ref="AR85:AX85"/>
    <mergeCell ref="AY85:BE85"/>
    <mergeCell ref="BF85:BL85"/>
    <mergeCell ref="BM85:BS85"/>
    <mergeCell ref="BT85:BZ85"/>
    <mergeCell ref="AK84:AQ84"/>
    <mergeCell ref="AR84:AX84"/>
    <mergeCell ref="AY84:BE84"/>
    <mergeCell ref="BF84:BL84"/>
    <mergeCell ref="BT82:BZ82"/>
    <mergeCell ref="AK83:AQ83"/>
    <mergeCell ref="AR83:AX83"/>
    <mergeCell ref="AY83:BE83"/>
    <mergeCell ref="BF83:BL83"/>
    <mergeCell ref="BM83:BS83"/>
    <mergeCell ref="BT83:BZ83"/>
    <mergeCell ref="BF81:BL81"/>
    <mergeCell ref="BM81:BS81"/>
    <mergeCell ref="BT81:BZ81"/>
    <mergeCell ref="AK82:AQ82"/>
    <mergeCell ref="AR82:AX82"/>
    <mergeCell ref="AY82:BE82"/>
    <mergeCell ref="BF82:BL82"/>
    <mergeCell ref="BM82:BS82"/>
    <mergeCell ref="AK81:AQ81"/>
    <mergeCell ref="AR81:AX81"/>
    <mergeCell ref="AY81:BE81"/>
    <mergeCell ref="BT80:BZ80"/>
    <mergeCell ref="BM80:BS80"/>
    <mergeCell ref="BF80:BL80"/>
    <mergeCell ref="AY80:BE80"/>
    <mergeCell ref="AR80:AX80"/>
    <mergeCell ref="AK80:AQ80"/>
    <mergeCell ref="W80:AD80"/>
    <mergeCell ref="W81:AD81"/>
    <mergeCell ref="W82:AD82"/>
    <mergeCell ref="B80:V80"/>
    <mergeCell ref="B81:V81"/>
    <mergeCell ref="B82:V82"/>
    <mergeCell ref="AE80:AJ80"/>
    <mergeCell ref="AE81:AJ81"/>
    <mergeCell ref="ER88:EZ88"/>
    <mergeCell ref="ER89:EZ89"/>
    <mergeCell ref="DO84:EQ84"/>
    <mergeCell ref="DO85:EQ85"/>
    <mergeCell ref="DO86:EQ86"/>
    <mergeCell ref="ER84:EZ84"/>
    <mergeCell ref="ER85:EZ85"/>
    <mergeCell ref="ER86:EZ86"/>
    <mergeCell ref="DO81:EQ81"/>
    <mergeCell ref="DO82:EQ82"/>
    <mergeCell ref="DO83:EQ83"/>
    <mergeCell ref="ER81:EZ81"/>
    <mergeCell ref="ER82:EZ82"/>
    <mergeCell ref="ER83:EZ83"/>
    <mergeCell ref="ER80:EZ80"/>
    <mergeCell ref="W86:AD86"/>
    <mergeCell ref="W87:AD87"/>
    <mergeCell ref="W88:AD88"/>
    <mergeCell ref="BR77:BZ77"/>
    <mergeCell ref="B73:BZ73"/>
    <mergeCell ref="CB73:EZ73"/>
    <mergeCell ref="BG74:BQ74"/>
    <mergeCell ref="BG75:BQ75"/>
    <mergeCell ref="BG76:BQ76"/>
    <mergeCell ref="BG77:BQ77"/>
    <mergeCell ref="AQ76:AX76"/>
    <mergeCell ref="AQ77:AX77"/>
    <mergeCell ref="AY75:BF75"/>
    <mergeCell ref="AY76:BF76"/>
    <mergeCell ref="AY77:BF77"/>
    <mergeCell ref="AQ74:BF74"/>
    <mergeCell ref="U76:AG76"/>
    <mergeCell ref="U77:AG77"/>
    <mergeCell ref="AH74:AP74"/>
    <mergeCell ref="AH75:AP75"/>
    <mergeCell ref="AH76:AP76"/>
    <mergeCell ref="AH77:AP77"/>
    <mergeCell ref="B76:K76"/>
    <mergeCell ref="B77:K77"/>
    <mergeCell ref="L74:T74"/>
    <mergeCell ref="L75:T75"/>
    <mergeCell ref="L76:T76"/>
    <mergeCell ref="L77:T77"/>
    <mergeCell ref="DE77:DM77"/>
    <mergeCell ref="ER77:EZ77"/>
    <mergeCell ref="DE74:DM74"/>
    <mergeCell ref="DE75:DM75"/>
    <mergeCell ref="B74:K74"/>
    <mergeCell ref="B75:K75"/>
    <mergeCell ref="U74:AG74"/>
    <mergeCell ref="U75:AG75"/>
    <mergeCell ref="AQ75:AX75"/>
    <mergeCell ref="CS71:CZ71"/>
    <mergeCell ref="DA71:DH71"/>
    <mergeCell ref="DI71:DP71"/>
    <mergeCell ref="DQ71:DX71"/>
    <mergeCell ref="BR74:BZ74"/>
    <mergeCell ref="BR75:BZ75"/>
    <mergeCell ref="B71:I71"/>
    <mergeCell ref="DE76:DM76"/>
    <mergeCell ref="CB74:DD74"/>
    <mergeCell ref="CB75:DD75"/>
    <mergeCell ref="CB76:DD76"/>
    <mergeCell ref="AO71:AV71"/>
    <mergeCell ref="AW71:BD71"/>
    <mergeCell ref="BE71:BL71"/>
    <mergeCell ref="BM71:BT71"/>
    <mergeCell ref="BU71:CB71"/>
    <mergeCell ref="CC71:CJ71"/>
    <mergeCell ref="CK71:CR71"/>
    <mergeCell ref="DO74:EQ74"/>
    <mergeCell ref="DO75:EQ75"/>
    <mergeCell ref="DO76:EQ76"/>
    <mergeCell ref="BR76:BZ76"/>
    <mergeCell ref="DQ70:DX70"/>
    <mergeCell ref="AO70:AV70"/>
    <mergeCell ref="AW70:BD70"/>
    <mergeCell ref="BE70:BL70"/>
    <mergeCell ref="BM70:BT70"/>
    <mergeCell ref="BU70:CB70"/>
    <mergeCell ref="CS61:CZ61"/>
    <mergeCell ref="CS64:CZ64"/>
    <mergeCell ref="CC64:CJ64"/>
    <mergeCell ref="CC66:CJ66"/>
    <mergeCell ref="DA48:DH48"/>
    <mergeCell ref="DQ69:DX69"/>
    <mergeCell ref="DA53:DH53"/>
    <mergeCell ref="DA52:DH52"/>
    <mergeCell ref="DA51:DH51"/>
    <mergeCell ref="DA50:DH50"/>
    <mergeCell ref="DA49:DH49"/>
    <mergeCell ref="DQ55:DX55"/>
    <mergeCell ref="DQ57:DX57"/>
    <mergeCell ref="DQ59:DX59"/>
    <mergeCell ref="DQ61:DX61"/>
    <mergeCell ref="DQ64:DX64"/>
    <mergeCell ref="DQ66:DX66"/>
    <mergeCell ref="DI66:DP66"/>
    <mergeCell ref="DI69:DP69"/>
    <mergeCell ref="DQ48:DX48"/>
    <mergeCell ref="DQ49:DX49"/>
    <mergeCell ref="DA69:DH69"/>
    <mergeCell ref="DI48:DP48"/>
    <mergeCell ref="DI49:DP49"/>
    <mergeCell ref="DI50:DP50"/>
    <mergeCell ref="DI51:DP51"/>
    <mergeCell ref="DI52:DP52"/>
    <mergeCell ref="DI53:DP53"/>
    <mergeCell ref="DI54:DP54"/>
    <mergeCell ref="DA54:DH54"/>
    <mergeCell ref="DA55:DH55"/>
    <mergeCell ref="DA57:DH57"/>
    <mergeCell ref="DA59:DH59"/>
    <mergeCell ref="DA61:DH61"/>
    <mergeCell ref="DA68:DH68"/>
    <mergeCell ref="DI68:DP68"/>
    <mergeCell ref="DI67:DP67"/>
    <mergeCell ref="CC70:CJ70"/>
    <mergeCell ref="CK70:CR70"/>
    <mergeCell ref="CS70:CZ70"/>
    <mergeCell ref="DA70:DH70"/>
    <mergeCell ref="DI70:DP70"/>
    <mergeCell ref="DQ68:DX68"/>
    <mergeCell ref="DI62:DP62"/>
    <mergeCell ref="DQ62:DX62"/>
    <mergeCell ref="DI65:DP65"/>
    <mergeCell ref="DQ65:DX65"/>
    <mergeCell ref="CS55:CZ55"/>
    <mergeCell ref="CS57:CZ57"/>
    <mergeCell ref="CS59:CZ59"/>
    <mergeCell ref="BE59:BL59"/>
    <mergeCell ref="BE61:BL61"/>
    <mergeCell ref="BE64:BL64"/>
    <mergeCell ref="BE66:BL66"/>
    <mergeCell ref="BE69:BL69"/>
    <mergeCell ref="CS48:CZ48"/>
    <mergeCell ref="CS49:CZ49"/>
    <mergeCell ref="CK69:CR69"/>
    <mergeCell ref="BE48:BL48"/>
    <mergeCell ref="BE49:BL49"/>
    <mergeCell ref="BE50:BL50"/>
    <mergeCell ref="BE51:BL51"/>
    <mergeCell ref="BE52:BL52"/>
    <mergeCell ref="BE53:BL53"/>
    <mergeCell ref="BE54:BL54"/>
    <mergeCell ref="BE55:BL55"/>
    <mergeCell ref="CK55:CR55"/>
    <mergeCell ref="CK57:CR57"/>
    <mergeCell ref="CK59:CR59"/>
    <mergeCell ref="CK61:CR61"/>
    <mergeCell ref="CK64:CR64"/>
    <mergeCell ref="CK66:CR66"/>
    <mergeCell ref="CK49:CR49"/>
    <mergeCell ref="CK50:CR50"/>
    <mergeCell ref="CK51:CR51"/>
    <mergeCell ref="CK52:CR52"/>
    <mergeCell ref="CK53:CR53"/>
    <mergeCell ref="CK54:CR54"/>
    <mergeCell ref="CC54:CJ54"/>
    <mergeCell ref="CC55:CJ55"/>
    <mergeCell ref="CC57:CJ57"/>
    <mergeCell ref="CC59:CJ59"/>
    <mergeCell ref="CC61:CJ61"/>
    <mergeCell ref="BU64:CB64"/>
    <mergeCell ref="BU66:CB66"/>
    <mergeCell ref="BU69:CB69"/>
    <mergeCell ref="BU63:CB63"/>
    <mergeCell ref="CC63:CJ63"/>
    <mergeCell ref="CK63:CR63"/>
    <mergeCell ref="CC49:CJ49"/>
    <mergeCell ref="CC50:CJ50"/>
    <mergeCell ref="CC51:CJ51"/>
    <mergeCell ref="CC52:CJ52"/>
    <mergeCell ref="CC53:CJ53"/>
    <mergeCell ref="BU54:CB54"/>
    <mergeCell ref="BU55:CB55"/>
    <mergeCell ref="BU57:CB57"/>
    <mergeCell ref="BU59:CB59"/>
    <mergeCell ref="BU61:CB61"/>
    <mergeCell ref="CC69:CJ69"/>
    <mergeCell ref="CC68:CJ68"/>
    <mergeCell ref="CK68:CR68"/>
    <mergeCell ref="CC58:CJ58"/>
    <mergeCell ref="CK58:CR58"/>
    <mergeCell ref="AO54:AV54"/>
    <mergeCell ref="AO55:AV55"/>
    <mergeCell ref="BM51:BT51"/>
    <mergeCell ref="BM52:BT52"/>
    <mergeCell ref="BE57:BL57"/>
    <mergeCell ref="AW57:BD57"/>
    <mergeCell ref="AW59:BD59"/>
    <mergeCell ref="AW61:BD61"/>
    <mergeCell ref="AW64:BD64"/>
    <mergeCell ref="AW66:BD66"/>
    <mergeCell ref="AW69:BD69"/>
    <mergeCell ref="AO69:AV69"/>
    <mergeCell ref="AW49:BD49"/>
    <mergeCell ref="AW50:BD50"/>
    <mergeCell ref="AW51:BD51"/>
    <mergeCell ref="AW52:BD52"/>
    <mergeCell ref="AW53:BD53"/>
    <mergeCell ref="AW54:BD54"/>
    <mergeCell ref="AW55:BD55"/>
    <mergeCell ref="AO57:AV57"/>
    <mergeCell ref="AO59:AV59"/>
    <mergeCell ref="AO61:AV61"/>
    <mergeCell ref="AO64:AV64"/>
    <mergeCell ref="AO66:AV66"/>
    <mergeCell ref="AO68:AV68"/>
    <mergeCell ref="AW68:BD68"/>
    <mergeCell ref="BE68:BL68"/>
    <mergeCell ref="BM69:BT69"/>
    <mergeCell ref="BM53:BT53"/>
    <mergeCell ref="BM54:BT54"/>
    <mergeCell ref="BM55:BT55"/>
    <mergeCell ref="BM57:BT57"/>
    <mergeCell ref="DU39:EB39"/>
    <mergeCell ref="EC39:EJ39"/>
    <mergeCell ref="DM37:DT37"/>
    <mergeCell ref="DU37:EB37"/>
    <mergeCell ref="EC37:EJ37"/>
    <mergeCell ref="EK37:ER37"/>
    <mergeCell ref="ES37:EZ37"/>
    <mergeCell ref="EK36:ER36"/>
    <mergeCell ref="ES36:EZ36"/>
    <mergeCell ref="BB37:BH37"/>
    <mergeCell ref="BQ25:BX25"/>
    <mergeCell ref="BQ26:BX26"/>
    <mergeCell ref="AO49:AV49"/>
    <mergeCell ref="AO50:AV50"/>
    <mergeCell ref="AO51:AV51"/>
    <mergeCell ref="AO52:AV52"/>
    <mergeCell ref="AO53:AV53"/>
    <mergeCell ref="BU48:CB48"/>
    <mergeCell ref="BU49:CB49"/>
    <mergeCell ref="BU50:CB50"/>
    <mergeCell ref="BU51:CB51"/>
    <mergeCell ref="BU52:CB52"/>
    <mergeCell ref="BU53:CB53"/>
    <mergeCell ref="BM48:BT48"/>
    <mergeCell ref="BM49:BT49"/>
    <mergeCell ref="BM50:BT50"/>
    <mergeCell ref="DQ50:DX50"/>
    <mergeCell ref="DQ51:DX51"/>
    <mergeCell ref="DQ52:DX52"/>
    <mergeCell ref="DQ53:DX53"/>
    <mergeCell ref="BI38:BP38"/>
    <mergeCell ref="BI39:BP39"/>
    <mergeCell ref="DM38:DT38"/>
    <mergeCell ref="DU38:EB38"/>
    <mergeCell ref="EC38:EJ38"/>
    <mergeCell ref="BB38:BH38"/>
    <mergeCell ref="BY38:CF38"/>
    <mergeCell ref="CG38:CN38"/>
    <mergeCell ref="AG38:BA38"/>
    <mergeCell ref="AG39:BA39"/>
    <mergeCell ref="AG40:BA40"/>
    <mergeCell ref="AG41:BA41"/>
    <mergeCell ref="B47:EZ47"/>
    <mergeCell ref="DM41:DT41"/>
    <mergeCell ref="DU41:EB41"/>
    <mergeCell ref="EC41:EJ41"/>
    <mergeCell ref="EK41:ER41"/>
    <mergeCell ref="ES41:EZ41"/>
    <mergeCell ref="B25:D25"/>
    <mergeCell ref="EK40:ER40"/>
    <mergeCell ref="ES40:EZ40"/>
    <mergeCell ref="BB41:BH41"/>
    <mergeCell ref="BY41:CF41"/>
    <mergeCell ref="CG41:CN41"/>
    <mergeCell ref="CO41:CV41"/>
    <mergeCell ref="CW41:DD41"/>
    <mergeCell ref="DE41:DL41"/>
    <mergeCell ref="CO40:CV40"/>
    <mergeCell ref="CW40:DD40"/>
    <mergeCell ref="DE40:DL40"/>
    <mergeCell ref="DM40:DT40"/>
    <mergeCell ref="DU40:EB40"/>
    <mergeCell ref="EC40:EJ40"/>
    <mergeCell ref="DM39:DT39"/>
    <mergeCell ref="EC36:EJ36"/>
    <mergeCell ref="EC35:EJ35"/>
    <mergeCell ref="EK35:ER35"/>
    <mergeCell ref="ES35:EZ35"/>
    <mergeCell ref="BB36:BH36"/>
    <mergeCell ref="BY36:CF36"/>
    <mergeCell ref="CG36:CN36"/>
    <mergeCell ref="BQ35:BX35"/>
    <mergeCell ref="BQ36:BX36"/>
    <mergeCell ref="BQ37:BX37"/>
    <mergeCell ref="BI35:BP35"/>
    <mergeCell ref="BI36:BP36"/>
    <mergeCell ref="BI37:BP37"/>
    <mergeCell ref="AO48:AV48"/>
    <mergeCell ref="AW48:BD48"/>
    <mergeCell ref="CC48:CJ48"/>
    <mergeCell ref="CK48:CR48"/>
    <mergeCell ref="EK39:ER39"/>
    <mergeCell ref="ES39:EZ39"/>
    <mergeCell ref="BB40:BH40"/>
    <mergeCell ref="BY40:CF40"/>
    <mergeCell ref="CG40:CN40"/>
    <mergeCell ref="EK38:ER38"/>
    <mergeCell ref="ES38:EZ38"/>
    <mergeCell ref="BB39:BH39"/>
    <mergeCell ref="BY39:CF39"/>
    <mergeCell ref="CG39:CN39"/>
    <mergeCell ref="CO39:CV39"/>
    <mergeCell ref="CW39:DD39"/>
    <mergeCell ref="DE39:DL39"/>
    <mergeCell ref="CO38:CV38"/>
    <mergeCell ref="CW38:DD38"/>
    <mergeCell ref="EK34:ER34"/>
    <mergeCell ref="ES34:EZ34"/>
    <mergeCell ref="BB35:BH35"/>
    <mergeCell ref="BY35:CF35"/>
    <mergeCell ref="CG35:CN35"/>
    <mergeCell ref="CO35:CV35"/>
    <mergeCell ref="CW35:DD35"/>
    <mergeCell ref="DE35:DL35"/>
    <mergeCell ref="CO34:CV34"/>
    <mergeCell ref="CW34:DD34"/>
    <mergeCell ref="DE34:DL34"/>
    <mergeCell ref="DM34:DT34"/>
    <mergeCell ref="DU34:EB34"/>
    <mergeCell ref="EC34:EJ34"/>
    <mergeCell ref="EC33:EJ33"/>
    <mergeCell ref="EK33:ER33"/>
    <mergeCell ref="ES33:EZ33"/>
    <mergeCell ref="BB34:BH34"/>
    <mergeCell ref="BY34:CF34"/>
    <mergeCell ref="CG34:CN34"/>
    <mergeCell ref="BQ33:BX33"/>
    <mergeCell ref="BQ34:BX34"/>
    <mergeCell ref="BI33:BP33"/>
    <mergeCell ref="BI34:BP34"/>
    <mergeCell ref="EK32:ER32"/>
    <mergeCell ref="ES32:EZ32"/>
    <mergeCell ref="BB33:BH33"/>
    <mergeCell ref="BY33:CF33"/>
    <mergeCell ref="CG33:CN33"/>
    <mergeCell ref="CO33:CV33"/>
    <mergeCell ref="CW33:DD33"/>
    <mergeCell ref="DE33:DL33"/>
    <mergeCell ref="CO32:CV32"/>
    <mergeCell ref="CW32:DD32"/>
    <mergeCell ref="DE32:DL32"/>
    <mergeCell ref="DM32:DT32"/>
    <mergeCell ref="DU32:EB32"/>
    <mergeCell ref="EC32:EJ32"/>
    <mergeCell ref="EC31:EJ31"/>
    <mergeCell ref="EK31:ER31"/>
    <mergeCell ref="ES31:EZ31"/>
    <mergeCell ref="BB32:BH32"/>
    <mergeCell ref="BY32:CF32"/>
    <mergeCell ref="CG32:CN32"/>
    <mergeCell ref="BQ31:BX31"/>
    <mergeCell ref="BQ32:BX32"/>
    <mergeCell ref="BI31:BP31"/>
    <mergeCell ref="BI32:BP32"/>
    <mergeCell ref="EK30:ER30"/>
    <mergeCell ref="ES30:EZ30"/>
    <mergeCell ref="BB31:BH31"/>
    <mergeCell ref="BY31:CF31"/>
    <mergeCell ref="CG31:CN31"/>
    <mergeCell ref="CO31:CV31"/>
    <mergeCell ref="CW31:DD31"/>
    <mergeCell ref="DE31:DL31"/>
    <mergeCell ref="CO30:CV30"/>
    <mergeCell ref="CW30:DD30"/>
    <mergeCell ref="DE30:DL30"/>
    <mergeCell ref="DM30:DT30"/>
    <mergeCell ref="DU30:EB30"/>
    <mergeCell ref="EC30:EJ30"/>
    <mergeCell ref="EC26:EJ26"/>
    <mergeCell ref="DM29:DT29"/>
    <mergeCell ref="DU29:EB29"/>
    <mergeCell ref="EC29:EJ29"/>
    <mergeCell ref="EK29:ER29"/>
    <mergeCell ref="ES29:EZ29"/>
    <mergeCell ref="BB30:BH30"/>
    <mergeCell ref="BY30:CF30"/>
    <mergeCell ref="CG30:CN30"/>
    <mergeCell ref="EK28:ER28"/>
    <mergeCell ref="ES28:EZ28"/>
    <mergeCell ref="BB29:BH29"/>
    <mergeCell ref="BY29:CF29"/>
    <mergeCell ref="CG29:CN29"/>
    <mergeCell ref="CO29:CV29"/>
    <mergeCell ref="CW29:DD29"/>
    <mergeCell ref="DE29:DL29"/>
    <mergeCell ref="CO28:CV28"/>
    <mergeCell ref="ES25:EZ25"/>
    <mergeCell ref="BB26:BH26"/>
    <mergeCell ref="BY26:CF26"/>
    <mergeCell ref="CG26:CN26"/>
    <mergeCell ref="CG25:CN25"/>
    <mergeCell ref="BY25:CF25"/>
    <mergeCell ref="CO25:CV25"/>
    <mergeCell ref="CW25:DD25"/>
    <mergeCell ref="DE25:DL25"/>
    <mergeCell ref="BB25:BH25"/>
    <mergeCell ref="DM27:DT27"/>
    <mergeCell ref="DU27:EB27"/>
    <mergeCell ref="EC27:EJ27"/>
    <mergeCell ref="EK27:ER27"/>
    <mergeCell ref="ES27:EZ27"/>
    <mergeCell ref="EK26:ER26"/>
    <mergeCell ref="ES26:EZ26"/>
    <mergeCell ref="BB27:BH27"/>
    <mergeCell ref="BY27:CF27"/>
    <mergeCell ref="CG27:CN27"/>
    <mergeCell ref="CO27:CV27"/>
    <mergeCell ref="CW27:DD27"/>
    <mergeCell ref="DE27:DL27"/>
    <mergeCell ref="CO26:CV26"/>
    <mergeCell ref="BQ27:BX27"/>
    <mergeCell ref="BI25:BP25"/>
    <mergeCell ref="BI26:BP26"/>
    <mergeCell ref="BI27:BP27"/>
    <mergeCell ref="B31:D31"/>
    <mergeCell ref="BB28:BH28"/>
    <mergeCell ref="BY28:CF28"/>
    <mergeCell ref="CG28:CN28"/>
    <mergeCell ref="CW26:DD26"/>
    <mergeCell ref="DE26:DL26"/>
    <mergeCell ref="DM26:DT26"/>
    <mergeCell ref="DU26:EB26"/>
    <mergeCell ref="DM31:DT31"/>
    <mergeCell ref="DU31:EB31"/>
    <mergeCell ref="DM33:DT33"/>
    <mergeCell ref="DU33:EB33"/>
    <mergeCell ref="DM35:DT35"/>
    <mergeCell ref="DU35:EB35"/>
    <mergeCell ref="AG27:BA27"/>
    <mergeCell ref="AG28:BA28"/>
    <mergeCell ref="AG29:BA29"/>
    <mergeCell ref="E31:AF31"/>
    <mergeCell ref="E32:AF32"/>
    <mergeCell ref="E33:AF33"/>
    <mergeCell ref="CW28:DD28"/>
    <mergeCell ref="DE28:DL28"/>
    <mergeCell ref="DM28:DT28"/>
    <mergeCell ref="DU28:EB28"/>
    <mergeCell ref="BQ29:BX29"/>
    <mergeCell ref="BQ30:BX30"/>
    <mergeCell ref="BI28:BP28"/>
    <mergeCell ref="BI29:BP29"/>
    <mergeCell ref="BI30:BP30"/>
    <mergeCell ref="AG30:BA30"/>
    <mergeCell ref="AG31:BA31"/>
    <mergeCell ref="BQ28:BX28"/>
    <mergeCell ref="X15:AD15"/>
    <mergeCell ref="X16:AD16"/>
    <mergeCell ref="X17:AD17"/>
    <mergeCell ref="AZ18:BF18"/>
    <mergeCell ref="AZ19:BF19"/>
    <mergeCell ref="AZ20:BF20"/>
    <mergeCell ref="AZ21:BF21"/>
    <mergeCell ref="AZ22:BF22"/>
    <mergeCell ref="B38:D38"/>
    <mergeCell ref="B39:D39"/>
    <mergeCell ref="B40:D40"/>
    <mergeCell ref="B41:D41"/>
    <mergeCell ref="E25:AF25"/>
    <mergeCell ref="E26:AF26"/>
    <mergeCell ref="E27:AF27"/>
    <mergeCell ref="E28:AF28"/>
    <mergeCell ref="E29:AF29"/>
    <mergeCell ref="E30:AF30"/>
    <mergeCell ref="B32:D32"/>
    <mergeCell ref="B33:D33"/>
    <mergeCell ref="B34:D34"/>
    <mergeCell ref="B35:D35"/>
    <mergeCell ref="B36:D36"/>
    <mergeCell ref="B37:D37"/>
    <mergeCell ref="B26:D26"/>
    <mergeCell ref="B27:D27"/>
    <mergeCell ref="B28:D28"/>
    <mergeCell ref="B29:D29"/>
    <mergeCell ref="B30:D30"/>
    <mergeCell ref="E37:AF37"/>
    <mergeCell ref="E38:AF38"/>
    <mergeCell ref="E39:AF39"/>
    <mergeCell ref="Q12:W12"/>
    <mergeCell ref="Q13:W13"/>
    <mergeCell ref="Q14:W14"/>
    <mergeCell ref="Q15:W15"/>
    <mergeCell ref="Q16:W16"/>
    <mergeCell ref="X20:AD20"/>
    <mergeCell ref="X21:AD21"/>
    <mergeCell ref="Q20:W20"/>
    <mergeCell ref="Q21:W21"/>
    <mergeCell ref="CV18:DB18"/>
    <mergeCell ref="CV14:DB14"/>
    <mergeCell ref="CA15:CG15"/>
    <mergeCell ref="CH15:CN15"/>
    <mergeCell ref="CO15:CU15"/>
    <mergeCell ref="CV15:DB15"/>
    <mergeCell ref="CA16:CG16"/>
    <mergeCell ref="CH16:CN16"/>
    <mergeCell ref="CO16:CU16"/>
    <mergeCell ref="CV16:DB16"/>
    <mergeCell ref="CA12:CG12"/>
    <mergeCell ref="CH12:CN12"/>
    <mergeCell ref="CO12:CU12"/>
    <mergeCell ref="CA13:CG13"/>
    <mergeCell ref="CO14:CU14"/>
    <mergeCell ref="AE12:AK12"/>
    <mergeCell ref="AE13:AK13"/>
    <mergeCell ref="AE14:AK14"/>
    <mergeCell ref="AE15:AK15"/>
    <mergeCell ref="AE16:AK16"/>
    <mergeCell ref="X12:AD12"/>
    <mergeCell ref="X13:AD13"/>
    <mergeCell ref="X14:AD14"/>
    <mergeCell ref="R9:Z9"/>
    <mergeCell ref="B9:I9"/>
    <mergeCell ref="AZ3:BI3"/>
    <mergeCell ref="Q17:W17"/>
    <mergeCell ref="Q18:W18"/>
    <mergeCell ref="Q19:W19"/>
    <mergeCell ref="AL16:AR16"/>
    <mergeCell ref="AL17:AR17"/>
    <mergeCell ref="AE17:AK17"/>
    <mergeCell ref="AE18:AK18"/>
    <mergeCell ref="AE19:AK19"/>
    <mergeCell ref="X18:AD18"/>
    <mergeCell ref="X19:AD19"/>
    <mergeCell ref="AS12:AY12"/>
    <mergeCell ref="AS13:AY13"/>
    <mergeCell ref="AS14:AY14"/>
    <mergeCell ref="AS15:AY15"/>
    <mergeCell ref="AS16:AY16"/>
    <mergeCell ref="AL14:AR14"/>
    <mergeCell ref="AZ4:BI4"/>
    <mergeCell ref="AZ5:BI5"/>
    <mergeCell ref="R6:Z6"/>
    <mergeCell ref="R7:Z7"/>
    <mergeCell ref="R8:Z8"/>
    <mergeCell ref="B3:P3"/>
    <mergeCell ref="B4:P4"/>
    <mergeCell ref="AZ15:BF15"/>
    <mergeCell ref="AZ16:BF16"/>
    <mergeCell ref="AZ17:BF17"/>
    <mergeCell ref="AS17:AY17"/>
    <mergeCell ref="AS18:AY18"/>
    <mergeCell ref="AS19:AY19"/>
    <mergeCell ref="B7:I7"/>
    <mergeCell ref="B8:I8"/>
    <mergeCell ref="AI7:AQ7"/>
    <mergeCell ref="AI6:AQ6"/>
    <mergeCell ref="BO5:BS5"/>
    <mergeCell ref="BT5:BX5"/>
    <mergeCell ref="AA6:AH6"/>
    <mergeCell ref="AA7:AH7"/>
    <mergeCell ref="AA8:AH8"/>
    <mergeCell ref="AZ14:BF14"/>
    <mergeCell ref="B12:P12"/>
    <mergeCell ref="B13:P13"/>
    <mergeCell ref="B14:P14"/>
    <mergeCell ref="CHJ3:CKX3"/>
    <mergeCell ref="CHJ4:CIN4"/>
    <mergeCell ref="CIO4:CIR4"/>
    <mergeCell ref="CIS4:CIW4"/>
    <mergeCell ref="CIX4:CJC4"/>
    <mergeCell ref="CJD4:CJI4"/>
    <mergeCell ref="CJJ4:CJO4"/>
    <mergeCell ref="CJP4:CJV4"/>
    <mergeCell ref="CJW4:CKC4"/>
    <mergeCell ref="CKD4:CKJ4"/>
    <mergeCell ref="CKK4:CKQ4"/>
    <mergeCell ref="CKR4:CKX4"/>
    <mergeCell ref="CHJ5:CIN5"/>
    <mergeCell ref="CIO5:CIR5"/>
    <mergeCell ref="CIS5:CIW5"/>
    <mergeCell ref="CIX5:CJC5"/>
    <mergeCell ref="CJD5:CJI5"/>
    <mergeCell ref="AI9:AQ9"/>
    <mergeCell ref="AI8:AQ8"/>
    <mergeCell ref="CJP5:CJV5"/>
    <mergeCell ref="CJW5:CKC5"/>
    <mergeCell ref="CKD5:CKJ5"/>
    <mergeCell ref="CKK5:CKQ5"/>
    <mergeCell ref="CKR5:CKX5"/>
    <mergeCell ref="ATP6:AUT6"/>
    <mergeCell ref="AUU6:AUX6"/>
    <mergeCell ref="AUY6:AVC6"/>
    <mergeCell ref="AVD6:AVI6"/>
    <mergeCell ref="AVJ6:AVO6"/>
    <mergeCell ref="AVP6:AVU6"/>
    <mergeCell ref="AVV6:AWB6"/>
    <mergeCell ref="AWC6:AWI6"/>
    <mergeCell ref="AWJ6:AWP6"/>
    <mergeCell ref="AWQ6:AWW6"/>
    <mergeCell ref="AWX6:AXD6"/>
    <mergeCell ref="B5:P5"/>
    <mergeCell ref="B6:I6"/>
    <mergeCell ref="AZ6:BI6"/>
    <mergeCell ref="DV5:EZ6"/>
    <mergeCell ref="KU6:MZ6"/>
    <mergeCell ref="QC5:QI5"/>
    <mergeCell ref="QC6:QI6"/>
    <mergeCell ref="AAR5:AAX5"/>
    <mergeCell ref="AAY5:ABE5"/>
    <mergeCell ref="ABF5:ABL5"/>
    <mergeCell ref="XX6:ZB6"/>
    <mergeCell ref="ZC6:ZF6"/>
    <mergeCell ref="ZG6:ZK6"/>
    <mergeCell ref="ZL6:ZQ6"/>
    <mergeCell ref="ZR6:ZW6"/>
    <mergeCell ref="ZX6:AAC6"/>
    <mergeCell ref="CH13:CN13"/>
    <mergeCell ref="CO13:CU13"/>
    <mergeCell ref="AG36:BA36"/>
    <mergeCell ref="AG37:BA37"/>
    <mergeCell ref="AG32:BA32"/>
    <mergeCell ref="AG33:BA33"/>
    <mergeCell ref="AG34:BA34"/>
    <mergeCell ref="AE20:AK20"/>
    <mergeCell ref="AE21:AK21"/>
    <mergeCell ref="AE22:AK22"/>
    <mergeCell ref="AL22:AR22"/>
    <mergeCell ref="AL15:AR15"/>
    <mergeCell ref="AG25:BA25"/>
    <mergeCell ref="AG26:BA26"/>
    <mergeCell ref="DM25:DT25"/>
    <mergeCell ref="DU25:EB25"/>
    <mergeCell ref="CJJ5:CJO5"/>
    <mergeCell ref="AZ7:BI7"/>
    <mergeCell ref="AZ8:BI8"/>
    <mergeCell ref="AZ9:BI9"/>
    <mergeCell ref="AS20:AY20"/>
    <mergeCell ref="AS21:AY21"/>
    <mergeCell ref="AS22:AY22"/>
    <mergeCell ref="AL18:AR18"/>
    <mergeCell ref="AL19:AR19"/>
    <mergeCell ref="AL12:AR12"/>
    <mergeCell ref="AL13:AR13"/>
    <mergeCell ref="AZ12:BF12"/>
    <mergeCell ref="AZ13:BF13"/>
    <mergeCell ref="EC28:EJ28"/>
    <mergeCell ref="EC25:EJ25"/>
    <mergeCell ref="EK25:ER25"/>
    <mergeCell ref="E34:AF34"/>
    <mergeCell ref="E35:AF35"/>
    <mergeCell ref="E36:AF36"/>
    <mergeCell ref="AG35:BA35"/>
    <mergeCell ref="AO56:AV56"/>
    <mergeCell ref="AW56:BD56"/>
    <mergeCell ref="BE56:BL56"/>
    <mergeCell ref="BM56:BT56"/>
    <mergeCell ref="BU56:CB56"/>
    <mergeCell ref="CC56:CJ56"/>
    <mergeCell ref="CK56:CR56"/>
    <mergeCell ref="CS56:CZ56"/>
    <mergeCell ref="DA56:DH56"/>
    <mergeCell ref="DI56:DP56"/>
    <mergeCell ref="DQ56:DX56"/>
    <mergeCell ref="AL20:AR20"/>
    <mergeCell ref="AL21:AR21"/>
    <mergeCell ref="Q22:W22"/>
    <mergeCell ref="X22:AD22"/>
    <mergeCell ref="E40:AF40"/>
    <mergeCell ref="E41:AF41"/>
    <mergeCell ref="BY37:CF37"/>
    <mergeCell ref="CG37:CN37"/>
    <mergeCell ref="CO37:CV37"/>
    <mergeCell ref="CW37:DD37"/>
    <mergeCell ref="DE37:DL37"/>
    <mergeCell ref="CO36:CV36"/>
    <mergeCell ref="CW36:DD36"/>
    <mergeCell ref="DE36:DL36"/>
    <mergeCell ref="DM36:DT36"/>
    <mergeCell ref="DU36:EB36"/>
    <mergeCell ref="DE38:DL38"/>
    <mergeCell ref="DQ67:DX67"/>
    <mergeCell ref="BM64:BT64"/>
    <mergeCell ref="BM66:BT66"/>
    <mergeCell ref="BE67:BL67"/>
    <mergeCell ref="BM67:BT67"/>
    <mergeCell ref="DI63:DP63"/>
    <mergeCell ref="DQ63:DX63"/>
    <mergeCell ref="BM58:BT58"/>
    <mergeCell ref="CS58:CZ58"/>
    <mergeCell ref="DA58:DH58"/>
    <mergeCell ref="DI58:DP58"/>
    <mergeCell ref="DQ58:DX58"/>
    <mergeCell ref="AO60:AV60"/>
    <mergeCell ref="AW60:BD60"/>
    <mergeCell ref="BE60:BL60"/>
    <mergeCell ref="BM60:BT60"/>
    <mergeCell ref="BU60:CB60"/>
    <mergeCell ref="CC60:CJ60"/>
    <mergeCell ref="CK60:CR60"/>
    <mergeCell ref="CS60:CZ60"/>
    <mergeCell ref="DA60:DH60"/>
    <mergeCell ref="DI60:DP60"/>
    <mergeCell ref="DQ60:DX60"/>
    <mergeCell ref="BM59:BT59"/>
    <mergeCell ref="BU58:CB58"/>
    <mergeCell ref="DI59:DP59"/>
    <mergeCell ref="DI61:DP61"/>
    <mergeCell ref="DI64:DP64"/>
    <mergeCell ref="DA64:DH64"/>
    <mergeCell ref="DA66:DH66"/>
    <mergeCell ref="B68:O68"/>
    <mergeCell ref="AO62:AV62"/>
    <mergeCell ref="AW62:BD62"/>
    <mergeCell ref="BE62:BL62"/>
    <mergeCell ref="BM62:BT62"/>
    <mergeCell ref="BU62:CB62"/>
    <mergeCell ref="CC62:CJ62"/>
    <mergeCell ref="CK62:CR62"/>
    <mergeCell ref="CS62:CZ62"/>
    <mergeCell ref="DA62:DH62"/>
    <mergeCell ref="BM61:BT61"/>
    <mergeCell ref="CS63:CZ63"/>
    <mergeCell ref="DA63:DH63"/>
    <mergeCell ref="AO65:AV65"/>
    <mergeCell ref="AW65:BD65"/>
    <mergeCell ref="BE65:BL65"/>
    <mergeCell ref="BM65:BT65"/>
    <mergeCell ref="BU65:CB65"/>
    <mergeCell ref="CC65:CJ65"/>
    <mergeCell ref="CK65:CR65"/>
    <mergeCell ref="DA65:DH65"/>
    <mergeCell ref="AO63:AV63"/>
    <mergeCell ref="AW63:BD63"/>
    <mergeCell ref="BE63:BL63"/>
    <mergeCell ref="BM63:BT63"/>
    <mergeCell ref="BU67:CB67"/>
    <mergeCell ref="CC67:CJ67"/>
    <mergeCell ref="CK67:CR67"/>
    <mergeCell ref="DA67:DH67"/>
    <mergeCell ref="BM68:BT68"/>
    <mergeCell ref="BU68:CB68"/>
    <mergeCell ref="P63:AN63"/>
    <mergeCell ref="B69:O69"/>
    <mergeCell ref="B63:O63"/>
    <mergeCell ref="B49:O49"/>
    <mergeCell ref="B50:O50"/>
    <mergeCell ref="B51:O51"/>
    <mergeCell ref="B52:O52"/>
    <mergeCell ref="FB83:GS83"/>
    <mergeCell ref="GT83:HA83"/>
    <mergeCell ref="HB83:HI83"/>
    <mergeCell ref="HJ83:HQ83"/>
    <mergeCell ref="HR83:HY83"/>
    <mergeCell ref="HZ83:II83"/>
    <mergeCell ref="IJ83:IP83"/>
    <mergeCell ref="B53:O53"/>
    <mergeCell ref="B54:O54"/>
    <mergeCell ref="B55:O55"/>
    <mergeCell ref="B56:O56"/>
    <mergeCell ref="B57:O57"/>
    <mergeCell ref="B58:O58"/>
    <mergeCell ref="B59:O59"/>
    <mergeCell ref="B60:O60"/>
    <mergeCell ref="B61:O61"/>
    <mergeCell ref="B62:O62"/>
    <mergeCell ref="B64:O64"/>
    <mergeCell ref="B65:O65"/>
    <mergeCell ref="B66:O66"/>
    <mergeCell ref="AO67:AV67"/>
    <mergeCell ref="AW67:BD67"/>
    <mergeCell ref="B67:O67"/>
    <mergeCell ref="AO58:AV58"/>
    <mergeCell ref="AW58:BD58"/>
    <mergeCell ref="BE58:BL58"/>
    <mergeCell ref="IQ83:IW83"/>
    <mergeCell ref="IX83:JE83"/>
    <mergeCell ref="JF83:JJ83"/>
    <mergeCell ref="JK83:KB83"/>
    <mergeCell ref="KC83:KT83"/>
    <mergeCell ref="KU83:MZ83"/>
    <mergeCell ref="FB84:GS84"/>
    <mergeCell ref="GT84:HA84"/>
    <mergeCell ref="HB84:HI84"/>
    <mergeCell ref="HJ84:HQ84"/>
    <mergeCell ref="HR84:HY84"/>
    <mergeCell ref="HZ84:II84"/>
    <mergeCell ref="IJ84:IP84"/>
    <mergeCell ref="IQ84:IW84"/>
    <mergeCell ref="IX84:JE84"/>
    <mergeCell ref="JF84:JJ84"/>
    <mergeCell ref="JK84:KB84"/>
    <mergeCell ref="KC84:KT84"/>
    <mergeCell ref="KU84:MZ84"/>
    <mergeCell ref="FB85:GS85"/>
    <mergeCell ref="GT85:HA85"/>
    <mergeCell ref="HB85:HI85"/>
    <mergeCell ref="HJ85:HQ85"/>
    <mergeCell ref="HR85:HY85"/>
    <mergeCell ref="HZ85:II85"/>
    <mergeCell ref="IJ85:IP85"/>
    <mergeCell ref="IQ85:IW85"/>
    <mergeCell ref="IX85:JE85"/>
    <mergeCell ref="JF85:JJ85"/>
    <mergeCell ref="JK85:KB85"/>
    <mergeCell ref="KC85:KT85"/>
    <mergeCell ref="KU85:MZ85"/>
    <mergeCell ref="FB86:GS86"/>
    <mergeCell ref="GT86:HA86"/>
    <mergeCell ref="HB86:HI86"/>
    <mergeCell ref="HJ86:HQ86"/>
    <mergeCell ref="HR86:HY86"/>
    <mergeCell ref="HZ86:II86"/>
    <mergeCell ref="IJ86:IP86"/>
    <mergeCell ref="IQ86:IW86"/>
    <mergeCell ref="IX86:JE86"/>
    <mergeCell ref="JF86:JJ86"/>
    <mergeCell ref="JK86:KB86"/>
    <mergeCell ref="KC86:KT86"/>
    <mergeCell ref="KU86:MZ86"/>
    <mergeCell ref="FB87:GS87"/>
    <mergeCell ref="GT87:HA87"/>
    <mergeCell ref="HB87:HI87"/>
    <mergeCell ref="HJ87:HQ87"/>
    <mergeCell ref="HR87:HY87"/>
    <mergeCell ref="HZ87:II87"/>
    <mergeCell ref="IJ87:IP87"/>
    <mergeCell ref="IQ87:IW87"/>
    <mergeCell ref="IX87:JE87"/>
    <mergeCell ref="JF87:JJ87"/>
    <mergeCell ref="JK87:KB87"/>
    <mergeCell ref="KC87:KT87"/>
    <mergeCell ref="KU87:MZ87"/>
    <mergeCell ref="FB88:GS88"/>
    <mergeCell ref="GT88:HA88"/>
    <mergeCell ref="HB88:HI88"/>
    <mergeCell ref="HJ88:HQ88"/>
    <mergeCell ref="HR88:HY88"/>
    <mergeCell ref="HZ88:II88"/>
    <mergeCell ref="IJ88:IP88"/>
    <mergeCell ref="IQ88:IW88"/>
    <mergeCell ref="IX88:JE88"/>
    <mergeCell ref="JF88:JJ88"/>
    <mergeCell ref="JK88:KB88"/>
    <mergeCell ref="KC88:KT88"/>
    <mergeCell ref="KU88:MZ88"/>
    <mergeCell ref="FB89:GS89"/>
    <mergeCell ref="GT89:HA89"/>
    <mergeCell ref="HB89:HI89"/>
    <mergeCell ref="HJ89:HQ89"/>
    <mergeCell ref="HR89:HY89"/>
    <mergeCell ref="HZ89:II89"/>
    <mergeCell ref="IJ89:IP89"/>
    <mergeCell ref="IQ89:IW89"/>
    <mergeCell ref="IX89:JE89"/>
    <mergeCell ref="JF89:JJ89"/>
    <mergeCell ref="JK89:KB89"/>
    <mergeCell ref="KC89:KT89"/>
    <mergeCell ref="KU89:MZ89"/>
    <mergeCell ref="FB90:GS90"/>
    <mergeCell ref="GT90:HA90"/>
    <mergeCell ref="HB90:HI90"/>
    <mergeCell ref="HJ90:HQ90"/>
    <mergeCell ref="HR90:HY90"/>
    <mergeCell ref="HZ90:II90"/>
    <mergeCell ref="IJ90:IP90"/>
    <mergeCell ref="IQ90:IW90"/>
    <mergeCell ref="IX90:JE90"/>
    <mergeCell ref="JF90:JJ90"/>
    <mergeCell ref="JK90:KB90"/>
    <mergeCell ref="KC90:KT90"/>
    <mergeCell ref="KU90:MZ90"/>
    <mergeCell ref="FB91:GS91"/>
    <mergeCell ref="GT91:HA91"/>
    <mergeCell ref="HB91:HI91"/>
    <mergeCell ref="HJ91:HQ91"/>
    <mergeCell ref="HR91:HY91"/>
    <mergeCell ref="HZ91:II91"/>
    <mergeCell ref="IJ91:IP91"/>
    <mergeCell ref="IQ91:IW91"/>
    <mergeCell ref="IX91:JE91"/>
    <mergeCell ref="JF91:JJ91"/>
    <mergeCell ref="JK91:KB91"/>
    <mergeCell ref="KC91:KT91"/>
    <mergeCell ref="KU91:MZ91"/>
    <mergeCell ref="FB92:GS92"/>
    <mergeCell ref="GT92:HA92"/>
    <mergeCell ref="HB92:HI92"/>
    <mergeCell ref="HJ92:HQ92"/>
    <mergeCell ref="HR92:HY92"/>
    <mergeCell ref="HZ92:II92"/>
    <mergeCell ref="IJ92:IP92"/>
    <mergeCell ref="IQ92:IW92"/>
    <mergeCell ref="IX92:JE92"/>
    <mergeCell ref="JF92:JJ92"/>
    <mergeCell ref="JK92:KB92"/>
    <mergeCell ref="KC92:KT92"/>
    <mergeCell ref="KU92:MZ92"/>
    <mergeCell ref="FB93:GS93"/>
    <mergeCell ref="GT93:HA93"/>
    <mergeCell ref="HB93:HI93"/>
    <mergeCell ref="HJ93:HQ93"/>
    <mergeCell ref="HR93:HY93"/>
    <mergeCell ref="HZ93:II93"/>
    <mergeCell ref="IJ93:IP93"/>
    <mergeCell ref="IQ93:IW93"/>
    <mergeCell ref="IX93:JE93"/>
    <mergeCell ref="JF93:JJ93"/>
    <mergeCell ref="JK93:KB93"/>
    <mergeCell ref="KC93:KT93"/>
    <mergeCell ref="KU93:MZ93"/>
    <mergeCell ref="FB94:GS94"/>
    <mergeCell ref="GT94:HA94"/>
    <mergeCell ref="HB94:HI94"/>
    <mergeCell ref="HJ94:HQ94"/>
    <mergeCell ref="HR94:HY94"/>
    <mergeCell ref="HZ94:II94"/>
    <mergeCell ref="IJ94:IP94"/>
    <mergeCell ref="IQ94:IW94"/>
    <mergeCell ref="IX94:JE94"/>
    <mergeCell ref="JF94:JJ94"/>
    <mergeCell ref="JK94:KB94"/>
    <mergeCell ref="KC94:KT94"/>
    <mergeCell ref="KU94:MZ94"/>
    <mergeCell ref="FB95:GS95"/>
    <mergeCell ref="GT95:HA95"/>
    <mergeCell ref="HB95:HI95"/>
    <mergeCell ref="HJ95:HQ95"/>
    <mergeCell ref="HR95:HY95"/>
    <mergeCell ref="HZ95:II95"/>
    <mergeCell ref="IJ95:IP95"/>
    <mergeCell ref="IQ95:IW95"/>
    <mergeCell ref="IX95:JE95"/>
    <mergeCell ref="JF95:JJ95"/>
    <mergeCell ref="JK95:KB95"/>
    <mergeCell ref="KC95:KT95"/>
    <mergeCell ref="KU95:MZ95"/>
    <mergeCell ref="FB96:GS96"/>
    <mergeCell ref="GT96:HA96"/>
    <mergeCell ref="HB96:HI96"/>
    <mergeCell ref="HJ96:HQ96"/>
    <mergeCell ref="HR96:HY96"/>
    <mergeCell ref="HZ96:II96"/>
    <mergeCell ref="IJ96:IP96"/>
    <mergeCell ref="IQ96:IW96"/>
    <mergeCell ref="IX96:JE96"/>
    <mergeCell ref="JF96:JJ96"/>
    <mergeCell ref="JK96:KB96"/>
    <mergeCell ref="KC96:KT96"/>
    <mergeCell ref="KU96:MZ96"/>
    <mergeCell ref="FB97:GS97"/>
    <mergeCell ref="GT97:HA97"/>
    <mergeCell ref="HB97:HI97"/>
    <mergeCell ref="HJ97:HQ97"/>
    <mergeCell ref="HR97:HY97"/>
    <mergeCell ref="HZ97:II97"/>
    <mergeCell ref="IJ97:IP97"/>
    <mergeCell ref="IQ97:IW97"/>
    <mergeCell ref="IX97:JE97"/>
    <mergeCell ref="JF97:JJ97"/>
    <mergeCell ref="JK97:KB97"/>
    <mergeCell ref="KC97:KT97"/>
    <mergeCell ref="KU97:MZ97"/>
    <mergeCell ref="FB98:GS98"/>
    <mergeCell ref="GT98:HA98"/>
    <mergeCell ref="HB98:HI98"/>
    <mergeCell ref="HJ98:HQ98"/>
    <mergeCell ref="HR98:HY98"/>
    <mergeCell ref="HZ98:II98"/>
    <mergeCell ref="IJ98:IP98"/>
    <mergeCell ref="IQ98:IW98"/>
    <mergeCell ref="IX98:JE98"/>
    <mergeCell ref="JF98:JJ98"/>
    <mergeCell ref="JK98:KB98"/>
    <mergeCell ref="KC98:KT98"/>
    <mergeCell ref="KU98:MZ98"/>
    <mergeCell ref="IX102:JE102"/>
    <mergeCell ref="JF102:JJ102"/>
    <mergeCell ref="JK102:KB102"/>
    <mergeCell ref="KC102:KT102"/>
    <mergeCell ref="KU102:MZ102"/>
    <mergeCell ref="FB99:GS99"/>
    <mergeCell ref="GT99:HA99"/>
    <mergeCell ref="HB99:HI99"/>
    <mergeCell ref="HJ99:HQ99"/>
    <mergeCell ref="HR99:HY99"/>
    <mergeCell ref="HZ99:II99"/>
    <mergeCell ref="IJ99:IP99"/>
    <mergeCell ref="IQ99:IW99"/>
    <mergeCell ref="IX99:JE99"/>
    <mergeCell ref="JF99:JJ99"/>
    <mergeCell ref="JK99:KB99"/>
    <mergeCell ref="KC99:KT99"/>
    <mergeCell ref="KU99:MZ99"/>
    <mergeCell ref="FB100:GS100"/>
    <mergeCell ref="GT100:HA100"/>
    <mergeCell ref="HB100:HI100"/>
    <mergeCell ref="HJ100:HQ100"/>
    <mergeCell ref="HR100:HY100"/>
    <mergeCell ref="HZ100:II100"/>
    <mergeCell ref="IJ100:IP100"/>
    <mergeCell ref="IQ100:IW100"/>
    <mergeCell ref="IX100:JE100"/>
    <mergeCell ref="JF100:JJ100"/>
    <mergeCell ref="JK100:KB100"/>
    <mergeCell ref="KC100:KT100"/>
    <mergeCell ref="KU100:MZ100"/>
    <mergeCell ref="HB104:HI104"/>
    <mergeCell ref="HJ104:HQ104"/>
    <mergeCell ref="HR104:HY104"/>
    <mergeCell ref="HZ104:II104"/>
    <mergeCell ref="IJ104:IP104"/>
    <mergeCell ref="IQ104:IW104"/>
    <mergeCell ref="IX104:JE104"/>
    <mergeCell ref="JF104:JJ104"/>
    <mergeCell ref="JK104:KB104"/>
    <mergeCell ref="KC104:KT104"/>
    <mergeCell ref="KU104:MZ104"/>
    <mergeCell ref="FB101:GS101"/>
    <mergeCell ref="GT101:HA101"/>
    <mergeCell ref="HB101:HI101"/>
    <mergeCell ref="HJ101:HQ101"/>
    <mergeCell ref="HR101:HY101"/>
    <mergeCell ref="HZ101:II101"/>
    <mergeCell ref="IJ101:IP101"/>
    <mergeCell ref="IQ101:IW101"/>
    <mergeCell ref="IX101:JE101"/>
    <mergeCell ref="JF101:JJ101"/>
    <mergeCell ref="JK101:KB101"/>
    <mergeCell ref="KC101:KT101"/>
    <mergeCell ref="KU101:MZ101"/>
    <mergeCell ref="FB102:GS102"/>
    <mergeCell ref="GT102:HA102"/>
    <mergeCell ref="HB102:HI102"/>
    <mergeCell ref="HJ102:HQ102"/>
    <mergeCell ref="HR102:HY102"/>
    <mergeCell ref="HZ102:II102"/>
    <mergeCell ref="IJ102:IP102"/>
    <mergeCell ref="IQ102:IW102"/>
    <mergeCell ref="JF113:JJ113"/>
    <mergeCell ref="JK113:KB113"/>
    <mergeCell ref="KC113:KT113"/>
    <mergeCell ref="KU113:MZ113"/>
    <mergeCell ref="FB114:GS114"/>
    <mergeCell ref="GT114:HA114"/>
    <mergeCell ref="HB114:HI114"/>
    <mergeCell ref="HJ114:HQ114"/>
    <mergeCell ref="HR114:HY114"/>
    <mergeCell ref="HZ114:II114"/>
    <mergeCell ref="IJ114:IP114"/>
    <mergeCell ref="IQ114:IW114"/>
    <mergeCell ref="IX114:JE114"/>
    <mergeCell ref="JF114:JJ114"/>
    <mergeCell ref="JK114:KB114"/>
    <mergeCell ref="KC114:KT114"/>
    <mergeCell ref="KU114:MZ114"/>
    <mergeCell ref="GT113:HA113"/>
    <mergeCell ref="HB113:HI113"/>
    <mergeCell ref="HJ113:HQ113"/>
    <mergeCell ref="HR113:HY113"/>
    <mergeCell ref="HZ113:II113"/>
    <mergeCell ref="IJ113:IP113"/>
    <mergeCell ref="IQ113:IW113"/>
    <mergeCell ref="IX113:JE113"/>
    <mergeCell ref="FB105:GS105"/>
    <mergeCell ref="GT105:HA105"/>
    <mergeCell ref="HB105:HI105"/>
    <mergeCell ref="HJ105:HQ105"/>
    <mergeCell ref="HR105:HY105"/>
    <mergeCell ref="HZ105:II105"/>
    <mergeCell ref="IJ105:IP105"/>
    <mergeCell ref="IQ105:IW105"/>
    <mergeCell ref="IX105:JE105"/>
    <mergeCell ref="JF105:JJ105"/>
    <mergeCell ref="JK105:KB105"/>
    <mergeCell ref="KC105:KT105"/>
    <mergeCell ref="KU105:MZ105"/>
    <mergeCell ref="FB106:GS106"/>
    <mergeCell ref="GT106:HA106"/>
    <mergeCell ref="HB106:HI106"/>
    <mergeCell ref="HJ106:HQ106"/>
    <mergeCell ref="HR106:HY106"/>
    <mergeCell ref="HZ106:II106"/>
    <mergeCell ref="IJ106:IP106"/>
    <mergeCell ref="IQ106:IW106"/>
    <mergeCell ref="IX106:JE106"/>
    <mergeCell ref="JF106:JJ106"/>
    <mergeCell ref="JK106:KB106"/>
    <mergeCell ref="KC106:KT106"/>
    <mergeCell ref="KU106:MZ106"/>
    <mergeCell ref="HB107:HI107"/>
    <mergeCell ref="HJ107:HQ107"/>
    <mergeCell ref="HR107:HY107"/>
    <mergeCell ref="HZ107:II107"/>
    <mergeCell ref="IJ107:IP107"/>
    <mergeCell ref="IQ107:IW107"/>
    <mergeCell ref="IX107:JE107"/>
    <mergeCell ref="JF107:JJ107"/>
    <mergeCell ref="JK107:KB107"/>
    <mergeCell ref="KC107:KT107"/>
    <mergeCell ref="KU107:MZ107"/>
    <mergeCell ref="FB108:GS108"/>
    <mergeCell ref="GT108:HA108"/>
    <mergeCell ref="HB108:HI108"/>
    <mergeCell ref="HJ108:HQ108"/>
    <mergeCell ref="HR108:HY108"/>
    <mergeCell ref="HZ108:II108"/>
    <mergeCell ref="IJ108:IP108"/>
    <mergeCell ref="IQ108:IW108"/>
    <mergeCell ref="IX108:JE108"/>
    <mergeCell ref="JF108:JJ108"/>
    <mergeCell ref="JK108:KB108"/>
    <mergeCell ref="KC108:KT108"/>
    <mergeCell ref="KU108:MZ108"/>
    <mergeCell ref="HB109:HI109"/>
    <mergeCell ref="HJ109:HQ109"/>
    <mergeCell ref="HR109:HY109"/>
    <mergeCell ref="HZ109:II109"/>
    <mergeCell ref="IJ109:IP109"/>
    <mergeCell ref="IQ109:IW109"/>
    <mergeCell ref="IX109:JE109"/>
    <mergeCell ref="JF109:JJ109"/>
    <mergeCell ref="JK109:KB109"/>
    <mergeCell ref="KC109:KT109"/>
    <mergeCell ref="KU109:MZ109"/>
    <mergeCell ref="FB110:GS110"/>
    <mergeCell ref="GT110:HA110"/>
    <mergeCell ref="HB110:HI110"/>
    <mergeCell ref="HJ110:HQ110"/>
    <mergeCell ref="HR110:HY110"/>
    <mergeCell ref="HZ110:II110"/>
    <mergeCell ref="IJ110:IP110"/>
    <mergeCell ref="IQ110:IW110"/>
    <mergeCell ref="IX110:JE110"/>
    <mergeCell ref="JF110:JJ110"/>
    <mergeCell ref="JK110:KB110"/>
    <mergeCell ref="KC110:KT110"/>
    <mergeCell ref="KU110:MZ110"/>
    <mergeCell ref="JF111:JJ111"/>
    <mergeCell ref="JK111:KB111"/>
    <mergeCell ref="KC111:KT111"/>
    <mergeCell ref="KU111:MZ111"/>
    <mergeCell ref="FB112:GS112"/>
    <mergeCell ref="GT112:HA112"/>
    <mergeCell ref="HB112:HI112"/>
    <mergeCell ref="HJ112:HQ112"/>
    <mergeCell ref="HR112:HY112"/>
    <mergeCell ref="HZ112:II112"/>
    <mergeCell ref="IJ112:IP112"/>
    <mergeCell ref="IQ112:IW112"/>
    <mergeCell ref="IX112:JE112"/>
    <mergeCell ref="JF112:JJ112"/>
    <mergeCell ref="JK112:KB112"/>
    <mergeCell ref="KC112:KT112"/>
    <mergeCell ref="KU112:MZ112"/>
    <mergeCell ref="HB111:HI111"/>
    <mergeCell ref="HJ111:HQ111"/>
    <mergeCell ref="HR111:HY111"/>
    <mergeCell ref="HZ111:II111"/>
    <mergeCell ref="IJ111:IP111"/>
    <mergeCell ref="IQ111:IW111"/>
    <mergeCell ref="IX111:JE111"/>
    <mergeCell ref="AL111:AT111"/>
    <mergeCell ref="K111:S111"/>
    <mergeCell ref="AU109:BC109"/>
    <mergeCell ref="AU110:BC110"/>
    <mergeCell ref="AU111:BC111"/>
    <mergeCell ref="BD109:BL109"/>
    <mergeCell ref="AK118:AZ118"/>
    <mergeCell ref="BA118:BG118"/>
    <mergeCell ref="BH118:BN118"/>
    <mergeCell ref="BO118:BU118"/>
    <mergeCell ref="AK119:AZ119"/>
    <mergeCell ref="BA119:BG119"/>
    <mergeCell ref="BH119:BN119"/>
    <mergeCell ref="BO119:BU119"/>
    <mergeCell ref="AK120:AZ120"/>
    <mergeCell ref="B116:N116"/>
    <mergeCell ref="B117:N117"/>
    <mergeCell ref="B118:N118"/>
    <mergeCell ref="B113:AI113"/>
    <mergeCell ref="B106:EZ106"/>
    <mergeCell ref="AC115:AI115"/>
    <mergeCell ref="O107:BU107"/>
    <mergeCell ref="O108:BU108"/>
    <mergeCell ref="BM109:BU109"/>
    <mergeCell ref="BD110:BL110"/>
    <mergeCell ref="BM110:BU110"/>
    <mergeCell ref="BD111:BL111"/>
    <mergeCell ref="BM111:BU111"/>
    <mergeCell ref="B107:N107"/>
    <mergeCell ref="B108:N108"/>
    <mergeCell ref="T109:AB109"/>
    <mergeCell ref="T110:AB110"/>
    <mergeCell ref="T111:AB111"/>
    <mergeCell ref="B109:J109"/>
    <mergeCell ref="B110:J110"/>
    <mergeCell ref="B111:J111"/>
    <mergeCell ref="K109:S109"/>
    <mergeCell ref="K110:S110"/>
    <mergeCell ref="AC109:AK109"/>
    <mergeCell ref="AC110:AK110"/>
    <mergeCell ref="AC111:AK111"/>
    <mergeCell ref="AL109:AT109"/>
    <mergeCell ref="AL110:AT110"/>
    <mergeCell ref="B114:N114"/>
    <mergeCell ref="O114:U114"/>
    <mergeCell ref="V114:AB114"/>
    <mergeCell ref="AC114:AI114"/>
    <mergeCell ref="B115:N115"/>
    <mergeCell ref="O115:U115"/>
    <mergeCell ref="V115:AB115"/>
    <mergeCell ref="AK113:BU113"/>
    <mergeCell ref="B119:N119"/>
    <mergeCell ref="B120:N120"/>
    <mergeCell ref="AC116:AI116"/>
    <mergeCell ref="O117:U117"/>
    <mergeCell ref="V117:AB117"/>
    <mergeCell ref="AC117:AI117"/>
    <mergeCell ref="O118:U118"/>
    <mergeCell ref="V118:AB118"/>
    <mergeCell ref="AC118:AI118"/>
    <mergeCell ref="O124:U124"/>
    <mergeCell ref="V124:AB124"/>
    <mergeCell ref="AC124:AI124"/>
    <mergeCell ref="O119:U119"/>
    <mergeCell ref="V119:AB119"/>
    <mergeCell ref="AC119:AI119"/>
    <mergeCell ref="O120:U120"/>
    <mergeCell ref="V120:AB120"/>
    <mergeCell ref="AC120:AI120"/>
    <mergeCell ref="O121:U121"/>
    <mergeCell ref="V121:AB121"/>
    <mergeCell ref="AC121:AI121"/>
    <mergeCell ref="B121:N121"/>
    <mergeCell ref="B122:N122"/>
    <mergeCell ref="B123:N123"/>
    <mergeCell ref="B124:N124"/>
    <mergeCell ref="O116:U116"/>
    <mergeCell ref="V116:AB116"/>
    <mergeCell ref="BO114:BU114"/>
    <mergeCell ref="AK115:AZ115"/>
    <mergeCell ref="BA115:BG115"/>
    <mergeCell ref="BH115:BN115"/>
    <mergeCell ref="BO115:BU115"/>
    <mergeCell ref="AK116:AZ116"/>
    <mergeCell ref="BA116:BG116"/>
    <mergeCell ref="BH116:BN116"/>
    <mergeCell ref="BO116:BU116"/>
    <mergeCell ref="AK117:AZ117"/>
    <mergeCell ref="BA117:BG117"/>
    <mergeCell ref="BH117:BN117"/>
    <mergeCell ref="BO117:BU117"/>
    <mergeCell ref="O122:U122"/>
    <mergeCell ref="V122:AB122"/>
    <mergeCell ref="AC122:AI122"/>
    <mergeCell ref="O123:U123"/>
    <mergeCell ref="V123:AB123"/>
    <mergeCell ref="AC123:AI123"/>
    <mergeCell ref="DQ128:EZ128"/>
    <mergeCell ref="DQ129:EZ129"/>
    <mergeCell ref="DQ130:EZ130"/>
    <mergeCell ref="DQ132:EZ132"/>
    <mergeCell ref="CU109:DC109"/>
    <mergeCell ref="CU110:DC110"/>
    <mergeCell ref="CU111:DC111"/>
    <mergeCell ref="CU112:DC112"/>
    <mergeCell ref="BA120:BG120"/>
    <mergeCell ref="BH120:BN120"/>
    <mergeCell ref="BO120:BU120"/>
    <mergeCell ref="AK121:AZ121"/>
    <mergeCell ref="BA121:BG121"/>
    <mergeCell ref="BH121:BN121"/>
    <mergeCell ref="BO121:BU121"/>
    <mergeCell ref="AK122:AZ122"/>
    <mergeCell ref="BA122:BG122"/>
    <mergeCell ref="BH122:BN122"/>
    <mergeCell ref="BO122:BU122"/>
    <mergeCell ref="AK123:AZ123"/>
    <mergeCell ref="BA123:BG123"/>
    <mergeCell ref="BH123:BN123"/>
    <mergeCell ref="T129:AN129"/>
    <mergeCell ref="T130:AN130"/>
    <mergeCell ref="T132:AN132"/>
    <mergeCell ref="CC130:CJ130"/>
    <mergeCell ref="CK130:CR130"/>
    <mergeCell ref="BM130:BT130"/>
    <mergeCell ref="BO123:BU123"/>
    <mergeCell ref="AK114:AZ114"/>
    <mergeCell ref="BA114:BG114"/>
    <mergeCell ref="BH114:BN114"/>
    <mergeCell ref="B126:EZ126"/>
    <mergeCell ref="T133:AN133"/>
    <mergeCell ref="T134:AN134"/>
    <mergeCell ref="T135:AN135"/>
    <mergeCell ref="T136:AN136"/>
    <mergeCell ref="CS130:CZ130"/>
    <mergeCell ref="DA130:DH130"/>
    <mergeCell ref="DI130:DP130"/>
    <mergeCell ref="AO132:AV132"/>
    <mergeCell ref="AW132:BD132"/>
    <mergeCell ref="BE132:BL132"/>
    <mergeCell ref="BM132:BT132"/>
    <mergeCell ref="BU132:CB132"/>
    <mergeCell ref="CC132:CJ132"/>
    <mergeCell ref="CK132:CR132"/>
    <mergeCell ref="CS132:CZ132"/>
    <mergeCell ref="B127:AN127"/>
    <mergeCell ref="AO127:AV127"/>
    <mergeCell ref="AW127:BD127"/>
    <mergeCell ref="BE127:BL127"/>
    <mergeCell ref="BM127:BT127"/>
    <mergeCell ref="BU127:CB127"/>
    <mergeCell ref="CC127:CJ127"/>
    <mergeCell ref="CK127:CR127"/>
    <mergeCell ref="CS127:CZ127"/>
    <mergeCell ref="DA127:DH127"/>
    <mergeCell ref="DI127:DP127"/>
    <mergeCell ref="T128:AN128"/>
    <mergeCell ref="DA132:DH132"/>
    <mergeCell ref="DI132:DP132"/>
    <mergeCell ref="DI131:DP131"/>
    <mergeCell ref="DQ127:EZ127"/>
    <mergeCell ref="B146:S146"/>
    <mergeCell ref="B147:S147"/>
    <mergeCell ref="B148:S148"/>
    <mergeCell ref="B137:S137"/>
    <mergeCell ref="B138:S138"/>
    <mergeCell ref="B139:S139"/>
    <mergeCell ref="B140:S140"/>
    <mergeCell ref="B141:S141"/>
    <mergeCell ref="B142:S142"/>
    <mergeCell ref="B143:S143"/>
    <mergeCell ref="B144:S144"/>
    <mergeCell ref="B145:S145"/>
    <mergeCell ref="T137:AN137"/>
    <mergeCell ref="T138:AN138"/>
    <mergeCell ref="T139:AN139"/>
    <mergeCell ref="T140:AN140"/>
    <mergeCell ref="T141:AN141"/>
    <mergeCell ref="T142:AN142"/>
    <mergeCell ref="T143:AN143"/>
    <mergeCell ref="T144:AN144"/>
    <mergeCell ref="T145:AN145"/>
    <mergeCell ref="B128:S128"/>
    <mergeCell ref="B129:S129"/>
    <mergeCell ref="B130:S130"/>
    <mergeCell ref="B132:S132"/>
    <mergeCell ref="DQ133:EZ133"/>
    <mergeCell ref="DQ134:EZ134"/>
    <mergeCell ref="T146:AN146"/>
    <mergeCell ref="T147:AN147"/>
    <mergeCell ref="T148:AN148"/>
    <mergeCell ref="AO128:AV128"/>
    <mergeCell ref="AW128:BD128"/>
    <mergeCell ref="BE128:BL128"/>
    <mergeCell ref="BM128:BT128"/>
    <mergeCell ref="BU128:CB128"/>
    <mergeCell ref="CC128:CJ128"/>
    <mergeCell ref="CK128:CR128"/>
    <mergeCell ref="CS128:CZ128"/>
    <mergeCell ref="DA128:DH128"/>
    <mergeCell ref="DI128:DP128"/>
    <mergeCell ref="AO129:AV129"/>
    <mergeCell ref="AW129:BD129"/>
    <mergeCell ref="BE129:BL129"/>
    <mergeCell ref="BM129:BT129"/>
    <mergeCell ref="BU129:CB129"/>
    <mergeCell ref="CC129:CJ129"/>
    <mergeCell ref="CK129:CR129"/>
    <mergeCell ref="CS129:CZ129"/>
    <mergeCell ref="DA129:DH129"/>
    <mergeCell ref="DI129:DP129"/>
    <mergeCell ref="AO130:AV130"/>
    <mergeCell ref="AW130:BD130"/>
    <mergeCell ref="BE130:BL130"/>
    <mergeCell ref="BU130:CB130"/>
    <mergeCell ref="AO133:AV133"/>
    <mergeCell ref="AW133:BD133"/>
    <mergeCell ref="BE133:BL133"/>
    <mergeCell ref="BM133:BT133"/>
    <mergeCell ref="BU133:CB133"/>
    <mergeCell ref="CC133:CJ133"/>
    <mergeCell ref="CK133:CR133"/>
    <mergeCell ref="CS133:CZ133"/>
    <mergeCell ref="DA133:DH133"/>
    <mergeCell ref="DI133:DP133"/>
    <mergeCell ref="AO134:AV134"/>
    <mergeCell ref="AW134:BD134"/>
    <mergeCell ref="BE134:BL134"/>
    <mergeCell ref="BM134:BT134"/>
    <mergeCell ref="BU134:CB134"/>
    <mergeCell ref="CC134:CJ134"/>
    <mergeCell ref="CK134:CR134"/>
    <mergeCell ref="CS134:CZ134"/>
    <mergeCell ref="DA134:DH134"/>
    <mergeCell ref="DI134:DP134"/>
    <mergeCell ref="DQ138:EZ138"/>
    <mergeCell ref="AO135:AV135"/>
    <mergeCell ref="AW135:BD135"/>
    <mergeCell ref="BE135:BL135"/>
    <mergeCell ref="BM135:BT135"/>
    <mergeCell ref="BU135:CB135"/>
    <mergeCell ref="CC135:CJ135"/>
    <mergeCell ref="CK135:CR135"/>
    <mergeCell ref="CS135:CZ135"/>
    <mergeCell ref="DA135:DH135"/>
    <mergeCell ref="DI135:DP135"/>
    <mergeCell ref="AO136:AV136"/>
    <mergeCell ref="AW136:BD136"/>
    <mergeCell ref="BE136:BL136"/>
    <mergeCell ref="BM136:BT136"/>
    <mergeCell ref="BU136:CB136"/>
    <mergeCell ref="CC136:CJ136"/>
    <mergeCell ref="CK136:CR136"/>
    <mergeCell ref="CS136:CZ136"/>
    <mergeCell ref="DA136:DH136"/>
    <mergeCell ref="DI136:DP136"/>
    <mergeCell ref="DQ135:EZ135"/>
    <mergeCell ref="DQ136:EZ136"/>
    <mergeCell ref="AO137:AV137"/>
    <mergeCell ref="AW137:BD137"/>
    <mergeCell ref="BE137:BL137"/>
    <mergeCell ref="BM137:BT137"/>
    <mergeCell ref="BU137:CB137"/>
    <mergeCell ref="CC137:CJ137"/>
    <mergeCell ref="CK137:CR137"/>
    <mergeCell ref="CS137:CZ137"/>
    <mergeCell ref="DI137:DP137"/>
    <mergeCell ref="AO138:AV138"/>
    <mergeCell ref="AW138:BD138"/>
    <mergeCell ref="BE138:BL138"/>
    <mergeCell ref="BM138:BT138"/>
    <mergeCell ref="BU138:CB138"/>
    <mergeCell ref="CC138:CJ138"/>
    <mergeCell ref="CK138:CR138"/>
    <mergeCell ref="CS138:CZ138"/>
    <mergeCell ref="DA138:DH138"/>
    <mergeCell ref="DI138:DP138"/>
    <mergeCell ref="DA142:DH142"/>
    <mergeCell ref="DI142:DP142"/>
    <mergeCell ref="DQ141:EZ141"/>
    <mergeCell ref="DQ142:EZ142"/>
    <mergeCell ref="AO139:AV139"/>
    <mergeCell ref="AW139:BD139"/>
    <mergeCell ref="BE139:BL139"/>
    <mergeCell ref="BM139:BT139"/>
    <mergeCell ref="BU139:CB139"/>
    <mergeCell ref="CC139:CJ139"/>
    <mergeCell ref="CK139:CR139"/>
    <mergeCell ref="CS139:CZ139"/>
    <mergeCell ref="DA139:DH139"/>
    <mergeCell ref="DI139:DP139"/>
    <mergeCell ref="AO140:AV140"/>
    <mergeCell ref="AW140:BD140"/>
    <mergeCell ref="BE140:BL140"/>
    <mergeCell ref="BM140:BT140"/>
    <mergeCell ref="BU140:CB140"/>
    <mergeCell ref="CC140:CJ140"/>
    <mergeCell ref="DQ137:EZ137"/>
    <mergeCell ref="AO144:AV144"/>
    <mergeCell ref="AW144:BD144"/>
    <mergeCell ref="BE144:BL144"/>
    <mergeCell ref="BM144:BT144"/>
    <mergeCell ref="BU144:CB144"/>
    <mergeCell ref="CC144:CJ144"/>
    <mergeCell ref="CK144:CR144"/>
    <mergeCell ref="CS144:CZ144"/>
    <mergeCell ref="DA144:DH144"/>
    <mergeCell ref="DI144:DP144"/>
    <mergeCell ref="DQ143:EZ143"/>
    <mergeCell ref="DQ144:EZ144"/>
    <mergeCell ref="AO141:AV141"/>
    <mergeCell ref="AW141:BD141"/>
    <mergeCell ref="BE141:BL141"/>
    <mergeCell ref="BM141:BT141"/>
    <mergeCell ref="BU141:CB141"/>
    <mergeCell ref="CC141:CJ141"/>
    <mergeCell ref="CK141:CR141"/>
    <mergeCell ref="CS141:CZ141"/>
    <mergeCell ref="DA141:DH141"/>
    <mergeCell ref="DI141:DP141"/>
    <mergeCell ref="AO142:AV142"/>
    <mergeCell ref="AW142:BD142"/>
    <mergeCell ref="AO148:AV148"/>
    <mergeCell ref="AW148:BD148"/>
    <mergeCell ref="BE148:BL148"/>
    <mergeCell ref="BM148:BT148"/>
    <mergeCell ref="BU148:CB148"/>
    <mergeCell ref="CC148:CJ148"/>
    <mergeCell ref="CK148:CR148"/>
    <mergeCell ref="CS148:CZ148"/>
    <mergeCell ref="DA148:DH148"/>
    <mergeCell ref="DI148:DP148"/>
    <mergeCell ref="DQ147:EZ147"/>
    <mergeCell ref="DQ148:EZ148"/>
    <mergeCell ref="AO145:AV145"/>
    <mergeCell ref="AW145:BD145"/>
    <mergeCell ref="BE145:BL145"/>
    <mergeCell ref="BM145:BT145"/>
    <mergeCell ref="BU145:CB145"/>
    <mergeCell ref="CC145:CJ145"/>
    <mergeCell ref="CK145:CR145"/>
    <mergeCell ref="CS145:CZ145"/>
    <mergeCell ref="DA145:DH145"/>
    <mergeCell ref="DI145:DP145"/>
    <mergeCell ref="AO146:AV146"/>
    <mergeCell ref="AW146:BD146"/>
    <mergeCell ref="BE146:BL146"/>
    <mergeCell ref="BM146:BT146"/>
    <mergeCell ref="B131:S131"/>
    <mergeCell ref="T131:AN131"/>
    <mergeCell ref="AO131:AV131"/>
    <mergeCell ref="AW131:BD131"/>
    <mergeCell ref="BE131:BL131"/>
    <mergeCell ref="BM131:BT131"/>
    <mergeCell ref="BU131:CB131"/>
    <mergeCell ref="CC131:CJ131"/>
    <mergeCell ref="CK131:CR131"/>
    <mergeCell ref="CS131:CZ131"/>
    <mergeCell ref="DA131:DH131"/>
    <mergeCell ref="BE142:BL142"/>
    <mergeCell ref="BM142:BT142"/>
    <mergeCell ref="BU142:CB142"/>
    <mergeCell ref="CC142:CJ142"/>
    <mergeCell ref="CK142:CR142"/>
    <mergeCell ref="CS142:CZ142"/>
    <mergeCell ref="CK140:CR140"/>
    <mergeCell ref="CS140:CZ140"/>
    <mergeCell ref="DA140:DH140"/>
    <mergeCell ref="DA137:DH137"/>
    <mergeCell ref="B133:S133"/>
    <mergeCell ref="B134:S134"/>
    <mergeCell ref="B135:S135"/>
    <mergeCell ref="B136:S136"/>
    <mergeCell ref="DQ131:EZ131"/>
    <mergeCell ref="AO147:AV147"/>
    <mergeCell ref="AW147:BD147"/>
    <mergeCell ref="BE147:BL147"/>
    <mergeCell ref="BM147:BT147"/>
    <mergeCell ref="BU147:CB147"/>
    <mergeCell ref="CC147:CJ147"/>
    <mergeCell ref="CK147:CR147"/>
    <mergeCell ref="CS147:CZ147"/>
    <mergeCell ref="DA147:DH147"/>
    <mergeCell ref="DI147:DP147"/>
    <mergeCell ref="DQ145:EZ145"/>
    <mergeCell ref="DQ146:EZ146"/>
    <mergeCell ref="AO143:AV143"/>
    <mergeCell ref="AW143:BD143"/>
    <mergeCell ref="BE143:BL143"/>
    <mergeCell ref="BM143:BT143"/>
    <mergeCell ref="BU143:CB143"/>
    <mergeCell ref="CC143:CJ143"/>
    <mergeCell ref="CK143:CR143"/>
    <mergeCell ref="CS143:CZ143"/>
    <mergeCell ref="BU146:CB146"/>
    <mergeCell ref="CC146:CJ146"/>
    <mergeCell ref="CK146:CR146"/>
    <mergeCell ref="CS146:CZ146"/>
    <mergeCell ref="DA146:DH146"/>
    <mergeCell ref="DI146:DP146"/>
    <mergeCell ref="DI140:DP140"/>
    <mergeCell ref="DQ139:EZ139"/>
    <mergeCell ref="DQ140:EZ140"/>
    <mergeCell ref="DA143:DH143"/>
    <mergeCell ref="DI143:DP143"/>
    <mergeCell ref="BED34:BEJ34"/>
    <mergeCell ref="CU113:DC113"/>
    <mergeCell ref="CU118:DC118"/>
    <mergeCell ref="CU119:DC119"/>
    <mergeCell ref="CU120:DC120"/>
    <mergeCell ref="CU121:DC121"/>
    <mergeCell ref="CU122:DC122"/>
    <mergeCell ref="CU123:DC123"/>
    <mergeCell ref="CU114:DB114"/>
    <mergeCell ref="CU115:DB115"/>
    <mergeCell ref="BW109:CT109"/>
    <mergeCell ref="BW110:CT110"/>
    <mergeCell ref="BW111:CT111"/>
    <mergeCell ref="BW112:CT112"/>
    <mergeCell ref="BW113:CT113"/>
    <mergeCell ref="BW114:CT114"/>
    <mergeCell ref="BW115:CT115"/>
    <mergeCell ref="BW118:CT118"/>
    <mergeCell ref="BW119:CT119"/>
    <mergeCell ref="BW120:CT120"/>
    <mergeCell ref="BW121:CT121"/>
    <mergeCell ref="BW122:CT122"/>
    <mergeCell ref="BW123:CT123"/>
    <mergeCell ref="FB34:GS34"/>
    <mergeCell ref="FB35:GS35"/>
    <mergeCell ref="FB111:GS111"/>
    <mergeCell ref="GT111:HA111"/>
    <mergeCell ref="FB109:GS109"/>
    <mergeCell ref="GT109:HA109"/>
    <mergeCell ref="FB107:GS107"/>
    <mergeCell ref="GT107:HA107"/>
    <mergeCell ref="FB113:GS113"/>
    <mergeCell ref="W103:AD103"/>
    <mergeCell ref="W104:AD104"/>
    <mergeCell ref="B100:V100"/>
    <mergeCell ref="B101:V101"/>
    <mergeCell ref="B102:V102"/>
    <mergeCell ref="B103:V103"/>
    <mergeCell ref="B104:V104"/>
    <mergeCell ref="BAV34:BBZ34"/>
    <mergeCell ref="BCA34:BCD34"/>
    <mergeCell ref="BCE34:BCI34"/>
    <mergeCell ref="BCJ34:BCO34"/>
    <mergeCell ref="BCP34:BCU34"/>
    <mergeCell ref="BCV34:BDA34"/>
    <mergeCell ref="BDB34:BDH34"/>
    <mergeCell ref="BDI34:BDO34"/>
    <mergeCell ref="BDP34:BDV34"/>
    <mergeCell ref="BDW34:BEC34"/>
    <mergeCell ref="FB103:GS103"/>
    <mergeCell ref="GT103:HA103"/>
    <mergeCell ref="HB103:HI103"/>
    <mergeCell ref="HJ103:HQ103"/>
    <mergeCell ref="HR103:HY103"/>
    <mergeCell ref="HZ103:II103"/>
    <mergeCell ref="IJ103:IP103"/>
    <mergeCell ref="IQ103:IW103"/>
    <mergeCell ref="IX103:JE103"/>
    <mergeCell ref="JF103:JJ103"/>
    <mergeCell ref="JK103:KB103"/>
    <mergeCell ref="KC103:KT103"/>
    <mergeCell ref="KU103:MZ103"/>
    <mergeCell ref="FB104:GS104"/>
    <mergeCell ref="GT104:HA104"/>
    <mergeCell ref="W89:AD89"/>
    <mergeCell ref="W90:AD90"/>
    <mergeCell ref="W91:AD91"/>
    <mergeCell ref="W92:AD92"/>
    <mergeCell ref="W93:AD93"/>
    <mergeCell ref="W94:AD94"/>
    <mergeCell ref="W95:AD95"/>
    <mergeCell ref="W96:AD96"/>
    <mergeCell ref="W97:AD97"/>
    <mergeCell ref="W98:AD98"/>
    <mergeCell ref="W99:AD99"/>
    <mergeCell ref="W100:AD100"/>
    <mergeCell ref="W101:AD101"/>
    <mergeCell ref="W102:AD102"/>
    <mergeCell ref="B83:V83"/>
    <mergeCell ref="B84:V84"/>
    <mergeCell ref="B85:V85"/>
    <mergeCell ref="B86:V86"/>
    <mergeCell ref="B87:V87"/>
    <mergeCell ref="B88:V88"/>
    <mergeCell ref="B89:V89"/>
    <mergeCell ref="B90:V90"/>
    <mergeCell ref="B91:V91"/>
    <mergeCell ref="B92:V92"/>
    <mergeCell ref="B93:V93"/>
    <mergeCell ref="B94:V94"/>
    <mergeCell ref="B95:V95"/>
    <mergeCell ref="B96:V96"/>
    <mergeCell ref="B97:V97"/>
    <mergeCell ref="B98:V98"/>
    <mergeCell ref="B99:V99"/>
    <mergeCell ref="W83:AD83"/>
    <mergeCell ref="AE101:AJ101"/>
    <mergeCell ref="AE102:AJ102"/>
    <mergeCell ref="AE103:AJ103"/>
    <mergeCell ref="AE104:AJ104"/>
    <mergeCell ref="AE82:AJ82"/>
    <mergeCell ref="AE83:AJ83"/>
    <mergeCell ref="AE84:AJ84"/>
    <mergeCell ref="AE85:AJ85"/>
    <mergeCell ref="AE86:AJ86"/>
    <mergeCell ref="AE87:AJ87"/>
    <mergeCell ref="AE88:AJ88"/>
    <mergeCell ref="AE89:AJ89"/>
    <mergeCell ref="AE90:AJ90"/>
    <mergeCell ref="AE91:AJ91"/>
    <mergeCell ref="AE92:AJ92"/>
    <mergeCell ref="AE93:AJ93"/>
    <mergeCell ref="AE94:AJ94"/>
    <mergeCell ref="AE95:AJ95"/>
    <mergeCell ref="AE96:AJ96"/>
    <mergeCell ref="AE97:AJ97"/>
    <mergeCell ref="AE98:AJ98"/>
    <mergeCell ref="AE99:AJ99"/>
    <mergeCell ref="AE100:AJ100"/>
    <mergeCell ref="CRX32:CSD32"/>
    <mergeCell ref="COP33:CPT33"/>
    <mergeCell ref="CPU33:CPX33"/>
    <mergeCell ref="CPY33:CQC33"/>
    <mergeCell ref="CQD33:CQI33"/>
    <mergeCell ref="CQJ33:CQO33"/>
    <mergeCell ref="CQP33:CQU33"/>
    <mergeCell ref="CQV33:CRB33"/>
    <mergeCell ref="CRC33:CRI33"/>
    <mergeCell ref="CRJ33:CRP33"/>
    <mergeCell ref="CRQ33:CRW33"/>
    <mergeCell ref="CRX33:CSD33"/>
    <mergeCell ref="COP34:CPT34"/>
    <mergeCell ref="CPU34:CPX34"/>
    <mergeCell ref="CPY34:CQC34"/>
    <mergeCell ref="CQD34:CQI34"/>
    <mergeCell ref="CQJ34:CQO34"/>
    <mergeCell ref="CQP34:CQU34"/>
    <mergeCell ref="CQV34:CRB34"/>
    <mergeCell ref="CRC34:CRI34"/>
    <mergeCell ref="CRJ34:CRP34"/>
    <mergeCell ref="CRQ34:CRW34"/>
    <mergeCell ref="CRX34:CSD34"/>
    <mergeCell ref="COP35:CPT35"/>
    <mergeCell ref="CPU35:CPX35"/>
    <mergeCell ref="CPY35:CQC35"/>
    <mergeCell ref="CQD35:CQI35"/>
    <mergeCell ref="CQJ35:CQO35"/>
    <mergeCell ref="CQP35:CQU35"/>
    <mergeCell ref="CQV35:CRB35"/>
    <mergeCell ref="CRC35:CRI35"/>
    <mergeCell ref="CRJ35:CRP35"/>
    <mergeCell ref="CRQ35:CRW35"/>
    <mergeCell ref="CRX35:CSD35"/>
    <mergeCell ref="COP36:CPT36"/>
    <mergeCell ref="CPU36:CPX36"/>
    <mergeCell ref="CPY36:CQC36"/>
    <mergeCell ref="CQD36:CQI36"/>
    <mergeCell ref="CQJ36:CQO36"/>
    <mergeCell ref="CQP36:CQU36"/>
    <mergeCell ref="CQV36:CRB36"/>
    <mergeCell ref="CRC36:CRI36"/>
    <mergeCell ref="CRJ36:CRP36"/>
    <mergeCell ref="CRQ36:CRW36"/>
    <mergeCell ref="CRX36:CSD36"/>
  </mergeCells>
  <dataValidations count="5">
    <dataValidation type="list" allowBlank="1" showInputMessage="1" showErrorMessage="1" sqref="FB21:GS35 FB105:GS105" xr:uid="{1E8954E3-5E94-4459-A312-C130C64ACC43}">
      <formula1>WeaponsAmmunition</formula1>
    </dataValidation>
    <dataValidation type="list" allowBlank="1" showInputMessage="1" showErrorMessage="1" sqref="O108:BU108" xr:uid="{E08DAF46-952D-4D5D-93B4-96A121062EF7}">
      <formula1>HorseBreed</formula1>
    </dataValidation>
    <dataValidation type="list" allowBlank="1" showInputMessage="1" showErrorMessage="1" sqref="K110:S110" xr:uid="{DCA8CAB4-7865-444C-9831-9F99DD02307F}">
      <formula1>"Male,Female"</formula1>
    </dataValidation>
    <dataValidation type="list" allowBlank="1" showInputMessage="1" showErrorMessage="1" sqref="FB4:FB19 FC4:GS4 FC13:GS19" xr:uid="{0C903FC8-9D9D-4C0A-800F-40E3F575B002}">
      <formula1>ClothesList</formula1>
    </dataValidation>
    <dataValidation type="list" allowBlank="1" showInputMessage="1" showErrorMessage="1" sqref="FB106:GS114 FB56:GS81 FB83:GS104 FB37:GS54" xr:uid="{3157D426-E67E-463D-8538-047B7706A30F}">
      <formula1>ItemList</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4578F64F-E2D1-4ED2-BB64-FAADAC75A1B9}">
          <x14:formula1>
            <xm:f>Armour!$B$102:$B$182</xm:f>
          </x14:formula1>
          <xm:sqref>J71</xm:sqref>
        </x14:dataValidation>
        <x14:dataValidation type="list" allowBlank="1" showInputMessage="1" showErrorMessage="1" xr:uid="{A48A3578-C5D2-4691-9F32-ADD9A1766EF5}">
          <x14:formula1>
            <xm:f>Armour!$B$4:$B$99</xm:f>
          </x14:formula1>
          <xm:sqref>P49:P69</xm:sqref>
        </x14:dataValidation>
        <x14:dataValidation type="list" allowBlank="1" showInputMessage="1" showErrorMessage="1" xr:uid="{B68F587C-ED79-4B39-9401-5202153E8221}">
          <x14:formula1>
            <xm:f>Charts!$BD$3:$BD$38</xm:f>
          </x14:formula1>
          <xm:sqref>JK83:KT114 JK56:KT81 JK37:KT54 JK4:KT19 JK21:KT35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1CBCE-3E6A-45BF-B3E9-6F9863621665}">
  <dimension ref="B1:AB1917"/>
  <sheetViews>
    <sheetView workbookViewId="0">
      <pane xSplit="2" ySplit="1" topLeftCell="C2" activePane="bottomRight" state="frozen"/>
      <selection pane="topRight" activeCell="C1" sqref="C1"/>
      <selection pane="bottomLeft" activeCell="A2" sqref="A2"/>
      <selection pane="bottomRight" activeCell="A2" sqref="A2"/>
    </sheetView>
  </sheetViews>
  <sheetFormatPr defaultColWidth="0.85546875" defaultRowHeight="15" x14ac:dyDescent="0.25"/>
  <cols>
    <col min="2" max="2" width="51.5703125" style="3" bestFit="1" customWidth="1"/>
    <col min="3" max="4" width="8.85546875" style="4" bestFit="1" customWidth="1"/>
    <col min="5" max="5" width="7" style="4" bestFit="1" customWidth="1"/>
    <col min="6" max="6" width="13.5703125" style="4" bestFit="1" customWidth="1"/>
    <col min="7" max="7" width="5.5703125" style="4" bestFit="1" customWidth="1"/>
    <col min="8" max="8" width="11.5703125" style="4" bestFit="1" customWidth="1"/>
    <col min="9" max="9" width="8.5703125" style="4" bestFit="1" customWidth="1"/>
    <col min="10" max="10" width="11.5703125" style="8" bestFit="1" customWidth="1"/>
    <col min="11" max="11" width="3.28515625" style="4" bestFit="1" customWidth="1"/>
    <col min="12" max="12" width="85" style="8" bestFit="1" customWidth="1"/>
    <col min="13" max="13" width="6.140625" bestFit="1" customWidth="1"/>
    <col min="14" max="14" width="4.7109375" style="4" bestFit="1" customWidth="1"/>
    <col min="15" max="15" width="5.85546875" style="4" bestFit="1" customWidth="1"/>
    <col min="16" max="16" width="4.5703125" style="4" bestFit="1" customWidth="1"/>
    <col min="17" max="17" width="5.28515625" style="4" customWidth="1"/>
    <col min="18" max="18" width="7.140625" style="4" bestFit="1" customWidth="1"/>
    <col min="19" max="19" width="6.42578125" style="4" bestFit="1" customWidth="1"/>
    <col min="20" max="20" width="7.7109375" style="4" bestFit="1" customWidth="1"/>
    <col min="21" max="21" width="11" style="4" bestFit="1" customWidth="1"/>
    <col min="22" max="22" width="5.7109375" style="4" bestFit="1" customWidth="1"/>
    <col min="23" max="23" width="8.42578125" style="4" bestFit="1" customWidth="1"/>
    <col min="24" max="24" width="5.140625" style="4" bestFit="1" customWidth="1"/>
    <col min="25" max="25" width="8.42578125" style="4" bestFit="1" customWidth="1"/>
    <col min="26" max="26" width="7.28515625" style="4" bestFit="1" customWidth="1"/>
    <col min="27" max="27" width="51.42578125" bestFit="1" customWidth="1"/>
    <col min="28" max="28" width="7.140625" bestFit="1" customWidth="1"/>
  </cols>
  <sheetData>
    <row r="1" spans="2:28" x14ac:dyDescent="0.25">
      <c r="B1" s="3" t="s">
        <v>2490</v>
      </c>
      <c r="C1" s="4" t="s">
        <v>2007</v>
      </c>
      <c r="D1" s="4" t="s">
        <v>72</v>
      </c>
      <c r="E1" s="4" t="s">
        <v>134</v>
      </c>
      <c r="F1" s="4" t="s">
        <v>2333</v>
      </c>
      <c r="G1" s="4" t="s">
        <v>2497</v>
      </c>
      <c r="H1" s="4" t="s">
        <v>2334</v>
      </c>
      <c r="I1" s="4" t="s">
        <v>61</v>
      </c>
      <c r="J1" s="8" t="s">
        <v>2994</v>
      </c>
      <c r="K1" s="4" t="s">
        <v>74</v>
      </c>
      <c r="L1" s="8" t="s">
        <v>3011</v>
      </c>
      <c r="M1" s="4" t="s">
        <v>3031</v>
      </c>
      <c r="N1" s="4" t="s">
        <v>147</v>
      </c>
      <c r="O1" s="4" t="s">
        <v>54</v>
      </c>
      <c r="P1" s="4" t="s">
        <v>861</v>
      </c>
      <c r="Q1" s="4" t="s">
        <v>57</v>
      </c>
      <c r="R1" s="4" t="s">
        <v>58</v>
      </c>
      <c r="S1" s="4" t="s">
        <v>37</v>
      </c>
      <c r="T1" s="4" t="s">
        <v>59</v>
      </c>
      <c r="U1" s="4" t="s">
        <v>3062</v>
      </c>
      <c r="V1" s="4" t="s">
        <v>3063</v>
      </c>
      <c r="W1" s="4" t="s">
        <v>3064</v>
      </c>
      <c r="X1" s="4" t="s">
        <v>3065</v>
      </c>
      <c r="Y1" s="4" t="s">
        <v>3066</v>
      </c>
      <c r="Z1" s="4" t="s">
        <v>3067</v>
      </c>
      <c r="AA1" s="4" t="s">
        <v>2334</v>
      </c>
      <c r="AB1" s="4" t="s">
        <v>4128</v>
      </c>
    </row>
    <row r="2" spans="2:28" x14ac:dyDescent="0.25">
      <c r="B2" s="107" t="s">
        <v>3597</v>
      </c>
      <c r="M2" s="4"/>
      <c r="AA2" s="4"/>
    </row>
    <row r="3" spans="2:28" x14ac:dyDescent="0.25">
      <c r="B3" s="3" t="s">
        <v>3429</v>
      </c>
      <c r="M3" s="4"/>
      <c r="AA3" s="4"/>
    </row>
    <row r="4" spans="2:28" x14ac:dyDescent="0.25">
      <c r="B4" s="3" t="s">
        <v>3430</v>
      </c>
      <c r="M4" s="4"/>
      <c r="AA4" s="4"/>
    </row>
    <row r="5" spans="2:28" x14ac:dyDescent="0.25">
      <c r="B5" s="3" t="s">
        <v>3431</v>
      </c>
      <c r="M5" s="4"/>
      <c r="AA5" s="4"/>
    </row>
    <row r="6" spans="2:28" x14ac:dyDescent="0.25">
      <c r="B6" s="3" t="s">
        <v>3432</v>
      </c>
      <c r="M6" s="4"/>
      <c r="AA6" s="4"/>
    </row>
    <row r="7" spans="2:28" x14ac:dyDescent="0.25">
      <c r="B7" s="3" t="s">
        <v>3433</v>
      </c>
      <c r="M7" s="4"/>
      <c r="AA7" s="4"/>
    </row>
    <row r="8" spans="2:28" x14ac:dyDescent="0.25">
      <c r="B8" s="3" t="s">
        <v>3434</v>
      </c>
      <c r="M8" s="4"/>
      <c r="AA8" s="4"/>
    </row>
    <row r="9" spans="2:28" x14ac:dyDescent="0.25">
      <c r="B9" s="3" t="s">
        <v>3435</v>
      </c>
      <c r="M9" s="4"/>
      <c r="AA9" s="4"/>
    </row>
    <row r="10" spans="2:28" x14ac:dyDescent="0.25">
      <c r="B10" s="3" t="s">
        <v>3096</v>
      </c>
      <c r="M10" s="4"/>
      <c r="AA10" s="4"/>
    </row>
    <row r="11" spans="2:28" x14ac:dyDescent="0.25">
      <c r="B11" s="3" t="s">
        <v>3095</v>
      </c>
      <c r="M11" s="4"/>
      <c r="AA11" s="4"/>
    </row>
    <row r="12" spans="2:28" x14ac:dyDescent="0.25">
      <c r="B12" s="3" t="s">
        <v>3097</v>
      </c>
      <c r="M12" s="4"/>
      <c r="AA12" s="4"/>
    </row>
    <row r="13" spans="2:28" x14ac:dyDescent="0.25">
      <c r="B13" s="3" t="s">
        <v>3436</v>
      </c>
      <c r="M13" s="4"/>
      <c r="AA13" s="4"/>
    </row>
    <row r="14" spans="2:28" x14ac:dyDescent="0.25">
      <c r="B14" s="3" t="s">
        <v>2107</v>
      </c>
      <c r="M14" s="4"/>
      <c r="AA14" s="4"/>
    </row>
    <row r="15" spans="2:28" x14ac:dyDescent="0.25">
      <c r="B15" s="3" t="s">
        <v>3437</v>
      </c>
      <c r="M15" s="4"/>
      <c r="AA15" s="4"/>
    </row>
    <row r="16" spans="2:28" x14ac:dyDescent="0.25">
      <c r="B16" s="3" t="s">
        <v>3438</v>
      </c>
      <c r="M16" s="4"/>
      <c r="AA16" s="4"/>
    </row>
    <row r="17" spans="2:27" x14ac:dyDescent="0.25">
      <c r="B17" s="3" t="s">
        <v>3256</v>
      </c>
      <c r="M17" s="4"/>
      <c r="AA17" s="4"/>
    </row>
    <row r="18" spans="2:27" x14ac:dyDescent="0.25">
      <c r="B18" s="3" t="s">
        <v>3257</v>
      </c>
      <c r="M18" s="4"/>
      <c r="AA18" s="4"/>
    </row>
    <row r="19" spans="2:27" x14ac:dyDescent="0.25">
      <c r="B19" s="3" t="s">
        <v>3258</v>
      </c>
      <c r="M19" s="4"/>
      <c r="AA19" s="4"/>
    </row>
    <row r="20" spans="2:27" x14ac:dyDescent="0.25">
      <c r="B20" s="3" t="s">
        <v>3439</v>
      </c>
      <c r="M20" s="4"/>
      <c r="AA20" s="4"/>
    </row>
    <row r="21" spans="2:27" x14ac:dyDescent="0.25">
      <c r="B21" s="3" t="s">
        <v>3440</v>
      </c>
      <c r="M21" s="4"/>
      <c r="AA21" s="4"/>
    </row>
    <row r="22" spans="2:27" x14ac:dyDescent="0.25">
      <c r="B22" s="3" t="s">
        <v>3441</v>
      </c>
      <c r="M22" s="4"/>
      <c r="AA22" s="4"/>
    </row>
    <row r="23" spans="2:27" x14ac:dyDescent="0.25">
      <c r="B23" s="3" t="s">
        <v>3442</v>
      </c>
      <c r="M23" s="4"/>
      <c r="AA23" s="4"/>
    </row>
    <row r="24" spans="2:27" x14ac:dyDescent="0.25">
      <c r="B24" s="3" t="s">
        <v>3443</v>
      </c>
      <c r="M24" s="4"/>
      <c r="AA24" s="4"/>
    </row>
    <row r="25" spans="2:27" x14ac:dyDescent="0.25">
      <c r="B25" s="3" t="s">
        <v>3444</v>
      </c>
      <c r="M25" s="4"/>
      <c r="AA25" s="4"/>
    </row>
    <row r="26" spans="2:27" x14ac:dyDescent="0.25">
      <c r="B26" s="3" t="s">
        <v>3445</v>
      </c>
      <c r="M26" s="4"/>
      <c r="AA26" s="4"/>
    </row>
    <row r="27" spans="2:27" x14ac:dyDescent="0.25">
      <c r="M27" s="4"/>
      <c r="AA27" s="4"/>
    </row>
    <row r="28" spans="2:27" x14ac:dyDescent="0.25">
      <c r="B28" s="107" t="s">
        <v>3598</v>
      </c>
      <c r="M28" s="4"/>
      <c r="AA28" s="4"/>
    </row>
    <row r="29" spans="2:27" x14ac:dyDescent="0.25">
      <c r="B29" s="3" t="s">
        <v>3446</v>
      </c>
      <c r="M29" s="4"/>
      <c r="AA29" s="4"/>
    </row>
    <row r="30" spans="2:27" x14ac:dyDescent="0.25">
      <c r="B30" s="3" t="s">
        <v>3447</v>
      </c>
      <c r="M30" s="4"/>
      <c r="AA30" s="4"/>
    </row>
    <row r="31" spans="2:27" x14ac:dyDescent="0.25">
      <c r="B31" s="3" t="s">
        <v>3448</v>
      </c>
      <c r="M31" s="4"/>
      <c r="AA31" s="4"/>
    </row>
    <row r="32" spans="2:27" x14ac:dyDescent="0.25">
      <c r="B32" s="3" t="s">
        <v>3449</v>
      </c>
      <c r="M32" s="4"/>
      <c r="AA32" s="4"/>
    </row>
    <row r="33" spans="2:27" x14ac:dyDescent="0.25">
      <c r="B33" s="3" t="s">
        <v>3454</v>
      </c>
      <c r="M33" s="4"/>
      <c r="AA33" s="4"/>
    </row>
    <row r="34" spans="2:27" x14ac:dyDescent="0.25">
      <c r="B34" s="3" t="s">
        <v>3450</v>
      </c>
      <c r="M34" s="4"/>
      <c r="AA34" s="4"/>
    </row>
    <row r="35" spans="2:27" x14ac:dyDescent="0.25">
      <c r="B35" s="3" t="s">
        <v>3451</v>
      </c>
      <c r="M35" s="4"/>
      <c r="AA35" s="4"/>
    </row>
    <row r="36" spans="2:27" x14ac:dyDescent="0.25">
      <c r="B36" s="3" t="s">
        <v>3452</v>
      </c>
      <c r="M36" s="4"/>
      <c r="AA36" s="4"/>
    </row>
    <row r="37" spans="2:27" x14ac:dyDescent="0.25">
      <c r="B37" s="3" t="s">
        <v>3453</v>
      </c>
      <c r="M37" s="4"/>
      <c r="AA37" s="4"/>
    </row>
    <row r="38" spans="2:27" x14ac:dyDescent="0.25">
      <c r="B38" s="3" t="s">
        <v>3455</v>
      </c>
      <c r="M38" s="4"/>
      <c r="AA38" s="4"/>
    </row>
    <row r="39" spans="2:27" x14ac:dyDescent="0.25">
      <c r="B39" s="3" t="s">
        <v>3456</v>
      </c>
      <c r="M39" s="4"/>
      <c r="AA39" s="4"/>
    </row>
    <row r="40" spans="2:27" x14ac:dyDescent="0.25">
      <c r="B40" s="3" t="s">
        <v>3457</v>
      </c>
      <c r="M40" s="4"/>
      <c r="AA40" s="4"/>
    </row>
    <row r="41" spans="2:27" x14ac:dyDescent="0.25">
      <c r="B41" s="3" t="s">
        <v>3458</v>
      </c>
      <c r="M41" s="4"/>
      <c r="AA41" s="4"/>
    </row>
    <row r="42" spans="2:27" x14ac:dyDescent="0.25">
      <c r="B42" s="3" t="s">
        <v>3459</v>
      </c>
      <c r="M42" s="4"/>
      <c r="AA42" s="4"/>
    </row>
    <row r="43" spans="2:27" x14ac:dyDescent="0.25">
      <c r="B43" s="3" t="s">
        <v>3460</v>
      </c>
      <c r="H43" s="8" t="str">
        <f>B43&amp;" (Club)"</f>
        <v>Paddle (Club)</v>
      </c>
      <c r="M43" s="4"/>
      <c r="N43" s="4" t="s">
        <v>195</v>
      </c>
      <c r="O43" s="4" t="s">
        <v>3888</v>
      </c>
      <c r="P43" s="4">
        <v>1</v>
      </c>
      <c r="Q43" s="4">
        <v>1.5</v>
      </c>
      <c r="R43" s="4">
        <v>1</v>
      </c>
      <c r="S43" s="4">
        <v>-20</v>
      </c>
      <c r="T43" s="4">
        <v>4</v>
      </c>
      <c r="AA43" s="8"/>
    </row>
    <row r="44" spans="2:27" x14ac:dyDescent="0.25">
      <c r="B44" s="3" t="s">
        <v>3461</v>
      </c>
      <c r="H44" s="8" t="str">
        <f>B44&amp;" (Club)"</f>
        <v>Oar (Club)</v>
      </c>
      <c r="M44" s="4"/>
      <c r="N44" s="4" t="s">
        <v>195</v>
      </c>
      <c r="O44" s="4" t="s">
        <v>3888</v>
      </c>
      <c r="P44" s="4">
        <v>1</v>
      </c>
      <c r="Q44" s="4">
        <v>1.5</v>
      </c>
      <c r="R44" s="4">
        <v>1</v>
      </c>
      <c r="S44" s="4">
        <v>-25</v>
      </c>
      <c r="T44" s="4">
        <v>4</v>
      </c>
      <c r="AA44" s="8"/>
    </row>
    <row r="45" spans="2:27" x14ac:dyDescent="0.25">
      <c r="B45" s="3" t="s">
        <v>3462</v>
      </c>
      <c r="M45" s="4"/>
      <c r="AA45" s="4"/>
    </row>
    <row r="46" spans="2:27" x14ac:dyDescent="0.25">
      <c r="B46" s="3" t="s">
        <v>3463</v>
      </c>
      <c r="M46" s="4"/>
      <c r="AA46" s="4"/>
    </row>
    <row r="47" spans="2:27" x14ac:dyDescent="0.25">
      <c r="B47" s="3" t="s">
        <v>3464</v>
      </c>
      <c r="M47" s="4"/>
      <c r="AA47" s="4"/>
    </row>
    <row r="48" spans="2:27" x14ac:dyDescent="0.25">
      <c r="B48" s="3" t="s">
        <v>3465</v>
      </c>
      <c r="M48" s="4"/>
      <c r="AA48" s="4"/>
    </row>
    <row r="49" spans="2:27" x14ac:dyDescent="0.25">
      <c r="B49" s="3" t="s">
        <v>3466</v>
      </c>
      <c r="M49" s="4"/>
      <c r="AA49" s="4"/>
    </row>
    <row r="50" spans="2:27" x14ac:dyDescent="0.25">
      <c r="B50" s="3" t="s">
        <v>3467</v>
      </c>
      <c r="M50" s="4"/>
      <c r="AA50" s="4"/>
    </row>
    <row r="51" spans="2:27" x14ac:dyDescent="0.25">
      <c r="B51" s="3" t="s">
        <v>3468</v>
      </c>
      <c r="M51" s="4"/>
      <c r="AA51" s="4"/>
    </row>
    <row r="52" spans="2:27" x14ac:dyDescent="0.25">
      <c r="B52" s="3" t="s">
        <v>3469</v>
      </c>
      <c r="M52" s="4"/>
      <c r="AA52" s="4"/>
    </row>
    <row r="53" spans="2:27" x14ac:dyDescent="0.25">
      <c r="B53" s="3" t="s">
        <v>3470</v>
      </c>
      <c r="M53" s="4"/>
      <c r="AA53" s="4"/>
    </row>
    <row r="54" spans="2:27" x14ac:dyDescent="0.25">
      <c r="B54" s="3" t="s">
        <v>3471</v>
      </c>
      <c r="M54" s="4"/>
      <c r="AA54" s="4"/>
    </row>
    <row r="55" spans="2:27" x14ac:dyDescent="0.25">
      <c r="B55" s="3" t="s">
        <v>3472</v>
      </c>
      <c r="M55" s="4"/>
      <c r="AA55" s="4"/>
    </row>
    <row r="56" spans="2:27" x14ac:dyDescent="0.25">
      <c r="B56" s="3" t="s">
        <v>3473</v>
      </c>
      <c r="M56" s="4"/>
      <c r="AA56" s="4"/>
    </row>
    <row r="57" spans="2:27" x14ac:dyDescent="0.25">
      <c r="B57" s="3" t="s">
        <v>3474</v>
      </c>
      <c r="M57" s="4"/>
      <c r="AA57" s="4"/>
    </row>
    <row r="58" spans="2:27" x14ac:dyDescent="0.25">
      <c r="B58" s="3" t="s">
        <v>3475</v>
      </c>
      <c r="M58" s="4"/>
      <c r="AA58" s="4"/>
    </row>
    <row r="59" spans="2:27" x14ac:dyDescent="0.25">
      <c r="B59" s="3" t="s">
        <v>3476</v>
      </c>
      <c r="M59" s="4"/>
      <c r="AA59" s="4"/>
    </row>
    <row r="60" spans="2:27" x14ac:dyDescent="0.25">
      <c r="B60" s="3" t="s">
        <v>3477</v>
      </c>
      <c r="M60" s="4"/>
      <c r="AA60" s="4"/>
    </row>
    <row r="61" spans="2:27" x14ac:dyDescent="0.25">
      <c r="B61" s="3" t="s">
        <v>3478</v>
      </c>
      <c r="M61" s="4"/>
      <c r="AA61" s="4"/>
    </row>
    <row r="62" spans="2:27" x14ac:dyDescent="0.25">
      <c r="M62" s="4"/>
      <c r="AA62" s="4"/>
    </row>
    <row r="63" spans="2:27" x14ac:dyDescent="0.25">
      <c r="B63" s="107" t="s">
        <v>3599</v>
      </c>
      <c r="M63" s="4"/>
      <c r="AA63" s="4"/>
    </row>
    <row r="64" spans="2:27" x14ac:dyDescent="0.25">
      <c r="B64" s="107" t="s">
        <v>3600</v>
      </c>
      <c r="M64" s="4"/>
      <c r="AA64" s="4"/>
    </row>
    <row r="65" spans="2:27" x14ac:dyDescent="0.25">
      <c r="B65" s="3" t="s">
        <v>3237</v>
      </c>
      <c r="M65" s="4"/>
      <c r="AA65" s="4"/>
    </row>
    <row r="66" spans="2:27" x14ac:dyDescent="0.25">
      <c r="B66" s="3" t="s">
        <v>3238</v>
      </c>
      <c r="M66" s="4"/>
      <c r="AA66" s="4"/>
    </row>
    <row r="67" spans="2:27" x14ac:dyDescent="0.25">
      <c r="B67" s="3" t="s">
        <v>3239</v>
      </c>
      <c r="M67" s="4"/>
      <c r="AA67" s="4"/>
    </row>
    <row r="68" spans="2:27" x14ac:dyDescent="0.25">
      <c r="B68" s="3" t="s">
        <v>3240</v>
      </c>
      <c r="M68" s="4"/>
      <c r="AA68" s="4"/>
    </row>
    <row r="69" spans="2:27" x14ac:dyDescent="0.25">
      <c r="B69" s="3" t="s">
        <v>3241</v>
      </c>
      <c r="M69" s="4"/>
      <c r="AA69" s="4"/>
    </row>
    <row r="70" spans="2:27" x14ac:dyDescent="0.25">
      <c r="B70" s="3" t="s">
        <v>3242</v>
      </c>
      <c r="M70" s="4"/>
      <c r="AA70" s="4"/>
    </row>
    <row r="71" spans="2:27" x14ac:dyDescent="0.25">
      <c r="M71" s="4"/>
      <c r="AA71" s="4"/>
    </row>
    <row r="72" spans="2:27" x14ac:dyDescent="0.25">
      <c r="B72" s="107" t="s">
        <v>3601</v>
      </c>
      <c r="M72" s="4"/>
      <c r="AA72" s="4"/>
    </row>
    <row r="73" spans="2:27" x14ac:dyDescent="0.25">
      <c r="B73" s="3" t="s">
        <v>3243</v>
      </c>
      <c r="M73" s="4"/>
      <c r="AA73" s="4"/>
    </row>
    <row r="74" spans="2:27" x14ac:dyDescent="0.25">
      <c r="B74" s="3" t="s">
        <v>3244</v>
      </c>
      <c r="M74" s="4"/>
      <c r="AA74" s="4"/>
    </row>
    <row r="75" spans="2:27" x14ac:dyDescent="0.25">
      <c r="B75" s="3" t="s">
        <v>3245</v>
      </c>
      <c r="M75" s="4"/>
      <c r="AA75" s="4"/>
    </row>
    <row r="76" spans="2:27" x14ac:dyDescent="0.25">
      <c r="B76" s="3" t="s">
        <v>3246</v>
      </c>
      <c r="M76" s="4"/>
      <c r="AA76" s="4"/>
    </row>
    <row r="77" spans="2:27" x14ac:dyDescent="0.25">
      <c r="B77" s="3" t="s">
        <v>3247</v>
      </c>
      <c r="M77" s="4"/>
      <c r="AA77" s="4"/>
    </row>
    <row r="78" spans="2:27" x14ac:dyDescent="0.25">
      <c r="B78" s="3" t="s">
        <v>3248</v>
      </c>
      <c r="M78" s="4"/>
      <c r="AA78" s="4"/>
    </row>
    <row r="79" spans="2:27" x14ac:dyDescent="0.25">
      <c r="B79" s="3" t="s">
        <v>3249</v>
      </c>
      <c r="M79" s="4"/>
      <c r="AA79" s="4"/>
    </row>
    <row r="80" spans="2:27" x14ac:dyDescent="0.25">
      <c r="B80" s="3" t="s">
        <v>3250</v>
      </c>
      <c r="M80" s="4"/>
      <c r="AA80" s="4"/>
    </row>
    <row r="81" spans="2:27" x14ac:dyDescent="0.25">
      <c r="B81" s="3" t="s">
        <v>3251</v>
      </c>
      <c r="M81" s="4"/>
      <c r="AA81" s="4"/>
    </row>
    <row r="82" spans="2:27" x14ac:dyDescent="0.25">
      <c r="B82" s="3" t="s">
        <v>3252</v>
      </c>
      <c r="M82" s="4"/>
      <c r="AA82" s="4"/>
    </row>
    <row r="83" spans="2:27" x14ac:dyDescent="0.25">
      <c r="B83" s="3" t="s">
        <v>3253</v>
      </c>
      <c r="M83" s="4"/>
      <c r="AA83" s="4"/>
    </row>
    <row r="84" spans="2:27" x14ac:dyDescent="0.25">
      <c r="B84" s="3" t="s">
        <v>3254</v>
      </c>
      <c r="M84" s="4"/>
      <c r="AA84" s="4"/>
    </row>
    <row r="85" spans="2:27" x14ac:dyDescent="0.25">
      <c r="B85" s="3" t="s">
        <v>3255</v>
      </c>
      <c r="M85" s="4"/>
      <c r="AA85" s="4"/>
    </row>
    <row r="86" spans="2:27" x14ac:dyDescent="0.25">
      <c r="B86" s="3" t="s">
        <v>3256</v>
      </c>
      <c r="M86" s="4"/>
      <c r="AA86" s="4"/>
    </row>
    <row r="87" spans="2:27" x14ac:dyDescent="0.25">
      <c r="B87" s="3" t="s">
        <v>3257</v>
      </c>
      <c r="M87" s="4"/>
      <c r="AA87" s="4"/>
    </row>
    <row r="88" spans="2:27" x14ac:dyDescent="0.25">
      <c r="B88" s="3" t="s">
        <v>3258</v>
      </c>
      <c r="M88" s="4"/>
      <c r="AA88" s="4"/>
    </row>
    <row r="89" spans="2:27" x14ac:dyDescent="0.25">
      <c r="B89" s="3" t="s">
        <v>3259</v>
      </c>
      <c r="M89" s="4"/>
      <c r="AA89" s="4"/>
    </row>
    <row r="90" spans="2:27" x14ac:dyDescent="0.25">
      <c r="M90" s="4"/>
      <c r="AA90" s="4"/>
    </row>
    <row r="91" spans="2:27" x14ac:dyDescent="0.25">
      <c r="B91" s="107" t="s">
        <v>3602</v>
      </c>
      <c r="M91" s="4"/>
      <c r="AA91" s="4"/>
    </row>
    <row r="92" spans="2:27" x14ac:dyDescent="0.25">
      <c r="B92" s="3" t="s">
        <v>3261</v>
      </c>
      <c r="M92" s="4"/>
      <c r="AA92" s="4"/>
    </row>
    <row r="93" spans="2:27" x14ac:dyDescent="0.25">
      <c r="B93" s="3" t="s">
        <v>3260</v>
      </c>
      <c r="M93" s="4"/>
      <c r="AA93" s="4"/>
    </row>
    <row r="94" spans="2:27" x14ac:dyDescent="0.25">
      <c r="B94" s="3" t="s">
        <v>3262</v>
      </c>
      <c r="M94" s="4"/>
      <c r="AA94" s="4"/>
    </row>
    <row r="95" spans="2:27" x14ac:dyDescent="0.25">
      <c r="B95" s="3" t="s">
        <v>3264</v>
      </c>
      <c r="M95" s="4"/>
      <c r="AA95" s="4"/>
    </row>
    <row r="96" spans="2:27" x14ac:dyDescent="0.25">
      <c r="B96" s="3" t="s">
        <v>3263</v>
      </c>
      <c r="M96" s="4"/>
      <c r="AA96" s="4"/>
    </row>
    <row r="97" spans="2:27" x14ac:dyDescent="0.25">
      <c r="B97" s="3" t="s">
        <v>3265</v>
      </c>
      <c r="M97" s="4"/>
      <c r="AA97" s="4"/>
    </row>
    <row r="98" spans="2:27" x14ac:dyDescent="0.25">
      <c r="M98" s="4"/>
      <c r="AA98" s="4"/>
    </row>
    <row r="99" spans="2:27" x14ac:dyDescent="0.25">
      <c r="B99" s="107" t="s">
        <v>3603</v>
      </c>
      <c r="M99" s="4"/>
      <c r="AA99" s="4"/>
    </row>
    <row r="100" spans="2:27" x14ac:dyDescent="0.25">
      <c r="B100" s="3" t="s">
        <v>3266</v>
      </c>
      <c r="M100" s="4"/>
      <c r="AA100" s="4"/>
    </row>
    <row r="101" spans="2:27" x14ac:dyDescent="0.25">
      <c r="B101" s="3" t="s">
        <v>3267</v>
      </c>
      <c r="M101" s="4"/>
      <c r="AA101" s="4"/>
    </row>
    <row r="102" spans="2:27" x14ac:dyDescent="0.25">
      <c r="B102" s="3" t="s">
        <v>3268</v>
      </c>
      <c r="M102" s="4"/>
      <c r="AA102" s="4"/>
    </row>
    <row r="103" spans="2:27" x14ac:dyDescent="0.25">
      <c r="B103" s="3" t="s">
        <v>3269</v>
      </c>
      <c r="M103" s="4"/>
      <c r="AA103" s="4"/>
    </row>
    <row r="104" spans="2:27" x14ac:dyDescent="0.25">
      <c r="B104" s="3" t="s">
        <v>3270</v>
      </c>
      <c r="M104" s="4"/>
      <c r="AA104" s="4"/>
    </row>
    <row r="105" spans="2:27" x14ac:dyDescent="0.25">
      <c r="B105" s="3" t="s">
        <v>3271</v>
      </c>
      <c r="M105" s="4"/>
      <c r="AA105" s="4"/>
    </row>
    <row r="106" spans="2:27" x14ac:dyDescent="0.25">
      <c r="B106" s="3" t="s">
        <v>3272</v>
      </c>
      <c r="H106" s="8" t="str">
        <f>B106&amp;" (Thrown)"</f>
        <v>Egg (Thrown)</v>
      </c>
      <c r="M106" s="4"/>
      <c r="N106" s="4" t="s">
        <v>206</v>
      </c>
      <c r="O106" s="4" t="s">
        <v>199</v>
      </c>
      <c r="P106" s="4">
        <v>-2</v>
      </c>
      <c r="Q106" s="4">
        <v>0.67</v>
      </c>
      <c r="R106" s="4">
        <v>-2</v>
      </c>
      <c r="S106" s="4">
        <v>-10</v>
      </c>
      <c r="T106" s="4">
        <v>4</v>
      </c>
      <c r="AA106" s="8"/>
    </row>
    <row r="107" spans="2:27" x14ac:dyDescent="0.25">
      <c r="B107" s="3" t="s">
        <v>3273</v>
      </c>
      <c r="M107" s="4"/>
      <c r="AA107" s="4"/>
    </row>
    <row r="108" spans="2:27" x14ac:dyDescent="0.25">
      <c r="B108" s="3" t="s">
        <v>3274</v>
      </c>
      <c r="M108" s="4"/>
      <c r="AA108" s="4"/>
    </row>
    <row r="109" spans="2:27" x14ac:dyDescent="0.25">
      <c r="M109" s="4"/>
      <c r="AA109" s="4"/>
    </row>
    <row r="110" spans="2:27" x14ac:dyDescent="0.25">
      <c r="B110" s="107" t="s">
        <v>3604</v>
      </c>
      <c r="M110" s="4"/>
      <c r="AA110" s="4"/>
    </row>
    <row r="111" spans="2:27" x14ac:dyDescent="0.25">
      <c r="B111" s="3" t="s">
        <v>3275</v>
      </c>
      <c r="H111" s="8" t="str">
        <f>B111&amp;" (Thrown)"</f>
        <v>Apple (Thrown)</v>
      </c>
      <c r="M111" s="4"/>
      <c r="N111" s="4" t="s">
        <v>206</v>
      </c>
      <c r="O111" s="4" t="s">
        <v>199</v>
      </c>
      <c r="P111" s="4">
        <v>-3</v>
      </c>
      <c r="Q111" s="4">
        <v>0.5</v>
      </c>
      <c r="R111" s="4">
        <v>-3</v>
      </c>
      <c r="S111" s="4">
        <v>-20</v>
      </c>
      <c r="T111" s="4">
        <v>4</v>
      </c>
      <c r="AA111" s="8"/>
    </row>
    <row r="112" spans="2:27" x14ac:dyDescent="0.25">
      <c r="B112" s="3" t="s">
        <v>3276</v>
      </c>
      <c r="M112" s="4"/>
      <c r="AA112" s="4"/>
    </row>
    <row r="113" spans="2:27" x14ac:dyDescent="0.25">
      <c r="B113" s="3" t="s">
        <v>3277</v>
      </c>
      <c r="M113" s="4"/>
      <c r="AA113" s="4"/>
    </row>
    <row r="114" spans="2:27" x14ac:dyDescent="0.25">
      <c r="B114" s="3" t="s">
        <v>3278</v>
      </c>
      <c r="H114" s="8" t="str">
        <f>B114&amp;" (Thrown)"</f>
        <v>Crabapple (Thrown)</v>
      </c>
      <c r="M114" s="4"/>
      <c r="N114" s="4" t="s">
        <v>206</v>
      </c>
      <c r="O114" s="4" t="s">
        <v>199</v>
      </c>
      <c r="P114" s="4">
        <v>-3</v>
      </c>
      <c r="Q114" s="4">
        <v>0.5</v>
      </c>
      <c r="R114" s="4">
        <v>-3</v>
      </c>
      <c r="S114" s="4">
        <v>-20</v>
      </c>
      <c r="T114" s="4">
        <v>4</v>
      </c>
      <c r="AA114" s="8"/>
    </row>
    <row r="115" spans="2:27" x14ac:dyDescent="0.25">
      <c r="B115" s="3" t="s">
        <v>3279</v>
      </c>
      <c r="M115" s="4"/>
      <c r="AA115" s="4"/>
    </row>
    <row r="116" spans="2:27" x14ac:dyDescent="0.25">
      <c r="B116" s="3" t="s">
        <v>3280</v>
      </c>
      <c r="M116" s="4"/>
      <c r="AA116" s="4"/>
    </row>
    <row r="117" spans="2:27" x14ac:dyDescent="0.25">
      <c r="B117" s="3" t="s">
        <v>3281</v>
      </c>
      <c r="M117" s="4"/>
      <c r="AA117" s="4"/>
    </row>
    <row r="118" spans="2:27" x14ac:dyDescent="0.25">
      <c r="B118" s="3" t="s">
        <v>3282</v>
      </c>
      <c r="H118" s="8" t="str">
        <f>B118&amp;" (Thrown)"</f>
        <v>Melon (Thrown)</v>
      </c>
      <c r="M118" s="4"/>
      <c r="N118" s="4" t="s">
        <v>206</v>
      </c>
      <c r="O118" s="4" t="s">
        <v>199</v>
      </c>
      <c r="P118" s="4">
        <v>-2</v>
      </c>
      <c r="Q118" s="4">
        <v>0.67</v>
      </c>
      <c r="R118" s="4">
        <v>-2</v>
      </c>
      <c r="S118" s="4">
        <v>-25</v>
      </c>
      <c r="T118" s="4">
        <v>5</v>
      </c>
      <c r="AA118" s="8"/>
    </row>
    <row r="119" spans="2:27" x14ac:dyDescent="0.25">
      <c r="B119" s="3" t="s">
        <v>3283</v>
      </c>
      <c r="M119" s="4"/>
      <c r="AA119" s="4"/>
    </row>
    <row r="120" spans="2:27" x14ac:dyDescent="0.25">
      <c r="B120" s="3" t="s">
        <v>3284</v>
      </c>
      <c r="M120" s="4"/>
      <c r="AA120" s="4"/>
    </row>
    <row r="121" spans="2:27" x14ac:dyDescent="0.25">
      <c r="B121" s="3" t="s">
        <v>3285</v>
      </c>
      <c r="M121" s="4"/>
      <c r="N121" s="4" t="s">
        <v>206</v>
      </c>
      <c r="O121" s="4" t="s">
        <v>199</v>
      </c>
      <c r="P121" s="4">
        <v>-3</v>
      </c>
      <c r="Q121" s="4">
        <v>0.5</v>
      </c>
      <c r="R121" s="4">
        <v>-3</v>
      </c>
      <c r="S121" s="4">
        <v>-20</v>
      </c>
      <c r="T121" s="4">
        <v>4</v>
      </c>
      <c r="AA121" s="4"/>
    </row>
    <row r="122" spans="2:27" x14ac:dyDescent="0.25">
      <c r="B122" s="3" t="s">
        <v>3286</v>
      </c>
      <c r="M122" s="4"/>
      <c r="AA122" s="4"/>
    </row>
    <row r="123" spans="2:27" x14ac:dyDescent="0.25">
      <c r="B123" s="3" t="s">
        <v>3287</v>
      </c>
      <c r="M123" s="4"/>
      <c r="AA123" s="4"/>
    </row>
    <row r="124" spans="2:27" x14ac:dyDescent="0.25">
      <c r="B124" s="3" t="s">
        <v>3288</v>
      </c>
      <c r="M124" s="4"/>
      <c r="AA124" s="4"/>
    </row>
    <row r="125" spans="2:27" x14ac:dyDescent="0.25">
      <c r="B125" s="3" t="s">
        <v>3289</v>
      </c>
      <c r="M125" s="4"/>
      <c r="AA125" s="4"/>
    </row>
    <row r="126" spans="2:27" x14ac:dyDescent="0.25">
      <c r="B126" s="3" t="s">
        <v>3290</v>
      </c>
      <c r="H126" s="8" t="str">
        <f>B126&amp;" (Thrown)"</f>
        <v>Citrus (Thrown)</v>
      </c>
      <c r="M126" s="4"/>
      <c r="N126" s="4" t="s">
        <v>206</v>
      </c>
      <c r="O126" s="4" t="s">
        <v>199</v>
      </c>
      <c r="P126" s="4">
        <v>-3</v>
      </c>
      <c r="Q126" s="4">
        <v>0.5</v>
      </c>
      <c r="R126" s="4">
        <v>-3</v>
      </c>
      <c r="S126" s="4">
        <v>-20</v>
      </c>
      <c r="T126" s="4">
        <v>4</v>
      </c>
      <c r="AA126" s="8"/>
    </row>
    <row r="127" spans="2:27" x14ac:dyDescent="0.25">
      <c r="M127" s="4"/>
      <c r="AA127" s="4"/>
    </row>
    <row r="128" spans="2:27" x14ac:dyDescent="0.25">
      <c r="B128" s="107" t="s">
        <v>3605</v>
      </c>
      <c r="M128" s="4"/>
      <c r="AA128" s="4"/>
    </row>
    <row r="129" spans="2:27" x14ac:dyDescent="0.25">
      <c r="B129" s="3" t="s">
        <v>3291</v>
      </c>
      <c r="M129" s="4"/>
      <c r="AA129" s="4"/>
    </row>
    <row r="130" spans="2:27" x14ac:dyDescent="0.25">
      <c r="B130" s="3" t="s">
        <v>3292</v>
      </c>
      <c r="M130" s="4"/>
      <c r="AA130" s="4"/>
    </row>
    <row r="131" spans="2:27" x14ac:dyDescent="0.25">
      <c r="B131" s="3" t="s">
        <v>3293</v>
      </c>
      <c r="M131" s="4"/>
      <c r="AA131" s="4"/>
    </row>
    <row r="132" spans="2:27" x14ac:dyDescent="0.25">
      <c r="B132" s="3" t="s">
        <v>3294</v>
      </c>
      <c r="M132" s="4"/>
      <c r="AA132" s="4"/>
    </row>
    <row r="133" spans="2:27" x14ac:dyDescent="0.25">
      <c r="B133" s="3" t="s">
        <v>3295</v>
      </c>
      <c r="M133" s="4"/>
      <c r="AA133" s="4"/>
    </row>
    <row r="134" spans="2:27" x14ac:dyDescent="0.25">
      <c r="B134" s="3" t="s">
        <v>3296</v>
      </c>
      <c r="M134" s="4"/>
      <c r="AA134" s="4"/>
    </row>
    <row r="135" spans="2:27" x14ac:dyDescent="0.25">
      <c r="B135" s="3" t="s">
        <v>3297</v>
      </c>
      <c r="M135" s="4"/>
      <c r="AA135" s="4"/>
    </row>
    <row r="136" spans="2:27" x14ac:dyDescent="0.25">
      <c r="B136" s="3" t="s">
        <v>3298</v>
      </c>
      <c r="M136" s="4"/>
      <c r="AA136" s="4"/>
    </row>
    <row r="137" spans="2:27" x14ac:dyDescent="0.25">
      <c r="B137" s="3" t="s">
        <v>3299</v>
      </c>
      <c r="M137" s="4"/>
      <c r="AA137" s="4"/>
    </row>
    <row r="138" spans="2:27" x14ac:dyDescent="0.25">
      <c r="B138" s="3" t="s">
        <v>3300</v>
      </c>
      <c r="M138" s="4"/>
      <c r="AA138" s="4"/>
    </row>
    <row r="139" spans="2:27" x14ac:dyDescent="0.25">
      <c r="B139" s="3" t="s">
        <v>3301</v>
      </c>
      <c r="H139" s="8" t="str">
        <f>B139&amp;" (Thrown)"</f>
        <v>Onion (Thrown)</v>
      </c>
      <c r="M139" s="4"/>
      <c r="N139" s="4" t="s">
        <v>206</v>
      </c>
      <c r="O139" s="4" t="s">
        <v>199</v>
      </c>
      <c r="P139" s="4">
        <v>-3</v>
      </c>
      <c r="Q139" s="4">
        <v>0.5</v>
      </c>
      <c r="R139" s="4">
        <v>-3</v>
      </c>
      <c r="S139" s="4">
        <v>-20</v>
      </c>
      <c r="T139" s="4">
        <v>4</v>
      </c>
      <c r="AA139" s="8"/>
    </row>
    <row r="140" spans="2:27" x14ac:dyDescent="0.25">
      <c r="B140" s="3" t="s">
        <v>3302</v>
      </c>
      <c r="M140" s="4"/>
      <c r="AA140" s="4"/>
    </row>
    <row r="141" spans="2:27" x14ac:dyDescent="0.25">
      <c r="B141" s="3" t="s">
        <v>3303</v>
      </c>
      <c r="M141" s="4"/>
      <c r="AA141" s="4"/>
    </row>
    <row r="142" spans="2:27" x14ac:dyDescent="0.25">
      <c r="B142" s="3" t="s">
        <v>3304</v>
      </c>
      <c r="H142" s="8" t="str">
        <f>B142&amp;" (Thrown)"</f>
        <v>Potato (Thrown)</v>
      </c>
      <c r="M142" s="4"/>
      <c r="N142" s="4" t="s">
        <v>206</v>
      </c>
      <c r="O142" s="4" t="s">
        <v>199</v>
      </c>
      <c r="P142" s="4">
        <v>-3</v>
      </c>
      <c r="Q142" s="4">
        <v>0.5</v>
      </c>
      <c r="R142" s="4">
        <v>-3</v>
      </c>
      <c r="S142" s="4">
        <v>-20</v>
      </c>
      <c r="T142" s="4">
        <v>4</v>
      </c>
      <c r="AA142" s="8"/>
    </row>
    <row r="143" spans="2:27" x14ac:dyDescent="0.25">
      <c r="B143" s="3" t="s">
        <v>3305</v>
      </c>
      <c r="M143" s="4"/>
      <c r="AA143" s="4"/>
    </row>
    <row r="144" spans="2:27" x14ac:dyDescent="0.25">
      <c r="B144" s="3" t="s">
        <v>3306</v>
      </c>
      <c r="H144" s="8" t="str">
        <f>B144&amp;" (Thrown)"</f>
        <v>Turnip (Thrown)</v>
      </c>
      <c r="M144" s="4"/>
      <c r="N144" s="4" t="s">
        <v>206</v>
      </c>
      <c r="O144" s="4" t="s">
        <v>199</v>
      </c>
      <c r="P144" s="4">
        <v>-2</v>
      </c>
      <c r="Q144" s="4">
        <v>0.67</v>
      </c>
      <c r="R144" s="4">
        <v>-2</v>
      </c>
      <c r="S144" s="4">
        <v>-20</v>
      </c>
      <c r="T144" s="4">
        <v>4</v>
      </c>
      <c r="AA144" s="8"/>
    </row>
    <row r="145" spans="2:27" x14ac:dyDescent="0.25">
      <c r="M145" s="4"/>
      <c r="AA145" s="4"/>
    </row>
    <row r="146" spans="2:27" x14ac:dyDescent="0.25">
      <c r="B146" s="107" t="s">
        <v>3606</v>
      </c>
      <c r="M146" s="4"/>
      <c r="AA146" s="4"/>
    </row>
    <row r="147" spans="2:27" x14ac:dyDescent="0.25">
      <c r="B147" s="3" t="s">
        <v>3307</v>
      </c>
      <c r="M147" s="4"/>
      <c r="AA147" s="4"/>
    </row>
    <row r="148" spans="2:27" x14ac:dyDescent="0.25">
      <c r="B148" s="3" t="s">
        <v>3308</v>
      </c>
      <c r="M148" s="4"/>
      <c r="AA148" s="4"/>
    </row>
    <row r="149" spans="2:27" x14ac:dyDescent="0.25">
      <c r="B149" s="3" t="s">
        <v>3309</v>
      </c>
      <c r="M149" s="4"/>
      <c r="AA149" s="4"/>
    </row>
    <row r="150" spans="2:27" x14ac:dyDescent="0.25">
      <c r="B150" s="3" t="s">
        <v>3310</v>
      </c>
      <c r="M150" s="4"/>
      <c r="AA150" s="4"/>
    </row>
    <row r="151" spans="2:27" x14ac:dyDescent="0.25">
      <c r="B151" s="3" t="s">
        <v>3311</v>
      </c>
      <c r="M151" s="4"/>
      <c r="AA151" s="4"/>
    </row>
    <row r="152" spans="2:27" x14ac:dyDescent="0.25">
      <c r="B152" s="3" t="s">
        <v>3312</v>
      </c>
      <c r="M152" s="4"/>
      <c r="AA152" s="4"/>
    </row>
    <row r="153" spans="2:27" x14ac:dyDescent="0.25">
      <c r="B153" s="3" t="s">
        <v>3313</v>
      </c>
      <c r="M153" s="4"/>
      <c r="AA153" s="4"/>
    </row>
    <row r="154" spans="2:27" x14ac:dyDescent="0.25">
      <c r="B154" s="3" t="s">
        <v>3314</v>
      </c>
      <c r="M154" s="4"/>
      <c r="AA154" s="4"/>
    </row>
    <row r="155" spans="2:27" x14ac:dyDescent="0.25">
      <c r="B155" s="3" t="s">
        <v>3315</v>
      </c>
      <c r="M155" s="4"/>
      <c r="AA155" s="4"/>
    </row>
    <row r="156" spans="2:27" x14ac:dyDescent="0.25">
      <c r="B156" s="3" t="s">
        <v>3316</v>
      </c>
      <c r="M156" s="4"/>
      <c r="AA156" s="4"/>
    </row>
    <row r="157" spans="2:27" x14ac:dyDescent="0.25">
      <c r="B157" s="3" t="s">
        <v>3317</v>
      </c>
      <c r="M157" s="4"/>
      <c r="AA157" s="4"/>
    </row>
    <row r="158" spans="2:27" x14ac:dyDescent="0.25">
      <c r="B158" s="3" t="s">
        <v>3318</v>
      </c>
      <c r="M158" s="4"/>
      <c r="AA158" s="4"/>
    </row>
    <row r="159" spans="2:27" x14ac:dyDescent="0.25">
      <c r="B159" s="3" t="s">
        <v>3319</v>
      </c>
      <c r="M159" s="4"/>
      <c r="AA159" s="4"/>
    </row>
    <row r="160" spans="2:27" x14ac:dyDescent="0.25">
      <c r="B160" s="3" t="s">
        <v>3320</v>
      </c>
      <c r="M160" s="4"/>
      <c r="AA160" s="4"/>
    </row>
    <row r="161" spans="2:27" x14ac:dyDescent="0.25">
      <c r="B161" s="3" t="s">
        <v>3321</v>
      </c>
      <c r="M161" s="4"/>
      <c r="AA161" s="4"/>
    </row>
    <row r="162" spans="2:27" x14ac:dyDescent="0.25">
      <c r="B162" s="3" t="s">
        <v>3322</v>
      </c>
      <c r="M162" s="4"/>
      <c r="AA162" s="4"/>
    </row>
    <row r="163" spans="2:27" x14ac:dyDescent="0.25">
      <c r="B163" s="3" t="s">
        <v>3323</v>
      </c>
      <c r="M163" s="4"/>
      <c r="AA163" s="4"/>
    </row>
    <row r="164" spans="2:27" x14ac:dyDescent="0.25">
      <c r="B164" s="3" t="s">
        <v>3324</v>
      </c>
      <c r="M164" s="4"/>
      <c r="AA164" s="4"/>
    </row>
    <row r="165" spans="2:27" x14ac:dyDescent="0.25">
      <c r="M165" s="4"/>
      <c r="AA165" s="4"/>
    </row>
    <row r="166" spans="2:27" x14ac:dyDescent="0.25">
      <c r="B166" s="107" t="s">
        <v>3607</v>
      </c>
      <c r="M166" s="4"/>
      <c r="AA166" s="4"/>
    </row>
    <row r="167" spans="2:27" x14ac:dyDescent="0.25">
      <c r="B167" s="3" t="s">
        <v>3325</v>
      </c>
      <c r="M167" s="4"/>
      <c r="AA167" s="4"/>
    </row>
    <row r="168" spans="2:27" x14ac:dyDescent="0.25">
      <c r="B168" s="3" t="s">
        <v>3326</v>
      </c>
      <c r="M168" s="4"/>
      <c r="AA168" s="4"/>
    </row>
    <row r="169" spans="2:27" x14ac:dyDescent="0.25">
      <c r="B169" s="3" t="s">
        <v>3327</v>
      </c>
      <c r="M169" s="4"/>
      <c r="AA169" s="4"/>
    </row>
    <row r="170" spans="2:27" x14ac:dyDescent="0.25">
      <c r="B170" s="3" t="s">
        <v>3328</v>
      </c>
      <c r="M170" s="4"/>
      <c r="AA170" s="4"/>
    </row>
    <row r="171" spans="2:27" x14ac:dyDescent="0.25">
      <c r="B171" s="3" t="s">
        <v>3329</v>
      </c>
      <c r="M171" s="4"/>
      <c r="AA171" s="4"/>
    </row>
    <row r="172" spans="2:27" x14ac:dyDescent="0.25">
      <c r="B172" s="3" t="s">
        <v>3330</v>
      </c>
      <c r="M172" s="4"/>
      <c r="AA172" s="4"/>
    </row>
    <row r="173" spans="2:27" x14ac:dyDescent="0.25">
      <c r="B173" s="3" t="s">
        <v>3331</v>
      </c>
      <c r="M173" s="4"/>
      <c r="AA173" s="4"/>
    </row>
    <row r="174" spans="2:27" x14ac:dyDescent="0.25">
      <c r="B174" s="3" t="s">
        <v>3266</v>
      </c>
      <c r="M174" s="4"/>
      <c r="AA174" s="4"/>
    </row>
    <row r="175" spans="2:27" x14ac:dyDescent="0.25">
      <c r="B175" s="3" t="s">
        <v>3332</v>
      </c>
      <c r="M175" s="4"/>
      <c r="AA175" s="4"/>
    </row>
    <row r="176" spans="2:27" x14ac:dyDescent="0.25">
      <c r="B176" s="3" t="s">
        <v>3333</v>
      </c>
      <c r="M176" s="4"/>
      <c r="AA176" s="4"/>
    </row>
    <row r="177" spans="2:27" x14ac:dyDescent="0.25">
      <c r="M177" s="4"/>
      <c r="AA177" s="4"/>
    </row>
    <row r="178" spans="2:27" x14ac:dyDescent="0.25">
      <c r="B178" s="107" t="s">
        <v>3608</v>
      </c>
      <c r="M178" s="4"/>
      <c r="AA178" s="4"/>
    </row>
    <row r="179" spans="2:27" x14ac:dyDescent="0.25">
      <c r="B179" s="3" t="s">
        <v>3334</v>
      </c>
      <c r="M179" s="4"/>
      <c r="AA179" s="4"/>
    </row>
    <row r="180" spans="2:27" x14ac:dyDescent="0.25">
      <c r="B180" s="3" t="s">
        <v>3335</v>
      </c>
      <c r="M180" s="4"/>
      <c r="AA180" s="4"/>
    </row>
    <row r="181" spans="2:27" x14ac:dyDescent="0.25">
      <c r="B181" s="3" t="s">
        <v>3336</v>
      </c>
      <c r="M181" s="4"/>
      <c r="AA181" s="4"/>
    </row>
    <row r="182" spans="2:27" x14ac:dyDescent="0.25">
      <c r="B182" s="3" t="s">
        <v>3337</v>
      </c>
      <c r="M182" s="4"/>
      <c r="AA182" s="4"/>
    </row>
    <row r="183" spans="2:27" x14ac:dyDescent="0.25">
      <c r="B183" s="3" t="s">
        <v>3338</v>
      </c>
      <c r="M183" s="4"/>
      <c r="AA183" s="4"/>
    </row>
    <row r="184" spans="2:27" x14ac:dyDescent="0.25">
      <c r="B184" s="3" t="s">
        <v>3339</v>
      </c>
      <c r="M184" s="4"/>
      <c r="AA184" s="4"/>
    </row>
    <row r="185" spans="2:27" x14ac:dyDescent="0.25">
      <c r="B185" s="3" t="s">
        <v>3340</v>
      </c>
      <c r="M185" s="4"/>
      <c r="AA185" s="4"/>
    </row>
    <row r="186" spans="2:27" x14ac:dyDescent="0.25">
      <c r="B186" s="3" t="s">
        <v>3341</v>
      </c>
      <c r="M186" s="4"/>
      <c r="AA186" s="4"/>
    </row>
    <row r="187" spans="2:27" x14ac:dyDescent="0.25">
      <c r="B187" s="3" t="s">
        <v>3342</v>
      </c>
      <c r="M187" s="4"/>
      <c r="AA187" s="4"/>
    </row>
    <row r="188" spans="2:27" x14ac:dyDescent="0.25">
      <c r="B188" s="3" t="s">
        <v>3343</v>
      </c>
      <c r="M188" s="4"/>
      <c r="AA188" s="4"/>
    </row>
    <row r="189" spans="2:27" x14ac:dyDescent="0.25">
      <c r="B189" s="3" t="s">
        <v>3344</v>
      </c>
      <c r="M189" s="4"/>
      <c r="AA189" s="4"/>
    </row>
    <row r="190" spans="2:27" x14ac:dyDescent="0.25">
      <c r="B190" s="3" t="s">
        <v>3345</v>
      </c>
      <c r="M190" s="4"/>
      <c r="AA190" s="4"/>
    </row>
    <row r="191" spans="2:27" x14ac:dyDescent="0.25">
      <c r="B191" s="3" t="s">
        <v>3346</v>
      </c>
      <c r="M191" s="4"/>
      <c r="AA191" s="4"/>
    </row>
    <row r="192" spans="2:27" x14ac:dyDescent="0.25">
      <c r="B192" s="3" t="s">
        <v>3347</v>
      </c>
      <c r="M192" s="4"/>
      <c r="AA192" s="4"/>
    </row>
    <row r="193" spans="2:27" x14ac:dyDescent="0.25">
      <c r="B193" s="3" t="s">
        <v>3348</v>
      </c>
      <c r="M193" s="4"/>
      <c r="AA193" s="4"/>
    </row>
    <row r="194" spans="2:27" x14ac:dyDescent="0.25">
      <c r="M194" s="4"/>
      <c r="AA194" s="4"/>
    </row>
    <row r="195" spans="2:27" x14ac:dyDescent="0.25">
      <c r="B195" s="107" t="s">
        <v>3609</v>
      </c>
      <c r="M195" s="4"/>
      <c r="AA195" s="4"/>
    </row>
    <row r="196" spans="2:27" x14ac:dyDescent="0.25">
      <c r="B196" s="3" t="s">
        <v>3349</v>
      </c>
      <c r="M196" s="4"/>
      <c r="AA196" s="4"/>
    </row>
    <row r="197" spans="2:27" x14ac:dyDescent="0.25">
      <c r="B197" s="3" t="s">
        <v>3350</v>
      </c>
      <c r="M197" s="4"/>
      <c r="AA197" s="4"/>
    </row>
    <row r="198" spans="2:27" x14ac:dyDescent="0.25">
      <c r="B198" s="3" t="s">
        <v>3351</v>
      </c>
      <c r="M198" s="4"/>
      <c r="AA198" s="4"/>
    </row>
    <row r="199" spans="2:27" x14ac:dyDescent="0.25">
      <c r="B199" s="3" t="s">
        <v>3352</v>
      </c>
      <c r="M199" s="4"/>
      <c r="AA199" s="4"/>
    </row>
    <row r="200" spans="2:27" x14ac:dyDescent="0.25">
      <c r="B200" s="3" t="s">
        <v>3353</v>
      </c>
      <c r="M200" s="4"/>
      <c r="AA200" s="4"/>
    </row>
    <row r="201" spans="2:27" x14ac:dyDescent="0.25">
      <c r="B201" s="3" t="s">
        <v>3354</v>
      </c>
      <c r="M201" s="4"/>
      <c r="AA201" s="4"/>
    </row>
    <row r="202" spans="2:27" x14ac:dyDescent="0.25">
      <c r="B202" s="3" t="s">
        <v>3355</v>
      </c>
      <c r="M202" s="4"/>
      <c r="AA202" s="4"/>
    </row>
    <row r="203" spans="2:27" x14ac:dyDescent="0.25">
      <c r="B203" s="3" t="s">
        <v>3356</v>
      </c>
      <c r="M203" s="4"/>
      <c r="AA203" s="4"/>
    </row>
    <row r="204" spans="2:27" x14ac:dyDescent="0.25">
      <c r="B204" s="3" t="s">
        <v>3357</v>
      </c>
      <c r="M204" s="4"/>
      <c r="AA204" s="4"/>
    </row>
    <row r="205" spans="2:27" x14ac:dyDescent="0.25">
      <c r="B205" s="3" t="s">
        <v>3358</v>
      </c>
      <c r="M205" s="4"/>
      <c r="AA205" s="4"/>
    </row>
    <row r="206" spans="2:27" x14ac:dyDescent="0.25">
      <c r="B206" s="3" t="s">
        <v>3359</v>
      </c>
      <c r="M206" s="4"/>
      <c r="AA206" s="4"/>
    </row>
    <row r="207" spans="2:27" x14ac:dyDescent="0.25">
      <c r="B207" s="3" t="s">
        <v>3360</v>
      </c>
      <c r="M207" s="4"/>
      <c r="AA207" s="4"/>
    </row>
    <row r="208" spans="2:27" x14ac:dyDescent="0.25">
      <c r="B208" s="3" t="s">
        <v>3361</v>
      </c>
      <c r="M208" s="4"/>
      <c r="AA208" s="4"/>
    </row>
    <row r="209" spans="2:27" x14ac:dyDescent="0.25">
      <c r="B209" s="3" t="s">
        <v>3362</v>
      </c>
      <c r="M209" s="4"/>
      <c r="AA209" s="4"/>
    </row>
    <row r="210" spans="2:27" x14ac:dyDescent="0.25">
      <c r="B210" s="3" t="s">
        <v>3363</v>
      </c>
      <c r="M210" s="4"/>
      <c r="AA210" s="4"/>
    </row>
    <row r="211" spans="2:27" x14ac:dyDescent="0.25">
      <c r="B211" s="3" t="s">
        <v>3364</v>
      </c>
      <c r="M211" s="4"/>
      <c r="AA211" s="4"/>
    </row>
    <row r="212" spans="2:27" x14ac:dyDescent="0.25">
      <c r="M212" s="4"/>
      <c r="AA212" s="4"/>
    </row>
    <row r="213" spans="2:27" x14ac:dyDescent="0.25">
      <c r="B213" s="107" t="s">
        <v>3610</v>
      </c>
      <c r="M213" s="4"/>
      <c r="AA213" s="4"/>
    </row>
    <row r="214" spans="2:27" x14ac:dyDescent="0.25">
      <c r="B214" s="3" t="s">
        <v>3365</v>
      </c>
      <c r="M214" s="4"/>
      <c r="AA214" s="4"/>
    </row>
    <row r="215" spans="2:27" x14ac:dyDescent="0.25">
      <c r="B215" s="3" t="s">
        <v>3366</v>
      </c>
      <c r="M215" s="4"/>
      <c r="AA215" s="4"/>
    </row>
    <row r="216" spans="2:27" x14ac:dyDescent="0.25">
      <c r="B216" s="3" t="s">
        <v>3367</v>
      </c>
      <c r="M216" s="4"/>
      <c r="AA216" s="4"/>
    </row>
    <row r="217" spans="2:27" x14ac:dyDescent="0.25">
      <c r="M217" s="4"/>
      <c r="AA217" s="4"/>
    </row>
    <row r="218" spans="2:27" x14ac:dyDescent="0.25">
      <c r="B218" s="107" t="s">
        <v>3611</v>
      </c>
      <c r="M218" s="4"/>
      <c r="AA218" s="4"/>
    </row>
    <row r="219" spans="2:27" x14ac:dyDescent="0.25">
      <c r="B219" s="3" t="s">
        <v>3368</v>
      </c>
      <c r="M219" s="4"/>
      <c r="AA219" s="4"/>
    </row>
    <row r="220" spans="2:27" x14ac:dyDescent="0.25">
      <c r="B220" s="3" t="s">
        <v>3369</v>
      </c>
      <c r="M220" s="4"/>
      <c r="AA220" s="4"/>
    </row>
    <row r="221" spans="2:27" x14ac:dyDescent="0.25">
      <c r="B221" s="3" t="s">
        <v>3370</v>
      </c>
      <c r="M221" s="4"/>
      <c r="AA221" s="4"/>
    </row>
    <row r="222" spans="2:27" x14ac:dyDescent="0.25">
      <c r="B222" s="3" t="s">
        <v>3371</v>
      </c>
      <c r="M222" s="4"/>
      <c r="AA222" s="4"/>
    </row>
    <row r="223" spans="2:27" x14ac:dyDescent="0.25">
      <c r="B223" s="3" t="s">
        <v>3372</v>
      </c>
      <c r="M223" s="4"/>
      <c r="AA223" s="4"/>
    </row>
    <row r="224" spans="2:27" x14ac:dyDescent="0.25">
      <c r="M224" s="4"/>
      <c r="AA224" s="4"/>
    </row>
    <row r="225" spans="2:27" x14ac:dyDescent="0.25">
      <c r="B225" s="107" t="s">
        <v>3612</v>
      </c>
      <c r="M225" s="4"/>
      <c r="AA225" s="4"/>
    </row>
    <row r="226" spans="2:27" x14ac:dyDescent="0.25">
      <c r="B226" s="3" t="s">
        <v>3373</v>
      </c>
      <c r="M226" s="4"/>
      <c r="AA226" s="4"/>
    </row>
    <row r="227" spans="2:27" x14ac:dyDescent="0.25">
      <c r="B227" s="3" t="s">
        <v>3374</v>
      </c>
      <c r="M227" s="4"/>
      <c r="AA227" s="4"/>
    </row>
    <row r="228" spans="2:27" x14ac:dyDescent="0.25">
      <c r="B228" s="3" t="s">
        <v>3375</v>
      </c>
      <c r="M228" s="4"/>
      <c r="AA228" s="4"/>
    </row>
    <row r="229" spans="2:27" x14ac:dyDescent="0.25">
      <c r="M229" s="4"/>
      <c r="AA229" s="4"/>
    </row>
    <row r="230" spans="2:27" x14ac:dyDescent="0.25">
      <c r="B230" s="107" t="s">
        <v>3613</v>
      </c>
      <c r="M230" s="4"/>
      <c r="AA230" s="4"/>
    </row>
    <row r="231" spans="2:27" x14ac:dyDescent="0.25">
      <c r="B231" s="3" t="s">
        <v>2337</v>
      </c>
      <c r="C231" s="4">
        <v>0.03</v>
      </c>
      <c r="D231" s="4">
        <v>1</v>
      </c>
      <c r="F231" s="4" t="s">
        <v>2335</v>
      </c>
      <c r="G231" s="4">
        <v>0.9</v>
      </c>
      <c r="H231" s="4" t="s">
        <v>2138</v>
      </c>
      <c r="I231" s="4">
        <v>60</v>
      </c>
      <c r="N231" s="4" t="s">
        <v>194</v>
      </c>
      <c r="O231" s="4" t="s">
        <v>2878</v>
      </c>
      <c r="P231" s="4">
        <v>0</v>
      </c>
      <c r="Q231" s="4">
        <v>1</v>
      </c>
      <c r="R231" s="4">
        <v>0</v>
      </c>
      <c r="S231" s="4">
        <v>-10</v>
      </c>
      <c r="T231" s="4">
        <v>4</v>
      </c>
    </row>
    <row r="232" spans="2:27" x14ac:dyDescent="0.25">
      <c r="B232" s="3" t="s">
        <v>2398</v>
      </c>
      <c r="C232" s="4">
        <v>0.5</v>
      </c>
      <c r="D232" s="4">
        <v>1</v>
      </c>
      <c r="F232" s="4" t="s">
        <v>2142</v>
      </c>
      <c r="G232" s="4">
        <v>0.6</v>
      </c>
      <c r="H232" s="4" t="s">
        <v>2140</v>
      </c>
      <c r="I232" s="4">
        <v>45</v>
      </c>
    </row>
    <row r="233" spans="2:27" x14ac:dyDescent="0.25">
      <c r="B233" s="3" t="s">
        <v>2399</v>
      </c>
      <c r="C233" s="4">
        <v>0.75</v>
      </c>
      <c r="D233" s="4">
        <v>1.5</v>
      </c>
      <c r="F233" s="4" t="s">
        <v>2142</v>
      </c>
      <c r="G233" s="4">
        <v>0.6</v>
      </c>
      <c r="H233" s="4" t="s">
        <v>2140</v>
      </c>
      <c r="I233" s="4">
        <v>45</v>
      </c>
    </row>
    <row r="234" spans="2:27" x14ac:dyDescent="0.25">
      <c r="B234" s="3" t="s">
        <v>2400</v>
      </c>
      <c r="C234" s="4">
        <v>1.3</v>
      </c>
      <c r="D234" s="4">
        <v>3</v>
      </c>
      <c r="F234" s="4" t="s">
        <v>2142</v>
      </c>
      <c r="G234" s="4">
        <v>0.6</v>
      </c>
      <c r="H234" s="4" t="s">
        <v>2140</v>
      </c>
      <c r="I234" s="4">
        <v>45</v>
      </c>
    </row>
    <row r="235" spans="2:27" x14ac:dyDescent="0.25">
      <c r="B235" s="3" t="s">
        <v>2401</v>
      </c>
      <c r="C235" s="4">
        <v>1</v>
      </c>
      <c r="D235" s="4">
        <v>0.75</v>
      </c>
      <c r="F235" s="4" t="s">
        <v>2140</v>
      </c>
      <c r="G235" s="4">
        <v>0.6</v>
      </c>
      <c r="H235" s="4" t="s">
        <v>2140</v>
      </c>
      <c r="I235" s="4">
        <v>35</v>
      </c>
    </row>
    <row r="236" spans="2:27" x14ac:dyDescent="0.25">
      <c r="B236" s="3" t="s">
        <v>2402</v>
      </c>
      <c r="C236" s="4">
        <v>1.1499999999999999</v>
      </c>
      <c r="D236" s="4">
        <v>1</v>
      </c>
      <c r="F236" s="4" t="s">
        <v>2140</v>
      </c>
      <c r="G236" s="4">
        <v>0.6</v>
      </c>
      <c r="H236" s="4" t="s">
        <v>2140</v>
      </c>
      <c r="I236" s="4">
        <v>35</v>
      </c>
    </row>
    <row r="237" spans="2:27" x14ac:dyDescent="0.25">
      <c r="B237" s="3" t="s">
        <v>2403</v>
      </c>
      <c r="C237" s="4">
        <v>1.5</v>
      </c>
      <c r="D237" s="4">
        <v>2</v>
      </c>
      <c r="F237" s="4" t="s">
        <v>2140</v>
      </c>
      <c r="G237" s="4">
        <v>0.6</v>
      </c>
      <c r="H237" s="4" t="s">
        <v>2140</v>
      </c>
      <c r="I237" s="4">
        <v>35</v>
      </c>
    </row>
    <row r="238" spans="2:27" x14ac:dyDescent="0.25">
      <c r="B238" s="3" t="s">
        <v>2338</v>
      </c>
      <c r="C238" s="4">
        <v>2.5</v>
      </c>
      <c r="D238" s="4">
        <v>1</v>
      </c>
      <c r="F238" s="4" t="s">
        <v>2496</v>
      </c>
      <c r="G238" s="4">
        <v>0.8</v>
      </c>
      <c r="H238" s="4" t="s">
        <v>2496</v>
      </c>
      <c r="I238" s="4">
        <v>40</v>
      </c>
    </row>
    <row r="239" spans="2:27" x14ac:dyDescent="0.25">
      <c r="B239" s="3" t="s">
        <v>2339</v>
      </c>
      <c r="C239" s="4">
        <v>0.1</v>
      </c>
      <c r="D239" s="4">
        <v>0.1</v>
      </c>
      <c r="F239" s="4" t="s">
        <v>2138</v>
      </c>
      <c r="G239" s="4">
        <v>0.95</v>
      </c>
      <c r="H239" s="4" t="s">
        <v>2140</v>
      </c>
      <c r="I239" s="4">
        <v>30</v>
      </c>
      <c r="N239" s="4" t="s">
        <v>198</v>
      </c>
      <c r="O239" s="4" t="s">
        <v>198</v>
      </c>
      <c r="P239" s="4">
        <v>-2</v>
      </c>
      <c r="Q239" s="4">
        <v>0.67</v>
      </c>
      <c r="R239" s="4">
        <v>-2</v>
      </c>
      <c r="S239" s="4">
        <v>-20</v>
      </c>
      <c r="T239" s="4">
        <v>8</v>
      </c>
    </row>
    <row r="240" spans="2:27" x14ac:dyDescent="0.25">
      <c r="B240" s="3" t="s">
        <v>2340</v>
      </c>
      <c r="C240" s="4">
        <v>0.2</v>
      </c>
      <c r="D240" s="4">
        <v>0.15</v>
      </c>
      <c r="F240" s="4" t="s">
        <v>2138</v>
      </c>
      <c r="G240" s="4">
        <v>0.95</v>
      </c>
      <c r="H240" s="4" t="s">
        <v>2140</v>
      </c>
      <c r="I240" s="4">
        <v>30</v>
      </c>
      <c r="N240" s="4" t="s">
        <v>198</v>
      </c>
      <c r="O240" s="4" t="s">
        <v>198</v>
      </c>
      <c r="P240" s="4">
        <v>-1</v>
      </c>
      <c r="Q240" s="4">
        <v>0.75</v>
      </c>
      <c r="R240" s="4">
        <v>-1</v>
      </c>
      <c r="S240" s="4">
        <v>-15</v>
      </c>
      <c r="T240" s="4">
        <v>9</v>
      </c>
    </row>
    <row r="241" spans="2:27" x14ac:dyDescent="0.25">
      <c r="B241" s="3" t="s">
        <v>2341</v>
      </c>
      <c r="C241" s="4">
        <v>0.5</v>
      </c>
      <c r="D241" s="4">
        <v>0.5</v>
      </c>
      <c r="F241" s="4" t="s">
        <v>2517</v>
      </c>
      <c r="G241" s="4">
        <v>0.4</v>
      </c>
      <c r="H241" s="4" t="s">
        <v>2501</v>
      </c>
      <c r="I241" s="4">
        <v>100</v>
      </c>
    </row>
    <row r="242" spans="2:27" x14ac:dyDescent="0.25">
      <c r="B242" s="3" t="s">
        <v>2342</v>
      </c>
      <c r="C242" s="4">
        <v>0.2</v>
      </c>
      <c r="D242" s="4">
        <v>0.25</v>
      </c>
      <c r="F242" s="4" t="s">
        <v>2335</v>
      </c>
      <c r="G242" s="4">
        <v>1</v>
      </c>
      <c r="H242" s="4" t="s">
        <v>2335</v>
      </c>
      <c r="I242" s="4">
        <v>60</v>
      </c>
    </row>
    <row r="243" spans="2:27" x14ac:dyDescent="0.25">
      <c r="B243" s="3" t="s">
        <v>2528</v>
      </c>
      <c r="C243" s="4">
        <v>0.15</v>
      </c>
      <c r="D243" s="4">
        <v>0.25</v>
      </c>
      <c r="F243" s="4" t="s">
        <v>2335</v>
      </c>
      <c r="G243" s="4">
        <v>1</v>
      </c>
      <c r="H243" s="4" t="s">
        <v>2335</v>
      </c>
      <c r="I243" s="4">
        <v>10</v>
      </c>
    </row>
    <row r="244" spans="2:27" x14ac:dyDescent="0.25">
      <c r="B244" s="3" t="s">
        <v>2343</v>
      </c>
      <c r="C244" s="4">
        <v>15</v>
      </c>
      <c r="D244" s="4">
        <v>45</v>
      </c>
      <c r="F244" s="4" t="s">
        <v>2140</v>
      </c>
      <c r="G244" s="4">
        <v>1</v>
      </c>
      <c r="H244" s="4" t="s">
        <v>2140</v>
      </c>
      <c r="I244" s="4">
        <v>35</v>
      </c>
    </row>
    <row r="245" spans="2:27" x14ac:dyDescent="0.25">
      <c r="B245" s="3" t="s">
        <v>2344</v>
      </c>
      <c r="C245" s="4">
        <v>20</v>
      </c>
      <c r="D245" s="4">
        <v>60</v>
      </c>
      <c r="F245" s="4" t="s">
        <v>2140</v>
      </c>
      <c r="G245" s="4">
        <v>1</v>
      </c>
      <c r="H245" s="4" t="s">
        <v>2140</v>
      </c>
      <c r="I245" s="4">
        <v>40</v>
      </c>
    </row>
    <row r="246" spans="2:27" x14ac:dyDescent="0.25">
      <c r="B246" s="3" t="s">
        <v>2345</v>
      </c>
      <c r="C246" s="4">
        <v>25</v>
      </c>
      <c r="D246" s="4">
        <v>90</v>
      </c>
      <c r="F246" s="4" t="s">
        <v>2140</v>
      </c>
      <c r="G246" s="4">
        <v>1</v>
      </c>
      <c r="H246" s="4" t="s">
        <v>2140</v>
      </c>
      <c r="I246" s="4">
        <v>45</v>
      </c>
    </row>
    <row r="247" spans="2:27" x14ac:dyDescent="0.25">
      <c r="B247" s="3" t="s">
        <v>2346</v>
      </c>
      <c r="C247" s="4">
        <v>3.5</v>
      </c>
      <c r="D247" s="4">
        <v>25</v>
      </c>
      <c r="F247" s="4" t="s">
        <v>2336</v>
      </c>
      <c r="G247" s="4">
        <v>1</v>
      </c>
      <c r="H247" s="4" t="s">
        <v>2336</v>
      </c>
      <c r="I247" s="4">
        <v>65</v>
      </c>
    </row>
    <row r="248" spans="2:27" x14ac:dyDescent="0.25">
      <c r="B248" s="3" t="s">
        <v>2347</v>
      </c>
      <c r="C248" s="4">
        <v>0.1</v>
      </c>
      <c r="D248" s="4">
        <v>0.1</v>
      </c>
      <c r="F248" s="4" t="s">
        <v>2336</v>
      </c>
      <c r="G248" s="4">
        <v>0.05</v>
      </c>
      <c r="H248" s="4" t="s">
        <v>2138</v>
      </c>
      <c r="I248" s="4">
        <v>5</v>
      </c>
    </row>
    <row r="249" spans="2:27" x14ac:dyDescent="0.25">
      <c r="B249" s="3" t="s">
        <v>3526</v>
      </c>
      <c r="C249" s="4">
        <v>1.5</v>
      </c>
      <c r="D249" s="6">
        <v>1.5</v>
      </c>
      <c r="F249" s="4" t="s">
        <v>2335</v>
      </c>
      <c r="G249" s="4">
        <v>0.98</v>
      </c>
      <c r="H249" s="4" t="s">
        <v>2138</v>
      </c>
      <c r="I249" s="4">
        <v>30</v>
      </c>
    </row>
    <row r="250" spans="2:27" x14ac:dyDescent="0.25">
      <c r="B250" s="3" t="s">
        <v>2348</v>
      </c>
      <c r="C250" s="4">
        <v>1.5</v>
      </c>
      <c r="D250" s="6">
        <v>2</v>
      </c>
      <c r="F250" s="4" t="s">
        <v>2335</v>
      </c>
      <c r="G250" s="4">
        <v>0.98</v>
      </c>
      <c r="H250" s="4" t="s">
        <v>2138</v>
      </c>
      <c r="I250" s="4">
        <v>30</v>
      </c>
      <c r="N250" s="4" t="s">
        <v>195</v>
      </c>
      <c r="O250" s="4" t="s">
        <v>3888</v>
      </c>
      <c r="P250" s="4">
        <v>-4</v>
      </c>
      <c r="Q250" s="4">
        <v>0.25</v>
      </c>
      <c r="R250" s="4">
        <v>-4</v>
      </c>
      <c r="S250" s="4">
        <v>-30</v>
      </c>
      <c r="T250" s="4">
        <v>6</v>
      </c>
      <c r="AA250" t="str">
        <f>B250&amp;" (Whip)"</f>
        <v>Fishing Rod &amp; Reel (Whip)</v>
      </c>
    </row>
    <row r="251" spans="2:27" x14ac:dyDescent="0.25">
      <c r="B251" s="3" t="s">
        <v>3527</v>
      </c>
      <c r="C251" s="4">
        <v>1.5</v>
      </c>
      <c r="D251" s="6">
        <v>2.5</v>
      </c>
      <c r="F251" s="4" t="s">
        <v>2335</v>
      </c>
      <c r="G251" s="4">
        <v>0.98</v>
      </c>
      <c r="H251" s="4" t="s">
        <v>2138</v>
      </c>
      <c r="I251" s="4">
        <v>30</v>
      </c>
      <c r="N251" s="4" t="s">
        <v>195</v>
      </c>
      <c r="O251" s="4" t="s">
        <v>3888</v>
      </c>
      <c r="P251" s="4">
        <v>-4</v>
      </c>
      <c r="Q251" s="4">
        <v>0.25</v>
      </c>
      <c r="R251" s="4">
        <v>-4</v>
      </c>
      <c r="S251" s="4">
        <v>-30</v>
      </c>
      <c r="T251" s="4">
        <v>6</v>
      </c>
      <c r="AA251" t="str">
        <f>B251&amp;" (Whip)"</f>
        <v>Fishing Rod &amp; Reel, heavy (Whip)</v>
      </c>
    </row>
    <row r="252" spans="2:27" x14ac:dyDescent="0.25">
      <c r="B252" s="3" t="s">
        <v>2349</v>
      </c>
      <c r="C252" s="4">
        <v>2.5</v>
      </c>
      <c r="D252" s="6">
        <v>3</v>
      </c>
      <c r="F252" s="4" t="s">
        <v>2140</v>
      </c>
      <c r="G252" s="4">
        <v>0.85</v>
      </c>
      <c r="H252" s="4" t="s">
        <v>2140</v>
      </c>
      <c r="I252" s="4">
        <v>60</v>
      </c>
      <c r="N252" s="4" t="s">
        <v>198</v>
      </c>
      <c r="O252" s="4" t="s">
        <v>198</v>
      </c>
      <c r="P252" s="4">
        <v>-1</v>
      </c>
      <c r="Q252" s="4">
        <v>0.75</v>
      </c>
      <c r="R252" s="4">
        <v>-1</v>
      </c>
      <c r="S252" s="4">
        <v>0</v>
      </c>
      <c r="T252" s="4">
        <v>6</v>
      </c>
    </row>
    <row r="253" spans="2:27" x14ac:dyDescent="0.25">
      <c r="B253" s="3" t="s">
        <v>3528</v>
      </c>
      <c r="C253" s="4">
        <v>2.5</v>
      </c>
      <c r="D253" s="6">
        <v>5</v>
      </c>
      <c r="F253" s="4" t="s">
        <v>2140</v>
      </c>
      <c r="G253" s="4">
        <v>0.85</v>
      </c>
      <c r="H253" s="4" t="s">
        <v>2140</v>
      </c>
      <c r="I253" s="4">
        <v>60</v>
      </c>
      <c r="N253" s="4" t="s">
        <v>198</v>
      </c>
      <c r="O253" s="4" t="s">
        <v>198</v>
      </c>
      <c r="P253" s="4">
        <v>0</v>
      </c>
      <c r="Q253" s="4">
        <v>1</v>
      </c>
      <c r="R253" s="4">
        <v>0</v>
      </c>
      <c r="S253" s="4">
        <v>0</v>
      </c>
      <c r="T253" s="4">
        <v>7</v>
      </c>
    </row>
    <row r="254" spans="2:27" x14ac:dyDescent="0.25">
      <c r="B254" s="3" t="s">
        <v>2350</v>
      </c>
      <c r="C254" s="4">
        <v>3.5</v>
      </c>
      <c r="D254" s="4">
        <v>10</v>
      </c>
      <c r="F254" s="4" t="s">
        <v>2140</v>
      </c>
      <c r="G254" s="4">
        <v>0.85</v>
      </c>
      <c r="H254" s="4" t="s">
        <v>2140</v>
      </c>
      <c r="I254" s="4">
        <v>65</v>
      </c>
      <c r="N254" s="4" t="s">
        <v>198</v>
      </c>
      <c r="O254" s="4" t="s">
        <v>198</v>
      </c>
      <c r="P254" s="4">
        <v>1</v>
      </c>
      <c r="Q254" s="4">
        <v>1.5</v>
      </c>
      <c r="R254" s="4">
        <v>1</v>
      </c>
      <c r="S254" s="4">
        <v>0</v>
      </c>
      <c r="T254" s="4">
        <v>8</v>
      </c>
    </row>
    <row r="255" spans="2:27" x14ac:dyDescent="0.25">
      <c r="B255" s="3" t="s">
        <v>2351</v>
      </c>
      <c r="C255" s="4">
        <v>0.15</v>
      </c>
      <c r="D255" s="4">
        <v>1</v>
      </c>
      <c r="F255" s="4" t="s">
        <v>2336</v>
      </c>
      <c r="G255" s="4">
        <v>1</v>
      </c>
      <c r="H255" s="4" t="s">
        <v>2336</v>
      </c>
      <c r="I255" s="4">
        <v>65</v>
      </c>
    </row>
    <row r="256" spans="2:27" x14ac:dyDescent="0.25">
      <c r="B256" s="3" t="s">
        <v>2352</v>
      </c>
      <c r="C256" s="4" t="s">
        <v>2530</v>
      </c>
      <c r="D256" s="6" t="s">
        <v>2531</v>
      </c>
      <c r="F256" s="4" t="s">
        <v>2336</v>
      </c>
      <c r="G256" s="4">
        <v>1</v>
      </c>
      <c r="H256" s="4" t="s">
        <v>2336</v>
      </c>
      <c r="I256" s="4">
        <v>85</v>
      </c>
    </row>
    <row r="257" spans="2:27" x14ac:dyDescent="0.25">
      <c r="B257" s="3" t="s">
        <v>2353</v>
      </c>
      <c r="C257" s="4">
        <v>0.85</v>
      </c>
      <c r="D257" s="4">
        <v>2.5</v>
      </c>
      <c r="F257" s="4" t="s">
        <v>2138</v>
      </c>
      <c r="G257" s="4">
        <v>1</v>
      </c>
      <c r="H257" s="4" t="s">
        <v>2138</v>
      </c>
      <c r="I257" s="4">
        <v>50</v>
      </c>
    </row>
    <row r="258" spans="2:27" x14ac:dyDescent="0.25">
      <c r="B258" s="3" t="s">
        <v>2354</v>
      </c>
      <c r="C258" s="4">
        <v>1.75</v>
      </c>
      <c r="D258" s="4">
        <v>6</v>
      </c>
      <c r="F258" s="4" t="s">
        <v>2140</v>
      </c>
      <c r="G258" s="4">
        <v>1</v>
      </c>
      <c r="H258" s="4" t="s">
        <v>2140</v>
      </c>
      <c r="I258" s="4">
        <v>65</v>
      </c>
    </row>
    <row r="259" spans="2:27" x14ac:dyDescent="0.25">
      <c r="B259" s="3" t="s">
        <v>2404</v>
      </c>
      <c r="C259" s="4">
        <v>2.5</v>
      </c>
      <c r="D259" s="4">
        <v>2</v>
      </c>
      <c r="F259" s="4" t="s">
        <v>2138</v>
      </c>
      <c r="G259" s="4">
        <v>0.5</v>
      </c>
      <c r="H259" s="4" t="s">
        <v>2335</v>
      </c>
      <c r="I259" s="4">
        <v>25</v>
      </c>
    </row>
    <row r="260" spans="2:27" x14ac:dyDescent="0.25">
      <c r="B260" s="3" t="s">
        <v>2355</v>
      </c>
      <c r="C260" s="4">
        <v>1.75</v>
      </c>
      <c r="D260" s="4">
        <v>15</v>
      </c>
      <c r="F260" s="4" t="s">
        <v>2138</v>
      </c>
      <c r="G260" s="4">
        <v>0.5</v>
      </c>
      <c r="H260" s="4" t="s">
        <v>2335</v>
      </c>
      <c r="I260" s="4">
        <v>30</v>
      </c>
    </row>
    <row r="261" spans="2:27" x14ac:dyDescent="0.25">
      <c r="B261" s="3" t="s">
        <v>2356</v>
      </c>
      <c r="C261" s="4">
        <v>0.75</v>
      </c>
      <c r="D261" s="4">
        <v>4</v>
      </c>
      <c r="F261" s="4" t="s">
        <v>2335</v>
      </c>
      <c r="G261" s="4">
        <v>0.9</v>
      </c>
      <c r="H261" s="4" t="s">
        <v>2335</v>
      </c>
      <c r="I261" s="4">
        <v>40</v>
      </c>
      <c r="N261" s="4" t="s">
        <v>194</v>
      </c>
      <c r="O261" s="4" t="s">
        <v>2878</v>
      </c>
      <c r="P261" s="4">
        <v>0</v>
      </c>
      <c r="Q261" s="4">
        <v>1</v>
      </c>
      <c r="R261" s="4">
        <v>0</v>
      </c>
      <c r="S261" s="4">
        <v>-15</v>
      </c>
      <c r="T261" s="4">
        <v>5</v>
      </c>
    </row>
    <row r="262" spans="2:27" x14ac:dyDescent="0.25">
      <c r="B262" s="3" t="s">
        <v>2357</v>
      </c>
      <c r="C262" s="4">
        <v>1.5</v>
      </c>
      <c r="D262" s="4">
        <v>6</v>
      </c>
      <c r="F262" s="4" t="s">
        <v>2335</v>
      </c>
      <c r="G262" s="4">
        <v>0.9</v>
      </c>
      <c r="H262" s="4" t="s">
        <v>2138</v>
      </c>
      <c r="I262" s="4">
        <v>30</v>
      </c>
      <c r="N262" s="4" t="s">
        <v>194</v>
      </c>
      <c r="O262" s="4" t="s">
        <v>2878</v>
      </c>
      <c r="P262" s="4">
        <v>0</v>
      </c>
      <c r="Q262" s="4">
        <v>1</v>
      </c>
      <c r="R262" s="4">
        <v>0</v>
      </c>
      <c r="S262" s="4">
        <v>-20</v>
      </c>
      <c r="T262" s="4">
        <v>5</v>
      </c>
    </row>
    <row r="263" spans="2:27" x14ac:dyDescent="0.25">
      <c r="B263" s="3" t="s">
        <v>2405</v>
      </c>
      <c r="C263" s="4">
        <v>0.35</v>
      </c>
      <c r="D263" s="4">
        <v>0.5</v>
      </c>
      <c r="F263" s="4" t="s">
        <v>2140</v>
      </c>
      <c r="G263" s="4">
        <v>0.95</v>
      </c>
      <c r="H263" s="4" t="s">
        <v>2140</v>
      </c>
      <c r="I263" s="4">
        <v>65</v>
      </c>
    </row>
    <row r="264" spans="2:27" x14ac:dyDescent="0.25">
      <c r="B264" s="3" t="s">
        <v>2406</v>
      </c>
      <c r="C264" s="4">
        <v>0.65</v>
      </c>
      <c r="D264" s="4">
        <v>1</v>
      </c>
      <c r="F264" s="4" t="s">
        <v>2140</v>
      </c>
      <c r="G264" s="4">
        <v>0.95</v>
      </c>
      <c r="H264" s="4" t="s">
        <v>2140</v>
      </c>
      <c r="I264" s="4">
        <v>70</v>
      </c>
    </row>
    <row r="265" spans="2:27" x14ac:dyDescent="0.25">
      <c r="B265" s="3" t="s">
        <v>2358</v>
      </c>
      <c r="C265" s="4">
        <v>0.35</v>
      </c>
      <c r="D265" s="4">
        <v>1.25</v>
      </c>
      <c r="F265" s="4" t="s">
        <v>2496</v>
      </c>
      <c r="G265" s="4">
        <v>0.9</v>
      </c>
      <c r="H265" s="4" t="s">
        <v>2496</v>
      </c>
      <c r="I265" s="4">
        <v>60</v>
      </c>
      <c r="N265" s="4" t="s">
        <v>194</v>
      </c>
      <c r="O265" s="4" t="s">
        <v>2878</v>
      </c>
      <c r="P265" s="4">
        <v>-2</v>
      </c>
      <c r="Q265" s="4">
        <v>0.67</v>
      </c>
      <c r="R265" s="4">
        <v>-2</v>
      </c>
      <c r="S265" s="4">
        <v>-10</v>
      </c>
      <c r="T265" s="4">
        <v>5</v>
      </c>
      <c r="AA265" t="str">
        <f>B265&amp;" (Thrown)"</f>
        <v>Canteen (small) (Thrown)</v>
      </c>
    </row>
    <row r="266" spans="2:27" x14ac:dyDescent="0.25">
      <c r="B266" s="3" t="s">
        <v>2359</v>
      </c>
      <c r="C266" s="4">
        <v>0.42</v>
      </c>
      <c r="D266" s="4">
        <v>2.5</v>
      </c>
      <c r="F266" s="4" t="s">
        <v>2496</v>
      </c>
      <c r="G266" s="4">
        <v>0.9</v>
      </c>
      <c r="H266" s="4" t="s">
        <v>2496</v>
      </c>
      <c r="I266" s="4">
        <v>65</v>
      </c>
      <c r="N266" s="4" t="s">
        <v>194</v>
      </c>
      <c r="O266" s="4" t="s">
        <v>2878</v>
      </c>
      <c r="P266" s="4">
        <v>-1</v>
      </c>
      <c r="Q266" s="4">
        <v>0.75</v>
      </c>
      <c r="R266" s="4">
        <v>-1</v>
      </c>
      <c r="S266" s="4">
        <v>-15</v>
      </c>
      <c r="T266" s="4">
        <v>5</v>
      </c>
      <c r="AA266" t="str">
        <f>B266&amp;" (Thrown)"</f>
        <v>Canteen (medium) (Thrown)</v>
      </c>
    </row>
    <row r="267" spans="2:27" x14ac:dyDescent="0.25">
      <c r="B267" s="3" t="s">
        <v>2360</v>
      </c>
      <c r="C267" s="4">
        <v>0.5</v>
      </c>
      <c r="D267" s="4">
        <v>5</v>
      </c>
      <c r="F267" s="4" t="s">
        <v>2496</v>
      </c>
      <c r="G267" s="4">
        <v>0.9</v>
      </c>
      <c r="H267" s="4" t="s">
        <v>2496</v>
      </c>
      <c r="I267" s="4">
        <v>70</v>
      </c>
      <c r="N267" s="4" t="s">
        <v>194</v>
      </c>
      <c r="O267" s="4" t="s">
        <v>2878</v>
      </c>
      <c r="P267" s="4">
        <v>0</v>
      </c>
      <c r="Q267" s="4">
        <v>1</v>
      </c>
      <c r="R267" s="4">
        <v>0</v>
      </c>
      <c r="S267" s="4">
        <v>-20</v>
      </c>
      <c r="T267" s="4">
        <v>6</v>
      </c>
      <c r="AA267" t="str">
        <f>B267&amp;" (Thrown)"</f>
        <v>Canteen (large) (Thrown)</v>
      </c>
    </row>
    <row r="268" spans="2:27" x14ac:dyDescent="0.25">
      <c r="B268" s="3" t="s">
        <v>2361</v>
      </c>
      <c r="C268" s="4">
        <v>0.75</v>
      </c>
      <c r="D268" s="4">
        <v>1</v>
      </c>
      <c r="F268" s="4" t="s">
        <v>2140</v>
      </c>
      <c r="G268" s="4">
        <v>1</v>
      </c>
      <c r="H268" s="4" t="s">
        <v>2140</v>
      </c>
      <c r="I268" s="4">
        <v>60</v>
      </c>
    </row>
    <row r="269" spans="2:27" x14ac:dyDescent="0.25">
      <c r="B269" s="3" t="s">
        <v>2362</v>
      </c>
      <c r="C269" s="4">
        <v>1.1200000000000001</v>
      </c>
      <c r="D269" s="4">
        <v>1.5</v>
      </c>
      <c r="F269" s="4" t="s">
        <v>2140</v>
      </c>
      <c r="G269" s="4">
        <v>1</v>
      </c>
      <c r="H269" s="4" t="s">
        <v>2140</v>
      </c>
      <c r="I269" s="4">
        <v>65</v>
      </c>
    </row>
    <row r="270" spans="2:27" x14ac:dyDescent="0.25">
      <c r="B270" s="3" t="s">
        <v>2363</v>
      </c>
      <c r="C270" s="4">
        <v>1</v>
      </c>
      <c r="D270" s="4">
        <v>2</v>
      </c>
      <c r="F270" s="4" t="s">
        <v>2336</v>
      </c>
      <c r="G270" s="4">
        <v>0.95</v>
      </c>
      <c r="H270" s="4" t="s">
        <v>2516</v>
      </c>
      <c r="I270" s="4">
        <v>20</v>
      </c>
      <c r="N270" s="4" t="s">
        <v>194</v>
      </c>
      <c r="O270" s="4" t="s">
        <v>2878</v>
      </c>
      <c r="P270" s="4">
        <v>-1</v>
      </c>
      <c r="Q270" s="4">
        <v>0.75</v>
      </c>
      <c r="R270" s="4">
        <v>-1</v>
      </c>
      <c r="S270" s="4">
        <v>-15</v>
      </c>
      <c r="T270" s="4">
        <v>6</v>
      </c>
      <c r="AA270" t="str">
        <f>B270&amp;" (Thrown)"</f>
        <v>Lantern (Thrown)</v>
      </c>
    </row>
    <row r="271" spans="2:27" x14ac:dyDescent="0.25">
      <c r="B271" s="3" t="s">
        <v>2364</v>
      </c>
      <c r="C271" s="4">
        <v>0.55000000000000004</v>
      </c>
      <c r="D271" s="4">
        <v>1</v>
      </c>
      <c r="F271" s="4" t="s">
        <v>2336</v>
      </c>
      <c r="G271" s="4">
        <v>1</v>
      </c>
      <c r="H271" s="4" t="s">
        <v>2336</v>
      </c>
      <c r="I271" s="4">
        <v>65</v>
      </c>
      <c r="N271" s="4" t="s">
        <v>194</v>
      </c>
      <c r="O271" s="4" t="s">
        <v>2878</v>
      </c>
      <c r="P271" s="4">
        <v>-2</v>
      </c>
      <c r="Q271" s="4">
        <v>0.67</v>
      </c>
      <c r="R271" s="4">
        <v>-2</v>
      </c>
      <c r="S271" s="4">
        <v>-10</v>
      </c>
      <c r="T271" s="4">
        <v>5</v>
      </c>
      <c r="AA271" t="str">
        <f>B271&amp;" (Thrown)"</f>
        <v>Lamp (Thrown)</v>
      </c>
    </row>
    <row r="272" spans="2:27" x14ac:dyDescent="0.25">
      <c r="B272" s="3" t="s">
        <v>3376</v>
      </c>
      <c r="M272" s="4"/>
      <c r="AA272" s="4"/>
    </row>
    <row r="273" spans="2:27" x14ac:dyDescent="0.25">
      <c r="B273" s="3" t="s">
        <v>3377</v>
      </c>
      <c r="M273" s="4"/>
      <c r="AA273" s="4"/>
    </row>
    <row r="274" spans="2:27" x14ac:dyDescent="0.25">
      <c r="B274" s="3" t="s">
        <v>3378</v>
      </c>
      <c r="M274" s="4"/>
      <c r="AA274" s="4"/>
    </row>
    <row r="275" spans="2:27" x14ac:dyDescent="0.25">
      <c r="M275" s="4"/>
      <c r="AA275" s="4"/>
    </row>
    <row r="276" spans="2:27" x14ac:dyDescent="0.25">
      <c r="B276" s="107" t="s">
        <v>3614</v>
      </c>
      <c r="M276" s="4"/>
      <c r="AA276" s="4"/>
    </row>
    <row r="277" spans="2:27" x14ac:dyDescent="0.25">
      <c r="B277" s="107" t="s">
        <v>3379</v>
      </c>
      <c r="M277" s="4"/>
      <c r="AA277" s="4"/>
    </row>
    <row r="278" spans="2:27" x14ac:dyDescent="0.25">
      <c r="B278" s="107" t="s">
        <v>3380</v>
      </c>
      <c r="M278" s="4"/>
      <c r="AA278" s="4"/>
    </row>
    <row r="279" spans="2:27" x14ac:dyDescent="0.25">
      <c r="B279" s="107" t="s">
        <v>3381</v>
      </c>
      <c r="M279" s="4"/>
      <c r="AA279" s="4"/>
    </row>
    <row r="280" spans="2:27" x14ac:dyDescent="0.25">
      <c r="B280" s="107" t="s">
        <v>3382</v>
      </c>
      <c r="M280" s="4"/>
      <c r="AA280" s="4"/>
    </row>
    <row r="281" spans="2:27" x14ac:dyDescent="0.25">
      <c r="B281" s="107" t="s">
        <v>3383</v>
      </c>
      <c r="M281" s="4"/>
      <c r="AA281" s="4"/>
    </row>
    <row r="282" spans="2:27" x14ac:dyDescent="0.25">
      <c r="B282" s="3" t="s">
        <v>2407</v>
      </c>
      <c r="C282" s="4">
        <v>0.15</v>
      </c>
      <c r="D282" s="4">
        <v>0.35</v>
      </c>
      <c r="F282" s="4" t="s">
        <v>2532</v>
      </c>
      <c r="G282" s="4">
        <v>0.85</v>
      </c>
      <c r="H282" s="4" t="s">
        <v>2532</v>
      </c>
      <c r="I282" s="4">
        <v>30</v>
      </c>
      <c r="N282" s="4" t="s">
        <v>194</v>
      </c>
      <c r="O282" s="4" t="s">
        <v>2878</v>
      </c>
      <c r="P282" s="4">
        <v>-2</v>
      </c>
      <c r="Q282" s="4">
        <v>0.67</v>
      </c>
      <c r="R282" s="4">
        <v>-2</v>
      </c>
      <c r="S282" s="4">
        <v>-10</v>
      </c>
      <c r="T282" s="4">
        <v>5</v>
      </c>
      <c r="AA282" t="str">
        <f>B282&amp;" (Thrown)"</f>
        <v>Jar, Ceramic (small) (Thrown)</v>
      </c>
    </row>
    <row r="283" spans="2:27" x14ac:dyDescent="0.25">
      <c r="B283" s="3" t="s">
        <v>2408</v>
      </c>
      <c r="C283" s="4">
        <v>0.25</v>
      </c>
      <c r="D283" s="4">
        <v>0.5</v>
      </c>
      <c r="F283" s="4" t="s">
        <v>2532</v>
      </c>
      <c r="G283" s="4">
        <v>0.85</v>
      </c>
      <c r="H283" s="4" t="s">
        <v>2532</v>
      </c>
      <c r="I283" s="4">
        <v>35</v>
      </c>
      <c r="N283" s="4" t="s">
        <v>194</v>
      </c>
      <c r="O283" s="4" t="s">
        <v>2878</v>
      </c>
      <c r="P283" s="4">
        <v>-1</v>
      </c>
      <c r="Q283" s="4">
        <v>0.75</v>
      </c>
      <c r="R283" s="4">
        <v>-1</v>
      </c>
      <c r="S283" s="4">
        <v>-15</v>
      </c>
      <c r="T283" s="4">
        <v>5</v>
      </c>
      <c r="AA283" t="str">
        <f t="shared" ref="AA283:AA284" si="0">B283&amp;" (Thrown)"</f>
        <v>Jar, Ceramic (Medium) (Thrown)</v>
      </c>
    </row>
    <row r="284" spans="2:27" x14ac:dyDescent="0.25">
      <c r="B284" s="3" t="s">
        <v>2409</v>
      </c>
      <c r="C284" s="4">
        <v>0.28000000000000003</v>
      </c>
      <c r="D284" s="4">
        <v>2</v>
      </c>
      <c r="F284" s="4" t="s">
        <v>2532</v>
      </c>
      <c r="G284" s="4">
        <v>0.85</v>
      </c>
      <c r="H284" s="4" t="s">
        <v>2532</v>
      </c>
      <c r="I284" s="4">
        <v>40</v>
      </c>
      <c r="N284" s="4" t="s">
        <v>194</v>
      </c>
      <c r="O284" s="4" t="s">
        <v>2878</v>
      </c>
      <c r="P284" s="4">
        <v>0</v>
      </c>
      <c r="Q284" s="4">
        <v>1</v>
      </c>
      <c r="R284" s="4">
        <v>0</v>
      </c>
      <c r="S284" s="4">
        <v>-20</v>
      </c>
      <c r="T284" s="4">
        <v>6</v>
      </c>
      <c r="AA284" t="str">
        <f t="shared" si="0"/>
        <v>Jar, Ceramic (Large) (Thrown)</v>
      </c>
    </row>
    <row r="285" spans="2:27" x14ac:dyDescent="0.25">
      <c r="B285" s="3" t="s">
        <v>2365</v>
      </c>
      <c r="C285" s="4">
        <v>0.35</v>
      </c>
      <c r="D285" s="4">
        <v>4</v>
      </c>
      <c r="F285" s="4" t="s">
        <v>2532</v>
      </c>
      <c r="G285" s="4">
        <v>0.85</v>
      </c>
      <c r="H285" s="4" t="s">
        <v>2532</v>
      </c>
      <c r="I285" s="4">
        <v>40</v>
      </c>
    </row>
    <row r="286" spans="2:27" x14ac:dyDescent="0.25">
      <c r="B286" s="3" t="s">
        <v>2564</v>
      </c>
      <c r="C286" s="4">
        <v>0.1</v>
      </c>
      <c r="D286" s="4">
        <v>0.15</v>
      </c>
      <c r="F286" s="4" t="s">
        <v>2516</v>
      </c>
      <c r="G286" s="4">
        <v>0.9</v>
      </c>
      <c r="H286" s="4" t="s">
        <v>2516</v>
      </c>
      <c r="I286" s="4">
        <v>15</v>
      </c>
      <c r="N286" s="4" t="s">
        <v>194</v>
      </c>
      <c r="O286" s="4" t="s">
        <v>2878</v>
      </c>
      <c r="P286" s="4">
        <v>-3</v>
      </c>
      <c r="Q286" s="4">
        <v>0.5</v>
      </c>
      <c r="R286" s="4">
        <v>-3</v>
      </c>
      <c r="S286" s="4">
        <v>-5</v>
      </c>
      <c r="T286" s="4">
        <v>4</v>
      </c>
      <c r="AA286" t="str">
        <f>B286&amp;" (Thrown)"</f>
        <v>Jar, Glass (tiny) (Thrown)</v>
      </c>
    </row>
    <row r="287" spans="2:27" x14ac:dyDescent="0.25">
      <c r="B287" s="3" t="s">
        <v>2410</v>
      </c>
      <c r="C287" s="4">
        <v>0.2</v>
      </c>
      <c r="D287" s="4">
        <v>0.3</v>
      </c>
      <c r="F287" s="4" t="s">
        <v>2516</v>
      </c>
      <c r="G287" s="4">
        <v>0.9</v>
      </c>
      <c r="H287" s="4" t="s">
        <v>2516</v>
      </c>
      <c r="I287" s="4">
        <v>15</v>
      </c>
      <c r="N287" s="4" t="s">
        <v>194</v>
      </c>
      <c r="O287" s="4" t="s">
        <v>2878</v>
      </c>
      <c r="P287" s="4">
        <v>-2</v>
      </c>
      <c r="Q287" s="4">
        <v>0.67</v>
      </c>
      <c r="R287" s="4">
        <v>-2</v>
      </c>
      <c r="S287" s="4">
        <v>-10</v>
      </c>
      <c r="T287" s="4">
        <v>5</v>
      </c>
      <c r="AA287" t="str">
        <f>B287&amp;" (Thrown)"</f>
        <v>Jar, Glass (small) (Thrown)</v>
      </c>
    </row>
    <row r="288" spans="2:27" x14ac:dyDescent="0.25">
      <c r="B288" s="3" t="s">
        <v>2411</v>
      </c>
      <c r="C288" s="4">
        <v>0.3</v>
      </c>
      <c r="D288" s="4">
        <v>0.5</v>
      </c>
      <c r="F288" s="4" t="s">
        <v>2516</v>
      </c>
      <c r="G288" s="4">
        <v>0.9</v>
      </c>
      <c r="H288" s="4" t="s">
        <v>2516</v>
      </c>
      <c r="I288" s="4">
        <v>20</v>
      </c>
      <c r="N288" s="4" t="s">
        <v>194</v>
      </c>
      <c r="O288" s="4" t="s">
        <v>2878</v>
      </c>
      <c r="P288" s="4">
        <v>-1</v>
      </c>
      <c r="Q288" s="4">
        <v>0.75</v>
      </c>
      <c r="R288" s="4">
        <v>-1</v>
      </c>
      <c r="S288" s="4">
        <v>-15</v>
      </c>
      <c r="T288" s="4">
        <v>5</v>
      </c>
      <c r="AA288" t="str">
        <f t="shared" ref="AA288:AA289" si="1">B288&amp;" (Thrown)"</f>
        <v>Jar, Glass (medium) (Thrown)</v>
      </c>
    </row>
    <row r="289" spans="2:27" x14ac:dyDescent="0.25">
      <c r="B289" s="3" t="s">
        <v>2412</v>
      </c>
      <c r="C289" s="4">
        <v>0.35</v>
      </c>
      <c r="D289" s="4">
        <v>2</v>
      </c>
      <c r="F289" s="4" t="s">
        <v>2516</v>
      </c>
      <c r="G289" s="4">
        <v>0.9</v>
      </c>
      <c r="H289" s="4" t="s">
        <v>2516</v>
      </c>
      <c r="I289" s="4">
        <v>25</v>
      </c>
      <c r="N289" s="4" t="s">
        <v>194</v>
      </c>
      <c r="O289" s="4" t="s">
        <v>2878</v>
      </c>
      <c r="P289" s="4">
        <v>0</v>
      </c>
      <c r="Q289" s="4">
        <v>1</v>
      </c>
      <c r="R289" s="4">
        <v>0</v>
      </c>
      <c r="S289" s="4">
        <v>-20</v>
      </c>
      <c r="T289" s="4">
        <v>6</v>
      </c>
      <c r="AA289" t="str">
        <f t="shared" si="1"/>
        <v>Jar, Glass (large) (Thrown)</v>
      </c>
    </row>
    <row r="290" spans="2:27" x14ac:dyDescent="0.25">
      <c r="B290" s="3" t="s">
        <v>2413</v>
      </c>
      <c r="C290" s="4">
        <v>0.25</v>
      </c>
      <c r="D290" s="4">
        <v>3</v>
      </c>
      <c r="F290" s="4" t="s">
        <v>2335</v>
      </c>
      <c r="G290" s="4">
        <v>0.85</v>
      </c>
      <c r="H290" s="4" t="s">
        <v>2336</v>
      </c>
      <c r="I290" s="4">
        <v>65</v>
      </c>
    </row>
    <row r="291" spans="2:27" x14ac:dyDescent="0.25">
      <c r="B291" s="3" t="s">
        <v>2414</v>
      </c>
      <c r="C291" s="4">
        <v>0.45</v>
      </c>
      <c r="D291" s="4">
        <v>4</v>
      </c>
      <c r="F291" s="4" t="s">
        <v>2335</v>
      </c>
      <c r="G291" s="4">
        <v>0.85</v>
      </c>
      <c r="H291" s="4" t="s">
        <v>2336</v>
      </c>
      <c r="I291" s="4">
        <v>70</v>
      </c>
    </row>
    <row r="292" spans="2:27" x14ac:dyDescent="0.25">
      <c r="B292" s="3" t="s">
        <v>2366</v>
      </c>
      <c r="C292" s="4">
        <v>2.85</v>
      </c>
      <c r="D292" s="4">
        <v>25</v>
      </c>
      <c r="F292" s="4" t="s">
        <v>2335</v>
      </c>
      <c r="G292" s="4">
        <v>0.85</v>
      </c>
      <c r="H292" s="4" t="s">
        <v>2507</v>
      </c>
      <c r="I292" s="4">
        <v>65</v>
      </c>
    </row>
    <row r="293" spans="2:27" x14ac:dyDescent="0.25">
      <c r="B293" s="3" t="s">
        <v>2367</v>
      </c>
      <c r="C293" s="4">
        <v>3.5</v>
      </c>
      <c r="D293" s="4">
        <v>35</v>
      </c>
      <c r="F293" s="4" t="s">
        <v>2335</v>
      </c>
      <c r="G293" s="4">
        <v>0.85</v>
      </c>
      <c r="H293" s="4" t="s">
        <v>2507</v>
      </c>
      <c r="I293" s="4">
        <v>70</v>
      </c>
    </row>
    <row r="294" spans="2:27" x14ac:dyDescent="0.25">
      <c r="B294" s="3" t="s">
        <v>2368</v>
      </c>
      <c r="C294" s="4">
        <v>4.5</v>
      </c>
      <c r="D294" s="4">
        <v>45</v>
      </c>
      <c r="F294" s="4" t="s">
        <v>2335</v>
      </c>
      <c r="G294" s="4">
        <v>0.85</v>
      </c>
      <c r="H294" s="4" t="s">
        <v>2507</v>
      </c>
      <c r="I294" s="4">
        <v>75</v>
      </c>
    </row>
    <row r="295" spans="2:27" x14ac:dyDescent="0.25">
      <c r="B295" s="3" t="s">
        <v>2369</v>
      </c>
      <c r="C295" s="4">
        <v>7.25</v>
      </c>
      <c r="D295" s="4">
        <v>35</v>
      </c>
      <c r="F295" s="4" t="s">
        <v>2335</v>
      </c>
      <c r="G295" s="4">
        <v>0.85</v>
      </c>
      <c r="H295" s="4" t="s">
        <v>2507</v>
      </c>
      <c r="I295" s="4">
        <v>70</v>
      </c>
    </row>
    <row r="296" spans="2:27" x14ac:dyDescent="0.25">
      <c r="B296" s="3" t="s">
        <v>2370</v>
      </c>
      <c r="C296" s="4">
        <v>1.25</v>
      </c>
      <c r="D296" s="4">
        <v>2.5</v>
      </c>
      <c r="F296" s="4" t="s">
        <v>2140</v>
      </c>
      <c r="G296" s="4">
        <v>0.9</v>
      </c>
      <c r="H296" s="4" t="s">
        <v>2140</v>
      </c>
      <c r="I296" s="4">
        <v>40</v>
      </c>
    </row>
    <row r="297" spans="2:27" x14ac:dyDescent="0.25">
      <c r="B297" s="3" t="s">
        <v>2371</v>
      </c>
      <c r="C297" s="4">
        <v>6.25</v>
      </c>
      <c r="D297" s="4">
        <v>45</v>
      </c>
      <c r="F297" s="4" t="s">
        <v>2336</v>
      </c>
      <c r="G297" s="4">
        <v>0.9</v>
      </c>
      <c r="H297" s="4" t="s">
        <v>2336</v>
      </c>
      <c r="I297" s="4">
        <v>100</v>
      </c>
    </row>
    <row r="298" spans="2:27" x14ac:dyDescent="0.25">
      <c r="M298" s="4"/>
      <c r="AA298" s="4"/>
    </row>
    <row r="299" spans="2:27" x14ac:dyDescent="0.25">
      <c r="B299" s="107" t="s">
        <v>3615</v>
      </c>
      <c r="M299" s="4"/>
      <c r="AA299" s="4"/>
    </row>
    <row r="300" spans="2:27" x14ac:dyDescent="0.25">
      <c r="B300" s="3" t="s">
        <v>2372</v>
      </c>
      <c r="C300" s="4">
        <v>0.75</v>
      </c>
      <c r="D300" s="4">
        <v>2</v>
      </c>
      <c r="F300" s="4" t="s">
        <v>2336</v>
      </c>
      <c r="G300" s="4">
        <v>0.67</v>
      </c>
      <c r="H300" s="4" t="s">
        <v>2335</v>
      </c>
      <c r="I300" s="4">
        <v>55</v>
      </c>
      <c r="N300" s="4" t="s">
        <v>194</v>
      </c>
      <c r="O300" s="4" t="s">
        <v>3080</v>
      </c>
      <c r="P300" s="4">
        <v>-1</v>
      </c>
      <c r="Q300" s="4">
        <v>0.75</v>
      </c>
      <c r="R300" s="4">
        <v>-1</v>
      </c>
      <c r="S300" s="4">
        <v>-5</v>
      </c>
      <c r="T300" s="4">
        <v>4</v>
      </c>
    </row>
    <row r="301" spans="2:27" x14ac:dyDescent="0.25">
      <c r="B301" s="3" t="s">
        <v>2415</v>
      </c>
      <c r="C301" s="4">
        <v>5.5</v>
      </c>
      <c r="D301" s="4">
        <v>110</v>
      </c>
      <c r="F301" s="4" t="s">
        <v>2502</v>
      </c>
      <c r="G301" s="4">
        <v>1</v>
      </c>
      <c r="H301" s="4" t="s">
        <v>2502</v>
      </c>
      <c r="I301" s="4">
        <v>100</v>
      </c>
    </row>
    <row r="302" spans="2:27" x14ac:dyDescent="0.25">
      <c r="B302" s="3" t="s">
        <v>2416</v>
      </c>
      <c r="C302" s="4">
        <v>10</v>
      </c>
      <c r="D302" s="4">
        <v>210</v>
      </c>
      <c r="F302" s="4" t="s">
        <v>2502</v>
      </c>
      <c r="G302" s="4">
        <v>1</v>
      </c>
      <c r="H302" s="4" t="s">
        <v>2502</v>
      </c>
      <c r="I302" s="4">
        <v>100</v>
      </c>
    </row>
    <row r="303" spans="2:27" x14ac:dyDescent="0.25">
      <c r="B303" s="3" t="s">
        <v>2417</v>
      </c>
      <c r="C303" s="4">
        <v>15</v>
      </c>
      <c r="D303" s="4">
        <v>410</v>
      </c>
      <c r="F303" s="4" t="s">
        <v>2502</v>
      </c>
      <c r="G303" s="4">
        <v>1</v>
      </c>
      <c r="H303" s="4" t="s">
        <v>2502</v>
      </c>
      <c r="I303" s="4">
        <v>100</v>
      </c>
    </row>
    <row r="304" spans="2:27" x14ac:dyDescent="0.25">
      <c r="B304" s="3" t="s">
        <v>2373</v>
      </c>
      <c r="C304" s="4">
        <v>0.5</v>
      </c>
      <c r="D304" s="4">
        <v>0.15</v>
      </c>
      <c r="F304" s="4" t="s">
        <v>2336</v>
      </c>
      <c r="G304" s="4">
        <v>0.67</v>
      </c>
      <c r="H304" s="4" t="s">
        <v>2335</v>
      </c>
      <c r="I304" s="4">
        <v>45</v>
      </c>
      <c r="N304" s="4" t="s">
        <v>190</v>
      </c>
      <c r="O304" s="4" t="s">
        <v>2882</v>
      </c>
      <c r="P304" s="4">
        <v>-3</v>
      </c>
      <c r="Q304" s="4">
        <v>0.5</v>
      </c>
      <c r="R304" s="4">
        <v>-3</v>
      </c>
      <c r="S304" s="4">
        <v>-10</v>
      </c>
      <c r="T304" s="4">
        <v>4</v>
      </c>
    </row>
    <row r="305" spans="2:27" x14ac:dyDescent="0.25">
      <c r="B305" s="3" t="s">
        <v>2374</v>
      </c>
      <c r="C305" s="4">
        <v>1.55</v>
      </c>
      <c r="D305" s="4">
        <v>35</v>
      </c>
      <c r="F305" s="4" t="s">
        <v>2501</v>
      </c>
      <c r="G305" s="4">
        <v>1</v>
      </c>
      <c r="H305" s="4" t="s">
        <v>2501</v>
      </c>
      <c r="I305" s="4">
        <v>75</v>
      </c>
    </row>
    <row r="306" spans="2:27" x14ac:dyDescent="0.25">
      <c r="B306" s="3" t="s">
        <v>2418</v>
      </c>
      <c r="C306" s="4">
        <v>2</v>
      </c>
      <c r="D306" s="4">
        <v>40</v>
      </c>
      <c r="F306" s="4" t="s">
        <v>2501</v>
      </c>
      <c r="G306" s="4">
        <v>1</v>
      </c>
      <c r="H306" s="4" t="s">
        <v>2501</v>
      </c>
      <c r="I306" s="4">
        <v>85</v>
      </c>
    </row>
    <row r="307" spans="2:27" x14ac:dyDescent="0.25">
      <c r="B307" s="3" t="s">
        <v>3384</v>
      </c>
      <c r="M307" s="4"/>
      <c r="AA307" s="4"/>
    </row>
    <row r="308" spans="2:27" x14ac:dyDescent="0.25">
      <c r="B308" s="3" t="s">
        <v>2375</v>
      </c>
      <c r="C308" s="4">
        <v>6</v>
      </c>
      <c r="D308" s="4">
        <v>100</v>
      </c>
      <c r="F308" s="4" t="s">
        <v>2501</v>
      </c>
      <c r="G308" s="4">
        <v>0.8</v>
      </c>
      <c r="H308" s="4" t="s">
        <v>2501</v>
      </c>
      <c r="I308" s="4">
        <v>80</v>
      </c>
    </row>
    <row r="309" spans="2:27" x14ac:dyDescent="0.25">
      <c r="B309" s="3" t="s">
        <v>3385</v>
      </c>
      <c r="M309" s="4"/>
      <c r="AA309" s="4"/>
    </row>
    <row r="310" spans="2:27" x14ac:dyDescent="0.25">
      <c r="B310" s="3" t="s">
        <v>3386</v>
      </c>
      <c r="M310" s="4"/>
      <c r="AA310" s="4"/>
    </row>
    <row r="311" spans="2:27" x14ac:dyDescent="0.25">
      <c r="B311" s="3" t="s">
        <v>3387</v>
      </c>
      <c r="M311" s="4"/>
      <c r="AA311" s="4"/>
    </row>
    <row r="312" spans="2:27" x14ac:dyDescent="0.25">
      <c r="B312" s="3" t="s">
        <v>3388</v>
      </c>
      <c r="M312" s="4"/>
      <c r="AA312" s="4"/>
    </row>
    <row r="313" spans="2:27" x14ac:dyDescent="0.25">
      <c r="B313" s="3" t="s">
        <v>2376</v>
      </c>
      <c r="C313" s="4">
        <v>2.75</v>
      </c>
      <c r="D313" s="4">
        <v>8</v>
      </c>
      <c r="F313" s="4" t="s">
        <v>2501</v>
      </c>
      <c r="G313" s="4">
        <v>0.8</v>
      </c>
      <c r="H313" s="4" t="s">
        <v>2501</v>
      </c>
      <c r="I313" s="4">
        <v>80</v>
      </c>
    </row>
    <row r="314" spans="2:27" x14ac:dyDescent="0.25">
      <c r="B314" s="3" t="s">
        <v>2377</v>
      </c>
      <c r="C314" s="4">
        <v>4.5</v>
      </c>
      <c r="D314" s="4">
        <v>10</v>
      </c>
      <c r="F314" s="4" t="s">
        <v>2501</v>
      </c>
      <c r="G314" s="4">
        <v>0.8</v>
      </c>
      <c r="H314" s="4" t="s">
        <v>2501</v>
      </c>
      <c r="I314" s="4">
        <v>85</v>
      </c>
    </row>
    <row r="315" spans="2:27" x14ac:dyDescent="0.25">
      <c r="B315" s="3" t="s">
        <v>2378</v>
      </c>
      <c r="C315" s="4">
        <v>2.75</v>
      </c>
      <c r="D315" s="4">
        <v>2</v>
      </c>
      <c r="N315" s="4" t="s">
        <v>194</v>
      </c>
      <c r="O315" s="4" t="s">
        <v>2878</v>
      </c>
      <c r="P315" s="4">
        <v>-2</v>
      </c>
      <c r="Q315" s="4">
        <v>0.67</v>
      </c>
      <c r="R315" s="4">
        <v>-2</v>
      </c>
      <c r="S315" s="4">
        <v>-15</v>
      </c>
      <c r="T315" s="4">
        <v>5</v>
      </c>
    </row>
    <row r="316" spans="2:27" x14ac:dyDescent="0.25">
      <c r="B316" s="3" t="s">
        <v>2379</v>
      </c>
      <c r="C316" s="4">
        <v>0.5</v>
      </c>
      <c r="D316" s="4">
        <v>0.2</v>
      </c>
      <c r="N316" s="4" t="s">
        <v>190</v>
      </c>
      <c r="O316" s="4" t="s">
        <v>2882</v>
      </c>
      <c r="P316" s="4">
        <v>-3</v>
      </c>
      <c r="Q316" s="4">
        <v>0.5</v>
      </c>
      <c r="R316" s="4">
        <v>-3</v>
      </c>
      <c r="S316" s="4">
        <v>-15</v>
      </c>
      <c r="T316" s="4">
        <v>4</v>
      </c>
    </row>
    <row r="317" spans="2:27" x14ac:dyDescent="0.25">
      <c r="B317" s="3" t="s">
        <v>2380</v>
      </c>
      <c r="C317" s="4">
        <v>0.45</v>
      </c>
      <c r="D317" s="4">
        <v>3</v>
      </c>
      <c r="N317" s="4" t="s">
        <v>194</v>
      </c>
      <c r="O317" s="4" t="s">
        <v>3888</v>
      </c>
      <c r="P317" s="4">
        <v>-1</v>
      </c>
      <c r="Q317" s="4">
        <v>0.75</v>
      </c>
      <c r="R317" s="4">
        <v>-1</v>
      </c>
      <c r="S317" s="4">
        <v>-10</v>
      </c>
      <c r="T317" s="4">
        <v>4</v>
      </c>
    </row>
    <row r="318" spans="2:27" x14ac:dyDescent="0.25">
      <c r="B318" s="3" t="s">
        <v>2332</v>
      </c>
      <c r="C318" s="4">
        <v>0.25</v>
      </c>
      <c r="D318" s="4">
        <v>0.5</v>
      </c>
    </row>
    <row r="319" spans="2:27" x14ac:dyDescent="0.25">
      <c r="B319" s="3" t="s">
        <v>2381</v>
      </c>
      <c r="C319" s="4">
        <v>0.35</v>
      </c>
      <c r="D319" s="4">
        <v>1</v>
      </c>
    </row>
    <row r="320" spans="2:27" x14ac:dyDescent="0.25">
      <c r="B320" s="3" t="s">
        <v>2382</v>
      </c>
      <c r="C320" s="4">
        <v>0.75</v>
      </c>
      <c r="D320" s="4">
        <v>1.5</v>
      </c>
      <c r="N320" s="4" t="s">
        <v>194</v>
      </c>
      <c r="O320" s="4" t="s">
        <v>2878</v>
      </c>
      <c r="P320" s="4">
        <v>-2</v>
      </c>
      <c r="Q320" s="4">
        <v>0.67</v>
      </c>
      <c r="R320" s="4">
        <v>-2</v>
      </c>
      <c r="S320" s="4">
        <v>-15</v>
      </c>
      <c r="T320" s="4">
        <v>4</v>
      </c>
    </row>
    <row r="321" spans="2:27" x14ac:dyDescent="0.25">
      <c r="B321" s="3" t="s">
        <v>2383</v>
      </c>
      <c r="C321" s="4">
        <v>0.35</v>
      </c>
      <c r="D321" s="4">
        <v>2</v>
      </c>
    </row>
    <row r="322" spans="2:27" x14ac:dyDescent="0.25">
      <c r="B322" s="3" t="s">
        <v>2420</v>
      </c>
      <c r="C322" s="4">
        <v>0.2</v>
      </c>
      <c r="D322" s="4">
        <v>2.5</v>
      </c>
      <c r="N322" s="4" t="s">
        <v>192</v>
      </c>
      <c r="O322" s="4" t="s">
        <v>3890</v>
      </c>
      <c r="P322" s="4">
        <v>-1</v>
      </c>
      <c r="Q322" s="4">
        <v>0.75</v>
      </c>
      <c r="R322" s="4">
        <v>-1</v>
      </c>
      <c r="S322" s="4">
        <v>-10</v>
      </c>
      <c r="T322" s="4">
        <v>10</v>
      </c>
    </row>
    <row r="323" spans="2:27" x14ac:dyDescent="0.25">
      <c r="B323" s="3" t="s">
        <v>2419</v>
      </c>
      <c r="C323" s="4">
        <v>0.35</v>
      </c>
      <c r="D323" s="4">
        <v>5</v>
      </c>
      <c r="N323" s="4" t="s">
        <v>192</v>
      </c>
      <c r="O323" s="4" t="s">
        <v>3890</v>
      </c>
      <c r="P323" s="4">
        <v>1</v>
      </c>
      <c r="Q323" s="4">
        <v>1.5</v>
      </c>
      <c r="R323" s="4">
        <v>1</v>
      </c>
      <c r="S323" s="4">
        <v>-15</v>
      </c>
      <c r="T323" s="4">
        <v>11</v>
      </c>
    </row>
    <row r="324" spans="2:27" x14ac:dyDescent="0.25">
      <c r="B324" s="3" t="s">
        <v>2421</v>
      </c>
      <c r="C324" s="4">
        <v>0.2</v>
      </c>
      <c r="D324" s="4">
        <v>0.5</v>
      </c>
      <c r="N324" s="4" t="s">
        <v>190</v>
      </c>
      <c r="O324" s="4" t="s">
        <v>2882</v>
      </c>
      <c r="P324" s="4">
        <v>-2</v>
      </c>
      <c r="Q324" s="4">
        <v>0.67</v>
      </c>
      <c r="R324" s="4">
        <v>-2</v>
      </c>
      <c r="S324" s="4">
        <v>-10</v>
      </c>
      <c r="T324" s="4">
        <v>5</v>
      </c>
    </row>
    <row r="325" spans="2:27" x14ac:dyDescent="0.25">
      <c r="B325" s="3" t="s">
        <v>2422</v>
      </c>
      <c r="C325" s="4">
        <v>0.12</v>
      </c>
      <c r="D325" s="4">
        <v>1</v>
      </c>
      <c r="N325" s="4" t="s">
        <v>190</v>
      </c>
      <c r="O325" s="4" t="s">
        <v>2882</v>
      </c>
      <c r="P325" s="4">
        <v>-3</v>
      </c>
      <c r="Q325" s="4">
        <v>0.5</v>
      </c>
      <c r="R325" s="4">
        <v>-3</v>
      </c>
      <c r="S325" s="4">
        <v>-15</v>
      </c>
      <c r="T325" s="4">
        <v>5</v>
      </c>
    </row>
    <row r="326" spans="2:27" x14ac:dyDescent="0.25">
      <c r="B326" s="3" t="s">
        <v>2423</v>
      </c>
      <c r="C326" s="4">
        <v>0.1</v>
      </c>
      <c r="D326" s="4">
        <v>0.75</v>
      </c>
      <c r="N326" s="4" t="s">
        <v>190</v>
      </c>
      <c r="O326" s="4" t="s">
        <v>2882</v>
      </c>
      <c r="P326" s="4">
        <v>-3</v>
      </c>
      <c r="Q326" s="4">
        <v>0.5</v>
      </c>
      <c r="R326" s="4">
        <v>-3</v>
      </c>
      <c r="S326" s="4">
        <v>-15</v>
      </c>
      <c r="T326" s="4">
        <v>5</v>
      </c>
    </row>
    <row r="327" spans="2:27" x14ac:dyDescent="0.25">
      <c r="B327" s="3" t="s">
        <v>2425</v>
      </c>
      <c r="C327" s="4">
        <v>0.12</v>
      </c>
      <c r="D327" s="4">
        <v>3</v>
      </c>
      <c r="F327" s="4" t="s">
        <v>2501</v>
      </c>
      <c r="G327" s="4">
        <v>1</v>
      </c>
      <c r="H327" s="4" t="s">
        <v>2501</v>
      </c>
      <c r="I327" s="4">
        <v>90</v>
      </c>
      <c r="N327" s="4" t="s">
        <v>194</v>
      </c>
      <c r="O327" s="4" t="s">
        <v>2878</v>
      </c>
      <c r="P327" s="4">
        <v>0</v>
      </c>
      <c r="Q327" s="4">
        <v>1</v>
      </c>
      <c r="R327" s="4">
        <v>0</v>
      </c>
      <c r="S327" s="4">
        <v>0</v>
      </c>
      <c r="T327" s="4">
        <v>3</v>
      </c>
    </row>
    <row r="328" spans="2:27" x14ac:dyDescent="0.25">
      <c r="B328" s="3" t="s">
        <v>2424</v>
      </c>
      <c r="C328" s="4">
        <v>0.2</v>
      </c>
      <c r="D328" s="4">
        <v>5</v>
      </c>
      <c r="F328" s="4" t="s">
        <v>2501</v>
      </c>
      <c r="G328" s="4">
        <v>1</v>
      </c>
      <c r="H328" s="4" t="s">
        <v>2501</v>
      </c>
      <c r="I328" s="4">
        <v>100</v>
      </c>
      <c r="N328" s="4" t="s">
        <v>195</v>
      </c>
      <c r="O328" s="4" t="s">
        <v>2878</v>
      </c>
      <c r="P328" s="4">
        <v>1</v>
      </c>
      <c r="Q328" s="4">
        <v>1.5</v>
      </c>
      <c r="R328" s="4">
        <v>1</v>
      </c>
      <c r="S328" s="4">
        <v>0</v>
      </c>
      <c r="T328" s="4">
        <v>4</v>
      </c>
    </row>
    <row r="329" spans="2:27" x14ac:dyDescent="0.25">
      <c r="B329" s="3" t="s">
        <v>2384</v>
      </c>
      <c r="C329" s="6" t="s">
        <v>2934</v>
      </c>
      <c r="D329" s="4">
        <v>1</v>
      </c>
    </row>
    <row r="330" spans="2:27" x14ac:dyDescent="0.25">
      <c r="B330" s="3" t="s">
        <v>2385</v>
      </c>
      <c r="C330" s="4">
        <v>0.28000000000000003</v>
      </c>
      <c r="D330" s="4">
        <v>0.5</v>
      </c>
      <c r="N330" s="4" t="s">
        <v>190</v>
      </c>
      <c r="O330" s="4" t="s">
        <v>2882</v>
      </c>
      <c r="P330" s="4">
        <v>-2</v>
      </c>
      <c r="Q330" s="4">
        <v>0.67</v>
      </c>
      <c r="R330" s="4">
        <v>-2</v>
      </c>
      <c r="S330" s="4">
        <v>-10</v>
      </c>
      <c r="T330" s="4">
        <v>5</v>
      </c>
    </row>
    <row r="331" spans="2:27" x14ac:dyDescent="0.25">
      <c r="B331" s="3" t="s">
        <v>2386</v>
      </c>
      <c r="C331" s="4">
        <v>1.2</v>
      </c>
      <c r="D331" s="4">
        <v>2.5</v>
      </c>
      <c r="N331" s="4" t="s">
        <v>194</v>
      </c>
      <c r="O331" s="4" t="s">
        <v>3891</v>
      </c>
      <c r="P331" s="4">
        <v>-1</v>
      </c>
      <c r="Q331" s="4">
        <v>0.75</v>
      </c>
      <c r="R331" s="4">
        <v>-1</v>
      </c>
      <c r="S331" s="4">
        <v>-10</v>
      </c>
      <c r="T331" s="4">
        <v>4</v>
      </c>
    </row>
    <row r="332" spans="2:27" x14ac:dyDescent="0.25">
      <c r="B332" s="3" t="s">
        <v>2387</v>
      </c>
      <c r="C332" s="4">
        <v>0.5</v>
      </c>
      <c r="D332" s="4">
        <v>5</v>
      </c>
    </row>
    <row r="333" spans="2:27" x14ac:dyDescent="0.25">
      <c r="B333" s="3" t="s">
        <v>3389</v>
      </c>
      <c r="M333" s="4"/>
      <c r="AA333" s="4"/>
    </row>
    <row r="334" spans="2:27" x14ac:dyDescent="0.25">
      <c r="B334" s="3" t="s">
        <v>3390</v>
      </c>
      <c r="C334" s="4">
        <v>0.5</v>
      </c>
      <c r="D334" s="4">
        <v>5</v>
      </c>
    </row>
    <row r="335" spans="2:27" x14ac:dyDescent="0.25">
      <c r="B335" s="3" t="s">
        <v>3391</v>
      </c>
      <c r="C335" s="4">
        <v>0.2</v>
      </c>
      <c r="D335" s="4">
        <v>2</v>
      </c>
    </row>
    <row r="336" spans="2:27" x14ac:dyDescent="0.25">
      <c r="B336" s="3" t="s">
        <v>2388</v>
      </c>
      <c r="C336" s="4">
        <v>0.5</v>
      </c>
      <c r="D336" s="4">
        <v>2.5</v>
      </c>
    </row>
    <row r="337" spans="2:4" x14ac:dyDescent="0.25">
      <c r="B337" s="3" t="s">
        <v>2389</v>
      </c>
      <c r="C337" s="4">
        <v>0.12</v>
      </c>
      <c r="D337" s="4">
        <v>3.5</v>
      </c>
    </row>
    <row r="338" spans="2:4" x14ac:dyDescent="0.25">
      <c r="B338" s="3" t="s">
        <v>2390</v>
      </c>
      <c r="C338" s="4">
        <v>0.1</v>
      </c>
      <c r="D338" s="4">
        <v>10</v>
      </c>
    </row>
    <row r="339" spans="2:4" x14ac:dyDescent="0.25">
      <c r="B339" s="3" t="s">
        <v>2391</v>
      </c>
      <c r="C339" s="4">
        <v>0.15</v>
      </c>
      <c r="D339" s="4">
        <v>10</v>
      </c>
    </row>
    <row r="340" spans="2:4" x14ac:dyDescent="0.25">
      <c r="B340" s="3" t="s">
        <v>2392</v>
      </c>
      <c r="C340" s="4">
        <v>420</v>
      </c>
      <c r="D340" s="4">
        <v>5</v>
      </c>
    </row>
    <row r="341" spans="2:4" x14ac:dyDescent="0.25">
      <c r="B341" s="3" t="s">
        <v>2393</v>
      </c>
      <c r="C341" s="4">
        <v>1120</v>
      </c>
      <c r="D341" s="4">
        <v>5</v>
      </c>
    </row>
    <row r="342" spans="2:4" x14ac:dyDescent="0.25">
      <c r="B342" s="3" t="s">
        <v>2394</v>
      </c>
      <c r="C342" s="4">
        <v>560</v>
      </c>
      <c r="D342" s="4">
        <v>5</v>
      </c>
    </row>
    <row r="343" spans="2:4" x14ac:dyDescent="0.25">
      <c r="B343" s="3" t="s">
        <v>2395</v>
      </c>
      <c r="C343" s="4">
        <v>1.4999999999999999E-2</v>
      </c>
      <c r="D343" s="4">
        <v>0.2</v>
      </c>
    </row>
    <row r="344" spans="2:4" x14ac:dyDescent="0.25">
      <c r="B344" s="3" t="s">
        <v>2396</v>
      </c>
      <c r="C344" s="4">
        <v>0.15</v>
      </c>
      <c r="D344" s="4">
        <v>4</v>
      </c>
    </row>
    <row r="345" spans="2:4" x14ac:dyDescent="0.25">
      <c r="B345" s="3" t="s">
        <v>2397</v>
      </c>
      <c r="C345" s="4">
        <v>0.75</v>
      </c>
      <c r="D345" s="4">
        <v>35</v>
      </c>
    </row>
    <row r="346" spans="2:4" x14ac:dyDescent="0.25">
      <c r="B346" s="3" t="s">
        <v>2426</v>
      </c>
      <c r="C346" s="4">
        <v>0.09</v>
      </c>
      <c r="D346" s="4">
        <v>1</v>
      </c>
    </row>
    <row r="347" spans="2:4" x14ac:dyDescent="0.25">
      <c r="B347" s="3" t="s">
        <v>2427</v>
      </c>
      <c r="C347" s="4">
        <v>50</v>
      </c>
      <c r="D347" s="4">
        <v>35</v>
      </c>
    </row>
    <row r="348" spans="2:4" x14ac:dyDescent="0.25">
      <c r="B348" s="3" t="s">
        <v>2428</v>
      </c>
      <c r="C348" s="4">
        <v>0.45</v>
      </c>
      <c r="D348" s="4">
        <v>2.5</v>
      </c>
    </row>
    <row r="349" spans="2:4" x14ac:dyDescent="0.25">
      <c r="B349" s="3" t="s">
        <v>2429</v>
      </c>
      <c r="C349" s="4">
        <v>8.1999999999999993</v>
      </c>
      <c r="D349" s="4">
        <v>10.5</v>
      </c>
    </row>
    <row r="350" spans="2:4" x14ac:dyDescent="0.25">
      <c r="B350" s="3" t="s">
        <v>2430</v>
      </c>
      <c r="C350" s="4">
        <v>0.25</v>
      </c>
      <c r="D350" s="4">
        <v>1</v>
      </c>
    </row>
    <row r="351" spans="2:4" x14ac:dyDescent="0.25">
      <c r="B351" s="3" t="s">
        <v>2431</v>
      </c>
      <c r="C351" s="4">
        <v>0.15</v>
      </c>
      <c r="D351" s="4">
        <v>1</v>
      </c>
    </row>
    <row r="352" spans="2:4" x14ac:dyDescent="0.25">
      <c r="B352" s="3" t="s">
        <v>2432</v>
      </c>
      <c r="C352" s="4">
        <v>0.1</v>
      </c>
      <c r="D352" s="4">
        <v>1.5</v>
      </c>
    </row>
    <row r="353" spans="2:27" x14ac:dyDescent="0.25">
      <c r="B353" s="3" t="s">
        <v>2433</v>
      </c>
      <c r="C353" s="4">
        <v>7.0000000000000007E-2</v>
      </c>
      <c r="D353" s="4">
        <v>2.5</v>
      </c>
    </row>
    <row r="354" spans="2:27" x14ac:dyDescent="0.25">
      <c r="B354" s="3" t="s">
        <v>3392</v>
      </c>
      <c r="M354" s="4"/>
      <c r="AA354" s="4"/>
    </row>
    <row r="355" spans="2:27" x14ac:dyDescent="0.25">
      <c r="B355" s="3" t="s">
        <v>2434</v>
      </c>
      <c r="C355" s="4">
        <v>3.7999999999999999E-2</v>
      </c>
      <c r="D355" s="4">
        <v>0.5</v>
      </c>
    </row>
    <row r="356" spans="2:27" x14ac:dyDescent="0.25">
      <c r="B356" s="3" t="s">
        <v>2435</v>
      </c>
      <c r="C356" s="4">
        <f>1/20</f>
        <v>0.05</v>
      </c>
      <c r="D356" s="4">
        <v>0.3</v>
      </c>
    </row>
    <row r="357" spans="2:27" x14ac:dyDescent="0.25">
      <c r="B357" s="3" t="s">
        <v>2436</v>
      </c>
      <c r="C357" s="4">
        <v>0.25</v>
      </c>
      <c r="D357" s="4">
        <v>0.5</v>
      </c>
    </row>
    <row r="358" spans="2:27" x14ac:dyDescent="0.25">
      <c r="B358" s="3" t="s">
        <v>2437</v>
      </c>
      <c r="C358" s="4">
        <v>0.25</v>
      </c>
      <c r="D358" s="4">
        <v>12</v>
      </c>
    </row>
    <row r="359" spans="2:27" x14ac:dyDescent="0.25">
      <c r="B359" s="3" t="s">
        <v>2438</v>
      </c>
      <c r="C359" s="4">
        <v>0.2</v>
      </c>
      <c r="D359" s="4">
        <v>7</v>
      </c>
    </row>
    <row r="360" spans="2:27" x14ac:dyDescent="0.25">
      <c r="B360" s="3" t="s">
        <v>2439</v>
      </c>
      <c r="C360" s="4">
        <v>0.25</v>
      </c>
      <c r="D360" s="4">
        <v>1</v>
      </c>
    </row>
    <row r="361" spans="2:27" x14ac:dyDescent="0.25">
      <c r="B361" s="3" t="s">
        <v>2440</v>
      </c>
      <c r="C361" s="4">
        <v>0.35</v>
      </c>
      <c r="D361" s="4">
        <v>2</v>
      </c>
    </row>
    <row r="362" spans="2:27" x14ac:dyDescent="0.25">
      <c r="B362" s="3" t="s">
        <v>2441</v>
      </c>
      <c r="C362" s="4">
        <v>10</v>
      </c>
      <c r="D362" s="4">
        <v>125</v>
      </c>
    </row>
    <row r="363" spans="2:27" x14ac:dyDescent="0.25">
      <c r="B363" s="3" t="s">
        <v>2442</v>
      </c>
      <c r="C363" s="4">
        <v>2.5</v>
      </c>
      <c r="D363" s="4">
        <v>30</v>
      </c>
    </row>
    <row r="364" spans="2:27" x14ac:dyDescent="0.25">
      <c r="B364" s="3" t="s">
        <v>3393</v>
      </c>
      <c r="M364" s="4"/>
      <c r="AA364" s="4"/>
    </row>
    <row r="365" spans="2:27" x14ac:dyDescent="0.25">
      <c r="B365" s="3" t="s">
        <v>3394</v>
      </c>
      <c r="M365" s="4"/>
      <c r="AA365" s="4"/>
    </row>
    <row r="366" spans="2:27" x14ac:dyDescent="0.25">
      <c r="B366" s="3" t="s">
        <v>2443</v>
      </c>
      <c r="C366" s="4">
        <v>0.12</v>
      </c>
      <c r="D366" s="4">
        <v>4</v>
      </c>
    </row>
    <row r="367" spans="2:27" x14ac:dyDescent="0.25">
      <c r="B367" s="3" t="s">
        <v>2444</v>
      </c>
      <c r="C367" s="4">
        <v>4.0000000000000002E-4</v>
      </c>
      <c r="D367" s="4">
        <v>0.12</v>
      </c>
      <c r="F367" s="4" t="s">
        <v>2138</v>
      </c>
      <c r="G367" s="4">
        <v>1</v>
      </c>
      <c r="H367" s="4" t="s">
        <v>2138</v>
      </c>
      <c r="I367" s="4">
        <v>70</v>
      </c>
      <c r="J367" s="8" t="s">
        <v>2997</v>
      </c>
    </row>
    <row r="368" spans="2:27" x14ac:dyDescent="0.25">
      <c r="B368" s="3" t="s">
        <v>2445</v>
      </c>
      <c r="C368" s="4">
        <v>8.0000000000000004E-4</v>
      </c>
      <c r="D368" s="4">
        <v>0.16</v>
      </c>
      <c r="F368" s="4" t="s">
        <v>2140</v>
      </c>
      <c r="G368" s="4">
        <v>1</v>
      </c>
      <c r="H368" s="4" t="s">
        <v>2140</v>
      </c>
      <c r="I368" s="4">
        <v>80</v>
      </c>
      <c r="J368" s="8" t="s">
        <v>2997</v>
      </c>
    </row>
    <row r="369" spans="2:27" x14ac:dyDescent="0.25">
      <c r="B369" s="3" t="s">
        <v>2446</v>
      </c>
      <c r="C369" s="4">
        <v>1E-3</v>
      </c>
      <c r="D369" s="4">
        <v>0.3</v>
      </c>
      <c r="F369" s="4" t="s">
        <v>2140</v>
      </c>
      <c r="G369" s="4">
        <v>1</v>
      </c>
      <c r="H369" s="4" t="s">
        <v>2140</v>
      </c>
      <c r="I369" s="4">
        <v>90</v>
      </c>
      <c r="J369" s="8" t="s">
        <v>2997</v>
      </c>
    </row>
    <row r="370" spans="2:27" x14ac:dyDescent="0.25">
      <c r="B370" s="3" t="s">
        <v>2447</v>
      </c>
      <c r="C370" s="4">
        <v>1.8E-3</v>
      </c>
      <c r="D370" s="4">
        <v>0.6</v>
      </c>
      <c r="F370" s="4" t="s">
        <v>2140</v>
      </c>
      <c r="G370" s="4">
        <v>1</v>
      </c>
      <c r="H370" s="4" t="s">
        <v>2140</v>
      </c>
      <c r="I370" s="4">
        <v>100</v>
      </c>
      <c r="J370" s="8" t="s">
        <v>2997</v>
      </c>
    </row>
    <row r="371" spans="2:27" x14ac:dyDescent="0.25">
      <c r="B371" s="3" t="s">
        <v>2448</v>
      </c>
      <c r="C371" s="4">
        <v>0.11</v>
      </c>
      <c r="D371" s="4">
        <v>3.5</v>
      </c>
    </row>
    <row r="372" spans="2:27" x14ac:dyDescent="0.25">
      <c r="B372" s="3" t="s">
        <v>2449</v>
      </c>
      <c r="C372" s="4">
        <v>0.15</v>
      </c>
      <c r="D372" s="4">
        <v>4</v>
      </c>
    </row>
    <row r="373" spans="2:27" x14ac:dyDescent="0.25">
      <c r="B373" s="3" t="s">
        <v>2450</v>
      </c>
      <c r="C373" s="4">
        <v>0.1</v>
      </c>
      <c r="D373" s="4">
        <v>3</v>
      </c>
    </row>
    <row r="374" spans="2:27" x14ac:dyDescent="0.25">
      <c r="B374" s="3" t="s">
        <v>2451</v>
      </c>
      <c r="C374" s="4">
        <v>0.12</v>
      </c>
      <c r="D374" s="4">
        <v>4.5</v>
      </c>
    </row>
    <row r="375" spans="2:27" x14ac:dyDescent="0.25">
      <c r="B375" s="3" t="s">
        <v>2452</v>
      </c>
      <c r="C375" s="4">
        <v>7.0000000000000007E-2</v>
      </c>
      <c r="D375" s="4">
        <v>3</v>
      </c>
    </row>
    <row r="376" spans="2:27" x14ac:dyDescent="0.25">
      <c r="B376" s="3" t="s">
        <v>2453</v>
      </c>
      <c r="C376" s="4">
        <v>0.2</v>
      </c>
      <c r="D376" s="4">
        <v>2.5</v>
      </c>
    </row>
    <row r="377" spans="2:27" x14ac:dyDescent="0.25">
      <c r="B377" s="3" t="s">
        <v>2454</v>
      </c>
      <c r="C377" s="4">
        <v>0.75</v>
      </c>
      <c r="D377" s="4">
        <v>3</v>
      </c>
    </row>
    <row r="378" spans="2:27" x14ac:dyDescent="0.25">
      <c r="B378" s="3" t="s">
        <v>2455</v>
      </c>
      <c r="C378" s="4">
        <v>1.5</v>
      </c>
      <c r="D378" s="4">
        <v>6.5</v>
      </c>
    </row>
    <row r="379" spans="2:27" x14ac:dyDescent="0.25">
      <c r="B379" s="3" t="s">
        <v>2456</v>
      </c>
      <c r="C379" s="4">
        <v>0.18</v>
      </c>
      <c r="D379" s="4">
        <v>2.5</v>
      </c>
    </row>
    <row r="380" spans="2:27" x14ac:dyDescent="0.25">
      <c r="B380" s="3" t="s">
        <v>2457</v>
      </c>
      <c r="C380" s="4">
        <v>0.02</v>
      </c>
      <c r="D380" s="4">
        <v>0.5</v>
      </c>
    </row>
    <row r="381" spans="2:27" x14ac:dyDescent="0.25">
      <c r="B381" s="3" t="s">
        <v>3395</v>
      </c>
      <c r="M381" s="4"/>
      <c r="AA381" s="4"/>
    </row>
    <row r="382" spans="2:27" x14ac:dyDescent="0.25">
      <c r="B382" s="3" t="s">
        <v>3396</v>
      </c>
      <c r="M382" s="4"/>
      <c r="AA382" s="4"/>
    </row>
    <row r="383" spans="2:27" x14ac:dyDescent="0.25">
      <c r="B383" s="3" t="s">
        <v>2458</v>
      </c>
      <c r="C383" s="4">
        <v>3.5</v>
      </c>
      <c r="D383" s="4">
        <v>3.5</v>
      </c>
    </row>
    <row r="384" spans="2:27" x14ac:dyDescent="0.25">
      <c r="B384" s="3" t="s">
        <v>2459</v>
      </c>
      <c r="C384" s="4">
        <v>0.15</v>
      </c>
      <c r="D384" s="4">
        <v>0.15</v>
      </c>
    </row>
    <row r="385" spans="2:27" x14ac:dyDescent="0.25">
      <c r="B385" s="3" t="s">
        <v>2460</v>
      </c>
      <c r="C385" s="4">
        <v>0.25</v>
      </c>
      <c r="D385" s="4">
        <v>0.25</v>
      </c>
      <c r="F385" s="4" t="s">
        <v>2501</v>
      </c>
      <c r="G385" s="4">
        <v>0.67</v>
      </c>
      <c r="H385" s="4" t="s">
        <v>2335</v>
      </c>
      <c r="I385" s="4">
        <v>60</v>
      </c>
    </row>
    <row r="386" spans="2:27" x14ac:dyDescent="0.25">
      <c r="B386" s="3" t="s">
        <v>3397</v>
      </c>
    </row>
    <row r="387" spans="2:27" x14ac:dyDescent="0.25">
      <c r="B387" s="3" t="s">
        <v>2461</v>
      </c>
      <c r="C387" s="4">
        <v>0.05</v>
      </c>
      <c r="D387" s="4">
        <v>0.05</v>
      </c>
    </row>
    <row r="388" spans="2:27" x14ac:dyDescent="0.25">
      <c r="B388" s="3" t="s">
        <v>2462</v>
      </c>
      <c r="C388" s="4">
        <v>7.0000000000000007E-2</v>
      </c>
      <c r="D388" s="4">
        <v>7.0000000000000007E-2</v>
      </c>
    </row>
    <row r="389" spans="2:27" x14ac:dyDescent="0.25">
      <c r="B389" s="3" t="s">
        <v>2463</v>
      </c>
      <c r="C389" s="4">
        <v>0.1</v>
      </c>
      <c r="D389" s="4">
        <v>0.1</v>
      </c>
    </row>
    <row r="390" spans="2:27" x14ac:dyDescent="0.25">
      <c r="B390" s="3" t="s">
        <v>2464</v>
      </c>
      <c r="C390" s="4">
        <v>0.78</v>
      </c>
      <c r="D390" s="4">
        <v>0.78</v>
      </c>
    </row>
    <row r="391" spans="2:27" x14ac:dyDescent="0.25">
      <c r="B391" s="3" t="s">
        <v>2465</v>
      </c>
      <c r="C391" s="4">
        <v>1.65</v>
      </c>
      <c r="D391" s="4">
        <v>1.65</v>
      </c>
    </row>
    <row r="392" spans="2:27" x14ac:dyDescent="0.25">
      <c r="B392" s="3" t="s">
        <v>2466</v>
      </c>
      <c r="C392" s="4">
        <v>3.15</v>
      </c>
      <c r="D392" s="4">
        <v>3.15</v>
      </c>
    </row>
    <row r="393" spans="2:27" x14ac:dyDescent="0.25">
      <c r="M393" s="4"/>
      <c r="AA393" s="4"/>
    </row>
    <row r="394" spans="2:27" x14ac:dyDescent="0.25">
      <c r="B394" s="107" t="s">
        <v>3616</v>
      </c>
      <c r="M394" s="4"/>
      <c r="AA394" s="4"/>
    </row>
    <row r="395" spans="2:27" x14ac:dyDescent="0.25">
      <c r="B395" s="3" t="s">
        <v>3398</v>
      </c>
      <c r="M395" s="4"/>
      <c r="AA395" s="4"/>
    </row>
    <row r="396" spans="2:27" x14ac:dyDescent="0.25">
      <c r="B396" s="3" t="s">
        <v>3399</v>
      </c>
      <c r="M396" s="4"/>
      <c r="AA396" s="4"/>
    </row>
    <row r="397" spans="2:27" x14ac:dyDescent="0.25">
      <c r="B397" s="3" t="s">
        <v>2467</v>
      </c>
      <c r="M397" s="4"/>
      <c r="AA397" s="4"/>
    </row>
    <row r="398" spans="2:27" x14ac:dyDescent="0.25">
      <c r="B398" s="3" t="s">
        <v>3400</v>
      </c>
      <c r="M398" s="4"/>
      <c r="AA398" s="4"/>
    </row>
    <row r="399" spans="2:27" x14ac:dyDescent="0.25">
      <c r="B399" s="3" t="s">
        <v>3401</v>
      </c>
      <c r="M399" s="4"/>
      <c r="AA399" s="4"/>
    </row>
    <row r="400" spans="2:27" x14ac:dyDescent="0.25">
      <c r="B400" s="3" t="s">
        <v>3402</v>
      </c>
      <c r="M400" s="4"/>
      <c r="AA400" s="4"/>
    </row>
    <row r="401" spans="2:27" x14ac:dyDescent="0.25">
      <c r="B401" s="3" t="s">
        <v>3403</v>
      </c>
      <c r="M401" s="4"/>
      <c r="AA401" s="4"/>
    </row>
    <row r="402" spans="2:27" x14ac:dyDescent="0.25">
      <c r="B402" s="3" t="s">
        <v>3404</v>
      </c>
      <c r="M402" s="4"/>
      <c r="AA402" s="4"/>
    </row>
    <row r="403" spans="2:27" x14ac:dyDescent="0.25">
      <c r="B403" s="3" t="s">
        <v>3405</v>
      </c>
      <c r="M403" s="4"/>
      <c r="AA403" s="4"/>
    </row>
    <row r="404" spans="2:27" x14ac:dyDescent="0.25">
      <c r="B404" s="3" t="s">
        <v>3406</v>
      </c>
      <c r="M404" s="4"/>
      <c r="AA404" s="4"/>
    </row>
    <row r="405" spans="2:27" x14ac:dyDescent="0.25">
      <c r="B405" s="3" t="s">
        <v>3407</v>
      </c>
      <c r="M405" s="4"/>
      <c r="AA405" s="4"/>
    </row>
    <row r="406" spans="2:27" x14ac:dyDescent="0.25">
      <c r="B406" s="3" t="s">
        <v>3408</v>
      </c>
      <c r="M406" s="4"/>
      <c r="AA406" s="4"/>
    </row>
    <row r="407" spans="2:27" x14ac:dyDescent="0.25">
      <c r="B407" s="3" t="s">
        <v>3409</v>
      </c>
      <c r="M407" s="4"/>
      <c r="AA407" s="4"/>
    </row>
    <row r="408" spans="2:27" x14ac:dyDescent="0.25">
      <c r="B408" s="3" t="s">
        <v>3410</v>
      </c>
      <c r="M408" s="4"/>
      <c r="AA408" s="4"/>
    </row>
    <row r="409" spans="2:27" x14ac:dyDescent="0.25">
      <c r="B409" s="3" t="s">
        <v>3411</v>
      </c>
      <c r="M409" s="4"/>
      <c r="AA409" s="4"/>
    </row>
    <row r="410" spans="2:27" x14ac:dyDescent="0.25">
      <c r="B410" s="3" t="s">
        <v>3412</v>
      </c>
      <c r="M410" s="4"/>
      <c r="AA410" s="4"/>
    </row>
    <row r="411" spans="2:27" x14ac:dyDescent="0.25">
      <c r="B411" s="3" t="s">
        <v>3413</v>
      </c>
      <c r="M411" s="4"/>
      <c r="AA411" s="4"/>
    </row>
    <row r="412" spans="2:27" x14ac:dyDescent="0.25">
      <c r="B412" s="3" t="s">
        <v>3414</v>
      </c>
      <c r="M412" s="4"/>
      <c r="AA412" s="4"/>
    </row>
    <row r="413" spans="2:27" x14ac:dyDescent="0.25">
      <c r="B413" s="3" t="s">
        <v>3415</v>
      </c>
      <c r="M413" s="4"/>
      <c r="AA413" s="4"/>
    </row>
    <row r="414" spans="2:27" x14ac:dyDescent="0.25">
      <c r="B414" s="3" t="s">
        <v>3416</v>
      </c>
      <c r="M414" s="4"/>
      <c r="AA414" s="4"/>
    </row>
    <row r="415" spans="2:27" x14ac:dyDescent="0.25">
      <c r="B415" s="3" t="s">
        <v>3417</v>
      </c>
      <c r="M415" s="4"/>
      <c r="AA415" s="4"/>
    </row>
    <row r="416" spans="2:27" x14ac:dyDescent="0.25">
      <c r="B416" s="3" t="s">
        <v>3418</v>
      </c>
      <c r="M416" s="4"/>
      <c r="AA416" s="4"/>
    </row>
    <row r="417" spans="2:27" x14ac:dyDescent="0.25">
      <c r="B417" s="3" t="s">
        <v>3419</v>
      </c>
      <c r="M417" s="4"/>
      <c r="AA417" s="4"/>
    </row>
    <row r="418" spans="2:27" x14ac:dyDescent="0.25">
      <c r="B418" s="3" t="s">
        <v>3420</v>
      </c>
      <c r="M418" s="4"/>
      <c r="AA418" s="4"/>
    </row>
    <row r="419" spans="2:27" x14ac:dyDescent="0.25">
      <c r="B419" s="3" t="s">
        <v>3421</v>
      </c>
      <c r="M419" s="4"/>
      <c r="AA419" s="4"/>
    </row>
    <row r="420" spans="2:27" x14ac:dyDescent="0.25">
      <c r="B420" s="3" t="s">
        <v>3422</v>
      </c>
      <c r="M420" s="4"/>
      <c r="AA420" s="4"/>
    </row>
    <row r="421" spans="2:27" x14ac:dyDescent="0.25">
      <c r="B421" s="3" t="s">
        <v>3423</v>
      </c>
      <c r="M421" s="4"/>
      <c r="AA421" s="4"/>
    </row>
    <row r="422" spans="2:27" x14ac:dyDescent="0.25">
      <c r="B422" s="3" t="s">
        <v>3424</v>
      </c>
      <c r="M422" s="4"/>
      <c r="AA422" s="4"/>
    </row>
    <row r="423" spans="2:27" x14ac:dyDescent="0.25">
      <c r="B423" s="3" t="s">
        <v>3425</v>
      </c>
      <c r="M423" s="4"/>
      <c r="AA423" s="4"/>
    </row>
    <row r="424" spans="2:27" x14ac:dyDescent="0.25">
      <c r="B424" s="3" t="s">
        <v>3426</v>
      </c>
      <c r="M424" s="4"/>
      <c r="AA424" s="4"/>
    </row>
    <row r="425" spans="2:27" x14ac:dyDescent="0.25">
      <c r="B425" s="3" t="s">
        <v>3427</v>
      </c>
      <c r="M425" s="4"/>
      <c r="AA425" s="4"/>
    </row>
    <row r="426" spans="2:27" x14ac:dyDescent="0.25">
      <c r="B426" s="3" t="s">
        <v>3428</v>
      </c>
      <c r="M426" s="4"/>
      <c r="AA426" s="4"/>
    </row>
    <row r="427" spans="2:27" x14ac:dyDescent="0.25">
      <c r="M427" s="4"/>
      <c r="AA427" s="4"/>
    </row>
    <row r="428" spans="2:27" x14ac:dyDescent="0.25">
      <c r="B428" s="107" t="s">
        <v>3750</v>
      </c>
      <c r="M428" s="4"/>
      <c r="AA428" s="4"/>
    </row>
    <row r="429" spans="2:27" x14ac:dyDescent="0.25">
      <c r="B429" s="107" t="s">
        <v>3751</v>
      </c>
      <c r="M429" s="4"/>
      <c r="AA429" s="4"/>
    </row>
    <row r="430" spans="2:27" x14ac:dyDescent="0.25">
      <c r="B430" s="3" t="s">
        <v>2468</v>
      </c>
      <c r="C430" s="4">
        <v>2.25</v>
      </c>
      <c r="D430" s="4">
        <v>2</v>
      </c>
      <c r="F430" s="4" t="s">
        <v>2142</v>
      </c>
      <c r="G430" s="4">
        <v>0.95</v>
      </c>
      <c r="H430" s="4" t="s">
        <v>2501</v>
      </c>
      <c r="I430" s="4">
        <v>40</v>
      </c>
    </row>
    <row r="431" spans="2:27" x14ac:dyDescent="0.25">
      <c r="B431" s="3" t="s">
        <v>2469</v>
      </c>
      <c r="C431" s="4">
        <v>8.9499999999999993</v>
      </c>
      <c r="D431" s="4">
        <v>10</v>
      </c>
      <c r="F431" s="4" t="s">
        <v>2142</v>
      </c>
      <c r="G431" s="4">
        <v>0.65</v>
      </c>
      <c r="H431" s="4" t="s">
        <v>2140</v>
      </c>
      <c r="I431" s="4">
        <v>40</v>
      </c>
    </row>
    <row r="432" spans="2:27" x14ac:dyDescent="0.25">
      <c r="B432" s="3" t="s">
        <v>2470</v>
      </c>
      <c r="C432" s="6" t="s">
        <v>2486</v>
      </c>
      <c r="D432" s="4">
        <v>20</v>
      </c>
      <c r="F432" s="4" t="s">
        <v>2142</v>
      </c>
      <c r="G432" s="4">
        <v>0.65</v>
      </c>
      <c r="H432" s="4" t="s">
        <v>2140</v>
      </c>
      <c r="I432" s="4">
        <v>40</v>
      </c>
    </row>
    <row r="433" spans="2:9" x14ac:dyDescent="0.25">
      <c r="B433" s="3" t="s">
        <v>2471</v>
      </c>
      <c r="C433" s="6" t="s">
        <v>2487</v>
      </c>
      <c r="D433" s="4">
        <v>30</v>
      </c>
      <c r="F433" s="4" t="s">
        <v>2142</v>
      </c>
      <c r="G433" s="4">
        <v>0.65</v>
      </c>
      <c r="H433" s="4" t="s">
        <v>2140</v>
      </c>
      <c r="I433" s="4">
        <v>40</v>
      </c>
    </row>
    <row r="434" spans="2:9" x14ac:dyDescent="0.25">
      <c r="B434" s="3" t="s">
        <v>2472</v>
      </c>
      <c r="C434" s="4">
        <v>8.65</v>
      </c>
      <c r="D434" s="4">
        <v>15</v>
      </c>
      <c r="F434" s="4" t="s">
        <v>2142</v>
      </c>
      <c r="G434" s="4">
        <v>0.65</v>
      </c>
      <c r="H434" s="4" t="s">
        <v>2140</v>
      </c>
      <c r="I434" s="4">
        <v>40</v>
      </c>
    </row>
    <row r="435" spans="2:9" x14ac:dyDescent="0.25">
      <c r="B435" s="3" t="s">
        <v>2473</v>
      </c>
      <c r="C435" s="4">
        <v>5</v>
      </c>
      <c r="D435" s="4">
        <v>7</v>
      </c>
      <c r="F435" s="4" t="s">
        <v>2140</v>
      </c>
      <c r="G435" s="4">
        <v>0.7</v>
      </c>
      <c r="H435" s="4" t="s">
        <v>2142</v>
      </c>
      <c r="I435" s="4">
        <v>30</v>
      </c>
    </row>
    <row r="436" spans="2:9" x14ac:dyDescent="0.25">
      <c r="B436" s="3" t="s">
        <v>2474</v>
      </c>
      <c r="C436" s="4">
        <v>0.5</v>
      </c>
      <c r="D436" s="4">
        <v>1</v>
      </c>
      <c r="F436" s="4" t="s">
        <v>2140</v>
      </c>
      <c r="G436" s="4">
        <v>1</v>
      </c>
      <c r="H436" s="4" t="s">
        <v>2140</v>
      </c>
      <c r="I436" s="4">
        <v>30</v>
      </c>
    </row>
    <row r="437" spans="2:9" x14ac:dyDescent="0.25">
      <c r="B437" s="3" t="s">
        <v>2475</v>
      </c>
      <c r="C437" s="4">
        <v>1.5</v>
      </c>
      <c r="D437" s="4">
        <v>2.5</v>
      </c>
      <c r="F437" s="4" t="s">
        <v>2140</v>
      </c>
      <c r="G437" s="4">
        <v>0.95</v>
      </c>
      <c r="H437" s="4" t="s">
        <v>2501</v>
      </c>
      <c r="I437" s="4">
        <v>40</v>
      </c>
    </row>
    <row r="438" spans="2:9" x14ac:dyDescent="0.25">
      <c r="B438" s="3" t="s">
        <v>2476</v>
      </c>
      <c r="C438" s="4">
        <v>2.5</v>
      </c>
      <c r="D438" s="4">
        <v>3.5</v>
      </c>
      <c r="F438" s="4" t="s">
        <v>2140</v>
      </c>
      <c r="G438" s="4">
        <v>0.95</v>
      </c>
      <c r="H438" s="4" t="s">
        <v>2501</v>
      </c>
      <c r="I438" s="4">
        <v>45</v>
      </c>
    </row>
    <row r="439" spans="2:9" x14ac:dyDescent="0.25">
      <c r="B439" s="3" t="s">
        <v>2477</v>
      </c>
      <c r="C439" s="4">
        <v>3.5</v>
      </c>
      <c r="D439" s="4">
        <v>5</v>
      </c>
      <c r="F439" s="4" t="s">
        <v>2140</v>
      </c>
      <c r="G439" s="4">
        <v>0.95</v>
      </c>
      <c r="H439" s="4" t="s">
        <v>2501</v>
      </c>
      <c r="I439" s="4">
        <v>50</v>
      </c>
    </row>
    <row r="440" spans="2:9" x14ac:dyDescent="0.25">
      <c r="B440" s="3" t="s">
        <v>2478</v>
      </c>
      <c r="C440" s="4">
        <v>1.75</v>
      </c>
      <c r="D440" s="4">
        <v>10</v>
      </c>
      <c r="F440" s="4" t="s">
        <v>2142</v>
      </c>
      <c r="G440" s="4">
        <v>0.95</v>
      </c>
      <c r="H440" s="4" t="s">
        <v>2501</v>
      </c>
      <c r="I440" s="4">
        <v>40</v>
      </c>
    </row>
    <row r="441" spans="2:9" x14ac:dyDescent="0.25">
      <c r="B441" s="3" t="s">
        <v>2479</v>
      </c>
      <c r="C441" s="4">
        <v>19.5</v>
      </c>
      <c r="D441" s="4">
        <v>35</v>
      </c>
      <c r="F441" s="4" t="s">
        <v>2335</v>
      </c>
      <c r="G441" s="4">
        <v>0.95</v>
      </c>
      <c r="H441" s="4" t="s">
        <v>2142</v>
      </c>
      <c r="I441" s="4">
        <v>40</v>
      </c>
    </row>
    <row r="442" spans="2:9" x14ac:dyDescent="0.25">
      <c r="B442" s="3" t="s">
        <v>2480</v>
      </c>
      <c r="C442" s="4">
        <v>6</v>
      </c>
      <c r="D442" s="4">
        <v>40</v>
      </c>
      <c r="F442" s="4" t="s">
        <v>2335</v>
      </c>
      <c r="G442" s="4">
        <v>0.95</v>
      </c>
      <c r="H442" s="4" t="s">
        <v>2142</v>
      </c>
      <c r="I442" s="4">
        <v>40</v>
      </c>
    </row>
    <row r="443" spans="2:9" x14ac:dyDescent="0.25">
      <c r="B443" s="3" t="s">
        <v>2481</v>
      </c>
      <c r="C443" s="4">
        <v>0.1</v>
      </c>
      <c r="D443" s="4">
        <v>0.2</v>
      </c>
      <c r="F443" s="4" t="s">
        <v>2336</v>
      </c>
      <c r="G443" s="4">
        <v>1</v>
      </c>
      <c r="H443" s="4" t="s">
        <v>2336</v>
      </c>
      <c r="I443" s="4">
        <v>40</v>
      </c>
    </row>
    <row r="444" spans="2:9" x14ac:dyDescent="0.25">
      <c r="B444" s="3" t="s">
        <v>2482</v>
      </c>
      <c r="C444" s="4">
        <v>2</v>
      </c>
      <c r="D444" s="4">
        <v>0.5</v>
      </c>
      <c r="F444" s="4" t="s">
        <v>2142</v>
      </c>
      <c r="G444" s="4">
        <v>1</v>
      </c>
      <c r="H444" s="4" t="s">
        <v>2142</v>
      </c>
      <c r="I444" s="4">
        <v>40</v>
      </c>
    </row>
    <row r="445" spans="2:9" x14ac:dyDescent="0.25">
      <c r="B445" s="3" t="s">
        <v>2483</v>
      </c>
      <c r="C445" s="4">
        <v>8.5</v>
      </c>
      <c r="D445" s="4">
        <v>2</v>
      </c>
      <c r="F445" s="4" t="s">
        <v>2142</v>
      </c>
      <c r="G445" s="4">
        <v>1</v>
      </c>
      <c r="H445" s="4" t="s">
        <v>2142</v>
      </c>
      <c r="I445" s="4">
        <v>40</v>
      </c>
    </row>
    <row r="446" spans="2:9" x14ac:dyDescent="0.25">
      <c r="B446" s="3" t="s">
        <v>2484</v>
      </c>
      <c r="C446" s="4">
        <v>2</v>
      </c>
      <c r="D446" s="6">
        <v>2.5</v>
      </c>
      <c r="F446" s="4" t="s">
        <v>2140</v>
      </c>
      <c r="G446" s="4">
        <v>0.97</v>
      </c>
      <c r="H446" s="4" t="s">
        <v>2138</v>
      </c>
      <c r="I446" s="4">
        <v>40</v>
      </c>
    </row>
    <row r="447" spans="2:9" x14ac:dyDescent="0.25">
      <c r="B447" s="3" t="s">
        <v>2485</v>
      </c>
      <c r="C447" s="4">
        <v>1.75</v>
      </c>
      <c r="D447" s="4">
        <v>3</v>
      </c>
    </row>
    <row r="449" spans="2:27" x14ac:dyDescent="0.25">
      <c r="B449" s="107" t="s">
        <v>3749</v>
      </c>
    </row>
    <row r="450" spans="2:27" x14ac:dyDescent="0.25">
      <c r="B450" s="3" t="s">
        <v>3128</v>
      </c>
      <c r="C450" s="4">
        <v>30</v>
      </c>
      <c r="D450" s="6">
        <v>25</v>
      </c>
      <c r="F450" s="4" t="s">
        <v>2501</v>
      </c>
      <c r="G450" s="4">
        <v>0.87</v>
      </c>
      <c r="H450" s="4" t="s">
        <v>2140</v>
      </c>
      <c r="I450" s="4">
        <v>80</v>
      </c>
      <c r="K450" s="4">
        <v>10</v>
      </c>
      <c r="L450" s="8" t="s">
        <v>3147</v>
      </c>
      <c r="M450" t="s">
        <v>3030</v>
      </c>
    </row>
    <row r="451" spans="2:27" x14ac:dyDescent="0.25">
      <c r="M451" s="4"/>
      <c r="AA451" s="4"/>
    </row>
    <row r="452" spans="2:27" x14ac:dyDescent="0.25">
      <c r="B452" s="107" t="s">
        <v>3617</v>
      </c>
      <c r="M452" s="4"/>
      <c r="AA452" s="4"/>
    </row>
    <row r="453" spans="2:27" x14ac:dyDescent="0.25">
      <c r="B453" s="3" t="s">
        <v>2489</v>
      </c>
      <c r="C453" s="4">
        <v>10</v>
      </c>
      <c r="D453" s="4">
        <v>10</v>
      </c>
    </row>
    <row r="454" spans="2:27" x14ac:dyDescent="0.25">
      <c r="B454" s="3" t="s">
        <v>2535</v>
      </c>
      <c r="C454" s="4">
        <v>2</v>
      </c>
      <c r="D454" s="4">
        <v>5</v>
      </c>
    </row>
    <row r="455" spans="2:27" x14ac:dyDescent="0.25">
      <c r="B455" s="3" t="s">
        <v>3514</v>
      </c>
      <c r="M455" s="4"/>
      <c r="AA455" s="4"/>
    </row>
    <row r="456" spans="2:27" x14ac:dyDescent="0.25">
      <c r="B456" s="3" t="s">
        <v>2536</v>
      </c>
      <c r="C456" s="4">
        <v>35</v>
      </c>
      <c r="D456" s="4">
        <v>45</v>
      </c>
    </row>
    <row r="457" spans="2:27" x14ac:dyDescent="0.25">
      <c r="B457" s="3" t="s">
        <v>3515</v>
      </c>
      <c r="M457" s="4"/>
      <c r="AA457" s="4"/>
    </row>
    <row r="458" spans="2:27" x14ac:dyDescent="0.25">
      <c r="B458" s="3" t="s">
        <v>3516</v>
      </c>
      <c r="M458" s="4"/>
      <c r="AA458" s="4"/>
    </row>
    <row r="459" spans="2:27" x14ac:dyDescent="0.25">
      <c r="B459" s="3" t="s">
        <v>2537</v>
      </c>
      <c r="C459" s="4">
        <v>0.02</v>
      </c>
      <c r="D459" s="4">
        <v>6</v>
      </c>
    </row>
    <row r="460" spans="2:27" x14ac:dyDescent="0.25">
      <c r="B460" s="3" t="s">
        <v>2538</v>
      </c>
      <c r="C460" s="6" t="s">
        <v>2935</v>
      </c>
      <c r="D460" s="6" t="s">
        <v>2936</v>
      </c>
      <c r="F460" s="4" t="s">
        <v>2550</v>
      </c>
      <c r="G460" s="4">
        <v>0.97</v>
      </c>
      <c r="H460" s="4" t="s">
        <v>2550</v>
      </c>
      <c r="I460" s="4">
        <v>15</v>
      </c>
    </row>
    <row r="461" spans="2:27" x14ac:dyDescent="0.25">
      <c r="B461" s="3" t="s">
        <v>2539</v>
      </c>
      <c r="C461" s="6" t="s">
        <v>2937</v>
      </c>
      <c r="D461" s="6" t="s">
        <v>2938</v>
      </c>
      <c r="F461" s="4" t="s">
        <v>2550</v>
      </c>
      <c r="G461" s="4">
        <v>0.97</v>
      </c>
      <c r="H461" s="4" t="s">
        <v>2550</v>
      </c>
      <c r="I461" s="4">
        <v>15</v>
      </c>
    </row>
    <row r="462" spans="2:27" x14ac:dyDescent="0.25">
      <c r="B462" s="3" t="s">
        <v>2540</v>
      </c>
      <c r="C462" s="6" t="s">
        <v>2939</v>
      </c>
      <c r="D462" s="6" t="s">
        <v>2529</v>
      </c>
      <c r="F462" s="4" t="s">
        <v>2550</v>
      </c>
      <c r="G462" s="4">
        <v>0.97</v>
      </c>
      <c r="H462" s="4" t="s">
        <v>2550</v>
      </c>
      <c r="I462" s="4">
        <v>15</v>
      </c>
    </row>
    <row r="463" spans="2:27" x14ac:dyDescent="0.25">
      <c r="B463" s="3" t="s">
        <v>2541</v>
      </c>
      <c r="C463" s="6" t="s">
        <v>2940</v>
      </c>
      <c r="D463" s="6" t="s">
        <v>2529</v>
      </c>
      <c r="F463" s="4" t="s">
        <v>2550</v>
      </c>
      <c r="G463" s="4">
        <v>0.97</v>
      </c>
      <c r="H463" s="4" t="s">
        <v>2550</v>
      </c>
      <c r="I463" s="4">
        <v>15</v>
      </c>
    </row>
    <row r="464" spans="2:27" x14ac:dyDescent="0.25">
      <c r="B464" s="3" t="s">
        <v>3086</v>
      </c>
      <c r="C464" s="6">
        <v>3</v>
      </c>
      <c r="D464" s="6">
        <v>4.38</v>
      </c>
      <c r="F464" s="4" t="s">
        <v>2550</v>
      </c>
      <c r="G464" s="4">
        <v>0.97</v>
      </c>
      <c r="H464" s="4" t="s">
        <v>2550</v>
      </c>
      <c r="I464" s="4">
        <v>15</v>
      </c>
    </row>
    <row r="465" spans="2:27" x14ac:dyDescent="0.25">
      <c r="B465" s="3" t="s">
        <v>2542</v>
      </c>
      <c r="C465" s="6" t="s">
        <v>2941</v>
      </c>
      <c r="D465" s="4">
        <v>0.5</v>
      </c>
      <c r="F465" s="4" t="s">
        <v>2550</v>
      </c>
      <c r="G465" s="4">
        <v>0.97</v>
      </c>
      <c r="H465" s="4" t="s">
        <v>2550</v>
      </c>
      <c r="I465" s="4">
        <v>15</v>
      </c>
    </row>
    <row r="466" spans="2:27" x14ac:dyDescent="0.25">
      <c r="B466" s="3" t="s">
        <v>2543</v>
      </c>
      <c r="C466" s="4">
        <f>0.03/10</f>
        <v>3.0000000000000001E-3</v>
      </c>
      <c r="D466" s="4">
        <v>2.0000000000000001E-4</v>
      </c>
    </row>
    <row r="467" spans="2:27" x14ac:dyDescent="0.25">
      <c r="B467" s="3" t="s">
        <v>2544</v>
      </c>
      <c r="C467" s="4">
        <f>0.02/10</f>
        <v>2E-3</v>
      </c>
      <c r="D467" s="4">
        <f>0.25/10</f>
        <v>2.5000000000000001E-2</v>
      </c>
    </row>
    <row r="468" spans="2:27" x14ac:dyDescent="0.25">
      <c r="B468" s="3" t="s">
        <v>2942</v>
      </c>
      <c r="C468" s="4">
        <v>0.05</v>
      </c>
      <c r="D468" s="4">
        <v>0.25</v>
      </c>
    </row>
    <row r="469" spans="2:27" x14ac:dyDescent="0.25">
      <c r="B469" s="3" t="s">
        <v>2545</v>
      </c>
      <c r="C469" s="4">
        <v>0.25</v>
      </c>
      <c r="D469" s="4">
        <v>1</v>
      </c>
    </row>
    <row r="470" spans="2:27" x14ac:dyDescent="0.25">
      <c r="B470" s="3" t="s">
        <v>2546</v>
      </c>
      <c r="C470" s="4">
        <v>7.0000000000000007E-2</v>
      </c>
      <c r="D470" s="4">
        <v>1</v>
      </c>
    </row>
    <row r="471" spans="2:27" x14ac:dyDescent="0.25">
      <c r="B471" s="3" t="s">
        <v>2547</v>
      </c>
      <c r="C471" s="4">
        <v>15</v>
      </c>
      <c r="D471" s="4">
        <v>0.08</v>
      </c>
    </row>
    <row r="472" spans="2:27" x14ac:dyDescent="0.25">
      <c r="B472" s="3" t="s">
        <v>2548</v>
      </c>
      <c r="C472" s="4">
        <v>0.5</v>
      </c>
      <c r="D472" s="4">
        <v>0.08</v>
      </c>
    </row>
    <row r="473" spans="2:27" x14ac:dyDescent="0.25">
      <c r="B473" s="3" t="s">
        <v>2549</v>
      </c>
      <c r="C473" s="6" t="s">
        <v>2943</v>
      </c>
      <c r="D473" s="4">
        <v>0.5</v>
      </c>
    </row>
    <row r="474" spans="2:27" x14ac:dyDescent="0.25">
      <c r="B474" s="3" t="s">
        <v>3517</v>
      </c>
      <c r="C474" s="4">
        <v>0.75</v>
      </c>
      <c r="D474" s="4">
        <v>1</v>
      </c>
      <c r="M474" s="4"/>
      <c r="AA474" s="4"/>
    </row>
    <row r="475" spans="2:27" x14ac:dyDescent="0.25">
      <c r="B475" s="3" t="s">
        <v>2550</v>
      </c>
      <c r="C475" s="4">
        <f>0.04/100</f>
        <v>4.0000000000000002E-4</v>
      </c>
      <c r="D475" s="4">
        <v>1E-4</v>
      </c>
      <c r="F475" s="4" t="s">
        <v>2138</v>
      </c>
      <c r="G475" s="4">
        <v>1</v>
      </c>
      <c r="H475" s="4" t="s">
        <v>2138</v>
      </c>
      <c r="I475" s="4">
        <v>5</v>
      </c>
    </row>
    <row r="476" spans="2:27" x14ac:dyDescent="0.25">
      <c r="B476" s="3" t="s">
        <v>2551</v>
      </c>
      <c r="C476" s="4">
        <v>0.5</v>
      </c>
      <c r="D476" s="4">
        <v>1.1E-4</v>
      </c>
    </row>
    <row r="477" spans="2:27" x14ac:dyDescent="0.25">
      <c r="B477" s="3" t="s">
        <v>2552</v>
      </c>
      <c r="C477" s="4">
        <f>0.25/100</f>
        <v>2.5000000000000001E-3</v>
      </c>
      <c r="D477" s="4">
        <v>1.4999999999999999E-4</v>
      </c>
    </row>
    <row r="478" spans="2:27" x14ac:dyDescent="0.25">
      <c r="B478" s="3" t="s">
        <v>2553</v>
      </c>
      <c r="C478" s="4">
        <v>3.5</v>
      </c>
      <c r="D478" s="4">
        <v>8</v>
      </c>
    </row>
    <row r="479" spans="2:27" x14ac:dyDescent="0.25">
      <c r="B479" s="3" t="s">
        <v>2554</v>
      </c>
      <c r="C479" s="4">
        <v>0.08</v>
      </c>
      <c r="D479" s="4">
        <v>0.2</v>
      </c>
    </row>
    <row r="480" spans="2:27" x14ac:dyDescent="0.25">
      <c r="B480" s="3" t="s">
        <v>2555</v>
      </c>
      <c r="C480" s="6" t="s">
        <v>2924</v>
      </c>
      <c r="D480" s="4">
        <v>0.25</v>
      </c>
    </row>
    <row r="481" spans="2:27" x14ac:dyDescent="0.25">
      <c r="B481" s="3" t="s">
        <v>2556</v>
      </c>
      <c r="C481" s="4">
        <v>1.5</v>
      </c>
      <c r="D481" s="4">
        <v>0.3</v>
      </c>
    </row>
    <row r="482" spans="2:27" x14ac:dyDescent="0.25">
      <c r="B482" s="3" t="s">
        <v>3518</v>
      </c>
      <c r="M482" s="4"/>
      <c r="AA482" s="4"/>
    </row>
    <row r="483" spans="2:27" x14ac:dyDescent="0.25">
      <c r="B483" s="3" t="s">
        <v>3519</v>
      </c>
      <c r="M483" s="4"/>
      <c r="AA483" s="4"/>
    </row>
    <row r="484" spans="2:27" x14ac:dyDescent="0.25">
      <c r="B484" s="3" t="s">
        <v>3520</v>
      </c>
      <c r="M484" s="4"/>
      <c r="AA484" s="4"/>
    </row>
    <row r="485" spans="2:27" x14ac:dyDescent="0.25">
      <c r="B485" s="3" t="s">
        <v>3521</v>
      </c>
      <c r="M485" s="4"/>
      <c r="AA485" s="4"/>
    </row>
    <row r="486" spans="2:27" x14ac:dyDescent="0.25">
      <c r="M486" s="4"/>
      <c r="AA486" s="4"/>
    </row>
    <row r="487" spans="2:27" x14ac:dyDescent="0.25">
      <c r="B487" s="107" t="s">
        <v>3618</v>
      </c>
      <c r="M487" s="4"/>
      <c r="AA487" s="4"/>
    </row>
    <row r="488" spans="2:27" x14ac:dyDescent="0.25">
      <c r="B488" s="3" t="s">
        <v>2557</v>
      </c>
      <c r="C488" s="4">
        <v>1.5</v>
      </c>
      <c r="D488" s="4">
        <v>0.1</v>
      </c>
    </row>
    <row r="489" spans="2:27" x14ac:dyDescent="0.25">
      <c r="B489" s="3" t="s">
        <v>2558</v>
      </c>
      <c r="C489" s="4">
        <v>3.5</v>
      </c>
      <c r="D489" s="4">
        <v>0.1</v>
      </c>
    </row>
    <row r="490" spans="2:27" x14ac:dyDescent="0.25">
      <c r="B490" s="3" t="s">
        <v>2559</v>
      </c>
      <c r="C490" s="4">
        <v>5</v>
      </c>
      <c r="D490" s="4">
        <v>0.1</v>
      </c>
    </row>
    <row r="491" spans="2:27" x14ac:dyDescent="0.25">
      <c r="B491" s="3" t="s">
        <v>2560</v>
      </c>
      <c r="C491" s="4">
        <v>0.25</v>
      </c>
      <c r="D491" s="4">
        <v>0.1</v>
      </c>
    </row>
    <row r="492" spans="2:27" x14ac:dyDescent="0.25">
      <c r="B492" s="3" t="s">
        <v>2944</v>
      </c>
      <c r="C492" s="4">
        <v>15</v>
      </c>
      <c r="D492" s="4">
        <v>25</v>
      </c>
    </row>
    <row r="493" spans="2:27" x14ac:dyDescent="0.25">
      <c r="B493" s="3" t="s">
        <v>2945</v>
      </c>
      <c r="C493" s="4">
        <v>10</v>
      </c>
      <c r="D493" s="4">
        <v>2</v>
      </c>
    </row>
    <row r="494" spans="2:27" x14ac:dyDescent="0.25">
      <c r="B494" s="3" t="s">
        <v>2946</v>
      </c>
      <c r="C494" s="4">
        <v>10</v>
      </c>
      <c r="D494" s="4">
        <v>2.5</v>
      </c>
    </row>
    <row r="495" spans="2:27" x14ac:dyDescent="0.25">
      <c r="B495" s="3" t="s">
        <v>3522</v>
      </c>
      <c r="C495" s="4">
        <v>7.5</v>
      </c>
      <c r="D495" s="4">
        <v>5</v>
      </c>
    </row>
    <row r="496" spans="2:27" x14ac:dyDescent="0.25">
      <c r="B496" s="3" t="s">
        <v>3523</v>
      </c>
      <c r="C496" s="4">
        <v>5</v>
      </c>
      <c r="D496" s="4">
        <v>5</v>
      </c>
    </row>
    <row r="497" spans="2:4" x14ac:dyDescent="0.25">
      <c r="B497" s="3" t="s">
        <v>3524</v>
      </c>
      <c r="C497" s="4">
        <v>10</v>
      </c>
      <c r="D497" s="4">
        <v>5</v>
      </c>
    </row>
    <row r="498" spans="2:4" x14ac:dyDescent="0.25">
      <c r="B498" s="3" t="s">
        <v>3525</v>
      </c>
      <c r="C498" s="4">
        <v>25</v>
      </c>
      <c r="D498" s="4">
        <v>10</v>
      </c>
    </row>
    <row r="499" spans="2:4" x14ac:dyDescent="0.25">
      <c r="B499" s="3" t="s">
        <v>2561</v>
      </c>
      <c r="C499" s="4">
        <v>2.5</v>
      </c>
      <c r="D499" s="4">
        <v>2</v>
      </c>
    </row>
    <row r="500" spans="2:4" x14ac:dyDescent="0.25">
      <c r="B500" s="3" t="s">
        <v>2947</v>
      </c>
      <c r="C500" s="4">
        <v>3.5</v>
      </c>
      <c r="D500" s="4">
        <v>4</v>
      </c>
    </row>
    <row r="501" spans="2:4" x14ac:dyDescent="0.25">
      <c r="B501" s="3" t="s">
        <v>2948</v>
      </c>
      <c r="C501" s="6" t="s">
        <v>2952</v>
      </c>
      <c r="D501" s="4">
        <v>7</v>
      </c>
    </row>
    <row r="502" spans="2:4" x14ac:dyDescent="0.25">
      <c r="B502" s="3" t="s">
        <v>2430</v>
      </c>
      <c r="C502" s="4">
        <v>0.25</v>
      </c>
      <c r="D502" s="4">
        <v>1</v>
      </c>
    </row>
    <row r="503" spans="2:4" x14ac:dyDescent="0.25">
      <c r="B503" s="3" t="s">
        <v>2949</v>
      </c>
      <c r="C503" s="6" t="s">
        <v>2954</v>
      </c>
      <c r="D503" s="6" t="s">
        <v>2953</v>
      </c>
    </row>
    <row r="504" spans="2:4" x14ac:dyDescent="0.25">
      <c r="B504" s="3" t="s">
        <v>2950</v>
      </c>
      <c r="C504" s="6" t="s">
        <v>2912</v>
      </c>
      <c r="D504" s="6" t="s">
        <v>2955</v>
      </c>
    </row>
    <row r="505" spans="2:4" x14ac:dyDescent="0.25">
      <c r="B505" s="3" t="s">
        <v>2951</v>
      </c>
      <c r="C505" s="4">
        <v>1</v>
      </c>
      <c r="D505" s="6" t="s">
        <v>2910</v>
      </c>
    </row>
    <row r="506" spans="2:4" x14ac:dyDescent="0.25">
      <c r="B506" s="3" t="s">
        <v>2562</v>
      </c>
      <c r="C506" s="4">
        <v>0.15</v>
      </c>
      <c r="D506" s="4">
        <v>0.6</v>
      </c>
    </row>
    <row r="507" spans="2:4" x14ac:dyDescent="0.25">
      <c r="B507" s="3" t="s">
        <v>2563</v>
      </c>
      <c r="C507" s="4">
        <v>0.05</v>
      </c>
      <c r="D507" s="4">
        <v>0.5</v>
      </c>
    </row>
    <row r="508" spans="2:4" x14ac:dyDescent="0.25">
      <c r="B508" s="3" t="s">
        <v>2564</v>
      </c>
      <c r="C508" s="4">
        <v>0.1</v>
      </c>
      <c r="D508" s="4">
        <v>0.3</v>
      </c>
    </row>
    <row r="509" spans="2:4" x14ac:dyDescent="0.25">
      <c r="B509" s="3" t="s">
        <v>2410</v>
      </c>
      <c r="C509" s="4">
        <v>0.2</v>
      </c>
      <c r="D509" s="4">
        <v>0.55000000000000004</v>
      </c>
    </row>
    <row r="510" spans="2:4" x14ac:dyDescent="0.25">
      <c r="B510" s="3" t="s">
        <v>2411</v>
      </c>
      <c r="C510" s="4">
        <v>0.3</v>
      </c>
      <c r="D510" s="4">
        <v>0.65</v>
      </c>
    </row>
    <row r="511" spans="2:4" x14ac:dyDescent="0.25">
      <c r="B511" s="3" t="s">
        <v>2412</v>
      </c>
      <c r="C511" s="4">
        <v>0.35</v>
      </c>
      <c r="D511" s="4">
        <v>0.8</v>
      </c>
    </row>
    <row r="512" spans="2:4" x14ac:dyDescent="0.25">
      <c r="B512" s="3" t="s">
        <v>2565</v>
      </c>
      <c r="C512" s="4">
        <v>0.3</v>
      </c>
      <c r="D512" s="4">
        <v>0.6</v>
      </c>
    </row>
    <row r="513" spans="2:27" x14ac:dyDescent="0.25">
      <c r="B513" s="3" t="s">
        <v>2956</v>
      </c>
      <c r="C513" s="4">
        <v>0.5</v>
      </c>
      <c r="D513" s="4">
        <v>0.85</v>
      </c>
    </row>
    <row r="514" spans="2:27" x14ac:dyDescent="0.25">
      <c r="B514" s="3" t="s">
        <v>2957</v>
      </c>
      <c r="C514" s="4">
        <v>1</v>
      </c>
      <c r="D514" s="4">
        <v>1.2</v>
      </c>
    </row>
    <row r="515" spans="2:27" x14ac:dyDescent="0.25">
      <c r="M515" s="4"/>
      <c r="AA515" s="4"/>
    </row>
    <row r="516" spans="2:27" x14ac:dyDescent="0.25">
      <c r="B516" s="107" t="s">
        <v>3619</v>
      </c>
      <c r="M516" s="4"/>
      <c r="AA516" s="4"/>
    </row>
    <row r="517" spans="2:27" x14ac:dyDescent="0.25">
      <c r="B517" s="3" t="s">
        <v>2566</v>
      </c>
      <c r="C517" s="4">
        <v>2</v>
      </c>
      <c r="D517" s="4">
        <v>3</v>
      </c>
    </row>
    <row r="518" spans="2:27" x14ac:dyDescent="0.25">
      <c r="B518" s="3" t="s">
        <v>2567</v>
      </c>
      <c r="C518" s="6" t="s">
        <v>2931</v>
      </c>
      <c r="D518" s="6" t="s">
        <v>2922</v>
      </c>
    </row>
    <row r="519" spans="2:27" x14ac:dyDescent="0.25">
      <c r="B519" s="3" t="s">
        <v>3529</v>
      </c>
      <c r="C519" s="6" t="s">
        <v>2958</v>
      </c>
      <c r="D519" s="4">
        <v>3</v>
      </c>
    </row>
    <row r="520" spans="2:27" x14ac:dyDescent="0.25">
      <c r="B520" s="3" t="s">
        <v>3530</v>
      </c>
      <c r="C520" s="6" t="s">
        <v>2959</v>
      </c>
      <c r="D520" s="4">
        <v>2</v>
      </c>
    </row>
    <row r="521" spans="2:27" x14ac:dyDescent="0.25">
      <c r="B521" s="3" t="s">
        <v>3531</v>
      </c>
      <c r="C521" s="4">
        <v>15</v>
      </c>
      <c r="D521" s="4">
        <v>2</v>
      </c>
    </row>
    <row r="522" spans="2:27" x14ac:dyDescent="0.25">
      <c r="B522" s="3" t="s">
        <v>2568</v>
      </c>
      <c r="C522" s="6" t="s">
        <v>2954</v>
      </c>
      <c r="D522" s="4">
        <v>0.15</v>
      </c>
    </row>
    <row r="523" spans="2:27" x14ac:dyDescent="0.25">
      <c r="B523" s="3" t="s">
        <v>3377</v>
      </c>
      <c r="C523" s="6"/>
    </row>
    <row r="524" spans="2:27" x14ac:dyDescent="0.25">
      <c r="B524" s="3" t="s">
        <v>3378</v>
      </c>
      <c r="C524" s="6"/>
    </row>
    <row r="525" spans="2:27" x14ac:dyDescent="0.25">
      <c r="B525" s="3" t="s">
        <v>2569</v>
      </c>
      <c r="C525" s="4">
        <v>5</v>
      </c>
      <c r="D525" s="4">
        <v>1</v>
      </c>
    </row>
    <row r="526" spans="2:27" x14ac:dyDescent="0.25">
      <c r="B526" s="3" t="s">
        <v>2570</v>
      </c>
      <c r="C526" s="4">
        <v>35</v>
      </c>
      <c r="D526" s="4">
        <v>1</v>
      </c>
    </row>
    <row r="527" spans="2:27" x14ac:dyDescent="0.25">
      <c r="B527" s="3" t="s">
        <v>2571</v>
      </c>
      <c r="C527" s="4">
        <v>5</v>
      </c>
      <c r="D527" s="4">
        <v>1</v>
      </c>
    </row>
    <row r="528" spans="2:27" x14ac:dyDescent="0.25">
      <c r="B528" s="3" t="s">
        <v>2572</v>
      </c>
      <c r="C528" s="6" t="s">
        <v>2924</v>
      </c>
      <c r="D528" s="6" t="s">
        <v>2960</v>
      </c>
    </row>
    <row r="529" spans="2:27" x14ac:dyDescent="0.25">
      <c r="B529" s="3" t="s">
        <v>2573</v>
      </c>
      <c r="C529" s="4">
        <v>1.5</v>
      </c>
      <c r="D529" s="4">
        <v>0.5</v>
      </c>
    </row>
    <row r="530" spans="2:27" x14ac:dyDescent="0.25">
      <c r="B530" s="3" t="s">
        <v>2574</v>
      </c>
      <c r="C530" s="4">
        <v>0.25</v>
      </c>
      <c r="D530" s="4">
        <v>2E-3</v>
      </c>
    </row>
    <row r="531" spans="2:27" x14ac:dyDescent="0.25">
      <c r="B531" s="3" t="s">
        <v>2575</v>
      </c>
      <c r="C531" s="6" t="s">
        <v>2924</v>
      </c>
      <c r="D531" s="4">
        <v>1</v>
      </c>
    </row>
    <row r="532" spans="2:27" x14ac:dyDescent="0.25">
      <c r="M532" s="4"/>
      <c r="AA532" s="4"/>
    </row>
    <row r="533" spans="2:27" x14ac:dyDescent="0.25">
      <c r="B533" s="107" t="s">
        <v>3620</v>
      </c>
      <c r="M533" s="4"/>
      <c r="AA533" s="4"/>
    </row>
    <row r="534" spans="2:27" x14ac:dyDescent="0.25">
      <c r="B534" s="3" t="s">
        <v>2576</v>
      </c>
      <c r="C534" s="4">
        <v>8</v>
      </c>
      <c r="D534" s="6" t="s">
        <v>2961</v>
      </c>
    </row>
    <row r="535" spans="2:27" x14ac:dyDescent="0.25">
      <c r="B535" s="3" t="s">
        <v>2577</v>
      </c>
      <c r="C535" s="4">
        <v>12</v>
      </c>
      <c r="D535" s="6" t="s">
        <v>2962</v>
      </c>
    </row>
    <row r="536" spans="2:27" x14ac:dyDescent="0.25">
      <c r="B536" s="3" t="s">
        <v>2578</v>
      </c>
      <c r="C536" s="4">
        <v>16</v>
      </c>
      <c r="D536" s="4">
        <v>7</v>
      </c>
    </row>
    <row r="537" spans="2:27" x14ac:dyDescent="0.25">
      <c r="B537" s="3" t="s">
        <v>2579</v>
      </c>
      <c r="C537" s="4">
        <v>7</v>
      </c>
      <c r="D537" s="4">
        <v>18</v>
      </c>
    </row>
    <row r="538" spans="2:27" x14ac:dyDescent="0.25">
      <c r="B538" s="3" t="s">
        <v>3533</v>
      </c>
      <c r="C538" s="4">
        <v>9</v>
      </c>
      <c r="D538" s="4">
        <v>20</v>
      </c>
    </row>
    <row r="539" spans="2:27" x14ac:dyDescent="0.25">
      <c r="B539" s="3" t="s">
        <v>3532</v>
      </c>
    </row>
    <row r="540" spans="2:27" x14ac:dyDescent="0.25">
      <c r="B540" s="3" t="s">
        <v>3534</v>
      </c>
    </row>
    <row r="541" spans="2:27" x14ac:dyDescent="0.25">
      <c r="B541" s="3" t="s">
        <v>2580</v>
      </c>
      <c r="C541" s="4">
        <v>0.15</v>
      </c>
      <c r="D541" s="4">
        <v>0.03</v>
      </c>
    </row>
    <row r="542" spans="2:27" x14ac:dyDescent="0.25">
      <c r="B542" s="3" t="s">
        <v>2581</v>
      </c>
      <c r="C542" s="4">
        <v>10</v>
      </c>
      <c r="D542" s="4">
        <v>20</v>
      </c>
    </row>
    <row r="543" spans="2:27" x14ac:dyDescent="0.25">
      <c r="B543" s="3" t="s">
        <v>2582</v>
      </c>
      <c r="C543" s="4">
        <v>10</v>
      </c>
      <c r="D543" s="6" t="s">
        <v>2531</v>
      </c>
    </row>
    <row r="544" spans="2:27" x14ac:dyDescent="0.25">
      <c r="B544" s="3" t="s">
        <v>2583</v>
      </c>
      <c r="C544" s="4">
        <v>9.5</v>
      </c>
      <c r="D544" s="6" t="s">
        <v>2963</v>
      </c>
    </row>
    <row r="545" spans="2:9" x14ac:dyDescent="0.25">
      <c r="B545" s="3" t="s">
        <v>2584</v>
      </c>
      <c r="C545" s="4">
        <v>12</v>
      </c>
      <c r="D545" s="6" t="s">
        <v>2964</v>
      </c>
    </row>
    <row r="546" spans="2:9" x14ac:dyDescent="0.25">
      <c r="B546" s="3" t="s">
        <v>2585</v>
      </c>
      <c r="C546" s="4">
        <v>6</v>
      </c>
      <c r="D546" s="4">
        <v>2</v>
      </c>
    </row>
    <row r="547" spans="2:9" x14ac:dyDescent="0.25">
      <c r="B547" s="3" t="s">
        <v>2586</v>
      </c>
      <c r="C547" s="4">
        <v>20</v>
      </c>
      <c r="D547" s="4">
        <v>35</v>
      </c>
    </row>
    <row r="548" spans="2:9" x14ac:dyDescent="0.25">
      <c r="B548" s="3" t="s">
        <v>2587</v>
      </c>
      <c r="C548" s="4">
        <v>10</v>
      </c>
      <c r="D548" s="6" t="s">
        <v>2965</v>
      </c>
    </row>
    <row r="549" spans="2:9" x14ac:dyDescent="0.25">
      <c r="B549" s="3" t="s">
        <v>2588</v>
      </c>
      <c r="C549" s="4">
        <v>1.2</v>
      </c>
      <c r="D549" s="4">
        <v>1</v>
      </c>
    </row>
    <row r="550" spans="2:9" x14ac:dyDescent="0.25">
      <c r="B550" s="3" t="s">
        <v>2589</v>
      </c>
      <c r="C550" s="4">
        <v>5.5</v>
      </c>
      <c r="D550" s="6" t="s">
        <v>2529</v>
      </c>
    </row>
    <row r="551" spans="2:9" x14ac:dyDescent="0.25">
      <c r="B551" s="3" t="s">
        <v>2590</v>
      </c>
      <c r="C551" s="4">
        <v>6.5</v>
      </c>
      <c r="D551" s="4">
        <v>1.5</v>
      </c>
    </row>
    <row r="552" spans="2:9" x14ac:dyDescent="0.25">
      <c r="B552" s="3" t="s">
        <v>2591</v>
      </c>
      <c r="C552" s="4">
        <v>14</v>
      </c>
      <c r="D552" s="6" t="s">
        <v>2932</v>
      </c>
    </row>
    <row r="553" spans="2:9" x14ac:dyDescent="0.25">
      <c r="B553" s="3" t="s">
        <v>2592</v>
      </c>
      <c r="C553" s="6" t="s">
        <v>2966</v>
      </c>
      <c r="D553" s="4">
        <v>0.5</v>
      </c>
      <c r="F553" s="4" t="s">
        <v>2496</v>
      </c>
      <c r="G553" s="4">
        <v>0.98</v>
      </c>
      <c r="H553" s="4" t="s">
        <v>2496</v>
      </c>
      <c r="I553" s="4">
        <v>55</v>
      </c>
    </row>
    <row r="554" spans="2:9" x14ac:dyDescent="0.25">
      <c r="B554" s="3" t="s">
        <v>3087</v>
      </c>
      <c r="C554" s="6">
        <v>0.52</v>
      </c>
      <c r="D554" s="4">
        <v>0.5</v>
      </c>
      <c r="F554" s="4" t="s">
        <v>2496</v>
      </c>
      <c r="G554" s="4">
        <v>0.98</v>
      </c>
      <c r="H554" s="4" t="s">
        <v>2496</v>
      </c>
      <c r="I554" s="4">
        <v>55</v>
      </c>
    </row>
    <row r="555" spans="2:9" x14ac:dyDescent="0.25">
      <c r="B555" s="3" t="s">
        <v>2593</v>
      </c>
      <c r="C555" s="6" t="s">
        <v>2931</v>
      </c>
      <c r="D555" s="6" t="s">
        <v>2967</v>
      </c>
    </row>
    <row r="556" spans="2:9" x14ac:dyDescent="0.25">
      <c r="B556" s="3" t="s">
        <v>3535</v>
      </c>
      <c r="C556" s="6">
        <v>125</v>
      </c>
      <c r="D556" s="6">
        <v>300</v>
      </c>
    </row>
    <row r="557" spans="2:9" x14ac:dyDescent="0.25">
      <c r="B557" s="3" t="s">
        <v>2594</v>
      </c>
      <c r="C557" s="4">
        <v>1.5</v>
      </c>
      <c r="D557" s="6" t="s">
        <v>2968</v>
      </c>
    </row>
    <row r="558" spans="2:9" x14ac:dyDescent="0.25">
      <c r="B558" s="3" t="s">
        <v>2595</v>
      </c>
      <c r="C558" s="4">
        <v>5.5</v>
      </c>
      <c r="D558" s="4">
        <v>10</v>
      </c>
    </row>
    <row r="559" spans="2:9" x14ac:dyDescent="0.25">
      <c r="B559" s="3" t="s">
        <v>2596</v>
      </c>
      <c r="C559" s="4">
        <v>0.25</v>
      </c>
      <c r="D559" s="4">
        <v>0.5</v>
      </c>
    </row>
    <row r="560" spans="2:9" x14ac:dyDescent="0.25">
      <c r="B560" s="3" t="s">
        <v>2597</v>
      </c>
      <c r="C560" s="6" t="s">
        <v>2931</v>
      </c>
      <c r="D560" s="6" t="s">
        <v>2969</v>
      </c>
    </row>
    <row r="561" spans="2:4" x14ac:dyDescent="0.25">
      <c r="B561" s="3" t="s">
        <v>2598</v>
      </c>
      <c r="C561" s="4">
        <v>11.75</v>
      </c>
      <c r="D561" s="6" t="s">
        <v>2962</v>
      </c>
    </row>
    <row r="562" spans="2:4" x14ac:dyDescent="0.25">
      <c r="B562" s="3" t="s">
        <v>3536</v>
      </c>
      <c r="C562" s="4" t="s">
        <v>3541</v>
      </c>
      <c r="D562" s="6">
        <v>850</v>
      </c>
    </row>
    <row r="563" spans="2:4" x14ac:dyDescent="0.25">
      <c r="B563" s="3" t="s">
        <v>3537</v>
      </c>
      <c r="C563" s="4" t="s">
        <v>3542</v>
      </c>
      <c r="D563" s="6">
        <v>1500</v>
      </c>
    </row>
    <row r="564" spans="2:4" x14ac:dyDescent="0.25">
      <c r="B564" s="3" t="s">
        <v>3538</v>
      </c>
      <c r="C564" s="4">
        <v>275</v>
      </c>
      <c r="D564" s="6">
        <v>950</v>
      </c>
    </row>
    <row r="565" spans="2:4" x14ac:dyDescent="0.25">
      <c r="B565" s="3" t="s">
        <v>3539</v>
      </c>
      <c r="C565" s="4" t="s">
        <v>2958</v>
      </c>
      <c r="D565" s="6">
        <v>500</v>
      </c>
    </row>
    <row r="566" spans="2:4" x14ac:dyDescent="0.25">
      <c r="B566" s="3" t="s">
        <v>3540</v>
      </c>
      <c r="C566" s="4">
        <v>2500</v>
      </c>
      <c r="D566" s="6">
        <v>1500</v>
      </c>
    </row>
    <row r="567" spans="2:4" x14ac:dyDescent="0.25">
      <c r="B567" s="3" t="s">
        <v>2599</v>
      </c>
      <c r="C567" s="4">
        <v>0.89</v>
      </c>
      <c r="D567" s="4">
        <v>0.5</v>
      </c>
    </row>
    <row r="568" spans="2:4" x14ac:dyDescent="0.25">
      <c r="B568" s="3" t="s">
        <v>2600</v>
      </c>
      <c r="C568" s="4">
        <v>0.25</v>
      </c>
      <c r="D568" s="4">
        <v>0.5</v>
      </c>
    </row>
    <row r="569" spans="2:4" x14ac:dyDescent="0.25">
      <c r="B569" s="3" t="s">
        <v>2601</v>
      </c>
      <c r="C569" s="4">
        <v>1.5</v>
      </c>
      <c r="D569" s="4">
        <v>2</v>
      </c>
    </row>
    <row r="570" spans="2:4" x14ac:dyDescent="0.25">
      <c r="B570" s="3" t="s">
        <v>2602</v>
      </c>
      <c r="C570" s="4">
        <v>0.3</v>
      </c>
      <c r="D570" s="4">
        <v>1</v>
      </c>
    </row>
    <row r="571" spans="2:4" x14ac:dyDescent="0.25">
      <c r="B571" s="3" t="s">
        <v>2603</v>
      </c>
      <c r="C571" s="4">
        <v>10</v>
      </c>
      <c r="D571" s="6" t="s">
        <v>2970</v>
      </c>
    </row>
    <row r="572" spans="2:4" x14ac:dyDescent="0.25">
      <c r="B572" s="3" t="s">
        <v>2604</v>
      </c>
      <c r="C572" s="4">
        <v>4.5</v>
      </c>
      <c r="D572" s="6" t="s">
        <v>2917</v>
      </c>
    </row>
    <row r="573" spans="2:4" x14ac:dyDescent="0.25">
      <c r="B573" s="3" t="s">
        <v>2605</v>
      </c>
      <c r="C573" s="4">
        <v>17.5</v>
      </c>
      <c r="D573" s="6" t="s">
        <v>2486</v>
      </c>
    </row>
    <row r="574" spans="2:4" x14ac:dyDescent="0.25">
      <c r="B574" s="3" t="s">
        <v>2606</v>
      </c>
      <c r="C574" s="4">
        <v>10</v>
      </c>
      <c r="D574" s="6" t="s">
        <v>2914</v>
      </c>
    </row>
    <row r="575" spans="2:4" x14ac:dyDescent="0.25">
      <c r="B575" s="3" t="s">
        <v>2607</v>
      </c>
      <c r="C575" s="4">
        <v>6</v>
      </c>
      <c r="D575" s="4">
        <v>25</v>
      </c>
    </row>
    <row r="576" spans="2:4" x14ac:dyDescent="0.25">
      <c r="B576" s="3" t="s">
        <v>2608</v>
      </c>
      <c r="C576" s="4">
        <v>7.5</v>
      </c>
      <c r="D576" s="4">
        <v>35</v>
      </c>
    </row>
    <row r="577" spans="2:27" x14ac:dyDescent="0.25">
      <c r="B577" s="3" t="s">
        <v>2609</v>
      </c>
      <c r="C577" s="4">
        <v>4</v>
      </c>
      <c r="D577" s="4">
        <v>15</v>
      </c>
    </row>
    <row r="578" spans="2:27" x14ac:dyDescent="0.25">
      <c r="B578" s="3" t="s">
        <v>2610</v>
      </c>
      <c r="C578" s="4">
        <v>0.25</v>
      </c>
      <c r="D578" s="4">
        <v>1E-3</v>
      </c>
    </row>
    <row r="579" spans="2:27" x14ac:dyDescent="0.25">
      <c r="B579" s="3" t="s">
        <v>2611</v>
      </c>
      <c r="C579" s="4">
        <v>1.5</v>
      </c>
      <c r="D579" s="4">
        <v>2</v>
      </c>
    </row>
    <row r="580" spans="2:27" x14ac:dyDescent="0.25">
      <c r="M580" s="4"/>
      <c r="AA580" s="4"/>
    </row>
    <row r="581" spans="2:27" x14ac:dyDescent="0.25">
      <c r="B581" s="107" t="s">
        <v>3621</v>
      </c>
      <c r="M581" s="4"/>
      <c r="AA581" s="4"/>
    </row>
    <row r="582" spans="2:27" x14ac:dyDescent="0.25">
      <c r="B582" s="3" t="s">
        <v>2612</v>
      </c>
      <c r="C582" s="4">
        <v>0.1</v>
      </c>
      <c r="D582" s="4">
        <v>2</v>
      </c>
      <c r="F582" s="4" t="s">
        <v>2336</v>
      </c>
      <c r="G582" s="4">
        <v>1</v>
      </c>
      <c r="H582" s="4" t="s">
        <v>2336</v>
      </c>
      <c r="I582" s="4">
        <v>80</v>
      </c>
    </row>
    <row r="583" spans="2:27" x14ac:dyDescent="0.25">
      <c r="B583" s="3" t="s">
        <v>2613</v>
      </c>
      <c r="C583" s="4">
        <v>0.12</v>
      </c>
      <c r="D583" s="4">
        <v>5</v>
      </c>
      <c r="F583" s="4" t="s">
        <v>2336</v>
      </c>
      <c r="G583" s="4">
        <v>1</v>
      </c>
      <c r="H583" s="4" t="s">
        <v>2336</v>
      </c>
      <c r="I583" s="4">
        <v>85</v>
      </c>
    </row>
    <row r="584" spans="2:27" x14ac:dyDescent="0.25">
      <c r="B584" s="3" t="s">
        <v>2614</v>
      </c>
      <c r="C584" s="4">
        <v>0.2</v>
      </c>
      <c r="D584" s="4">
        <v>3.5</v>
      </c>
      <c r="F584" s="4" t="s">
        <v>2336</v>
      </c>
      <c r="G584" s="4">
        <v>1</v>
      </c>
      <c r="H584" s="4" t="s">
        <v>2336</v>
      </c>
      <c r="I584" s="4">
        <v>80</v>
      </c>
    </row>
    <row r="585" spans="2:27" x14ac:dyDescent="0.25">
      <c r="B585" s="3" t="s">
        <v>2615</v>
      </c>
      <c r="C585" s="4">
        <v>0.3</v>
      </c>
      <c r="D585" s="4">
        <v>4.5</v>
      </c>
      <c r="F585" s="4" t="s">
        <v>2336</v>
      </c>
      <c r="G585" s="4">
        <v>1</v>
      </c>
      <c r="H585" s="4" t="s">
        <v>2336</v>
      </c>
      <c r="I585" s="4">
        <v>85</v>
      </c>
    </row>
    <row r="586" spans="2:27" x14ac:dyDescent="0.25">
      <c r="B586" s="3" t="s">
        <v>2616</v>
      </c>
      <c r="C586" s="4">
        <v>0.45</v>
      </c>
      <c r="D586" s="4">
        <v>20</v>
      </c>
      <c r="F586" s="4" t="s">
        <v>2336</v>
      </c>
      <c r="G586" s="4">
        <v>1</v>
      </c>
      <c r="H586" s="4" t="s">
        <v>2336</v>
      </c>
      <c r="I586" s="4">
        <v>90</v>
      </c>
    </row>
    <row r="587" spans="2:27" x14ac:dyDescent="0.25">
      <c r="B587" s="3" t="s">
        <v>2618</v>
      </c>
      <c r="C587" s="4">
        <v>1.5</v>
      </c>
      <c r="D587" s="4">
        <v>30</v>
      </c>
      <c r="F587" s="4" t="s">
        <v>2336</v>
      </c>
      <c r="G587" s="4">
        <v>1</v>
      </c>
      <c r="H587" s="4" t="s">
        <v>2336</v>
      </c>
      <c r="I587" s="4">
        <v>80</v>
      </c>
    </row>
    <row r="588" spans="2:27" x14ac:dyDescent="0.25">
      <c r="B588" s="3" t="s">
        <v>2617</v>
      </c>
      <c r="C588" s="4">
        <v>2.5</v>
      </c>
      <c r="D588" s="4">
        <v>40</v>
      </c>
      <c r="F588" s="4" t="s">
        <v>2336</v>
      </c>
      <c r="G588" s="4">
        <v>1</v>
      </c>
      <c r="H588" s="4" t="s">
        <v>2336</v>
      </c>
      <c r="I588" s="4">
        <v>85</v>
      </c>
    </row>
    <row r="589" spans="2:27" x14ac:dyDescent="0.25">
      <c r="B589" s="3" t="s">
        <v>2619</v>
      </c>
      <c r="C589" s="4">
        <v>3.5</v>
      </c>
      <c r="D589" s="4">
        <v>60</v>
      </c>
      <c r="F589" s="4" t="s">
        <v>2336</v>
      </c>
      <c r="G589" s="4">
        <v>1</v>
      </c>
      <c r="H589" s="4" t="s">
        <v>2336</v>
      </c>
      <c r="I589" s="4">
        <v>80</v>
      </c>
    </row>
    <row r="590" spans="2:27" x14ac:dyDescent="0.25">
      <c r="B590" s="3" t="s">
        <v>2620</v>
      </c>
      <c r="C590" s="4">
        <v>3.85</v>
      </c>
      <c r="D590" s="4">
        <v>100</v>
      </c>
      <c r="F590" s="4" t="s">
        <v>2336</v>
      </c>
      <c r="G590" s="4">
        <v>1</v>
      </c>
      <c r="H590" s="4" t="s">
        <v>2336</v>
      </c>
      <c r="I590" s="4">
        <v>85</v>
      </c>
    </row>
    <row r="591" spans="2:27" x14ac:dyDescent="0.25">
      <c r="B591" s="3" t="s">
        <v>2621</v>
      </c>
      <c r="C591" s="4">
        <v>5.5</v>
      </c>
      <c r="D591" s="4">
        <v>150</v>
      </c>
      <c r="F591" s="4" t="s">
        <v>2336</v>
      </c>
      <c r="G591" s="4">
        <v>1</v>
      </c>
      <c r="H591" s="4" t="s">
        <v>2336</v>
      </c>
      <c r="I591" s="4">
        <v>90</v>
      </c>
    </row>
    <row r="592" spans="2:27" x14ac:dyDescent="0.25">
      <c r="B592" s="3" t="s">
        <v>2622</v>
      </c>
      <c r="C592" s="4">
        <v>0.3</v>
      </c>
      <c r="D592" s="4">
        <v>2</v>
      </c>
    </row>
    <row r="593" spans="2:9" x14ac:dyDescent="0.25">
      <c r="B593" s="3" t="s">
        <v>2623</v>
      </c>
      <c r="C593" s="4">
        <v>7.0000000000000007E-2</v>
      </c>
      <c r="D593" s="4">
        <v>1.5</v>
      </c>
    </row>
    <row r="594" spans="2:9" x14ac:dyDescent="0.25">
      <c r="B594" s="3" t="s">
        <v>2624</v>
      </c>
      <c r="C594" s="4">
        <v>0.35</v>
      </c>
      <c r="D594" s="4">
        <v>5</v>
      </c>
    </row>
    <row r="595" spans="2:9" x14ac:dyDescent="0.25">
      <c r="B595" s="3" t="s">
        <v>2625</v>
      </c>
      <c r="C595" s="4">
        <v>0.35</v>
      </c>
      <c r="D595" s="4">
        <v>7</v>
      </c>
    </row>
    <row r="596" spans="2:9" x14ac:dyDescent="0.25">
      <c r="B596" s="3" t="s">
        <v>2626</v>
      </c>
      <c r="C596" s="4">
        <v>0.25</v>
      </c>
      <c r="D596" s="4">
        <v>5.5</v>
      </c>
    </row>
    <row r="597" spans="2:9" x14ac:dyDescent="0.25">
      <c r="B597" s="3" t="s">
        <v>2627</v>
      </c>
      <c r="C597" s="4">
        <v>0.2</v>
      </c>
      <c r="D597" s="4">
        <v>5</v>
      </c>
    </row>
    <row r="598" spans="2:9" x14ac:dyDescent="0.25">
      <c r="B598" s="3" t="s">
        <v>2628</v>
      </c>
      <c r="C598" s="4">
        <v>0.75</v>
      </c>
      <c r="D598" s="4">
        <v>5</v>
      </c>
      <c r="F598" s="4" t="s">
        <v>2336</v>
      </c>
      <c r="G598" s="4">
        <v>1</v>
      </c>
      <c r="H598" s="4" t="s">
        <v>2336</v>
      </c>
      <c r="I598" s="4">
        <v>80</v>
      </c>
    </row>
    <row r="599" spans="2:9" x14ac:dyDescent="0.25">
      <c r="B599" s="3" t="s">
        <v>2629</v>
      </c>
      <c r="C599" s="4">
        <v>0.85</v>
      </c>
      <c r="D599" s="4">
        <v>15</v>
      </c>
      <c r="F599" s="4" t="s">
        <v>2336</v>
      </c>
      <c r="G599" s="4">
        <v>1</v>
      </c>
      <c r="H599" s="4" t="s">
        <v>2336</v>
      </c>
      <c r="I599" s="4">
        <v>85</v>
      </c>
    </row>
    <row r="600" spans="2:9" x14ac:dyDescent="0.25">
      <c r="B600" s="3" t="s">
        <v>2630</v>
      </c>
      <c r="C600" s="4">
        <v>1.25</v>
      </c>
      <c r="D600" s="4">
        <v>40</v>
      </c>
      <c r="F600" s="4" t="s">
        <v>2336</v>
      </c>
      <c r="G600" s="4">
        <v>1</v>
      </c>
      <c r="H600" s="4" t="s">
        <v>2336</v>
      </c>
      <c r="I600" s="4">
        <v>90</v>
      </c>
    </row>
    <row r="601" spans="2:9" x14ac:dyDescent="0.25">
      <c r="B601" s="3" t="s">
        <v>2631</v>
      </c>
      <c r="C601" s="4">
        <v>1.5</v>
      </c>
      <c r="D601" s="4">
        <v>2</v>
      </c>
    </row>
    <row r="602" spans="2:9" x14ac:dyDescent="0.25">
      <c r="B602" s="3" t="s">
        <v>2632</v>
      </c>
      <c r="C602" s="4">
        <v>1.5</v>
      </c>
      <c r="D602" s="4">
        <v>1.5</v>
      </c>
      <c r="F602" s="4" t="s">
        <v>2908</v>
      </c>
      <c r="G602" s="4">
        <v>1</v>
      </c>
      <c r="H602" s="4" t="s">
        <v>2908</v>
      </c>
      <c r="I602" s="4">
        <v>45</v>
      </c>
    </row>
    <row r="603" spans="2:9" x14ac:dyDescent="0.25">
      <c r="B603" s="3" t="s">
        <v>2633</v>
      </c>
      <c r="C603" s="4">
        <v>0.02</v>
      </c>
      <c r="D603" s="4">
        <v>1</v>
      </c>
    </row>
    <row r="604" spans="2:9" x14ac:dyDescent="0.25">
      <c r="B604" s="3" t="s">
        <v>2634</v>
      </c>
      <c r="C604" s="4">
        <v>3</v>
      </c>
      <c r="D604" s="4">
        <v>10</v>
      </c>
    </row>
    <row r="605" spans="2:9" x14ac:dyDescent="0.25">
      <c r="B605" s="3" t="s">
        <v>2635</v>
      </c>
      <c r="C605" s="4">
        <v>0.03</v>
      </c>
      <c r="D605" s="4">
        <v>5.0000000000000001E-3</v>
      </c>
    </row>
    <row r="606" spans="2:9" x14ac:dyDescent="0.25">
      <c r="B606" s="3" t="s">
        <v>2636</v>
      </c>
      <c r="C606" s="4">
        <v>0.1</v>
      </c>
      <c r="D606" s="4">
        <v>1</v>
      </c>
    </row>
    <row r="607" spans="2:9" x14ac:dyDescent="0.25">
      <c r="B607" s="3" t="s">
        <v>2637</v>
      </c>
      <c r="C607" s="4">
        <v>0.45</v>
      </c>
      <c r="D607" s="6" t="s">
        <v>2923</v>
      </c>
    </row>
    <row r="608" spans="2:9" x14ac:dyDescent="0.25">
      <c r="B608" s="3" t="s">
        <v>2638</v>
      </c>
      <c r="C608" s="4">
        <v>0.48</v>
      </c>
      <c r="D608" s="4">
        <v>1</v>
      </c>
    </row>
    <row r="609" spans="2:9" x14ac:dyDescent="0.25">
      <c r="B609" s="3" t="s">
        <v>2639</v>
      </c>
      <c r="C609" s="4">
        <v>0.7</v>
      </c>
      <c r="D609" s="4">
        <v>1.5</v>
      </c>
    </row>
    <row r="610" spans="2:9" x14ac:dyDescent="0.25">
      <c r="B610" s="3" t="s">
        <v>2640</v>
      </c>
      <c r="C610" s="4">
        <v>0.8</v>
      </c>
      <c r="D610" s="4">
        <v>11</v>
      </c>
    </row>
    <row r="611" spans="2:9" x14ac:dyDescent="0.25">
      <c r="B611" s="3" t="s">
        <v>2641</v>
      </c>
      <c r="C611" s="4">
        <v>0.75</v>
      </c>
      <c r="D611" s="4">
        <v>8</v>
      </c>
    </row>
    <row r="612" spans="2:9" x14ac:dyDescent="0.25">
      <c r="B612" s="3" t="s">
        <v>2642</v>
      </c>
      <c r="C612" s="4">
        <v>1.75</v>
      </c>
      <c r="D612" s="4">
        <v>15</v>
      </c>
      <c r="F612" s="4" t="s">
        <v>2336</v>
      </c>
      <c r="G612" s="4">
        <v>0.9</v>
      </c>
      <c r="H612" s="4" t="s">
        <v>2336</v>
      </c>
      <c r="I612" s="4">
        <v>80</v>
      </c>
    </row>
    <row r="613" spans="2:9" x14ac:dyDescent="0.25">
      <c r="B613" s="3" t="s">
        <v>2643</v>
      </c>
      <c r="C613" s="4">
        <v>0.25</v>
      </c>
      <c r="D613" s="4">
        <v>30</v>
      </c>
      <c r="F613" s="4" t="s">
        <v>2336</v>
      </c>
      <c r="G613" s="4">
        <v>0.9</v>
      </c>
      <c r="H613" s="4" t="s">
        <v>2336</v>
      </c>
      <c r="I613" s="4">
        <v>85</v>
      </c>
    </row>
    <row r="614" spans="2:9" x14ac:dyDescent="0.25">
      <c r="B614" s="3" t="s">
        <v>2644</v>
      </c>
      <c r="C614" s="4">
        <v>0.55000000000000004</v>
      </c>
      <c r="D614" s="4">
        <v>50</v>
      </c>
      <c r="F614" s="4" t="s">
        <v>2336</v>
      </c>
      <c r="G614" s="4">
        <v>0.9</v>
      </c>
      <c r="H614" s="4" t="s">
        <v>2336</v>
      </c>
      <c r="I614" s="4">
        <v>90</v>
      </c>
    </row>
    <row r="615" spans="2:9" x14ac:dyDescent="0.25">
      <c r="B615" s="3" t="s">
        <v>3543</v>
      </c>
      <c r="C615" s="4">
        <v>14.5</v>
      </c>
      <c r="D615" s="4">
        <v>350</v>
      </c>
    </row>
    <row r="616" spans="2:9" x14ac:dyDescent="0.25">
      <c r="B616" s="3" t="s">
        <v>2645</v>
      </c>
      <c r="C616" s="4">
        <v>0.08</v>
      </c>
      <c r="D616" s="4">
        <v>0.5</v>
      </c>
      <c r="F616" s="4" t="s">
        <v>2908</v>
      </c>
      <c r="G616" s="4">
        <v>1</v>
      </c>
      <c r="H616" s="4" t="s">
        <v>2908</v>
      </c>
      <c r="I616" s="4">
        <v>35</v>
      </c>
    </row>
    <row r="617" spans="2:9" x14ac:dyDescent="0.25">
      <c r="B617" s="3" t="s">
        <v>2646</v>
      </c>
      <c r="C617" s="4">
        <v>0.75</v>
      </c>
      <c r="D617" s="4">
        <v>0.5</v>
      </c>
      <c r="F617" s="4" t="s">
        <v>2506</v>
      </c>
      <c r="G617" s="4">
        <v>1</v>
      </c>
      <c r="H617" s="4" t="s">
        <v>2506</v>
      </c>
      <c r="I617" s="4">
        <v>40</v>
      </c>
    </row>
    <row r="618" spans="2:9" x14ac:dyDescent="0.25">
      <c r="B618" s="3" t="s">
        <v>2647</v>
      </c>
      <c r="C618" s="4">
        <v>0.05</v>
      </c>
      <c r="D618" s="4">
        <v>0.25</v>
      </c>
      <c r="F618" s="4" t="s">
        <v>2335</v>
      </c>
      <c r="G618" s="4">
        <v>1</v>
      </c>
      <c r="H618" s="4" t="s">
        <v>2335</v>
      </c>
      <c r="I618" s="4">
        <v>45</v>
      </c>
    </row>
    <row r="619" spans="2:9" x14ac:dyDescent="0.25">
      <c r="B619" s="3" t="s">
        <v>2648</v>
      </c>
      <c r="C619" s="4">
        <v>1.25</v>
      </c>
      <c r="D619" s="4">
        <v>0.25</v>
      </c>
      <c r="F619" s="4" t="s">
        <v>2908</v>
      </c>
      <c r="G619" s="4">
        <v>0.99</v>
      </c>
      <c r="H619" s="4" t="s">
        <v>2506</v>
      </c>
      <c r="I619" s="4">
        <v>35</v>
      </c>
    </row>
    <row r="620" spans="2:9" x14ac:dyDescent="0.25">
      <c r="B620" s="3" t="s">
        <v>2649</v>
      </c>
      <c r="C620" s="4">
        <v>2.25</v>
      </c>
      <c r="D620" s="4">
        <v>0.25</v>
      </c>
      <c r="F620" s="4" t="s">
        <v>2506</v>
      </c>
      <c r="G620" s="4">
        <v>1</v>
      </c>
      <c r="H620" s="4" t="s">
        <v>2506</v>
      </c>
      <c r="I620" s="4">
        <v>40</v>
      </c>
    </row>
    <row r="621" spans="2:9" x14ac:dyDescent="0.25">
      <c r="B621" s="3" t="s">
        <v>2650</v>
      </c>
      <c r="C621" s="4">
        <v>2.25</v>
      </c>
      <c r="D621" s="4">
        <v>0.25</v>
      </c>
      <c r="F621" s="4" t="s">
        <v>2908</v>
      </c>
      <c r="G621" s="4">
        <v>0.99</v>
      </c>
      <c r="H621" s="4" t="s">
        <v>2505</v>
      </c>
      <c r="I621" s="4">
        <v>35</v>
      </c>
    </row>
    <row r="622" spans="2:9" x14ac:dyDescent="0.25">
      <c r="B622" s="3" t="s">
        <v>2651</v>
      </c>
      <c r="C622" s="4">
        <v>1.25</v>
      </c>
      <c r="D622" s="4">
        <v>0.25</v>
      </c>
      <c r="F622" s="4" t="s">
        <v>2908</v>
      </c>
      <c r="G622" s="4">
        <v>0.99</v>
      </c>
      <c r="H622" s="4" t="s">
        <v>2506</v>
      </c>
      <c r="I622" s="4">
        <v>35</v>
      </c>
    </row>
    <row r="623" spans="2:9" x14ac:dyDescent="0.25">
      <c r="B623" s="3" t="s">
        <v>2652</v>
      </c>
      <c r="C623" s="4">
        <v>2.25</v>
      </c>
      <c r="D623" s="4">
        <v>0.25</v>
      </c>
      <c r="F623" s="4" t="s">
        <v>2506</v>
      </c>
      <c r="G623" s="4">
        <v>1</v>
      </c>
      <c r="H623" s="4" t="s">
        <v>2506</v>
      </c>
      <c r="I623" s="4">
        <v>40</v>
      </c>
    </row>
    <row r="624" spans="2:9" x14ac:dyDescent="0.25">
      <c r="B624" s="3" t="s">
        <v>2653</v>
      </c>
      <c r="C624" s="4">
        <v>2.4500000000000002</v>
      </c>
      <c r="D624" s="4">
        <v>0.25</v>
      </c>
      <c r="F624" s="4" t="s">
        <v>2908</v>
      </c>
      <c r="G624" s="4">
        <v>0.99</v>
      </c>
      <c r="H624" s="4" t="s">
        <v>2505</v>
      </c>
      <c r="I624" s="4">
        <v>35</v>
      </c>
    </row>
    <row r="625" spans="2:9" x14ac:dyDescent="0.25">
      <c r="B625" s="3" t="s">
        <v>2654</v>
      </c>
      <c r="C625" s="4">
        <v>1.35</v>
      </c>
      <c r="D625" s="4">
        <v>0.25</v>
      </c>
      <c r="F625" s="4" t="s">
        <v>2908</v>
      </c>
      <c r="G625" s="4">
        <v>0.99</v>
      </c>
      <c r="H625" s="4" t="s">
        <v>2506</v>
      </c>
      <c r="I625" s="4">
        <v>35</v>
      </c>
    </row>
    <row r="626" spans="2:9" x14ac:dyDescent="0.25">
      <c r="B626" s="3" t="s">
        <v>2655</v>
      </c>
      <c r="C626" s="4">
        <v>2.35</v>
      </c>
      <c r="D626" s="4">
        <v>0.25</v>
      </c>
      <c r="F626" s="4" t="s">
        <v>2506</v>
      </c>
      <c r="G626" s="4">
        <v>1</v>
      </c>
      <c r="H626" s="4" t="s">
        <v>2506</v>
      </c>
      <c r="I626" s="4">
        <v>40</v>
      </c>
    </row>
    <row r="627" spans="2:9" x14ac:dyDescent="0.25">
      <c r="B627" s="3" t="s">
        <v>2656</v>
      </c>
      <c r="C627" s="4">
        <v>2.25</v>
      </c>
      <c r="D627" s="4">
        <v>0.25</v>
      </c>
      <c r="F627" s="4" t="s">
        <v>2908</v>
      </c>
      <c r="G627" s="4">
        <v>0.99</v>
      </c>
      <c r="H627" s="4" t="s">
        <v>2505</v>
      </c>
      <c r="I627" s="4">
        <v>35</v>
      </c>
    </row>
    <row r="628" spans="2:9" x14ac:dyDescent="0.25">
      <c r="B628" s="3" t="s">
        <v>2657</v>
      </c>
      <c r="C628" s="4">
        <v>0.68</v>
      </c>
      <c r="D628" s="4">
        <v>0.25</v>
      </c>
    </row>
    <row r="629" spans="2:9" x14ac:dyDescent="0.25">
      <c r="B629" s="3" t="s">
        <v>2658</v>
      </c>
      <c r="C629" s="4">
        <v>0.1</v>
      </c>
      <c r="D629" s="4">
        <v>0.5</v>
      </c>
      <c r="F629" s="4" t="s">
        <v>2908</v>
      </c>
      <c r="G629" s="4">
        <v>1</v>
      </c>
      <c r="H629" s="4" t="s">
        <v>2908</v>
      </c>
      <c r="I629" s="4">
        <v>40</v>
      </c>
    </row>
    <row r="630" spans="2:9" x14ac:dyDescent="0.25">
      <c r="B630" s="3" t="s">
        <v>2659</v>
      </c>
      <c r="C630" s="4">
        <v>3.75</v>
      </c>
      <c r="D630" s="4">
        <v>1</v>
      </c>
    </row>
    <row r="631" spans="2:9" x14ac:dyDescent="0.25">
      <c r="B631" s="3" t="s">
        <v>2660</v>
      </c>
      <c r="C631" s="4">
        <v>0.75</v>
      </c>
      <c r="D631" s="4">
        <v>1</v>
      </c>
    </row>
    <row r="632" spans="2:9" x14ac:dyDescent="0.25">
      <c r="B632" s="3" t="s">
        <v>2661</v>
      </c>
      <c r="C632" s="4">
        <v>1.5</v>
      </c>
      <c r="D632" s="4">
        <v>1</v>
      </c>
    </row>
    <row r="633" spans="2:9" x14ac:dyDescent="0.25">
      <c r="B633" s="3" t="s">
        <v>2662</v>
      </c>
      <c r="C633" s="4">
        <v>0.25</v>
      </c>
      <c r="D633" s="4">
        <v>1</v>
      </c>
      <c r="F633" s="4" t="s">
        <v>2908</v>
      </c>
      <c r="G633" s="4">
        <v>1</v>
      </c>
      <c r="H633" s="4" t="s">
        <v>2908</v>
      </c>
      <c r="I633" s="4">
        <v>40</v>
      </c>
    </row>
    <row r="634" spans="2:9" x14ac:dyDescent="0.25">
      <c r="B634" s="3" t="s">
        <v>2663</v>
      </c>
      <c r="C634" s="4">
        <v>3.5</v>
      </c>
      <c r="D634" s="4">
        <v>2</v>
      </c>
    </row>
    <row r="635" spans="2:9" x14ac:dyDescent="0.25">
      <c r="B635" s="3" t="s">
        <v>2664</v>
      </c>
      <c r="C635" s="4">
        <v>1.5</v>
      </c>
      <c r="D635" s="4">
        <v>1.5</v>
      </c>
    </row>
    <row r="636" spans="2:9" x14ac:dyDescent="0.25">
      <c r="B636" s="3" t="s">
        <v>2665</v>
      </c>
      <c r="C636" s="4">
        <v>2.75</v>
      </c>
      <c r="D636" s="4">
        <v>3</v>
      </c>
    </row>
    <row r="637" spans="2:9" x14ac:dyDescent="0.25">
      <c r="B637" s="3" t="s">
        <v>2666</v>
      </c>
      <c r="C637" s="4">
        <v>4</v>
      </c>
      <c r="D637" s="4">
        <v>2</v>
      </c>
      <c r="F637" s="4" t="s">
        <v>2908</v>
      </c>
      <c r="G637" s="4">
        <v>1</v>
      </c>
      <c r="H637" s="4" t="s">
        <v>2908</v>
      </c>
      <c r="I637" s="4">
        <v>40</v>
      </c>
    </row>
    <row r="638" spans="2:9" x14ac:dyDescent="0.25">
      <c r="B638" s="3" t="s">
        <v>2667</v>
      </c>
      <c r="C638" s="4">
        <v>3.75</v>
      </c>
      <c r="D638" s="4">
        <v>3</v>
      </c>
    </row>
    <row r="639" spans="2:9" x14ac:dyDescent="0.25">
      <c r="B639" s="3" t="s">
        <v>2668</v>
      </c>
      <c r="C639" s="4">
        <v>1.7</v>
      </c>
      <c r="D639" s="4">
        <v>2</v>
      </c>
    </row>
    <row r="640" spans="2:9" x14ac:dyDescent="0.25">
      <c r="B640" s="3" t="s">
        <v>2669</v>
      </c>
      <c r="C640" s="4">
        <v>15.25</v>
      </c>
      <c r="D640" s="4">
        <v>3</v>
      </c>
    </row>
    <row r="641" spans="2:27" x14ac:dyDescent="0.25">
      <c r="B641" s="3" t="s">
        <v>2670</v>
      </c>
      <c r="C641" s="4">
        <v>2.25</v>
      </c>
      <c r="D641" s="4">
        <v>3</v>
      </c>
    </row>
    <row r="642" spans="2:27" x14ac:dyDescent="0.25">
      <c r="B642" s="3" t="s">
        <v>2671</v>
      </c>
      <c r="C642" s="4">
        <v>0.45</v>
      </c>
      <c r="D642" s="4">
        <v>1</v>
      </c>
      <c r="F642" s="4" t="s">
        <v>2908</v>
      </c>
      <c r="G642" s="4">
        <v>1</v>
      </c>
      <c r="H642" s="4" t="s">
        <v>2908</v>
      </c>
      <c r="I642" s="4">
        <v>40</v>
      </c>
    </row>
    <row r="643" spans="2:27" x14ac:dyDescent="0.25">
      <c r="B643" s="3" t="s">
        <v>2672</v>
      </c>
      <c r="C643" s="4">
        <v>2.5</v>
      </c>
      <c r="D643" s="4">
        <v>1</v>
      </c>
    </row>
    <row r="644" spans="2:27" x14ac:dyDescent="0.25">
      <c r="B644" s="3" t="s">
        <v>2673</v>
      </c>
      <c r="C644" s="4">
        <v>0.65</v>
      </c>
      <c r="D644" s="4">
        <v>1.5</v>
      </c>
      <c r="F644" s="4" t="s">
        <v>2908</v>
      </c>
      <c r="G644" s="4">
        <v>1</v>
      </c>
      <c r="H644" s="4" t="s">
        <v>2908</v>
      </c>
      <c r="I644" s="4">
        <v>40</v>
      </c>
    </row>
    <row r="645" spans="2:27" x14ac:dyDescent="0.25">
      <c r="B645" s="3" t="s">
        <v>2674</v>
      </c>
      <c r="C645" s="4">
        <v>3.25</v>
      </c>
      <c r="D645" s="4">
        <v>2</v>
      </c>
    </row>
    <row r="646" spans="2:27" x14ac:dyDescent="0.25">
      <c r="B646" s="3" t="s">
        <v>2675</v>
      </c>
      <c r="C646" s="4">
        <v>44.85</v>
      </c>
      <c r="D646" s="4">
        <v>1.5</v>
      </c>
    </row>
    <row r="647" spans="2:27" x14ac:dyDescent="0.25">
      <c r="B647" s="3" t="s">
        <v>2561</v>
      </c>
      <c r="C647" s="4">
        <v>2.5</v>
      </c>
      <c r="D647" s="4">
        <v>2</v>
      </c>
    </row>
    <row r="648" spans="2:27" x14ac:dyDescent="0.25">
      <c r="B648" s="3" t="s">
        <v>2676</v>
      </c>
      <c r="C648" s="6">
        <v>0.12</v>
      </c>
      <c r="D648" s="4">
        <v>0.8</v>
      </c>
      <c r="F648" s="4" t="s">
        <v>2908</v>
      </c>
      <c r="G648" s="4">
        <v>1</v>
      </c>
      <c r="H648" s="4" t="s">
        <v>2908</v>
      </c>
      <c r="I648" s="4">
        <v>40</v>
      </c>
    </row>
    <row r="649" spans="2:27" x14ac:dyDescent="0.25">
      <c r="B649" s="3" t="s">
        <v>2677</v>
      </c>
      <c r="C649" s="6">
        <v>1.25</v>
      </c>
      <c r="D649" s="4">
        <v>1</v>
      </c>
    </row>
    <row r="650" spans="2:27" x14ac:dyDescent="0.25">
      <c r="B650" s="3" t="s">
        <v>2678</v>
      </c>
      <c r="C650" s="4">
        <v>0.75</v>
      </c>
      <c r="D650" s="4">
        <v>0.8</v>
      </c>
    </row>
    <row r="651" spans="2:27" x14ac:dyDescent="0.25">
      <c r="B651" s="3" t="s">
        <v>2679</v>
      </c>
      <c r="C651" s="4">
        <v>12.5</v>
      </c>
      <c r="D651" s="4">
        <v>1.1000000000000001</v>
      </c>
    </row>
    <row r="652" spans="2:27" x14ac:dyDescent="0.25">
      <c r="B652" s="3" t="s">
        <v>2680</v>
      </c>
      <c r="C652" s="6" t="s">
        <v>2530</v>
      </c>
      <c r="D652" s="4">
        <v>0.4</v>
      </c>
    </row>
    <row r="653" spans="2:27" x14ac:dyDescent="0.25">
      <c r="B653" s="3" t="s">
        <v>2681</v>
      </c>
      <c r="C653" s="6" t="s">
        <v>2971</v>
      </c>
      <c r="D653" s="4">
        <v>0.3</v>
      </c>
    </row>
    <row r="654" spans="2:27" x14ac:dyDescent="0.25">
      <c r="B654" s="3" t="s">
        <v>2682</v>
      </c>
      <c r="C654" s="6" t="s">
        <v>2972</v>
      </c>
      <c r="D654" s="4">
        <v>0.5</v>
      </c>
    </row>
    <row r="655" spans="2:27" x14ac:dyDescent="0.25">
      <c r="B655" s="3" t="s">
        <v>2683</v>
      </c>
      <c r="C655" s="6" t="s">
        <v>2973</v>
      </c>
      <c r="D655" s="4">
        <v>1</v>
      </c>
    </row>
    <row r="656" spans="2:27" x14ac:dyDescent="0.25">
      <c r="M656" s="4"/>
      <c r="AA656" s="4"/>
    </row>
    <row r="657" spans="2:27" x14ac:dyDescent="0.25">
      <c r="B657" s="107" t="s">
        <v>3622</v>
      </c>
      <c r="M657" s="4"/>
      <c r="AA657" s="4"/>
    </row>
    <row r="658" spans="2:27" x14ac:dyDescent="0.25">
      <c r="B658" s="107" t="s">
        <v>3544</v>
      </c>
      <c r="M658" s="4"/>
      <c r="AA658" s="4"/>
    </row>
    <row r="659" spans="2:27" x14ac:dyDescent="0.25">
      <c r="B659" s="107" t="s">
        <v>3545</v>
      </c>
      <c r="M659" s="4"/>
      <c r="AA659" s="4"/>
    </row>
    <row r="660" spans="2:27" x14ac:dyDescent="0.25">
      <c r="B660" s="107" t="s">
        <v>3546</v>
      </c>
      <c r="M660" s="4"/>
      <c r="AA660" s="4"/>
    </row>
    <row r="661" spans="2:27" x14ac:dyDescent="0.25">
      <c r="B661" s="107" t="s">
        <v>3547</v>
      </c>
      <c r="M661" s="4"/>
      <c r="AA661" s="4"/>
    </row>
    <row r="662" spans="2:27" x14ac:dyDescent="0.25">
      <c r="B662" s="107" t="s">
        <v>3548</v>
      </c>
      <c r="M662" s="4"/>
      <c r="AA662" s="4"/>
    </row>
    <row r="663" spans="2:27" x14ac:dyDescent="0.25">
      <c r="B663" s="107" t="s">
        <v>3549</v>
      </c>
      <c r="M663" s="4"/>
      <c r="AA663" s="4"/>
    </row>
    <row r="664" spans="2:27" x14ac:dyDescent="0.25">
      <c r="B664" s="107" t="s">
        <v>3550</v>
      </c>
      <c r="M664" s="4"/>
      <c r="AA664" s="4"/>
    </row>
    <row r="665" spans="2:27" x14ac:dyDescent="0.25">
      <c r="B665" s="3" t="s">
        <v>2684</v>
      </c>
      <c r="C665" s="4">
        <v>1.25</v>
      </c>
      <c r="D665" s="4">
        <v>2.5</v>
      </c>
      <c r="F665" s="4" t="s">
        <v>2138</v>
      </c>
      <c r="G665" s="4">
        <v>1</v>
      </c>
      <c r="H665" s="4" t="s">
        <v>2138</v>
      </c>
      <c r="I665" s="4">
        <v>45</v>
      </c>
    </row>
    <row r="666" spans="2:27" x14ac:dyDescent="0.25">
      <c r="B666" s="3" t="s">
        <v>2685</v>
      </c>
      <c r="C666" s="4">
        <v>2</v>
      </c>
      <c r="D666" s="4">
        <v>6</v>
      </c>
      <c r="F666" s="4" t="s">
        <v>2140</v>
      </c>
      <c r="G666" s="4">
        <v>1</v>
      </c>
      <c r="H666" s="4" t="s">
        <v>2140</v>
      </c>
      <c r="I666" s="4">
        <v>55</v>
      </c>
    </row>
    <row r="667" spans="2:27" x14ac:dyDescent="0.25">
      <c r="B667" s="3" t="s">
        <v>2686</v>
      </c>
      <c r="C667" s="4">
        <v>0.65</v>
      </c>
      <c r="D667" s="4">
        <v>2</v>
      </c>
    </row>
    <row r="668" spans="2:27" x14ac:dyDescent="0.25">
      <c r="B668" s="3" t="s">
        <v>2687</v>
      </c>
      <c r="C668" s="4">
        <v>1.5</v>
      </c>
      <c r="D668" s="4">
        <v>1.5</v>
      </c>
    </row>
    <row r="669" spans="2:27" x14ac:dyDescent="0.25">
      <c r="B669" s="3" t="s">
        <v>2688</v>
      </c>
      <c r="C669" s="4">
        <v>2.5</v>
      </c>
      <c r="D669" s="6" t="s">
        <v>2488</v>
      </c>
    </row>
    <row r="670" spans="2:27" x14ac:dyDescent="0.25">
      <c r="B670" s="3" t="s">
        <v>3551</v>
      </c>
      <c r="D670" s="6"/>
    </row>
    <row r="671" spans="2:27" x14ac:dyDescent="0.25">
      <c r="B671" s="3" t="s">
        <v>3552</v>
      </c>
      <c r="D671" s="6"/>
    </row>
    <row r="672" spans="2:27" x14ac:dyDescent="0.25">
      <c r="B672" s="3" t="s">
        <v>3554</v>
      </c>
      <c r="D672" s="6"/>
    </row>
    <row r="673" spans="2:4" x14ac:dyDescent="0.25">
      <c r="B673" s="3" t="s">
        <v>3553</v>
      </c>
      <c r="D673" s="6"/>
    </row>
    <row r="674" spans="2:4" x14ac:dyDescent="0.25">
      <c r="B674" s="3" t="s">
        <v>3555</v>
      </c>
      <c r="D674" s="6"/>
    </row>
    <row r="675" spans="2:4" x14ac:dyDescent="0.25">
      <c r="B675" s="3" t="s">
        <v>3556</v>
      </c>
      <c r="D675" s="6"/>
    </row>
    <row r="676" spans="2:4" x14ac:dyDescent="0.25">
      <c r="B676" s="3" t="s">
        <v>2689</v>
      </c>
      <c r="C676" s="4">
        <v>0.08</v>
      </c>
      <c r="D676" s="4">
        <v>0.5</v>
      </c>
    </row>
    <row r="677" spans="2:4" x14ac:dyDescent="0.25">
      <c r="B677" s="3" t="s">
        <v>2690</v>
      </c>
      <c r="C677" s="4">
        <v>0.1</v>
      </c>
      <c r="D677" s="4">
        <v>0.5</v>
      </c>
    </row>
    <row r="678" spans="2:4" x14ac:dyDescent="0.25">
      <c r="B678" s="3" t="s">
        <v>3557</v>
      </c>
    </row>
    <row r="679" spans="2:4" x14ac:dyDescent="0.25">
      <c r="B679" s="3" t="s">
        <v>3558</v>
      </c>
    </row>
    <row r="680" spans="2:4" x14ac:dyDescent="0.25">
      <c r="B680" s="3" t="s">
        <v>3559</v>
      </c>
    </row>
    <row r="681" spans="2:4" x14ac:dyDescent="0.25">
      <c r="B681" s="3" t="s">
        <v>3560</v>
      </c>
    </row>
    <row r="682" spans="2:4" x14ac:dyDescent="0.25">
      <c r="B682" s="3" t="s">
        <v>3561</v>
      </c>
    </row>
    <row r="683" spans="2:4" x14ac:dyDescent="0.25">
      <c r="B683" s="3" t="s">
        <v>3562</v>
      </c>
    </row>
    <row r="684" spans="2:4" x14ac:dyDescent="0.25">
      <c r="B684" s="3" t="s">
        <v>3563</v>
      </c>
    </row>
    <row r="685" spans="2:4" x14ac:dyDescent="0.25">
      <c r="B685" s="3" t="s">
        <v>3564</v>
      </c>
    </row>
    <row r="686" spans="2:4" x14ac:dyDescent="0.25">
      <c r="B686" s="3" t="s">
        <v>2691</v>
      </c>
      <c r="C686" s="4">
        <v>0.35</v>
      </c>
      <c r="D686" s="6" t="s">
        <v>2488</v>
      </c>
    </row>
    <row r="687" spans="2:4" x14ac:dyDescent="0.25">
      <c r="B687" s="3" t="s">
        <v>2692</v>
      </c>
      <c r="C687" s="4">
        <v>0.35</v>
      </c>
      <c r="D687" s="4">
        <v>1</v>
      </c>
    </row>
    <row r="688" spans="2:4" x14ac:dyDescent="0.25">
      <c r="B688" s="3" t="s">
        <v>2693</v>
      </c>
      <c r="C688" s="4">
        <v>0.75</v>
      </c>
      <c r="D688" s="4">
        <v>1</v>
      </c>
    </row>
    <row r="689" spans="2:4" x14ac:dyDescent="0.25">
      <c r="B689" s="3" t="s">
        <v>2694</v>
      </c>
      <c r="C689" s="6" t="s">
        <v>2974</v>
      </c>
      <c r="D689" s="4">
        <v>1</v>
      </c>
    </row>
    <row r="690" spans="2:4" x14ac:dyDescent="0.25">
      <c r="B690" s="3" t="s">
        <v>2695</v>
      </c>
      <c r="C690" s="4">
        <v>8.5</v>
      </c>
      <c r="D690" s="4">
        <v>3.5</v>
      </c>
    </row>
    <row r="691" spans="2:4" x14ac:dyDescent="0.25">
      <c r="B691" s="3" t="s">
        <v>2696</v>
      </c>
      <c r="C691" s="4">
        <v>6.5</v>
      </c>
      <c r="D691" s="4">
        <v>3.5</v>
      </c>
    </row>
    <row r="692" spans="2:4" x14ac:dyDescent="0.25">
      <c r="B692" s="3" t="s">
        <v>2697</v>
      </c>
      <c r="C692" s="4">
        <v>12</v>
      </c>
      <c r="D692" s="4">
        <v>4</v>
      </c>
    </row>
    <row r="693" spans="2:4" x14ac:dyDescent="0.25">
      <c r="B693" s="3" t="s">
        <v>2698</v>
      </c>
      <c r="C693" s="4">
        <v>15</v>
      </c>
      <c r="D693" s="4">
        <v>4</v>
      </c>
    </row>
    <row r="694" spans="2:4" x14ac:dyDescent="0.25">
      <c r="B694" s="3" t="s">
        <v>3377</v>
      </c>
    </row>
    <row r="695" spans="2:4" x14ac:dyDescent="0.25">
      <c r="B695" s="3" t="s">
        <v>3378</v>
      </c>
    </row>
    <row r="696" spans="2:4" x14ac:dyDescent="0.25">
      <c r="B696" s="3" t="s">
        <v>3565</v>
      </c>
    </row>
    <row r="697" spans="2:4" x14ac:dyDescent="0.25">
      <c r="B697" s="3" t="s">
        <v>3566</v>
      </c>
    </row>
    <row r="698" spans="2:4" x14ac:dyDescent="0.25">
      <c r="B698" s="3" t="s">
        <v>3567</v>
      </c>
    </row>
    <row r="699" spans="2:4" x14ac:dyDescent="0.25">
      <c r="B699" s="3" t="s">
        <v>3568</v>
      </c>
    </row>
    <row r="700" spans="2:4" x14ac:dyDescent="0.25">
      <c r="B700" s="3" t="s">
        <v>3569</v>
      </c>
    </row>
    <row r="701" spans="2:4" x14ac:dyDescent="0.25">
      <c r="B701" s="3" t="s">
        <v>3570</v>
      </c>
    </row>
    <row r="702" spans="2:4" x14ac:dyDescent="0.25">
      <c r="B702" s="3" t="s">
        <v>2364</v>
      </c>
    </row>
    <row r="703" spans="2:4" x14ac:dyDescent="0.25">
      <c r="B703" s="3" t="s">
        <v>3571</v>
      </c>
    </row>
    <row r="704" spans="2:4" x14ac:dyDescent="0.25">
      <c r="B704" s="3" t="s">
        <v>3572</v>
      </c>
    </row>
    <row r="705" spans="2:4" x14ac:dyDescent="0.25">
      <c r="B705" s="3" t="s">
        <v>3573</v>
      </c>
    </row>
    <row r="706" spans="2:4" x14ac:dyDescent="0.25">
      <c r="B706" s="3" t="s">
        <v>3574</v>
      </c>
    </row>
    <row r="707" spans="2:4" x14ac:dyDescent="0.25">
      <c r="B707" s="3" t="s">
        <v>2699</v>
      </c>
      <c r="C707" s="4">
        <v>0.85</v>
      </c>
      <c r="D707" s="6" t="s">
        <v>2914</v>
      </c>
    </row>
    <row r="708" spans="2:4" x14ac:dyDescent="0.25">
      <c r="B708" s="3" t="s">
        <v>3575</v>
      </c>
      <c r="D708" s="6"/>
    </row>
    <row r="709" spans="2:4" x14ac:dyDescent="0.25">
      <c r="B709" s="3" t="s">
        <v>3576</v>
      </c>
      <c r="D709" s="6"/>
    </row>
    <row r="710" spans="2:4" x14ac:dyDescent="0.25">
      <c r="B710" s="3" t="s">
        <v>3577</v>
      </c>
      <c r="D710" s="6"/>
    </row>
    <row r="711" spans="2:4" x14ac:dyDescent="0.25">
      <c r="B711" s="3" t="s">
        <v>3578</v>
      </c>
      <c r="D711" s="6"/>
    </row>
    <row r="712" spans="2:4" x14ac:dyDescent="0.25">
      <c r="B712" s="3" t="s">
        <v>3579</v>
      </c>
      <c r="D712" s="6"/>
    </row>
    <row r="713" spans="2:4" x14ac:dyDescent="0.25">
      <c r="B713" s="3" t="s">
        <v>3580</v>
      </c>
      <c r="D713" s="6"/>
    </row>
    <row r="714" spans="2:4" x14ac:dyDescent="0.25">
      <c r="B714" s="3" t="s">
        <v>3581</v>
      </c>
      <c r="D714" s="6"/>
    </row>
    <row r="715" spans="2:4" x14ac:dyDescent="0.25">
      <c r="B715" s="3" t="s">
        <v>3582</v>
      </c>
      <c r="D715" s="6"/>
    </row>
    <row r="716" spans="2:4" x14ac:dyDescent="0.25">
      <c r="B716" s="3" t="s">
        <v>3583</v>
      </c>
      <c r="D716" s="6"/>
    </row>
    <row r="717" spans="2:4" x14ac:dyDescent="0.25">
      <c r="B717" s="3" t="s">
        <v>3584</v>
      </c>
      <c r="D717" s="6"/>
    </row>
    <row r="718" spans="2:4" x14ac:dyDescent="0.25">
      <c r="B718" s="3" t="s">
        <v>3585</v>
      </c>
      <c r="D718" s="6"/>
    </row>
    <row r="719" spans="2:4" x14ac:dyDescent="0.25">
      <c r="B719" s="3" t="s">
        <v>3586</v>
      </c>
      <c r="D719" s="6"/>
    </row>
    <row r="720" spans="2:4" x14ac:dyDescent="0.25">
      <c r="B720" s="3" t="s">
        <v>3587</v>
      </c>
      <c r="D720" s="6"/>
    </row>
    <row r="721" spans="2:27" x14ac:dyDescent="0.25">
      <c r="B721" s="3" t="s">
        <v>3588</v>
      </c>
      <c r="D721" s="6"/>
    </row>
    <row r="722" spans="2:27" x14ac:dyDescent="0.25">
      <c r="B722" s="3" t="s">
        <v>3589</v>
      </c>
      <c r="D722" s="6"/>
    </row>
    <row r="723" spans="2:27" x14ac:dyDescent="0.25">
      <c r="B723" s="3" t="s">
        <v>3590</v>
      </c>
      <c r="D723" s="6"/>
    </row>
    <row r="724" spans="2:27" x14ac:dyDescent="0.25">
      <c r="B724" s="3" t="s">
        <v>2700</v>
      </c>
      <c r="C724" s="4">
        <v>10</v>
      </c>
      <c r="D724" s="4">
        <v>10</v>
      </c>
    </row>
    <row r="725" spans="2:27" x14ac:dyDescent="0.25">
      <c r="B725" s="3" t="s">
        <v>3591</v>
      </c>
    </row>
    <row r="726" spans="2:27" x14ac:dyDescent="0.25">
      <c r="B726" s="3" t="s">
        <v>2701</v>
      </c>
      <c r="C726" s="4">
        <v>5</v>
      </c>
      <c r="D726" s="4">
        <v>1</v>
      </c>
    </row>
    <row r="727" spans="2:27" x14ac:dyDescent="0.25">
      <c r="B727" s="3" t="s">
        <v>2702</v>
      </c>
      <c r="C727" s="4">
        <v>6</v>
      </c>
      <c r="D727" s="4">
        <v>0.5</v>
      </c>
    </row>
    <row r="728" spans="2:27" x14ac:dyDescent="0.25">
      <c r="B728" s="3" t="s">
        <v>3592</v>
      </c>
      <c r="M728" s="4"/>
      <c r="AA728" s="4"/>
    </row>
    <row r="729" spans="2:27" x14ac:dyDescent="0.25">
      <c r="B729" s="3" t="s">
        <v>3593</v>
      </c>
      <c r="M729" s="4"/>
      <c r="AA729" s="4"/>
    </row>
    <row r="730" spans="2:27" x14ac:dyDescent="0.25">
      <c r="M730" s="4"/>
      <c r="AA730" s="4"/>
    </row>
    <row r="731" spans="2:27" x14ac:dyDescent="0.25">
      <c r="B731" s="107" t="s">
        <v>3595</v>
      </c>
      <c r="M731" s="4"/>
      <c r="AA731" s="4"/>
    </row>
    <row r="732" spans="2:27" x14ac:dyDescent="0.25">
      <c r="B732" s="107" t="s">
        <v>3596</v>
      </c>
      <c r="M732" s="4"/>
      <c r="AA732" s="4"/>
    </row>
    <row r="733" spans="2:27" x14ac:dyDescent="0.25">
      <c r="B733" s="3" t="s">
        <v>2987</v>
      </c>
      <c r="C733" s="4">
        <v>1.5</v>
      </c>
      <c r="D733" s="4">
        <v>1</v>
      </c>
      <c r="K733" s="4">
        <v>1</v>
      </c>
      <c r="L733" s="8" t="s">
        <v>3047</v>
      </c>
    </row>
    <row r="734" spans="2:27" x14ac:dyDescent="0.25">
      <c r="B734" s="3" t="s">
        <v>2988</v>
      </c>
      <c r="C734" s="4">
        <v>2.5</v>
      </c>
      <c r="D734" s="6" t="s">
        <v>2488</v>
      </c>
      <c r="K734" s="4">
        <v>3</v>
      </c>
      <c r="L734" s="8" t="s">
        <v>3047</v>
      </c>
    </row>
    <row r="735" spans="2:27" x14ac:dyDescent="0.25">
      <c r="B735" s="3" t="s">
        <v>2703</v>
      </c>
      <c r="C735" s="4">
        <v>0.45</v>
      </c>
      <c r="D735" s="4">
        <v>0.5</v>
      </c>
      <c r="F735" s="4" t="s">
        <v>2142</v>
      </c>
      <c r="G735" s="4">
        <v>1</v>
      </c>
      <c r="H735" s="4" t="s">
        <v>2142</v>
      </c>
      <c r="I735" s="4">
        <v>40</v>
      </c>
      <c r="K735" s="4">
        <v>3</v>
      </c>
      <c r="L735" s="8" t="s">
        <v>2129</v>
      </c>
    </row>
    <row r="736" spans="2:27" x14ac:dyDescent="0.25">
      <c r="B736" s="3" t="s">
        <v>2704</v>
      </c>
      <c r="C736" s="4">
        <v>2.95</v>
      </c>
      <c r="D736" s="4">
        <v>3</v>
      </c>
      <c r="K736" s="4">
        <v>3</v>
      </c>
      <c r="L736" s="8" t="s">
        <v>3050</v>
      </c>
    </row>
    <row r="737" spans="2:12" x14ac:dyDescent="0.25">
      <c r="B737" s="3" t="s">
        <v>2705</v>
      </c>
      <c r="C737" s="4">
        <v>2</v>
      </c>
      <c r="D737" s="6" t="s">
        <v>2529</v>
      </c>
      <c r="F737" s="4" t="s">
        <v>2140</v>
      </c>
      <c r="G737" s="4">
        <v>0.95</v>
      </c>
      <c r="H737" s="4" t="s">
        <v>2138</v>
      </c>
      <c r="I737" s="4">
        <v>40</v>
      </c>
      <c r="K737" s="4">
        <v>2</v>
      </c>
      <c r="L737" s="8" t="s">
        <v>3050</v>
      </c>
    </row>
    <row r="738" spans="2:12" x14ac:dyDescent="0.25">
      <c r="B738" s="3" t="s">
        <v>3743</v>
      </c>
      <c r="C738" s="4">
        <v>2</v>
      </c>
      <c r="D738" s="6">
        <v>4.2</v>
      </c>
      <c r="F738" s="4" t="s">
        <v>2140</v>
      </c>
      <c r="G738" s="4">
        <v>0.95</v>
      </c>
      <c r="H738" s="4" t="s">
        <v>2138</v>
      </c>
      <c r="I738" s="4">
        <v>40</v>
      </c>
      <c r="K738" s="4">
        <v>2</v>
      </c>
      <c r="L738" s="8" t="s">
        <v>3050</v>
      </c>
    </row>
    <row r="739" spans="2:12" x14ac:dyDescent="0.25">
      <c r="B739" s="3" t="s">
        <v>2706</v>
      </c>
      <c r="C739" s="6" t="s">
        <v>2909</v>
      </c>
      <c r="D739" s="6" t="s">
        <v>2529</v>
      </c>
      <c r="K739" s="4">
        <v>2</v>
      </c>
      <c r="L739" s="8" t="s">
        <v>3050</v>
      </c>
    </row>
    <row r="740" spans="2:12" x14ac:dyDescent="0.25">
      <c r="B740" s="3" t="s">
        <v>2707</v>
      </c>
      <c r="C740" s="4">
        <v>2.65</v>
      </c>
      <c r="D740" s="4">
        <v>4</v>
      </c>
      <c r="K740" s="4">
        <v>3</v>
      </c>
      <c r="L740" s="8" t="s">
        <v>3051</v>
      </c>
    </row>
    <row r="741" spans="2:12" x14ac:dyDescent="0.25">
      <c r="B741" s="3" t="s">
        <v>2711</v>
      </c>
      <c r="C741" s="6" t="s">
        <v>2975</v>
      </c>
      <c r="D741" s="4">
        <v>3</v>
      </c>
      <c r="K741" s="4">
        <v>2</v>
      </c>
      <c r="L741" s="8" t="s">
        <v>3057</v>
      </c>
    </row>
    <row r="742" spans="2:12" x14ac:dyDescent="0.25">
      <c r="B742" s="3" t="s">
        <v>2712</v>
      </c>
      <c r="C742" s="4">
        <v>6.5</v>
      </c>
      <c r="D742" s="6" t="s">
        <v>2917</v>
      </c>
      <c r="K742" s="4">
        <v>2</v>
      </c>
      <c r="L742" s="8" t="s">
        <v>3012</v>
      </c>
    </row>
    <row r="743" spans="2:12" x14ac:dyDescent="0.25">
      <c r="B743" s="3" t="s">
        <v>3744</v>
      </c>
      <c r="C743" s="4">
        <v>6.5</v>
      </c>
      <c r="D743" s="6">
        <v>3.4</v>
      </c>
      <c r="F743" s="4" t="s">
        <v>2140</v>
      </c>
      <c r="G743" s="4">
        <v>0.95</v>
      </c>
      <c r="H743" s="4" t="s">
        <v>2138</v>
      </c>
      <c r="I743" s="4">
        <v>35</v>
      </c>
      <c r="K743" s="4">
        <v>2</v>
      </c>
      <c r="L743" s="8" t="s">
        <v>3012</v>
      </c>
    </row>
    <row r="744" spans="2:12" x14ac:dyDescent="0.25">
      <c r="B744" s="3" t="s">
        <v>3594</v>
      </c>
      <c r="C744" s="6" t="s">
        <v>2976</v>
      </c>
      <c r="D744" s="4">
        <v>0.5</v>
      </c>
      <c r="K744" s="4">
        <v>1</v>
      </c>
      <c r="L744" s="8" t="s">
        <v>2125</v>
      </c>
    </row>
    <row r="745" spans="2:12" x14ac:dyDescent="0.25">
      <c r="B745" s="3" t="s">
        <v>3745</v>
      </c>
      <c r="C745" s="6">
        <v>1.24</v>
      </c>
      <c r="D745" s="4">
        <v>0.5</v>
      </c>
      <c r="F745" s="4" t="s">
        <v>2138</v>
      </c>
      <c r="G745" s="4">
        <v>1</v>
      </c>
      <c r="H745" s="4" t="s">
        <v>2138</v>
      </c>
      <c r="I745" s="4">
        <v>30</v>
      </c>
      <c r="K745" s="4">
        <v>1</v>
      </c>
      <c r="L745" s="8" t="s">
        <v>2125</v>
      </c>
    </row>
    <row r="746" spans="2:12" x14ac:dyDescent="0.25">
      <c r="B746" s="3" t="s">
        <v>2713</v>
      </c>
      <c r="C746" s="4">
        <v>0.87</v>
      </c>
      <c r="D746" s="4">
        <v>0.25</v>
      </c>
      <c r="K746" s="4">
        <v>3</v>
      </c>
      <c r="L746" s="8" t="s">
        <v>3059</v>
      </c>
    </row>
    <row r="747" spans="2:12" x14ac:dyDescent="0.25">
      <c r="B747" s="3" t="s">
        <v>2714</v>
      </c>
      <c r="C747" s="6" t="s">
        <v>3006</v>
      </c>
      <c r="D747" s="4">
        <v>0.25</v>
      </c>
      <c r="E747" s="6"/>
      <c r="K747" s="4">
        <v>3</v>
      </c>
      <c r="L747" s="8" t="s">
        <v>3059</v>
      </c>
    </row>
    <row r="748" spans="2:12" x14ac:dyDescent="0.25">
      <c r="B748" s="3" t="s">
        <v>3746</v>
      </c>
      <c r="C748" s="6">
        <v>0.31</v>
      </c>
      <c r="D748" s="4">
        <v>0.25</v>
      </c>
      <c r="E748" s="6"/>
      <c r="F748" s="4" t="s">
        <v>2142</v>
      </c>
      <c r="G748" s="4">
        <v>0.95</v>
      </c>
      <c r="H748" s="4" t="s">
        <v>2138</v>
      </c>
      <c r="I748" s="4">
        <v>45</v>
      </c>
      <c r="K748" s="4">
        <v>3</v>
      </c>
      <c r="L748" s="8" t="s">
        <v>3059</v>
      </c>
    </row>
    <row r="749" spans="2:12" x14ac:dyDescent="0.25">
      <c r="B749" s="3" t="s">
        <v>2715</v>
      </c>
      <c r="C749" s="6" t="s">
        <v>2930</v>
      </c>
      <c r="D749" s="6" t="s">
        <v>2977</v>
      </c>
      <c r="K749" s="4">
        <v>2</v>
      </c>
      <c r="L749" s="8" t="s">
        <v>2124</v>
      </c>
    </row>
    <row r="750" spans="2:12" x14ac:dyDescent="0.25">
      <c r="B750" s="3" t="s">
        <v>2716</v>
      </c>
      <c r="C750" s="4">
        <v>1</v>
      </c>
      <c r="D750" s="6" t="s">
        <v>2977</v>
      </c>
      <c r="F750" s="4" t="s">
        <v>2140</v>
      </c>
      <c r="G750" s="4">
        <v>0.98</v>
      </c>
      <c r="H750" s="4" t="s">
        <v>2138</v>
      </c>
      <c r="I750" s="4">
        <v>30</v>
      </c>
      <c r="K750" s="4">
        <v>2</v>
      </c>
      <c r="L750" s="8" t="s">
        <v>2124</v>
      </c>
    </row>
    <row r="751" spans="2:12" x14ac:dyDescent="0.25">
      <c r="B751" s="3" t="s">
        <v>3003</v>
      </c>
      <c r="C751" s="4">
        <v>1</v>
      </c>
      <c r="D751" s="6">
        <v>1.42</v>
      </c>
      <c r="F751" s="4" t="s">
        <v>2140</v>
      </c>
      <c r="G751" s="4">
        <v>0.98</v>
      </c>
      <c r="H751" s="4" t="s">
        <v>2138</v>
      </c>
      <c r="I751" s="4">
        <v>30</v>
      </c>
      <c r="K751" s="4">
        <v>2</v>
      </c>
      <c r="L751" s="8" t="s">
        <v>2124</v>
      </c>
    </row>
    <row r="752" spans="2:12" x14ac:dyDescent="0.25">
      <c r="B752" s="3" t="s">
        <v>2717</v>
      </c>
      <c r="C752" s="4">
        <v>1.5</v>
      </c>
      <c r="D752" s="4">
        <v>3</v>
      </c>
      <c r="K752" s="4">
        <v>2</v>
      </c>
      <c r="L752" s="8" t="s">
        <v>2124</v>
      </c>
    </row>
    <row r="753" spans="2:12" x14ac:dyDescent="0.25">
      <c r="B753" s="3" t="s">
        <v>2718</v>
      </c>
      <c r="C753" s="4">
        <v>5</v>
      </c>
      <c r="D753" s="4">
        <v>2</v>
      </c>
      <c r="K753" s="4">
        <v>2</v>
      </c>
      <c r="L753" s="8" t="s">
        <v>2124</v>
      </c>
    </row>
    <row r="754" spans="2:12" x14ac:dyDescent="0.25">
      <c r="B754" s="3" t="s">
        <v>2719</v>
      </c>
      <c r="C754" s="4">
        <v>3.5</v>
      </c>
      <c r="D754" s="4">
        <v>2</v>
      </c>
      <c r="K754" s="4">
        <v>1</v>
      </c>
      <c r="L754" s="8" t="s">
        <v>2124</v>
      </c>
    </row>
    <row r="755" spans="2:12" x14ac:dyDescent="0.25">
      <c r="B755" s="3" t="s">
        <v>2720</v>
      </c>
      <c r="C755" s="4">
        <v>0.75</v>
      </c>
      <c r="D755" s="4">
        <v>1.5</v>
      </c>
      <c r="K755" s="4">
        <v>1</v>
      </c>
      <c r="L755" s="8" t="s">
        <v>3056</v>
      </c>
    </row>
    <row r="756" spans="2:12" x14ac:dyDescent="0.25">
      <c r="B756" s="3" t="s">
        <v>2721</v>
      </c>
      <c r="C756" s="4">
        <v>1.5</v>
      </c>
      <c r="D756" s="4">
        <v>1.5</v>
      </c>
      <c r="K756" s="4">
        <v>2</v>
      </c>
      <c r="L756" s="8" t="s">
        <v>3056</v>
      </c>
    </row>
    <row r="757" spans="2:12" x14ac:dyDescent="0.25">
      <c r="B757" s="3" t="s">
        <v>2722</v>
      </c>
      <c r="C757" s="4">
        <v>1.5</v>
      </c>
      <c r="D757" s="4">
        <v>2</v>
      </c>
      <c r="K757" s="4">
        <v>1</v>
      </c>
      <c r="L757" s="8" t="s">
        <v>3058</v>
      </c>
    </row>
    <row r="758" spans="2:12" x14ac:dyDescent="0.25">
      <c r="B758" s="3" t="s">
        <v>2723</v>
      </c>
      <c r="C758" s="6" t="s">
        <v>2978</v>
      </c>
      <c r="D758" s="4">
        <v>1</v>
      </c>
      <c r="K758" s="4">
        <v>1</v>
      </c>
      <c r="L758" s="8" t="s">
        <v>3056</v>
      </c>
    </row>
    <row r="759" spans="2:12" x14ac:dyDescent="0.25">
      <c r="B759" s="3" t="s">
        <v>3747</v>
      </c>
      <c r="C759" s="6">
        <v>1.25</v>
      </c>
      <c r="D759" s="4">
        <v>1</v>
      </c>
      <c r="F759" s="4" t="s">
        <v>2138</v>
      </c>
      <c r="G759" s="4">
        <v>0.95</v>
      </c>
      <c r="H759" s="4" t="s">
        <v>2138</v>
      </c>
      <c r="I759" s="4">
        <v>25</v>
      </c>
      <c r="K759" s="4">
        <v>1</v>
      </c>
      <c r="L759" s="8" t="s">
        <v>3056</v>
      </c>
    </row>
    <row r="760" spans="2:12" x14ac:dyDescent="0.25">
      <c r="B760" s="3" t="s">
        <v>2724</v>
      </c>
      <c r="C760" s="6" t="s">
        <v>2940</v>
      </c>
      <c r="D760" s="4">
        <v>1</v>
      </c>
      <c r="K760" s="4">
        <v>1</v>
      </c>
      <c r="L760" s="8" t="s">
        <v>3056</v>
      </c>
    </row>
    <row r="761" spans="2:12" x14ac:dyDescent="0.25">
      <c r="B761" s="3" t="s">
        <v>2725</v>
      </c>
      <c r="C761" s="6" t="s">
        <v>2930</v>
      </c>
      <c r="D761" s="4">
        <v>1</v>
      </c>
      <c r="K761" s="4">
        <v>2</v>
      </c>
      <c r="L761" s="8" t="s">
        <v>3056</v>
      </c>
    </row>
    <row r="762" spans="2:12" x14ac:dyDescent="0.25">
      <c r="B762" s="3" t="s">
        <v>2983</v>
      </c>
      <c r="C762" s="6" t="s">
        <v>3004</v>
      </c>
      <c r="D762" s="4">
        <v>0.5</v>
      </c>
      <c r="K762" s="4">
        <v>3</v>
      </c>
      <c r="L762" s="8" t="s">
        <v>3050</v>
      </c>
    </row>
    <row r="763" spans="2:12" x14ac:dyDescent="0.25">
      <c r="B763" s="3" t="s">
        <v>2984</v>
      </c>
      <c r="C763" s="6" t="s">
        <v>3005</v>
      </c>
      <c r="D763" s="4">
        <v>0.5</v>
      </c>
      <c r="K763" s="4">
        <v>2</v>
      </c>
      <c r="L763" s="8" t="s">
        <v>3050</v>
      </c>
    </row>
    <row r="764" spans="2:12" x14ac:dyDescent="0.25">
      <c r="B764" s="3" t="s">
        <v>3748</v>
      </c>
      <c r="C764" s="6">
        <v>0.73</v>
      </c>
      <c r="D764" s="4">
        <v>0.5</v>
      </c>
      <c r="F764" s="4" t="s">
        <v>2140</v>
      </c>
      <c r="G764" s="4">
        <v>0.95</v>
      </c>
      <c r="H764" s="4" t="s">
        <v>2138</v>
      </c>
      <c r="I764" s="4">
        <v>30</v>
      </c>
      <c r="K764" s="4">
        <v>2</v>
      </c>
      <c r="L764" s="8" t="s">
        <v>3050</v>
      </c>
    </row>
    <row r="765" spans="2:12" x14ac:dyDescent="0.25">
      <c r="B765" s="3" t="s">
        <v>2726</v>
      </c>
      <c r="C765" s="4">
        <f>0.75/2</f>
        <v>0.375</v>
      </c>
      <c r="D765" s="4">
        <v>0.25</v>
      </c>
      <c r="K765" s="4">
        <v>3</v>
      </c>
      <c r="L765" s="8" t="s">
        <v>3050</v>
      </c>
    </row>
    <row r="766" spans="2:12" x14ac:dyDescent="0.25">
      <c r="B766" s="3" t="s">
        <v>2727</v>
      </c>
      <c r="C766" s="4">
        <v>0.25</v>
      </c>
      <c r="D766" s="4">
        <v>0.25</v>
      </c>
      <c r="K766" s="4">
        <v>3</v>
      </c>
      <c r="L766" s="8" t="s">
        <v>3050</v>
      </c>
    </row>
    <row r="767" spans="2:12" x14ac:dyDescent="0.25">
      <c r="B767" s="3" t="s">
        <v>2728</v>
      </c>
      <c r="C767" s="6" t="s">
        <v>2979</v>
      </c>
      <c r="D767" s="6" t="s">
        <v>2488</v>
      </c>
      <c r="K767" s="4">
        <v>2</v>
      </c>
      <c r="L767" s="8" t="s">
        <v>3052</v>
      </c>
    </row>
    <row r="768" spans="2:12" x14ac:dyDescent="0.25">
      <c r="B768" s="3" t="s">
        <v>2729</v>
      </c>
      <c r="C768" s="4">
        <v>1.1499999999999999</v>
      </c>
      <c r="D768" s="4">
        <v>2</v>
      </c>
      <c r="F768" s="4" t="s">
        <v>2140</v>
      </c>
      <c r="G768" s="4">
        <v>1</v>
      </c>
      <c r="H768" s="4" t="s">
        <v>2140</v>
      </c>
      <c r="I768" s="4">
        <v>40</v>
      </c>
      <c r="K768" s="4">
        <v>2</v>
      </c>
      <c r="L768" s="8" t="s">
        <v>3052</v>
      </c>
    </row>
    <row r="769" spans="2:27" x14ac:dyDescent="0.25">
      <c r="B769" s="3" t="s">
        <v>2730</v>
      </c>
      <c r="C769" s="4">
        <v>0.85</v>
      </c>
      <c r="D769" s="4">
        <v>2.5</v>
      </c>
      <c r="K769" s="4">
        <v>2</v>
      </c>
      <c r="L769" s="8" t="s">
        <v>3053</v>
      </c>
    </row>
    <row r="770" spans="2:27" x14ac:dyDescent="0.25">
      <c r="B770" s="3" t="s">
        <v>2731</v>
      </c>
      <c r="C770" s="6" t="s">
        <v>2980</v>
      </c>
      <c r="D770" s="4">
        <v>4</v>
      </c>
      <c r="K770" s="4">
        <v>1</v>
      </c>
      <c r="L770" s="8" t="s">
        <v>3058</v>
      </c>
    </row>
    <row r="771" spans="2:27" x14ac:dyDescent="0.25">
      <c r="B771" s="3" t="s">
        <v>2732</v>
      </c>
      <c r="C771" s="4">
        <v>2.5</v>
      </c>
      <c r="D771" s="4">
        <v>1</v>
      </c>
      <c r="F771" s="4" t="s">
        <v>2140</v>
      </c>
      <c r="G771" s="4">
        <v>0.95</v>
      </c>
      <c r="H771" s="4" t="s">
        <v>2138</v>
      </c>
      <c r="I771" s="4">
        <v>35</v>
      </c>
      <c r="K771" s="4">
        <v>2</v>
      </c>
      <c r="L771" s="8" t="s">
        <v>3012</v>
      </c>
    </row>
    <row r="772" spans="2:27" x14ac:dyDescent="0.25">
      <c r="B772" s="3" t="s">
        <v>2733</v>
      </c>
      <c r="C772" s="4">
        <v>2.75</v>
      </c>
      <c r="D772" s="4">
        <v>3</v>
      </c>
      <c r="F772" s="4" t="s">
        <v>2142</v>
      </c>
      <c r="G772" s="4">
        <v>0.95</v>
      </c>
      <c r="H772" s="4" t="s">
        <v>2138</v>
      </c>
      <c r="I772" s="4">
        <v>40</v>
      </c>
      <c r="K772" s="4">
        <v>3</v>
      </c>
      <c r="L772" s="8" t="s">
        <v>3012</v>
      </c>
    </row>
    <row r="773" spans="2:27" x14ac:dyDescent="0.25">
      <c r="B773" s="3" t="s">
        <v>2734</v>
      </c>
      <c r="C773" s="6" t="s">
        <v>2981</v>
      </c>
      <c r="D773" s="6" t="s">
        <v>2529</v>
      </c>
      <c r="K773" s="4">
        <v>1</v>
      </c>
      <c r="L773" s="8" t="s">
        <v>3012</v>
      </c>
    </row>
    <row r="774" spans="2:27" x14ac:dyDescent="0.25">
      <c r="M774" s="4"/>
      <c r="AA774" s="4"/>
    </row>
    <row r="775" spans="2:27" x14ac:dyDescent="0.25">
      <c r="B775" s="107" t="s">
        <v>3623</v>
      </c>
      <c r="M775" s="4"/>
      <c r="AA775" s="4"/>
    </row>
    <row r="776" spans="2:27" x14ac:dyDescent="0.25">
      <c r="B776" s="3" t="s">
        <v>2982</v>
      </c>
      <c r="C776" s="4">
        <v>0.75</v>
      </c>
      <c r="D776" s="4">
        <v>1</v>
      </c>
      <c r="K776" s="4">
        <v>1</v>
      </c>
      <c r="L776" s="8" t="s">
        <v>3047</v>
      </c>
    </row>
    <row r="777" spans="2:27" x14ac:dyDescent="0.25">
      <c r="B777" s="3" t="s">
        <v>2735</v>
      </c>
      <c r="C777" s="4">
        <v>0.5</v>
      </c>
      <c r="D777" s="4">
        <v>1</v>
      </c>
      <c r="K777" s="4">
        <v>1</v>
      </c>
      <c r="L777" s="8" t="s">
        <v>2124</v>
      </c>
    </row>
    <row r="778" spans="2:27" x14ac:dyDescent="0.25">
      <c r="B778" s="3" t="s">
        <v>2736</v>
      </c>
      <c r="C778" s="4">
        <v>0.35</v>
      </c>
      <c r="D778" s="4">
        <v>0.75</v>
      </c>
      <c r="K778" s="4">
        <v>1</v>
      </c>
      <c r="L778" s="8" t="s">
        <v>2124</v>
      </c>
    </row>
    <row r="779" spans="2:27" x14ac:dyDescent="0.25">
      <c r="B779" s="3" t="s">
        <v>2737</v>
      </c>
      <c r="C779" s="4">
        <v>1.5</v>
      </c>
      <c r="D779" s="4">
        <v>0.5</v>
      </c>
      <c r="K779" s="4">
        <v>1</v>
      </c>
      <c r="L779" s="8" t="s">
        <v>2124</v>
      </c>
    </row>
    <row r="780" spans="2:27" x14ac:dyDescent="0.25">
      <c r="B780" s="3" t="s">
        <v>2738</v>
      </c>
      <c r="C780" s="4">
        <v>7.5</v>
      </c>
      <c r="D780" s="4">
        <v>7</v>
      </c>
      <c r="F780" s="4" t="s">
        <v>2140</v>
      </c>
      <c r="G780" s="4">
        <v>1</v>
      </c>
      <c r="H780" s="4" t="s">
        <v>2140</v>
      </c>
      <c r="I780" s="4">
        <v>40</v>
      </c>
      <c r="K780" s="4">
        <v>2</v>
      </c>
      <c r="L780" s="8" t="s">
        <v>3013</v>
      </c>
    </row>
    <row r="781" spans="2:27" x14ac:dyDescent="0.25">
      <c r="B781" s="3" t="s">
        <v>2739</v>
      </c>
      <c r="C781" s="4">
        <v>4.5</v>
      </c>
      <c r="D781" s="4">
        <v>3</v>
      </c>
      <c r="F781" s="4" t="s">
        <v>2138</v>
      </c>
      <c r="G781" s="4">
        <v>1</v>
      </c>
      <c r="H781" s="4" t="s">
        <v>2138</v>
      </c>
      <c r="I781" s="4">
        <v>35</v>
      </c>
      <c r="K781" s="4">
        <v>1</v>
      </c>
      <c r="L781" s="8" t="s">
        <v>3013</v>
      </c>
    </row>
    <row r="782" spans="2:27" x14ac:dyDescent="0.25">
      <c r="B782" s="3" t="s">
        <v>2740</v>
      </c>
      <c r="C782" s="4">
        <v>1.5</v>
      </c>
      <c r="D782" s="6" t="s">
        <v>2968</v>
      </c>
      <c r="K782" s="4">
        <v>1</v>
      </c>
      <c r="L782" s="8" t="s">
        <v>3053</v>
      </c>
    </row>
    <row r="783" spans="2:27" x14ac:dyDescent="0.25">
      <c r="B783" s="3" t="s">
        <v>2741</v>
      </c>
      <c r="C783" s="4">
        <v>2.25</v>
      </c>
      <c r="D783" s="6" t="s">
        <v>2968</v>
      </c>
      <c r="K783" s="4">
        <v>1</v>
      </c>
      <c r="L783" s="8" t="s">
        <v>3053</v>
      </c>
    </row>
    <row r="784" spans="2:27" x14ac:dyDescent="0.25">
      <c r="B784" s="3" t="s">
        <v>2742</v>
      </c>
      <c r="C784" s="6" t="s">
        <v>2989</v>
      </c>
      <c r="D784" s="6" t="s">
        <v>2968</v>
      </c>
      <c r="K784" s="4">
        <v>1</v>
      </c>
      <c r="L784" s="8" t="s">
        <v>3053</v>
      </c>
    </row>
    <row r="785" spans="2:12" x14ac:dyDescent="0.25">
      <c r="B785" s="3" t="s">
        <v>2743</v>
      </c>
      <c r="C785" s="6" t="s">
        <v>2990</v>
      </c>
      <c r="D785" s="6" t="s">
        <v>2968</v>
      </c>
      <c r="K785" s="4">
        <v>1</v>
      </c>
      <c r="L785" s="8" t="s">
        <v>3053</v>
      </c>
    </row>
    <row r="786" spans="2:12" x14ac:dyDescent="0.25">
      <c r="B786" s="3" t="s">
        <v>2744</v>
      </c>
      <c r="C786" s="6" t="s">
        <v>2991</v>
      </c>
      <c r="D786" s="6" t="s">
        <v>2961</v>
      </c>
      <c r="K786" s="4">
        <v>2</v>
      </c>
      <c r="L786" s="8" t="s">
        <v>3052</v>
      </c>
    </row>
    <row r="787" spans="2:12" x14ac:dyDescent="0.25">
      <c r="B787" s="3" t="s">
        <v>2745</v>
      </c>
      <c r="C787" s="4">
        <v>1.5</v>
      </c>
      <c r="D787" s="4">
        <v>0.25</v>
      </c>
      <c r="K787" s="4">
        <v>1</v>
      </c>
      <c r="L787" s="8" t="s">
        <v>3054</v>
      </c>
    </row>
    <row r="788" spans="2:12" x14ac:dyDescent="0.25">
      <c r="B788" s="3" t="s">
        <v>2746</v>
      </c>
      <c r="C788" s="4">
        <v>1</v>
      </c>
      <c r="D788" s="4">
        <v>0.15</v>
      </c>
      <c r="F788" s="4" t="s">
        <v>2142</v>
      </c>
      <c r="G788" s="4">
        <v>0.98</v>
      </c>
      <c r="H788" s="4" t="s">
        <v>2138</v>
      </c>
      <c r="I788" s="4">
        <v>60</v>
      </c>
      <c r="K788" s="4">
        <v>3</v>
      </c>
      <c r="L788" s="8" t="s">
        <v>3059</v>
      </c>
    </row>
    <row r="789" spans="2:12" x14ac:dyDescent="0.25">
      <c r="B789" s="3" t="s">
        <v>2747</v>
      </c>
      <c r="C789" s="4">
        <v>1.25</v>
      </c>
      <c r="D789" s="4">
        <v>0.25</v>
      </c>
      <c r="F789" s="4" t="s">
        <v>2140</v>
      </c>
      <c r="G789" s="4">
        <v>0.95</v>
      </c>
      <c r="H789" s="4" t="s">
        <v>2138</v>
      </c>
      <c r="I789" s="4">
        <v>50</v>
      </c>
      <c r="K789" s="4">
        <v>2</v>
      </c>
      <c r="L789" s="8" t="s">
        <v>3059</v>
      </c>
    </row>
    <row r="790" spans="2:12" x14ac:dyDescent="0.25">
      <c r="B790" s="3" t="s">
        <v>2749</v>
      </c>
      <c r="C790" s="4">
        <v>2.25</v>
      </c>
      <c r="D790" s="4">
        <v>0.75</v>
      </c>
      <c r="K790" s="4">
        <v>1</v>
      </c>
      <c r="L790" s="8" t="s">
        <v>3048</v>
      </c>
    </row>
    <row r="791" spans="2:12" x14ac:dyDescent="0.25">
      <c r="B791" s="3" t="s">
        <v>2750</v>
      </c>
      <c r="C791" s="4">
        <v>1</v>
      </c>
      <c r="D791" s="6" t="s">
        <v>2918</v>
      </c>
      <c r="K791" s="4">
        <v>1</v>
      </c>
      <c r="L791" s="8" t="s">
        <v>3048</v>
      </c>
    </row>
    <row r="792" spans="2:12" x14ac:dyDescent="0.25">
      <c r="B792" s="3" t="s">
        <v>2751</v>
      </c>
      <c r="C792" s="4">
        <v>5</v>
      </c>
      <c r="D792" s="6" t="s">
        <v>2992</v>
      </c>
      <c r="K792" s="4">
        <v>1</v>
      </c>
      <c r="L792" s="8" t="s">
        <v>3052</v>
      </c>
    </row>
    <row r="793" spans="2:12" x14ac:dyDescent="0.25">
      <c r="B793" s="3" t="s">
        <v>2754</v>
      </c>
      <c r="C793" s="4">
        <v>0.75</v>
      </c>
      <c r="D793" s="4">
        <v>1.5</v>
      </c>
      <c r="F793" s="4" t="s">
        <v>2140</v>
      </c>
      <c r="G793" s="4">
        <v>0.95</v>
      </c>
      <c r="H793" s="4" t="s">
        <v>2138</v>
      </c>
      <c r="I793" s="4">
        <v>30</v>
      </c>
      <c r="K793" s="4">
        <v>2</v>
      </c>
      <c r="L793" s="8" t="s">
        <v>3055</v>
      </c>
    </row>
    <row r="794" spans="2:12" x14ac:dyDescent="0.25">
      <c r="B794" s="3" t="s">
        <v>2755</v>
      </c>
      <c r="C794" s="4">
        <v>0.35</v>
      </c>
      <c r="D794" s="4">
        <v>1</v>
      </c>
      <c r="F794" s="4" t="s">
        <v>2138</v>
      </c>
      <c r="G794" s="4">
        <v>0.95</v>
      </c>
      <c r="H794" s="4" t="s">
        <v>2138</v>
      </c>
      <c r="I794" s="4">
        <v>35</v>
      </c>
      <c r="K794" s="4">
        <v>1</v>
      </c>
      <c r="L794" s="8" t="s">
        <v>3055</v>
      </c>
    </row>
    <row r="795" spans="2:12" x14ac:dyDescent="0.25">
      <c r="B795" s="3" t="s">
        <v>2756</v>
      </c>
      <c r="C795" s="6" t="s">
        <v>2993</v>
      </c>
      <c r="D795" s="4">
        <v>1</v>
      </c>
      <c r="F795" s="4" t="s">
        <v>2138</v>
      </c>
      <c r="G795" s="4">
        <v>0.95</v>
      </c>
      <c r="H795" s="4" t="s">
        <v>2138</v>
      </c>
      <c r="I795" s="4">
        <v>45</v>
      </c>
      <c r="K795" s="4">
        <v>1</v>
      </c>
      <c r="L795" s="8" t="s">
        <v>3055</v>
      </c>
    </row>
    <row r="796" spans="2:12" x14ac:dyDescent="0.25">
      <c r="B796" s="3" t="s">
        <v>2757</v>
      </c>
      <c r="C796" s="4">
        <v>2</v>
      </c>
      <c r="D796" s="4">
        <v>1.5</v>
      </c>
      <c r="F796" s="4" t="s">
        <v>2138</v>
      </c>
      <c r="G796" s="4">
        <v>0.95</v>
      </c>
      <c r="H796" s="4" t="s">
        <v>2138</v>
      </c>
      <c r="I796" s="4">
        <v>30</v>
      </c>
      <c r="K796" s="4">
        <v>1</v>
      </c>
      <c r="L796" s="8" t="s">
        <v>3056</v>
      </c>
    </row>
    <row r="797" spans="2:12" x14ac:dyDescent="0.25">
      <c r="B797" s="3" t="s">
        <v>2758</v>
      </c>
      <c r="C797" s="4">
        <v>6</v>
      </c>
      <c r="D797" s="4">
        <v>1.5</v>
      </c>
      <c r="F797" s="4" t="s">
        <v>2138</v>
      </c>
      <c r="G797" s="4">
        <v>0.95</v>
      </c>
      <c r="H797" s="4" t="s">
        <v>2138</v>
      </c>
      <c r="I797" s="4">
        <v>25</v>
      </c>
      <c r="K797" s="4">
        <v>1</v>
      </c>
      <c r="L797" s="8" t="s">
        <v>3056</v>
      </c>
    </row>
    <row r="798" spans="2:12" x14ac:dyDescent="0.25">
      <c r="B798" s="3" t="s">
        <v>2759</v>
      </c>
      <c r="C798" s="4">
        <v>3</v>
      </c>
      <c r="D798" s="4">
        <v>3</v>
      </c>
      <c r="F798" s="4" t="s">
        <v>2138</v>
      </c>
      <c r="G798" s="4">
        <v>0.95</v>
      </c>
      <c r="H798" s="4" t="s">
        <v>2138</v>
      </c>
      <c r="I798" s="4">
        <v>30</v>
      </c>
      <c r="K798" s="4">
        <v>1</v>
      </c>
      <c r="L798" s="8" t="s">
        <v>3049</v>
      </c>
    </row>
    <row r="799" spans="2:12" x14ac:dyDescent="0.25">
      <c r="B799" s="3" t="s">
        <v>2760</v>
      </c>
      <c r="C799" s="4">
        <v>10</v>
      </c>
      <c r="D799" s="4">
        <v>3</v>
      </c>
      <c r="F799" s="4" t="s">
        <v>2138</v>
      </c>
      <c r="G799" s="4">
        <v>0.95</v>
      </c>
      <c r="H799" s="4" t="s">
        <v>2138</v>
      </c>
      <c r="I799" s="4">
        <v>25</v>
      </c>
      <c r="K799" s="4">
        <v>1</v>
      </c>
      <c r="L799" s="8" t="s">
        <v>3049</v>
      </c>
    </row>
    <row r="800" spans="2:12" x14ac:dyDescent="0.25">
      <c r="B800" s="3" t="s">
        <v>2986</v>
      </c>
      <c r="C800" s="6" t="s">
        <v>3007</v>
      </c>
      <c r="D800" s="4">
        <v>0.5</v>
      </c>
      <c r="F800" s="4" t="s">
        <v>2142</v>
      </c>
      <c r="G800" s="4">
        <v>0.98</v>
      </c>
      <c r="H800" s="4" t="s">
        <v>2138</v>
      </c>
      <c r="I800" s="4">
        <v>20</v>
      </c>
      <c r="K800" s="4">
        <v>3</v>
      </c>
      <c r="L800" s="8" t="s">
        <v>3050</v>
      </c>
    </row>
    <row r="801" spans="2:27" x14ac:dyDescent="0.25">
      <c r="B801" s="3" t="s">
        <v>2985</v>
      </c>
      <c r="C801" s="6" t="s">
        <v>3008</v>
      </c>
      <c r="D801" s="4">
        <v>0.5</v>
      </c>
      <c r="F801" s="4" t="s">
        <v>2140</v>
      </c>
      <c r="G801" s="4">
        <v>0.98</v>
      </c>
      <c r="H801" s="4" t="s">
        <v>2138</v>
      </c>
      <c r="I801" s="4">
        <v>35</v>
      </c>
      <c r="K801" s="4">
        <v>2</v>
      </c>
      <c r="L801" s="8" t="s">
        <v>3050</v>
      </c>
    </row>
    <row r="802" spans="2:27" x14ac:dyDescent="0.25">
      <c r="B802" s="3" t="s">
        <v>3010</v>
      </c>
      <c r="C802" s="6">
        <v>0.78</v>
      </c>
      <c r="D802" s="4">
        <v>0.5</v>
      </c>
      <c r="F802" s="4" t="s">
        <v>2140</v>
      </c>
      <c r="G802" s="4">
        <v>0.98</v>
      </c>
      <c r="H802" s="4" t="s">
        <v>2138</v>
      </c>
      <c r="I802" s="4">
        <v>35</v>
      </c>
      <c r="K802" s="4">
        <v>2</v>
      </c>
      <c r="L802" s="8" t="s">
        <v>3050</v>
      </c>
    </row>
    <row r="803" spans="2:27" x14ac:dyDescent="0.25">
      <c r="B803" s="3" t="s">
        <v>2761</v>
      </c>
      <c r="C803" s="6" t="s">
        <v>3009</v>
      </c>
      <c r="D803" s="4">
        <v>0.5</v>
      </c>
      <c r="K803" s="4">
        <v>2</v>
      </c>
      <c r="L803" s="8" t="s">
        <v>3050</v>
      </c>
    </row>
    <row r="804" spans="2:27" x14ac:dyDescent="0.25">
      <c r="B804" s="3" t="s">
        <v>2762</v>
      </c>
      <c r="C804" s="4">
        <v>0.75</v>
      </c>
      <c r="D804" s="4">
        <v>0.5</v>
      </c>
      <c r="F804" s="4" t="s">
        <v>2138</v>
      </c>
      <c r="G804" s="4">
        <v>1</v>
      </c>
      <c r="H804" s="4" t="s">
        <v>2138</v>
      </c>
      <c r="I804" s="4">
        <v>30</v>
      </c>
      <c r="K804" s="4">
        <v>1</v>
      </c>
      <c r="L804" s="8" t="s">
        <v>3054</v>
      </c>
    </row>
    <row r="805" spans="2:27" x14ac:dyDescent="0.25">
      <c r="B805" s="3" t="s">
        <v>2763</v>
      </c>
      <c r="C805" s="4">
        <v>0.35</v>
      </c>
      <c r="D805" s="4">
        <v>0.5</v>
      </c>
      <c r="F805" s="4" t="s">
        <v>2138</v>
      </c>
      <c r="G805" s="4">
        <v>1</v>
      </c>
      <c r="H805" s="4" t="s">
        <v>2138</v>
      </c>
      <c r="I805" s="4">
        <v>25</v>
      </c>
      <c r="K805" s="4">
        <v>1</v>
      </c>
      <c r="L805" s="8" t="s">
        <v>3054</v>
      </c>
    </row>
    <row r="806" spans="2:27" x14ac:dyDescent="0.25">
      <c r="B806" s="3" t="s">
        <v>2764</v>
      </c>
      <c r="C806" s="6" t="s">
        <v>2930</v>
      </c>
      <c r="D806" s="4">
        <v>0.25</v>
      </c>
      <c r="F806" s="4" t="s">
        <v>2138</v>
      </c>
      <c r="G806" s="4">
        <v>1</v>
      </c>
      <c r="H806" s="4" t="s">
        <v>2138</v>
      </c>
      <c r="I806" s="4">
        <v>30</v>
      </c>
      <c r="K806" s="4">
        <v>1</v>
      </c>
      <c r="L806" s="8" t="s">
        <v>3054</v>
      </c>
    </row>
    <row r="807" spans="2:27" x14ac:dyDescent="0.25">
      <c r="M807" s="4"/>
      <c r="AA807" s="4"/>
    </row>
    <row r="808" spans="2:27" x14ac:dyDescent="0.25">
      <c r="B808" s="107" t="s">
        <v>3624</v>
      </c>
      <c r="M808" s="4"/>
      <c r="AA808" s="4"/>
    </row>
    <row r="809" spans="2:27" x14ac:dyDescent="0.25">
      <c r="B809" s="3" t="s">
        <v>3021</v>
      </c>
      <c r="C809" s="6"/>
    </row>
    <row r="810" spans="2:27" x14ac:dyDescent="0.25">
      <c r="B810" s="3" t="s">
        <v>3022</v>
      </c>
      <c r="C810" s="6"/>
    </row>
    <row r="811" spans="2:27" x14ac:dyDescent="0.25">
      <c r="B811" s="3" t="s">
        <v>3023</v>
      </c>
      <c r="C811" s="6"/>
    </row>
    <row r="812" spans="2:27" x14ac:dyDescent="0.25">
      <c r="B812" s="3" t="s">
        <v>3024</v>
      </c>
      <c r="C812" s="6"/>
    </row>
    <row r="813" spans="2:27" x14ac:dyDescent="0.25">
      <c r="B813" s="3" t="s">
        <v>3025</v>
      </c>
      <c r="C813" s="6"/>
    </row>
    <row r="814" spans="2:27" x14ac:dyDescent="0.25">
      <c r="B814" s="3" t="s">
        <v>3019</v>
      </c>
      <c r="C814" s="6"/>
    </row>
    <row r="815" spans="2:27" x14ac:dyDescent="0.25">
      <c r="B815" s="3" t="s">
        <v>3017</v>
      </c>
      <c r="C815" s="6"/>
    </row>
    <row r="816" spans="2:27" x14ac:dyDescent="0.25">
      <c r="B816" s="3" t="s">
        <v>3018</v>
      </c>
      <c r="C816" s="6"/>
    </row>
    <row r="817" spans="2:8" x14ac:dyDescent="0.25">
      <c r="B817" s="3" t="s">
        <v>3020</v>
      </c>
      <c r="C817" s="6"/>
    </row>
    <row r="818" spans="2:8" x14ac:dyDescent="0.25">
      <c r="C818" s="6"/>
    </row>
    <row r="819" spans="2:8" x14ac:dyDescent="0.25">
      <c r="B819" s="107" t="s">
        <v>3892</v>
      </c>
      <c r="C819" s="6"/>
    </row>
    <row r="820" spans="2:8" x14ac:dyDescent="0.25">
      <c r="B820" s="107" t="s">
        <v>2895</v>
      </c>
      <c r="C820" s="6">
        <v>1.25</v>
      </c>
      <c r="D820" s="6" t="s">
        <v>3893</v>
      </c>
      <c r="F820" s="4" t="s">
        <v>2140</v>
      </c>
      <c r="G820" s="4">
        <v>0.95</v>
      </c>
      <c r="H820" s="4" t="s">
        <v>2138</v>
      </c>
    </row>
    <row r="821" spans="2:8" x14ac:dyDescent="0.25">
      <c r="B821" s="107" t="s">
        <v>2896</v>
      </c>
      <c r="C821" s="6">
        <v>3.5</v>
      </c>
      <c r="D821" s="4">
        <v>2.5</v>
      </c>
      <c r="F821" s="4" t="s">
        <v>2140</v>
      </c>
      <c r="G821" s="4">
        <v>0.95</v>
      </c>
      <c r="H821" s="4" t="s">
        <v>2138</v>
      </c>
    </row>
    <row r="822" spans="2:8" x14ac:dyDescent="0.25">
      <c r="B822" s="107" t="s">
        <v>2897</v>
      </c>
      <c r="C822" s="6">
        <v>1</v>
      </c>
      <c r="D822" s="6" t="s">
        <v>2911</v>
      </c>
      <c r="F822" s="4" t="s">
        <v>2501</v>
      </c>
      <c r="G822" s="4">
        <v>0.98</v>
      </c>
      <c r="H822" s="4" t="s">
        <v>2501</v>
      </c>
    </row>
    <row r="823" spans="2:8" x14ac:dyDescent="0.25">
      <c r="B823" s="107" t="s">
        <v>2331</v>
      </c>
      <c r="C823" s="6">
        <v>2.5000000000000001E-2</v>
      </c>
      <c r="D823" s="4">
        <v>0.15</v>
      </c>
      <c r="F823" s="4" t="s">
        <v>2501</v>
      </c>
      <c r="G823" s="4">
        <f>1-0.875</f>
        <v>0.125</v>
      </c>
      <c r="H823" s="4" t="s">
        <v>2512</v>
      </c>
    </row>
    <row r="824" spans="2:8" x14ac:dyDescent="0.25">
      <c r="B824" s="107" t="s">
        <v>3085</v>
      </c>
      <c r="C824" s="6">
        <v>1.2</v>
      </c>
      <c r="D824" s="4">
        <v>1</v>
      </c>
      <c r="F824" s="4" t="s">
        <v>2140</v>
      </c>
      <c r="G824" s="4">
        <v>0.95</v>
      </c>
      <c r="H824" s="4" t="s">
        <v>2138</v>
      </c>
    </row>
    <row r="825" spans="2:8" x14ac:dyDescent="0.25">
      <c r="B825" s="107" t="s">
        <v>2898</v>
      </c>
      <c r="C825" s="6">
        <v>2</v>
      </c>
      <c r="D825" s="6" t="s">
        <v>2910</v>
      </c>
      <c r="F825" s="4" t="s">
        <v>2140</v>
      </c>
      <c r="G825" s="4">
        <v>0.95</v>
      </c>
      <c r="H825" s="4" t="s">
        <v>2138</v>
      </c>
    </row>
    <row r="826" spans="2:8" x14ac:dyDescent="0.25">
      <c r="B826" s="107" t="s">
        <v>3895</v>
      </c>
      <c r="C826" s="6">
        <v>2</v>
      </c>
      <c r="D826" s="6">
        <v>1.85</v>
      </c>
      <c r="F826" s="4" t="s">
        <v>2140</v>
      </c>
      <c r="G826" s="4">
        <v>0.95</v>
      </c>
      <c r="H826" s="4" t="s">
        <v>2138</v>
      </c>
    </row>
    <row r="827" spans="2:8" x14ac:dyDescent="0.25">
      <c r="B827" s="107" t="s">
        <v>2899</v>
      </c>
      <c r="C827" s="6">
        <v>1.25</v>
      </c>
      <c r="D827" s="4">
        <v>1.5</v>
      </c>
      <c r="F827" s="4" t="s">
        <v>2140</v>
      </c>
      <c r="G827" s="4">
        <v>0.95</v>
      </c>
      <c r="H827" s="4" t="s">
        <v>2138</v>
      </c>
    </row>
    <row r="828" spans="2:8" x14ac:dyDescent="0.25">
      <c r="B828" s="107" t="s">
        <v>2900</v>
      </c>
      <c r="C828" s="6" t="s">
        <v>2909</v>
      </c>
      <c r="D828" s="6" t="s">
        <v>2910</v>
      </c>
      <c r="F828" s="4" t="s">
        <v>2140</v>
      </c>
      <c r="G828" s="4">
        <v>0.95</v>
      </c>
      <c r="H828" s="4" t="s">
        <v>2138</v>
      </c>
    </row>
    <row r="829" spans="2:8" x14ac:dyDescent="0.25">
      <c r="B829" s="107" t="s">
        <v>2901</v>
      </c>
      <c r="C829" s="6">
        <v>0.85</v>
      </c>
      <c r="D829" s="4">
        <v>0.5</v>
      </c>
      <c r="F829" s="4" t="s">
        <v>2140</v>
      </c>
      <c r="G829" s="4">
        <v>0.95</v>
      </c>
      <c r="H829" s="4" t="s">
        <v>2138</v>
      </c>
    </row>
    <row r="830" spans="2:8" x14ac:dyDescent="0.25">
      <c r="B830" s="107" t="s">
        <v>2902</v>
      </c>
      <c r="C830" s="6">
        <v>1.35</v>
      </c>
      <c r="D830" s="6" t="s">
        <v>3894</v>
      </c>
      <c r="F830" s="4" t="s">
        <v>2140</v>
      </c>
      <c r="G830" s="4">
        <v>0.95</v>
      </c>
      <c r="H830" s="4" t="s">
        <v>2138</v>
      </c>
    </row>
    <row r="831" spans="2:8" x14ac:dyDescent="0.25">
      <c r="B831" s="107" t="s">
        <v>2903</v>
      </c>
      <c r="C831" s="6">
        <v>0.5</v>
      </c>
      <c r="D831" s="4">
        <v>1</v>
      </c>
    </row>
    <row r="832" spans="2:8" x14ac:dyDescent="0.25">
      <c r="B832" s="3" t="s">
        <v>2904</v>
      </c>
      <c r="C832" s="6">
        <v>1.2</v>
      </c>
      <c r="D832" s="4">
        <v>1</v>
      </c>
      <c r="F832" s="4" t="s">
        <v>2507</v>
      </c>
      <c r="G832" s="4">
        <v>0.8</v>
      </c>
      <c r="H832" s="4" t="s">
        <v>2496</v>
      </c>
    </row>
    <row r="833" spans="2:27" x14ac:dyDescent="0.25">
      <c r="B833" s="3" t="s">
        <v>2905</v>
      </c>
      <c r="C833" s="6">
        <v>0.5</v>
      </c>
      <c r="D833" s="4">
        <v>0.5</v>
      </c>
      <c r="F833" s="4" t="s">
        <v>2507</v>
      </c>
      <c r="G833" s="4">
        <v>0.8</v>
      </c>
      <c r="H833" s="4" t="s">
        <v>2496</v>
      </c>
    </row>
    <row r="834" spans="2:27" x14ac:dyDescent="0.25">
      <c r="M834" s="4"/>
      <c r="AA834" s="4"/>
    </row>
    <row r="835" spans="2:27" x14ac:dyDescent="0.25">
      <c r="B835" s="107" t="s">
        <v>3625</v>
      </c>
      <c r="M835" s="4"/>
      <c r="AA835" s="4"/>
    </row>
    <row r="836" spans="2:27" x14ac:dyDescent="0.25">
      <c r="B836" s="3" t="s">
        <v>3032</v>
      </c>
      <c r="C836" s="6">
        <v>8</v>
      </c>
      <c r="D836" s="4">
        <v>11.1</v>
      </c>
      <c r="F836" s="4" t="s">
        <v>2501</v>
      </c>
      <c r="G836" s="4">
        <v>0.9</v>
      </c>
      <c r="H836" s="4" t="s">
        <v>2140</v>
      </c>
      <c r="I836" s="4">
        <v>75</v>
      </c>
      <c r="K836" s="4">
        <v>10</v>
      </c>
      <c r="L836" s="8" t="s">
        <v>3033</v>
      </c>
      <c r="M836" t="s">
        <v>3030</v>
      </c>
    </row>
    <row r="837" spans="2:27" x14ac:dyDescent="0.25">
      <c r="B837" s="3" t="s">
        <v>3029</v>
      </c>
      <c r="C837" s="6">
        <v>20</v>
      </c>
      <c r="D837" s="4">
        <v>27.75</v>
      </c>
      <c r="F837" s="4" t="s">
        <v>2501</v>
      </c>
      <c r="G837" s="4">
        <v>0.87</v>
      </c>
      <c r="H837" s="4" t="s">
        <v>2140</v>
      </c>
      <c r="I837" s="4">
        <v>75</v>
      </c>
      <c r="K837" s="4">
        <v>10</v>
      </c>
      <c r="L837" s="8" t="s">
        <v>3027</v>
      </c>
      <c r="M837" t="s">
        <v>3030</v>
      </c>
    </row>
    <row r="838" spans="2:27" x14ac:dyDescent="0.25">
      <c r="B838" s="3" t="s">
        <v>3026</v>
      </c>
      <c r="C838" s="6">
        <v>10</v>
      </c>
      <c r="D838" s="4">
        <v>13.879999999999999</v>
      </c>
      <c r="F838" s="4" t="s">
        <v>2501</v>
      </c>
      <c r="G838" s="4">
        <v>0.87</v>
      </c>
      <c r="H838" s="4" t="s">
        <v>2140</v>
      </c>
      <c r="I838" s="4">
        <v>75</v>
      </c>
      <c r="K838" s="4">
        <v>10</v>
      </c>
      <c r="L838" s="8" t="s">
        <v>3028</v>
      </c>
      <c r="M838" t="s">
        <v>3030</v>
      </c>
    </row>
    <row r="839" spans="2:27" x14ac:dyDescent="0.25">
      <c r="M839" s="4"/>
      <c r="AA839" s="4"/>
    </row>
    <row r="840" spans="2:27" x14ac:dyDescent="0.25">
      <c r="B840" s="107" t="s">
        <v>3646</v>
      </c>
      <c r="M840" s="4"/>
      <c r="AA840" s="4"/>
    </row>
    <row r="841" spans="2:27" x14ac:dyDescent="0.25">
      <c r="B841" s="3" t="s">
        <v>2752</v>
      </c>
      <c r="C841" s="4">
        <v>0.75</v>
      </c>
      <c r="D841" s="4">
        <v>1</v>
      </c>
      <c r="F841" s="4" t="s">
        <v>2138</v>
      </c>
      <c r="G841" s="4">
        <v>0.95</v>
      </c>
      <c r="H841" s="4" t="s">
        <v>2138</v>
      </c>
      <c r="I841" s="4">
        <v>30</v>
      </c>
    </row>
    <row r="842" spans="2:27" x14ac:dyDescent="0.25">
      <c r="B842" s="3" t="s">
        <v>2753</v>
      </c>
      <c r="C842" s="6" t="s">
        <v>2991</v>
      </c>
      <c r="D842" s="6" t="s">
        <v>2977</v>
      </c>
      <c r="F842" s="4" t="s">
        <v>2138</v>
      </c>
      <c r="G842" s="4">
        <v>0.95</v>
      </c>
      <c r="H842" s="4" t="s">
        <v>2138</v>
      </c>
      <c r="I842" s="4">
        <v>30</v>
      </c>
    </row>
    <row r="843" spans="2:27" x14ac:dyDescent="0.25">
      <c r="B843" s="3" t="s">
        <v>2748</v>
      </c>
      <c r="C843" s="4">
        <v>1.25</v>
      </c>
      <c r="D843" s="4">
        <v>1E-4</v>
      </c>
      <c r="F843" s="4" t="s">
        <v>2138</v>
      </c>
      <c r="G843" s="4">
        <v>1</v>
      </c>
      <c r="H843" s="4" t="s">
        <v>2138</v>
      </c>
      <c r="I843" s="4">
        <v>30</v>
      </c>
    </row>
    <row r="844" spans="2:27" x14ac:dyDescent="0.25">
      <c r="B844" s="3" t="s">
        <v>2708</v>
      </c>
      <c r="C844" s="4">
        <v>2.75</v>
      </c>
      <c r="D844" s="4">
        <v>0.375</v>
      </c>
      <c r="F844" s="4" t="s">
        <v>2496</v>
      </c>
      <c r="G844" s="4">
        <v>0.99</v>
      </c>
      <c r="H844" s="4" t="s">
        <v>2506</v>
      </c>
      <c r="I844" s="4">
        <v>40</v>
      </c>
    </row>
    <row r="845" spans="2:27" x14ac:dyDescent="0.25">
      <c r="B845" s="3" t="s">
        <v>2709</v>
      </c>
      <c r="C845" s="4">
        <v>0.65</v>
      </c>
      <c r="D845" s="4">
        <v>0.25</v>
      </c>
      <c r="F845" s="4" t="s">
        <v>2496</v>
      </c>
      <c r="G845" s="4">
        <v>1</v>
      </c>
      <c r="H845" s="4" t="s">
        <v>2496</v>
      </c>
      <c r="I845" s="4">
        <v>40</v>
      </c>
    </row>
    <row r="846" spans="2:27" x14ac:dyDescent="0.25">
      <c r="B846" s="3" t="s">
        <v>2710</v>
      </c>
      <c r="C846" s="4">
        <v>4.5</v>
      </c>
      <c r="D846" s="4">
        <v>0.5</v>
      </c>
      <c r="F846" s="4" t="s">
        <v>2496</v>
      </c>
      <c r="G846" s="4">
        <v>0.99</v>
      </c>
      <c r="H846" s="4" t="s">
        <v>2505</v>
      </c>
      <c r="I846" s="4">
        <v>40</v>
      </c>
    </row>
    <row r="848" spans="2:27" x14ac:dyDescent="0.25">
      <c r="B848" s="107" t="s">
        <v>3626</v>
      </c>
      <c r="M848" s="4"/>
      <c r="AA848" s="4"/>
    </row>
    <row r="849" spans="2:27" x14ac:dyDescent="0.25">
      <c r="B849" s="3" t="s">
        <v>2765</v>
      </c>
      <c r="C849" s="4">
        <v>3.0000000000000001E-3</v>
      </c>
      <c r="D849" s="4">
        <v>0.18</v>
      </c>
    </row>
    <row r="850" spans="2:27" x14ac:dyDescent="0.25">
      <c r="B850" s="3" t="s">
        <v>2766</v>
      </c>
      <c r="C850" s="4">
        <v>7.0000000000000001E-3</v>
      </c>
      <c r="D850" s="4">
        <v>0.17</v>
      </c>
    </row>
    <row r="851" spans="2:27" x14ac:dyDescent="0.25">
      <c r="B851" s="3" t="s">
        <v>2767</v>
      </c>
      <c r="C851" s="6" t="s">
        <v>2995</v>
      </c>
      <c r="D851" s="4">
        <v>0.15</v>
      </c>
    </row>
    <row r="852" spans="2:27" x14ac:dyDescent="0.25">
      <c r="B852" s="3" t="s">
        <v>2768</v>
      </c>
      <c r="C852" s="6" t="s">
        <v>2931</v>
      </c>
      <c r="D852" s="6" t="s">
        <v>2996</v>
      </c>
    </row>
    <row r="853" spans="2:27" x14ac:dyDescent="0.25">
      <c r="B853" s="3" t="s">
        <v>2769</v>
      </c>
      <c r="C853" s="4">
        <f>0.15/5</f>
        <v>0.03</v>
      </c>
      <c r="D853" s="4">
        <v>1E-4</v>
      </c>
    </row>
    <row r="854" spans="2:27" x14ac:dyDescent="0.25">
      <c r="B854" s="3" t="s">
        <v>2770</v>
      </c>
      <c r="C854" s="4">
        <f>0.1/5</f>
        <v>0.02</v>
      </c>
      <c r="D854" s="4">
        <v>1E-4</v>
      </c>
    </row>
    <row r="855" spans="2:27" x14ac:dyDescent="0.25">
      <c r="B855" s="3" t="s">
        <v>2771</v>
      </c>
      <c r="C855" s="4">
        <v>1E-3</v>
      </c>
      <c r="D855" s="4">
        <v>1E-4</v>
      </c>
    </row>
    <row r="856" spans="2:27" x14ac:dyDescent="0.25">
      <c r="B856" s="3" t="s">
        <v>2772</v>
      </c>
      <c r="C856" s="4">
        <v>1.6000000000000001E-3</v>
      </c>
      <c r="D856" s="4">
        <v>1E-4</v>
      </c>
    </row>
    <row r="857" spans="2:27" x14ac:dyDescent="0.25">
      <c r="B857" s="3" t="s">
        <v>2773</v>
      </c>
      <c r="C857" s="4">
        <v>0.45</v>
      </c>
      <c r="D857" s="4">
        <v>0.2</v>
      </c>
    </row>
    <row r="858" spans="2:27" x14ac:dyDescent="0.25">
      <c r="M858" s="4"/>
      <c r="AA858" s="4"/>
    </row>
    <row r="859" spans="2:27" x14ac:dyDescent="0.25">
      <c r="B859" s="107" t="s">
        <v>3627</v>
      </c>
      <c r="M859" s="4"/>
      <c r="AA859" s="4"/>
    </row>
    <row r="860" spans="2:27" x14ac:dyDescent="0.25">
      <c r="B860" s="3" t="s">
        <v>2774</v>
      </c>
      <c r="C860" s="4">
        <v>0.25</v>
      </c>
      <c r="D860" s="4">
        <v>1E-4</v>
      </c>
      <c r="F860" s="4" t="s">
        <v>2907</v>
      </c>
      <c r="G860" s="4">
        <v>1</v>
      </c>
      <c r="H860" s="4" t="s">
        <v>2907</v>
      </c>
      <c r="I860" s="4">
        <v>5</v>
      </c>
    </row>
    <row r="861" spans="2:27" x14ac:dyDescent="0.25">
      <c r="B861" s="3" t="s">
        <v>2775</v>
      </c>
      <c r="C861" s="4">
        <v>3.0000000000000001E-3</v>
      </c>
      <c r="D861" s="4">
        <v>3.3000000000000002E-2</v>
      </c>
      <c r="F861" s="4" t="s">
        <v>2138</v>
      </c>
      <c r="G861" s="4">
        <v>1</v>
      </c>
      <c r="H861" s="4" t="s">
        <v>2138</v>
      </c>
      <c r="I861" s="4">
        <v>30</v>
      </c>
    </row>
    <row r="862" spans="2:27" x14ac:dyDescent="0.25">
      <c r="B862" s="3" t="s">
        <v>3628</v>
      </c>
      <c r="C862" s="6" t="s">
        <v>3629</v>
      </c>
      <c r="D862" s="4" t="s">
        <v>3630</v>
      </c>
    </row>
    <row r="863" spans="2:27" x14ac:dyDescent="0.25">
      <c r="B863" s="3" t="s">
        <v>2776</v>
      </c>
      <c r="C863" s="4">
        <v>2</v>
      </c>
      <c r="D863" s="4">
        <v>1E-4</v>
      </c>
    </row>
    <row r="864" spans="2:27" x14ac:dyDescent="0.25">
      <c r="B864" s="3" t="s">
        <v>2777</v>
      </c>
      <c r="C864" s="4">
        <v>3.5</v>
      </c>
      <c r="D864" s="4">
        <v>2</v>
      </c>
    </row>
    <row r="865" spans="2:4" x14ac:dyDescent="0.25">
      <c r="B865" s="3" t="s">
        <v>2778</v>
      </c>
      <c r="C865" s="4">
        <v>0.15</v>
      </c>
      <c r="D865" s="6" t="s">
        <v>2914</v>
      </c>
    </row>
    <row r="866" spans="2:4" x14ac:dyDescent="0.25">
      <c r="B866" s="3" t="s">
        <v>2779</v>
      </c>
      <c r="C866" s="4">
        <v>2</v>
      </c>
      <c r="D866" s="4">
        <v>0.25</v>
      </c>
    </row>
    <row r="867" spans="2:4" x14ac:dyDescent="0.25">
      <c r="B867" s="3" t="s">
        <v>2780</v>
      </c>
      <c r="C867" s="4">
        <v>2</v>
      </c>
      <c r="D867" s="4">
        <v>1</v>
      </c>
    </row>
    <row r="868" spans="2:4" x14ac:dyDescent="0.25">
      <c r="B868" s="3" t="s">
        <v>2781</v>
      </c>
      <c r="C868" s="6" t="s">
        <v>2909</v>
      </c>
      <c r="D868" s="4">
        <v>2</v>
      </c>
    </row>
    <row r="869" spans="2:4" x14ac:dyDescent="0.25">
      <c r="B869" s="3" t="s">
        <v>2782</v>
      </c>
      <c r="C869" s="6" t="s">
        <v>2998</v>
      </c>
      <c r="D869" s="4">
        <v>1</v>
      </c>
    </row>
    <row r="870" spans="2:4" x14ac:dyDescent="0.25">
      <c r="B870" s="3" t="s">
        <v>2783</v>
      </c>
      <c r="C870" s="6" t="s">
        <v>2930</v>
      </c>
      <c r="D870" s="4">
        <v>0.5</v>
      </c>
    </row>
    <row r="871" spans="2:4" x14ac:dyDescent="0.25">
      <c r="B871" s="3" t="s">
        <v>2784</v>
      </c>
      <c r="C871" s="6" t="s">
        <v>2930</v>
      </c>
      <c r="D871" s="4">
        <v>0.02</v>
      </c>
    </row>
    <row r="872" spans="2:4" x14ac:dyDescent="0.25">
      <c r="B872" s="3" t="s">
        <v>2785</v>
      </c>
      <c r="C872" s="4">
        <v>0.75</v>
      </c>
      <c r="D872" s="4">
        <v>0.5</v>
      </c>
    </row>
    <row r="873" spans="2:4" x14ac:dyDescent="0.25">
      <c r="B873" s="3" t="s">
        <v>2786</v>
      </c>
      <c r="C873" s="4">
        <v>0.85</v>
      </c>
      <c r="D873" s="4">
        <v>1</v>
      </c>
    </row>
    <row r="874" spans="2:4" x14ac:dyDescent="0.25">
      <c r="B874" s="3" t="s">
        <v>2787</v>
      </c>
      <c r="C874" s="4">
        <v>1.65</v>
      </c>
      <c r="D874" s="4">
        <v>1.5</v>
      </c>
    </row>
    <row r="875" spans="2:4" x14ac:dyDescent="0.25">
      <c r="B875" s="3" t="s">
        <v>2788</v>
      </c>
      <c r="C875" s="4">
        <v>0.25</v>
      </c>
      <c r="D875" s="4">
        <v>1</v>
      </c>
    </row>
    <row r="876" spans="2:4" x14ac:dyDescent="0.25">
      <c r="B876" s="3" t="s">
        <v>2789</v>
      </c>
      <c r="C876" s="4">
        <v>1.25</v>
      </c>
      <c r="D876" s="4">
        <v>1</v>
      </c>
    </row>
    <row r="877" spans="2:4" x14ac:dyDescent="0.25">
      <c r="B877" s="3" t="s">
        <v>2790</v>
      </c>
      <c r="C877" s="4">
        <v>1.5</v>
      </c>
      <c r="D877" s="4">
        <v>1.5</v>
      </c>
    </row>
    <row r="878" spans="2:4" x14ac:dyDescent="0.25">
      <c r="B878" s="3" t="s">
        <v>2791</v>
      </c>
      <c r="C878" s="4">
        <v>2.5</v>
      </c>
      <c r="D878" s="4">
        <v>0.2</v>
      </c>
    </row>
    <row r="879" spans="2:4" x14ac:dyDescent="0.25">
      <c r="B879" s="3" t="s">
        <v>2792</v>
      </c>
      <c r="C879" s="4">
        <v>1.75</v>
      </c>
      <c r="D879" s="4">
        <v>1</v>
      </c>
    </row>
    <row r="880" spans="2:4" x14ac:dyDescent="0.25">
      <c r="B880" s="3" t="s">
        <v>2793</v>
      </c>
      <c r="C880" s="6" t="s">
        <v>2912</v>
      </c>
      <c r="D880" s="6" t="s">
        <v>2953</v>
      </c>
    </row>
    <row r="881" spans="2:4" x14ac:dyDescent="0.25">
      <c r="B881" s="3" t="s">
        <v>2794</v>
      </c>
      <c r="C881" s="6" t="s">
        <v>2935</v>
      </c>
      <c r="D881" s="6" t="s">
        <v>2953</v>
      </c>
    </row>
    <row r="882" spans="2:4" x14ac:dyDescent="0.25">
      <c r="B882" s="3" t="s">
        <v>2795</v>
      </c>
      <c r="C882" s="6" t="s">
        <v>2931</v>
      </c>
      <c r="D882" s="6" t="s">
        <v>2953</v>
      </c>
    </row>
    <row r="883" spans="2:4" x14ac:dyDescent="0.25">
      <c r="B883" s="3" t="s">
        <v>2796</v>
      </c>
      <c r="C883" s="4">
        <v>7</v>
      </c>
      <c r="D883" s="4">
        <v>0.5</v>
      </c>
    </row>
    <row r="884" spans="2:4" x14ac:dyDescent="0.25">
      <c r="B884" s="3" t="s">
        <v>2797</v>
      </c>
      <c r="C884" s="4">
        <v>15</v>
      </c>
      <c r="D884" s="6" t="s">
        <v>2922</v>
      </c>
    </row>
    <row r="885" spans="2:4" x14ac:dyDescent="0.25">
      <c r="B885" s="3" t="s">
        <v>2798</v>
      </c>
      <c r="C885" s="4">
        <v>1.5</v>
      </c>
      <c r="D885" s="6" t="s">
        <v>2529</v>
      </c>
    </row>
    <row r="886" spans="2:4" x14ac:dyDescent="0.25">
      <c r="B886" s="3" t="s">
        <v>2799</v>
      </c>
      <c r="C886" s="4">
        <v>2.5</v>
      </c>
      <c r="D886" s="6" t="s">
        <v>2964</v>
      </c>
    </row>
    <row r="887" spans="2:4" x14ac:dyDescent="0.25">
      <c r="B887" s="3" t="s">
        <v>2800</v>
      </c>
      <c r="C887" s="4">
        <v>10</v>
      </c>
      <c r="D887" s="6">
        <v>0.25</v>
      </c>
    </row>
    <row r="888" spans="2:4" x14ac:dyDescent="0.25">
      <c r="B888" s="3" t="s">
        <v>2801</v>
      </c>
      <c r="C888" s="4">
        <v>2.5</v>
      </c>
      <c r="D888" s="4">
        <v>1</v>
      </c>
    </row>
    <row r="889" spans="2:4" x14ac:dyDescent="0.25">
      <c r="B889" s="3" t="s">
        <v>2802</v>
      </c>
      <c r="C889" s="4">
        <f>5/10</f>
        <v>0.5</v>
      </c>
      <c r="D889" s="4">
        <v>1E-4</v>
      </c>
    </row>
    <row r="890" spans="2:4" x14ac:dyDescent="0.25">
      <c r="B890" s="3" t="s">
        <v>2803</v>
      </c>
      <c r="C890" s="4">
        <v>2.5</v>
      </c>
      <c r="D890" s="4">
        <v>3</v>
      </c>
    </row>
    <row r="891" spans="2:4" x14ac:dyDescent="0.25">
      <c r="B891" s="3" t="s">
        <v>2804</v>
      </c>
      <c r="C891" s="4">
        <v>0.35</v>
      </c>
      <c r="D891" s="4">
        <v>1E-4</v>
      </c>
    </row>
    <row r="892" spans="2:4" x14ac:dyDescent="0.25">
      <c r="B892" s="3" t="s">
        <v>2805</v>
      </c>
      <c r="C892" s="4">
        <v>2.5</v>
      </c>
      <c r="D892" s="6" t="s">
        <v>2999</v>
      </c>
    </row>
    <row r="893" spans="2:4" x14ac:dyDescent="0.25">
      <c r="B893" s="3" t="s">
        <v>2806</v>
      </c>
      <c r="C893" s="4">
        <v>4.5</v>
      </c>
      <c r="D893" s="4">
        <v>0.5</v>
      </c>
    </row>
    <row r="894" spans="2:4" x14ac:dyDescent="0.25">
      <c r="B894" s="3" t="s">
        <v>2807</v>
      </c>
      <c r="C894" s="4">
        <v>1.35</v>
      </c>
      <c r="D894" s="4">
        <v>0.01</v>
      </c>
    </row>
    <row r="895" spans="2:4" x14ac:dyDescent="0.25">
      <c r="B895" s="3" t="s">
        <v>2808</v>
      </c>
      <c r="C895" s="4">
        <v>2.5</v>
      </c>
      <c r="D895" s="4">
        <v>1</v>
      </c>
    </row>
    <row r="896" spans="2:4" x14ac:dyDescent="0.25">
      <c r="B896" s="3" t="s">
        <v>2809</v>
      </c>
      <c r="C896" s="4">
        <v>2E-3</v>
      </c>
      <c r="D896" s="4">
        <v>1E-4</v>
      </c>
    </row>
    <row r="897" spans="2:27" x14ac:dyDescent="0.25">
      <c r="B897" s="3" t="s">
        <v>2810</v>
      </c>
      <c r="C897" s="4">
        <v>0.2</v>
      </c>
      <c r="D897" s="4">
        <v>1</v>
      </c>
    </row>
    <row r="898" spans="2:27" x14ac:dyDescent="0.25">
      <c r="B898" s="3" t="s">
        <v>2811</v>
      </c>
      <c r="C898" s="4">
        <v>1.5</v>
      </c>
      <c r="D898" s="4">
        <v>1</v>
      </c>
    </row>
    <row r="899" spans="2:27" x14ac:dyDescent="0.25">
      <c r="B899" s="3" t="s">
        <v>2812</v>
      </c>
      <c r="C899" s="4">
        <v>7</v>
      </c>
      <c r="D899" s="4">
        <v>1E-4</v>
      </c>
    </row>
    <row r="900" spans="2:27" x14ac:dyDescent="0.25">
      <c r="B900" s="3" t="s">
        <v>2813</v>
      </c>
      <c r="C900" s="4">
        <v>1.4999999999999999E-2</v>
      </c>
      <c r="D900" s="4">
        <v>2.9999999999999997E-4</v>
      </c>
    </row>
    <row r="901" spans="2:27" x14ac:dyDescent="0.25">
      <c r="M901" s="4"/>
      <c r="AA901" s="4"/>
    </row>
    <row r="902" spans="2:27" x14ac:dyDescent="0.25">
      <c r="B902" s="107" t="s">
        <v>3631</v>
      </c>
      <c r="M902" s="4"/>
      <c r="AA902" s="4"/>
    </row>
    <row r="903" spans="2:27" x14ac:dyDescent="0.25">
      <c r="B903" s="3" t="s">
        <v>2814</v>
      </c>
      <c r="C903" s="4">
        <v>3</v>
      </c>
      <c r="D903" s="4">
        <v>0.5</v>
      </c>
      <c r="F903" s="4" t="s">
        <v>2336</v>
      </c>
      <c r="G903" s="4">
        <v>1</v>
      </c>
      <c r="H903" s="4" t="s">
        <v>2336</v>
      </c>
      <c r="I903" s="4">
        <v>40</v>
      </c>
    </row>
    <row r="904" spans="2:27" x14ac:dyDescent="0.25">
      <c r="B904" s="3" t="s">
        <v>2815</v>
      </c>
      <c r="C904" s="4">
        <v>5</v>
      </c>
      <c r="D904" s="4">
        <v>0.5</v>
      </c>
      <c r="F904" s="4" t="s">
        <v>2501</v>
      </c>
      <c r="G904" s="4">
        <v>1</v>
      </c>
      <c r="H904" s="4" t="s">
        <v>2501</v>
      </c>
      <c r="I904" s="4">
        <v>50</v>
      </c>
    </row>
    <row r="905" spans="2:27" x14ac:dyDescent="0.25">
      <c r="B905" s="3" t="s">
        <v>2816</v>
      </c>
      <c r="C905" s="4">
        <v>15</v>
      </c>
      <c r="D905" s="4">
        <v>1</v>
      </c>
      <c r="F905" s="4" t="s">
        <v>2502</v>
      </c>
      <c r="G905" s="4">
        <v>1</v>
      </c>
      <c r="H905" s="4" t="s">
        <v>2502</v>
      </c>
      <c r="I905" s="4">
        <v>60</v>
      </c>
    </row>
    <row r="906" spans="2:27" x14ac:dyDescent="0.25">
      <c r="B906" s="3" t="s">
        <v>2817</v>
      </c>
      <c r="C906" s="4">
        <v>1.5</v>
      </c>
      <c r="D906" s="4">
        <v>0.08</v>
      </c>
    </row>
    <row r="907" spans="2:27" x14ac:dyDescent="0.25">
      <c r="B907" s="3" t="s">
        <v>2818</v>
      </c>
      <c r="C907" s="4">
        <v>0.5</v>
      </c>
      <c r="D907" s="4">
        <v>3</v>
      </c>
    </row>
    <row r="908" spans="2:27" x14ac:dyDescent="0.25">
      <c r="B908" s="3" t="s">
        <v>2819</v>
      </c>
      <c r="C908" s="4">
        <v>0.75</v>
      </c>
      <c r="D908" s="4">
        <v>3</v>
      </c>
    </row>
    <row r="909" spans="2:27" x14ac:dyDescent="0.25">
      <c r="B909" s="3" t="s">
        <v>2820</v>
      </c>
      <c r="C909" s="4">
        <v>1.25</v>
      </c>
      <c r="D909" s="6" t="s">
        <v>2917</v>
      </c>
    </row>
    <row r="910" spans="2:27" x14ac:dyDescent="0.25">
      <c r="B910" s="3" t="s">
        <v>2821</v>
      </c>
      <c r="C910" s="4">
        <v>5</v>
      </c>
      <c r="D910" s="6" t="s">
        <v>2529</v>
      </c>
    </row>
    <row r="911" spans="2:27" x14ac:dyDescent="0.25">
      <c r="B911" s="3" t="s">
        <v>2822</v>
      </c>
      <c r="C911" s="4">
        <v>25</v>
      </c>
      <c r="D911" s="6" t="s">
        <v>2529</v>
      </c>
    </row>
    <row r="912" spans="2:27" x14ac:dyDescent="0.25">
      <c r="B912" s="3" t="s">
        <v>2823</v>
      </c>
      <c r="C912" s="4">
        <v>5</v>
      </c>
      <c r="D912" s="4">
        <v>1</v>
      </c>
    </row>
    <row r="913" spans="2:4" x14ac:dyDescent="0.25">
      <c r="B913" s="3" t="s">
        <v>2824</v>
      </c>
      <c r="C913" s="4">
        <v>0.5</v>
      </c>
      <c r="D913" s="4">
        <v>1</v>
      </c>
    </row>
    <row r="914" spans="2:4" x14ac:dyDescent="0.25">
      <c r="B914" s="3" t="s">
        <v>2825</v>
      </c>
      <c r="C914" s="4">
        <v>0.75</v>
      </c>
      <c r="D914" s="4">
        <v>1</v>
      </c>
    </row>
    <row r="915" spans="2:4" x14ac:dyDescent="0.25">
      <c r="B915" s="3" t="s">
        <v>2826</v>
      </c>
      <c r="C915" s="4">
        <v>1.75</v>
      </c>
      <c r="D915" s="4">
        <v>1.5</v>
      </c>
    </row>
    <row r="916" spans="2:4" x14ac:dyDescent="0.25">
      <c r="B916" s="3" t="s">
        <v>2421</v>
      </c>
    </row>
    <row r="917" spans="2:4" x14ac:dyDescent="0.25">
      <c r="B917" s="3" t="s">
        <v>2827</v>
      </c>
      <c r="C917" s="4">
        <v>0.12</v>
      </c>
      <c r="D917" s="4">
        <v>3</v>
      </c>
    </row>
    <row r="918" spans="2:4" x14ac:dyDescent="0.25">
      <c r="B918" s="3" t="s">
        <v>3000</v>
      </c>
      <c r="C918" s="4">
        <v>0.2</v>
      </c>
      <c r="D918" s="4">
        <v>5</v>
      </c>
    </row>
    <row r="919" spans="2:4" x14ac:dyDescent="0.25">
      <c r="B919" s="3" t="s">
        <v>2387</v>
      </c>
    </row>
    <row r="920" spans="2:4" x14ac:dyDescent="0.25">
      <c r="B920" s="3" t="s">
        <v>2431</v>
      </c>
    </row>
    <row r="921" spans="2:4" x14ac:dyDescent="0.25">
      <c r="B921" s="3" t="s">
        <v>3632</v>
      </c>
    </row>
    <row r="922" spans="2:4" x14ac:dyDescent="0.25">
      <c r="B922" s="3" t="s">
        <v>2433</v>
      </c>
    </row>
    <row r="923" spans="2:4" x14ac:dyDescent="0.25">
      <c r="B923" s="3" t="s">
        <v>2828</v>
      </c>
      <c r="C923" s="4">
        <v>0.5</v>
      </c>
      <c r="D923" s="4">
        <v>1E-4</v>
      </c>
    </row>
    <row r="924" spans="2:4" x14ac:dyDescent="0.25">
      <c r="B924" s="3" t="s">
        <v>2444</v>
      </c>
    </row>
    <row r="925" spans="2:4" x14ac:dyDescent="0.25">
      <c r="B925" s="3" t="s">
        <v>2445</v>
      </c>
    </row>
    <row r="926" spans="2:4" x14ac:dyDescent="0.25">
      <c r="B926" s="3" t="s">
        <v>2829</v>
      </c>
      <c r="C926" s="4">
        <v>0.25</v>
      </c>
      <c r="D926" s="4">
        <v>1</v>
      </c>
    </row>
    <row r="927" spans="2:4" x14ac:dyDescent="0.25">
      <c r="B927" s="3" t="s">
        <v>2830</v>
      </c>
      <c r="C927" s="4">
        <v>2.5000000000000001E-2</v>
      </c>
      <c r="D927" s="4">
        <v>2.5000000000000001E-2</v>
      </c>
    </row>
    <row r="928" spans="2:4" x14ac:dyDescent="0.25">
      <c r="B928" s="3" t="s">
        <v>2831</v>
      </c>
      <c r="C928" s="4">
        <v>1.5</v>
      </c>
      <c r="D928" s="4">
        <v>1</v>
      </c>
    </row>
    <row r="929" spans="2:27" x14ac:dyDescent="0.25">
      <c r="M929" s="4"/>
      <c r="AA929" s="4"/>
    </row>
    <row r="930" spans="2:27" x14ac:dyDescent="0.25">
      <c r="B930" s="107" t="s">
        <v>3633</v>
      </c>
      <c r="M930" s="4"/>
      <c r="AA930" s="4"/>
    </row>
    <row r="931" spans="2:27" x14ac:dyDescent="0.25">
      <c r="B931" s="107" t="s">
        <v>3634</v>
      </c>
      <c r="M931" s="4"/>
      <c r="AA931" s="4"/>
    </row>
    <row r="932" spans="2:27" x14ac:dyDescent="0.25">
      <c r="B932" s="107" t="s">
        <v>3635</v>
      </c>
      <c r="M932" s="4"/>
      <c r="AA932" s="4"/>
    </row>
    <row r="933" spans="2:27" x14ac:dyDescent="0.25">
      <c r="B933" s="107" t="s">
        <v>3636</v>
      </c>
      <c r="M933" s="4"/>
      <c r="AA933" s="4"/>
    </row>
    <row r="934" spans="2:27" x14ac:dyDescent="0.25">
      <c r="B934" s="107" t="s">
        <v>3637</v>
      </c>
      <c r="M934" s="4"/>
      <c r="AA934" s="4"/>
    </row>
    <row r="935" spans="2:27" x14ac:dyDescent="0.25">
      <c r="B935" s="107" t="s">
        <v>3638</v>
      </c>
      <c r="M935" s="4"/>
      <c r="AA935" s="4"/>
    </row>
    <row r="936" spans="2:27" x14ac:dyDescent="0.25">
      <c r="B936" s="3" t="s">
        <v>2832</v>
      </c>
      <c r="C936" s="6" t="s">
        <v>3001</v>
      </c>
      <c r="D936" s="6" t="s">
        <v>2531</v>
      </c>
    </row>
    <row r="937" spans="2:27" x14ac:dyDescent="0.25">
      <c r="B937" s="3" t="s">
        <v>2833</v>
      </c>
      <c r="C937" s="4">
        <v>2</v>
      </c>
      <c r="D937" s="4">
        <v>2E-3</v>
      </c>
    </row>
    <row r="938" spans="2:27" x14ac:dyDescent="0.25">
      <c r="B938" s="3" t="s">
        <v>2834</v>
      </c>
      <c r="C938" s="4">
        <v>2</v>
      </c>
      <c r="D938" s="4">
        <v>0.5</v>
      </c>
    </row>
    <row r="939" spans="2:27" x14ac:dyDescent="0.25">
      <c r="B939" s="3" t="s">
        <v>2835</v>
      </c>
      <c r="C939" s="4">
        <v>3.3000000000000002E-2</v>
      </c>
      <c r="D939" s="4">
        <v>0.02</v>
      </c>
    </row>
    <row r="940" spans="2:27" x14ac:dyDescent="0.25">
      <c r="B940" s="3" t="s">
        <v>2836</v>
      </c>
      <c r="C940" s="4">
        <v>0.5</v>
      </c>
      <c r="D940" s="4">
        <v>0.2</v>
      </c>
    </row>
    <row r="941" spans="2:27" x14ac:dyDescent="0.25">
      <c r="B941" s="3" t="s">
        <v>2837</v>
      </c>
      <c r="C941" s="4">
        <v>7.0000000000000007E-2</v>
      </c>
      <c r="D941" s="4">
        <v>0.01</v>
      </c>
    </row>
    <row r="942" spans="2:27" x14ac:dyDescent="0.25">
      <c r="B942" s="3" t="s">
        <v>2838</v>
      </c>
      <c r="C942" s="4">
        <v>0.75</v>
      </c>
      <c r="D942" s="4">
        <v>1.6E-2</v>
      </c>
    </row>
    <row r="943" spans="2:27" x14ac:dyDescent="0.25">
      <c r="B943" s="3" t="s">
        <v>2839</v>
      </c>
      <c r="C943" s="4">
        <v>2E-3</v>
      </c>
      <c r="D943" s="4">
        <v>4.0000000000000001E-3</v>
      </c>
      <c r="F943" s="4" t="s">
        <v>2550</v>
      </c>
      <c r="G943" s="4">
        <v>1</v>
      </c>
      <c r="H943" s="4" t="s">
        <v>2550</v>
      </c>
      <c r="I943" s="4">
        <v>10</v>
      </c>
    </row>
    <row r="944" spans="2:27" x14ac:dyDescent="0.25">
      <c r="B944" s="3" t="s">
        <v>2840</v>
      </c>
      <c r="C944" s="4">
        <v>2.8000000000000001E-2</v>
      </c>
      <c r="D944" s="4">
        <v>4.0000000000000001E-3</v>
      </c>
      <c r="F944" s="4" t="s">
        <v>2550</v>
      </c>
      <c r="G944" s="4">
        <v>1</v>
      </c>
      <c r="H944" s="4" t="s">
        <v>2550</v>
      </c>
      <c r="I944" s="4">
        <v>10</v>
      </c>
    </row>
    <row r="945" spans="2:9" x14ac:dyDescent="0.25">
      <c r="B945" s="3" t="s">
        <v>2841</v>
      </c>
      <c r="C945" s="4">
        <v>25</v>
      </c>
      <c r="D945" s="6" t="s">
        <v>2529</v>
      </c>
    </row>
    <row r="946" spans="2:9" x14ac:dyDescent="0.25">
      <c r="B946" s="3" t="s">
        <v>3639</v>
      </c>
      <c r="D946" s="6"/>
    </row>
    <row r="947" spans="2:9" x14ac:dyDescent="0.25">
      <c r="B947" s="3" t="s">
        <v>3640</v>
      </c>
      <c r="D947" s="6"/>
    </row>
    <row r="948" spans="2:9" x14ac:dyDescent="0.25">
      <c r="B948" s="3" t="s">
        <v>2842</v>
      </c>
      <c r="C948" s="4">
        <v>2</v>
      </c>
      <c r="D948" s="4">
        <v>1</v>
      </c>
    </row>
    <row r="949" spans="2:9" x14ac:dyDescent="0.25">
      <c r="B949" s="3" t="s">
        <v>2843</v>
      </c>
      <c r="C949" s="4">
        <v>0.25</v>
      </c>
      <c r="D949" s="4">
        <v>0.25</v>
      </c>
    </row>
    <row r="950" spans="2:9" x14ac:dyDescent="0.25">
      <c r="B950" s="3" t="s">
        <v>2844</v>
      </c>
      <c r="C950" s="4">
        <v>0.1</v>
      </c>
      <c r="D950" s="4">
        <v>0.5</v>
      </c>
      <c r="F950" s="4" t="s">
        <v>2908</v>
      </c>
      <c r="G950" s="4">
        <v>0.9</v>
      </c>
      <c r="H950" s="4" t="s">
        <v>2140</v>
      </c>
      <c r="I950" s="4">
        <v>30</v>
      </c>
    </row>
    <row r="951" spans="2:9" x14ac:dyDescent="0.25">
      <c r="B951" s="3" t="s">
        <v>2845</v>
      </c>
      <c r="C951" s="4">
        <v>0.05</v>
      </c>
      <c r="D951" s="4">
        <v>0.5</v>
      </c>
      <c r="F951" s="4" t="s">
        <v>2908</v>
      </c>
      <c r="G951" s="4">
        <v>0.9</v>
      </c>
      <c r="H951" s="4" t="s">
        <v>2140</v>
      </c>
      <c r="I951" s="4">
        <v>30</v>
      </c>
    </row>
    <row r="952" spans="2:9" x14ac:dyDescent="0.25">
      <c r="B952" s="3" t="s">
        <v>2846</v>
      </c>
      <c r="C952" s="4">
        <v>0.05</v>
      </c>
      <c r="D952" s="4">
        <v>0.02</v>
      </c>
      <c r="F952" s="4" t="s">
        <v>2908</v>
      </c>
      <c r="G952" s="4">
        <v>1</v>
      </c>
      <c r="H952" s="4" t="s">
        <v>2908</v>
      </c>
      <c r="I952" s="4">
        <v>30</v>
      </c>
    </row>
    <row r="953" spans="2:9" x14ac:dyDescent="0.25">
      <c r="B953" s="3" t="s">
        <v>2847</v>
      </c>
      <c r="C953" s="4">
        <v>0.18</v>
      </c>
      <c r="D953" s="4">
        <v>0.5</v>
      </c>
      <c r="F953" s="4" t="s">
        <v>2908</v>
      </c>
      <c r="G953" s="4">
        <v>0.9</v>
      </c>
      <c r="H953" s="4" t="s">
        <v>2140</v>
      </c>
      <c r="I953" s="4">
        <v>30</v>
      </c>
    </row>
    <row r="954" spans="2:9" x14ac:dyDescent="0.25">
      <c r="B954" s="3" t="s">
        <v>2848</v>
      </c>
      <c r="C954" s="4">
        <v>2.5</v>
      </c>
      <c r="D954" s="4">
        <v>1</v>
      </c>
    </row>
    <row r="955" spans="2:9" x14ac:dyDescent="0.25">
      <c r="B955" s="3" t="s">
        <v>2849</v>
      </c>
      <c r="C955" s="4">
        <v>0.15</v>
      </c>
      <c r="D955" s="4">
        <v>1E-3</v>
      </c>
    </row>
    <row r="956" spans="2:9" x14ac:dyDescent="0.25">
      <c r="B956" s="3" t="s">
        <v>2850</v>
      </c>
      <c r="C956" s="4">
        <v>0.75</v>
      </c>
      <c r="D956" s="4">
        <v>1E-3</v>
      </c>
    </row>
    <row r="957" spans="2:9" x14ac:dyDescent="0.25">
      <c r="B957" s="3" t="s">
        <v>2852</v>
      </c>
      <c r="C957" s="4">
        <v>1.25</v>
      </c>
      <c r="D957" s="4">
        <v>1E-3</v>
      </c>
    </row>
    <row r="958" spans="2:9" x14ac:dyDescent="0.25">
      <c r="B958" s="3" t="s">
        <v>2851</v>
      </c>
      <c r="C958" s="4">
        <v>25</v>
      </c>
      <c r="D958" s="4">
        <v>1.1999999999999999E-3</v>
      </c>
    </row>
    <row r="959" spans="2:9" x14ac:dyDescent="0.25">
      <c r="B959" s="3" t="s">
        <v>2853</v>
      </c>
      <c r="C959" s="4">
        <v>30</v>
      </c>
      <c r="D959" s="4">
        <v>1.2999999999999999E-3</v>
      </c>
    </row>
    <row r="960" spans="2:9" x14ac:dyDescent="0.25">
      <c r="B960" s="3" t="s">
        <v>2854</v>
      </c>
      <c r="C960" s="4">
        <v>35</v>
      </c>
      <c r="D960" s="6" t="s">
        <v>2927</v>
      </c>
    </row>
    <row r="961" spans="2:9" x14ac:dyDescent="0.25">
      <c r="B961" s="3" t="s">
        <v>2855</v>
      </c>
      <c r="C961" s="4">
        <v>2.5</v>
      </c>
      <c r="D961" s="4">
        <v>3</v>
      </c>
    </row>
    <row r="962" spans="2:9" x14ac:dyDescent="0.25">
      <c r="B962" s="3" t="s">
        <v>2856</v>
      </c>
      <c r="C962" s="4">
        <v>3.5</v>
      </c>
      <c r="D962" s="4">
        <v>7</v>
      </c>
    </row>
    <row r="963" spans="2:9" x14ac:dyDescent="0.25">
      <c r="B963" s="3" t="s">
        <v>2857</v>
      </c>
      <c r="C963" s="4">
        <v>6.5</v>
      </c>
      <c r="D963" s="4">
        <v>1</v>
      </c>
    </row>
    <row r="964" spans="2:9" x14ac:dyDescent="0.25">
      <c r="B964" s="3" t="s">
        <v>2858</v>
      </c>
      <c r="C964" s="4">
        <v>15</v>
      </c>
      <c r="D964" s="4">
        <v>5</v>
      </c>
    </row>
    <row r="965" spans="2:9" x14ac:dyDescent="0.25">
      <c r="B965" s="3" t="s">
        <v>2859</v>
      </c>
      <c r="C965" s="4">
        <v>18</v>
      </c>
      <c r="D965" s="4">
        <v>5</v>
      </c>
      <c r="F965" s="4" t="s">
        <v>2496</v>
      </c>
      <c r="G965" s="4">
        <v>0.85</v>
      </c>
      <c r="H965" s="4" t="s">
        <v>2507</v>
      </c>
      <c r="I965" s="4">
        <v>55</v>
      </c>
    </row>
    <row r="966" spans="2:9" x14ac:dyDescent="0.25">
      <c r="B966" s="3" t="s">
        <v>3641</v>
      </c>
    </row>
    <row r="967" spans="2:9" x14ac:dyDescent="0.25">
      <c r="B967" s="3" t="s">
        <v>3642</v>
      </c>
    </row>
    <row r="968" spans="2:9" x14ac:dyDescent="0.25">
      <c r="B968" s="3" t="s">
        <v>3643</v>
      </c>
    </row>
    <row r="969" spans="2:9" x14ac:dyDescent="0.25">
      <c r="B969" s="3" t="s">
        <v>2860</v>
      </c>
      <c r="C969" s="4">
        <v>2.5</v>
      </c>
      <c r="D969" s="4">
        <v>5</v>
      </c>
      <c r="F969" s="4" t="s">
        <v>2908</v>
      </c>
      <c r="G969" s="4">
        <v>0.85</v>
      </c>
      <c r="H969" s="4" t="s">
        <v>2516</v>
      </c>
      <c r="I969" s="4">
        <v>30</v>
      </c>
    </row>
    <row r="970" spans="2:9" x14ac:dyDescent="0.25">
      <c r="B970" s="3" t="s">
        <v>2861</v>
      </c>
      <c r="C970" s="4">
        <v>0.15</v>
      </c>
      <c r="D970" s="4">
        <v>0.5</v>
      </c>
    </row>
    <row r="971" spans="2:9" x14ac:dyDescent="0.25">
      <c r="B971" s="3" t="s">
        <v>3376</v>
      </c>
    </row>
    <row r="972" spans="2:9" x14ac:dyDescent="0.25">
      <c r="B972" s="3" t="s">
        <v>2862</v>
      </c>
      <c r="C972" s="6" t="s">
        <v>2933</v>
      </c>
      <c r="D972" s="4">
        <v>5</v>
      </c>
    </row>
    <row r="973" spans="2:9" x14ac:dyDescent="0.25">
      <c r="B973" s="3" t="s">
        <v>2863</v>
      </c>
      <c r="C973" s="6" t="s">
        <v>2931</v>
      </c>
      <c r="D973" s="6" t="s">
        <v>2932</v>
      </c>
    </row>
    <row r="974" spans="2:9" x14ac:dyDescent="0.25">
      <c r="B974" s="3" t="s">
        <v>2864</v>
      </c>
      <c r="C974" s="6" t="s">
        <v>2930</v>
      </c>
      <c r="D974" s="6" t="s">
        <v>2915</v>
      </c>
    </row>
    <row r="975" spans="2:9" x14ac:dyDescent="0.25">
      <c r="B975" s="3" t="s">
        <v>2865</v>
      </c>
      <c r="C975" s="6" t="s">
        <v>2928</v>
      </c>
      <c r="D975" s="6" t="s">
        <v>2929</v>
      </c>
    </row>
    <row r="976" spans="2:9" x14ac:dyDescent="0.25">
      <c r="B976" s="3" t="s">
        <v>2866</v>
      </c>
      <c r="C976" s="4">
        <v>5</v>
      </c>
      <c r="D976" s="6" t="s">
        <v>2927</v>
      </c>
    </row>
    <row r="977" spans="2:27" x14ac:dyDescent="0.25">
      <c r="B977" s="3" t="s">
        <v>3644</v>
      </c>
      <c r="D977" s="6"/>
    </row>
    <row r="978" spans="2:27" x14ac:dyDescent="0.25">
      <c r="B978" s="3" t="s">
        <v>2867</v>
      </c>
      <c r="C978" s="6" t="s">
        <v>2926</v>
      </c>
      <c r="D978" s="4">
        <v>1</v>
      </c>
    </row>
    <row r="979" spans="2:27" x14ac:dyDescent="0.25">
      <c r="B979" s="3" t="s">
        <v>180</v>
      </c>
      <c r="C979" s="4">
        <v>0.6</v>
      </c>
      <c r="D979" s="4">
        <v>1</v>
      </c>
    </row>
    <row r="980" spans="2:27" x14ac:dyDescent="0.25">
      <c r="B980" s="3" t="s">
        <v>2868</v>
      </c>
      <c r="C980" s="4">
        <v>0.15</v>
      </c>
      <c r="D980" s="4">
        <v>0.75</v>
      </c>
    </row>
    <row r="981" spans="2:27" x14ac:dyDescent="0.25">
      <c r="B981" s="3" t="s">
        <v>2869</v>
      </c>
      <c r="C981" s="4">
        <f>0.05/100</f>
        <v>5.0000000000000001E-4</v>
      </c>
      <c r="D981" s="4">
        <f>0.25/100</f>
        <v>2.5000000000000001E-3</v>
      </c>
    </row>
    <row r="982" spans="2:27" x14ac:dyDescent="0.25">
      <c r="B982" s="3" t="s">
        <v>2870</v>
      </c>
      <c r="C982" s="6" t="s">
        <v>2925</v>
      </c>
      <c r="D982" s="4">
        <v>1E-3</v>
      </c>
    </row>
    <row r="983" spans="2:27" x14ac:dyDescent="0.25">
      <c r="B983" s="3" t="s">
        <v>2871</v>
      </c>
      <c r="C983" s="4">
        <v>0.45</v>
      </c>
      <c r="D983" s="4">
        <v>0.25</v>
      </c>
      <c r="F983" s="4" t="s">
        <v>2907</v>
      </c>
      <c r="G983" s="4">
        <v>1</v>
      </c>
      <c r="H983" s="4" t="s">
        <v>2907</v>
      </c>
      <c r="I983" s="4">
        <v>5</v>
      </c>
    </row>
    <row r="984" spans="2:27" x14ac:dyDescent="0.25">
      <c r="B984" s="3" t="s">
        <v>2872</v>
      </c>
      <c r="C984" s="4">
        <v>0.25</v>
      </c>
      <c r="D984" s="4">
        <v>0.5</v>
      </c>
      <c r="F984" s="4" t="s">
        <v>2908</v>
      </c>
      <c r="G984" s="4">
        <v>1</v>
      </c>
      <c r="H984" s="4" t="s">
        <v>2908</v>
      </c>
      <c r="I984" s="4">
        <v>40</v>
      </c>
    </row>
    <row r="985" spans="2:27" x14ac:dyDescent="0.25">
      <c r="B985" s="3" t="s">
        <v>2873</v>
      </c>
      <c r="C985" s="6" t="s">
        <v>2913</v>
      </c>
      <c r="D985" s="4">
        <v>0.5</v>
      </c>
      <c r="F985" s="4" t="s">
        <v>2908</v>
      </c>
      <c r="G985" s="4">
        <v>1</v>
      </c>
      <c r="H985" s="4" t="s">
        <v>2908</v>
      </c>
      <c r="I985" s="4">
        <v>40</v>
      </c>
    </row>
    <row r="986" spans="2:27" x14ac:dyDescent="0.25">
      <c r="B986" s="3" t="s">
        <v>2874</v>
      </c>
      <c r="C986" s="6" t="s">
        <v>2530</v>
      </c>
      <c r="D986" s="4">
        <v>4.0000000000000001E-3</v>
      </c>
    </row>
    <row r="987" spans="2:27" x14ac:dyDescent="0.25">
      <c r="B987" s="3" t="s">
        <v>2875</v>
      </c>
      <c r="C987" s="6" t="s">
        <v>2924</v>
      </c>
      <c r="D987" s="4">
        <v>2E-3</v>
      </c>
    </row>
    <row r="988" spans="2:27" x14ac:dyDescent="0.25">
      <c r="M988" s="4"/>
      <c r="AA988" s="4"/>
    </row>
    <row r="989" spans="2:27" x14ac:dyDescent="0.25">
      <c r="B989" s="107" t="s">
        <v>3645</v>
      </c>
      <c r="M989" s="4"/>
      <c r="AA989" s="4"/>
    </row>
    <row r="990" spans="2:27" x14ac:dyDescent="0.25">
      <c r="B990" s="3" t="s">
        <v>2876</v>
      </c>
      <c r="C990" s="4">
        <v>0.5</v>
      </c>
      <c r="D990" s="6" t="s">
        <v>2923</v>
      </c>
    </row>
    <row r="991" spans="2:27" x14ac:dyDescent="0.25">
      <c r="B991" s="3" t="s">
        <v>2877</v>
      </c>
      <c r="C991" s="4">
        <v>0.15</v>
      </c>
      <c r="D991" s="4">
        <v>0.5</v>
      </c>
    </row>
    <row r="992" spans="2:27" x14ac:dyDescent="0.25">
      <c r="B992" s="3" t="s">
        <v>2878</v>
      </c>
      <c r="C992" s="4">
        <v>0.1</v>
      </c>
      <c r="D992" s="6" t="s">
        <v>2922</v>
      </c>
    </row>
    <row r="993" spans="2:27" x14ac:dyDescent="0.25">
      <c r="B993" s="3" t="s">
        <v>2879</v>
      </c>
      <c r="C993" s="4">
        <v>2.5</v>
      </c>
      <c r="D993" s="6" t="s">
        <v>2488</v>
      </c>
    </row>
    <row r="994" spans="2:27" x14ac:dyDescent="0.25">
      <c r="B994" s="3" t="s">
        <v>2880</v>
      </c>
      <c r="C994" s="4">
        <v>7.0000000000000007E-2</v>
      </c>
      <c r="D994" s="6" t="s">
        <v>2914</v>
      </c>
      <c r="AA994" t="s">
        <v>3889</v>
      </c>
    </row>
    <row r="995" spans="2:27" x14ac:dyDescent="0.25">
      <c r="B995" s="3" t="s">
        <v>2881</v>
      </c>
      <c r="C995" s="4">
        <v>13</v>
      </c>
      <c r="D995" s="6" t="s">
        <v>2529</v>
      </c>
    </row>
    <row r="996" spans="2:27" x14ac:dyDescent="0.25">
      <c r="B996" s="3" t="s">
        <v>2882</v>
      </c>
      <c r="C996" s="4">
        <v>3.5</v>
      </c>
      <c r="D996" s="6" t="s">
        <v>2911</v>
      </c>
      <c r="F996" s="4" t="s">
        <v>2501</v>
      </c>
      <c r="G996" s="4">
        <v>0.95</v>
      </c>
      <c r="H996" s="4" t="s">
        <v>2501</v>
      </c>
      <c r="I996" s="4">
        <v>80</v>
      </c>
      <c r="N996" s="4" t="s">
        <v>190</v>
      </c>
      <c r="O996" s="4" t="s">
        <v>2882</v>
      </c>
      <c r="Q996" s="4">
        <v>1</v>
      </c>
      <c r="R996" s="4">
        <v>0</v>
      </c>
      <c r="S996" s="4">
        <v>0</v>
      </c>
      <c r="T996" s="4">
        <v>3</v>
      </c>
      <c r="AA996" s="8" t="str">
        <f>B996&amp;" (Thrown)"</f>
        <v>Dagger (Thrown)</v>
      </c>
    </row>
    <row r="997" spans="2:27" x14ac:dyDescent="0.25">
      <c r="B997" s="3" t="s">
        <v>3002</v>
      </c>
      <c r="C997" s="4">
        <v>3.5</v>
      </c>
      <c r="D997" s="6">
        <v>0.86</v>
      </c>
      <c r="F997" s="4" t="s">
        <v>2501</v>
      </c>
      <c r="G997" s="4">
        <v>0.95</v>
      </c>
      <c r="H997" s="4" t="s">
        <v>2501</v>
      </c>
      <c r="I997" s="4">
        <v>80</v>
      </c>
      <c r="J997" s="8" t="s">
        <v>3782</v>
      </c>
      <c r="N997" s="4" t="s">
        <v>190</v>
      </c>
      <c r="O997" s="4" t="s">
        <v>2882</v>
      </c>
      <c r="Q997" s="4">
        <v>1</v>
      </c>
      <c r="R997" s="4">
        <v>0</v>
      </c>
      <c r="S997" s="4">
        <v>0</v>
      </c>
      <c r="T997" s="4">
        <v>3</v>
      </c>
      <c r="AA997" s="8" t="str">
        <f>B997&amp;" (Thrown)"</f>
        <v>Light Dagger (Thrown)</v>
      </c>
    </row>
    <row r="998" spans="2:27" x14ac:dyDescent="0.25">
      <c r="B998" s="3" t="s">
        <v>2883</v>
      </c>
      <c r="C998" s="4">
        <v>5.5</v>
      </c>
      <c r="D998" s="6" t="s">
        <v>2911</v>
      </c>
      <c r="AA998" s="8" t="str">
        <f>B998&amp;" (Thrown)"</f>
        <v>Dirk (Thrown)</v>
      </c>
    </row>
    <row r="999" spans="2:27" x14ac:dyDescent="0.25">
      <c r="B999" s="3" t="s">
        <v>2884</v>
      </c>
      <c r="C999" s="4">
        <v>25</v>
      </c>
      <c r="D999" s="6" t="s">
        <v>2921</v>
      </c>
    </row>
    <row r="1000" spans="2:27" x14ac:dyDescent="0.25">
      <c r="B1000" s="3" t="s">
        <v>2885</v>
      </c>
      <c r="C1000" s="4">
        <v>2.5</v>
      </c>
      <c r="D1000" s="6" t="s">
        <v>2920</v>
      </c>
      <c r="AA1000" s="8" t="str">
        <f>B1000&amp;" (Thrown)"</f>
        <v>Handaxe (Thrown)</v>
      </c>
    </row>
    <row r="1001" spans="2:27" x14ac:dyDescent="0.25">
      <c r="B1001" s="3" t="s">
        <v>2886</v>
      </c>
      <c r="C1001" s="4">
        <v>2.5</v>
      </c>
      <c r="D1001" s="6" t="s">
        <v>2920</v>
      </c>
      <c r="AA1001" s="8" t="str">
        <f>B1001&amp;" (Thrown)"</f>
        <v>Tomahawk (Thrown)</v>
      </c>
    </row>
    <row r="1002" spans="2:27" x14ac:dyDescent="0.25">
      <c r="B1002" s="3" t="s">
        <v>2887</v>
      </c>
      <c r="C1002" s="4">
        <v>1</v>
      </c>
      <c r="D1002" s="6" t="s">
        <v>2919</v>
      </c>
      <c r="AA1002" s="8" t="str">
        <f>B1002&amp;" (Thrown)"</f>
        <v>Harpoon (Thrown)</v>
      </c>
    </row>
    <row r="1003" spans="2:27" x14ac:dyDescent="0.25">
      <c r="B1003" s="3" t="s">
        <v>2888</v>
      </c>
      <c r="C1003" s="6" t="s">
        <v>2910</v>
      </c>
      <c r="D1003" s="6" t="s">
        <v>2915</v>
      </c>
    </row>
    <row r="1004" spans="2:27" x14ac:dyDescent="0.25">
      <c r="B1004" s="3" t="s">
        <v>2889</v>
      </c>
      <c r="C1004" s="4">
        <v>1.75</v>
      </c>
      <c r="D1004" s="6" t="s">
        <v>2488</v>
      </c>
    </row>
    <row r="1005" spans="2:27" x14ac:dyDescent="0.25">
      <c r="B1005" s="3" t="s">
        <v>2890</v>
      </c>
      <c r="C1005" s="4">
        <v>20</v>
      </c>
      <c r="D1005" s="6" t="s">
        <v>2918</v>
      </c>
    </row>
    <row r="1006" spans="2:27" x14ac:dyDescent="0.25">
      <c r="B1006" s="3" t="s">
        <v>2891</v>
      </c>
      <c r="C1006" s="4">
        <v>19</v>
      </c>
      <c r="D1006" s="6" t="s">
        <v>2917</v>
      </c>
    </row>
    <row r="1007" spans="2:27" x14ac:dyDescent="0.25">
      <c r="B1007" s="3" t="s">
        <v>2892</v>
      </c>
      <c r="C1007" s="4">
        <v>15</v>
      </c>
      <c r="D1007" s="6" t="s">
        <v>2529</v>
      </c>
    </row>
    <row r="1008" spans="2:27" x14ac:dyDescent="0.25">
      <c r="B1008" s="3" t="s">
        <v>2893</v>
      </c>
      <c r="C1008" s="4">
        <v>1</v>
      </c>
      <c r="D1008" s="6" t="s">
        <v>2488</v>
      </c>
      <c r="F1008" s="4" t="s">
        <v>2514</v>
      </c>
      <c r="G1008" s="4">
        <v>1</v>
      </c>
      <c r="H1008" s="4" t="s">
        <v>2514</v>
      </c>
      <c r="I1008" s="4">
        <v>80</v>
      </c>
      <c r="N1008" s="4" t="s">
        <v>203</v>
      </c>
      <c r="O1008" s="4" t="s">
        <v>2893</v>
      </c>
      <c r="Q1008" s="4">
        <v>1</v>
      </c>
      <c r="R1008" s="4">
        <v>0</v>
      </c>
      <c r="T1008" s="4">
        <v>4</v>
      </c>
      <c r="V1008" s="4">
        <v>60</v>
      </c>
      <c r="W1008" s="4">
        <f>V1008*2</f>
        <v>120</v>
      </c>
      <c r="X1008" s="4">
        <f>V1008*3</f>
        <v>180</v>
      </c>
      <c r="Y1008" s="4">
        <f>V1008*4</f>
        <v>240</v>
      </c>
      <c r="Z1008" s="4">
        <f>V1008*5</f>
        <v>300</v>
      </c>
    </row>
    <row r="1009" spans="2:27" x14ac:dyDescent="0.25">
      <c r="B1009" s="3" t="s">
        <v>3060</v>
      </c>
      <c r="C1009" s="4">
        <v>1</v>
      </c>
      <c r="D1009" s="6">
        <v>2.58</v>
      </c>
      <c r="F1009" s="4" t="s">
        <v>2514</v>
      </c>
      <c r="G1009" s="4">
        <v>1</v>
      </c>
      <c r="H1009" s="4" t="s">
        <v>2514</v>
      </c>
      <c r="I1009" s="4">
        <v>80</v>
      </c>
      <c r="N1009" s="4" t="s">
        <v>203</v>
      </c>
      <c r="O1009" s="4" t="s">
        <v>2893</v>
      </c>
      <c r="Q1009" s="4">
        <v>1</v>
      </c>
      <c r="R1009" s="4">
        <v>0</v>
      </c>
      <c r="T1009" s="4">
        <v>4</v>
      </c>
      <c r="V1009" s="4">
        <v>60</v>
      </c>
      <c r="W1009" s="4">
        <f>V1009*2</f>
        <v>120</v>
      </c>
      <c r="X1009" s="4">
        <f>V1009*3</f>
        <v>180</v>
      </c>
      <c r="Y1009" s="4">
        <f>V1009*4</f>
        <v>240</v>
      </c>
      <c r="Z1009" s="4">
        <f>V1009*5</f>
        <v>300</v>
      </c>
    </row>
    <row r="1010" spans="2:27" x14ac:dyDescent="0.25">
      <c r="B1010" s="3" t="s">
        <v>2894</v>
      </c>
      <c r="C1010" s="4">
        <v>1.1499999999999999</v>
      </c>
      <c r="D1010" s="6" t="s">
        <v>2916</v>
      </c>
      <c r="AA1010" t="s">
        <v>3077</v>
      </c>
    </row>
    <row r="1011" spans="2:27" x14ac:dyDescent="0.25">
      <c r="B1011" s="3" t="s">
        <v>200</v>
      </c>
      <c r="C1011" s="4">
        <v>8.5</v>
      </c>
      <c r="D1011" s="6" t="s">
        <v>2915</v>
      </c>
    </row>
    <row r="1012" spans="2:27" x14ac:dyDescent="0.25">
      <c r="D1012" s="6"/>
    </row>
    <row r="1013" spans="2:27" x14ac:dyDescent="0.25">
      <c r="B1013" s="107" t="s">
        <v>3655</v>
      </c>
      <c r="D1013" s="6"/>
    </row>
    <row r="1014" spans="2:27" x14ac:dyDescent="0.25">
      <c r="B1014" s="107" t="s">
        <v>3657</v>
      </c>
      <c r="D1014" s="6"/>
      <c r="J1014" s="8" t="s">
        <v>3656</v>
      </c>
      <c r="AA1014" t="str">
        <f t="shared" ref="AA1014:AA1015" si="2">B1014&amp;" (club)"</f>
        <v>Belton Flintlock Rifle (club)</v>
      </c>
    </row>
    <row r="1015" spans="2:27" x14ac:dyDescent="0.25">
      <c r="B1015" s="107" t="s">
        <v>3658</v>
      </c>
      <c r="D1015" s="6"/>
      <c r="J1015" s="8" t="s">
        <v>3659</v>
      </c>
      <c r="AA1015" t="str">
        <f t="shared" si="2"/>
        <v>Belton Flintlock Pistol (club)</v>
      </c>
    </row>
    <row r="1016" spans="2:27" x14ac:dyDescent="0.25">
      <c r="M1016" s="4"/>
      <c r="AA1016" s="4"/>
    </row>
    <row r="1017" spans="2:27" x14ac:dyDescent="0.25">
      <c r="B1017" s="107" t="s">
        <v>3647</v>
      </c>
      <c r="M1017" s="4"/>
      <c r="AA1017" s="4"/>
    </row>
    <row r="1018" spans="2:27" x14ac:dyDescent="0.25">
      <c r="B1018" s="3" t="s">
        <v>3159</v>
      </c>
      <c r="C1018" s="6">
        <v>5</v>
      </c>
      <c r="D1018" s="6">
        <v>0.65</v>
      </c>
      <c r="E1018" s="4">
        <v>6.5</v>
      </c>
      <c r="F1018" s="4" t="s">
        <v>3160</v>
      </c>
      <c r="G1018" s="4">
        <v>0.85</v>
      </c>
      <c r="H1018" s="4" t="s">
        <v>2335</v>
      </c>
      <c r="J1018" s="8" t="s">
        <v>3161</v>
      </c>
      <c r="W1018" s="4">
        <f>V1018*2</f>
        <v>0</v>
      </c>
      <c r="X1018" s="4">
        <f>V1018*3</f>
        <v>0</v>
      </c>
      <c r="Y1018" s="4">
        <f>V1018*4</f>
        <v>0</v>
      </c>
      <c r="Z1018" s="4">
        <f>V1018*5</f>
        <v>0</v>
      </c>
      <c r="AA1018" t="str">
        <f>B1018&amp;" (club)"</f>
        <v>Philadelphia Deringer (club)</v>
      </c>
    </row>
    <row r="1019" spans="2:27" x14ac:dyDescent="0.25">
      <c r="B1019" s="3" t="s">
        <v>3164</v>
      </c>
      <c r="C1019" s="6">
        <v>3.75</v>
      </c>
      <c r="D1019" s="6">
        <v>0.5</v>
      </c>
      <c r="E1019" s="4">
        <v>4.5</v>
      </c>
      <c r="F1019" s="4" t="s">
        <v>3160</v>
      </c>
      <c r="G1019" s="4">
        <v>0.85</v>
      </c>
      <c r="H1019" s="4" t="s">
        <v>2335</v>
      </c>
      <c r="J1019" s="8" t="s">
        <v>3161</v>
      </c>
      <c r="AA1019" t="str">
        <f>B1019&amp;" (club)"</f>
        <v>Philadelphia Deringer, Stub (club)</v>
      </c>
    </row>
    <row r="1020" spans="2:27" x14ac:dyDescent="0.25">
      <c r="B1020" s="3" t="s">
        <v>3162</v>
      </c>
      <c r="C1020" s="6">
        <v>6.25</v>
      </c>
      <c r="D1020" s="6">
        <v>0.75</v>
      </c>
      <c r="E1020" s="4">
        <v>9</v>
      </c>
      <c r="F1020" s="4" t="s">
        <v>3160</v>
      </c>
      <c r="G1020" s="4">
        <v>0.85</v>
      </c>
      <c r="H1020" s="4" t="s">
        <v>2335</v>
      </c>
      <c r="J1020" s="8" t="s">
        <v>3161</v>
      </c>
      <c r="AA1020" t="str">
        <f>B1020&amp;" (club)"</f>
        <v>Philadelphia Deringer, Long (club)</v>
      </c>
    </row>
    <row r="1021" spans="2:27" x14ac:dyDescent="0.25">
      <c r="B1021" s="3" t="s">
        <v>3165</v>
      </c>
      <c r="F1021" s="4" t="s">
        <v>2496</v>
      </c>
      <c r="G1021" s="4">
        <v>0.85</v>
      </c>
      <c r="H1021" s="4" t="s">
        <v>2496</v>
      </c>
      <c r="J1021" s="8" t="s">
        <v>3177</v>
      </c>
      <c r="AA1021" t="str">
        <f>B1021&amp;" (club)"</f>
        <v>.22 Sharps Derringer (club)</v>
      </c>
    </row>
    <row r="1022" spans="2:27" x14ac:dyDescent="0.25">
      <c r="B1022" s="3" t="s">
        <v>3168</v>
      </c>
      <c r="F1022" s="4" t="s">
        <v>2496</v>
      </c>
      <c r="G1022" s="4">
        <v>0.85</v>
      </c>
      <c r="H1022" s="4" t="s">
        <v>2496</v>
      </c>
      <c r="J1022" s="8" t="s">
        <v>3177</v>
      </c>
      <c r="AA1022" t="str">
        <f t="shared" ref="AA1022:AA1085" si="3">B1022&amp;" (club)"</f>
        <v>.22 Sharps Derringer, Long (club)</v>
      </c>
    </row>
    <row r="1023" spans="2:27" x14ac:dyDescent="0.25">
      <c r="B1023" s="3" t="s">
        <v>3166</v>
      </c>
      <c r="E1023" s="4">
        <v>5.75</v>
      </c>
      <c r="F1023" s="4" t="s">
        <v>2496</v>
      </c>
      <c r="G1023" s="4">
        <v>0.85</v>
      </c>
      <c r="H1023" s="4" t="s">
        <v>2496</v>
      </c>
      <c r="J1023" s="8" t="s">
        <v>3178</v>
      </c>
      <c r="AA1023" t="str">
        <f t="shared" si="3"/>
        <v>.30 Sharps Derringer (club)</v>
      </c>
    </row>
    <row r="1024" spans="2:27" x14ac:dyDescent="0.25">
      <c r="B1024" s="3" t="s">
        <v>3170</v>
      </c>
      <c r="E1024" s="4">
        <v>8</v>
      </c>
      <c r="F1024" s="4" t="s">
        <v>2496</v>
      </c>
      <c r="G1024" s="4">
        <v>0.85</v>
      </c>
      <c r="H1024" s="4" t="s">
        <v>2496</v>
      </c>
      <c r="J1024" s="8" t="s">
        <v>3178</v>
      </c>
      <c r="AA1024" t="str">
        <f t="shared" si="3"/>
        <v>.30 Sharps Derringer, Long (club)</v>
      </c>
    </row>
    <row r="1025" spans="2:27" x14ac:dyDescent="0.25">
      <c r="B1025" s="3" t="s">
        <v>3167</v>
      </c>
      <c r="F1025" s="4" t="s">
        <v>2336</v>
      </c>
      <c r="G1025" s="4">
        <v>0.85</v>
      </c>
      <c r="H1025" s="4" t="s">
        <v>2336</v>
      </c>
      <c r="J1025" s="8" t="s">
        <v>3179</v>
      </c>
      <c r="AA1025" t="str">
        <f t="shared" si="3"/>
        <v>.32 Rimfire Sharps Derringer (club)</v>
      </c>
    </row>
    <row r="1026" spans="2:27" x14ac:dyDescent="0.25">
      <c r="B1026" s="3" t="s">
        <v>3171</v>
      </c>
      <c r="F1026" s="4" t="s">
        <v>2336</v>
      </c>
      <c r="G1026" s="4">
        <v>0.85</v>
      </c>
      <c r="H1026" s="4" t="s">
        <v>2336</v>
      </c>
      <c r="J1026" s="8" t="s">
        <v>3180</v>
      </c>
      <c r="AA1026" t="str">
        <f t="shared" si="3"/>
        <v>.32 Rimfire Sharps Derringer, Stub (club)</v>
      </c>
    </row>
    <row r="1027" spans="2:27" x14ac:dyDescent="0.25">
      <c r="B1027" s="3" t="s">
        <v>3169</v>
      </c>
      <c r="F1027" s="4" t="s">
        <v>2336</v>
      </c>
      <c r="G1027" s="4">
        <v>0.85</v>
      </c>
      <c r="H1027" s="4" t="s">
        <v>2336</v>
      </c>
      <c r="J1027" s="8" t="s">
        <v>3179</v>
      </c>
      <c r="AA1027" t="str">
        <f t="shared" si="3"/>
        <v>.32 Rimfire Sharps Derringer, Long (club)</v>
      </c>
    </row>
    <row r="1028" spans="2:27" x14ac:dyDescent="0.25">
      <c r="B1028" s="3" t="s">
        <v>3172</v>
      </c>
      <c r="F1028" s="4" t="s">
        <v>2336</v>
      </c>
      <c r="G1028" s="4">
        <v>0.85</v>
      </c>
      <c r="H1028" s="4" t="s">
        <v>2336</v>
      </c>
      <c r="J1028" s="8" t="s">
        <v>3173</v>
      </c>
      <c r="AA1028" t="str">
        <f t="shared" si="3"/>
        <v>.38 Rimfire Moore Derringer (club)</v>
      </c>
    </row>
    <row r="1029" spans="2:27" x14ac:dyDescent="0.25">
      <c r="B1029" s="3" t="s">
        <v>3174</v>
      </c>
      <c r="F1029" s="4" t="s">
        <v>2336</v>
      </c>
      <c r="G1029" s="4">
        <v>0.85</v>
      </c>
      <c r="H1029" s="4" t="s">
        <v>2336</v>
      </c>
      <c r="J1029" s="8" t="s">
        <v>3175</v>
      </c>
      <c r="AA1029" t="str">
        <f t="shared" si="3"/>
        <v>.41 Rimfire Army Derringer (club)</v>
      </c>
    </row>
    <row r="1030" spans="2:27" x14ac:dyDescent="0.25">
      <c r="B1030" s="3" t="s">
        <v>3182</v>
      </c>
      <c r="E1030" s="4">
        <v>8</v>
      </c>
      <c r="J1030" s="8" t="s">
        <v>3183</v>
      </c>
      <c r="AA1030" t="str">
        <f t="shared" si="3"/>
        <v>.28 Colt Paterson Revolver (club)</v>
      </c>
    </row>
    <row r="1031" spans="2:27" x14ac:dyDescent="0.25">
      <c r="B1031" s="3" t="s">
        <v>3181</v>
      </c>
      <c r="E1031" s="4">
        <v>9</v>
      </c>
      <c r="J1031" s="8" t="s">
        <v>3184</v>
      </c>
      <c r="AA1031" t="str">
        <f t="shared" si="3"/>
        <v>.36 Colt Paterson Revolver (club)</v>
      </c>
    </row>
    <row r="1032" spans="2:27" x14ac:dyDescent="0.25">
      <c r="B1032" s="3" t="s">
        <v>3188</v>
      </c>
      <c r="E1032" s="4">
        <v>13</v>
      </c>
      <c r="J1032" s="8" t="s">
        <v>3184</v>
      </c>
      <c r="AA1032" t="str">
        <f t="shared" si="3"/>
        <v>.36 Colt Paterson Revolver, Long (club)</v>
      </c>
    </row>
    <row r="1033" spans="2:27" x14ac:dyDescent="0.25">
      <c r="B1033" s="3" t="s">
        <v>3185</v>
      </c>
      <c r="E1033" s="4">
        <v>8</v>
      </c>
      <c r="J1033" s="8" t="s">
        <v>3187</v>
      </c>
      <c r="AA1033" t="str">
        <f t="shared" si="3"/>
        <v>.28 Colt Paterson Lever-action Revolver (club)</v>
      </c>
    </row>
    <row r="1034" spans="2:27" x14ac:dyDescent="0.25">
      <c r="B1034" s="3" t="s">
        <v>3186</v>
      </c>
      <c r="E1034" s="4">
        <v>9</v>
      </c>
      <c r="J1034" s="8" t="s">
        <v>3187</v>
      </c>
      <c r="AA1034" t="str">
        <f t="shared" si="3"/>
        <v>.36 Colt Paterson Lever-action Revolver (club)</v>
      </c>
    </row>
    <row r="1035" spans="2:27" x14ac:dyDescent="0.25">
      <c r="B1035" s="3" t="s">
        <v>3189</v>
      </c>
      <c r="E1035" s="4">
        <v>13</v>
      </c>
      <c r="J1035" s="8" t="s">
        <v>3187</v>
      </c>
      <c r="AA1035" t="str">
        <f t="shared" si="3"/>
        <v>.36 Colt Paterson Lever-action Revolver, Long (club)</v>
      </c>
    </row>
    <row r="1036" spans="2:27" x14ac:dyDescent="0.25">
      <c r="B1036" s="3" t="s">
        <v>3198</v>
      </c>
      <c r="J1036" s="8" t="s">
        <v>3190</v>
      </c>
      <c r="AA1036" t="str">
        <f t="shared" si="3"/>
        <v>.54 U.S. M1841 (mississippi) Rifle (club)</v>
      </c>
    </row>
    <row r="1037" spans="2:27" x14ac:dyDescent="0.25">
      <c r="B1037" s="3" t="s">
        <v>3197</v>
      </c>
      <c r="E1037" s="4">
        <v>56</v>
      </c>
      <c r="J1037" s="8" t="s">
        <v>3191</v>
      </c>
      <c r="AA1037" t="str">
        <f t="shared" si="3"/>
        <v>.58 U.S. M1855 Rifle (club)</v>
      </c>
    </row>
    <row r="1038" spans="2:27" x14ac:dyDescent="0.25">
      <c r="B1038" s="3" t="s">
        <v>3196</v>
      </c>
      <c r="E1038" s="4">
        <v>49</v>
      </c>
      <c r="J1038" s="8" t="s">
        <v>3191</v>
      </c>
      <c r="AA1038" t="str">
        <f t="shared" si="3"/>
        <v>.58 Harpers Ferry M1855 Rifle, Short (club)</v>
      </c>
    </row>
    <row r="1039" spans="2:27" x14ac:dyDescent="0.25">
      <c r="B1039" s="3" t="s">
        <v>3195</v>
      </c>
      <c r="D1039" s="4">
        <v>9</v>
      </c>
      <c r="J1039" s="8" t="s">
        <v>3192</v>
      </c>
      <c r="AA1039" t="str">
        <f t="shared" si="3"/>
        <v>.58 U.S. M1861 (Springfield) Rifle (club)</v>
      </c>
    </row>
    <row r="1040" spans="2:27" x14ac:dyDescent="0.25">
      <c r="B1040" s="3" t="s">
        <v>3194</v>
      </c>
      <c r="C1040" s="4">
        <v>20</v>
      </c>
      <c r="J1040" s="8" t="s">
        <v>3193</v>
      </c>
      <c r="AA1040" t="str">
        <f t="shared" si="3"/>
        <v>.58 U.S. M1863 (Springfield) Rifle (club)</v>
      </c>
    </row>
    <row r="1041" spans="2:27" x14ac:dyDescent="0.25">
      <c r="B1041" s="3" t="s">
        <v>3204</v>
      </c>
      <c r="C1041" s="4">
        <v>20</v>
      </c>
      <c r="D1041" s="4">
        <v>9.5</v>
      </c>
      <c r="E1041" s="4">
        <v>55</v>
      </c>
      <c r="J1041" s="8" t="s">
        <v>3199</v>
      </c>
      <c r="AA1041" t="str">
        <f t="shared" si="3"/>
        <v>.577 British P1853 Enfield (club)</v>
      </c>
    </row>
    <row r="1042" spans="2:27" x14ac:dyDescent="0.25">
      <c r="B1042" s="3" t="s">
        <v>3206</v>
      </c>
      <c r="J1042" s="8" t="s">
        <v>3205</v>
      </c>
      <c r="AA1042" t="str">
        <f t="shared" si="3"/>
        <v>.58 British P1861 Enfield Musketoon (club)</v>
      </c>
    </row>
    <row r="1043" spans="2:27" x14ac:dyDescent="0.25">
      <c r="B1043" s="3" t="s">
        <v>3202</v>
      </c>
      <c r="D1043" s="4">
        <v>8.6</v>
      </c>
      <c r="E1043" s="4">
        <v>49</v>
      </c>
      <c r="J1043" s="8" t="s">
        <v>3208</v>
      </c>
      <c r="AA1043" t="str">
        <f t="shared" si="3"/>
        <v>.577 British P1866 Snider-Enfield Rifle (club)</v>
      </c>
    </row>
    <row r="1044" spans="2:27" x14ac:dyDescent="0.25">
      <c r="B1044" s="3" t="s">
        <v>3200</v>
      </c>
      <c r="E1044" s="4">
        <v>54</v>
      </c>
      <c r="J1044" s="8" t="s">
        <v>3208</v>
      </c>
      <c r="AA1044" t="str">
        <f t="shared" si="3"/>
        <v>.577 British P1866 Snider-Enfield Rifle, Long (club)</v>
      </c>
    </row>
    <row r="1045" spans="2:27" x14ac:dyDescent="0.25">
      <c r="B1045" s="3" t="s">
        <v>3201</v>
      </c>
      <c r="E1045" s="4">
        <v>48</v>
      </c>
      <c r="J1045" s="8" t="s">
        <v>3208</v>
      </c>
      <c r="AA1045" t="str">
        <f t="shared" si="3"/>
        <v>.577 British P1866 Snider-Enfield Rifle, Short (club)</v>
      </c>
    </row>
    <row r="1046" spans="2:27" x14ac:dyDescent="0.25">
      <c r="B1046" s="3" t="s">
        <v>3207</v>
      </c>
      <c r="E1046" s="4">
        <v>28</v>
      </c>
      <c r="J1046" s="8" t="s">
        <v>3208</v>
      </c>
      <c r="AA1046" t="str">
        <f t="shared" si="3"/>
        <v>.577 British P1866 Snider-Enfield Cavalry Carbine (club)</v>
      </c>
    </row>
    <row r="1047" spans="2:27" x14ac:dyDescent="0.25">
      <c r="B1047" s="3" t="s">
        <v>3203</v>
      </c>
      <c r="E1047" s="4">
        <v>39</v>
      </c>
      <c r="J1047" s="8" t="s">
        <v>3208</v>
      </c>
      <c r="AA1047" t="str">
        <f t="shared" si="3"/>
        <v>.577 British P1866 Snider-Enfield Artillery Carbine (club)</v>
      </c>
    </row>
    <row r="1048" spans="2:27" x14ac:dyDescent="0.25">
      <c r="B1048" s="3" t="s">
        <v>3660</v>
      </c>
      <c r="J1048" s="8" t="s">
        <v>3662</v>
      </c>
      <c r="AA1048" t="str">
        <f t="shared" si="3"/>
        <v>British Flintlock Blunderbuss (club)</v>
      </c>
    </row>
    <row r="1049" spans="2:27" x14ac:dyDescent="0.25">
      <c r="B1049" s="3" t="s">
        <v>3210</v>
      </c>
      <c r="E1049" s="4">
        <v>32</v>
      </c>
      <c r="J1049" s="8" t="s">
        <v>3671</v>
      </c>
      <c r="AA1049" t="str">
        <f t="shared" si="3"/>
        <v>Harper's Ferry Blunderbuss (club)</v>
      </c>
    </row>
    <row r="1050" spans="2:27" x14ac:dyDescent="0.25">
      <c r="B1050" s="3" t="s">
        <v>3661</v>
      </c>
      <c r="J1050" s="8" t="s">
        <v>3672</v>
      </c>
      <c r="AA1050" t="str">
        <f t="shared" si="3"/>
        <v>Dragon Blunderbuss (club)</v>
      </c>
    </row>
    <row r="1051" spans="2:27" x14ac:dyDescent="0.25">
      <c r="B1051" s="3" t="s">
        <v>3663</v>
      </c>
      <c r="J1051" s="8" t="s">
        <v>3668</v>
      </c>
      <c r="AA1051" t="str">
        <f t="shared" si="3"/>
        <v>Brown Bess, Long (club)</v>
      </c>
    </row>
    <row r="1052" spans="2:27" x14ac:dyDescent="0.25">
      <c r="B1052" s="3" t="s">
        <v>3664</v>
      </c>
      <c r="J1052" s="8" t="s">
        <v>3668</v>
      </c>
      <c r="AA1052" t="str">
        <f t="shared" si="3"/>
        <v>Brown Bess, Short (club)</v>
      </c>
    </row>
    <row r="1053" spans="2:27" x14ac:dyDescent="0.25">
      <c r="B1053" s="3" t="s">
        <v>3665</v>
      </c>
      <c r="J1053" s="8" t="s">
        <v>3668</v>
      </c>
      <c r="AA1053" t="str">
        <f t="shared" si="3"/>
        <v>Brown Bess, India (club)</v>
      </c>
    </row>
    <row r="1054" spans="2:27" x14ac:dyDescent="0.25">
      <c r="B1054" s="3" t="s">
        <v>3666</v>
      </c>
      <c r="J1054" s="8" t="s">
        <v>3668</v>
      </c>
      <c r="AA1054" t="str">
        <f t="shared" si="3"/>
        <v>Brown Bess, New (club)</v>
      </c>
    </row>
    <row r="1055" spans="2:27" x14ac:dyDescent="0.25">
      <c r="B1055" s="3" t="s">
        <v>3667</v>
      </c>
      <c r="J1055" s="8" t="s">
        <v>3668</v>
      </c>
      <c r="AA1055" t="str">
        <f t="shared" si="3"/>
        <v>Brown Bess, Sea Service (club)</v>
      </c>
    </row>
    <row r="1056" spans="2:27" x14ac:dyDescent="0.25">
      <c r="B1056" s="3" t="s">
        <v>3669</v>
      </c>
      <c r="C1056" s="4">
        <v>38.5</v>
      </c>
      <c r="D1056" s="4">
        <v>7</v>
      </c>
      <c r="E1056" s="4">
        <v>39.5</v>
      </c>
      <c r="F1056" s="4" t="s">
        <v>2501</v>
      </c>
      <c r="G1056" s="4">
        <v>0.95</v>
      </c>
      <c r="H1056" s="4" t="s">
        <v>2335</v>
      </c>
      <c r="J1056" s="8" t="s">
        <v>3670</v>
      </c>
      <c r="AA1056" t="str">
        <f t="shared" si="3"/>
        <v>Burnside Carbine (club)</v>
      </c>
    </row>
    <row r="1057" spans="2:27" x14ac:dyDescent="0.25">
      <c r="B1057" s="3" t="s">
        <v>3674</v>
      </c>
      <c r="D1057" s="4">
        <v>9</v>
      </c>
      <c r="E1057" s="4">
        <v>62</v>
      </c>
      <c r="F1057" s="4" t="s">
        <v>2336</v>
      </c>
      <c r="G1057" s="4">
        <v>0.95</v>
      </c>
      <c r="H1057" s="4" t="s">
        <v>2335</v>
      </c>
      <c r="I1057" s="4">
        <v>60</v>
      </c>
      <c r="J1057" s="8" t="s">
        <v>3673</v>
      </c>
      <c r="AA1057" t="str">
        <f t="shared" si="3"/>
        <v>Charleville 1717 Musket (club)</v>
      </c>
    </row>
    <row r="1058" spans="2:27" x14ac:dyDescent="0.25">
      <c r="B1058" s="3" t="s">
        <v>3675</v>
      </c>
      <c r="D1058" s="4">
        <v>9</v>
      </c>
      <c r="E1058" s="4">
        <v>62</v>
      </c>
      <c r="F1058" s="4" t="s">
        <v>2336</v>
      </c>
      <c r="G1058" s="4">
        <v>0.95</v>
      </c>
      <c r="H1058" s="4" t="s">
        <v>2335</v>
      </c>
      <c r="I1058" s="6">
        <v>65</v>
      </c>
      <c r="J1058" s="8" t="s">
        <v>3684</v>
      </c>
      <c r="AA1058" t="str">
        <f t="shared" si="3"/>
        <v>Charleville 1728 Musket (club)</v>
      </c>
    </row>
    <row r="1059" spans="2:27" x14ac:dyDescent="0.25">
      <c r="B1059" s="3" t="s">
        <v>3676</v>
      </c>
      <c r="D1059" s="4">
        <v>10.199999999999999</v>
      </c>
      <c r="E1059" s="4">
        <v>60</v>
      </c>
      <c r="F1059" s="4" t="s">
        <v>2336</v>
      </c>
      <c r="G1059" s="4">
        <v>0.95</v>
      </c>
      <c r="H1059" s="4" t="s">
        <v>2335</v>
      </c>
      <c r="I1059" s="4">
        <v>65</v>
      </c>
      <c r="J1059" s="8" t="s">
        <v>3685</v>
      </c>
      <c r="AA1059" t="str">
        <f t="shared" si="3"/>
        <v>Charleville 1763 Musket (club)</v>
      </c>
    </row>
    <row r="1060" spans="2:27" x14ac:dyDescent="0.25">
      <c r="B1060" s="3" t="s">
        <v>3677</v>
      </c>
      <c r="D1060" s="4">
        <v>9.6</v>
      </c>
      <c r="E1060" s="4">
        <v>60</v>
      </c>
      <c r="F1060" s="4" t="s">
        <v>2336</v>
      </c>
      <c r="G1060" s="4">
        <v>0.95</v>
      </c>
      <c r="H1060" s="4" t="s">
        <v>2335</v>
      </c>
      <c r="I1060" s="4">
        <v>68</v>
      </c>
      <c r="J1060" s="8" t="s">
        <v>3686</v>
      </c>
      <c r="AA1060" t="str">
        <f t="shared" si="3"/>
        <v>Charleville 1766 Musket (club)</v>
      </c>
    </row>
    <row r="1061" spans="2:27" x14ac:dyDescent="0.25">
      <c r="B1061" s="3" t="s">
        <v>3678</v>
      </c>
      <c r="D1061" s="4">
        <v>9.6999999999999993</v>
      </c>
      <c r="E1061" s="4">
        <v>60</v>
      </c>
      <c r="F1061" s="4" t="s">
        <v>2336</v>
      </c>
      <c r="G1061" s="4">
        <v>0.95</v>
      </c>
      <c r="H1061" s="4" t="s">
        <v>2335</v>
      </c>
      <c r="I1061" s="4">
        <v>72</v>
      </c>
      <c r="J1061" s="8" t="s">
        <v>3687</v>
      </c>
      <c r="AA1061" t="str">
        <f t="shared" si="3"/>
        <v>Charleville 1770 Musket (club)</v>
      </c>
    </row>
    <row r="1062" spans="2:27" x14ac:dyDescent="0.25">
      <c r="B1062" s="3" t="s">
        <v>3679</v>
      </c>
      <c r="D1062" s="4">
        <v>9.6999999999999993</v>
      </c>
      <c r="E1062" s="4">
        <v>60</v>
      </c>
      <c r="F1062" s="4" t="s">
        <v>2336</v>
      </c>
      <c r="G1062" s="4">
        <v>0.95</v>
      </c>
      <c r="H1062" s="4" t="s">
        <v>2335</v>
      </c>
      <c r="I1062" s="4">
        <v>72</v>
      </c>
      <c r="J1062" s="8" t="s">
        <v>3688</v>
      </c>
      <c r="AA1062" t="str">
        <f t="shared" si="3"/>
        <v>Charleville 1777 Musket (club)</v>
      </c>
    </row>
    <row r="1063" spans="2:27" x14ac:dyDescent="0.25">
      <c r="B1063" s="3" t="s">
        <v>3680</v>
      </c>
      <c r="D1063" s="4">
        <v>9.1999999999999993</v>
      </c>
      <c r="E1063" s="4">
        <v>50</v>
      </c>
      <c r="F1063" s="4" t="s">
        <v>2336</v>
      </c>
      <c r="G1063" s="4">
        <v>0.95</v>
      </c>
      <c r="H1063" s="4" t="s">
        <v>2335</v>
      </c>
      <c r="I1063" s="4">
        <v>72</v>
      </c>
      <c r="J1063" s="8" t="s">
        <v>3688</v>
      </c>
      <c r="AA1063" t="str">
        <f t="shared" si="3"/>
        <v>Charleville Carbine (club)</v>
      </c>
    </row>
    <row r="1064" spans="2:27" x14ac:dyDescent="0.25">
      <c r="B1064" s="3" t="s">
        <v>3681</v>
      </c>
      <c r="D1064" s="4">
        <v>9.1</v>
      </c>
      <c r="E1064" s="4">
        <v>51</v>
      </c>
      <c r="F1064" s="4" t="s">
        <v>2336</v>
      </c>
      <c r="G1064" s="4">
        <v>0.95</v>
      </c>
      <c r="H1064" s="4" t="s">
        <v>2496</v>
      </c>
      <c r="I1064" s="4">
        <v>72</v>
      </c>
      <c r="J1064" s="8" t="s">
        <v>3688</v>
      </c>
      <c r="AA1064" t="str">
        <f t="shared" si="3"/>
        <v>Charleville Artillery (club)</v>
      </c>
    </row>
    <row r="1065" spans="2:27" x14ac:dyDescent="0.25">
      <c r="B1065" s="3" t="s">
        <v>3682</v>
      </c>
      <c r="D1065" s="4">
        <v>9</v>
      </c>
      <c r="E1065" s="4">
        <v>50</v>
      </c>
      <c r="F1065" s="4" t="s">
        <v>2336</v>
      </c>
      <c r="G1065" s="4">
        <v>0.95</v>
      </c>
      <c r="H1065" s="4" t="s">
        <v>2335</v>
      </c>
      <c r="I1065" s="4">
        <v>72</v>
      </c>
      <c r="J1065" s="8" t="s">
        <v>3688</v>
      </c>
      <c r="AA1065" t="str">
        <f t="shared" si="3"/>
        <v>Charleville Dragoon (club)</v>
      </c>
    </row>
    <row r="1066" spans="2:27" x14ac:dyDescent="0.25">
      <c r="B1066" s="3" t="s">
        <v>3683</v>
      </c>
      <c r="D1066" s="4">
        <v>9</v>
      </c>
      <c r="E1066" s="4">
        <v>50</v>
      </c>
      <c r="F1066" s="4" t="s">
        <v>2336</v>
      </c>
      <c r="G1066" s="4">
        <v>0.95</v>
      </c>
      <c r="H1066" s="4" t="s">
        <v>2496</v>
      </c>
      <c r="I1066" s="4">
        <v>72</v>
      </c>
      <c r="J1066" s="8" t="s">
        <v>3688</v>
      </c>
      <c r="AA1066" t="str">
        <f t="shared" si="3"/>
        <v>Charleville Navy (club)</v>
      </c>
    </row>
    <row r="1067" spans="2:27" x14ac:dyDescent="0.25">
      <c r="B1067" s="3" t="s">
        <v>3706</v>
      </c>
      <c r="D1067" s="4">
        <v>4.5</v>
      </c>
      <c r="E1067" s="4">
        <v>15.5</v>
      </c>
      <c r="J1067" s="8" t="s">
        <v>3707</v>
      </c>
      <c r="T1067" s="4">
        <v>6</v>
      </c>
      <c r="AA1067" t="str">
        <f t="shared" si="3"/>
        <v>Colt Walker (club)</v>
      </c>
    </row>
    <row r="1068" spans="2:27" x14ac:dyDescent="0.25">
      <c r="B1068" s="3" t="s">
        <v>3698</v>
      </c>
      <c r="D1068" s="4">
        <v>4.2</v>
      </c>
      <c r="E1068" s="4">
        <v>14.75</v>
      </c>
      <c r="J1068" s="8" t="s">
        <v>3699</v>
      </c>
      <c r="T1068" s="4">
        <v>5</v>
      </c>
      <c r="AA1068" t="str">
        <f t="shared" si="3"/>
        <v>Whitneyville Hartford Dragoon Revolver (club)</v>
      </c>
    </row>
    <row r="1069" spans="2:27" x14ac:dyDescent="0.25">
      <c r="B1069" s="3" t="s">
        <v>3700</v>
      </c>
      <c r="D1069" s="4">
        <v>4.2</v>
      </c>
      <c r="E1069" s="4">
        <v>14.75</v>
      </c>
      <c r="J1069" s="8" t="s">
        <v>3703</v>
      </c>
      <c r="T1069" s="4">
        <v>5</v>
      </c>
      <c r="AA1069" t="str">
        <f t="shared" si="3"/>
        <v>First Model Colt Dragoon Revolver (club)</v>
      </c>
    </row>
    <row r="1070" spans="2:27" x14ac:dyDescent="0.25">
      <c r="B1070" s="3" t="s">
        <v>3701</v>
      </c>
      <c r="D1070" s="4">
        <v>4.2</v>
      </c>
      <c r="E1070" s="4">
        <v>14.75</v>
      </c>
      <c r="J1070" s="8" t="s">
        <v>3704</v>
      </c>
      <c r="T1070" s="4">
        <v>5</v>
      </c>
      <c r="AA1070" t="str">
        <f t="shared" si="3"/>
        <v>Second Model Colt Dragoon Revolver (club)</v>
      </c>
    </row>
    <row r="1071" spans="2:27" x14ac:dyDescent="0.25">
      <c r="B1071" s="3" t="s">
        <v>3702</v>
      </c>
      <c r="D1071" s="4">
        <v>4.2</v>
      </c>
      <c r="E1071" s="4">
        <v>14.75</v>
      </c>
      <c r="J1071" s="8" t="s">
        <v>3705</v>
      </c>
      <c r="T1071" s="4">
        <v>5</v>
      </c>
      <c r="AA1071" t="str">
        <f t="shared" si="3"/>
        <v>Third Model Colt Dragoon Revolver (club)</v>
      </c>
    </row>
    <row r="1072" spans="2:27" x14ac:dyDescent="0.25">
      <c r="B1072" s="3" t="s">
        <v>3709</v>
      </c>
      <c r="D1072" s="4">
        <v>1.62</v>
      </c>
      <c r="E1072" s="4">
        <v>8.75</v>
      </c>
      <c r="J1072" s="8" t="s">
        <v>3710</v>
      </c>
      <c r="T1072" s="4">
        <v>5</v>
      </c>
      <c r="U1072" s="4">
        <v>6</v>
      </c>
      <c r="V1072" s="4">
        <v>20</v>
      </c>
      <c r="W1072" s="4">
        <f>$V1072*2</f>
        <v>40</v>
      </c>
      <c r="X1072" s="4">
        <f>$V1072*3</f>
        <v>60</v>
      </c>
      <c r="Y1072" s="4">
        <f>$V1072*4</f>
        <v>80</v>
      </c>
      <c r="Z1072" s="4">
        <f>$V1072*5</f>
        <v>100</v>
      </c>
      <c r="AA1072" t="str">
        <f t="shared" si="3"/>
        <v>.24 Colt 1848 Pocket Pistol (club)</v>
      </c>
    </row>
    <row r="1073" spans="2:27" x14ac:dyDescent="0.25">
      <c r="B1073" s="3" t="s">
        <v>3712</v>
      </c>
      <c r="D1073" s="4">
        <v>1.62</v>
      </c>
      <c r="E1073" s="4">
        <v>8.75</v>
      </c>
      <c r="J1073" s="8" t="s">
        <v>3713</v>
      </c>
      <c r="AA1073" t="str">
        <f t="shared" si="3"/>
        <v>.31 Colt 1849 Pocket Pistol (club)</v>
      </c>
    </row>
    <row r="1074" spans="2:27" x14ac:dyDescent="0.25">
      <c r="B1074" s="3" t="s">
        <v>3708</v>
      </c>
      <c r="D1074" s="4">
        <v>1.62</v>
      </c>
      <c r="E1074" s="4">
        <v>8.75</v>
      </c>
      <c r="J1074" s="8" t="s">
        <v>3711</v>
      </c>
      <c r="T1074" s="4">
        <v>5</v>
      </c>
      <c r="AA1074" t="str">
        <f t="shared" si="3"/>
        <v>Colt 1848 Pocket Revolver (club)</v>
      </c>
    </row>
    <row r="1075" spans="2:27" x14ac:dyDescent="0.25">
      <c r="B1075" s="3" t="s">
        <v>3739</v>
      </c>
      <c r="E1075" s="4">
        <v>25</v>
      </c>
      <c r="J1075" s="8" t="s">
        <v>3732</v>
      </c>
      <c r="AA1075" t="str">
        <f t="shared" si="3"/>
        <v>.34 Colt New Model Revolving Rifle, Stub (club)</v>
      </c>
    </row>
    <row r="1076" spans="2:27" x14ac:dyDescent="0.25">
      <c r="B1076" s="3" t="s">
        <v>3740</v>
      </c>
      <c r="E1076" s="4">
        <v>30</v>
      </c>
      <c r="J1076" s="8" t="s">
        <v>3732</v>
      </c>
      <c r="AA1076" t="str">
        <f t="shared" si="3"/>
        <v>.34 Colt New Model Revolving Rifle, Short (club)</v>
      </c>
    </row>
    <row r="1077" spans="2:27" x14ac:dyDescent="0.25">
      <c r="B1077" s="3" t="s">
        <v>3727</v>
      </c>
      <c r="E1077" s="4">
        <v>35</v>
      </c>
      <c r="J1077" s="8" t="s">
        <v>3732</v>
      </c>
      <c r="AA1077" t="str">
        <f t="shared" si="3"/>
        <v>.34 Colt New Model Revolving Rifle (club)</v>
      </c>
    </row>
    <row r="1078" spans="2:27" x14ac:dyDescent="0.25">
      <c r="B1078" s="3" t="s">
        <v>3741</v>
      </c>
      <c r="E1078" s="4">
        <v>41</v>
      </c>
      <c r="J1078" s="8" t="s">
        <v>3732</v>
      </c>
      <c r="AA1078" t="str">
        <f t="shared" si="3"/>
        <v>.34 Colt New Model Revolving Rifle, Large (club)</v>
      </c>
    </row>
    <row r="1079" spans="2:27" x14ac:dyDescent="0.25">
      <c r="B1079" s="3" t="s">
        <v>3754</v>
      </c>
      <c r="E1079" s="4">
        <v>25</v>
      </c>
      <c r="J1079" s="8" t="s">
        <v>3733</v>
      </c>
      <c r="AA1079" t="str">
        <f t="shared" si="3"/>
        <v>.36 Colt New Model Revolving Rifle, Stub (club)</v>
      </c>
    </row>
    <row r="1080" spans="2:27" x14ac:dyDescent="0.25">
      <c r="B1080" s="3" t="s">
        <v>3752</v>
      </c>
      <c r="E1080" s="4">
        <v>30</v>
      </c>
      <c r="J1080" s="8" t="s">
        <v>3733</v>
      </c>
      <c r="AA1080" t="str">
        <f t="shared" si="3"/>
        <v>.36 Colt New Model Revolving Rifle, Short (club)</v>
      </c>
    </row>
    <row r="1081" spans="2:27" x14ac:dyDescent="0.25">
      <c r="B1081" s="3" t="s">
        <v>3728</v>
      </c>
      <c r="E1081" s="4">
        <v>35</v>
      </c>
      <c r="J1081" s="8" t="s">
        <v>3733</v>
      </c>
      <c r="AA1081" t="str">
        <f t="shared" si="3"/>
        <v>.36 Colt New Model Revolving Rifle (club)</v>
      </c>
    </row>
    <row r="1082" spans="2:27" x14ac:dyDescent="0.25">
      <c r="B1082" s="3" t="s">
        <v>3753</v>
      </c>
      <c r="E1082" s="4">
        <v>41</v>
      </c>
      <c r="J1082" s="8" t="s">
        <v>3733</v>
      </c>
      <c r="AA1082" t="str">
        <f t="shared" si="3"/>
        <v>.36 Colt New Model Revolving Rifle, Long (club)</v>
      </c>
    </row>
    <row r="1083" spans="2:27" x14ac:dyDescent="0.25">
      <c r="B1083" s="3" t="s">
        <v>3755</v>
      </c>
      <c r="E1083" s="4">
        <v>25</v>
      </c>
      <c r="J1083" s="8" t="s">
        <v>3734</v>
      </c>
      <c r="AA1083" t="str">
        <f t="shared" si="3"/>
        <v>.38 Colt New Model Revolving Rifle, Stub (club)</v>
      </c>
    </row>
    <row r="1084" spans="2:27" x14ac:dyDescent="0.25">
      <c r="B1084" s="3" t="s">
        <v>3756</v>
      </c>
      <c r="E1084" s="4">
        <v>30</v>
      </c>
      <c r="J1084" s="8" t="s">
        <v>3734</v>
      </c>
      <c r="AA1084" t="str">
        <f t="shared" si="3"/>
        <v>.38 Colt New Model Revolving Rifle, Short (club)</v>
      </c>
    </row>
    <row r="1085" spans="2:27" x14ac:dyDescent="0.25">
      <c r="B1085" s="3" t="s">
        <v>3729</v>
      </c>
      <c r="E1085" s="4">
        <v>35</v>
      </c>
      <c r="J1085" s="8" t="s">
        <v>3734</v>
      </c>
      <c r="AA1085" t="str">
        <f t="shared" si="3"/>
        <v>.38 Colt New Model Revolving Rifle (club)</v>
      </c>
    </row>
    <row r="1086" spans="2:27" x14ac:dyDescent="0.25">
      <c r="B1086" s="3" t="s">
        <v>3757</v>
      </c>
      <c r="E1086" s="4">
        <v>41</v>
      </c>
      <c r="J1086" s="8" t="s">
        <v>3734</v>
      </c>
      <c r="AA1086" t="str">
        <f t="shared" ref="AA1086:AA1112" si="4">B1086&amp;" (club)"</f>
        <v>.38 Colt New Model Revolving Rifle, Long (club)</v>
      </c>
    </row>
    <row r="1087" spans="2:27" x14ac:dyDescent="0.25">
      <c r="B1087" s="3" t="s">
        <v>3758</v>
      </c>
      <c r="E1087" s="4">
        <v>25</v>
      </c>
      <c r="J1087" s="8" t="s">
        <v>3735</v>
      </c>
      <c r="AA1087" t="str">
        <f t="shared" si="4"/>
        <v>.40 Colt New Model Revolving Rifle, Stub (club)</v>
      </c>
    </row>
    <row r="1088" spans="2:27" x14ac:dyDescent="0.25">
      <c r="B1088" s="3" t="s">
        <v>3759</v>
      </c>
      <c r="E1088" s="4">
        <v>30</v>
      </c>
      <c r="J1088" s="8" t="s">
        <v>3735</v>
      </c>
      <c r="AA1088" t="str">
        <f t="shared" si="4"/>
        <v>.40 Colt New Model Revolving Rifle, Short (club)</v>
      </c>
    </row>
    <row r="1089" spans="2:27" x14ac:dyDescent="0.25">
      <c r="B1089" s="3" t="s">
        <v>3730</v>
      </c>
      <c r="E1089" s="4">
        <v>35</v>
      </c>
      <c r="J1089" s="8" t="s">
        <v>3735</v>
      </c>
      <c r="AA1089" t="str">
        <f t="shared" si="4"/>
        <v>.40 Colt New Model Revolving Rifle (club)</v>
      </c>
    </row>
    <row r="1090" spans="2:27" x14ac:dyDescent="0.25">
      <c r="B1090" s="3" t="s">
        <v>3760</v>
      </c>
      <c r="E1090" s="4">
        <v>41</v>
      </c>
      <c r="J1090" s="8" t="s">
        <v>3735</v>
      </c>
      <c r="AA1090" t="str">
        <f t="shared" si="4"/>
        <v>.40 Colt New Model Revolving Rifle, Long (club)</v>
      </c>
    </row>
    <row r="1091" spans="2:27" x14ac:dyDescent="0.25">
      <c r="B1091" s="3" t="s">
        <v>3761</v>
      </c>
      <c r="E1091" s="4">
        <v>25</v>
      </c>
      <c r="J1091" s="8" t="s">
        <v>3736</v>
      </c>
      <c r="AA1091" t="str">
        <f t="shared" si="4"/>
        <v>.44 Colt New Model Revolving Rifle, Stub (club)</v>
      </c>
    </row>
    <row r="1092" spans="2:27" x14ac:dyDescent="0.25">
      <c r="B1092" s="3" t="s">
        <v>3762</v>
      </c>
      <c r="E1092" s="4">
        <v>30</v>
      </c>
      <c r="J1092" s="8" t="s">
        <v>3736</v>
      </c>
      <c r="AA1092" t="str">
        <f t="shared" si="4"/>
        <v>.44 Colt New Model Revolving Rifle, Short (club)</v>
      </c>
    </row>
    <row r="1093" spans="2:27" x14ac:dyDescent="0.25">
      <c r="B1093" s="3" t="s">
        <v>3731</v>
      </c>
      <c r="E1093" s="4">
        <v>35</v>
      </c>
      <c r="J1093" s="8" t="s">
        <v>3736</v>
      </c>
      <c r="AA1093" t="str">
        <f t="shared" si="4"/>
        <v>.44 Colt New Model Revolving Rifle (club)</v>
      </c>
    </row>
    <row r="1094" spans="2:27" x14ac:dyDescent="0.25">
      <c r="B1094" s="3" t="s">
        <v>3763</v>
      </c>
      <c r="E1094" s="4">
        <v>41</v>
      </c>
      <c r="J1094" s="8" t="s">
        <v>3736</v>
      </c>
      <c r="AA1094" t="str">
        <f t="shared" si="4"/>
        <v>.44 Colt New Model Revolving Rifle, Long (club)</v>
      </c>
    </row>
    <row r="1095" spans="2:27" x14ac:dyDescent="0.25">
      <c r="B1095" s="3" t="s">
        <v>3764</v>
      </c>
      <c r="E1095" s="4">
        <v>25</v>
      </c>
      <c r="J1095" s="8" t="s">
        <v>3738</v>
      </c>
      <c r="AA1095" t="str">
        <f t="shared" si="4"/>
        <v>.56 Colt New Model Revolving Rifle, Stub (club)</v>
      </c>
    </row>
    <row r="1096" spans="2:27" x14ac:dyDescent="0.25">
      <c r="B1096" s="3" t="s">
        <v>3765</v>
      </c>
      <c r="E1096" s="4">
        <v>30</v>
      </c>
      <c r="J1096" s="8" t="s">
        <v>3738</v>
      </c>
      <c r="AA1096" t="str">
        <f t="shared" si="4"/>
        <v>.56 Colt New Model Revolving Rifle, Short (club)</v>
      </c>
    </row>
    <row r="1097" spans="2:27" x14ac:dyDescent="0.25">
      <c r="B1097" s="3" t="s">
        <v>3737</v>
      </c>
      <c r="E1097" s="4">
        <v>35</v>
      </c>
      <c r="J1097" s="8" t="s">
        <v>3738</v>
      </c>
      <c r="AA1097" t="str">
        <f t="shared" si="4"/>
        <v>.56 Colt New Model Revolving Rifle (club)</v>
      </c>
    </row>
    <row r="1098" spans="2:27" x14ac:dyDescent="0.25">
      <c r="B1098" s="3" t="s">
        <v>3766</v>
      </c>
      <c r="E1098" s="4">
        <v>41</v>
      </c>
      <c r="J1098" s="8" t="s">
        <v>3738</v>
      </c>
      <c r="AA1098" t="str">
        <f t="shared" si="4"/>
        <v>.56 Colt New Model Revolving Rifle, Long (club)</v>
      </c>
    </row>
    <row r="1099" spans="2:27" x14ac:dyDescent="0.25">
      <c r="B1099" s="3" t="s">
        <v>3777</v>
      </c>
      <c r="C1099" s="4">
        <v>40</v>
      </c>
      <c r="D1099" s="4">
        <v>44.75</v>
      </c>
      <c r="E1099" s="4">
        <v>44.75</v>
      </c>
      <c r="J1099" s="8" t="s">
        <v>3778</v>
      </c>
      <c r="AA1099" t="str">
        <f t="shared" si="4"/>
        <v>.44 Henry Repeating Rifle (club)</v>
      </c>
    </row>
    <row r="1100" spans="2:27" x14ac:dyDescent="0.25">
      <c r="B1100" s="3" t="s">
        <v>4107</v>
      </c>
      <c r="D1100" s="4">
        <v>3.1</v>
      </c>
      <c r="E1100" s="4">
        <v>13.25</v>
      </c>
      <c r="J1100" s="8" t="s">
        <v>4108</v>
      </c>
      <c r="AA1100" t="str">
        <f t="shared" si="4"/>
        <v>.36 LeMat Revolver (club)</v>
      </c>
    </row>
    <row r="1101" spans="2:27" x14ac:dyDescent="0.25">
      <c r="B1101" s="3" t="s">
        <v>4106</v>
      </c>
      <c r="D1101" s="4">
        <v>3.1</v>
      </c>
      <c r="E1101" s="4">
        <v>13.25</v>
      </c>
      <c r="J1101" s="8" t="s">
        <v>4109</v>
      </c>
      <c r="AA1101" t="str">
        <f t="shared" si="4"/>
        <v>.42 LeMat Revolver (club)</v>
      </c>
    </row>
    <row r="1102" spans="2:27" x14ac:dyDescent="0.25">
      <c r="B1102" s="3" t="s">
        <v>4110</v>
      </c>
      <c r="D1102" s="4">
        <v>4.5999999999999996</v>
      </c>
      <c r="E1102" s="4">
        <v>20</v>
      </c>
      <c r="J1102" s="8" t="s">
        <v>4108</v>
      </c>
    </row>
    <row r="1103" spans="2:27" x14ac:dyDescent="0.25">
      <c r="B1103" s="3" t="s">
        <v>4111</v>
      </c>
      <c r="D1103" s="4">
        <v>4.5999999999999996</v>
      </c>
      <c r="E1103" s="4">
        <v>20</v>
      </c>
      <c r="J1103" s="8" t="s">
        <v>4109</v>
      </c>
    </row>
    <row r="1104" spans="2:27" x14ac:dyDescent="0.25">
      <c r="B1104" s="3" t="s">
        <v>4112</v>
      </c>
      <c r="D1104" s="4">
        <v>2.5</v>
      </c>
      <c r="E1104" s="4">
        <v>6.75</v>
      </c>
      <c r="J1104" s="8" t="s">
        <v>4113</v>
      </c>
    </row>
    <row r="1105" spans="2:27" x14ac:dyDescent="0.25">
      <c r="B1105" s="3" t="s">
        <v>4118</v>
      </c>
      <c r="D1105" s="4">
        <v>2</v>
      </c>
      <c r="E1105" s="4">
        <v>13.25</v>
      </c>
      <c r="J1105" s="8" t="s">
        <v>4121</v>
      </c>
    </row>
    <row r="1106" spans="2:27" x14ac:dyDescent="0.25">
      <c r="B1106" s="3" t="s">
        <v>4119</v>
      </c>
      <c r="D1106" s="4">
        <v>2</v>
      </c>
      <c r="E1106" s="4">
        <v>13.25</v>
      </c>
      <c r="J1106" s="8" t="s">
        <v>4122</v>
      </c>
    </row>
    <row r="1107" spans="2:27" x14ac:dyDescent="0.25">
      <c r="B1107" s="3" t="s">
        <v>4120</v>
      </c>
      <c r="D1107" s="4">
        <v>2</v>
      </c>
      <c r="E1107" s="4">
        <v>13.25</v>
      </c>
      <c r="J1107" s="8" t="s">
        <v>4123</v>
      </c>
    </row>
    <row r="1108" spans="2:27" x14ac:dyDescent="0.25">
      <c r="B1108" s="3" t="s">
        <v>3696</v>
      </c>
      <c r="C1108" s="4">
        <v>16</v>
      </c>
      <c r="D1108" s="4">
        <v>2</v>
      </c>
      <c r="E1108" s="4">
        <v>14</v>
      </c>
      <c r="F1108" s="4" t="s">
        <v>2501</v>
      </c>
      <c r="G1108" s="4">
        <v>0.95</v>
      </c>
      <c r="H1108" s="4" t="s">
        <v>2496</v>
      </c>
      <c r="I1108" s="4">
        <v>60</v>
      </c>
      <c r="J1108" s="8" t="s">
        <v>3697</v>
      </c>
      <c r="N1108" s="4" t="s">
        <v>210</v>
      </c>
      <c r="O1108" s="4" t="s">
        <v>3513</v>
      </c>
      <c r="P1108" s="4">
        <v>0</v>
      </c>
      <c r="Q1108" s="4">
        <v>1</v>
      </c>
      <c r="R1108" s="4">
        <v>0</v>
      </c>
      <c r="T1108" s="4">
        <v>5</v>
      </c>
      <c r="U1108" s="4">
        <v>10</v>
      </c>
      <c r="V1108" s="4">
        <v>40</v>
      </c>
      <c r="W1108" s="4">
        <f>$V1108*2</f>
        <v>80</v>
      </c>
      <c r="X1108" s="4">
        <f>$V1108*3</f>
        <v>120</v>
      </c>
      <c r="Y1108" s="4">
        <f>$V1108*4</f>
        <v>160</v>
      </c>
      <c r="Z1108" s="4">
        <f>$V1108*5</f>
        <v>200</v>
      </c>
      <c r="AA1108" t="str">
        <f t="shared" si="4"/>
        <v>Colt Army Model 1860 (club)</v>
      </c>
    </row>
    <row r="1109" spans="2:27" x14ac:dyDescent="0.25">
      <c r="B1109" s="3" t="s">
        <v>3723</v>
      </c>
      <c r="D1109" s="4">
        <v>2.6</v>
      </c>
      <c r="E1109" s="4">
        <v>13</v>
      </c>
      <c r="J1109" s="8" t="s">
        <v>3724</v>
      </c>
      <c r="AA1109" t="str">
        <f t="shared" si="4"/>
        <v>Colt M1861 Navy Revolver (club)</v>
      </c>
    </row>
    <row r="1110" spans="2:27" x14ac:dyDescent="0.25">
      <c r="B1110" s="3" t="s">
        <v>3726</v>
      </c>
      <c r="D1110" s="4">
        <v>2.6</v>
      </c>
      <c r="E1110" s="4">
        <v>13</v>
      </c>
      <c r="J1110" s="8" t="s">
        <v>3725</v>
      </c>
      <c r="AA1110" t="str">
        <f t="shared" si="4"/>
        <v>Colt M1861 'Richards-Mason' Revolver (club)</v>
      </c>
    </row>
    <row r="1111" spans="2:27" x14ac:dyDescent="0.25">
      <c r="B1111" s="3" t="s">
        <v>3714</v>
      </c>
      <c r="D1111" s="4">
        <v>1.62</v>
      </c>
      <c r="E1111" s="4">
        <v>8.75</v>
      </c>
      <c r="J1111" s="8" t="s">
        <v>3715</v>
      </c>
      <c r="AA1111" t="str">
        <f t="shared" si="4"/>
        <v>.36 Colt Pocket Police Pistol (club)</v>
      </c>
    </row>
    <row r="1112" spans="2:27" x14ac:dyDescent="0.25">
      <c r="B1112" s="3" t="s">
        <v>4124</v>
      </c>
      <c r="D1112" s="4">
        <v>2</v>
      </c>
      <c r="E1112" s="4">
        <v>13.25</v>
      </c>
      <c r="J1112" s="8" t="s">
        <v>4125</v>
      </c>
      <c r="AA1112" t="str">
        <f t="shared" si="4"/>
        <v>Remington Conversion cal .46 (club)</v>
      </c>
    </row>
    <row r="1113" spans="2:27" x14ac:dyDescent="0.25">
      <c r="M1113" s="4"/>
      <c r="AA1113" s="4"/>
    </row>
    <row r="1114" spans="2:27" x14ac:dyDescent="0.25">
      <c r="B1114" s="107" t="s">
        <v>3648</v>
      </c>
      <c r="M1114" s="4"/>
      <c r="AA1114" s="4"/>
    </row>
    <row r="1115" spans="2:27" x14ac:dyDescent="0.25">
      <c r="B1115" s="3" t="s">
        <v>3163</v>
      </c>
      <c r="F1115" s="4" t="s">
        <v>2496</v>
      </c>
      <c r="G1115" s="4">
        <v>0.85</v>
      </c>
      <c r="H1115" s="4" t="s">
        <v>2496</v>
      </c>
      <c r="J1115" s="8" t="s">
        <v>3176</v>
      </c>
      <c r="AA1115" t="str">
        <f t="shared" ref="AA1115:AA1127" si="5">B1115&amp;" (club)"</f>
        <v>Remington Model 95 Derringer (club)</v>
      </c>
    </row>
    <row r="1116" spans="2:27" x14ac:dyDescent="0.25">
      <c r="B1116" s="3" t="s">
        <v>3779</v>
      </c>
      <c r="J1116" s="8" t="s">
        <v>3780</v>
      </c>
      <c r="AA1116" t="str">
        <f t="shared" si="5"/>
        <v>Winchester Rifle (club)</v>
      </c>
    </row>
    <row r="1117" spans="2:27" x14ac:dyDescent="0.25">
      <c r="B1117" s="3" t="s">
        <v>4126</v>
      </c>
      <c r="D1117" s="4">
        <v>9.25</v>
      </c>
      <c r="E1117" s="4">
        <v>50.4</v>
      </c>
      <c r="J1117" s="8" t="s">
        <v>4127</v>
      </c>
    </row>
    <row r="1118" spans="2:27" x14ac:dyDescent="0.25">
      <c r="B1118" s="3" t="s">
        <v>4114</v>
      </c>
      <c r="D1118" s="4">
        <v>2.9</v>
      </c>
      <c r="E1118" s="4">
        <v>14.8</v>
      </c>
      <c r="J1118" s="8" t="s">
        <v>4115</v>
      </c>
    </row>
    <row r="1119" spans="2:27" x14ac:dyDescent="0.25">
      <c r="B1119" s="3" t="s">
        <v>4116</v>
      </c>
      <c r="D1119" s="4">
        <v>2.6</v>
      </c>
      <c r="E1119" s="4">
        <v>14.8</v>
      </c>
      <c r="J1119" s="8" t="s">
        <v>4117</v>
      </c>
    </row>
    <row r="1120" spans="2:27" x14ac:dyDescent="0.25">
      <c r="B1120" s="3" t="s">
        <v>3211</v>
      </c>
      <c r="D1120" s="4">
        <v>2.2999999999999998</v>
      </c>
      <c r="E1120" s="4">
        <v>9.4</v>
      </c>
      <c r="J1120" s="8" t="s">
        <v>3213</v>
      </c>
      <c r="U1120" s="4">
        <v>10</v>
      </c>
      <c r="V1120" s="4">
        <v>60</v>
      </c>
      <c r="W1120" s="4">
        <f>$V1120*2</f>
        <v>120</v>
      </c>
      <c r="X1120" s="4">
        <f>$V1120*3</f>
        <v>180</v>
      </c>
      <c r="Y1120" s="4">
        <f>$V1120*4</f>
        <v>240</v>
      </c>
      <c r="Z1120" s="4">
        <f>$V1120*5</f>
        <v>300</v>
      </c>
      <c r="AA1120" t="str">
        <f t="shared" si="5"/>
        <v>MAS 1873 Revolver (club)</v>
      </c>
    </row>
    <row r="1121" spans="2:27" x14ac:dyDescent="0.25">
      <c r="B1121" s="3" t="s">
        <v>3212</v>
      </c>
      <c r="D1121" s="4">
        <v>2.4</v>
      </c>
      <c r="E1121" s="4">
        <v>9.4</v>
      </c>
      <c r="J1121" s="8" t="s">
        <v>3214</v>
      </c>
      <c r="U1121" s="4">
        <v>10</v>
      </c>
      <c r="V1121" s="4">
        <v>60</v>
      </c>
      <c r="W1121" s="4">
        <f>$V1121*2</f>
        <v>120</v>
      </c>
      <c r="X1121" s="4">
        <f>$V1121*3</f>
        <v>180</v>
      </c>
      <c r="Y1121" s="4">
        <f>$V1121*4</f>
        <v>240</v>
      </c>
      <c r="Z1121" s="4">
        <f>$V1121*5</f>
        <v>300</v>
      </c>
      <c r="AA1121" t="str">
        <f t="shared" si="5"/>
        <v>MAS 1874 Revolver d'Officier (club)</v>
      </c>
    </row>
    <row r="1122" spans="2:27" x14ac:dyDescent="0.25">
      <c r="B1122" s="3" t="s">
        <v>3694</v>
      </c>
      <c r="D1122" s="4">
        <v>2.6</v>
      </c>
      <c r="E1122" s="4">
        <v>13</v>
      </c>
      <c r="J1122" s="8" t="s">
        <v>3695</v>
      </c>
      <c r="AA1122" t="str">
        <f t="shared" si="5"/>
        <v>Colt 1851 Navy Revolver (club)</v>
      </c>
    </row>
    <row r="1123" spans="2:27" x14ac:dyDescent="0.25">
      <c r="B1123" s="3" t="s">
        <v>3718</v>
      </c>
      <c r="D1123" s="4">
        <v>1.8</v>
      </c>
      <c r="E1123" s="4">
        <v>9.75</v>
      </c>
      <c r="J1123" s="8" t="s">
        <v>3716</v>
      </c>
      <c r="AA1123" t="str">
        <f t="shared" si="5"/>
        <v>Colt Single Action Army 'Sheriffs' (club)</v>
      </c>
    </row>
    <row r="1124" spans="2:27" x14ac:dyDescent="0.25">
      <c r="B1124" s="3" t="s">
        <v>3717</v>
      </c>
      <c r="D1124" s="4">
        <v>1.9</v>
      </c>
      <c r="E1124" s="4">
        <v>10.25</v>
      </c>
      <c r="J1124" s="8" t="s">
        <v>3716</v>
      </c>
      <c r="AA1124" t="str">
        <f t="shared" si="5"/>
        <v>Colt Single Action Army 'Civilian' (club)</v>
      </c>
    </row>
    <row r="1125" spans="2:27" x14ac:dyDescent="0.25">
      <c r="B1125" s="3" t="s">
        <v>3719</v>
      </c>
      <c r="D1125" s="4">
        <v>2</v>
      </c>
      <c r="E1125" s="4">
        <v>11</v>
      </c>
      <c r="J1125" s="8" t="s">
        <v>3716</v>
      </c>
      <c r="AA1125" t="str">
        <f t="shared" si="5"/>
        <v>Colt Single Action Army 'Artillery' (club)</v>
      </c>
    </row>
    <row r="1126" spans="2:27" x14ac:dyDescent="0.25">
      <c r="B1126" s="3" t="s">
        <v>3720</v>
      </c>
      <c r="D1126" s="4">
        <v>2.31</v>
      </c>
      <c r="E1126" s="4">
        <v>12.5</v>
      </c>
      <c r="J1126" s="8" t="s">
        <v>3716</v>
      </c>
      <c r="AA1126" t="str">
        <f t="shared" si="5"/>
        <v>Colt Single Action Army 'Cavalry' (club)</v>
      </c>
    </row>
    <row r="1127" spans="2:27" x14ac:dyDescent="0.25">
      <c r="B1127" s="3" t="s">
        <v>3721</v>
      </c>
      <c r="D1127" s="4">
        <v>2.35</v>
      </c>
      <c r="E1127" s="4">
        <v>12.5</v>
      </c>
      <c r="J1127" s="8" t="s">
        <v>3722</v>
      </c>
      <c r="AA1127" t="str">
        <f t="shared" si="5"/>
        <v>.44 Colt Single Action Army (club)</v>
      </c>
    </row>
    <row r="1130" spans="2:27" x14ac:dyDescent="0.25">
      <c r="B1130" s="107" t="s">
        <v>3693</v>
      </c>
    </row>
    <row r="1131" spans="2:27" x14ac:dyDescent="0.25">
      <c r="B1131" s="3" t="s">
        <v>3689</v>
      </c>
      <c r="E1131" s="4">
        <v>33</v>
      </c>
      <c r="J1131" s="8" t="s">
        <v>3217</v>
      </c>
      <c r="AA1131" t="str">
        <f t="shared" ref="AA1131:AA1136" si="6">B1131&amp;" (club)"</f>
        <v>10 Gauge Coach Gun, Short (club)</v>
      </c>
    </row>
    <row r="1132" spans="2:27" x14ac:dyDescent="0.25">
      <c r="B1132" s="3" t="s">
        <v>3215</v>
      </c>
      <c r="E1132" s="4">
        <v>36</v>
      </c>
      <c r="J1132" s="8" t="s">
        <v>3217</v>
      </c>
      <c r="AA1132" t="str">
        <f t="shared" si="6"/>
        <v>10 Gauge Coach Gun (club)</v>
      </c>
    </row>
    <row r="1133" spans="2:27" x14ac:dyDescent="0.25">
      <c r="B1133" s="3" t="s">
        <v>3690</v>
      </c>
      <c r="E1133" s="4">
        <v>39</v>
      </c>
      <c r="J1133" s="8" t="s">
        <v>3217</v>
      </c>
      <c r="AA1133" t="str">
        <f t="shared" si="6"/>
        <v>10 Gauge Coach Gun, Long (club)</v>
      </c>
    </row>
    <row r="1134" spans="2:27" x14ac:dyDescent="0.25">
      <c r="B1134" s="3" t="s">
        <v>3691</v>
      </c>
      <c r="E1134" s="4">
        <v>33</v>
      </c>
      <c r="J1134" s="8" t="s">
        <v>3218</v>
      </c>
      <c r="AA1134" t="str">
        <f t="shared" si="6"/>
        <v>12 Gauge Coach Gun, Short (club)</v>
      </c>
    </row>
    <row r="1135" spans="2:27" x14ac:dyDescent="0.25">
      <c r="B1135" s="3" t="s">
        <v>3216</v>
      </c>
      <c r="E1135" s="4">
        <v>36</v>
      </c>
      <c r="J1135" s="8" t="s">
        <v>3218</v>
      </c>
      <c r="AA1135" t="str">
        <f t="shared" si="6"/>
        <v>12 Gauge Coach Gun (club)</v>
      </c>
    </row>
    <row r="1136" spans="2:27" x14ac:dyDescent="0.25">
      <c r="B1136" s="3" t="s">
        <v>3692</v>
      </c>
      <c r="E1136" s="4">
        <v>39</v>
      </c>
      <c r="J1136" s="8" t="s">
        <v>3218</v>
      </c>
      <c r="AA1136" t="str">
        <f t="shared" si="6"/>
        <v>12 Gauge Coach Gun, Long (club)</v>
      </c>
    </row>
    <row r="1137" spans="2:27" x14ac:dyDescent="0.25">
      <c r="M1137" s="4"/>
      <c r="AA1137" s="4"/>
    </row>
    <row r="1138" spans="2:27" x14ac:dyDescent="0.25">
      <c r="B1138" s="107" t="s">
        <v>3649</v>
      </c>
      <c r="M1138" s="4"/>
      <c r="AA1138" s="4"/>
    </row>
    <row r="1139" spans="2:27" x14ac:dyDescent="0.25">
      <c r="B1139" s="3" t="s">
        <v>3651</v>
      </c>
      <c r="C1139" s="4">
        <v>1300</v>
      </c>
      <c r="J1139" s="8" t="s">
        <v>3652</v>
      </c>
      <c r="M1139" s="4"/>
    </row>
    <row r="1140" spans="2:27" x14ac:dyDescent="0.25">
      <c r="B1140" s="3" t="s">
        <v>3767</v>
      </c>
      <c r="J1140" s="8" t="s">
        <v>3768</v>
      </c>
      <c r="M1140" s="4"/>
    </row>
    <row r="1141" spans="2:27" x14ac:dyDescent="0.25">
      <c r="M1141" s="4"/>
      <c r="AA1141" s="4"/>
    </row>
    <row r="1142" spans="2:27" x14ac:dyDescent="0.25">
      <c r="B1142" s="107" t="s">
        <v>3650</v>
      </c>
      <c r="M1142" s="4"/>
      <c r="AA1142" s="4"/>
    </row>
    <row r="1143" spans="2:27" x14ac:dyDescent="0.25">
      <c r="B1143" s="107" t="s">
        <v>3209</v>
      </c>
      <c r="J1143" s="8" t="s">
        <v>3654</v>
      </c>
      <c r="M1143" s="4"/>
      <c r="AA1143" s="4"/>
    </row>
    <row r="1144" spans="2:27" x14ac:dyDescent="0.25">
      <c r="B1144" s="107" t="s">
        <v>3769</v>
      </c>
      <c r="D1144" s="4">
        <v>170</v>
      </c>
      <c r="E1144" s="4">
        <v>42.5</v>
      </c>
      <c r="J1144" s="8" t="s">
        <v>3770</v>
      </c>
      <c r="M1144" s="4"/>
      <c r="AA1144" s="4"/>
    </row>
    <row r="1145" spans="2:27" x14ac:dyDescent="0.25">
      <c r="B1145" s="107" t="s">
        <v>3771</v>
      </c>
      <c r="D1145" s="4">
        <v>170</v>
      </c>
      <c r="E1145" s="4">
        <v>42.5</v>
      </c>
      <c r="J1145" s="8" t="s">
        <v>3774</v>
      </c>
      <c r="M1145" s="4"/>
      <c r="AA1145" s="4"/>
    </row>
    <row r="1146" spans="2:27" x14ac:dyDescent="0.25">
      <c r="B1146" s="107" t="s">
        <v>3772</v>
      </c>
      <c r="D1146" s="4">
        <v>170</v>
      </c>
      <c r="E1146" s="4">
        <v>42.5</v>
      </c>
      <c r="J1146" s="8" t="s">
        <v>3775</v>
      </c>
      <c r="M1146" s="4"/>
      <c r="AA1146" s="4"/>
    </row>
    <row r="1147" spans="2:27" x14ac:dyDescent="0.25">
      <c r="B1147" s="107" t="s">
        <v>3773</v>
      </c>
      <c r="D1147" s="4">
        <v>170</v>
      </c>
      <c r="E1147" s="4">
        <v>42.5</v>
      </c>
      <c r="J1147" s="8" t="s">
        <v>3776</v>
      </c>
      <c r="M1147" s="4"/>
      <c r="AA1147" s="4"/>
    </row>
    <row r="1148" spans="2:27" x14ac:dyDescent="0.25">
      <c r="M1148" s="4"/>
      <c r="AA1148" s="4"/>
    </row>
    <row r="1149" spans="2:27" x14ac:dyDescent="0.25">
      <c r="B1149" s="107" t="s">
        <v>3653</v>
      </c>
      <c r="M1149" s="4"/>
      <c r="AA1149" s="4"/>
    </row>
    <row r="1150" spans="2:27" x14ac:dyDescent="0.25">
      <c r="B1150" s="107"/>
      <c r="M1150" s="4"/>
      <c r="AA1150" s="4"/>
    </row>
    <row r="1151" spans="2:27" x14ac:dyDescent="0.25">
      <c r="B1151" s="107"/>
      <c r="M1151" s="4"/>
      <c r="AA1151" s="4"/>
    </row>
    <row r="1152" spans="2:27" x14ac:dyDescent="0.25">
      <c r="B1152" s="107"/>
      <c r="M1152" s="4"/>
      <c r="AA1152" s="4"/>
    </row>
    <row r="1153" spans="2:27" x14ac:dyDescent="0.25">
      <c r="M1153" s="4"/>
      <c r="AA1153" s="4"/>
    </row>
    <row r="1154" spans="2:27" x14ac:dyDescent="0.25">
      <c r="M1154" s="4"/>
      <c r="AA1154" s="4"/>
    </row>
    <row r="1155" spans="2:27" x14ac:dyDescent="0.25">
      <c r="M1155" s="4"/>
      <c r="AA1155" s="4"/>
    </row>
    <row r="1156" spans="2:27" x14ac:dyDescent="0.25">
      <c r="B1156" s="107" t="s">
        <v>3783</v>
      </c>
      <c r="M1156" s="4"/>
      <c r="AA1156" s="4"/>
    </row>
    <row r="1157" spans="2:27" x14ac:dyDescent="0.25">
      <c r="B1157" s="107" t="str">
        <f>AA250</f>
        <v>Fishing Rod &amp; Reel (Whip)</v>
      </c>
      <c r="M1157" s="4"/>
      <c r="AA1157" s="4"/>
    </row>
    <row r="1158" spans="2:27" x14ac:dyDescent="0.25">
      <c r="B1158" s="107" t="str">
        <f>AA251</f>
        <v>Fishing Rod &amp; Reel, heavy (Whip)</v>
      </c>
      <c r="M1158" s="4"/>
      <c r="AA1158" s="4"/>
    </row>
    <row r="1159" spans="2:27" x14ac:dyDescent="0.25">
      <c r="B1159" s="107" t="str">
        <f>AA265</f>
        <v>Canteen (small) (Thrown)</v>
      </c>
      <c r="M1159" s="4"/>
      <c r="N1159" s="4" t="s">
        <v>206</v>
      </c>
      <c r="O1159" s="4" t="s">
        <v>2878</v>
      </c>
      <c r="P1159" s="4">
        <v>-2</v>
      </c>
      <c r="Q1159" s="4">
        <v>0.67</v>
      </c>
      <c r="R1159" s="4">
        <v>-2</v>
      </c>
      <c r="S1159" s="4">
        <v>-10</v>
      </c>
      <c r="T1159" s="4">
        <v>6</v>
      </c>
      <c r="V1159" s="4">
        <v>5</v>
      </c>
      <c r="W1159" s="4">
        <f t="shared" ref="W1159:W1161" si="7">$V1159*2</f>
        <v>10</v>
      </c>
      <c r="X1159" s="4">
        <f t="shared" ref="X1159:X1161" si="8">$V1159*3</f>
        <v>15</v>
      </c>
      <c r="Y1159" s="4">
        <f t="shared" ref="Y1159:Y1161" si="9">$V1159*4</f>
        <v>20</v>
      </c>
      <c r="Z1159" s="4">
        <f t="shared" ref="Z1159:Z1161" si="10">$V1159*5</f>
        <v>25</v>
      </c>
      <c r="AA1159" s="4"/>
    </row>
    <row r="1160" spans="2:27" x14ac:dyDescent="0.25">
      <c r="B1160" s="107" t="str">
        <f>AA266</f>
        <v>Canteen (medium) (Thrown)</v>
      </c>
      <c r="M1160" s="4"/>
      <c r="N1160" s="4" t="s">
        <v>206</v>
      </c>
      <c r="O1160" s="4" t="s">
        <v>2878</v>
      </c>
      <c r="P1160" s="4">
        <v>-1</v>
      </c>
      <c r="Q1160" s="4">
        <v>0.75</v>
      </c>
      <c r="R1160" s="4">
        <v>-1</v>
      </c>
      <c r="S1160" s="4">
        <v>-15</v>
      </c>
      <c r="T1160" s="4">
        <v>6</v>
      </c>
      <c r="V1160" s="4">
        <v>4</v>
      </c>
      <c r="W1160" s="4">
        <f t="shared" si="7"/>
        <v>8</v>
      </c>
      <c r="X1160" s="4">
        <f t="shared" si="8"/>
        <v>12</v>
      </c>
      <c r="Y1160" s="4">
        <f t="shared" si="9"/>
        <v>16</v>
      </c>
      <c r="Z1160" s="4">
        <f t="shared" si="10"/>
        <v>20</v>
      </c>
      <c r="AA1160" s="4"/>
    </row>
    <row r="1161" spans="2:27" x14ac:dyDescent="0.25">
      <c r="B1161" s="107" t="str">
        <f>AA267</f>
        <v>Canteen (large) (Thrown)</v>
      </c>
      <c r="M1161" s="4"/>
      <c r="N1161" s="4" t="s">
        <v>206</v>
      </c>
      <c r="O1161" s="4" t="s">
        <v>2878</v>
      </c>
      <c r="P1161" s="4">
        <v>0</v>
      </c>
      <c r="Q1161" s="4">
        <v>1</v>
      </c>
      <c r="R1161" s="4">
        <v>0</v>
      </c>
      <c r="S1161" s="4">
        <v>-20</v>
      </c>
      <c r="T1161" s="4">
        <v>7</v>
      </c>
      <c r="V1161" s="4">
        <v>3</v>
      </c>
      <c r="W1161" s="4">
        <f t="shared" si="7"/>
        <v>6</v>
      </c>
      <c r="X1161" s="4">
        <f t="shared" si="8"/>
        <v>9</v>
      </c>
      <c r="Y1161" s="4">
        <f t="shared" si="9"/>
        <v>12</v>
      </c>
      <c r="Z1161" s="4">
        <f t="shared" si="10"/>
        <v>15</v>
      </c>
      <c r="AA1161" s="4"/>
    </row>
    <row r="1162" spans="2:27" x14ac:dyDescent="0.25">
      <c r="B1162" s="107" t="str">
        <f>AA270</f>
        <v>Lantern (Thrown)</v>
      </c>
      <c r="M1162" s="4"/>
      <c r="AA1162" s="4"/>
    </row>
    <row r="1163" spans="2:27" x14ac:dyDescent="0.25">
      <c r="B1163" s="107" t="str">
        <f>AA271</f>
        <v>Lamp (Thrown)</v>
      </c>
      <c r="M1163" s="4"/>
      <c r="AA1163" s="4"/>
    </row>
    <row r="1164" spans="2:27" x14ac:dyDescent="0.25">
      <c r="B1164" s="107" t="str">
        <f>AA282</f>
        <v>Jar, Ceramic (small) (Thrown)</v>
      </c>
      <c r="M1164" s="4"/>
      <c r="AA1164" s="4"/>
    </row>
    <row r="1165" spans="2:27" x14ac:dyDescent="0.25">
      <c r="B1165" s="107" t="str">
        <f>AA283</f>
        <v>Jar, Ceramic (Medium) (Thrown)</v>
      </c>
      <c r="M1165" s="4"/>
      <c r="AA1165" s="4"/>
    </row>
    <row r="1166" spans="2:27" x14ac:dyDescent="0.25">
      <c r="B1166" s="107" t="str">
        <f>AA284</f>
        <v>Jar, Ceramic (Large) (Thrown)</v>
      </c>
      <c r="M1166" s="4"/>
      <c r="AA1166" s="4"/>
    </row>
    <row r="1167" spans="2:27" x14ac:dyDescent="0.25">
      <c r="B1167" s="107" t="str">
        <f>AA286</f>
        <v>Jar, Glass (tiny) (Thrown)</v>
      </c>
      <c r="M1167" s="4"/>
      <c r="N1167" s="4" t="s">
        <v>206</v>
      </c>
      <c r="O1167" s="4" t="s">
        <v>2878</v>
      </c>
      <c r="P1167" s="4">
        <v>-3</v>
      </c>
      <c r="Q1167" s="4">
        <v>0.5</v>
      </c>
      <c r="R1167" s="4">
        <v>-3</v>
      </c>
      <c r="S1167" s="4">
        <v>-5</v>
      </c>
      <c r="T1167" s="4">
        <v>5</v>
      </c>
      <c r="V1167" s="4">
        <v>7</v>
      </c>
      <c r="W1167" s="4">
        <f t="shared" ref="W1167:W1170" si="11">$V1167*2</f>
        <v>14</v>
      </c>
      <c r="X1167" s="4">
        <f t="shared" ref="X1167:X1170" si="12">$V1167*3</f>
        <v>21</v>
      </c>
      <c r="Y1167" s="4">
        <f t="shared" ref="Y1167:Y1170" si="13">$V1167*4</f>
        <v>28</v>
      </c>
      <c r="Z1167" s="4">
        <f t="shared" ref="Z1167:Z1170" si="14">$V1167*5</f>
        <v>35</v>
      </c>
      <c r="AA1167" s="4"/>
    </row>
    <row r="1168" spans="2:27" x14ac:dyDescent="0.25">
      <c r="B1168" s="107" t="str">
        <f>AA287</f>
        <v>Jar, Glass (small) (Thrown)</v>
      </c>
      <c r="M1168" s="4"/>
      <c r="N1168" s="4" t="s">
        <v>206</v>
      </c>
      <c r="O1168" s="4" t="s">
        <v>2878</v>
      </c>
      <c r="P1168" s="4">
        <v>-2</v>
      </c>
      <c r="Q1168" s="4">
        <v>0.67</v>
      </c>
      <c r="R1168" s="4">
        <v>-2</v>
      </c>
      <c r="S1168" s="4">
        <v>-10</v>
      </c>
      <c r="T1168" s="4">
        <v>6</v>
      </c>
      <c r="V1168" s="4">
        <v>5</v>
      </c>
      <c r="W1168" s="4">
        <f t="shared" si="11"/>
        <v>10</v>
      </c>
      <c r="X1168" s="4">
        <f t="shared" si="12"/>
        <v>15</v>
      </c>
      <c r="Y1168" s="4">
        <f t="shared" si="13"/>
        <v>20</v>
      </c>
      <c r="Z1168" s="4">
        <f t="shared" si="14"/>
        <v>25</v>
      </c>
      <c r="AA1168" s="4"/>
    </row>
    <row r="1169" spans="2:27" x14ac:dyDescent="0.25">
      <c r="B1169" s="107" t="str">
        <f>AA288</f>
        <v>Jar, Glass (medium) (Thrown)</v>
      </c>
      <c r="M1169" s="4"/>
      <c r="N1169" s="4" t="s">
        <v>206</v>
      </c>
      <c r="O1169" s="4" t="s">
        <v>2878</v>
      </c>
      <c r="P1169" s="4">
        <v>-1</v>
      </c>
      <c r="Q1169" s="4">
        <v>0.75</v>
      </c>
      <c r="R1169" s="4">
        <v>-1</v>
      </c>
      <c r="S1169" s="4">
        <v>-15</v>
      </c>
      <c r="T1169" s="4">
        <v>6</v>
      </c>
      <c r="V1169" s="4">
        <v>4</v>
      </c>
      <c r="W1169" s="4">
        <f t="shared" si="11"/>
        <v>8</v>
      </c>
      <c r="X1169" s="4">
        <f t="shared" si="12"/>
        <v>12</v>
      </c>
      <c r="Y1169" s="4">
        <f t="shared" si="13"/>
        <v>16</v>
      </c>
      <c r="Z1169" s="4">
        <f t="shared" si="14"/>
        <v>20</v>
      </c>
      <c r="AA1169" s="4"/>
    </row>
    <row r="1170" spans="2:27" x14ac:dyDescent="0.25">
      <c r="B1170" s="107" t="str">
        <f>AA289</f>
        <v>Jar, Glass (large) (Thrown)</v>
      </c>
      <c r="M1170" s="4"/>
      <c r="N1170" s="4" t="s">
        <v>206</v>
      </c>
      <c r="O1170" s="4" t="s">
        <v>2878</v>
      </c>
      <c r="P1170" s="4">
        <v>0</v>
      </c>
      <c r="Q1170" s="4">
        <v>1</v>
      </c>
      <c r="R1170" s="4">
        <v>0</v>
      </c>
      <c r="S1170" s="4">
        <v>-20</v>
      </c>
      <c r="T1170" s="4">
        <v>7</v>
      </c>
      <c r="V1170" s="4">
        <v>3</v>
      </c>
      <c r="W1170" s="4">
        <f t="shared" si="11"/>
        <v>6</v>
      </c>
      <c r="X1170" s="4">
        <f t="shared" si="12"/>
        <v>9</v>
      </c>
      <c r="Y1170" s="4">
        <f t="shared" si="13"/>
        <v>12</v>
      </c>
      <c r="Z1170" s="4">
        <f t="shared" si="14"/>
        <v>15</v>
      </c>
      <c r="AA1170" s="4"/>
    </row>
    <row r="1171" spans="2:27" x14ac:dyDescent="0.25">
      <c r="B1171" s="3" t="s">
        <v>3078</v>
      </c>
      <c r="M1171" s="4"/>
      <c r="AA1171" s="4"/>
    </row>
    <row r="1172" spans="2:27" x14ac:dyDescent="0.25">
      <c r="B1172" s="3" t="s">
        <v>3072</v>
      </c>
      <c r="M1172" s="4"/>
      <c r="AA1172" s="4"/>
    </row>
    <row r="1173" spans="2:27" x14ac:dyDescent="0.25">
      <c r="B1173" s="3" t="s">
        <v>3079</v>
      </c>
      <c r="M1173" s="4"/>
      <c r="N1173" s="4" t="s">
        <v>206</v>
      </c>
      <c r="O1173" s="4" t="s">
        <v>2882</v>
      </c>
      <c r="P1173" s="4">
        <v>0</v>
      </c>
      <c r="Q1173" s="4">
        <v>1</v>
      </c>
      <c r="R1173" s="4">
        <v>0</v>
      </c>
      <c r="S1173" s="4">
        <v>-10</v>
      </c>
      <c r="T1173" s="4">
        <v>4</v>
      </c>
      <c r="V1173" s="4">
        <v>10</v>
      </c>
      <c r="W1173" s="4">
        <f>$V1173*2</f>
        <v>20</v>
      </c>
      <c r="X1173" s="4">
        <f>$V1173*3</f>
        <v>30</v>
      </c>
      <c r="Y1173" s="4">
        <f>$V1173*4</f>
        <v>40</v>
      </c>
      <c r="Z1173" s="4">
        <f>$V1173*5</f>
        <v>50</v>
      </c>
      <c r="AA1173" s="4"/>
    </row>
    <row r="1174" spans="2:27" x14ac:dyDescent="0.25">
      <c r="B1174" s="3" t="s">
        <v>3073</v>
      </c>
      <c r="M1174" s="4"/>
      <c r="AA1174" s="4"/>
    </row>
    <row r="1175" spans="2:27" x14ac:dyDescent="0.25">
      <c r="B1175" s="3" t="s">
        <v>3074</v>
      </c>
      <c r="M1175" s="4"/>
      <c r="AA1175" s="4"/>
    </row>
    <row r="1176" spans="2:27" x14ac:dyDescent="0.25">
      <c r="B1176" s="3" t="s">
        <v>3075</v>
      </c>
      <c r="M1176" s="4"/>
      <c r="AA1176" s="4"/>
    </row>
    <row r="1177" spans="2:27" x14ac:dyDescent="0.25">
      <c r="B1177" s="3" t="s">
        <v>3076</v>
      </c>
      <c r="M1177" s="4"/>
      <c r="AA1177" s="4"/>
    </row>
    <row r="1178" spans="2:27" x14ac:dyDescent="0.25">
      <c r="B1178" s="3" t="s">
        <v>3077</v>
      </c>
      <c r="M1178" s="4"/>
      <c r="AA1178" s="4"/>
    </row>
    <row r="1179" spans="2:27" x14ac:dyDescent="0.25">
      <c r="B1179" s="3" t="s">
        <v>3784</v>
      </c>
      <c r="M1179" s="4"/>
      <c r="AA1179" s="4"/>
    </row>
    <row r="1180" spans="2:27" x14ac:dyDescent="0.25">
      <c r="B1180" s="3" t="s">
        <v>3785</v>
      </c>
      <c r="M1180" s="4"/>
      <c r="AA1180" s="4"/>
    </row>
    <row r="1181" spans="2:27" x14ac:dyDescent="0.25">
      <c r="B1181" s="3" t="s">
        <v>3786</v>
      </c>
      <c r="M1181" s="4"/>
      <c r="AA1181" s="4"/>
    </row>
    <row r="1182" spans="2:27" x14ac:dyDescent="0.25">
      <c r="B1182" s="3" t="s">
        <v>3787</v>
      </c>
      <c r="M1182" s="4"/>
      <c r="AA1182" s="4"/>
    </row>
    <row r="1183" spans="2:27" x14ac:dyDescent="0.25">
      <c r="B1183" s="3" t="s">
        <v>3788</v>
      </c>
      <c r="M1183" s="4"/>
      <c r="AA1183" s="4"/>
    </row>
    <row r="1184" spans="2:27" x14ac:dyDescent="0.25">
      <c r="B1184" s="3" t="s">
        <v>3789</v>
      </c>
      <c r="M1184" s="4"/>
      <c r="AA1184" s="4"/>
    </row>
    <row r="1185" spans="2:27" x14ac:dyDescent="0.25">
      <c r="B1185" s="3" t="s">
        <v>3790</v>
      </c>
      <c r="M1185" s="4"/>
      <c r="AA1185" s="4"/>
    </row>
    <row r="1186" spans="2:27" x14ac:dyDescent="0.25">
      <c r="B1186" s="3" t="s">
        <v>3791</v>
      </c>
      <c r="M1186" s="4"/>
      <c r="AA1186" s="4"/>
    </row>
    <row r="1187" spans="2:27" x14ac:dyDescent="0.25">
      <c r="B1187" s="3" t="s">
        <v>3792</v>
      </c>
      <c r="M1187" s="4"/>
      <c r="AA1187" s="4"/>
    </row>
    <row r="1188" spans="2:27" x14ac:dyDescent="0.25">
      <c r="B1188" s="3" t="s">
        <v>3793</v>
      </c>
      <c r="M1188" s="4"/>
      <c r="AA1188" s="4"/>
    </row>
    <row r="1189" spans="2:27" x14ac:dyDescent="0.25">
      <c r="B1189" s="3" t="s">
        <v>3794</v>
      </c>
      <c r="M1189" s="4"/>
      <c r="AA1189" s="4"/>
    </row>
    <row r="1190" spans="2:27" x14ac:dyDescent="0.25">
      <c r="B1190" s="3" t="s">
        <v>3795</v>
      </c>
      <c r="M1190" s="4"/>
      <c r="AA1190" s="4"/>
    </row>
    <row r="1191" spans="2:27" x14ac:dyDescent="0.25">
      <c r="B1191" s="3" t="s">
        <v>3796</v>
      </c>
      <c r="M1191" s="4"/>
      <c r="AA1191" s="4"/>
    </row>
    <row r="1192" spans="2:27" x14ac:dyDescent="0.25">
      <c r="B1192" s="3" t="s">
        <v>3797</v>
      </c>
      <c r="M1192" s="4"/>
      <c r="AA1192" s="4"/>
    </row>
    <row r="1193" spans="2:27" x14ac:dyDescent="0.25">
      <c r="B1193" s="3" t="s">
        <v>3798</v>
      </c>
      <c r="M1193" s="4"/>
      <c r="AA1193" s="4"/>
    </row>
    <row r="1194" spans="2:27" x14ac:dyDescent="0.25">
      <c r="B1194" s="3" t="s">
        <v>3799</v>
      </c>
      <c r="M1194" s="4"/>
      <c r="AA1194" s="4"/>
    </row>
    <row r="1195" spans="2:27" x14ac:dyDescent="0.25">
      <c r="B1195" s="3" t="s">
        <v>3800</v>
      </c>
      <c r="M1195" s="4"/>
      <c r="AA1195" s="4"/>
    </row>
    <row r="1196" spans="2:27" x14ac:dyDescent="0.25">
      <c r="B1196" s="3" t="s">
        <v>3801</v>
      </c>
      <c r="M1196" s="4"/>
      <c r="AA1196" s="4"/>
    </row>
    <row r="1197" spans="2:27" x14ac:dyDescent="0.25">
      <c r="B1197" s="3" t="s">
        <v>3802</v>
      </c>
      <c r="M1197" s="4"/>
      <c r="AA1197" s="4"/>
    </row>
    <row r="1198" spans="2:27" x14ac:dyDescent="0.25">
      <c r="B1198" s="3" t="s">
        <v>3803</v>
      </c>
      <c r="M1198" s="4"/>
      <c r="AA1198" s="4"/>
    </row>
    <row r="1199" spans="2:27" x14ac:dyDescent="0.25">
      <c r="B1199" s="3" t="s">
        <v>3804</v>
      </c>
      <c r="M1199" s="4"/>
      <c r="AA1199" s="4"/>
    </row>
    <row r="1200" spans="2:27" x14ac:dyDescent="0.25">
      <c r="B1200" s="3" t="s">
        <v>3805</v>
      </c>
      <c r="M1200" s="4"/>
      <c r="AA1200" s="4"/>
    </row>
    <row r="1201" spans="2:27" x14ac:dyDescent="0.25">
      <c r="B1201" s="3" t="s">
        <v>3806</v>
      </c>
      <c r="M1201" s="4"/>
      <c r="AA1201" s="4"/>
    </row>
    <row r="1202" spans="2:27" x14ac:dyDescent="0.25">
      <c r="B1202" s="3" t="s">
        <v>3807</v>
      </c>
      <c r="M1202" s="4"/>
      <c r="AA1202" s="4"/>
    </row>
    <row r="1203" spans="2:27" x14ac:dyDescent="0.25">
      <c r="B1203" s="3" t="s">
        <v>3808</v>
      </c>
      <c r="M1203" s="4"/>
      <c r="AA1203" s="4"/>
    </row>
    <row r="1204" spans="2:27" x14ac:dyDescent="0.25">
      <c r="B1204" s="3" t="s">
        <v>3809</v>
      </c>
      <c r="M1204" s="4"/>
      <c r="AA1204" s="4"/>
    </row>
    <row r="1205" spans="2:27" x14ac:dyDescent="0.25">
      <c r="B1205" s="3" t="s">
        <v>3810</v>
      </c>
      <c r="M1205" s="4"/>
      <c r="AA1205" s="4"/>
    </row>
    <row r="1206" spans="2:27" x14ac:dyDescent="0.25">
      <c r="B1206" s="3" t="s">
        <v>3811</v>
      </c>
      <c r="M1206" s="4"/>
      <c r="AA1206" s="4"/>
    </row>
    <row r="1207" spans="2:27" x14ac:dyDescent="0.25">
      <c r="B1207" s="3" t="s">
        <v>3812</v>
      </c>
      <c r="M1207" s="4"/>
      <c r="AA1207" s="4"/>
    </row>
    <row r="1208" spans="2:27" x14ac:dyDescent="0.25">
      <c r="B1208" s="3" t="s">
        <v>3813</v>
      </c>
      <c r="M1208" s="4"/>
      <c r="AA1208" s="4"/>
    </row>
    <row r="1209" spans="2:27" x14ac:dyDescent="0.25">
      <c r="B1209" s="3" t="s">
        <v>3814</v>
      </c>
      <c r="M1209" s="4"/>
      <c r="AA1209" s="4"/>
    </row>
    <row r="1210" spans="2:27" x14ac:dyDescent="0.25">
      <c r="B1210" s="3" t="s">
        <v>3815</v>
      </c>
      <c r="M1210" s="4"/>
      <c r="AA1210" s="4"/>
    </row>
    <row r="1211" spans="2:27" x14ac:dyDescent="0.25">
      <c r="B1211" s="3" t="s">
        <v>3816</v>
      </c>
      <c r="M1211" s="4"/>
      <c r="AA1211" s="4"/>
    </row>
    <row r="1212" spans="2:27" x14ac:dyDescent="0.25">
      <c r="B1212" s="3" t="s">
        <v>3817</v>
      </c>
      <c r="M1212" s="4"/>
      <c r="AA1212" s="4"/>
    </row>
    <row r="1213" spans="2:27" x14ac:dyDescent="0.25">
      <c r="B1213" s="3" t="s">
        <v>3818</v>
      </c>
      <c r="M1213" s="4"/>
      <c r="AA1213" s="4"/>
    </row>
    <row r="1214" spans="2:27" x14ac:dyDescent="0.25">
      <c r="B1214" s="3" t="s">
        <v>3819</v>
      </c>
      <c r="M1214" s="4"/>
      <c r="AA1214" s="4"/>
    </row>
    <row r="1215" spans="2:27" x14ac:dyDescent="0.25">
      <c r="B1215" s="3" t="s">
        <v>3820</v>
      </c>
      <c r="M1215" s="4"/>
      <c r="AA1215" s="4"/>
    </row>
    <row r="1216" spans="2:27" x14ac:dyDescent="0.25">
      <c r="B1216" s="3" t="s">
        <v>3821</v>
      </c>
      <c r="M1216" s="4"/>
      <c r="AA1216" s="4"/>
    </row>
    <row r="1217" spans="2:27" x14ac:dyDescent="0.25">
      <c r="B1217" s="3" t="s">
        <v>3822</v>
      </c>
      <c r="M1217" s="4"/>
      <c r="AA1217" s="4"/>
    </row>
    <row r="1218" spans="2:27" x14ac:dyDescent="0.25">
      <c r="B1218" s="3" t="s">
        <v>3823</v>
      </c>
      <c r="M1218" s="4"/>
      <c r="AA1218" s="4"/>
    </row>
    <row r="1219" spans="2:27" x14ac:dyDescent="0.25">
      <c r="B1219" s="3" t="s">
        <v>3824</v>
      </c>
      <c r="M1219" s="4"/>
      <c r="AA1219" s="4"/>
    </row>
    <row r="1220" spans="2:27" x14ac:dyDescent="0.25">
      <c r="B1220" s="3" t="s">
        <v>3825</v>
      </c>
      <c r="M1220" s="4"/>
      <c r="AA1220" s="4"/>
    </row>
    <row r="1221" spans="2:27" x14ac:dyDescent="0.25">
      <c r="B1221" s="3" t="s">
        <v>3826</v>
      </c>
      <c r="M1221" s="4"/>
      <c r="AA1221" s="4"/>
    </row>
    <row r="1222" spans="2:27" x14ac:dyDescent="0.25">
      <c r="B1222" s="3" t="s">
        <v>3827</v>
      </c>
      <c r="M1222" s="4"/>
      <c r="AA1222" s="4"/>
    </row>
    <row r="1223" spans="2:27" x14ac:dyDescent="0.25">
      <c r="B1223" s="3" t="s">
        <v>3828</v>
      </c>
      <c r="M1223" s="4"/>
      <c r="AA1223" s="4"/>
    </row>
    <row r="1224" spans="2:27" x14ac:dyDescent="0.25">
      <c r="B1224" s="3" t="s">
        <v>3829</v>
      </c>
      <c r="M1224" s="4"/>
      <c r="AA1224" s="4"/>
    </row>
    <row r="1225" spans="2:27" x14ac:dyDescent="0.25">
      <c r="B1225" s="3" t="s">
        <v>3830</v>
      </c>
      <c r="M1225" s="4"/>
      <c r="AA1225" s="4"/>
    </row>
    <row r="1226" spans="2:27" x14ac:dyDescent="0.25">
      <c r="B1226" s="3" t="s">
        <v>3831</v>
      </c>
      <c r="M1226" s="4"/>
      <c r="AA1226" s="4"/>
    </row>
    <row r="1227" spans="2:27" x14ac:dyDescent="0.25">
      <c r="B1227" s="3" t="s">
        <v>3832</v>
      </c>
      <c r="M1227" s="4"/>
      <c r="AA1227" s="4"/>
    </row>
    <row r="1228" spans="2:27" x14ac:dyDescent="0.25">
      <c r="B1228" s="3" t="s">
        <v>3833</v>
      </c>
      <c r="M1228" s="4"/>
      <c r="AA1228" s="4"/>
    </row>
    <row r="1229" spans="2:27" x14ac:dyDescent="0.25">
      <c r="B1229" s="3" t="s">
        <v>3834</v>
      </c>
      <c r="M1229" s="4"/>
      <c r="AA1229" s="4"/>
    </row>
    <row r="1230" spans="2:27" x14ac:dyDescent="0.25">
      <c r="B1230" s="3" t="s">
        <v>3835</v>
      </c>
      <c r="M1230" s="4"/>
      <c r="AA1230" s="4"/>
    </row>
    <row r="1231" spans="2:27" x14ac:dyDescent="0.25">
      <c r="B1231" s="3" t="s">
        <v>3836</v>
      </c>
    </row>
    <row r="1232" spans="2:27" x14ac:dyDescent="0.25">
      <c r="B1232" s="3" t="s">
        <v>3837</v>
      </c>
      <c r="D1232" s="6"/>
    </row>
    <row r="1233" spans="2:5" x14ac:dyDescent="0.25">
      <c r="B1233" s="3" t="s">
        <v>3838</v>
      </c>
    </row>
    <row r="1234" spans="2:5" x14ac:dyDescent="0.25">
      <c r="B1234" s="3" t="s">
        <v>3839</v>
      </c>
    </row>
    <row r="1235" spans="2:5" x14ac:dyDescent="0.25">
      <c r="B1235" s="3" t="s">
        <v>3840</v>
      </c>
    </row>
    <row r="1236" spans="2:5" x14ac:dyDescent="0.25">
      <c r="B1236" s="3" t="s">
        <v>3841</v>
      </c>
      <c r="D1236" s="6"/>
    </row>
    <row r="1237" spans="2:5" x14ac:dyDescent="0.25">
      <c r="B1237" s="3" t="s">
        <v>3842</v>
      </c>
      <c r="C1237" s="6"/>
      <c r="D1237" s="6"/>
    </row>
    <row r="1238" spans="2:5" x14ac:dyDescent="0.25">
      <c r="B1238" s="3" t="s">
        <v>3843</v>
      </c>
    </row>
    <row r="1239" spans="2:5" x14ac:dyDescent="0.25">
      <c r="B1239" s="3" t="s">
        <v>3844</v>
      </c>
      <c r="D1239" s="6"/>
    </row>
    <row r="1240" spans="2:5" x14ac:dyDescent="0.25">
      <c r="B1240" s="3" t="s">
        <v>3845</v>
      </c>
      <c r="C1240" s="6"/>
    </row>
    <row r="1241" spans="2:5" x14ac:dyDescent="0.25">
      <c r="B1241" s="3" t="s">
        <v>3846</v>
      </c>
      <c r="C1241" s="6"/>
      <c r="E1241" s="6"/>
    </row>
    <row r="1242" spans="2:5" x14ac:dyDescent="0.25">
      <c r="B1242" s="3" t="s">
        <v>3847</v>
      </c>
      <c r="C1242" s="6"/>
    </row>
    <row r="1243" spans="2:5" x14ac:dyDescent="0.25">
      <c r="B1243" s="3" t="s">
        <v>3848</v>
      </c>
      <c r="C1243" s="6"/>
    </row>
    <row r="1244" spans="2:5" x14ac:dyDescent="0.25">
      <c r="B1244" s="3" t="s">
        <v>3849</v>
      </c>
      <c r="C1244" s="6"/>
    </row>
    <row r="1245" spans="2:5" x14ac:dyDescent="0.25">
      <c r="B1245" s="3" t="s">
        <v>3850</v>
      </c>
      <c r="C1245" s="6"/>
    </row>
    <row r="1246" spans="2:5" x14ac:dyDescent="0.25">
      <c r="B1246" s="3" t="s">
        <v>3851</v>
      </c>
      <c r="C1246" s="6"/>
    </row>
    <row r="1247" spans="2:5" x14ac:dyDescent="0.25">
      <c r="B1247" s="3" t="s">
        <v>3852</v>
      </c>
    </row>
    <row r="1248" spans="2:5" x14ac:dyDescent="0.25">
      <c r="B1248" s="3" t="s">
        <v>3853</v>
      </c>
      <c r="C1248" s="6"/>
      <c r="E1248" s="6"/>
    </row>
    <row r="1249" spans="2:20" x14ac:dyDescent="0.25">
      <c r="B1249" s="3" t="s">
        <v>3854</v>
      </c>
      <c r="C1249" s="6"/>
      <c r="D1249" s="6"/>
    </row>
    <row r="1250" spans="2:20" x14ac:dyDescent="0.25">
      <c r="B1250" s="3" t="s">
        <v>3855</v>
      </c>
      <c r="D1250" s="6"/>
    </row>
    <row r="1251" spans="2:20" x14ac:dyDescent="0.25">
      <c r="B1251" s="3" t="s">
        <v>3856</v>
      </c>
      <c r="D1251" s="6"/>
    </row>
    <row r="1252" spans="2:20" x14ac:dyDescent="0.25">
      <c r="B1252" s="3" t="s">
        <v>3857</v>
      </c>
    </row>
    <row r="1253" spans="2:20" x14ac:dyDescent="0.25">
      <c r="B1253" s="3" t="s">
        <v>3858</v>
      </c>
    </row>
    <row r="1254" spans="2:20" x14ac:dyDescent="0.25">
      <c r="B1254" s="3" t="s">
        <v>3859</v>
      </c>
    </row>
    <row r="1255" spans="2:20" x14ac:dyDescent="0.25">
      <c r="B1255" s="3" t="s">
        <v>3860</v>
      </c>
    </row>
    <row r="1256" spans="2:20" x14ac:dyDescent="0.25">
      <c r="B1256" s="3" t="s">
        <v>3861</v>
      </c>
    </row>
    <row r="1257" spans="2:20" x14ac:dyDescent="0.25">
      <c r="B1257" s="3" t="s">
        <v>3862</v>
      </c>
    </row>
    <row r="1258" spans="2:20" x14ac:dyDescent="0.25">
      <c r="B1258" s="3" t="s">
        <v>3863</v>
      </c>
      <c r="C1258" s="6"/>
    </row>
    <row r="1259" spans="2:20" x14ac:dyDescent="0.25">
      <c r="B1259" s="3" t="s">
        <v>3864</v>
      </c>
      <c r="C1259" s="6"/>
    </row>
    <row r="1260" spans="2:20" x14ac:dyDescent="0.25">
      <c r="B1260" s="3" t="s">
        <v>3865</v>
      </c>
      <c r="C1260" s="6"/>
    </row>
    <row r="1261" spans="2:20" x14ac:dyDescent="0.25">
      <c r="B1261" s="3" t="s">
        <v>3866</v>
      </c>
      <c r="C1261" s="6"/>
    </row>
    <row r="1262" spans="2:20" x14ac:dyDescent="0.25">
      <c r="B1262" s="3" t="s">
        <v>3867</v>
      </c>
      <c r="C1262" s="6"/>
    </row>
    <row r="1263" spans="2:20" x14ac:dyDescent="0.25">
      <c r="B1263" s="3" t="s">
        <v>3868</v>
      </c>
      <c r="N1263" s="4" t="s">
        <v>194</v>
      </c>
      <c r="O1263" s="4" t="s">
        <v>2878</v>
      </c>
      <c r="P1263" s="4">
        <v>-1</v>
      </c>
      <c r="Q1263" s="4">
        <v>0.75</v>
      </c>
      <c r="R1263" s="4">
        <v>-1</v>
      </c>
      <c r="S1263" s="4">
        <v>-10</v>
      </c>
      <c r="T1263" s="4">
        <v>6</v>
      </c>
    </row>
    <row r="1264" spans="2:20" x14ac:dyDescent="0.25">
      <c r="B1264" s="3" t="s">
        <v>3869</v>
      </c>
    </row>
    <row r="1265" spans="2:4" x14ac:dyDescent="0.25">
      <c r="B1265" s="3" t="s">
        <v>3870</v>
      </c>
      <c r="C1265" s="6"/>
    </row>
    <row r="1266" spans="2:4" x14ac:dyDescent="0.25">
      <c r="B1266" s="3" t="s">
        <v>3871</v>
      </c>
      <c r="C1266" s="6"/>
      <c r="D1266" s="6"/>
    </row>
    <row r="1267" spans="2:4" x14ac:dyDescent="0.25">
      <c r="B1267" s="3" t="s">
        <v>3872</v>
      </c>
      <c r="C1267" s="6"/>
    </row>
    <row r="1268" spans="2:4" x14ac:dyDescent="0.25">
      <c r="B1268" s="3" t="s">
        <v>3873</v>
      </c>
    </row>
    <row r="1269" spans="2:4" x14ac:dyDescent="0.25">
      <c r="B1269" s="3" t="s">
        <v>3874</v>
      </c>
    </row>
    <row r="1270" spans="2:4" x14ac:dyDescent="0.25">
      <c r="B1270" s="3" t="s">
        <v>3875</v>
      </c>
      <c r="C1270" s="6"/>
      <c r="D1270" s="6"/>
    </row>
    <row r="1271" spans="2:4" x14ac:dyDescent="0.25">
      <c r="B1271" s="3" t="s">
        <v>3876</v>
      </c>
    </row>
    <row r="1272" spans="2:4" x14ac:dyDescent="0.25">
      <c r="B1272" s="3" t="s">
        <v>3877</v>
      </c>
    </row>
    <row r="1273" spans="2:4" x14ac:dyDescent="0.25">
      <c r="B1273" s="3" t="s">
        <v>3878</v>
      </c>
    </row>
    <row r="1274" spans="2:4" x14ac:dyDescent="0.25">
      <c r="B1274" s="3" t="s">
        <v>3879</v>
      </c>
    </row>
    <row r="1275" spans="2:4" x14ac:dyDescent="0.25">
      <c r="B1275" s="3" t="s">
        <v>3880</v>
      </c>
    </row>
    <row r="1276" spans="2:4" x14ac:dyDescent="0.25">
      <c r="B1276" s="3" t="s">
        <v>3881</v>
      </c>
    </row>
    <row r="1277" spans="2:4" x14ac:dyDescent="0.25">
      <c r="B1277" s="3" t="s">
        <v>3882</v>
      </c>
      <c r="C1277" s="6"/>
      <c r="D1277" s="6"/>
    </row>
    <row r="1278" spans="2:4" x14ac:dyDescent="0.25">
      <c r="B1278" s="3" t="s">
        <v>3883</v>
      </c>
      <c r="C1278" s="6"/>
      <c r="D1278" s="6"/>
    </row>
    <row r="1279" spans="2:4" x14ac:dyDescent="0.25">
      <c r="B1279" s="3" t="s">
        <v>3884</v>
      </c>
      <c r="C1279" s="6"/>
      <c r="D1279" s="6"/>
    </row>
    <row r="1280" spans="2:4" x14ac:dyDescent="0.25">
      <c r="B1280" s="3" t="s">
        <v>3885</v>
      </c>
    </row>
    <row r="1281" spans="2:4" x14ac:dyDescent="0.25">
      <c r="B1281" s="3" t="s">
        <v>3886</v>
      </c>
    </row>
    <row r="1282" spans="2:4" x14ac:dyDescent="0.25">
      <c r="B1282" s="3" t="s">
        <v>3887</v>
      </c>
    </row>
    <row r="1284" spans="2:4" x14ac:dyDescent="0.25">
      <c r="D1284" s="6"/>
    </row>
    <row r="1285" spans="2:4" x14ac:dyDescent="0.25">
      <c r="D1285" s="6"/>
    </row>
    <row r="1288" spans="2:4" x14ac:dyDescent="0.25">
      <c r="C1288" s="6"/>
    </row>
    <row r="1293" spans="2:4" x14ac:dyDescent="0.25">
      <c r="C1293" s="6"/>
    </row>
    <row r="1294" spans="2:4" x14ac:dyDescent="0.25">
      <c r="C1294" s="6"/>
    </row>
    <row r="1295" spans="2:4" x14ac:dyDescent="0.25">
      <c r="C1295" s="6"/>
    </row>
    <row r="1296" spans="2:4" x14ac:dyDescent="0.25">
      <c r="C1296" s="6"/>
    </row>
    <row r="1299" spans="3:3" x14ac:dyDescent="0.25">
      <c r="C1299" s="6"/>
    </row>
    <row r="1300" spans="3:3" x14ac:dyDescent="0.25">
      <c r="C1300" s="6"/>
    </row>
    <row r="1301" spans="3:3" x14ac:dyDescent="0.25">
      <c r="C1301" s="6"/>
    </row>
    <row r="1302" spans="3:3" x14ac:dyDescent="0.25">
      <c r="C1302" s="6"/>
    </row>
    <row r="1303" spans="3:3" x14ac:dyDescent="0.25">
      <c r="C1303" s="6"/>
    </row>
    <row r="1304" spans="3:3" x14ac:dyDescent="0.25">
      <c r="C1304" s="6"/>
    </row>
    <row r="1305" spans="3:3" x14ac:dyDescent="0.25">
      <c r="C1305" s="6"/>
    </row>
    <row r="1306" spans="3:3" x14ac:dyDescent="0.25">
      <c r="C1306" s="6"/>
    </row>
    <row r="1307" spans="3:3" x14ac:dyDescent="0.25">
      <c r="C1307" s="6"/>
    </row>
    <row r="1308" spans="3:3" x14ac:dyDescent="0.25">
      <c r="C1308" s="6"/>
    </row>
    <row r="1309" spans="3:3" x14ac:dyDescent="0.25">
      <c r="C1309" s="6"/>
    </row>
    <row r="1310" spans="3:3" x14ac:dyDescent="0.25">
      <c r="C1310" s="6"/>
    </row>
    <row r="1311" spans="3:3" x14ac:dyDescent="0.25">
      <c r="C1311" s="6"/>
    </row>
    <row r="1312" spans="3:3" x14ac:dyDescent="0.25">
      <c r="C1312" s="6"/>
    </row>
    <row r="1313" spans="3:3" x14ac:dyDescent="0.25">
      <c r="C1313" s="6"/>
    </row>
    <row r="1314" spans="3:3" x14ac:dyDescent="0.25">
      <c r="C1314" s="6"/>
    </row>
    <row r="1315" spans="3:3" x14ac:dyDescent="0.25">
      <c r="C1315" s="6"/>
    </row>
    <row r="1316" spans="3:3" x14ac:dyDescent="0.25">
      <c r="C1316" s="6"/>
    </row>
    <row r="1317" spans="3:3" x14ac:dyDescent="0.25">
      <c r="C1317" s="6"/>
    </row>
    <row r="1337" spans="2:4" x14ac:dyDescent="0.25">
      <c r="C1337" s="6"/>
      <c r="D1337" s="6"/>
    </row>
    <row r="1342" spans="2:4" x14ac:dyDescent="0.25">
      <c r="D1342" s="6"/>
    </row>
    <row r="1343" spans="2:4" x14ac:dyDescent="0.25">
      <c r="B1343" s="107"/>
      <c r="D1343" s="6"/>
    </row>
    <row r="1346" spans="4:4" x14ac:dyDescent="0.25">
      <c r="D1346" s="6"/>
    </row>
    <row r="1402" spans="3:3" x14ac:dyDescent="0.25">
      <c r="C1402" s="6"/>
    </row>
    <row r="1462" spans="3:3" x14ac:dyDescent="0.25">
      <c r="C1462" s="6"/>
    </row>
    <row r="1463" spans="3:3" x14ac:dyDescent="0.25">
      <c r="C1463" s="6"/>
    </row>
    <row r="1476" spans="3:4" x14ac:dyDescent="0.25">
      <c r="D1476" s="6"/>
    </row>
    <row r="1477" spans="3:4" x14ac:dyDescent="0.25">
      <c r="D1477" s="6"/>
    </row>
    <row r="1483" spans="3:4" x14ac:dyDescent="0.25">
      <c r="C1483" s="6"/>
      <c r="D1483" s="6"/>
    </row>
    <row r="1484" spans="3:4" x14ac:dyDescent="0.25">
      <c r="C1484" s="6"/>
      <c r="D1484" s="6"/>
    </row>
    <row r="1485" spans="3:4" x14ac:dyDescent="0.25">
      <c r="C1485" s="6"/>
      <c r="D1485" s="6"/>
    </row>
    <row r="1486" spans="3:4" x14ac:dyDescent="0.25">
      <c r="C1486" s="6"/>
      <c r="D1486" s="6"/>
    </row>
    <row r="1487" spans="3:4" x14ac:dyDescent="0.25">
      <c r="C1487" s="6"/>
      <c r="D1487" s="6"/>
    </row>
    <row r="1488" spans="3:4" x14ac:dyDescent="0.25">
      <c r="C1488" s="6"/>
    </row>
    <row r="1496" spans="3:3" x14ac:dyDescent="0.25">
      <c r="C1496" s="6"/>
    </row>
    <row r="1502" spans="3:3" x14ac:dyDescent="0.25">
      <c r="C1502" s="6"/>
    </row>
    <row r="1513" spans="3:4" x14ac:dyDescent="0.25">
      <c r="C1513" s="6"/>
    </row>
    <row r="1515" spans="3:4" x14ac:dyDescent="0.25">
      <c r="C1515" s="6"/>
      <c r="D1515" s="6"/>
    </row>
    <row r="1516" spans="3:4" x14ac:dyDescent="0.25">
      <c r="C1516" s="6"/>
      <c r="D1516" s="6"/>
    </row>
    <row r="1517" spans="3:4" x14ac:dyDescent="0.25">
      <c r="D1517" s="6"/>
    </row>
    <row r="1524" spans="3:4" x14ac:dyDescent="0.25">
      <c r="C1524" s="6"/>
      <c r="D1524" s="6"/>
    </row>
    <row r="1525" spans="3:4" x14ac:dyDescent="0.25">
      <c r="C1525" s="6"/>
    </row>
    <row r="1526" spans="3:4" x14ac:dyDescent="0.25">
      <c r="C1526" s="6"/>
    </row>
    <row r="1528" spans="3:4" x14ac:dyDescent="0.25">
      <c r="C1528" s="6"/>
    </row>
    <row r="1532" spans="3:4" x14ac:dyDescent="0.25">
      <c r="C1532" s="6"/>
      <c r="D1532" s="6"/>
    </row>
    <row r="1535" spans="3:4" x14ac:dyDescent="0.25">
      <c r="C1535" s="6"/>
    </row>
    <row r="1536" spans="3:4" x14ac:dyDescent="0.25">
      <c r="D1536" s="6"/>
    </row>
    <row r="1537" spans="4:4" x14ac:dyDescent="0.25">
      <c r="D1537" s="6"/>
    </row>
    <row r="1543" spans="4:4" x14ac:dyDescent="0.25">
      <c r="D1543" s="6"/>
    </row>
    <row r="1544" spans="4:4" x14ac:dyDescent="0.25">
      <c r="D1544" s="6"/>
    </row>
    <row r="1545" spans="4:4" x14ac:dyDescent="0.25">
      <c r="D1545" s="6"/>
    </row>
    <row r="1548" spans="4:4" x14ac:dyDescent="0.25">
      <c r="D1548" s="6"/>
    </row>
    <row r="1550" spans="4:4" x14ac:dyDescent="0.25">
      <c r="D1550" s="6"/>
    </row>
    <row r="1552" spans="4:4" x14ac:dyDescent="0.25">
      <c r="D1552" s="6"/>
    </row>
    <row r="1553" spans="3:4" x14ac:dyDescent="0.25">
      <c r="C1553" s="6"/>
    </row>
    <row r="1554" spans="3:4" x14ac:dyDescent="0.25">
      <c r="C1554" s="6"/>
    </row>
    <row r="1555" spans="3:4" x14ac:dyDescent="0.25">
      <c r="C1555" s="6"/>
      <c r="D1555" s="6"/>
    </row>
    <row r="1556" spans="3:4" x14ac:dyDescent="0.25">
      <c r="D1556" s="6"/>
    </row>
    <row r="1559" spans="3:4" x14ac:dyDescent="0.25">
      <c r="C1559" s="6"/>
      <c r="D1559" s="6"/>
    </row>
    <row r="1560" spans="3:4" x14ac:dyDescent="0.25">
      <c r="D1560" s="6"/>
    </row>
    <row r="1565" spans="3:4" x14ac:dyDescent="0.25">
      <c r="D1565" s="6"/>
    </row>
    <row r="1566" spans="3:4" x14ac:dyDescent="0.25">
      <c r="D1566" s="6"/>
    </row>
    <row r="1567" spans="3:4" x14ac:dyDescent="0.25">
      <c r="D1567" s="6"/>
    </row>
    <row r="1568" spans="3:4" x14ac:dyDescent="0.25">
      <c r="D1568" s="6"/>
    </row>
    <row r="1599" spans="4:4" x14ac:dyDescent="0.25">
      <c r="D1599" s="6"/>
    </row>
    <row r="1638" spans="3:3" x14ac:dyDescent="0.25">
      <c r="C1638" s="6"/>
    </row>
    <row r="1639" spans="3:3" x14ac:dyDescent="0.25">
      <c r="C1639" s="6"/>
    </row>
    <row r="1642" spans="3:3" x14ac:dyDescent="0.25">
      <c r="C1642" s="6"/>
    </row>
    <row r="1643" spans="3:3" x14ac:dyDescent="0.25">
      <c r="C1643" s="6"/>
    </row>
    <row r="1644" spans="3:3" x14ac:dyDescent="0.25">
      <c r="C1644" s="6"/>
    </row>
    <row r="1645" spans="3:3" x14ac:dyDescent="0.25">
      <c r="C1645" s="6"/>
    </row>
    <row r="1650" spans="3:4" x14ac:dyDescent="0.25">
      <c r="D1650" s="6"/>
    </row>
    <row r="1653" spans="3:4" x14ac:dyDescent="0.25">
      <c r="D1653" s="6"/>
    </row>
    <row r="1656" spans="3:4" x14ac:dyDescent="0.25">
      <c r="C1656" s="6"/>
    </row>
    <row r="1661" spans="3:4" x14ac:dyDescent="0.25">
      <c r="D1661" s="6"/>
    </row>
    <row r="1665" spans="3:4" x14ac:dyDescent="0.25">
      <c r="C1665" s="6"/>
      <c r="D1665" s="6"/>
    </row>
    <row r="1668" spans="3:4" x14ac:dyDescent="0.25">
      <c r="C1668" s="6"/>
    </row>
    <row r="1669" spans="3:4" x14ac:dyDescent="0.25">
      <c r="C1669" s="6"/>
      <c r="D1669" s="6"/>
    </row>
    <row r="1679" spans="3:4" x14ac:dyDescent="0.25">
      <c r="D1679" s="6"/>
    </row>
    <row r="1682" spans="3:4" x14ac:dyDescent="0.25">
      <c r="C1682" s="6"/>
    </row>
    <row r="1683" spans="3:4" x14ac:dyDescent="0.25">
      <c r="C1683" s="6"/>
    </row>
    <row r="1684" spans="3:4" x14ac:dyDescent="0.25">
      <c r="C1684" s="6"/>
    </row>
    <row r="1685" spans="3:4" x14ac:dyDescent="0.25">
      <c r="C1685" s="6"/>
    </row>
    <row r="1694" spans="3:4" x14ac:dyDescent="0.25">
      <c r="C1694" s="6"/>
      <c r="D1694" s="6"/>
    </row>
    <row r="1695" spans="3:4" x14ac:dyDescent="0.25">
      <c r="C1695" s="6"/>
      <c r="D1695" s="6"/>
    </row>
    <row r="1696" spans="3:4" x14ac:dyDescent="0.25">
      <c r="C1696" s="6"/>
      <c r="D1696" s="6"/>
    </row>
    <row r="1698" spans="4:4" x14ac:dyDescent="0.25">
      <c r="D1698" s="6"/>
    </row>
    <row r="1699" spans="4:4" x14ac:dyDescent="0.25">
      <c r="D1699" s="6"/>
    </row>
    <row r="1700" spans="4:4" x14ac:dyDescent="0.25">
      <c r="D1700" s="6"/>
    </row>
    <row r="1701" spans="4:4" x14ac:dyDescent="0.25">
      <c r="D1701" s="6"/>
    </row>
    <row r="1706" spans="4:4" x14ac:dyDescent="0.25">
      <c r="D1706" s="6"/>
    </row>
    <row r="1721" spans="4:4" x14ac:dyDescent="0.25">
      <c r="D1721" s="6"/>
    </row>
    <row r="1722" spans="4:4" x14ac:dyDescent="0.25">
      <c r="D1722" s="6"/>
    </row>
    <row r="1723" spans="4:4" x14ac:dyDescent="0.25">
      <c r="D1723" s="6"/>
    </row>
    <row r="1734" spans="3:4" x14ac:dyDescent="0.25">
      <c r="C1734" s="6"/>
      <c r="D1734" s="6"/>
    </row>
    <row r="1743" spans="3:4" x14ac:dyDescent="0.25">
      <c r="D1743" s="6"/>
    </row>
    <row r="1756" spans="4:4" x14ac:dyDescent="0.25">
      <c r="D1756" s="6"/>
    </row>
    <row r="1764" spans="3:4" x14ac:dyDescent="0.25">
      <c r="C1764" s="6"/>
    </row>
    <row r="1765" spans="3:4" x14ac:dyDescent="0.25">
      <c r="C1765" s="6"/>
      <c r="D1765" s="6"/>
    </row>
    <row r="1766" spans="3:4" x14ac:dyDescent="0.25">
      <c r="C1766" s="6"/>
      <c r="D1766" s="6"/>
    </row>
    <row r="1767" spans="3:4" x14ac:dyDescent="0.25">
      <c r="C1767" s="6"/>
      <c r="D1767" s="6"/>
    </row>
    <row r="1768" spans="3:4" x14ac:dyDescent="0.25">
      <c r="D1768" s="6"/>
    </row>
    <row r="1769" spans="3:4" x14ac:dyDescent="0.25">
      <c r="C1769" s="6"/>
    </row>
    <row r="1773" spans="3:4" x14ac:dyDescent="0.25">
      <c r="C1773" s="6"/>
    </row>
    <row r="1776" spans="3:4" x14ac:dyDescent="0.25">
      <c r="C1776" s="6"/>
    </row>
    <row r="1777" spans="3:4" x14ac:dyDescent="0.25">
      <c r="C1777" s="6"/>
    </row>
    <row r="1778" spans="3:4" x14ac:dyDescent="0.25">
      <c r="C1778" s="6"/>
    </row>
    <row r="1779" spans="3:4" x14ac:dyDescent="0.25">
      <c r="C1779" s="6"/>
    </row>
    <row r="1780" spans="3:4" x14ac:dyDescent="0.25">
      <c r="D1780" s="6"/>
    </row>
    <row r="1782" spans="3:4" x14ac:dyDescent="0.25">
      <c r="D1782" s="6"/>
    </row>
    <row r="1783" spans="3:4" x14ac:dyDescent="0.25">
      <c r="D1783" s="6"/>
    </row>
    <row r="1784" spans="3:4" x14ac:dyDescent="0.25">
      <c r="D1784" s="6"/>
    </row>
    <row r="1785" spans="3:4" x14ac:dyDescent="0.25">
      <c r="D1785" s="6"/>
    </row>
    <row r="1786" spans="3:4" x14ac:dyDescent="0.25">
      <c r="D1786" s="6"/>
    </row>
    <row r="1787" spans="3:4" x14ac:dyDescent="0.25">
      <c r="D1787" s="6"/>
    </row>
    <row r="1788" spans="3:4" x14ac:dyDescent="0.25">
      <c r="D1788" s="6"/>
    </row>
    <row r="1789" spans="3:4" x14ac:dyDescent="0.25">
      <c r="D1789" s="6"/>
    </row>
    <row r="1790" spans="3:4" x14ac:dyDescent="0.25">
      <c r="D1790" s="6"/>
    </row>
    <row r="1791" spans="3:4" x14ac:dyDescent="0.25">
      <c r="D1791" s="6"/>
    </row>
    <row r="1792" spans="3:4" x14ac:dyDescent="0.25">
      <c r="D1792" s="6"/>
    </row>
    <row r="1793" spans="3:4" x14ac:dyDescent="0.25">
      <c r="C1793" s="6"/>
      <c r="D1793" s="6"/>
    </row>
    <row r="1794" spans="3:4" x14ac:dyDescent="0.25">
      <c r="D1794" s="6"/>
    </row>
    <row r="1795" spans="3:4" x14ac:dyDescent="0.25">
      <c r="D1795" s="6"/>
    </row>
    <row r="1796" spans="3:4" x14ac:dyDescent="0.25">
      <c r="D1796" s="6"/>
    </row>
    <row r="1797" spans="3:4" x14ac:dyDescent="0.25">
      <c r="D1797" s="6"/>
    </row>
    <row r="1798" spans="3:4" x14ac:dyDescent="0.25">
      <c r="D1798" s="6"/>
    </row>
    <row r="1799" spans="3:4" x14ac:dyDescent="0.25">
      <c r="D1799" s="6"/>
    </row>
    <row r="1800" spans="3:4" x14ac:dyDescent="0.25">
      <c r="D1800" s="6"/>
    </row>
    <row r="1801" spans="3:4" x14ac:dyDescent="0.25">
      <c r="D1801" s="6"/>
    </row>
    <row r="1802" spans="3:4" x14ac:dyDescent="0.25">
      <c r="D1802" s="6"/>
    </row>
    <row r="1803" spans="3:4" x14ac:dyDescent="0.25">
      <c r="C1803" s="6"/>
      <c r="D1803" s="6"/>
    </row>
    <row r="1804" spans="3:4" x14ac:dyDescent="0.25">
      <c r="C1804" s="6"/>
      <c r="D1804" s="6"/>
    </row>
    <row r="1805" spans="3:4" x14ac:dyDescent="0.25">
      <c r="C1805" s="6"/>
      <c r="D1805" s="6"/>
    </row>
    <row r="1881" spans="3:4" x14ac:dyDescent="0.25">
      <c r="C1881" s="6"/>
      <c r="D1881" s="6"/>
    </row>
    <row r="1884" spans="3:4" x14ac:dyDescent="0.25">
      <c r="C1884" s="6"/>
      <c r="D1884" s="6"/>
    </row>
    <row r="1885" spans="3:4" x14ac:dyDescent="0.25">
      <c r="D1885" s="6"/>
    </row>
    <row r="1891" spans="3:7" x14ac:dyDescent="0.25">
      <c r="C1891" s="6"/>
      <c r="D1891" s="6"/>
    </row>
    <row r="1892" spans="3:7" x14ac:dyDescent="0.25">
      <c r="D1892" s="6"/>
    </row>
    <row r="1893" spans="3:7" x14ac:dyDescent="0.25">
      <c r="D1893" s="6"/>
    </row>
    <row r="1895" spans="3:7" x14ac:dyDescent="0.25">
      <c r="D1895" s="6"/>
    </row>
    <row r="1896" spans="3:7" x14ac:dyDescent="0.25">
      <c r="G1896" s="61"/>
    </row>
    <row r="1897" spans="3:7" x14ac:dyDescent="0.25">
      <c r="D1897" s="6"/>
    </row>
    <row r="1898" spans="3:7" x14ac:dyDescent="0.25">
      <c r="D1898" s="6"/>
    </row>
    <row r="1900" spans="3:7" x14ac:dyDescent="0.25">
      <c r="C1900" s="6"/>
      <c r="D1900" s="6"/>
    </row>
    <row r="1902" spans="3:7" x14ac:dyDescent="0.25">
      <c r="D1902" s="6"/>
    </row>
    <row r="1903" spans="3:7" x14ac:dyDescent="0.25">
      <c r="D1903" s="6"/>
    </row>
    <row r="1916" spans="4:5" x14ac:dyDescent="0.25">
      <c r="D1916" s="61"/>
      <c r="E1916" s="61"/>
    </row>
    <row r="1917" spans="4:5" x14ac:dyDescent="0.25">
      <c r="D1917" s="61"/>
      <c r="E1917" s="61"/>
    </row>
  </sheetData>
  <sortState xmlns:xlrd2="http://schemas.microsoft.com/office/spreadsheetml/2017/richdata2" ref="B1867:B1868">
    <sortCondition ref="B1868"/>
  </sortState>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5CCB48E-A69D-4242-ACBD-F6E98737D8C1}">
          <x14:formula1>
            <xm:f>Charts!$BD$3:$BD$38</xm:f>
          </x14:formula1>
          <xm:sqref>H488:H514 F282:F297 H282:H297 F300:F306 H300:H306 F308 H308 F313:F332 H313:H332 F334:F353 H334:H353 F355:F363 H355:H363 F366:F380 H366:H380 F383:F392 H383:H392 H430:H450 F430:F450 F453:F454 H453:H454 F456 H456 F459:F473 H459:H473 F475:F481 H475:H481 F488:F514 H231:H271 F231:F271 F517:F531 H517:H531 F534:F579 H534:H579 F582:F655 H582:H655 F665:F727 H665:H727 H836:H838 F776:F806 H776:H806 H1231:H1936 F849:F857 H849:H857 F860:F900 H860:H900 F903:F928 H903:H928 F936:F987 H936:H987 F841:F847 H841:H847 F990:F1015 H990:H1015 F836:F838 F733:F773 H733:H773 H1150:H1154 F1018:F1112 F1231:F1936 H809:H833 F809:F833 F1150:F1154 H1018:H1112 H1115:H1136 F1115:F1136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DD0DE-E75A-400C-8C5C-E5C129F4310C}">
  <dimension ref="A1:BP182"/>
  <sheetViews>
    <sheetView workbookViewId="0">
      <selection activeCell="D4" sqref="D4"/>
    </sheetView>
  </sheetViews>
  <sheetFormatPr defaultColWidth="0.85546875" defaultRowHeight="15" x14ac:dyDescent="0.25"/>
  <cols>
    <col min="1" max="1" width="3" bestFit="1" customWidth="1"/>
    <col min="2" max="2" width="30.42578125" bestFit="1" customWidth="1"/>
    <col min="3" max="3" width="3.7109375" customWidth="1"/>
    <col min="4" max="4" width="6.42578125" bestFit="1" customWidth="1"/>
    <col min="5" max="6" width="8.5703125" bestFit="1" customWidth="1"/>
    <col min="7" max="7" width="7.5703125" bestFit="1" customWidth="1"/>
    <col min="8" max="11" width="8.5703125" bestFit="1" customWidth="1"/>
    <col min="12" max="12" width="7.5703125" bestFit="1" customWidth="1"/>
    <col min="13" max="15" width="9.5703125" bestFit="1" customWidth="1"/>
    <col min="16" max="16" width="8.5703125" bestFit="1" customWidth="1"/>
    <col min="17" max="18" width="9.5703125" bestFit="1" customWidth="1"/>
    <col min="19" max="19" width="8.5703125" bestFit="1" customWidth="1"/>
    <col min="20" max="67" width="5.5703125" bestFit="1" customWidth="1"/>
    <col min="68" max="68" width="3" bestFit="1" customWidth="1"/>
  </cols>
  <sheetData>
    <row r="1" spans="1:68" x14ac:dyDescent="0.25">
      <c r="B1" s="59"/>
      <c r="C1" s="59"/>
      <c r="D1" s="59"/>
      <c r="E1" s="59"/>
      <c r="F1" s="59"/>
      <c r="G1" s="59"/>
      <c r="H1" s="59"/>
      <c r="I1" s="59"/>
      <c r="J1" s="59"/>
      <c r="K1" s="59"/>
      <c r="L1" s="59"/>
      <c r="M1" s="59"/>
      <c r="N1" s="59"/>
      <c r="O1" s="59"/>
      <c r="P1" s="59"/>
      <c r="Q1" s="59"/>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row>
    <row r="2" spans="1:68" ht="56.25" x14ac:dyDescent="0.25">
      <c r="F2" s="12" t="s">
        <v>2124</v>
      </c>
      <c r="G2" s="12" t="s">
        <v>2125</v>
      </c>
      <c r="H2" s="12" t="s">
        <v>2126</v>
      </c>
      <c r="I2" s="12" t="s">
        <v>2127</v>
      </c>
      <c r="J2" s="12" t="s">
        <v>2128</v>
      </c>
      <c r="K2" s="12" t="s">
        <v>2129</v>
      </c>
      <c r="L2" s="12" t="s">
        <v>2130</v>
      </c>
      <c r="M2" s="12" t="s">
        <v>2131</v>
      </c>
      <c r="N2" s="12" t="s">
        <v>2132</v>
      </c>
      <c r="O2" s="12" t="s">
        <v>2133</v>
      </c>
      <c r="P2" s="12" t="s">
        <v>2134</v>
      </c>
      <c r="Q2" s="12" t="s">
        <v>2135</v>
      </c>
      <c r="R2" s="12" t="s">
        <v>2136</v>
      </c>
      <c r="S2" s="12" t="s">
        <v>2137</v>
      </c>
      <c r="T2" s="12" t="s">
        <v>2124</v>
      </c>
      <c r="U2" s="12" t="s">
        <v>2125</v>
      </c>
      <c r="V2" s="12" t="s">
        <v>2126</v>
      </c>
      <c r="W2" s="12" t="s">
        <v>2127</v>
      </c>
      <c r="X2" s="12" t="s">
        <v>2128</v>
      </c>
      <c r="Y2" s="12" t="s">
        <v>2129</v>
      </c>
      <c r="Z2" s="12" t="s">
        <v>2130</v>
      </c>
      <c r="AA2" s="12" t="s">
        <v>2131</v>
      </c>
      <c r="AB2" s="12" t="s">
        <v>2132</v>
      </c>
      <c r="AC2" s="12" t="s">
        <v>2133</v>
      </c>
      <c r="AD2" s="12" t="s">
        <v>2134</v>
      </c>
      <c r="AE2" s="12" t="s">
        <v>2135</v>
      </c>
      <c r="AF2" s="12" t="s">
        <v>2136</v>
      </c>
      <c r="AG2" s="12" t="s">
        <v>2137</v>
      </c>
      <c r="AH2" s="12" t="s">
        <v>2124</v>
      </c>
      <c r="AI2" s="12" t="s">
        <v>2125</v>
      </c>
      <c r="AJ2" s="12" t="s">
        <v>2126</v>
      </c>
      <c r="AK2" s="12" t="s">
        <v>2127</v>
      </c>
      <c r="AL2" s="12" t="s">
        <v>2128</v>
      </c>
      <c r="AM2" s="12" t="s">
        <v>2129</v>
      </c>
      <c r="AN2" s="12" t="s">
        <v>2130</v>
      </c>
      <c r="AO2" s="12" t="s">
        <v>2131</v>
      </c>
      <c r="AP2" s="12" t="s">
        <v>2132</v>
      </c>
      <c r="AQ2" s="12" t="s">
        <v>2133</v>
      </c>
      <c r="AR2" s="12" t="s">
        <v>2134</v>
      </c>
      <c r="AS2" s="12" t="s">
        <v>2135</v>
      </c>
      <c r="AT2" s="12" t="s">
        <v>2136</v>
      </c>
      <c r="AU2" s="12" t="s">
        <v>2137</v>
      </c>
      <c r="AV2" s="12" t="s">
        <v>2124</v>
      </c>
      <c r="AW2" s="12" t="s">
        <v>2125</v>
      </c>
      <c r="AX2" s="12" t="s">
        <v>2126</v>
      </c>
      <c r="AY2" s="12" t="s">
        <v>2127</v>
      </c>
      <c r="AZ2" s="12" t="s">
        <v>2128</v>
      </c>
      <c r="BA2" s="12" t="s">
        <v>2129</v>
      </c>
      <c r="BB2" s="12" t="s">
        <v>2130</v>
      </c>
      <c r="BC2" s="12" t="s">
        <v>2131</v>
      </c>
      <c r="BD2" s="12" t="s">
        <v>2132</v>
      </c>
      <c r="BE2" s="12" t="s">
        <v>2133</v>
      </c>
      <c r="BF2" s="12" t="s">
        <v>2134</v>
      </c>
      <c r="BG2" s="12" t="s">
        <v>2135</v>
      </c>
      <c r="BH2" s="12" t="s">
        <v>2136</v>
      </c>
      <c r="BI2" s="12" t="s">
        <v>2137</v>
      </c>
      <c r="BJ2" s="12" t="s">
        <v>2131</v>
      </c>
      <c r="BK2" s="12" t="s">
        <v>2132</v>
      </c>
      <c r="BL2" s="12" t="s">
        <v>2133</v>
      </c>
      <c r="BM2" s="12" t="s">
        <v>2134</v>
      </c>
      <c r="BN2" s="12" t="s">
        <v>2124</v>
      </c>
      <c r="BO2" s="12" t="s">
        <v>2125</v>
      </c>
    </row>
    <row r="3" spans="1:68" x14ac:dyDescent="0.25">
      <c r="B3" s="59"/>
      <c r="C3" s="14" t="s">
        <v>74</v>
      </c>
      <c r="D3" s="14" t="s">
        <v>37</v>
      </c>
      <c r="E3" s="14" t="s">
        <v>61</v>
      </c>
      <c r="F3" s="354" t="s">
        <v>2007</v>
      </c>
      <c r="G3" s="354"/>
      <c r="H3" s="354"/>
      <c r="I3" s="354"/>
      <c r="J3" s="354"/>
      <c r="K3" s="354"/>
      <c r="L3" s="354"/>
      <c r="M3" s="354"/>
      <c r="N3" s="354"/>
      <c r="O3" s="354"/>
      <c r="P3" s="354"/>
      <c r="Q3" s="354"/>
      <c r="R3" s="354"/>
      <c r="S3" s="354"/>
      <c r="T3" s="354" t="s">
        <v>118</v>
      </c>
      <c r="U3" s="354"/>
      <c r="V3" s="354"/>
      <c r="W3" s="354"/>
      <c r="X3" s="354"/>
      <c r="Y3" s="354"/>
      <c r="Z3" s="354"/>
      <c r="AA3" s="354"/>
      <c r="AB3" s="354"/>
      <c r="AC3" s="354"/>
      <c r="AD3" s="354"/>
      <c r="AE3" s="354"/>
      <c r="AF3" s="354"/>
      <c r="AG3" s="354"/>
      <c r="AH3" s="354" t="s">
        <v>72</v>
      </c>
      <c r="AI3" s="354"/>
      <c r="AJ3" s="354"/>
      <c r="AK3" s="354"/>
      <c r="AL3" s="354"/>
      <c r="AM3" s="354"/>
      <c r="AN3" s="354"/>
      <c r="AO3" s="354"/>
      <c r="AP3" s="354"/>
      <c r="AQ3" s="354"/>
      <c r="AR3" s="354"/>
      <c r="AS3" s="354"/>
      <c r="AT3" s="354"/>
      <c r="AU3" s="354"/>
      <c r="AV3" s="354" t="s">
        <v>2233</v>
      </c>
      <c r="AW3" s="354"/>
      <c r="AX3" s="354"/>
      <c r="AY3" s="354"/>
      <c r="AZ3" s="354"/>
      <c r="BA3" s="354"/>
      <c r="BB3" s="354"/>
      <c r="BC3" s="354"/>
      <c r="BD3" s="354"/>
      <c r="BE3" s="354"/>
      <c r="BF3" s="354"/>
      <c r="BG3" s="354"/>
      <c r="BH3" s="354"/>
      <c r="BI3" s="354"/>
      <c r="BJ3" s="354" t="s">
        <v>76</v>
      </c>
      <c r="BK3" s="354"/>
      <c r="BL3" s="354"/>
      <c r="BM3" s="354"/>
      <c r="BN3" s="354" t="s">
        <v>77</v>
      </c>
      <c r="BO3" s="354"/>
    </row>
    <row r="4" spans="1:68" x14ac:dyDescent="0.25">
      <c r="A4" s="4">
        <v>1</v>
      </c>
      <c r="B4" s="3" t="s">
        <v>3016</v>
      </c>
      <c r="C4" s="4">
        <v>0</v>
      </c>
      <c r="D4" s="4">
        <v>0</v>
      </c>
      <c r="E4" s="4">
        <v>0</v>
      </c>
      <c r="F4" s="61">
        <v>0</v>
      </c>
      <c r="G4" s="61">
        <v>0</v>
      </c>
      <c r="H4" s="61">
        <v>0</v>
      </c>
      <c r="I4" s="61">
        <v>0</v>
      </c>
      <c r="J4" s="61">
        <v>0</v>
      </c>
      <c r="K4" s="61">
        <v>0</v>
      </c>
      <c r="L4" s="61">
        <v>0</v>
      </c>
      <c r="M4" s="61">
        <v>0</v>
      </c>
      <c r="N4" s="61">
        <v>0</v>
      </c>
      <c r="O4" s="61">
        <v>0</v>
      </c>
      <c r="P4" s="61">
        <v>0</v>
      </c>
      <c r="Q4" s="61">
        <v>0</v>
      </c>
      <c r="R4" s="61">
        <v>0</v>
      </c>
      <c r="S4" s="61">
        <v>0</v>
      </c>
      <c r="T4" s="61">
        <v>0</v>
      </c>
      <c r="U4" s="61">
        <v>0</v>
      </c>
      <c r="V4" s="61">
        <v>0</v>
      </c>
      <c r="W4" s="61">
        <v>0</v>
      </c>
      <c r="X4" s="61">
        <v>0</v>
      </c>
      <c r="Y4" s="61">
        <v>0</v>
      </c>
      <c r="Z4" s="61">
        <v>0</v>
      </c>
      <c r="AA4" s="61">
        <v>0</v>
      </c>
      <c r="AB4" s="61">
        <v>0</v>
      </c>
      <c r="AC4" s="61">
        <v>0</v>
      </c>
      <c r="AD4" s="61">
        <v>0</v>
      </c>
      <c r="AE4" s="61">
        <v>0</v>
      </c>
      <c r="AF4" s="61">
        <v>0</v>
      </c>
      <c r="AG4" s="61">
        <v>0</v>
      </c>
      <c r="AH4" s="60">
        <v>0</v>
      </c>
      <c r="AI4" s="60">
        <v>0</v>
      </c>
      <c r="AJ4" s="60">
        <v>0</v>
      </c>
      <c r="AK4" s="60">
        <v>0</v>
      </c>
      <c r="AL4" s="60">
        <v>0</v>
      </c>
      <c r="AM4" s="60">
        <v>0</v>
      </c>
      <c r="AN4" s="60">
        <v>0</v>
      </c>
      <c r="AO4" s="60">
        <v>0</v>
      </c>
      <c r="AP4" s="60">
        <v>0</v>
      </c>
      <c r="AQ4" s="60">
        <v>0</v>
      </c>
      <c r="AR4" s="60">
        <v>0</v>
      </c>
      <c r="AS4" s="60">
        <v>0</v>
      </c>
      <c r="AT4" s="60">
        <v>0</v>
      </c>
      <c r="AU4" s="60">
        <v>0</v>
      </c>
      <c r="AV4" s="62">
        <v>0</v>
      </c>
      <c r="AW4" s="62">
        <v>0</v>
      </c>
      <c r="AX4" s="62">
        <v>0</v>
      </c>
      <c r="AY4" s="62">
        <v>0</v>
      </c>
      <c r="AZ4" s="62">
        <v>0</v>
      </c>
      <c r="BA4" s="62">
        <v>0</v>
      </c>
      <c r="BB4" s="62">
        <v>0</v>
      </c>
      <c r="BC4" s="62">
        <v>0</v>
      </c>
      <c r="BD4" s="62">
        <v>0</v>
      </c>
      <c r="BE4" s="62">
        <v>0</v>
      </c>
      <c r="BF4" s="62">
        <v>0</v>
      </c>
      <c r="BG4" s="62">
        <v>0</v>
      </c>
      <c r="BH4" s="62">
        <v>0</v>
      </c>
      <c r="BI4" s="62">
        <v>0</v>
      </c>
      <c r="BJ4" s="62">
        <v>0</v>
      </c>
      <c r="BK4" s="62">
        <v>0</v>
      </c>
      <c r="BL4" s="62">
        <v>0</v>
      </c>
      <c r="BM4" s="62">
        <v>0</v>
      </c>
      <c r="BN4" s="62">
        <v>0</v>
      </c>
      <c r="BO4" s="62">
        <v>0</v>
      </c>
      <c r="BP4" s="4">
        <v>1</v>
      </c>
    </row>
    <row r="5" spans="1:68" x14ac:dyDescent="0.25">
      <c r="A5" s="4">
        <v>2</v>
      </c>
      <c r="B5" s="3" t="s">
        <v>2138</v>
      </c>
      <c r="C5" s="4">
        <v>1</v>
      </c>
      <c r="D5" s="4">
        <v>0</v>
      </c>
      <c r="E5" s="4">
        <v>15</v>
      </c>
      <c r="F5" s="61">
        <v>0.83</v>
      </c>
      <c r="G5" s="61">
        <v>0.08</v>
      </c>
      <c r="H5" s="61">
        <v>0.08</v>
      </c>
      <c r="I5" s="61">
        <v>0.06</v>
      </c>
      <c r="J5" s="61">
        <v>0.14000000000000001</v>
      </c>
      <c r="K5" s="61">
        <v>7.0000000000000007E-2</v>
      </c>
      <c r="L5" s="61">
        <v>0.01</v>
      </c>
      <c r="M5" s="61">
        <v>0.11</v>
      </c>
      <c r="N5" s="61">
        <v>0.125</v>
      </c>
      <c r="O5" s="61">
        <v>0.14000000000000001</v>
      </c>
      <c r="P5" s="61">
        <v>0.02</v>
      </c>
      <c r="Q5" s="61">
        <v>0.125</v>
      </c>
      <c r="R5" s="61">
        <v>0.14000000000000001</v>
      </c>
      <c r="S5" s="61">
        <v>3.5000000000000003E-2</v>
      </c>
      <c r="T5" s="61">
        <v>3.3999999999999998E-3</v>
      </c>
      <c r="U5" s="61">
        <v>2.9999999999999997E-4</v>
      </c>
      <c r="V5" s="61">
        <v>3.0000000000000001E-3</v>
      </c>
      <c r="W5" s="61">
        <v>2E-3</v>
      </c>
      <c r="X5" s="61">
        <v>5.0000000000000001E-3</v>
      </c>
      <c r="Y5" s="61">
        <v>2.5000000000000001E-3</v>
      </c>
      <c r="Z5" s="61">
        <v>2.0000000000000001E-4</v>
      </c>
      <c r="AA5" s="61">
        <v>4.0000000000000001E-3</v>
      </c>
      <c r="AB5" s="61">
        <v>4.4999999999999997E-3</v>
      </c>
      <c r="AC5" s="61">
        <v>5.0000000000000001E-3</v>
      </c>
      <c r="AD5" s="61">
        <v>7.5000000000000002E-4</v>
      </c>
      <c r="AE5" s="61">
        <v>4.4999999999999997E-3</v>
      </c>
      <c r="AF5" s="61">
        <v>5.0000000000000001E-3</v>
      </c>
      <c r="AG5" s="61">
        <v>1.25E-3</v>
      </c>
      <c r="AH5" s="60">
        <v>0.63</v>
      </c>
      <c r="AI5" s="60">
        <v>0.06</v>
      </c>
      <c r="AJ5" s="60">
        <v>0.56000000000000005</v>
      </c>
      <c r="AK5" s="60">
        <v>0.37</v>
      </c>
      <c r="AL5" s="60">
        <v>0.93</v>
      </c>
      <c r="AM5" s="60">
        <v>0.46</v>
      </c>
      <c r="AN5" s="60">
        <v>0.04</v>
      </c>
      <c r="AO5" s="60">
        <v>0.74</v>
      </c>
      <c r="AP5" s="60">
        <v>0.83499999999999996</v>
      </c>
      <c r="AQ5" s="60">
        <v>0.92500000000000004</v>
      </c>
      <c r="AR5" s="60">
        <v>0.14000000000000001</v>
      </c>
      <c r="AS5" s="60">
        <v>0.83499999999999996</v>
      </c>
      <c r="AT5" s="60">
        <v>0.92500000000000004</v>
      </c>
      <c r="AU5" s="60">
        <v>0.23</v>
      </c>
      <c r="AV5" s="62">
        <v>0</v>
      </c>
      <c r="AW5" s="62">
        <v>0</v>
      </c>
      <c r="AX5" s="62">
        <v>-1</v>
      </c>
      <c r="AY5" s="62">
        <v>-1</v>
      </c>
      <c r="AZ5" s="62">
        <v>-2</v>
      </c>
      <c r="BA5" s="62">
        <v>-1</v>
      </c>
      <c r="BB5" s="62">
        <v>0</v>
      </c>
      <c r="BC5" s="62">
        <v>0</v>
      </c>
      <c r="BD5" s="62">
        <v>0</v>
      </c>
      <c r="BE5" s="62">
        <v>0</v>
      </c>
      <c r="BF5" s="62">
        <v>0</v>
      </c>
      <c r="BG5" s="62">
        <v>0</v>
      </c>
      <c r="BH5" s="62">
        <v>0</v>
      </c>
      <c r="BI5" s="62">
        <v>0</v>
      </c>
      <c r="BJ5" s="62">
        <v>0</v>
      </c>
      <c r="BK5" s="62">
        <v>0</v>
      </c>
      <c r="BL5" s="62">
        <v>0</v>
      </c>
      <c r="BM5" s="62">
        <v>0</v>
      </c>
      <c r="BN5" s="62">
        <v>-1</v>
      </c>
      <c r="BO5" s="62">
        <v>0</v>
      </c>
      <c r="BP5" s="4">
        <v>2</v>
      </c>
    </row>
    <row r="6" spans="1:68" x14ac:dyDescent="0.25">
      <c r="A6" s="4">
        <v>3</v>
      </c>
      <c r="B6" s="3" t="s">
        <v>2139</v>
      </c>
      <c r="C6" s="4">
        <v>1</v>
      </c>
      <c r="D6" s="4">
        <v>5</v>
      </c>
      <c r="E6" s="4">
        <v>25</v>
      </c>
      <c r="F6" s="61">
        <v>1.0915999999999999</v>
      </c>
      <c r="G6" s="61">
        <v>0.10520000000000002</v>
      </c>
      <c r="H6" s="61">
        <v>0.11520000000000001</v>
      </c>
      <c r="I6" s="61">
        <v>8.5400000000000004E-2</v>
      </c>
      <c r="J6" s="61">
        <v>0.20060000000000003</v>
      </c>
      <c r="K6" s="61">
        <v>0.10020000000000001</v>
      </c>
      <c r="L6" s="61">
        <v>1.3800000000000002E-2</v>
      </c>
      <c r="M6" s="61">
        <v>0.15780000000000002</v>
      </c>
      <c r="N6" s="61">
        <v>0.1792</v>
      </c>
      <c r="O6" s="61">
        <v>0.20050000000000001</v>
      </c>
      <c r="P6" s="61">
        <v>2.8800000000000003E-2</v>
      </c>
      <c r="Q6" s="61">
        <v>0.1792</v>
      </c>
      <c r="R6" s="61">
        <v>0.20050000000000001</v>
      </c>
      <c r="S6" s="61">
        <v>5.0100000000000006E-2</v>
      </c>
      <c r="T6" s="61">
        <v>4.0799999999999994E-3</v>
      </c>
      <c r="U6" s="61">
        <v>3.5999999999999997E-4</v>
      </c>
      <c r="V6" s="61">
        <v>3.5999999999999999E-3</v>
      </c>
      <c r="W6" s="61">
        <v>2.3999999999999998E-3</v>
      </c>
      <c r="X6" s="61">
        <v>6.0000000000000001E-3</v>
      </c>
      <c r="Y6" s="61">
        <v>3.0000000000000001E-3</v>
      </c>
      <c r="Z6" s="61">
        <v>2.4000000000000001E-4</v>
      </c>
      <c r="AA6" s="61">
        <v>4.7999999999999996E-3</v>
      </c>
      <c r="AB6" s="61">
        <v>5.3999999999999994E-3</v>
      </c>
      <c r="AC6" s="61">
        <v>6.0000000000000001E-3</v>
      </c>
      <c r="AD6" s="61">
        <v>8.9999999999999998E-4</v>
      </c>
      <c r="AE6" s="61">
        <v>5.3999999999999994E-3</v>
      </c>
      <c r="AF6" s="61">
        <v>6.0000000000000001E-3</v>
      </c>
      <c r="AG6" s="61">
        <v>1.5E-3</v>
      </c>
      <c r="AH6" s="60">
        <v>0.75</v>
      </c>
      <c r="AI6" s="60">
        <v>7.0000000000000007E-2</v>
      </c>
      <c r="AJ6" s="60">
        <v>0.67</v>
      </c>
      <c r="AK6" s="60">
        <v>0.44</v>
      </c>
      <c r="AL6" s="60">
        <v>1.1100000000000001</v>
      </c>
      <c r="AM6" s="60">
        <v>0.56000000000000005</v>
      </c>
      <c r="AN6" s="60">
        <v>0.04</v>
      </c>
      <c r="AO6" s="60">
        <v>0.89</v>
      </c>
      <c r="AP6" s="60">
        <v>1</v>
      </c>
      <c r="AQ6" s="60">
        <v>1.1100000000000001</v>
      </c>
      <c r="AR6" s="60">
        <v>0.16500000000000001</v>
      </c>
      <c r="AS6" s="60">
        <v>1</v>
      </c>
      <c r="AT6" s="60">
        <v>1.1100000000000001</v>
      </c>
      <c r="AU6" s="60">
        <v>0.28000000000000003</v>
      </c>
      <c r="AV6" s="62">
        <v>0</v>
      </c>
      <c r="AW6" s="62">
        <v>0</v>
      </c>
      <c r="AX6" s="62">
        <v>0</v>
      </c>
      <c r="AY6" s="62">
        <v>0</v>
      </c>
      <c r="AZ6" s="62">
        <v>0</v>
      </c>
      <c r="BA6" s="62">
        <v>0</v>
      </c>
      <c r="BB6" s="62">
        <v>0</v>
      </c>
      <c r="BC6" s="62">
        <v>0</v>
      </c>
      <c r="BD6" s="62">
        <v>0</v>
      </c>
      <c r="BE6" s="62">
        <v>0</v>
      </c>
      <c r="BF6" s="62">
        <v>0</v>
      </c>
      <c r="BG6" s="62">
        <v>0</v>
      </c>
      <c r="BH6" s="62">
        <v>0</v>
      </c>
      <c r="BI6" s="62">
        <v>0</v>
      </c>
      <c r="BJ6" s="62">
        <v>0</v>
      </c>
      <c r="BK6" s="62">
        <v>0</v>
      </c>
      <c r="BL6" s="62">
        <v>0</v>
      </c>
      <c r="BM6" s="62">
        <v>0</v>
      </c>
      <c r="BN6" s="62">
        <v>0</v>
      </c>
      <c r="BO6" s="62">
        <v>0</v>
      </c>
      <c r="BP6" s="4">
        <v>3</v>
      </c>
    </row>
    <row r="7" spans="1:68" x14ac:dyDescent="0.25">
      <c r="A7" s="4">
        <v>4</v>
      </c>
      <c r="B7" s="3" t="s">
        <v>2140</v>
      </c>
      <c r="C7" s="4">
        <v>2</v>
      </c>
      <c r="D7" s="4">
        <v>0</v>
      </c>
      <c r="E7" s="4">
        <v>30</v>
      </c>
      <c r="F7" s="61">
        <v>1.65</v>
      </c>
      <c r="G7" s="61">
        <v>0.17</v>
      </c>
      <c r="H7" s="61">
        <v>0.17</v>
      </c>
      <c r="I7" s="61">
        <v>0.11</v>
      </c>
      <c r="J7" s="61">
        <v>0.28000000000000003</v>
      </c>
      <c r="K7" s="61">
        <v>0.14000000000000001</v>
      </c>
      <c r="L7" s="61">
        <v>0.01</v>
      </c>
      <c r="M7" s="61">
        <v>0.22</v>
      </c>
      <c r="N7" s="61">
        <v>0.25</v>
      </c>
      <c r="O7" s="61">
        <v>0.27500000000000002</v>
      </c>
      <c r="P7" s="61">
        <v>0.04</v>
      </c>
      <c r="Q7" s="61">
        <v>0.25</v>
      </c>
      <c r="R7" s="61">
        <v>0.27500000000000002</v>
      </c>
      <c r="S7" s="61">
        <v>7.0000000000000007E-2</v>
      </c>
      <c r="T7" s="61">
        <v>6.7000000000000002E-3</v>
      </c>
      <c r="U7" s="61">
        <v>6.9999999999999999E-4</v>
      </c>
      <c r="V7" s="61">
        <v>6.0000000000000001E-3</v>
      </c>
      <c r="W7" s="61">
        <v>4.0000000000000001E-3</v>
      </c>
      <c r="X7" s="61">
        <v>0.01</v>
      </c>
      <c r="Y7" s="61">
        <v>5.0000000000000001E-3</v>
      </c>
      <c r="Z7" s="61">
        <v>4.0000000000000002E-4</v>
      </c>
      <c r="AA7" s="61">
        <v>8.0000000000000002E-3</v>
      </c>
      <c r="AB7" s="61">
        <v>8.9999999999999993E-3</v>
      </c>
      <c r="AC7" s="61">
        <v>0.01</v>
      </c>
      <c r="AD7" s="61">
        <v>1.5E-3</v>
      </c>
      <c r="AE7" s="61">
        <v>8.9999999999999993E-3</v>
      </c>
      <c r="AF7" s="61">
        <v>0.01</v>
      </c>
      <c r="AG7" s="61">
        <v>2.5000000000000001E-3</v>
      </c>
      <c r="AH7" s="60">
        <v>1.24</v>
      </c>
      <c r="AI7" s="60">
        <v>0.13</v>
      </c>
      <c r="AJ7" s="60">
        <v>1.1100000000000001</v>
      </c>
      <c r="AK7" s="60">
        <v>0.74</v>
      </c>
      <c r="AL7" s="60">
        <v>1.85</v>
      </c>
      <c r="AM7" s="60">
        <v>0.93</v>
      </c>
      <c r="AN7" s="60">
        <v>7.0000000000000007E-2</v>
      </c>
      <c r="AO7" s="60">
        <v>1.48</v>
      </c>
      <c r="AP7" s="60">
        <v>1.665</v>
      </c>
      <c r="AQ7" s="60">
        <v>1.85</v>
      </c>
      <c r="AR7" s="60">
        <v>0.28000000000000003</v>
      </c>
      <c r="AS7" s="60">
        <v>1.665</v>
      </c>
      <c r="AT7" s="60">
        <v>1.85</v>
      </c>
      <c r="AU7" s="60">
        <v>0.46500000000000002</v>
      </c>
      <c r="AV7" s="62">
        <v>0</v>
      </c>
      <c r="AW7" s="62">
        <v>0</v>
      </c>
      <c r="AX7" s="62">
        <v>-2</v>
      </c>
      <c r="AY7" s="62">
        <v>-1</v>
      </c>
      <c r="AZ7" s="62">
        <v>-3</v>
      </c>
      <c r="BA7" s="62">
        <v>-1</v>
      </c>
      <c r="BB7" s="62">
        <v>0</v>
      </c>
      <c r="BC7" s="62">
        <v>-1</v>
      </c>
      <c r="BD7" s="62">
        <v>-1</v>
      </c>
      <c r="BE7" s="62">
        <v>-1</v>
      </c>
      <c r="BF7" s="62">
        <v>0</v>
      </c>
      <c r="BG7" s="62">
        <v>-2.5</v>
      </c>
      <c r="BH7" s="62">
        <v>-2.5</v>
      </c>
      <c r="BI7" s="62">
        <v>-0.5</v>
      </c>
      <c r="BJ7" s="62">
        <v>-1</v>
      </c>
      <c r="BK7" s="62">
        <v>-1</v>
      </c>
      <c r="BL7" s="62">
        <v>-1</v>
      </c>
      <c r="BM7" s="62">
        <v>0</v>
      </c>
      <c r="BN7" s="62">
        <v>-2</v>
      </c>
      <c r="BO7" s="62">
        <v>0</v>
      </c>
      <c r="BP7" s="4">
        <v>4</v>
      </c>
    </row>
    <row r="8" spans="1:68" x14ac:dyDescent="0.25">
      <c r="A8" s="4">
        <v>5</v>
      </c>
      <c r="B8" s="3" t="s">
        <v>2141</v>
      </c>
      <c r="C8" s="4">
        <v>2</v>
      </c>
      <c r="D8" s="4">
        <v>5</v>
      </c>
      <c r="E8" s="4">
        <v>40</v>
      </c>
      <c r="F8" s="61">
        <v>2.1698</v>
      </c>
      <c r="G8" s="61">
        <v>0.22360000000000002</v>
      </c>
      <c r="H8" s="61">
        <v>0.24320000000000003</v>
      </c>
      <c r="I8" s="61">
        <v>0.15780000000000002</v>
      </c>
      <c r="J8" s="61">
        <v>0.40100000000000002</v>
      </c>
      <c r="K8" s="61">
        <v>0.20060000000000003</v>
      </c>
      <c r="L8" s="61">
        <v>1.4400000000000001E-2</v>
      </c>
      <c r="M8" s="61">
        <v>0.31560000000000005</v>
      </c>
      <c r="N8" s="61">
        <v>0.35830000000000001</v>
      </c>
      <c r="O8" s="61">
        <v>0.39450000000000002</v>
      </c>
      <c r="P8" s="61">
        <v>5.7600000000000005E-2</v>
      </c>
      <c r="Q8" s="61">
        <v>0.35830000000000001</v>
      </c>
      <c r="R8" s="61">
        <v>0.39450000000000002</v>
      </c>
      <c r="S8" s="61">
        <v>0.10030000000000001</v>
      </c>
      <c r="T8" s="61">
        <v>8.0400000000000003E-3</v>
      </c>
      <c r="U8" s="61">
        <v>8.3999999999999993E-4</v>
      </c>
      <c r="V8" s="61">
        <v>7.1999999999999998E-3</v>
      </c>
      <c r="W8" s="61">
        <v>4.7999999999999996E-3</v>
      </c>
      <c r="X8" s="61">
        <v>1.2E-2</v>
      </c>
      <c r="Y8" s="61">
        <v>6.0000000000000001E-3</v>
      </c>
      <c r="Z8" s="61">
        <v>4.8000000000000001E-4</v>
      </c>
      <c r="AA8" s="61">
        <v>9.5999999999999992E-3</v>
      </c>
      <c r="AB8" s="61">
        <v>1.0799999999999999E-2</v>
      </c>
      <c r="AC8" s="61">
        <v>1.2E-2</v>
      </c>
      <c r="AD8" s="61">
        <v>1.8E-3</v>
      </c>
      <c r="AE8" s="61">
        <v>1.0799999999999999E-2</v>
      </c>
      <c r="AF8" s="61">
        <v>1.2E-2</v>
      </c>
      <c r="AG8" s="61">
        <v>3.0000000000000001E-3</v>
      </c>
      <c r="AH8" s="60">
        <v>1.49</v>
      </c>
      <c r="AI8" s="60">
        <v>0.16</v>
      </c>
      <c r="AJ8" s="60">
        <v>1.33</v>
      </c>
      <c r="AK8" s="60">
        <v>0.89</v>
      </c>
      <c r="AL8" s="60">
        <v>2.2200000000000002</v>
      </c>
      <c r="AM8" s="60">
        <v>1.1100000000000001</v>
      </c>
      <c r="AN8" s="60">
        <v>0.09</v>
      </c>
      <c r="AO8" s="60">
        <v>1.7749999999999999</v>
      </c>
      <c r="AP8" s="60">
        <v>2</v>
      </c>
      <c r="AQ8" s="60">
        <v>2.2200000000000002</v>
      </c>
      <c r="AR8" s="60">
        <v>0.33500000000000002</v>
      </c>
      <c r="AS8" s="60">
        <v>2</v>
      </c>
      <c r="AT8" s="60">
        <v>2.2200000000000002</v>
      </c>
      <c r="AU8" s="60">
        <v>0.55500000000000005</v>
      </c>
      <c r="AV8" s="62">
        <v>0</v>
      </c>
      <c r="AW8" s="62">
        <v>0</v>
      </c>
      <c r="AX8" s="62">
        <v>0</v>
      </c>
      <c r="AY8" s="62">
        <v>0</v>
      </c>
      <c r="AZ8" s="62">
        <v>-2</v>
      </c>
      <c r="BA8" s="62">
        <v>0</v>
      </c>
      <c r="BB8" s="62">
        <v>0</v>
      </c>
      <c r="BC8" s="62">
        <v>0</v>
      </c>
      <c r="BD8" s="62">
        <v>0</v>
      </c>
      <c r="BE8" s="62">
        <v>0</v>
      </c>
      <c r="BF8" s="62">
        <v>0</v>
      </c>
      <c r="BG8" s="62">
        <v>-2</v>
      </c>
      <c r="BH8" s="62">
        <v>-2</v>
      </c>
      <c r="BI8" s="62">
        <v>0</v>
      </c>
      <c r="BJ8" s="62">
        <v>0</v>
      </c>
      <c r="BK8" s="62">
        <v>0</v>
      </c>
      <c r="BL8" s="62">
        <v>0</v>
      </c>
      <c r="BM8" s="62">
        <v>0</v>
      </c>
      <c r="BN8" s="62">
        <v>0</v>
      </c>
      <c r="BO8" s="62">
        <v>0</v>
      </c>
      <c r="BP8" s="4">
        <v>5</v>
      </c>
    </row>
    <row r="9" spans="1:68" x14ac:dyDescent="0.25">
      <c r="A9" s="4">
        <v>6</v>
      </c>
      <c r="B9" s="3" t="s">
        <v>2142</v>
      </c>
      <c r="C9" s="4">
        <v>3</v>
      </c>
      <c r="D9" s="4">
        <v>0</v>
      </c>
      <c r="E9" s="4">
        <v>30</v>
      </c>
      <c r="F9" s="61">
        <v>3</v>
      </c>
      <c r="G9" s="61">
        <v>0.3</v>
      </c>
      <c r="H9" s="61">
        <v>0.3</v>
      </c>
      <c r="I9" s="61">
        <v>0.2</v>
      </c>
      <c r="J9" s="61">
        <v>0.5</v>
      </c>
      <c r="K9" s="61">
        <v>0.25</v>
      </c>
      <c r="L9" s="61">
        <v>0.02</v>
      </c>
      <c r="M9" s="61">
        <v>0.4</v>
      </c>
      <c r="N9" s="61">
        <v>0.45</v>
      </c>
      <c r="O9" s="61">
        <v>0.5</v>
      </c>
      <c r="P9" s="61">
        <v>7.4999999999999997E-2</v>
      </c>
      <c r="Q9" s="61">
        <v>0.45</v>
      </c>
      <c r="R9" s="61">
        <v>0.5</v>
      </c>
      <c r="S9" s="61">
        <v>0.125</v>
      </c>
      <c r="T9" s="61">
        <v>0.01</v>
      </c>
      <c r="U9" s="61">
        <v>1E-3</v>
      </c>
      <c r="V9" s="61">
        <v>8.9999999999999993E-3</v>
      </c>
      <c r="W9" s="61">
        <v>6.0000000000000001E-3</v>
      </c>
      <c r="X9" s="61">
        <v>1.4999999999999999E-2</v>
      </c>
      <c r="Y9" s="61">
        <v>7.4999999999999997E-3</v>
      </c>
      <c r="Z9" s="61">
        <v>5.9999999999999995E-4</v>
      </c>
      <c r="AA9" s="61">
        <v>1.2E-2</v>
      </c>
      <c r="AB9" s="61">
        <v>1.35E-2</v>
      </c>
      <c r="AC9" s="61">
        <v>1.4999999999999999E-2</v>
      </c>
      <c r="AD9" s="61">
        <v>2.2499999999999998E-3</v>
      </c>
      <c r="AE9" s="61">
        <v>1.35E-2</v>
      </c>
      <c r="AF9" s="61">
        <v>1.4999999999999999E-2</v>
      </c>
      <c r="AG9" s="61">
        <v>3.7499999999999999E-3</v>
      </c>
      <c r="AH9" s="60">
        <v>1.85</v>
      </c>
      <c r="AI9" s="60">
        <v>0.19</v>
      </c>
      <c r="AJ9" s="60">
        <v>1.67</v>
      </c>
      <c r="AK9" s="60">
        <v>1.1100000000000001</v>
      </c>
      <c r="AL9" s="60">
        <v>2.78</v>
      </c>
      <c r="AM9" s="60">
        <v>1.39</v>
      </c>
      <c r="AN9" s="60">
        <v>0.11</v>
      </c>
      <c r="AO9" s="60">
        <v>2.2200000000000002</v>
      </c>
      <c r="AP9" s="60">
        <v>2.5</v>
      </c>
      <c r="AQ9" s="60">
        <v>2.7749999999999999</v>
      </c>
      <c r="AR9" s="60">
        <v>0.41499999999999998</v>
      </c>
      <c r="AS9" s="60">
        <v>2.5</v>
      </c>
      <c r="AT9" s="60">
        <v>2.7749999999999999</v>
      </c>
      <c r="AU9" s="60">
        <v>0.69499999999999995</v>
      </c>
      <c r="AV9" s="62">
        <v>-2</v>
      </c>
      <c r="AW9" s="62">
        <v>0</v>
      </c>
      <c r="AX9" s="62">
        <v>-3</v>
      </c>
      <c r="AY9" s="62">
        <v>-2</v>
      </c>
      <c r="AZ9" s="62">
        <v>-5</v>
      </c>
      <c r="BA9" s="62">
        <v>-3</v>
      </c>
      <c r="BB9" s="62">
        <v>0</v>
      </c>
      <c r="BC9" s="62">
        <v>-2</v>
      </c>
      <c r="BD9" s="62">
        <v>-2.5</v>
      </c>
      <c r="BE9" s="62">
        <v>-2.5</v>
      </c>
      <c r="BF9" s="62">
        <v>-0.5</v>
      </c>
      <c r="BG9" s="62">
        <v>-4.5</v>
      </c>
      <c r="BH9" s="62">
        <v>-5</v>
      </c>
      <c r="BI9" s="62">
        <v>-1.5</v>
      </c>
      <c r="BJ9" s="62">
        <v>-2</v>
      </c>
      <c r="BK9" s="62">
        <v>-2.5</v>
      </c>
      <c r="BL9" s="62">
        <v>-2.5</v>
      </c>
      <c r="BM9" s="62">
        <v>-0.5</v>
      </c>
      <c r="BN9" s="62">
        <v>-5</v>
      </c>
      <c r="BO9" s="62">
        <v>-1</v>
      </c>
      <c r="BP9" s="4">
        <v>6</v>
      </c>
    </row>
    <row r="10" spans="1:68" x14ac:dyDescent="0.25">
      <c r="A10" s="4">
        <v>7</v>
      </c>
      <c r="B10" s="3" t="s">
        <v>2143</v>
      </c>
      <c r="C10" s="4">
        <v>3</v>
      </c>
      <c r="D10" s="4">
        <v>5</v>
      </c>
      <c r="E10" s="4">
        <v>35</v>
      </c>
      <c r="F10" s="61">
        <v>3.8054999999999999</v>
      </c>
      <c r="G10" s="61">
        <v>0.38069999999999998</v>
      </c>
      <c r="H10" s="61">
        <v>0.42509999999999998</v>
      </c>
      <c r="I10" s="61">
        <v>0.2833</v>
      </c>
      <c r="J10" s="61">
        <v>0.70840000000000003</v>
      </c>
      <c r="K10" s="61">
        <v>0.35420000000000001</v>
      </c>
      <c r="L10" s="61">
        <v>2.8300000000000002E-2</v>
      </c>
      <c r="M10" s="61">
        <v>0.56659999999999999</v>
      </c>
      <c r="N10" s="61">
        <v>0.63749999999999996</v>
      </c>
      <c r="O10" s="61">
        <v>0.70825000000000005</v>
      </c>
      <c r="P10" s="61">
        <v>0.1062</v>
      </c>
      <c r="Q10" s="61">
        <v>0.63749999999999996</v>
      </c>
      <c r="R10" s="61">
        <v>0.70825000000000005</v>
      </c>
      <c r="S10" s="61">
        <v>0.17710000000000001</v>
      </c>
      <c r="T10" s="61">
        <v>1.2E-2</v>
      </c>
      <c r="U10" s="61">
        <v>1.1999999999999999E-3</v>
      </c>
      <c r="V10" s="61">
        <v>1.0799999999999999E-2</v>
      </c>
      <c r="W10" s="61">
        <v>7.1999999999999998E-3</v>
      </c>
      <c r="X10" s="61">
        <v>1.7999999999999999E-2</v>
      </c>
      <c r="Y10" s="61">
        <v>8.9999999999999993E-3</v>
      </c>
      <c r="Z10" s="61">
        <v>7.1999999999999994E-4</v>
      </c>
      <c r="AA10" s="61">
        <v>1.44E-2</v>
      </c>
      <c r="AB10" s="61">
        <v>1.6199999999999999E-2</v>
      </c>
      <c r="AC10" s="61">
        <v>1.7999999999999999E-2</v>
      </c>
      <c r="AD10" s="61">
        <v>2.6999999999999997E-3</v>
      </c>
      <c r="AE10" s="61">
        <v>1.6199999999999999E-2</v>
      </c>
      <c r="AF10" s="61">
        <v>1.7999999999999999E-2</v>
      </c>
      <c r="AG10" s="61">
        <v>4.4999999999999997E-3</v>
      </c>
      <c r="AH10" s="60">
        <v>2.2200000000000002</v>
      </c>
      <c r="AI10" s="60">
        <v>0.22</v>
      </c>
      <c r="AJ10" s="60">
        <v>2</v>
      </c>
      <c r="AK10" s="60">
        <v>1.33</v>
      </c>
      <c r="AL10" s="60">
        <v>3.33</v>
      </c>
      <c r="AM10" s="60">
        <v>1.67</v>
      </c>
      <c r="AN10" s="60">
        <v>0.13</v>
      </c>
      <c r="AO10" s="60">
        <v>2.665</v>
      </c>
      <c r="AP10" s="60">
        <v>2.9950000000000001</v>
      </c>
      <c r="AQ10" s="60">
        <v>3.33</v>
      </c>
      <c r="AR10" s="60">
        <v>0.5</v>
      </c>
      <c r="AS10" s="60">
        <v>2.9950000000000001</v>
      </c>
      <c r="AT10" s="60">
        <v>3.33</v>
      </c>
      <c r="AU10" s="60">
        <v>0.83499999999999996</v>
      </c>
      <c r="AV10" s="62">
        <v>0</v>
      </c>
      <c r="AW10" s="62">
        <v>0</v>
      </c>
      <c r="AX10" s="62">
        <v>-2</v>
      </c>
      <c r="AY10" s="62">
        <v>0</v>
      </c>
      <c r="AZ10" s="62">
        <v>-4</v>
      </c>
      <c r="BA10" s="62">
        <v>-2</v>
      </c>
      <c r="BB10" s="62">
        <v>0</v>
      </c>
      <c r="BC10" s="62">
        <v>-1.5</v>
      </c>
      <c r="BD10" s="62">
        <v>-2</v>
      </c>
      <c r="BE10" s="62">
        <v>-2</v>
      </c>
      <c r="BF10" s="62">
        <v>0</v>
      </c>
      <c r="BG10" s="62">
        <v>-4.5</v>
      </c>
      <c r="BH10" s="62">
        <v>-5</v>
      </c>
      <c r="BI10" s="62">
        <v>-1</v>
      </c>
      <c r="BJ10" s="62">
        <v>-1.5</v>
      </c>
      <c r="BK10" s="62">
        <v>-2</v>
      </c>
      <c r="BL10" s="62">
        <v>-2</v>
      </c>
      <c r="BM10" s="62">
        <v>0</v>
      </c>
      <c r="BN10" s="62">
        <v>-4</v>
      </c>
      <c r="BO10" s="62">
        <v>0</v>
      </c>
      <c r="BP10" s="4">
        <v>7</v>
      </c>
    </row>
    <row r="11" spans="1:68" x14ac:dyDescent="0.25">
      <c r="A11" s="4">
        <v>8</v>
      </c>
      <c r="B11" s="3" t="s">
        <v>2144</v>
      </c>
      <c r="C11" s="4">
        <v>3</v>
      </c>
      <c r="D11" s="4">
        <v>10</v>
      </c>
      <c r="E11" s="4">
        <v>40</v>
      </c>
      <c r="F11" s="61">
        <v>4.6295000000000002</v>
      </c>
      <c r="G11" s="61">
        <v>0.46329999999999993</v>
      </c>
      <c r="H11" s="61">
        <v>0.56689999999999996</v>
      </c>
      <c r="I11" s="61">
        <v>0.37770000000000004</v>
      </c>
      <c r="J11" s="61">
        <v>0.9446</v>
      </c>
      <c r="K11" s="61">
        <v>0.4723</v>
      </c>
      <c r="L11" s="61">
        <v>3.7699999999999997E-2</v>
      </c>
      <c r="M11" s="61">
        <v>0.75540000000000007</v>
      </c>
      <c r="N11" s="61">
        <v>0.85000000000000009</v>
      </c>
      <c r="O11" s="61">
        <v>0.94425000000000003</v>
      </c>
      <c r="P11" s="61">
        <v>0.14154999999999998</v>
      </c>
      <c r="Q11" s="61">
        <v>0.85000000000000009</v>
      </c>
      <c r="R11" s="61">
        <v>0.94425000000000003</v>
      </c>
      <c r="S11" s="61">
        <v>0.23615</v>
      </c>
      <c r="T11" s="61">
        <v>1.3999999999999999E-2</v>
      </c>
      <c r="U11" s="61">
        <v>1.4E-3</v>
      </c>
      <c r="V11" s="61">
        <v>1.2599999999999998E-2</v>
      </c>
      <c r="W11" s="61">
        <v>8.3999999999999995E-3</v>
      </c>
      <c r="X11" s="61">
        <v>2.0999999999999998E-2</v>
      </c>
      <c r="Y11" s="61">
        <v>1.0499999999999999E-2</v>
      </c>
      <c r="Z11" s="61">
        <v>8.3999999999999993E-4</v>
      </c>
      <c r="AA11" s="61">
        <v>1.6799999999999999E-2</v>
      </c>
      <c r="AB11" s="61">
        <v>1.89E-2</v>
      </c>
      <c r="AC11" s="61">
        <v>2.0999999999999998E-2</v>
      </c>
      <c r="AD11" s="61">
        <v>3.1499999999999996E-3</v>
      </c>
      <c r="AE11" s="61">
        <v>1.89E-2</v>
      </c>
      <c r="AF11" s="61">
        <v>2.0999999999999998E-2</v>
      </c>
      <c r="AG11" s="61">
        <v>5.2499999999999995E-3</v>
      </c>
      <c r="AH11" s="60">
        <v>2.59</v>
      </c>
      <c r="AI11" s="60">
        <v>0.26</v>
      </c>
      <c r="AJ11" s="60">
        <v>2.33</v>
      </c>
      <c r="AK11" s="60">
        <v>1.55</v>
      </c>
      <c r="AL11" s="60">
        <v>3.89</v>
      </c>
      <c r="AM11" s="60">
        <v>1.94</v>
      </c>
      <c r="AN11" s="60">
        <v>0.16</v>
      </c>
      <c r="AO11" s="60">
        <v>3.11</v>
      </c>
      <c r="AP11" s="60">
        <v>3.4950000000000001</v>
      </c>
      <c r="AQ11" s="60">
        <v>3.8849999999999998</v>
      </c>
      <c r="AR11" s="60">
        <v>0.58499999999999996</v>
      </c>
      <c r="AS11" s="60">
        <v>3.4950000000000001</v>
      </c>
      <c r="AT11" s="60">
        <v>3.8849999999999998</v>
      </c>
      <c r="AU11" s="60">
        <v>0.97</v>
      </c>
      <c r="AV11" s="62">
        <v>0</v>
      </c>
      <c r="AW11" s="62">
        <v>0</v>
      </c>
      <c r="AX11" s="62">
        <v>0</v>
      </c>
      <c r="AY11" s="62">
        <v>0</v>
      </c>
      <c r="AZ11" s="62">
        <v>-2</v>
      </c>
      <c r="BA11" s="62">
        <v>0</v>
      </c>
      <c r="BB11" s="62">
        <v>0</v>
      </c>
      <c r="BC11" s="62">
        <v>-0.5</v>
      </c>
      <c r="BD11" s="62">
        <v>-1</v>
      </c>
      <c r="BE11" s="62">
        <v>-1</v>
      </c>
      <c r="BF11" s="62">
        <v>0</v>
      </c>
      <c r="BG11" s="62">
        <v>-4</v>
      </c>
      <c r="BH11" s="62">
        <v>-4.5</v>
      </c>
      <c r="BI11" s="62">
        <v>0</v>
      </c>
      <c r="BJ11" s="62">
        <v>-0.5</v>
      </c>
      <c r="BK11" s="62">
        <v>-1</v>
      </c>
      <c r="BL11" s="62">
        <v>-1</v>
      </c>
      <c r="BM11" s="62">
        <v>0</v>
      </c>
      <c r="BN11" s="62">
        <v>-2</v>
      </c>
      <c r="BO11" s="62">
        <v>0</v>
      </c>
      <c r="BP11" s="4">
        <v>8</v>
      </c>
    </row>
    <row r="12" spans="1:68" x14ac:dyDescent="0.25">
      <c r="A12" s="4">
        <v>9</v>
      </c>
      <c r="B12" s="3" t="s">
        <v>2145</v>
      </c>
      <c r="C12" s="4">
        <v>4</v>
      </c>
      <c r="D12" s="4">
        <v>0</v>
      </c>
      <c r="E12" s="4">
        <v>35</v>
      </c>
      <c r="F12" s="61">
        <v>10</v>
      </c>
      <c r="G12" s="61">
        <v>1</v>
      </c>
      <c r="H12" s="61">
        <v>1.5</v>
      </c>
      <c r="I12" s="61">
        <v>1</v>
      </c>
      <c r="J12" s="61">
        <v>2.5</v>
      </c>
      <c r="K12" s="61">
        <v>1.25</v>
      </c>
      <c r="L12" s="61">
        <v>0.1</v>
      </c>
      <c r="M12" s="61">
        <v>2</v>
      </c>
      <c r="N12" s="61">
        <v>2.25</v>
      </c>
      <c r="O12" s="61">
        <v>2.5</v>
      </c>
      <c r="P12" s="61">
        <v>0.375</v>
      </c>
      <c r="Q12" s="61">
        <v>2.25</v>
      </c>
      <c r="R12" s="61">
        <v>2.5</v>
      </c>
      <c r="S12" s="61">
        <v>0.625</v>
      </c>
      <c r="T12" s="61">
        <v>1.14E-2</v>
      </c>
      <c r="U12" s="61">
        <v>1.1000000000000001E-3</v>
      </c>
      <c r="V12" s="61">
        <v>1.2E-2</v>
      </c>
      <c r="W12" s="61">
        <v>8.0000000000000002E-3</v>
      </c>
      <c r="X12" s="61">
        <v>0.02</v>
      </c>
      <c r="Y12" s="61">
        <v>0.01</v>
      </c>
      <c r="Z12" s="61">
        <v>8.0000000000000004E-4</v>
      </c>
      <c r="AA12" s="61">
        <v>1.6E-2</v>
      </c>
      <c r="AB12" s="61">
        <v>1.7999999999999999E-2</v>
      </c>
      <c r="AC12" s="61">
        <v>0.02</v>
      </c>
      <c r="AD12" s="61">
        <v>3.0000000000000001E-3</v>
      </c>
      <c r="AE12" s="61">
        <v>1.7999999999999999E-2</v>
      </c>
      <c r="AF12" s="61">
        <v>0.02</v>
      </c>
      <c r="AG12" s="61">
        <v>5.0000000000000001E-3</v>
      </c>
      <c r="AH12" s="60">
        <v>2.11</v>
      </c>
      <c r="AI12" s="60">
        <v>0.2</v>
      </c>
      <c r="AJ12" s="60">
        <v>2.2200000000000002</v>
      </c>
      <c r="AK12" s="60">
        <v>1.48</v>
      </c>
      <c r="AL12" s="60">
        <v>3.7</v>
      </c>
      <c r="AM12" s="60">
        <v>1.85</v>
      </c>
      <c r="AN12" s="60">
        <v>0.15</v>
      </c>
      <c r="AO12" s="60">
        <v>2.96</v>
      </c>
      <c r="AP12" s="60">
        <v>3.33</v>
      </c>
      <c r="AQ12" s="60">
        <v>3.7</v>
      </c>
      <c r="AR12" s="60">
        <v>0.55500000000000005</v>
      </c>
      <c r="AS12" s="60">
        <v>3.33</v>
      </c>
      <c r="AT12" s="60">
        <v>3.7</v>
      </c>
      <c r="AU12" s="60">
        <v>0.92500000000000004</v>
      </c>
      <c r="AV12" s="62">
        <v>-3</v>
      </c>
      <c r="AW12" s="62">
        <v>0</v>
      </c>
      <c r="AX12" s="62">
        <v>-5</v>
      </c>
      <c r="AY12" s="62">
        <v>-3</v>
      </c>
      <c r="AZ12" s="62">
        <v>-8</v>
      </c>
      <c r="BA12" s="62">
        <v>-4</v>
      </c>
      <c r="BB12" s="62">
        <v>0</v>
      </c>
      <c r="BC12" s="62">
        <v>-3</v>
      </c>
      <c r="BD12" s="62">
        <v>-3.5</v>
      </c>
      <c r="BE12" s="62">
        <v>-4</v>
      </c>
      <c r="BF12" s="62">
        <v>-0.5</v>
      </c>
      <c r="BG12" s="62">
        <v>-5.5</v>
      </c>
      <c r="BH12" s="62">
        <v>-6</v>
      </c>
      <c r="BI12" s="62">
        <v>-1.5</v>
      </c>
      <c r="BJ12" s="62">
        <v>-4</v>
      </c>
      <c r="BK12" s="62">
        <v>-4.5</v>
      </c>
      <c r="BL12" s="62">
        <v>-5</v>
      </c>
      <c r="BM12" s="62">
        <v>-1</v>
      </c>
      <c r="BN12" s="62">
        <v>-7</v>
      </c>
      <c r="BO12" s="62">
        <v>-1</v>
      </c>
      <c r="BP12" s="4">
        <v>9</v>
      </c>
    </row>
    <row r="13" spans="1:68" x14ac:dyDescent="0.25">
      <c r="A13" s="4">
        <v>10</v>
      </c>
      <c r="B13" s="3" t="s">
        <v>2146</v>
      </c>
      <c r="C13" s="4">
        <v>4</v>
      </c>
      <c r="D13" s="4">
        <v>5</v>
      </c>
      <c r="E13" s="4">
        <v>40</v>
      </c>
      <c r="F13" s="61">
        <v>12.605499999999999</v>
      </c>
      <c r="G13" s="61">
        <v>1.26</v>
      </c>
      <c r="H13" s="61">
        <v>1.986</v>
      </c>
      <c r="I13" s="61">
        <v>1.3240000000000001</v>
      </c>
      <c r="J13" s="61">
        <v>3.31</v>
      </c>
      <c r="K13" s="61">
        <v>1.655</v>
      </c>
      <c r="L13" s="61">
        <v>0.13250000000000001</v>
      </c>
      <c r="M13" s="61">
        <v>2.6480000000000001</v>
      </c>
      <c r="N13" s="61">
        <v>2.9790000000000001</v>
      </c>
      <c r="O13" s="61">
        <v>3.31</v>
      </c>
      <c r="P13" s="61">
        <v>0.4965</v>
      </c>
      <c r="Q13" s="61">
        <v>2.9790000000000001</v>
      </c>
      <c r="R13" s="61">
        <v>3.31</v>
      </c>
      <c r="S13" s="61">
        <v>0.82750000000000001</v>
      </c>
      <c r="T13" s="61">
        <v>1.3679999999999999E-2</v>
      </c>
      <c r="U13" s="61">
        <v>1.32E-3</v>
      </c>
      <c r="V13" s="61">
        <v>1.44E-2</v>
      </c>
      <c r="W13" s="61">
        <v>9.5999999999999992E-3</v>
      </c>
      <c r="X13" s="61">
        <v>2.4E-2</v>
      </c>
      <c r="Y13" s="61">
        <v>1.2E-2</v>
      </c>
      <c r="Z13" s="61">
        <v>9.6000000000000002E-4</v>
      </c>
      <c r="AA13" s="61">
        <v>1.9199999999999998E-2</v>
      </c>
      <c r="AB13" s="61">
        <v>2.1599999999999998E-2</v>
      </c>
      <c r="AC13" s="61">
        <v>2.4E-2</v>
      </c>
      <c r="AD13" s="61">
        <v>3.5999999999999999E-3</v>
      </c>
      <c r="AE13" s="61">
        <v>2.1599999999999998E-2</v>
      </c>
      <c r="AF13" s="61">
        <v>2.4E-2</v>
      </c>
      <c r="AG13" s="61">
        <v>6.0000000000000001E-3</v>
      </c>
      <c r="AH13" s="60">
        <v>2.5299999999999998</v>
      </c>
      <c r="AI13" s="60">
        <v>0.24</v>
      </c>
      <c r="AJ13" s="60">
        <v>2.66</v>
      </c>
      <c r="AK13" s="60">
        <v>1.78</v>
      </c>
      <c r="AL13" s="60">
        <v>4.4400000000000004</v>
      </c>
      <c r="AM13" s="60">
        <v>2.2200000000000002</v>
      </c>
      <c r="AN13" s="60">
        <v>0.18</v>
      </c>
      <c r="AO13" s="60">
        <v>3.55</v>
      </c>
      <c r="AP13" s="60">
        <v>3.9950000000000001</v>
      </c>
      <c r="AQ13" s="60">
        <v>4.4400000000000004</v>
      </c>
      <c r="AR13" s="60">
        <v>0.66500000000000004</v>
      </c>
      <c r="AS13" s="60">
        <v>3.9950000000000001</v>
      </c>
      <c r="AT13" s="60">
        <v>4.4400000000000004</v>
      </c>
      <c r="AU13" s="60">
        <v>1.1100000000000001</v>
      </c>
      <c r="AV13" s="62">
        <v>-2</v>
      </c>
      <c r="AW13" s="62">
        <v>0</v>
      </c>
      <c r="AX13" s="62">
        <v>-4</v>
      </c>
      <c r="AY13" s="62">
        <v>-2</v>
      </c>
      <c r="AZ13" s="62">
        <v>-8</v>
      </c>
      <c r="BA13" s="62">
        <v>-3</v>
      </c>
      <c r="BB13" s="62">
        <v>0</v>
      </c>
      <c r="BC13" s="62">
        <v>-2.5</v>
      </c>
      <c r="BD13" s="62">
        <v>-3</v>
      </c>
      <c r="BE13" s="62">
        <v>-4</v>
      </c>
      <c r="BF13" s="62">
        <v>0</v>
      </c>
      <c r="BG13" s="62">
        <v>-5.5</v>
      </c>
      <c r="BH13" s="62">
        <v>-6</v>
      </c>
      <c r="BI13" s="62">
        <v>-1</v>
      </c>
      <c r="BJ13" s="62">
        <v>-4</v>
      </c>
      <c r="BK13" s="62">
        <v>-4.5</v>
      </c>
      <c r="BL13" s="62">
        <v>-5</v>
      </c>
      <c r="BM13" s="62">
        <v>0</v>
      </c>
      <c r="BN13" s="62">
        <v>-6</v>
      </c>
      <c r="BO13" s="62">
        <v>0</v>
      </c>
      <c r="BP13" s="4">
        <v>10</v>
      </c>
    </row>
    <row r="14" spans="1:68" x14ac:dyDescent="0.25">
      <c r="A14" s="4">
        <v>11</v>
      </c>
      <c r="B14" s="3" t="s">
        <v>2147</v>
      </c>
      <c r="C14" s="4">
        <v>4</v>
      </c>
      <c r="D14" s="4">
        <v>10</v>
      </c>
      <c r="E14" s="4">
        <v>45</v>
      </c>
      <c r="F14" s="61">
        <v>15.1899</v>
      </c>
      <c r="G14" s="61">
        <v>1.518</v>
      </c>
      <c r="H14" s="61">
        <v>2.4498000000000002</v>
      </c>
      <c r="I14" s="61">
        <v>1.6332</v>
      </c>
      <c r="J14" s="61">
        <v>4.0830000000000002</v>
      </c>
      <c r="K14" s="61">
        <v>2.0415000000000001</v>
      </c>
      <c r="L14" s="61">
        <v>0.16350000000000003</v>
      </c>
      <c r="M14" s="61">
        <v>3.2664</v>
      </c>
      <c r="N14" s="61">
        <v>3.6747000000000001</v>
      </c>
      <c r="O14" s="61">
        <v>4.0830000000000002</v>
      </c>
      <c r="P14" s="61">
        <v>0.61245000000000005</v>
      </c>
      <c r="Q14" s="61">
        <v>3.6747000000000001</v>
      </c>
      <c r="R14" s="61">
        <v>4.0830000000000002</v>
      </c>
      <c r="S14" s="61">
        <v>1.02075</v>
      </c>
      <c r="T14" s="61">
        <v>1.5959999999999998E-2</v>
      </c>
      <c r="U14" s="61">
        <v>1.5399999999999999E-3</v>
      </c>
      <c r="V14" s="61">
        <v>1.6799999999999999E-2</v>
      </c>
      <c r="W14" s="61">
        <v>1.12E-2</v>
      </c>
      <c r="X14" s="61">
        <v>2.7999999999999997E-2</v>
      </c>
      <c r="Y14" s="61">
        <v>1.3999999999999999E-2</v>
      </c>
      <c r="Z14" s="61">
        <v>1.1199999999999999E-3</v>
      </c>
      <c r="AA14" s="61">
        <v>2.24E-2</v>
      </c>
      <c r="AB14" s="61">
        <v>2.5199999999999997E-2</v>
      </c>
      <c r="AC14" s="61">
        <v>2.7999999999999997E-2</v>
      </c>
      <c r="AD14" s="61">
        <v>4.1999999999999997E-3</v>
      </c>
      <c r="AE14" s="61">
        <v>2.5199999999999997E-2</v>
      </c>
      <c r="AF14" s="61">
        <v>2.7999999999999997E-2</v>
      </c>
      <c r="AG14" s="61">
        <v>6.9999999999999993E-3</v>
      </c>
      <c r="AH14" s="60">
        <v>2.95</v>
      </c>
      <c r="AI14" s="60">
        <v>0.28000000000000003</v>
      </c>
      <c r="AJ14" s="60">
        <v>3.11</v>
      </c>
      <c r="AK14" s="60">
        <v>2.0699999999999998</v>
      </c>
      <c r="AL14" s="60">
        <v>5.18</v>
      </c>
      <c r="AM14" s="60">
        <v>2.59</v>
      </c>
      <c r="AN14" s="60">
        <v>0.21</v>
      </c>
      <c r="AO14" s="60">
        <v>4.1449999999999996</v>
      </c>
      <c r="AP14" s="60">
        <v>4.66</v>
      </c>
      <c r="AQ14" s="60">
        <v>5.18</v>
      </c>
      <c r="AR14" s="60">
        <v>0.77500000000000002</v>
      </c>
      <c r="AS14" s="60">
        <v>4.66</v>
      </c>
      <c r="AT14" s="60">
        <v>5.18</v>
      </c>
      <c r="AU14" s="60">
        <v>1.2949999999999999</v>
      </c>
      <c r="AV14" s="62">
        <v>0</v>
      </c>
      <c r="AW14" s="62">
        <v>0</v>
      </c>
      <c r="AX14" s="62">
        <v>-2</v>
      </c>
      <c r="AY14" s="62">
        <v>0</v>
      </c>
      <c r="AZ14" s="62">
        <v>-7</v>
      </c>
      <c r="BA14" s="62">
        <v>-1</v>
      </c>
      <c r="BB14" s="62">
        <v>0</v>
      </c>
      <c r="BC14" s="62">
        <v>-2</v>
      </c>
      <c r="BD14" s="62">
        <v>-2.5</v>
      </c>
      <c r="BE14" s="62">
        <v>-3.5</v>
      </c>
      <c r="BF14" s="62">
        <v>0</v>
      </c>
      <c r="BG14" s="62">
        <v>-5.5</v>
      </c>
      <c r="BH14" s="62">
        <v>-6</v>
      </c>
      <c r="BI14" s="62">
        <v>0</v>
      </c>
      <c r="BJ14" s="62">
        <v>-3.5</v>
      </c>
      <c r="BK14" s="62">
        <v>-4</v>
      </c>
      <c r="BL14" s="62">
        <v>-4.5</v>
      </c>
      <c r="BM14" s="62">
        <v>0</v>
      </c>
      <c r="BN14" s="62">
        <v>-5</v>
      </c>
      <c r="BO14" s="62">
        <v>0</v>
      </c>
      <c r="BP14" s="4">
        <v>11</v>
      </c>
    </row>
    <row r="15" spans="1:68" x14ac:dyDescent="0.25">
      <c r="A15" s="4">
        <v>12</v>
      </c>
      <c r="B15" s="3" t="s">
        <v>2148</v>
      </c>
      <c r="C15" s="4">
        <v>4</v>
      </c>
      <c r="D15" s="4">
        <v>15</v>
      </c>
      <c r="E15" s="4">
        <v>55</v>
      </c>
      <c r="F15" s="61">
        <v>17.879799999999999</v>
      </c>
      <c r="G15" s="61">
        <v>1.786</v>
      </c>
      <c r="H15" s="61">
        <v>3.0246</v>
      </c>
      <c r="I15" s="61">
        <v>2.0164</v>
      </c>
      <c r="J15" s="61">
        <v>5.0410000000000004</v>
      </c>
      <c r="K15" s="61">
        <v>2.5205000000000002</v>
      </c>
      <c r="L15" s="61">
        <v>0.20200000000000001</v>
      </c>
      <c r="M15" s="61">
        <v>4.0327999999999999</v>
      </c>
      <c r="N15" s="61">
        <v>4.5369000000000002</v>
      </c>
      <c r="O15" s="61">
        <v>5.0410000000000004</v>
      </c>
      <c r="P15" s="61">
        <v>0.75614999999999999</v>
      </c>
      <c r="Q15" s="61">
        <v>4.5369000000000002</v>
      </c>
      <c r="R15" s="61">
        <v>5.0410000000000004</v>
      </c>
      <c r="S15" s="61">
        <v>1.2602500000000001</v>
      </c>
      <c r="T15" s="61">
        <v>1.8240000000000003E-2</v>
      </c>
      <c r="U15" s="61">
        <v>1.7600000000000003E-3</v>
      </c>
      <c r="V15" s="61">
        <v>1.9200000000000002E-2</v>
      </c>
      <c r="W15" s="61">
        <v>1.2800000000000001E-2</v>
      </c>
      <c r="X15" s="61">
        <v>3.2000000000000001E-2</v>
      </c>
      <c r="Y15" s="61">
        <v>1.6E-2</v>
      </c>
      <c r="Z15" s="61">
        <v>1.2800000000000001E-3</v>
      </c>
      <c r="AA15" s="61">
        <v>2.5600000000000001E-2</v>
      </c>
      <c r="AB15" s="61">
        <v>2.8799999999999999E-2</v>
      </c>
      <c r="AC15" s="61">
        <v>3.2000000000000001E-2</v>
      </c>
      <c r="AD15" s="61">
        <v>4.8000000000000004E-3</v>
      </c>
      <c r="AE15" s="61">
        <v>2.8799999999999999E-2</v>
      </c>
      <c r="AF15" s="61">
        <v>3.2000000000000001E-2</v>
      </c>
      <c r="AG15" s="61">
        <v>8.0000000000000002E-3</v>
      </c>
      <c r="AH15" s="60">
        <v>3.37</v>
      </c>
      <c r="AI15" s="60">
        <v>0.33</v>
      </c>
      <c r="AJ15" s="60">
        <v>3.55</v>
      </c>
      <c r="AK15" s="60">
        <v>2.37</v>
      </c>
      <c r="AL15" s="60">
        <v>5.92</v>
      </c>
      <c r="AM15" s="60">
        <v>2.96</v>
      </c>
      <c r="AN15" s="60">
        <v>0.24</v>
      </c>
      <c r="AO15" s="60">
        <v>4.7350000000000003</v>
      </c>
      <c r="AP15" s="60">
        <v>5.33</v>
      </c>
      <c r="AQ15" s="60">
        <v>5.92</v>
      </c>
      <c r="AR15" s="60">
        <v>0.89</v>
      </c>
      <c r="AS15" s="60">
        <v>5.33</v>
      </c>
      <c r="AT15" s="60">
        <v>5.92</v>
      </c>
      <c r="AU15" s="60">
        <v>1.48</v>
      </c>
      <c r="AV15" s="62">
        <v>0</v>
      </c>
      <c r="AW15" s="62">
        <v>0</v>
      </c>
      <c r="AX15" s="62">
        <v>0</v>
      </c>
      <c r="AY15" s="62">
        <v>0</v>
      </c>
      <c r="AZ15" s="62">
        <v>-5</v>
      </c>
      <c r="BA15" s="62">
        <v>0</v>
      </c>
      <c r="BB15" s="62">
        <v>0</v>
      </c>
      <c r="BC15" s="62">
        <v>-1</v>
      </c>
      <c r="BD15" s="62">
        <v>-1.5</v>
      </c>
      <c r="BE15" s="62">
        <v>-2.5</v>
      </c>
      <c r="BF15" s="62">
        <v>0</v>
      </c>
      <c r="BG15" s="62">
        <v>-5</v>
      </c>
      <c r="BH15" s="62">
        <v>-5.5</v>
      </c>
      <c r="BI15" s="62">
        <v>0</v>
      </c>
      <c r="BJ15" s="62">
        <v>-2.5</v>
      </c>
      <c r="BK15" s="62">
        <v>-3</v>
      </c>
      <c r="BL15" s="62">
        <v>-4</v>
      </c>
      <c r="BM15" s="62">
        <v>0</v>
      </c>
      <c r="BN15" s="62">
        <v>-3</v>
      </c>
      <c r="BO15" s="62">
        <v>0</v>
      </c>
      <c r="BP15" s="4">
        <v>12</v>
      </c>
    </row>
    <row r="16" spans="1:68" x14ac:dyDescent="0.25">
      <c r="A16" s="4">
        <v>13</v>
      </c>
      <c r="B16" s="3" t="s">
        <v>2149</v>
      </c>
      <c r="C16" s="4">
        <v>5</v>
      </c>
      <c r="D16" s="4">
        <v>0</v>
      </c>
      <c r="E16" s="4">
        <v>40</v>
      </c>
      <c r="F16" s="61">
        <v>14</v>
      </c>
      <c r="G16" s="61">
        <v>1.4</v>
      </c>
      <c r="H16" s="61">
        <v>2.1</v>
      </c>
      <c r="I16" s="61">
        <v>1.4</v>
      </c>
      <c r="J16" s="61">
        <v>3.5</v>
      </c>
      <c r="K16" s="61">
        <v>1.75</v>
      </c>
      <c r="L16" s="61">
        <v>0.14000000000000001</v>
      </c>
      <c r="M16" s="61">
        <v>2.8</v>
      </c>
      <c r="N16" s="61">
        <v>3.15</v>
      </c>
      <c r="O16" s="61">
        <v>3.5</v>
      </c>
      <c r="P16" s="61">
        <v>0.52500000000000002</v>
      </c>
      <c r="Q16" s="61">
        <v>3.15</v>
      </c>
      <c r="R16" s="61">
        <v>3.5</v>
      </c>
      <c r="S16" s="61">
        <v>0.875</v>
      </c>
      <c r="T16" s="61">
        <v>1.43E-2</v>
      </c>
      <c r="U16" s="61">
        <v>1.4E-3</v>
      </c>
      <c r="V16" s="61">
        <v>1.4999999999999999E-2</v>
      </c>
      <c r="W16" s="61">
        <v>0.01</v>
      </c>
      <c r="X16" s="61">
        <v>2.5000000000000001E-2</v>
      </c>
      <c r="Y16" s="61">
        <v>1.2500000000000001E-2</v>
      </c>
      <c r="Z16" s="61">
        <v>1E-3</v>
      </c>
      <c r="AA16" s="61">
        <v>0.02</v>
      </c>
      <c r="AB16" s="61">
        <v>2.2499999999999999E-2</v>
      </c>
      <c r="AC16" s="61">
        <v>2.5000000000000001E-2</v>
      </c>
      <c r="AD16" s="61">
        <v>3.7499999999999999E-3</v>
      </c>
      <c r="AE16" s="61">
        <v>2.2499999999999999E-2</v>
      </c>
      <c r="AF16" s="61">
        <v>2.5000000000000001E-2</v>
      </c>
      <c r="AG16" s="61">
        <v>6.2500000000000003E-3</v>
      </c>
      <c r="AH16" s="60">
        <v>2.65</v>
      </c>
      <c r="AI16" s="60">
        <v>0.26</v>
      </c>
      <c r="AJ16" s="60">
        <v>2.78</v>
      </c>
      <c r="AK16" s="60">
        <v>1.85</v>
      </c>
      <c r="AL16" s="60">
        <v>4.63</v>
      </c>
      <c r="AM16" s="60">
        <v>2.31</v>
      </c>
      <c r="AN16" s="60">
        <v>0.19</v>
      </c>
      <c r="AO16" s="60">
        <v>3.7</v>
      </c>
      <c r="AP16" s="60">
        <v>4.165</v>
      </c>
      <c r="AQ16" s="60">
        <v>4.625</v>
      </c>
      <c r="AR16" s="60">
        <v>0.69499999999999995</v>
      </c>
      <c r="AS16" s="60">
        <v>4.165</v>
      </c>
      <c r="AT16" s="60">
        <v>4.625</v>
      </c>
      <c r="AU16" s="60">
        <v>1.155</v>
      </c>
      <c r="AV16" s="62">
        <v>-4</v>
      </c>
      <c r="AW16" s="62">
        <v>0</v>
      </c>
      <c r="AX16" s="62">
        <v>-5</v>
      </c>
      <c r="AY16" s="62">
        <v>-3</v>
      </c>
      <c r="AZ16" s="62">
        <v>-8</v>
      </c>
      <c r="BA16" s="62">
        <v>-4</v>
      </c>
      <c r="BB16" s="62">
        <v>0</v>
      </c>
      <c r="BC16" s="62">
        <v>-3</v>
      </c>
      <c r="BD16" s="62">
        <v>-3.5</v>
      </c>
      <c r="BE16" s="62">
        <v>-4</v>
      </c>
      <c r="BF16" s="62">
        <v>-0.5</v>
      </c>
      <c r="BG16" s="62">
        <v>-5.5</v>
      </c>
      <c r="BH16" s="62">
        <v>-6</v>
      </c>
      <c r="BI16" s="62">
        <v>-1.5</v>
      </c>
      <c r="BJ16" s="62">
        <v>-6</v>
      </c>
      <c r="BK16" s="62">
        <v>-7</v>
      </c>
      <c r="BL16" s="62">
        <v>-7.5</v>
      </c>
      <c r="BM16" s="62">
        <v>-1</v>
      </c>
      <c r="BN16" s="62">
        <v>-9</v>
      </c>
      <c r="BO16" s="62">
        <v>-1</v>
      </c>
      <c r="BP16" s="4">
        <v>13</v>
      </c>
    </row>
    <row r="17" spans="1:68" x14ac:dyDescent="0.25">
      <c r="A17" s="4">
        <v>14</v>
      </c>
      <c r="B17" s="3" t="s">
        <v>2150</v>
      </c>
      <c r="C17" s="4">
        <v>5</v>
      </c>
      <c r="D17" s="4">
        <v>5</v>
      </c>
      <c r="E17" s="4">
        <v>45</v>
      </c>
      <c r="F17" s="61">
        <v>17.6325</v>
      </c>
      <c r="G17" s="61">
        <v>1.7629999999999999</v>
      </c>
      <c r="H17" s="61">
        <v>2.7639999999999998</v>
      </c>
      <c r="I17" s="61">
        <v>1.8425</v>
      </c>
      <c r="J17" s="61">
        <v>4.6064999999999996</v>
      </c>
      <c r="K17" s="61">
        <v>2.3029999999999999</v>
      </c>
      <c r="L17" s="61">
        <v>0.18450000000000003</v>
      </c>
      <c r="M17" s="61">
        <v>3.6850000000000001</v>
      </c>
      <c r="N17" s="61">
        <v>4.1457499999999996</v>
      </c>
      <c r="O17" s="61">
        <v>4.6062500000000002</v>
      </c>
      <c r="P17" s="61">
        <v>0.69099999999999995</v>
      </c>
      <c r="Q17" s="61">
        <v>4.1457499999999996</v>
      </c>
      <c r="R17" s="61">
        <v>4.6062500000000002</v>
      </c>
      <c r="S17" s="61">
        <v>1.1515</v>
      </c>
      <c r="T17" s="61">
        <v>1.7159999999999998E-2</v>
      </c>
      <c r="U17" s="61">
        <v>1.6799999999999999E-3</v>
      </c>
      <c r="V17" s="61">
        <v>1.7999999999999999E-2</v>
      </c>
      <c r="W17" s="61">
        <v>1.2E-2</v>
      </c>
      <c r="X17" s="61">
        <v>0.03</v>
      </c>
      <c r="Y17" s="61">
        <v>1.4999999999999999E-2</v>
      </c>
      <c r="Z17" s="61">
        <v>1.1999999999999999E-3</v>
      </c>
      <c r="AA17" s="61">
        <v>2.4E-2</v>
      </c>
      <c r="AB17" s="61">
        <v>2.7E-2</v>
      </c>
      <c r="AC17" s="61">
        <v>0.03</v>
      </c>
      <c r="AD17" s="61">
        <v>4.4999999999999997E-3</v>
      </c>
      <c r="AE17" s="61">
        <v>2.7E-2</v>
      </c>
      <c r="AF17" s="61">
        <v>0.03</v>
      </c>
      <c r="AG17" s="61">
        <v>7.4999999999999997E-3</v>
      </c>
      <c r="AH17" s="60">
        <v>3.17</v>
      </c>
      <c r="AI17" s="60">
        <v>0.31</v>
      </c>
      <c r="AJ17" s="60">
        <v>3.33</v>
      </c>
      <c r="AK17" s="60">
        <v>2.2200000000000002</v>
      </c>
      <c r="AL17" s="60">
        <v>5.55</v>
      </c>
      <c r="AM17" s="60">
        <v>2.78</v>
      </c>
      <c r="AN17" s="60">
        <v>0.22</v>
      </c>
      <c r="AO17" s="60">
        <v>4.4400000000000004</v>
      </c>
      <c r="AP17" s="60">
        <v>4.9950000000000001</v>
      </c>
      <c r="AQ17" s="60">
        <v>5.55</v>
      </c>
      <c r="AR17" s="60">
        <v>0.83499999999999996</v>
      </c>
      <c r="AS17" s="60">
        <v>4.9950000000000001</v>
      </c>
      <c r="AT17" s="60">
        <v>5.55</v>
      </c>
      <c r="AU17" s="60">
        <v>1.39</v>
      </c>
      <c r="AV17" s="62">
        <v>-3</v>
      </c>
      <c r="AW17" s="62">
        <v>0</v>
      </c>
      <c r="AX17" s="62">
        <v>-4</v>
      </c>
      <c r="AY17" s="62">
        <v>-2</v>
      </c>
      <c r="AZ17" s="62">
        <v>-8</v>
      </c>
      <c r="BA17" s="62">
        <v>-3</v>
      </c>
      <c r="BB17" s="62">
        <v>0</v>
      </c>
      <c r="BC17" s="62">
        <v>-2.5</v>
      </c>
      <c r="BD17" s="62">
        <v>-3</v>
      </c>
      <c r="BE17" s="62">
        <v>-4</v>
      </c>
      <c r="BF17" s="62">
        <v>0</v>
      </c>
      <c r="BG17" s="62">
        <v>-5.5</v>
      </c>
      <c r="BH17" s="62">
        <v>-6</v>
      </c>
      <c r="BI17" s="62">
        <v>-1</v>
      </c>
      <c r="BJ17" s="62">
        <v>-6</v>
      </c>
      <c r="BK17" s="62">
        <v>-7.5</v>
      </c>
      <c r="BL17" s="62">
        <v>-8</v>
      </c>
      <c r="BM17" s="62">
        <v>0</v>
      </c>
      <c r="BN17" s="62">
        <v>-9</v>
      </c>
      <c r="BO17" s="62">
        <v>0</v>
      </c>
      <c r="BP17" s="4">
        <v>14</v>
      </c>
    </row>
    <row r="18" spans="1:68" x14ac:dyDescent="0.25">
      <c r="A18" s="4">
        <v>15</v>
      </c>
      <c r="B18" s="3" t="s">
        <v>2151</v>
      </c>
      <c r="C18" s="4">
        <v>5</v>
      </c>
      <c r="D18" s="4">
        <v>10</v>
      </c>
      <c r="E18" s="4">
        <v>50</v>
      </c>
      <c r="F18" s="61">
        <v>21.238499999999998</v>
      </c>
      <c r="G18" s="61">
        <v>2.1233999999999997</v>
      </c>
      <c r="H18" s="61">
        <v>3.4002000000000003</v>
      </c>
      <c r="I18" s="61">
        <v>2.2664999999999997</v>
      </c>
      <c r="J18" s="61">
        <v>5.6666999999999996</v>
      </c>
      <c r="K18" s="61">
        <v>2.8329</v>
      </c>
      <c r="L18" s="61">
        <v>0.22710000000000002</v>
      </c>
      <c r="M18" s="61">
        <v>4.5329999999999995</v>
      </c>
      <c r="N18" s="61">
        <v>5.09985</v>
      </c>
      <c r="O18" s="61">
        <v>5.6662499999999998</v>
      </c>
      <c r="P18" s="61">
        <v>0.85005000000000008</v>
      </c>
      <c r="Q18" s="61">
        <v>5.09985</v>
      </c>
      <c r="R18" s="61">
        <v>5.6662499999999998</v>
      </c>
      <c r="S18" s="61">
        <v>1.41645</v>
      </c>
      <c r="T18" s="61">
        <v>2.002E-2</v>
      </c>
      <c r="U18" s="61">
        <v>1.9599999999999999E-3</v>
      </c>
      <c r="V18" s="61">
        <v>2.0999999999999998E-2</v>
      </c>
      <c r="W18" s="61">
        <v>1.3999999999999999E-2</v>
      </c>
      <c r="X18" s="61">
        <v>3.4999999999999996E-2</v>
      </c>
      <c r="Y18" s="61">
        <v>1.7499999999999998E-2</v>
      </c>
      <c r="Z18" s="61">
        <v>1.4E-3</v>
      </c>
      <c r="AA18" s="61">
        <v>2.7999999999999997E-2</v>
      </c>
      <c r="AB18" s="61">
        <v>3.15E-2</v>
      </c>
      <c r="AC18" s="61">
        <v>3.4999999999999996E-2</v>
      </c>
      <c r="AD18" s="61">
        <v>5.2499999999999995E-3</v>
      </c>
      <c r="AE18" s="61">
        <v>3.15E-2</v>
      </c>
      <c r="AF18" s="61">
        <v>3.4999999999999996E-2</v>
      </c>
      <c r="AG18" s="61">
        <v>8.7499999999999991E-3</v>
      </c>
      <c r="AH18" s="60">
        <v>3.7</v>
      </c>
      <c r="AI18" s="60">
        <v>0.36</v>
      </c>
      <c r="AJ18" s="60">
        <v>3.89</v>
      </c>
      <c r="AK18" s="60">
        <v>2.59</v>
      </c>
      <c r="AL18" s="60">
        <v>6.48</v>
      </c>
      <c r="AM18" s="60">
        <v>3.24</v>
      </c>
      <c r="AN18" s="60">
        <v>0.26</v>
      </c>
      <c r="AO18" s="60">
        <v>5.18</v>
      </c>
      <c r="AP18" s="60">
        <v>5.83</v>
      </c>
      <c r="AQ18" s="60">
        <v>6.4749999999999996</v>
      </c>
      <c r="AR18" s="60">
        <v>0.97</v>
      </c>
      <c r="AS18" s="60">
        <v>5.83</v>
      </c>
      <c r="AT18" s="60">
        <v>6.4749999999999996</v>
      </c>
      <c r="AU18" s="60">
        <v>1.62</v>
      </c>
      <c r="AV18" s="62">
        <v>-1</v>
      </c>
      <c r="AW18" s="62">
        <v>0</v>
      </c>
      <c r="AX18" s="62">
        <v>-2</v>
      </c>
      <c r="AY18" s="62">
        <v>0</v>
      </c>
      <c r="AZ18" s="62">
        <v>-7</v>
      </c>
      <c r="BA18" s="62">
        <v>-1</v>
      </c>
      <c r="BB18" s="62">
        <v>0</v>
      </c>
      <c r="BC18" s="62">
        <v>-2</v>
      </c>
      <c r="BD18" s="62">
        <v>-2.5</v>
      </c>
      <c r="BE18" s="62">
        <v>-3.5</v>
      </c>
      <c r="BF18" s="62">
        <v>0</v>
      </c>
      <c r="BG18" s="62">
        <v>-5.5</v>
      </c>
      <c r="BH18" s="62">
        <v>-6</v>
      </c>
      <c r="BI18" s="62">
        <v>0</v>
      </c>
      <c r="BJ18" s="62">
        <v>-6</v>
      </c>
      <c r="BK18" s="62">
        <v>-7.5</v>
      </c>
      <c r="BL18" s="62">
        <v>-8</v>
      </c>
      <c r="BM18" s="62">
        <v>0</v>
      </c>
      <c r="BN18" s="62">
        <v>-8</v>
      </c>
      <c r="BO18" s="62">
        <v>0</v>
      </c>
      <c r="BP18" s="4">
        <v>15</v>
      </c>
    </row>
    <row r="19" spans="1:68" x14ac:dyDescent="0.25">
      <c r="A19" s="4">
        <v>16</v>
      </c>
      <c r="B19" s="3" t="s">
        <v>2152</v>
      </c>
      <c r="C19" s="4">
        <v>5</v>
      </c>
      <c r="D19" s="4">
        <v>15</v>
      </c>
      <c r="E19" s="4">
        <v>60</v>
      </c>
      <c r="F19" s="61">
        <v>24.977</v>
      </c>
      <c r="G19" s="61">
        <v>2.4967999999999999</v>
      </c>
      <c r="H19" s="61">
        <v>4.1753999999999998</v>
      </c>
      <c r="I19" s="61">
        <v>2.7829999999999999</v>
      </c>
      <c r="J19" s="61">
        <v>6.9584000000000001</v>
      </c>
      <c r="K19" s="61">
        <v>3.4782999999999999</v>
      </c>
      <c r="L19" s="61">
        <v>0.2792</v>
      </c>
      <c r="M19" s="61">
        <v>5.5659999999999998</v>
      </c>
      <c r="N19" s="61">
        <v>6.2622</v>
      </c>
      <c r="O19" s="61">
        <v>6.9574999999999996</v>
      </c>
      <c r="P19" s="61">
        <v>1.0438499999999999</v>
      </c>
      <c r="Q19" s="61">
        <v>6.2622</v>
      </c>
      <c r="R19" s="61">
        <v>6.9574999999999996</v>
      </c>
      <c r="S19" s="61">
        <v>1.73915</v>
      </c>
      <c r="T19" s="61">
        <v>2.2880000000000001E-2</v>
      </c>
      <c r="U19" s="61">
        <v>2.2400000000000002E-3</v>
      </c>
      <c r="V19" s="61">
        <v>2.4E-2</v>
      </c>
      <c r="W19" s="61">
        <v>1.6E-2</v>
      </c>
      <c r="X19" s="61">
        <v>4.0000000000000008E-2</v>
      </c>
      <c r="Y19" s="61">
        <v>2.0000000000000004E-2</v>
      </c>
      <c r="Z19" s="61">
        <v>1.6000000000000001E-3</v>
      </c>
      <c r="AA19" s="61">
        <v>3.2000000000000001E-2</v>
      </c>
      <c r="AB19" s="61">
        <v>3.5999999999999997E-2</v>
      </c>
      <c r="AC19" s="61">
        <v>4.0000000000000008E-2</v>
      </c>
      <c r="AD19" s="61">
        <v>6.0000000000000001E-3</v>
      </c>
      <c r="AE19" s="61">
        <v>3.5999999999999997E-2</v>
      </c>
      <c r="AF19" s="61">
        <v>4.0000000000000008E-2</v>
      </c>
      <c r="AG19" s="61">
        <v>1.0000000000000002E-2</v>
      </c>
      <c r="AH19" s="60">
        <v>4.2300000000000004</v>
      </c>
      <c r="AI19" s="60">
        <v>0.41</v>
      </c>
      <c r="AJ19" s="60">
        <v>4.4400000000000004</v>
      </c>
      <c r="AK19" s="60">
        <v>2.96</v>
      </c>
      <c r="AL19" s="60">
        <v>7.4</v>
      </c>
      <c r="AM19" s="60">
        <v>3.7</v>
      </c>
      <c r="AN19" s="60">
        <v>0.3</v>
      </c>
      <c r="AO19" s="60">
        <v>5.92</v>
      </c>
      <c r="AP19" s="60">
        <v>6.66</v>
      </c>
      <c r="AQ19" s="60">
        <v>7.4</v>
      </c>
      <c r="AR19" s="60">
        <v>1.1100000000000001</v>
      </c>
      <c r="AS19" s="60">
        <v>6.66</v>
      </c>
      <c r="AT19" s="60">
        <v>7.4</v>
      </c>
      <c r="AU19" s="60">
        <v>1.85</v>
      </c>
      <c r="AV19" s="62">
        <v>0</v>
      </c>
      <c r="AW19" s="62">
        <v>0</v>
      </c>
      <c r="AX19" s="62">
        <v>0</v>
      </c>
      <c r="AY19" s="62">
        <v>0</v>
      </c>
      <c r="AZ19" s="62">
        <v>-5</v>
      </c>
      <c r="BA19" s="62">
        <v>0</v>
      </c>
      <c r="BB19" s="62">
        <v>0</v>
      </c>
      <c r="BC19" s="62">
        <v>-1</v>
      </c>
      <c r="BD19" s="62">
        <v>-1.5</v>
      </c>
      <c r="BE19" s="62">
        <v>-2.5</v>
      </c>
      <c r="BF19" s="62">
        <v>0</v>
      </c>
      <c r="BG19" s="62">
        <v>-5</v>
      </c>
      <c r="BH19" s="62">
        <v>-5.5</v>
      </c>
      <c r="BI19" s="62">
        <v>0</v>
      </c>
      <c r="BJ19" s="62">
        <v>-5.5</v>
      </c>
      <c r="BK19" s="62">
        <v>-7</v>
      </c>
      <c r="BL19" s="62">
        <v>-8</v>
      </c>
      <c r="BM19" s="62">
        <v>0</v>
      </c>
      <c r="BN19" s="62">
        <v>-6</v>
      </c>
      <c r="BO19" s="62">
        <v>0</v>
      </c>
      <c r="BP19" s="4">
        <v>16</v>
      </c>
    </row>
    <row r="20" spans="1:68" x14ac:dyDescent="0.25">
      <c r="A20" s="4">
        <v>17</v>
      </c>
      <c r="B20" s="3" t="s">
        <v>2153</v>
      </c>
      <c r="C20" s="4">
        <v>5</v>
      </c>
      <c r="D20" s="4">
        <v>0</v>
      </c>
      <c r="E20" s="4">
        <v>65</v>
      </c>
      <c r="F20" s="61">
        <v>140</v>
      </c>
      <c r="G20" s="61">
        <v>14</v>
      </c>
      <c r="H20" s="61">
        <v>21</v>
      </c>
      <c r="I20" s="61">
        <v>14</v>
      </c>
      <c r="J20" s="61">
        <v>35</v>
      </c>
      <c r="K20" s="61">
        <v>17.5</v>
      </c>
      <c r="L20" s="61">
        <v>1.4000000000000001</v>
      </c>
      <c r="M20" s="61">
        <v>28</v>
      </c>
      <c r="N20" s="61">
        <v>31.5</v>
      </c>
      <c r="O20" s="61">
        <v>35</v>
      </c>
      <c r="P20" s="61">
        <v>5.25</v>
      </c>
      <c r="Q20" s="61">
        <v>31.5</v>
      </c>
      <c r="R20" s="61">
        <v>35</v>
      </c>
      <c r="S20" s="61">
        <v>8.75</v>
      </c>
      <c r="T20" s="61">
        <v>1.1440000000000001E-2</v>
      </c>
      <c r="U20" s="61">
        <v>1.1200000000000001E-3</v>
      </c>
      <c r="V20" s="61">
        <v>1.2E-2</v>
      </c>
      <c r="W20" s="61">
        <v>8.0000000000000002E-3</v>
      </c>
      <c r="X20" s="61">
        <v>2.0000000000000004E-2</v>
      </c>
      <c r="Y20" s="61">
        <v>1.0000000000000002E-2</v>
      </c>
      <c r="Z20" s="61">
        <v>8.0000000000000004E-4</v>
      </c>
      <c r="AA20" s="61">
        <v>1.6E-2</v>
      </c>
      <c r="AB20" s="61">
        <v>1.7999999999999999E-2</v>
      </c>
      <c r="AC20" s="61">
        <v>2.0000000000000004E-2</v>
      </c>
      <c r="AD20" s="61">
        <v>3.0000000000000001E-3</v>
      </c>
      <c r="AE20" s="61">
        <v>1.7999999999999999E-2</v>
      </c>
      <c r="AF20" s="61">
        <v>2.0000000000000004E-2</v>
      </c>
      <c r="AG20" s="61">
        <v>5.000000000000001E-3</v>
      </c>
      <c r="AH20" s="60">
        <v>2.12</v>
      </c>
      <c r="AI20" s="60">
        <v>0.21</v>
      </c>
      <c r="AJ20" s="60">
        <v>2.2200000000000002</v>
      </c>
      <c r="AK20" s="60">
        <v>1.48</v>
      </c>
      <c r="AL20" s="60">
        <v>3.7</v>
      </c>
      <c r="AM20" s="60">
        <v>1.85</v>
      </c>
      <c r="AN20" s="60">
        <v>0.15</v>
      </c>
      <c r="AO20" s="60">
        <v>2.96</v>
      </c>
      <c r="AP20" s="60">
        <v>3.33</v>
      </c>
      <c r="AQ20" s="60">
        <v>3.7</v>
      </c>
      <c r="AR20" s="60">
        <v>0.55500000000000005</v>
      </c>
      <c r="AS20" s="60">
        <v>3.33</v>
      </c>
      <c r="AT20" s="60">
        <v>3.7</v>
      </c>
      <c r="AU20" s="60">
        <v>0.92500000000000004</v>
      </c>
      <c r="AV20" s="62">
        <v>-3</v>
      </c>
      <c r="AW20" s="62">
        <v>0</v>
      </c>
      <c r="AX20" s="62">
        <v>-4</v>
      </c>
      <c r="AY20" s="62">
        <v>-2</v>
      </c>
      <c r="AZ20" s="62">
        <v>-6</v>
      </c>
      <c r="BA20" s="62">
        <v>-3</v>
      </c>
      <c r="BB20" s="62">
        <v>0</v>
      </c>
      <c r="BC20" s="62">
        <v>-2.5</v>
      </c>
      <c r="BD20" s="62">
        <v>-3</v>
      </c>
      <c r="BE20" s="62">
        <v>-3</v>
      </c>
      <c r="BF20" s="62">
        <v>-0.5</v>
      </c>
      <c r="BG20" s="62">
        <v>-4.5</v>
      </c>
      <c r="BH20" s="62">
        <v>-5</v>
      </c>
      <c r="BI20" s="62">
        <v>-1</v>
      </c>
      <c r="BJ20" s="62">
        <v>-5</v>
      </c>
      <c r="BK20" s="62">
        <v>-5.5</v>
      </c>
      <c r="BL20" s="62">
        <v>-6</v>
      </c>
      <c r="BM20" s="62">
        <v>-1</v>
      </c>
      <c r="BN20" s="62">
        <v>-7</v>
      </c>
      <c r="BO20" s="62">
        <v>-1</v>
      </c>
      <c r="BP20" s="4">
        <v>17</v>
      </c>
    </row>
    <row r="21" spans="1:68" x14ac:dyDescent="0.25">
      <c r="A21" s="4">
        <v>18</v>
      </c>
      <c r="B21" s="3" t="s">
        <v>2154</v>
      </c>
      <c r="C21" s="4">
        <v>5</v>
      </c>
      <c r="D21" s="4">
        <v>-30</v>
      </c>
      <c r="E21" s="4">
        <v>10</v>
      </c>
      <c r="F21" s="61">
        <v>13.83305</v>
      </c>
      <c r="G21" s="61">
        <v>1.3836199999999999</v>
      </c>
      <c r="H21" s="61">
        <v>1.92486</v>
      </c>
      <c r="I21" s="61">
        <v>1.28345</v>
      </c>
      <c r="J21" s="61">
        <v>3.20831</v>
      </c>
      <c r="K21" s="61">
        <v>1.6044700000000001</v>
      </c>
      <c r="L21" s="61">
        <v>0.12803</v>
      </c>
      <c r="M21" s="61">
        <v>2.5669</v>
      </c>
      <c r="N21" s="61">
        <v>2.8876049999999998</v>
      </c>
      <c r="O21" s="61">
        <v>3.2086250000000001</v>
      </c>
      <c r="P21" s="61">
        <v>0.481215</v>
      </c>
      <c r="Q21" s="61">
        <v>2.8876049999999998</v>
      </c>
      <c r="R21" s="61">
        <v>3.2086250000000001</v>
      </c>
      <c r="S21" s="61">
        <v>0.80223500000000003</v>
      </c>
      <c r="T21" s="61">
        <v>6.7209999999999995E-3</v>
      </c>
      <c r="U21" s="61">
        <v>6.5799999999999995E-4</v>
      </c>
      <c r="V21" s="61">
        <v>7.049999999999999E-3</v>
      </c>
      <c r="W21" s="61">
        <v>4.7000000000000002E-3</v>
      </c>
      <c r="X21" s="61">
        <v>1.175E-2</v>
      </c>
      <c r="Y21" s="61">
        <v>5.875E-3</v>
      </c>
      <c r="Z21" s="61">
        <v>4.6999999999999999E-4</v>
      </c>
      <c r="AA21" s="61">
        <v>9.4000000000000004E-3</v>
      </c>
      <c r="AB21" s="61">
        <v>1.0574999999999999E-2</v>
      </c>
      <c r="AC21" s="61">
        <v>1.175E-2</v>
      </c>
      <c r="AD21" s="61">
        <v>1.7624999999999997E-3</v>
      </c>
      <c r="AE21" s="61">
        <v>1.0574999999999999E-2</v>
      </c>
      <c r="AF21" s="61">
        <v>1.175E-2</v>
      </c>
      <c r="AG21" s="61">
        <v>2.9375E-3</v>
      </c>
      <c r="AH21" s="60">
        <v>1.24</v>
      </c>
      <c r="AI21" s="60">
        <v>0.12</v>
      </c>
      <c r="AJ21" s="60">
        <v>1.3</v>
      </c>
      <c r="AK21" s="60">
        <v>0.87</v>
      </c>
      <c r="AL21" s="60">
        <v>2.17</v>
      </c>
      <c r="AM21" s="60">
        <v>1.0900000000000001</v>
      </c>
      <c r="AN21" s="60">
        <v>0.09</v>
      </c>
      <c r="AO21" s="60">
        <v>1.74</v>
      </c>
      <c r="AP21" s="60">
        <v>1.9550000000000001</v>
      </c>
      <c r="AQ21" s="60">
        <v>2.1749999999999998</v>
      </c>
      <c r="AR21" s="60">
        <v>0.32500000000000001</v>
      </c>
      <c r="AS21" s="60">
        <v>1.9550000000000001</v>
      </c>
      <c r="AT21" s="60">
        <v>2.1749999999999998</v>
      </c>
      <c r="AU21" s="60">
        <v>0.54500000000000004</v>
      </c>
      <c r="AV21" s="62">
        <v>-7</v>
      </c>
      <c r="AW21" s="62">
        <v>-5</v>
      </c>
      <c r="AX21" s="62">
        <v>-7</v>
      </c>
      <c r="AY21" s="62">
        <v>-6</v>
      </c>
      <c r="AZ21" s="62">
        <v>-8</v>
      </c>
      <c r="BA21" s="62">
        <v>-7</v>
      </c>
      <c r="BB21" s="62">
        <v>-5</v>
      </c>
      <c r="BC21" s="62">
        <v>-4</v>
      </c>
      <c r="BD21" s="62">
        <v>-4</v>
      </c>
      <c r="BE21" s="62">
        <v>-4</v>
      </c>
      <c r="BF21" s="62">
        <v>-2.5</v>
      </c>
      <c r="BG21" s="62">
        <v>-5</v>
      </c>
      <c r="BH21" s="62">
        <v>-5</v>
      </c>
      <c r="BI21" s="62">
        <v>-3</v>
      </c>
      <c r="BJ21" s="62">
        <v>-5</v>
      </c>
      <c r="BK21" s="62">
        <v>-5.5</v>
      </c>
      <c r="BL21" s="62">
        <v>-6</v>
      </c>
      <c r="BM21" s="62">
        <v>-3</v>
      </c>
      <c r="BN21" s="62">
        <v>-9</v>
      </c>
      <c r="BO21" s="62">
        <v>-5</v>
      </c>
      <c r="BP21" s="4">
        <v>18</v>
      </c>
    </row>
    <row r="22" spans="1:68" x14ac:dyDescent="0.25">
      <c r="A22" s="4">
        <v>19</v>
      </c>
      <c r="B22" s="3" t="s">
        <v>2155</v>
      </c>
      <c r="C22" s="4">
        <v>5</v>
      </c>
      <c r="D22" s="4">
        <v>-10</v>
      </c>
      <c r="E22" s="4">
        <v>10</v>
      </c>
      <c r="F22" s="61">
        <v>13.83305</v>
      </c>
      <c r="G22" s="61">
        <v>1.3836199999999999</v>
      </c>
      <c r="H22" s="61">
        <v>1.92486</v>
      </c>
      <c r="I22" s="61">
        <v>1.28345</v>
      </c>
      <c r="J22" s="61">
        <v>3.20831</v>
      </c>
      <c r="K22" s="61">
        <v>1.6044700000000001</v>
      </c>
      <c r="L22" s="61">
        <v>0.12803</v>
      </c>
      <c r="M22" s="61">
        <v>2.5669</v>
      </c>
      <c r="N22" s="61">
        <v>2.8876049999999998</v>
      </c>
      <c r="O22" s="61">
        <v>3.2086250000000001</v>
      </c>
      <c r="P22" s="61">
        <v>0.481215</v>
      </c>
      <c r="Q22" s="61">
        <v>2.8876049999999998</v>
      </c>
      <c r="R22" s="61">
        <v>3.2086250000000001</v>
      </c>
      <c r="S22" s="61">
        <v>0.80223500000000003</v>
      </c>
      <c r="T22" s="61">
        <v>6.5780000000000005E-3</v>
      </c>
      <c r="U22" s="61">
        <v>6.4400000000000004E-4</v>
      </c>
      <c r="V22" s="61">
        <v>6.8999999999999999E-3</v>
      </c>
      <c r="W22" s="61">
        <v>4.5999999999999999E-3</v>
      </c>
      <c r="X22" s="61">
        <v>1.1500000000000002E-2</v>
      </c>
      <c r="Y22" s="61">
        <v>5.7500000000000008E-3</v>
      </c>
      <c r="Z22" s="61">
        <v>4.6000000000000001E-4</v>
      </c>
      <c r="AA22" s="61">
        <v>9.1999999999999998E-3</v>
      </c>
      <c r="AB22" s="61">
        <v>1.035E-2</v>
      </c>
      <c r="AC22" s="61">
        <v>1.1500000000000002E-2</v>
      </c>
      <c r="AD22" s="61">
        <v>1.725E-3</v>
      </c>
      <c r="AE22" s="61">
        <v>1.035E-2</v>
      </c>
      <c r="AF22" s="61">
        <v>1.1500000000000002E-2</v>
      </c>
      <c r="AG22" s="61">
        <v>2.8750000000000004E-3</v>
      </c>
      <c r="AH22" s="60">
        <v>1.22</v>
      </c>
      <c r="AI22" s="60">
        <v>0.12</v>
      </c>
      <c r="AJ22" s="60">
        <v>1.28</v>
      </c>
      <c r="AK22" s="60">
        <v>0.85</v>
      </c>
      <c r="AL22" s="60">
        <v>2.13</v>
      </c>
      <c r="AM22" s="60">
        <v>1.06</v>
      </c>
      <c r="AN22" s="60">
        <v>0.09</v>
      </c>
      <c r="AO22" s="60">
        <v>1.7</v>
      </c>
      <c r="AP22" s="60">
        <v>1.915</v>
      </c>
      <c r="AQ22" s="60">
        <v>2.13</v>
      </c>
      <c r="AR22" s="60">
        <v>0.32</v>
      </c>
      <c r="AS22" s="60">
        <v>1.915</v>
      </c>
      <c r="AT22" s="60">
        <v>2.13</v>
      </c>
      <c r="AU22" s="60">
        <v>0.53</v>
      </c>
      <c r="AV22" s="62">
        <v>-3</v>
      </c>
      <c r="AW22" s="62">
        <v>-2</v>
      </c>
      <c r="AX22" s="62">
        <v>-4</v>
      </c>
      <c r="AY22" s="62">
        <v>-3</v>
      </c>
      <c r="AZ22" s="62">
        <v>-5</v>
      </c>
      <c r="BA22" s="62">
        <v>-3</v>
      </c>
      <c r="BB22" s="62">
        <v>-2</v>
      </c>
      <c r="BC22" s="62">
        <v>-2</v>
      </c>
      <c r="BD22" s="62">
        <v>-2.5</v>
      </c>
      <c r="BE22" s="62">
        <v>-2.5</v>
      </c>
      <c r="BF22" s="62">
        <v>-1</v>
      </c>
      <c r="BG22" s="62">
        <v>-3.5</v>
      </c>
      <c r="BH22" s="62">
        <v>-3.5</v>
      </c>
      <c r="BI22" s="62">
        <v>-1.5</v>
      </c>
      <c r="BJ22" s="62">
        <v>-3.5</v>
      </c>
      <c r="BK22" s="62">
        <v>-4</v>
      </c>
      <c r="BL22" s="62">
        <v>-4</v>
      </c>
      <c r="BM22" s="62">
        <v>-1</v>
      </c>
      <c r="BN22" s="62">
        <v>-6</v>
      </c>
      <c r="BO22" s="62">
        <v>-2</v>
      </c>
      <c r="BP22" s="4">
        <v>19</v>
      </c>
    </row>
    <row r="23" spans="1:68" x14ac:dyDescent="0.25">
      <c r="A23" s="4">
        <v>20</v>
      </c>
      <c r="B23" s="3" t="s">
        <v>2156</v>
      </c>
      <c r="C23" s="4">
        <v>5</v>
      </c>
      <c r="D23" s="4">
        <v>0</v>
      </c>
      <c r="E23" s="4">
        <v>40</v>
      </c>
      <c r="F23" s="61">
        <v>13.83305</v>
      </c>
      <c r="G23" s="61">
        <v>1.3836199999999999</v>
      </c>
      <c r="H23" s="61">
        <v>1.92486</v>
      </c>
      <c r="I23" s="61">
        <v>1.28345</v>
      </c>
      <c r="J23" s="61">
        <v>3.20831</v>
      </c>
      <c r="K23" s="61">
        <v>1.6044700000000001</v>
      </c>
      <c r="L23" s="61">
        <v>0.12803</v>
      </c>
      <c r="M23" s="61">
        <v>2.5669</v>
      </c>
      <c r="N23" s="61">
        <v>2.8876049999999998</v>
      </c>
      <c r="O23" s="61">
        <v>3.2086250000000001</v>
      </c>
      <c r="P23" s="61">
        <v>0.481215</v>
      </c>
      <c r="Q23" s="61">
        <v>2.8876049999999998</v>
      </c>
      <c r="R23" s="61">
        <v>3.2086250000000001</v>
      </c>
      <c r="S23" s="61">
        <v>0.80223500000000003</v>
      </c>
      <c r="T23" s="61">
        <v>1.1440000000000001E-2</v>
      </c>
      <c r="U23" s="61">
        <v>1.1200000000000001E-3</v>
      </c>
      <c r="V23" s="61">
        <v>1.2E-2</v>
      </c>
      <c r="W23" s="61">
        <v>8.0000000000000002E-3</v>
      </c>
      <c r="X23" s="61">
        <v>2.0000000000000004E-2</v>
      </c>
      <c r="Y23" s="61">
        <v>1.0000000000000002E-2</v>
      </c>
      <c r="Z23" s="61">
        <v>8.0000000000000004E-4</v>
      </c>
      <c r="AA23" s="61">
        <v>1.6E-2</v>
      </c>
      <c r="AB23" s="61">
        <v>1.7999999999999999E-2</v>
      </c>
      <c r="AC23" s="61">
        <v>2.0000000000000004E-2</v>
      </c>
      <c r="AD23" s="61">
        <v>3.0000000000000001E-3</v>
      </c>
      <c r="AE23" s="61">
        <v>1.7999999999999999E-2</v>
      </c>
      <c r="AF23" s="61">
        <v>2.0000000000000004E-2</v>
      </c>
      <c r="AG23" s="61">
        <v>5.000000000000001E-3</v>
      </c>
      <c r="AH23" s="60">
        <v>2.12</v>
      </c>
      <c r="AI23" s="60">
        <v>0.21</v>
      </c>
      <c r="AJ23" s="60">
        <v>2.2200000000000002</v>
      </c>
      <c r="AK23" s="60">
        <v>1.48</v>
      </c>
      <c r="AL23" s="60">
        <v>3.7</v>
      </c>
      <c r="AM23" s="60">
        <v>1.85</v>
      </c>
      <c r="AN23" s="60">
        <v>0.15</v>
      </c>
      <c r="AO23" s="60">
        <v>2.96</v>
      </c>
      <c r="AP23" s="60">
        <v>3.33</v>
      </c>
      <c r="AQ23" s="60">
        <v>3.7</v>
      </c>
      <c r="AR23" s="60">
        <v>0.55500000000000005</v>
      </c>
      <c r="AS23" s="60">
        <v>3.33</v>
      </c>
      <c r="AT23" s="60">
        <v>3.7</v>
      </c>
      <c r="AU23" s="60">
        <v>0.92500000000000004</v>
      </c>
      <c r="AV23" s="62">
        <v>-3</v>
      </c>
      <c r="AW23" s="62">
        <v>0</v>
      </c>
      <c r="AX23" s="62">
        <v>-4</v>
      </c>
      <c r="AY23" s="62">
        <v>-2</v>
      </c>
      <c r="AZ23" s="62">
        <v>-6</v>
      </c>
      <c r="BA23" s="62">
        <v>-3</v>
      </c>
      <c r="BB23" s="62">
        <v>0</v>
      </c>
      <c r="BC23" s="62">
        <v>-2.5</v>
      </c>
      <c r="BD23" s="62">
        <v>-3</v>
      </c>
      <c r="BE23" s="62">
        <v>-3</v>
      </c>
      <c r="BF23" s="62">
        <v>-0.5</v>
      </c>
      <c r="BG23" s="62">
        <v>-4.5</v>
      </c>
      <c r="BH23" s="62">
        <v>-5</v>
      </c>
      <c r="BI23" s="62">
        <v>-1</v>
      </c>
      <c r="BJ23" s="62">
        <v>-5</v>
      </c>
      <c r="BK23" s="62">
        <v>-5.5</v>
      </c>
      <c r="BL23" s="62">
        <v>-6</v>
      </c>
      <c r="BM23" s="62">
        <v>-1</v>
      </c>
      <c r="BN23" s="62">
        <v>-7</v>
      </c>
      <c r="BO23" s="62">
        <v>-1</v>
      </c>
      <c r="BP23" s="4">
        <v>20</v>
      </c>
    </row>
    <row r="24" spans="1:68" x14ac:dyDescent="0.25">
      <c r="A24" s="4">
        <v>21</v>
      </c>
      <c r="B24" s="3" t="s">
        <v>2157</v>
      </c>
      <c r="C24" s="4">
        <v>5</v>
      </c>
      <c r="D24" s="4">
        <v>5</v>
      </c>
      <c r="E24" s="4">
        <v>50</v>
      </c>
      <c r="F24" s="61">
        <v>18.034375000000001</v>
      </c>
      <c r="G24" s="61">
        <v>1.8037499999999997</v>
      </c>
      <c r="H24" s="61">
        <v>2.5562500000000004</v>
      </c>
      <c r="I24" s="61">
        <v>1.7043749999999998</v>
      </c>
      <c r="J24" s="61">
        <v>4.2606250000000001</v>
      </c>
      <c r="K24" s="61">
        <v>2.1306249999999998</v>
      </c>
      <c r="L24" s="61">
        <v>0.17012500000000003</v>
      </c>
      <c r="M24" s="61">
        <v>3.4087499999999995</v>
      </c>
      <c r="N24" s="61">
        <v>3.8346874999999998</v>
      </c>
      <c r="O24" s="61">
        <v>4.2609374999999998</v>
      </c>
      <c r="P24" s="61">
        <v>0.63906250000000009</v>
      </c>
      <c r="Q24" s="61">
        <v>3.8346874999999998</v>
      </c>
      <c r="R24" s="61">
        <v>4.2609374999999998</v>
      </c>
      <c r="S24" s="61">
        <v>1.0653124999999999</v>
      </c>
      <c r="T24" s="61">
        <v>1.1440000000000001E-2</v>
      </c>
      <c r="U24" s="61">
        <v>1.1200000000000001E-3</v>
      </c>
      <c r="V24" s="61">
        <v>1.2E-2</v>
      </c>
      <c r="W24" s="61">
        <v>8.0000000000000002E-3</v>
      </c>
      <c r="X24" s="61">
        <v>2.0000000000000004E-2</v>
      </c>
      <c r="Y24" s="61">
        <v>1.0000000000000002E-2</v>
      </c>
      <c r="Z24" s="61">
        <v>8.0000000000000004E-4</v>
      </c>
      <c r="AA24" s="61">
        <v>1.6E-2</v>
      </c>
      <c r="AB24" s="61">
        <v>1.7999999999999999E-2</v>
      </c>
      <c r="AC24" s="61">
        <v>2.0000000000000004E-2</v>
      </c>
      <c r="AD24" s="61">
        <v>3.0000000000000001E-3</v>
      </c>
      <c r="AE24" s="61">
        <v>1.7999999999999999E-2</v>
      </c>
      <c r="AF24" s="61">
        <v>2.0000000000000004E-2</v>
      </c>
      <c r="AG24" s="61">
        <v>5.000000000000001E-3</v>
      </c>
      <c r="AH24" s="60">
        <v>2.12</v>
      </c>
      <c r="AI24" s="60">
        <v>0.21</v>
      </c>
      <c r="AJ24" s="60">
        <v>2.2200000000000002</v>
      </c>
      <c r="AK24" s="60">
        <v>1.48</v>
      </c>
      <c r="AL24" s="60">
        <v>3.7</v>
      </c>
      <c r="AM24" s="60">
        <v>1.85</v>
      </c>
      <c r="AN24" s="60">
        <v>0.15</v>
      </c>
      <c r="AO24" s="60">
        <v>2.96</v>
      </c>
      <c r="AP24" s="60">
        <v>3.33</v>
      </c>
      <c r="AQ24" s="60">
        <v>3.7</v>
      </c>
      <c r="AR24" s="60">
        <v>0.55500000000000005</v>
      </c>
      <c r="AS24" s="60">
        <v>3.33</v>
      </c>
      <c r="AT24" s="60">
        <v>3.7</v>
      </c>
      <c r="AU24" s="60">
        <v>0.92500000000000004</v>
      </c>
      <c r="AV24" s="62">
        <v>-2</v>
      </c>
      <c r="AW24" s="62">
        <v>0</v>
      </c>
      <c r="AX24" s="62">
        <v>-3</v>
      </c>
      <c r="AY24" s="62">
        <v>-1</v>
      </c>
      <c r="AZ24" s="62">
        <v>-5</v>
      </c>
      <c r="BA24" s="62">
        <v>-2</v>
      </c>
      <c r="BB24" s="62">
        <v>0</v>
      </c>
      <c r="BC24" s="62">
        <v>-1.5</v>
      </c>
      <c r="BD24" s="62">
        <v>-2</v>
      </c>
      <c r="BE24" s="62">
        <v>-2.5</v>
      </c>
      <c r="BF24" s="62">
        <v>0</v>
      </c>
      <c r="BG24" s="62">
        <v>-3.5</v>
      </c>
      <c r="BH24" s="62">
        <v>-4</v>
      </c>
      <c r="BI24" s="62">
        <v>-0.5</v>
      </c>
      <c r="BJ24" s="62">
        <v>-4</v>
      </c>
      <c r="BK24" s="62">
        <v>-5</v>
      </c>
      <c r="BL24" s="62">
        <v>-5.5</v>
      </c>
      <c r="BM24" s="62">
        <v>0</v>
      </c>
      <c r="BN24" s="62">
        <v>-6</v>
      </c>
      <c r="BO24" s="62">
        <v>0</v>
      </c>
      <c r="BP24" s="4">
        <v>21</v>
      </c>
    </row>
    <row r="25" spans="1:68" x14ac:dyDescent="0.25">
      <c r="A25" s="4">
        <v>22</v>
      </c>
      <c r="B25" s="3" t="s">
        <v>2158</v>
      </c>
      <c r="C25" s="4">
        <v>5</v>
      </c>
      <c r="D25" s="4">
        <v>10</v>
      </c>
      <c r="E25" s="4">
        <v>60</v>
      </c>
      <c r="F25" s="61">
        <v>22.235700000000001</v>
      </c>
      <c r="G25" s="61">
        <v>2.2238799999999999</v>
      </c>
      <c r="H25" s="61">
        <v>3.1876400000000005</v>
      </c>
      <c r="I25" s="61">
        <v>2.1252999999999997</v>
      </c>
      <c r="J25" s="61">
        <v>5.3129400000000002</v>
      </c>
      <c r="K25" s="61">
        <v>2.6567800000000004</v>
      </c>
      <c r="L25" s="61">
        <v>0.21222000000000002</v>
      </c>
      <c r="M25" s="61">
        <v>4.2505999999999995</v>
      </c>
      <c r="N25" s="61">
        <v>4.7817699999999999</v>
      </c>
      <c r="O25" s="61">
        <v>5.3132500000000009</v>
      </c>
      <c r="P25" s="61">
        <v>0.79691000000000012</v>
      </c>
      <c r="Q25" s="61">
        <v>4.7817699999999999</v>
      </c>
      <c r="R25" s="61">
        <v>5.3132500000000009</v>
      </c>
      <c r="S25" s="61">
        <v>1.3283900000000002</v>
      </c>
      <c r="T25" s="61">
        <v>1.1583000000000001E-2</v>
      </c>
      <c r="U25" s="61">
        <v>1.134E-3</v>
      </c>
      <c r="V25" s="61">
        <v>1.2150000000000001E-2</v>
      </c>
      <c r="W25" s="61">
        <v>8.1000000000000013E-3</v>
      </c>
      <c r="X25" s="61">
        <v>2.0250000000000004E-2</v>
      </c>
      <c r="Y25" s="61">
        <v>1.0125000000000002E-2</v>
      </c>
      <c r="Z25" s="61">
        <v>8.1000000000000006E-4</v>
      </c>
      <c r="AA25" s="61">
        <v>1.6200000000000003E-2</v>
      </c>
      <c r="AB25" s="61">
        <v>1.8225000000000002E-2</v>
      </c>
      <c r="AC25" s="61">
        <v>2.0250000000000004E-2</v>
      </c>
      <c r="AD25" s="61">
        <v>3.0375000000000003E-3</v>
      </c>
      <c r="AE25" s="61">
        <v>1.8225000000000002E-2</v>
      </c>
      <c r="AF25" s="61">
        <v>2.0250000000000004E-2</v>
      </c>
      <c r="AG25" s="61">
        <v>5.062500000000001E-3</v>
      </c>
      <c r="AH25" s="60">
        <v>2.14</v>
      </c>
      <c r="AI25" s="60">
        <v>0.21</v>
      </c>
      <c r="AJ25" s="60">
        <v>2.25</v>
      </c>
      <c r="AK25" s="60">
        <v>1.5</v>
      </c>
      <c r="AL25" s="60">
        <v>3.75</v>
      </c>
      <c r="AM25" s="60">
        <v>1.87</v>
      </c>
      <c r="AN25" s="60">
        <v>0.15</v>
      </c>
      <c r="AO25" s="60">
        <v>2.9950000000000001</v>
      </c>
      <c r="AP25" s="60">
        <v>3.37</v>
      </c>
      <c r="AQ25" s="60">
        <v>3.7450000000000001</v>
      </c>
      <c r="AR25" s="60">
        <v>0.56000000000000005</v>
      </c>
      <c r="AS25" s="60">
        <v>3.37</v>
      </c>
      <c r="AT25" s="60">
        <v>3.7450000000000001</v>
      </c>
      <c r="AU25" s="60">
        <v>0.93500000000000005</v>
      </c>
      <c r="AV25" s="62">
        <v>-1</v>
      </c>
      <c r="AW25" s="62">
        <v>0</v>
      </c>
      <c r="AX25" s="62">
        <v>-1</v>
      </c>
      <c r="AY25" s="62">
        <v>0</v>
      </c>
      <c r="AZ25" s="62">
        <v>-4</v>
      </c>
      <c r="BA25" s="62">
        <v>-1</v>
      </c>
      <c r="BB25" s="62">
        <v>0</v>
      </c>
      <c r="BC25" s="62">
        <v>-1</v>
      </c>
      <c r="BD25" s="62">
        <v>-1.5</v>
      </c>
      <c r="BE25" s="62">
        <v>-2</v>
      </c>
      <c r="BF25" s="62">
        <v>0</v>
      </c>
      <c r="BG25" s="62">
        <v>-3</v>
      </c>
      <c r="BH25" s="62">
        <v>-3.5</v>
      </c>
      <c r="BI25" s="62">
        <v>0</v>
      </c>
      <c r="BJ25" s="62">
        <v>-3.5</v>
      </c>
      <c r="BK25" s="62">
        <v>-4.5</v>
      </c>
      <c r="BL25" s="62">
        <v>-4.5</v>
      </c>
      <c r="BM25" s="62">
        <v>0</v>
      </c>
      <c r="BN25" s="62">
        <v>-5</v>
      </c>
      <c r="BO25" s="62">
        <v>0</v>
      </c>
      <c r="BP25" s="4">
        <v>22</v>
      </c>
    </row>
    <row r="26" spans="1:68" x14ac:dyDescent="0.25">
      <c r="A26" s="4">
        <v>23</v>
      </c>
      <c r="B26" s="3" t="s">
        <v>2159</v>
      </c>
      <c r="C26" s="4">
        <v>6</v>
      </c>
      <c r="D26" s="4">
        <v>0</v>
      </c>
      <c r="E26" s="4">
        <v>45</v>
      </c>
      <c r="F26" s="61">
        <v>9</v>
      </c>
      <c r="G26" s="61">
        <v>0.9</v>
      </c>
      <c r="H26" s="61">
        <v>1.35</v>
      </c>
      <c r="I26" s="61">
        <v>0.9</v>
      </c>
      <c r="J26" s="61">
        <v>2.25</v>
      </c>
      <c r="K26" s="61">
        <v>1.1299999999999999</v>
      </c>
      <c r="L26" s="61">
        <v>0.09</v>
      </c>
      <c r="M26" s="61">
        <v>1.8</v>
      </c>
      <c r="N26" s="61">
        <v>2.0249999999999999</v>
      </c>
      <c r="O26" s="61">
        <v>2.25</v>
      </c>
      <c r="P26" s="61">
        <v>0.34</v>
      </c>
      <c r="Q26" s="61">
        <v>2.0249999999999999</v>
      </c>
      <c r="R26" s="61">
        <v>2.25</v>
      </c>
      <c r="S26" s="61">
        <v>0.56499999999999995</v>
      </c>
      <c r="T26" s="61">
        <v>0.02</v>
      </c>
      <c r="U26" s="61">
        <v>2E-3</v>
      </c>
      <c r="V26" s="61">
        <v>2.1000000000000001E-2</v>
      </c>
      <c r="W26" s="61">
        <v>1.4E-2</v>
      </c>
      <c r="X26" s="61">
        <v>3.5000000000000003E-2</v>
      </c>
      <c r="Y26" s="61">
        <v>1.7500000000000002E-2</v>
      </c>
      <c r="Z26" s="61">
        <v>1.4E-3</v>
      </c>
      <c r="AA26" s="61">
        <v>2.8000000000000001E-2</v>
      </c>
      <c r="AB26" s="61">
        <v>3.15E-2</v>
      </c>
      <c r="AC26" s="61">
        <v>3.5000000000000003E-2</v>
      </c>
      <c r="AD26" s="61">
        <v>5.2500000000000003E-3</v>
      </c>
      <c r="AE26" s="61">
        <v>3.15E-2</v>
      </c>
      <c r="AF26" s="61">
        <v>3.5000000000000003E-2</v>
      </c>
      <c r="AG26" s="61">
        <v>8.7500000000000008E-3</v>
      </c>
      <c r="AH26" s="60">
        <v>3.7</v>
      </c>
      <c r="AI26" s="60">
        <v>0.37</v>
      </c>
      <c r="AJ26" s="60">
        <v>3.89</v>
      </c>
      <c r="AK26" s="60">
        <v>2.59</v>
      </c>
      <c r="AL26" s="60">
        <v>6.48</v>
      </c>
      <c r="AM26" s="60">
        <v>3.24</v>
      </c>
      <c r="AN26" s="60">
        <v>0.26</v>
      </c>
      <c r="AO26" s="60">
        <v>5.18</v>
      </c>
      <c r="AP26" s="60">
        <v>5.83</v>
      </c>
      <c r="AQ26" s="60">
        <v>6.4749999999999996</v>
      </c>
      <c r="AR26" s="60">
        <v>0.97</v>
      </c>
      <c r="AS26" s="60">
        <v>5.83</v>
      </c>
      <c r="AT26" s="60">
        <v>6.4749999999999996</v>
      </c>
      <c r="AU26" s="60">
        <v>1.62</v>
      </c>
      <c r="AV26" s="62">
        <v>-5</v>
      </c>
      <c r="AW26" s="62">
        <v>-1</v>
      </c>
      <c r="AX26" s="62">
        <v>-6</v>
      </c>
      <c r="AY26" s="62">
        <v>-4</v>
      </c>
      <c r="AZ26" s="62">
        <v>-10</v>
      </c>
      <c r="BA26" s="62">
        <v>-5</v>
      </c>
      <c r="BB26" s="62">
        <v>0</v>
      </c>
      <c r="BC26" s="62">
        <v>-4</v>
      </c>
      <c r="BD26" s="62">
        <v>-4.5</v>
      </c>
      <c r="BE26" s="62">
        <v>-5</v>
      </c>
      <c r="BF26" s="62">
        <v>-1</v>
      </c>
      <c r="BG26" s="62">
        <v>-7</v>
      </c>
      <c r="BH26" s="62">
        <v>-7.5</v>
      </c>
      <c r="BI26" s="62">
        <v>-2</v>
      </c>
      <c r="BJ26" s="62">
        <v>-8</v>
      </c>
      <c r="BK26" s="62">
        <v>-9</v>
      </c>
      <c r="BL26" s="62">
        <v>-10</v>
      </c>
      <c r="BM26" s="62">
        <v>-1.5</v>
      </c>
      <c r="BN26" s="62">
        <v>-10</v>
      </c>
      <c r="BO26" s="62">
        <v>-1</v>
      </c>
      <c r="BP26" s="4">
        <v>23</v>
      </c>
    </row>
    <row r="27" spans="1:68" x14ac:dyDescent="0.25">
      <c r="A27" s="4">
        <v>24</v>
      </c>
      <c r="B27" s="3" t="s">
        <v>2160</v>
      </c>
      <c r="C27" s="4">
        <v>6</v>
      </c>
      <c r="D27" s="4">
        <v>5</v>
      </c>
      <c r="E27" s="4">
        <v>50</v>
      </c>
      <c r="F27" s="61">
        <v>11.435</v>
      </c>
      <c r="G27" s="61">
        <v>1.1435</v>
      </c>
      <c r="H27" s="61">
        <v>1.8819999999999999</v>
      </c>
      <c r="I27" s="61">
        <v>1.2544999999999999</v>
      </c>
      <c r="J27" s="61">
        <v>3.1364999999999998</v>
      </c>
      <c r="K27" s="61">
        <v>1.5744999999999998</v>
      </c>
      <c r="L27" s="61">
        <v>0.1255</v>
      </c>
      <c r="M27" s="61">
        <v>2.5089999999999999</v>
      </c>
      <c r="N27" s="61">
        <v>2.8227500000000001</v>
      </c>
      <c r="O27" s="61">
        <v>3.13625</v>
      </c>
      <c r="P27" s="61">
        <v>0.47350000000000003</v>
      </c>
      <c r="Q27" s="61">
        <v>2.8227500000000001</v>
      </c>
      <c r="R27" s="61">
        <v>3.13625</v>
      </c>
      <c r="S27" s="61">
        <v>0.78724999999999989</v>
      </c>
      <c r="T27" s="61">
        <v>2.4E-2</v>
      </c>
      <c r="U27" s="61">
        <v>2.3999999999999998E-3</v>
      </c>
      <c r="V27" s="61">
        <v>2.52E-2</v>
      </c>
      <c r="W27" s="61">
        <v>1.6799999999999999E-2</v>
      </c>
      <c r="X27" s="61">
        <v>4.2000000000000003E-2</v>
      </c>
      <c r="Y27" s="61">
        <v>2.1000000000000001E-2</v>
      </c>
      <c r="Z27" s="61">
        <v>1.6799999999999999E-3</v>
      </c>
      <c r="AA27" s="61">
        <v>3.3599999999999998E-2</v>
      </c>
      <c r="AB27" s="61">
        <v>3.78E-2</v>
      </c>
      <c r="AC27" s="61">
        <v>4.2000000000000003E-2</v>
      </c>
      <c r="AD27" s="61">
        <v>6.3E-3</v>
      </c>
      <c r="AE27" s="61">
        <v>3.78E-2</v>
      </c>
      <c r="AF27" s="61">
        <v>4.2000000000000003E-2</v>
      </c>
      <c r="AG27" s="61">
        <v>1.0500000000000001E-2</v>
      </c>
      <c r="AH27" s="60">
        <v>4.4400000000000004</v>
      </c>
      <c r="AI27" s="60">
        <v>0.44</v>
      </c>
      <c r="AJ27" s="60">
        <v>4.66</v>
      </c>
      <c r="AK27" s="60">
        <v>3.11</v>
      </c>
      <c r="AL27" s="60">
        <v>7.77</v>
      </c>
      <c r="AM27" s="60">
        <v>3.89</v>
      </c>
      <c r="AN27" s="60">
        <v>0.31</v>
      </c>
      <c r="AO27" s="60">
        <v>6.2149999999999999</v>
      </c>
      <c r="AP27" s="60">
        <v>6.9950000000000001</v>
      </c>
      <c r="AQ27" s="60">
        <v>7.77</v>
      </c>
      <c r="AR27" s="60">
        <v>1.165</v>
      </c>
      <c r="AS27" s="60">
        <v>6.9950000000000001</v>
      </c>
      <c r="AT27" s="60">
        <v>7.77</v>
      </c>
      <c r="AU27" s="60">
        <v>1.9450000000000001</v>
      </c>
      <c r="AV27" s="62">
        <v>-4</v>
      </c>
      <c r="AW27" s="62">
        <v>0</v>
      </c>
      <c r="AX27" s="62">
        <v>-5</v>
      </c>
      <c r="AY27" s="62">
        <v>-3</v>
      </c>
      <c r="AZ27" s="62">
        <v>-10</v>
      </c>
      <c r="BA27" s="62">
        <v>-4</v>
      </c>
      <c r="BB27" s="62">
        <v>0</v>
      </c>
      <c r="BC27" s="62">
        <v>-4</v>
      </c>
      <c r="BD27" s="62">
        <v>-4.5</v>
      </c>
      <c r="BE27" s="62">
        <v>-5</v>
      </c>
      <c r="BF27" s="62">
        <v>0</v>
      </c>
      <c r="BG27" s="62">
        <v>-7.5</v>
      </c>
      <c r="BH27" s="62">
        <v>-8</v>
      </c>
      <c r="BI27" s="62">
        <v>-1.5</v>
      </c>
      <c r="BJ27" s="62">
        <v>-8.5</v>
      </c>
      <c r="BK27" s="62">
        <v>-10</v>
      </c>
      <c r="BL27" s="62">
        <v>-11</v>
      </c>
      <c r="BM27" s="62">
        <v>-1</v>
      </c>
      <c r="BN27" s="62">
        <v>-10</v>
      </c>
      <c r="BO27" s="62">
        <v>0</v>
      </c>
      <c r="BP27" s="4">
        <v>24</v>
      </c>
    </row>
    <row r="28" spans="1:68" x14ac:dyDescent="0.25">
      <c r="A28" s="4">
        <v>25</v>
      </c>
      <c r="B28" s="3" t="s">
        <v>2161</v>
      </c>
      <c r="C28" s="4">
        <v>6</v>
      </c>
      <c r="D28" s="4">
        <v>10</v>
      </c>
      <c r="E28" s="4">
        <v>55</v>
      </c>
      <c r="F28" s="61">
        <v>13.833</v>
      </c>
      <c r="G28" s="61">
        <v>1.3833000000000002</v>
      </c>
      <c r="H28" s="61">
        <v>2.3751000000000002</v>
      </c>
      <c r="I28" s="61">
        <v>1.5831</v>
      </c>
      <c r="J28" s="61">
        <v>3.9582000000000002</v>
      </c>
      <c r="K28" s="61">
        <v>1.9865999999999999</v>
      </c>
      <c r="L28" s="61">
        <v>0.15840000000000001</v>
      </c>
      <c r="M28" s="61">
        <v>3.1661999999999999</v>
      </c>
      <c r="N28" s="61">
        <v>3.5621999999999998</v>
      </c>
      <c r="O28" s="61">
        <v>3.9577499999999999</v>
      </c>
      <c r="P28" s="61">
        <v>0.59729999999999994</v>
      </c>
      <c r="Q28" s="61">
        <v>3.5621999999999998</v>
      </c>
      <c r="R28" s="61">
        <v>3.9577499999999999</v>
      </c>
      <c r="S28" s="61">
        <v>0.99329999999999996</v>
      </c>
      <c r="T28" s="61">
        <v>2.7999999999999997E-2</v>
      </c>
      <c r="U28" s="61">
        <v>2.8E-3</v>
      </c>
      <c r="V28" s="61">
        <v>2.9399999999999999E-2</v>
      </c>
      <c r="W28" s="61">
        <v>1.9599999999999999E-2</v>
      </c>
      <c r="X28" s="61">
        <v>4.9000000000000002E-2</v>
      </c>
      <c r="Y28" s="61">
        <v>2.4500000000000001E-2</v>
      </c>
      <c r="Z28" s="61">
        <v>1.9599999999999999E-3</v>
      </c>
      <c r="AA28" s="61">
        <v>3.9199999999999999E-2</v>
      </c>
      <c r="AB28" s="61">
        <v>4.41E-2</v>
      </c>
      <c r="AC28" s="61">
        <v>4.9000000000000002E-2</v>
      </c>
      <c r="AD28" s="61">
        <v>7.3499999999999998E-3</v>
      </c>
      <c r="AE28" s="61">
        <v>4.41E-2</v>
      </c>
      <c r="AF28" s="61">
        <v>4.9000000000000002E-2</v>
      </c>
      <c r="AG28" s="61">
        <v>1.225E-2</v>
      </c>
      <c r="AH28" s="60">
        <v>5.18</v>
      </c>
      <c r="AI28" s="60">
        <v>0.52</v>
      </c>
      <c r="AJ28" s="60">
        <v>5.44</v>
      </c>
      <c r="AK28" s="60">
        <v>3.63</v>
      </c>
      <c r="AL28" s="60">
        <v>9.07</v>
      </c>
      <c r="AM28" s="60">
        <v>4.53</v>
      </c>
      <c r="AN28" s="60">
        <v>0.36</v>
      </c>
      <c r="AO28" s="60">
        <v>7.25</v>
      </c>
      <c r="AP28" s="60">
        <v>8.16</v>
      </c>
      <c r="AQ28" s="60">
        <v>9.0649999999999995</v>
      </c>
      <c r="AR28" s="60">
        <v>1.36</v>
      </c>
      <c r="AS28" s="60">
        <v>8.16</v>
      </c>
      <c r="AT28" s="60">
        <v>9.0649999999999995</v>
      </c>
      <c r="AU28" s="60">
        <v>2.2650000000000001</v>
      </c>
      <c r="AV28" s="62">
        <v>-2</v>
      </c>
      <c r="AW28" s="62">
        <v>0</v>
      </c>
      <c r="AX28" s="62">
        <v>-4</v>
      </c>
      <c r="AY28" s="62">
        <v>-1</v>
      </c>
      <c r="AZ28" s="62">
        <v>-9</v>
      </c>
      <c r="BA28" s="62">
        <v>-2</v>
      </c>
      <c r="BB28" s="62">
        <v>0</v>
      </c>
      <c r="BC28" s="62">
        <v>-3.5</v>
      </c>
      <c r="BD28" s="62">
        <v>-4</v>
      </c>
      <c r="BE28" s="62">
        <v>-4.5</v>
      </c>
      <c r="BF28" s="62">
        <v>0</v>
      </c>
      <c r="BG28" s="62">
        <v>-7.5</v>
      </c>
      <c r="BH28" s="62">
        <v>-8</v>
      </c>
      <c r="BI28" s="62">
        <v>-0.5</v>
      </c>
      <c r="BJ28" s="62">
        <v>-9</v>
      </c>
      <c r="BK28" s="62">
        <v>-10.5</v>
      </c>
      <c r="BL28" s="62">
        <v>-11.5</v>
      </c>
      <c r="BM28" s="62">
        <v>0</v>
      </c>
      <c r="BN28" s="62">
        <v>-9</v>
      </c>
      <c r="BO28" s="62">
        <v>0</v>
      </c>
      <c r="BP28" s="4">
        <v>25</v>
      </c>
    </row>
    <row r="29" spans="1:68" x14ac:dyDescent="0.25">
      <c r="A29" s="4">
        <v>26</v>
      </c>
      <c r="B29" s="3" t="s">
        <v>2162</v>
      </c>
      <c r="C29" s="4">
        <v>6</v>
      </c>
      <c r="D29" s="4">
        <v>15</v>
      </c>
      <c r="E29" s="4">
        <v>65</v>
      </c>
      <c r="F29" s="61">
        <v>16.416</v>
      </c>
      <c r="G29" s="61">
        <v>1.6415999999999999</v>
      </c>
      <c r="H29" s="61">
        <v>3.0627000000000004</v>
      </c>
      <c r="I29" s="61">
        <v>2.0411999999999999</v>
      </c>
      <c r="J29" s="61">
        <v>5.1039000000000003</v>
      </c>
      <c r="K29" s="61">
        <v>2.5606999999999998</v>
      </c>
      <c r="L29" s="61">
        <v>0.20430000000000001</v>
      </c>
      <c r="M29" s="61">
        <v>4.0823999999999998</v>
      </c>
      <c r="N29" s="61">
        <v>4.5931499999999996</v>
      </c>
      <c r="O29" s="61">
        <v>5.1029999999999998</v>
      </c>
      <c r="P29" s="61">
        <v>0.76960000000000006</v>
      </c>
      <c r="Q29" s="61">
        <v>4.5931499999999996</v>
      </c>
      <c r="R29" s="61">
        <v>5.1029999999999998</v>
      </c>
      <c r="S29" s="61">
        <v>1.2803499999999999</v>
      </c>
      <c r="T29" s="61">
        <v>3.2000000000000001E-2</v>
      </c>
      <c r="U29" s="61">
        <v>3.2000000000000002E-3</v>
      </c>
      <c r="V29" s="61">
        <v>3.3600000000000005E-2</v>
      </c>
      <c r="W29" s="61">
        <v>2.2400000000000003E-2</v>
      </c>
      <c r="X29" s="61">
        <v>5.6000000000000008E-2</v>
      </c>
      <c r="Y29" s="61">
        <v>2.8000000000000004E-2</v>
      </c>
      <c r="Z29" s="61">
        <v>2.2400000000000002E-3</v>
      </c>
      <c r="AA29" s="61">
        <v>4.4800000000000006E-2</v>
      </c>
      <c r="AB29" s="61">
        <v>5.04E-2</v>
      </c>
      <c r="AC29" s="61">
        <v>5.6000000000000008E-2</v>
      </c>
      <c r="AD29" s="61">
        <v>8.4000000000000012E-3</v>
      </c>
      <c r="AE29" s="61">
        <v>5.04E-2</v>
      </c>
      <c r="AF29" s="61">
        <v>5.6000000000000008E-2</v>
      </c>
      <c r="AG29" s="61">
        <v>1.4000000000000002E-2</v>
      </c>
      <c r="AH29" s="60">
        <v>5.92</v>
      </c>
      <c r="AI29" s="60">
        <v>0.59</v>
      </c>
      <c r="AJ29" s="60">
        <v>6.22</v>
      </c>
      <c r="AK29" s="60">
        <v>4.1399999999999997</v>
      </c>
      <c r="AL29" s="60">
        <v>10.36</v>
      </c>
      <c r="AM29" s="60">
        <v>5.18</v>
      </c>
      <c r="AN29" s="60">
        <v>0.41</v>
      </c>
      <c r="AO29" s="60">
        <v>8.2899999999999991</v>
      </c>
      <c r="AP29" s="60">
        <v>9.3249999999999993</v>
      </c>
      <c r="AQ29" s="60">
        <v>10.36</v>
      </c>
      <c r="AR29" s="60">
        <v>1.5549999999999999</v>
      </c>
      <c r="AS29" s="60">
        <v>9.3249999999999993</v>
      </c>
      <c r="AT29" s="60">
        <v>10.36</v>
      </c>
      <c r="AU29" s="60">
        <v>2.59</v>
      </c>
      <c r="AV29" s="62">
        <v>0</v>
      </c>
      <c r="AW29" s="62">
        <v>0</v>
      </c>
      <c r="AX29" s="62">
        <v>-2</v>
      </c>
      <c r="AY29" s="62">
        <v>0</v>
      </c>
      <c r="AZ29" s="62">
        <v>-8</v>
      </c>
      <c r="BA29" s="62">
        <v>0</v>
      </c>
      <c r="BB29" s="62">
        <v>0</v>
      </c>
      <c r="BC29" s="62">
        <v>-2.5</v>
      </c>
      <c r="BD29" s="62">
        <v>-3</v>
      </c>
      <c r="BE29" s="62">
        <v>-4</v>
      </c>
      <c r="BF29" s="62">
        <v>0</v>
      </c>
      <c r="BG29" s="62">
        <v>-7</v>
      </c>
      <c r="BH29" s="62">
        <v>-8</v>
      </c>
      <c r="BI29" s="62">
        <v>0</v>
      </c>
      <c r="BJ29" s="62">
        <v>-9</v>
      </c>
      <c r="BK29" s="62">
        <v>-10.5</v>
      </c>
      <c r="BL29" s="62">
        <v>-12</v>
      </c>
      <c r="BM29" s="62">
        <v>0</v>
      </c>
      <c r="BN29" s="62">
        <v>-8</v>
      </c>
      <c r="BO29" s="62">
        <v>0</v>
      </c>
      <c r="BP29" s="4">
        <v>26</v>
      </c>
    </row>
    <row r="30" spans="1:68" x14ac:dyDescent="0.25">
      <c r="A30" s="4">
        <v>27</v>
      </c>
      <c r="B30" s="3" t="s">
        <v>2163</v>
      </c>
      <c r="C30" s="4">
        <v>6</v>
      </c>
      <c r="D30" s="4">
        <v>-30</v>
      </c>
      <c r="E30" s="4">
        <v>15</v>
      </c>
      <c r="F30" s="61">
        <v>8.7668999999999997</v>
      </c>
      <c r="G30" s="61">
        <v>0.87668999999999997</v>
      </c>
      <c r="H30" s="61">
        <v>1.10493</v>
      </c>
      <c r="I30" s="61">
        <v>0.7368300000000001</v>
      </c>
      <c r="J30" s="61">
        <v>1.8417599999999998</v>
      </c>
      <c r="K30" s="61">
        <v>0.92587999999999981</v>
      </c>
      <c r="L30" s="61">
        <v>7.3619999999999991E-2</v>
      </c>
      <c r="M30" s="61">
        <v>1.4736600000000002</v>
      </c>
      <c r="N30" s="61">
        <v>1.6577099999999998</v>
      </c>
      <c r="O30" s="61">
        <v>1.8420749999999999</v>
      </c>
      <c r="P30" s="61">
        <v>0.27889000000000003</v>
      </c>
      <c r="Q30" s="61">
        <v>1.6577099999999998</v>
      </c>
      <c r="R30" s="61">
        <v>1.8420749999999999</v>
      </c>
      <c r="S30" s="61">
        <v>0.46293999999999991</v>
      </c>
      <c r="T30" s="61">
        <v>9.4000000000000004E-3</v>
      </c>
      <c r="U30" s="61">
        <v>9.3999999999999997E-4</v>
      </c>
      <c r="V30" s="61">
        <v>9.8700000000000003E-3</v>
      </c>
      <c r="W30" s="61">
        <v>6.5799999999999999E-3</v>
      </c>
      <c r="X30" s="61">
        <v>1.6449999999999999E-2</v>
      </c>
      <c r="Y30" s="61">
        <v>8.2249999999999997E-3</v>
      </c>
      <c r="Z30" s="61">
        <v>6.5799999999999995E-4</v>
      </c>
      <c r="AA30" s="61">
        <v>1.316E-2</v>
      </c>
      <c r="AB30" s="61">
        <v>1.4804999999999999E-2</v>
      </c>
      <c r="AC30" s="61">
        <v>1.6449999999999999E-2</v>
      </c>
      <c r="AD30" s="61">
        <v>2.4675000000000001E-3</v>
      </c>
      <c r="AE30" s="61">
        <v>1.4804999999999999E-2</v>
      </c>
      <c r="AF30" s="61">
        <v>1.6449999999999999E-2</v>
      </c>
      <c r="AG30" s="61">
        <v>4.1124999999999998E-3</v>
      </c>
      <c r="AH30" s="60">
        <v>1.74</v>
      </c>
      <c r="AI30" s="60">
        <v>0.17</v>
      </c>
      <c r="AJ30" s="60">
        <v>1.83</v>
      </c>
      <c r="AK30" s="60">
        <v>1.22</v>
      </c>
      <c r="AL30" s="60">
        <v>3.04</v>
      </c>
      <c r="AM30" s="60">
        <v>1.52</v>
      </c>
      <c r="AN30" s="60">
        <v>0.12</v>
      </c>
      <c r="AO30" s="60">
        <v>2.4350000000000001</v>
      </c>
      <c r="AP30" s="60">
        <v>2.74</v>
      </c>
      <c r="AQ30" s="60">
        <v>3.0449999999999999</v>
      </c>
      <c r="AR30" s="60">
        <v>0.45500000000000002</v>
      </c>
      <c r="AS30" s="60">
        <v>2.74</v>
      </c>
      <c r="AT30" s="60">
        <v>3.0449999999999999</v>
      </c>
      <c r="AU30" s="60">
        <v>0.76</v>
      </c>
      <c r="AV30" s="62">
        <v>-7</v>
      </c>
      <c r="AW30" s="62">
        <v>-5</v>
      </c>
      <c r="AX30" s="62">
        <v>-8</v>
      </c>
      <c r="AY30" s="62">
        <v>-7</v>
      </c>
      <c r="AZ30" s="62">
        <v>-9</v>
      </c>
      <c r="BA30" s="62">
        <v>-7</v>
      </c>
      <c r="BB30" s="62">
        <v>-5</v>
      </c>
      <c r="BC30" s="62">
        <v>-4</v>
      </c>
      <c r="BD30" s="62">
        <v>-4.5</v>
      </c>
      <c r="BE30" s="62">
        <v>-4.5</v>
      </c>
      <c r="BF30" s="62">
        <v>-3</v>
      </c>
      <c r="BG30" s="62">
        <v>-5.5</v>
      </c>
      <c r="BH30" s="62">
        <v>-6</v>
      </c>
      <c r="BI30" s="62">
        <v>-3.5</v>
      </c>
      <c r="BJ30" s="62">
        <v>-6</v>
      </c>
      <c r="BK30" s="62">
        <v>-6.5</v>
      </c>
      <c r="BL30" s="62">
        <v>-7</v>
      </c>
      <c r="BM30" s="62">
        <v>-3</v>
      </c>
      <c r="BN30" s="62">
        <v>-9</v>
      </c>
      <c r="BO30" s="62">
        <v>-5</v>
      </c>
      <c r="BP30" s="4">
        <v>27</v>
      </c>
    </row>
    <row r="31" spans="1:68" x14ac:dyDescent="0.25">
      <c r="A31" s="4">
        <v>28</v>
      </c>
      <c r="B31" s="3" t="s">
        <v>2164</v>
      </c>
      <c r="C31" s="4">
        <v>6</v>
      </c>
      <c r="D31" s="4">
        <v>-10</v>
      </c>
      <c r="E31" s="4">
        <v>15</v>
      </c>
      <c r="F31" s="61">
        <v>8.7668999999999997</v>
      </c>
      <c r="G31" s="61">
        <v>0.87668999999999997</v>
      </c>
      <c r="H31" s="61">
        <v>1.10493</v>
      </c>
      <c r="I31" s="61">
        <v>0.7368300000000001</v>
      </c>
      <c r="J31" s="61">
        <v>1.8417599999999998</v>
      </c>
      <c r="K31" s="61">
        <v>0.92587999999999981</v>
      </c>
      <c r="L31" s="61">
        <v>7.3619999999999991E-2</v>
      </c>
      <c r="M31" s="61">
        <v>1.4736600000000002</v>
      </c>
      <c r="N31" s="61">
        <v>1.6577099999999998</v>
      </c>
      <c r="O31" s="61">
        <v>1.8420749999999999</v>
      </c>
      <c r="P31" s="61">
        <v>0.27889000000000003</v>
      </c>
      <c r="Q31" s="61">
        <v>1.6577099999999998</v>
      </c>
      <c r="R31" s="61">
        <v>1.8420749999999999</v>
      </c>
      <c r="S31" s="61">
        <v>0.46293999999999991</v>
      </c>
      <c r="T31" s="61">
        <v>9.1999999999999998E-3</v>
      </c>
      <c r="U31" s="61">
        <v>9.2000000000000003E-4</v>
      </c>
      <c r="V31" s="61">
        <v>9.6600000000000002E-3</v>
      </c>
      <c r="W31" s="61">
        <v>6.4400000000000004E-3</v>
      </c>
      <c r="X31" s="61">
        <v>1.6100000000000003E-2</v>
      </c>
      <c r="Y31" s="61">
        <v>8.0500000000000016E-3</v>
      </c>
      <c r="Z31" s="61">
        <v>6.4400000000000004E-4</v>
      </c>
      <c r="AA31" s="61">
        <v>1.2880000000000001E-2</v>
      </c>
      <c r="AB31" s="61">
        <v>1.4490000000000001E-2</v>
      </c>
      <c r="AC31" s="61">
        <v>1.6100000000000003E-2</v>
      </c>
      <c r="AD31" s="61">
        <v>2.415E-3</v>
      </c>
      <c r="AE31" s="61">
        <v>1.4490000000000001E-2</v>
      </c>
      <c r="AF31" s="61">
        <v>1.6100000000000003E-2</v>
      </c>
      <c r="AG31" s="61">
        <v>4.0250000000000008E-3</v>
      </c>
      <c r="AH31" s="60">
        <v>1.7</v>
      </c>
      <c r="AI31" s="60">
        <v>0.17</v>
      </c>
      <c r="AJ31" s="60">
        <v>1.79</v>
      </c>
      <c r="AK31" s="60">
        <v>1.19</v>
      </c>
      <c r="AL31" s="60">
        <v>2.98</v>
      </c>
      <c r="AM31" s="60">
        <v>1.49</v>
      </c>
      <c r="AN31" s="60">
        <v>0.12</v>
      </c>
      <c r="AO31" s="60">
        <v>2.3849999999999998</v>
      </c>
      <c r="AP31" s="60">
        <v>2.68</v>
      </c>
      <c r="AQ31" s="60">
        <v>2.98</v>
      </c>
      <c r="AR31" s="60">
        <v>0.44500000000000001</v>
      </c>
      <c r="AS31" s="60">
        <v>2.68</v>
      </c>
      <c r="AT31" s="60">
        <v>2.98</v>
      </c>
      <c r="AU31" s="60">
        <v>0.745</v>
      </c>
      <c r="AV31" s="62">
        <v>-4</v>
      </c>
      <c r="AW31" s="62">
        <v>-2</v>
      </c>
      <c r="AX31" s="62">
        <v>-4</v>
      </c>
      <c r="AY31" s="62">
        <v>-3</v>
      </c>
      <c r="AZ31" s="62">
        <v>-6</v>
      </c>
      <c r="BA31" s="62">
        <v>-4</v>
      </c>
      <c r="BB31" s="62">
        <v>-2</v>
      </c>
      <c r="BC31" s="62">
        <v>-2.5</v>
      </c>
      <c r="BD31" s="62">
        <v>-3</v>
      </c>
      <c r="BE31" s="62">
        <v>-3</v>
      </c>
      <c r="BF31" s="62">
        <v>-1</v>
      </c>
      <c r="BG31" s="62">
        <v>-4</v>
      </c>
      <c r="BH31" s="62">
        <v>-4</v>
      </c>
      <c r="BI31" s="62">
        <v>-1.5</v>
      </c>
      <c r="BJ31" s="62">
        <v>-4.5</v>
      </c>
      <c r="BK31" s="62">
        <v>-5</v>
      </c>
      <c r="BL31" s="62">
        <v>-5.5</v>
      </c>
      <c r="BM31" s="62">
        <v>-1.5</v>
      </c>
      <c r="BN31" s="62">
        <v>-6</v>
      </c>
      <c r="BO31" s="62">
        <v>-2</v>
      </c>
      <c r="BP31" s="4">
        <v>28</v>
      </c>
    </row>
    <row r="32" spans="1:68" x14ac:dyDescent="0.25">
      <c r="A32" s="4">
        <v>29</v>
      </c>
      <c r="B32" s="3" t="s">
        <v>2165</v>
      </c>
      <c r="C32" s="4">
        <v>6</v>
      </c>
      <c r="D32" s="4">
        <v>0</v>
      </c>
      <c r="E32" s="4">
        <v>45</v>
      </c>
      <c r="F32" s="61">
        <v>8.7668999999999997</v>
      </c>
      <c r="G32" s="61">
        <v>0.87668999999999997</v>
      </c>
      <c r="H32" s="61">
        <v>1.10493</v>
      </c>
      <c r="I32" s="61">
        <v>0.7368300000000001</v>
      </c>
      <c r="J32" s="61">
        <v>1.8417599999999998</v>
      </c>
      <c r="K32" s="61">
        <v>0.92587999999999981</v>
      </c>
      <c r="L32" s="61">
        <v>7.3619999999999991E-2</v>
      </c>
      <c r="M32" s="61">
        <v>1.4736600000000002</v>
      </c>
      <c r="N32" s="61">
        <v>1.6577099999999998</v>
      </c>
      <c r="O32" s="61">
        <v>1.8420749999999999</v>
      </c>
      <c r="P32" s="61">
        <v>0.27889000000000003</v>
      </c>
      <c r="Q32" s="61">
        <v>1.6577099999999998</v>
      </c>
      <c r="R32" s="61">
        <v>1.8420749999999999</v>
      </c>
      <c r="S32" s="61">
        <v>0.46293999999999991</v>
      </c>
      <c r="T32" s="61">
        <v>1.6E-2</v>
      </c>
      <c r="U32" s="61">
        <v>1.6000000000000001E-3</v>
      </c>
      <c r="V32" s="61">
        <v>1.6800000000000002E-2</v>
      </c>
      <c r="W32" s="61">
        <v>1.1200000000000002E-2</v>
      </c>
      <c r="X32" s="61">
        <v>2.8000000000000004E-2</v>
      </c>
      <c r="Y32" s="61">
        <v>1.4000000000000002E-2</v>
      </c>
      <c r="Z32" s="61">
        <v>1.1200000000000001E-3</v>
      </c>
      <c r="AA32" s="61">
        <v>2.2400000000000003E-2</v>
      </c>
      <c r="AB32" s="61">
        <v>2.52E-2</v>
      </c>
      <c r="AC32" s="61">
        <v>2.8000000000000004E-2</v>
      </c>
      <c r="AD32" s="61">
        <v>4.2000000000000006E-3</v>
      </c>
      <c r="AE32" s="61">
        <v>2.52E-2</v>
      </c>
      <c r="AF32" s="61">
        <v>2.8000000000000004E-2</v>
      </c>
      <c r="AG32" s="61">
        <v>7.000000000000001E-3</v>
      </c>
      <c r="AH32" s="60">
        <v>2.96</v>
      </c>
      <c r="AI32" s="60">
        <v>0.3</v>
      </c>
      <c r="AJ32" s="60">
        <v>3.11</v>
      </c>
      <c r="AK32" s="60">
        <v>2.0699999999999998</v>
      </c>
      <c r="AL32" s="60">
        <v>5.18</v>
      </c>
      <c r="AM32" s="60">
        <v>2.59</v>
      </c>
      <c r="AN32" s="60">
        <v>0.21</v>
      </c>
      <c r="AO32" s="60">
        <v>4.1449999999999996</v>
      </c>
      <c r="AP32" s="60">
        <v>4.66</v>
      </c>
      <c r="AQ32" s="60">
        <v>5.18</v>
      </c>
      <c r="AR32" s="60">
        <v>0.77500000000000002</v>
      </c>
      <c r="AS32" s="60">
        <v>4.66</v>
      </c>
      <c r="AT32" s="60">
        <v>5.18</v>
      </c>
      <c r="AU32" s="60">
        <v>1.2949999999999999</v>
      </c>
      <c r="AV32" s="62">
        <v>-4</v>
      </c>
      <c r="AW32" s="62">
        <v>-1</v>
      </c>
      <c r="AX32" s="62">
        <v>-5</v>
      </c>
      <c r="AY32" s="62">
        <v>-3</v>
      </c>
      <c r="AZ32" s="62">
        <v>-8</v>
      </c>
      <c r="BA32" s="62">
        <v>-4</v>
      </c>
      <c r="BB32" s="62">
        <v>0</v>
      </c>
      <c r="BC32" s="62">
        <v>-3</v>
      </c>
      <c r="BD32" s="62">
        <v>-3.5</v>
      </c>
      <c r="BE32" s="62">
        <v>-4</v>
      </c>
      <c r="BF32" s="62">
        <v>-1</v>
      </c>
      <c r="BG32" s="62">
        <v>-5.5</v>
      </c>
      <c r="BH32" s="62">
        <v>-6</v>
      </c>
      <c r="BI32" s="62">
        <v>-1.5</v>
      </c>
      <c r="BJ32" s="62">
        <v>-6.5</v>
      </c>
      <c r="BK32" s="62">
        <v>-7</v>
      </c>
      <c r="BL32" s="62">
        <v>-8</v>
      </c>
      <c r="BM32" s="62">
        <v>-1</v>
      </c>
      <c r="BN32" s="62">
        <v>-8</v>
      </c>
      <c r="BO32" s="62">
        <v>-1</v>
      </c>
      <c r="BP32" s="4">
        <v>29</v>
      </c>
    </row>
    <row r="33" spans="1:68" x14ac:dyDescent="0.25">
      <c r="A33" s="4">
        <v>30</v>
      </c>
      <c r="B33" s="3" t="s">
        <v>2166</v>
      </c>
      <c r="C33" s="4">
        <v>6</v>
      </c>
      <c r="D33" s="4">
        <v>5</v>
      </c>
      <c r="E33" s="4">
        <v>55</v>
      </c>
      <c r="F33" s="61">
        <v>11.468750000000002</v>
      </c>
      <c r="G33" s="61">
        <v>1.1468750000000001</v>
      </c>
      <c r="H33" s="61">
        <v>1.5118750000000001</v>
      </c>
      <c r="I33" s="61">
        <v>1.0081250000000002</v>
      </c>
      <c r="J33" s="61">
        <v>2.5200000000000005</v>
      </c>
      <c r="K33" s="61">
        <v>1.2664999999999997</v>
      </c>
      <c r="L33" s="61">
        <v>0.10074999999999999</v>
      </c>
      <c r="M33" s="61">
        <v>2.0162500000000003</v>
      </c>
      <c r="N33" s="61">
        <v>2.2681249999999999</v>
      </c>
      <c r="O33" s="61">
        <v>2.5203125000000002</v>
      </c>
      <c r="P33" s="61">
        <v>0.38137500000000008</v>
      </c>
      <c r="Q33" s="61">
        <v>2.2681249999999999</v>
      </c>
      <c r="R33" s="61">
        <v>2.5203125000000002</v>
      </c>
      <c r="S33" s="61">
        <v>0.63324999999999987</v>
      </c>
      <c r="T33" s="61">
        <v>1.6E-2</v>
      </c>
      <c r="U33" s="61">
        <v>1.6000000000000001E-3</v>
      </c>
      <c r="V33" s="61">
        <v>1.6800000000000002E-2</v>
      </c>
      <c r="W33" s="61">
        <v>1.1200000000000002E-2</v>
      </c>
      <c r="X33" s="61">
        <v>2.8000000000000004E-2</v>
      </c>
      <c r="Y33" s="61">
        <v>1.4000000000000002E-2</v>
      </c>
      <c r="Z33" s="61">
        <v>1.1200000000000001E-3</v>
      </c>
      <c r="AA33" s="61">
        <v>2.2400000000000003E-2</v>
      </c>
      <c r="AB33" s="61">
        <v>2.52E-2</v>
      </c>
      <c r="AC33" s="61">
        <v>2.8000000000000004E-2</v>
      </c>
      <c r="AD33" s="61">
        <v>4.2000000000000006E-3</v>
      </c>
      <c r="AE33" s="61">
        <v>2.52E-2</v>
      </c>
      <c r="AF33" s="61">
        <v>2.8000000000000004E-2</v>
      </c>
      <c r="AG33" s="61">
        <v>7.000000000000001E-3</v>
      </c>
      <c r="AH33" s="60">
        <v>2.96</v>
      </c>
      <c r="AI33" s="60">
        <v>0.3</v>
      </c>
      <c r="AJ33" s="60">
        <v>3.11</v>
      </c>
      <c r="AK33" s="60">
        <v>2.0699999999999998</v>
      </c>
      <c r="AL33" s="60">
        <v>5.18</v>
      </c>
      <c r="AM33" s="60">
        <v>2.59</v>
      </c>
      <c r="AN33" s="60">
        <v>0.21</v>
      </c>
      <c r="AO33" s="60">
        <v>4.1449999999999996</v>
      </c>
      <c r="AP33" s="60">
        <v>4.66</v>
      </c>
      <c r="AQ33" s="60">
        <v>5.18</v>
      </c>
      <c r="AR33" s="60">
        <v>0.77500000000000002</v>
      </c>
      <c r="AS33" s="60">
        <v>4.66</v>
      </c>
      <c r="AT33" s="60">
        <v>5.18</v>
      </c>
      <c r="AU33" s="60">
        <v>1.2949999999999999</v>
      </c>
      <c r="AV33" s="62">
        <v>-3</v>
      </c>
      <c r="AW33" s="62">
        <v>0</v>
      </c>
      <c r="AX33" s="62">
        <v>-3</v>
      </c>
      <c r="AY33" s="62">
        <v>-2</v>
      </c>
      <c r="AZ33" s="62">
        <v>-7</v>
      </c>
      <c r="BA33" s="62">
        <v>-3</v>
      </c>
      <c r="BB33" s="62">
        <v>0</v>
      </c>
      <c r="BC33" s="62">
        <v>-2.5</v>
      </c>
      <c r="BD33" s="62">
        <v>-3</v>
      </c>
      <c r="BE33" s="62">
        <v>-3.5</v>
      </c>
      <c r="BF33" s="62">
        <v>0</v>
      </c>
      <c r="BG33" s="62">
        <v>-5</v>
      </c>
      <c r="BH33" s="62">
        <v>-5.5</v>
      </c>
      <c r="BI33" s="62">
        <v>-1</v>
      </c>
      <c r="BJ33" s="62">
        <v>-5.5</v>
      </c>
      <c r="BK33" s="62">
        <v>-6.5</v>
      </c>
      <c r="BL33" s="62">
        <v>-7.5</v>
      </c>
      <c r="BM33" s="62">
        <v>-0.5</v>
      </c>
      <c r="BN33" s="62">
        <v>-7</v>
      </c>
      <c r="BO33" s="62">
        <v>0</v>
      </c>
      <c r="BP33" s="4">
        <v>30</v>
      </c>
    </row>
    <row r="34" spans="1:68" x14ac:dyDescent="0.25">
      <c r="A34" s="4">
        <v>31</v>
      </c>
      <c r="B34" s="3" t="s">
        <v>2167</v>
      </c>
      <c r="C34" s="4">
        <v>6</v>
      </c>
      <c r="D34" s="4">
        <v>10</v>
      </c>
      <c r="E34" s="4">
        <v>65</v>
      </c>
      <c r="F34" s="61">
        <v>14.1706</v>
      </c>
      <c r="G34" s="61">
        <v>1.4170600000000002</v>
      </c>
      <c r="H34" s="61">
        <v>1.9188200000000002</v>
      </c>
      <c r="I34" s="61">
        <v>1.2794200000000002</v>
      </c>
      <c r="J34" s="61">
        <v>3.1982400000000002</v>
      </c>
      <c r="K34" s="61">
        <v>1.6071199999999999</v>
      </c>
      <c r="L34" s="61">
        <v>0.12787999999999999</v>
      </c>
      <c r="M34" s="61">
        <v>2.5588400000000004</v>
      </c>
      <c r="N34" s="61">
        <v>2.8785400000000001</v>
      </c>
      <c r="O34" s="61">
        <v>3.19855</v>
      </c>
      <c r="P34" s="61">
        <v>0.48386000000000001</v>
      </c>
      <c r="Q34" s="61">
        <v>2.8785400000000001</v>
      </c>
      <c r="R34" s="61">
        <v>3.19855</v>
      </c>
      <c r="S34" s="61">
        <v>0.80355999999999994</v>
      </c>
      <c r="T34" s="61">
        <v>1.6200000000000003E-2</v>
      </c>
      <c r="U34" s="61">
        <v>1.6200000000000001E-3</v>
      </c>
      <c r="V34" s="61">
        <v>1.7010000000000001E-2</v>
      </c>
      <c r="W34" s="61">
        <v>1.1340000000000001E-2</v>
      </c>
      <c r="X34" s="61">
        <v>2.8350000000000004E-2</v>
      </c>
      <c r="Y34" s="61">
        <v>1.4175000000000002E-2</v>
      </c>
      <c r="Z34" s="61">
        <v>1.134E-3</v>
      </c>
      <c r="AA34" s="61">
        <v>2.2680000000000002E-2</v>
      </c>
      <c r="AB34" s="61">
        <v>2.5515000000000003E-2</v>
      </c>
      <c r="AC34" s="61">
        <v>2.8350000000000004E-2</v>
      </c>
      <c r="AD34" s="61">
        <v>4.2525000000000002E-3</v>
      </c>
      <c r="AE34" s="61">
        <v>2.5515000000000003E-2</v>
      </c>
      <c r="AF34" s="61">
        <v>2.8350000000000004E-2</v>
      </c>
      <c r="AG34" s="61">
        <v>7.0875000000000009E-3</v>
      </c>
      <c r="AH34" s="60">
        <v>3</v>
      </c>
      <c r="AI34" s="60">
        <v>0.3</v>
      </c>
      <c r="AJ34" s="60">
        <v>3.15</v>
      </c>
      <c r="AK34" s="60">
        <v>2.1</v>
      </c>
      <c r="AL34" s="60">
        <v>5.24</v>
      </c>
      <c r="AM34" s="60">
        <v>2.62</v>
      </c>
      <c r="AN34" s="60">
        <v>0.21</v>
      </c>
      <c r="AO34" s="60">
        <v>4.1950000000000003</v>
      </c>
      <c r="AP34" s="60">
        <v>4.72</v>
      </c>
      <c r="AQ34" s="60">
        <v>5.2450000000000001</v>
      </c>
      <c r="AR34" s="60">
        <v>0.78500000000000003</v>
      </c>
      <c r="AS34" s="60">
        <v>4.72</v>
      </c>
      <c r="AT34" s="60">
        <v>5.2450000000000001</v>
      </c>
      <c r="AU34" s="60">
        <v>1.31</v>
      </c>
      <c r="AV34" s="62">
        <v>-1</v>
      </c>
      <c r="AW34" s="62">
        <v>0</v>
      </c>
      <c r="AX34" s="62">
        <v>-2</v>
      </c>
      <c r="AY34" s="62">
        <v>-1</v>
      </c>
      <c r="AZ34" s="62">
        <v>-5</v>
      </c>
      <c r="BA34" s="62">
        <v>-1</v>
      </c>
      <c r="BB34" s="62">
        <v>0</v>
      </c>
      <c r="BC34" s="62">
        <v>-2</v>
      </c>
      <c r="BD34" s="62">
        <v>-2.5</v>
      </c>
      <c r="BE34" s="62">
        <v>-2.5</v>
      </c>
      <c r="BF34" s="62">
        <v>0</v>
      </c>
      <c r="BG34" s="62">
        <v>-4.5</v>
      </c>
      <c r="BH34" s="62">
        <v>-4.5</v>
      </c>
      <c r="BI34" s="62">
        <v>-0.5</v>
      </c>
      <c r="BJ34" s="62">
        <v>-5</v>
      </c>
      <c r="BK34" s="62">
        <v>-6</v>
      </c>
      <c r="BL34" s="62">
        <v>-7</v>
      </c>
      <c r="BM34" s="62">
        <v>0</v>
      </c>
      <c r="BN34" s="62">
        <v>-5</v>
      </c>
      <c r="BO34" s="62">
        <v>0</v>
      </c>
      <c r="BP34" s="4">
        <v>31</v>
      </c>
    </row>
    <row r="35" spans="1:68" x14ac:dyDescent="0.25">
      <c r="A35" s="4">
        <v>32</v>
      </c>
      <c r="B35" s="3" t="s">
        <v>2168</v>
      </c>
      <c r="C35" s="4">
        <v>7</v>
      </c>
      <c r="D35" s="4">
        <v>0</v>
      </c>
      <c r="E35" s="4">
        <v>50</v>
      </c>
      <c r="F35" s="61">
        <v>7.5</v>
      </c>
      <c r="G35" s="61">
        <v>0.75</v>
      </c>
      <c r="H35" s="61">
        <v>3</v>
      </c>
      <c r="I35" s="61">
        <v>2</v>
      </c>
      <c r="J35" s="61">
        <v>5</v>
      </c>
      <c r="K35" s="61">
        <v>2.5</v>
      </c>
      <c r="L35" s="61">
        <v>0.2</v>
      </c>
      <c r="M35" s="61">
        <v>4</v>
      </c>
      <c r="N35" s="61">
        <v>4.5</v>
      </c>
      <c r="O35" s="61">
        <v>5</v>
      </c>
      <c r="P35" s="61">
        <v>0.75</v>
      </c>
      <c r="Q35" s="61">
        <v>4.5</v>
      </c>
      <c r="R35" s="61">
        <v>5</v>
      </c>
      <c r="S35" s="61">
        <v>1.25</v>
      </c>
      <c r="T35" s="61">
        <v>2.2499999999999999E-2</v>
      </c>
      <c r="U35" s="61">
        <v>2.3E-3</v>
      </c>
      <c r="V35" s="61">
        <v>2.7E-2</v>
      </c>
      <c r="W35" s="61">
        <v>1.7999999999999999E-2</v>
      </c>
      <c r="X35" s="61">
        <v>4.4999999999999998E-2</v>
      </c>
      <c r="Y35" s="61">
        <v>2.2499999999999999E-2</v>
      </c>
      <c r="Z35" s="61">
        <v>1.8E-3</v>
      </c>
      <c r="AA35" s="61">
        <v>3.5999999999999997E-2</v>
      </c>
      <c r="AB35" s="61">
        <v>4.0500000000000001E-2</v>
      </c>
      <c r="AC35" s="61">
        <v>4.4999999999999998E-2</v>
      </c>
      <c r="AD35" s="61">
        <v>6.7499999999999999E-3</v>
      </c>
      <c r="AE35" s="61">
        <v>4.0500000000000001E-2</v>
      </c>
      <c r="AF35" s="61">
        <v>4.4999999999999998E-2</v>
      </c>
      <c r="AG35" s="61">
        <v>1.125E-2</v>
      </c>
      <c r="AH35" s="60">
        <v>4.16</v>
      </c>
      <c r="AI35" s="60">
        <v>0.43</v>
      </c>
      <c r="AJ35" s="60">
        <v>5</v>
      </c>
      <c r="AK35" s="60">
        <v>3.33</v>
      </c>
      <c r="AL35" s="60">
        <v>8.33</v>
      </c>
      <c r="AM35" s="60">
        <v>4.16</v>
      </c>
      <c r="AN35" s="60">
        <v>0.33</v>
      </c>
      <c r="AO35" s="60">
        <v>6.66</v>
      </c>
      <c r="AP35" s="60">
        <v>7.4950000000000001</v>
      </c>
      <c r="AQ35" s="60">
        <v>8.3249999999999993</v>
      </c>
      <c r="AR35" s="60">
        <v>1.25</v>
      </c>
      <c r="AS35" s="60">
        <v>7.4950000000000001</v>
      </c>
      <c r="AT35" s="60">
        <v>8.3249999999999993</v>
      </c>
      <c r="AU35" s="60">
        <v>2.08</v>
      </c>
      <c r="AV35" s="62">
        <v>-5</v>
      </c>
      <c r="AW35" s="62">
        <v>-1</v>
      </c>
      <c r="AX35" s="62">
        <v>-8</v>
      </c>
      <c r="AY35" s="62">
        <v>-5</v>
      </c>
      <c r="AZ35" s="62">
        <v>-13</v>
      </c>
      <c r="BA35" s="62">
        <v>-6</v>
      </c>
      <c r="BB35" s="62">
        <v>-1</v>
      </c>
      <c r="BC35" s="62">
        <v>-4.5</v>
      </c>
      <c r="BD35" s="62">
        <v>-5</v>
      </c>
      <c r="BE35" s="62">
        <v>-5.5</v>
      </c>
      <c r="BF35" s="62">
        <v>-1</v>
      </c>
      <c r="BG35" s="62">
        <v>-7</v>
      </c>
      <c r="BH35" s="62">
        <v>-8</v>
      </c>
      <c r="BI35" s="62">
        <v>-2</v>
      </c>
      <c r="BJ35" s="62">
        <v>-9</v>
      </c>
      <c r="BK35" s="62">
        <v>-10</v>
      </c>
      <c r="BL35" s="62">
        <v>-11</v>
      </c>
      <c r="BM35" s="62">
        <v>-1.5</v>
      </c>
      <c r="BN35" s="62">
        <v>-11</v>
      </c>
      <c r="BO35" s="62">
        <v>-1</v>
      </c>
      <c r="BP35" s="4">
        <v>32</v>
      </c>
    </row>
    <row r="36" spans="1:68" x14ac:dyDescent="0.25">
      <c r="A36" s="4">
        <v>33</v>
      </c>
      <c r="B36" s="3" t="s">
        <v>2169</v>
      </c>
      <c r="C36" s="4">
        <v>7</v>
      </c>
      <c r="D36" s="4">
        <v>5</v>
      </c>
      <c r="E36" s="4">
        <v>55</v>
      </c>
      <c r="F36" s="61">
        <v>9.7493999999999996</v>
      </c>
      <c r="G36" s="61">
        <v>0.97619999999999996</v>
      </c>
      <c r="H36" s="61">
        <v>4.2</v>
      </c>
      <c r="I36" s="61">
        <v>2.7997000000000001</v>
      </c>
      <c r="J36" s="61">
        <v>6.9996999999999998</v>
      </c>
      <c r="K36" s="61">
        <v>3.4994000000000001</v>
      </c>
      <c r="L36" s="61">
        <v>0.2797</v>
      </c>
      <c r="M36" s="61">
        <v>5.5994000000000002</v>
      </c>
      <c r="N36" s="61">
        <v>6.29955</v>
      </c>
      <c r="O36" s="61">
        <v>6.99925</v>
      </c>
      <c r="P36" s="61">
        <v>1.05</v>
      </c>
      <c r="Q36" s="61">
        <v>6.29955</v>
      </c>
      <c r="R36" s="61">
        <v>6.99925</v>
      </c>
      <c r="S36" s="61">
        <v>1.7497</v>
      </c>
      <c r="T36" s="61">
        <v>2.2499999999999999E-2</v>
      </c>
      <c r="U36" s="61">
        <v>2.3E-3</v>
      </c>
      <c r="V36" s="61">
        <v>2.7E-2</v>
      </c>
      <c r="W36" s="61">
        <v>1.7999999999999999E-2</v>
      </c>
      <c r="X36" s="61">
        <v>4.4999999999999998E-2</v>
      </c>
      <c r="Y36" s="61">
        <v>2.2499999999999999E-2</v>
      </c>
      <c r="Z36" s="61">
        <v>1.8E-3</v>
      </c>
      <c r="AA36" s="61">
        <v>3.5999999999999997E-2</v>
      </c>
      <c r="AB36" s="61">
        <v>4.0500000000000001E-2</v>
      </c>
      <c r="AC36" s="61">
        <v>4.4999999999999998E-2</v>
      </c>
      <c r="AD36" s="61">
        <v>6.7499999999999999E-3</v>
      </c>
      <c r="AE36" s="61">
        <v>4.0500000000000001E-2</v>
      </c>
      <c r="AF36" s="61">
        <v>4.4999999999999998E-2</v>
      </c>
      <c r="AG36" s="61">
        <v>1.125E-2</v>
      </c>
      <c r="AH36" s="60">
        <v>4.16</v>
      </c>
      <c r="AI36" s="60">
        <v>0.43</v>
      </c>
      <c r="AJ36" s="60">
        <v>5</v>
      </c>
      <c r="AK36" s="60">
        <v>3.33</v>
      </c>
      <c r="AL36" s="60">
        <v>8.33</v>
      </c>
      <c r="AM36" s="60">
        <v>4.16</v>
      </c>
      <c r="AN36" s="60">
        <v>0.33</v>
      </c>
      <c r="AO36" s="60">
        <v>6.66</v>
      </c>
      <c r="AP36" s="60">
        <v>7.4950000000000001</v>
      </c>
      <c r="AQ36" s="60">
        <v>8.3249999999999993</v>
      </c>
      <c r="AR36" s="60">
        <v>1.25</v>
      </c>
      <c r="AS36" s="60">
        <v>7.4950000000000001</v>
      </c>
      <c r="AT36" s="60">
        <v>8.3249999999999993</v>
      </c>
      <c r="AU36" s="60">
        <v>2.08</v>
      </c>
      <c r="AV36" s="62">
        <v>-3</v>
      </c>
      <c r="AW36" s="62">
        <v>0</v>
      </c>
      <c r="AX36" s="62">
        <v>-6</v>
      </c>
      <c r="AY36" s="62">
        <v>-3</v>
      </c>
      <c r="AZ36" s="62">
        <v>-11</v>
      </c>
      <c r="BA36" s="62">
        <v>-4</v>
      </c>
      <c r="BB36" s="62">
        <v>0</v>
      </c>
      <c r="BC36" s="62">
        <v>-3.5</v>
      </c>
      <c r="BD36" s="62">
        <v>-4</v>
      </c>
      <c r="BE36" s="62">
        <v>-4.5</v>
      </c>
      <c r="BF36" s="62">
        <v>0</v>
      </c>
      <c r="BG36" s="62">
        <v>-6</v>
      </c>
      <c r="BH36" s="62">
        <v>-7</v>
      </c>
      <c r="BI36" s="62">
        <v>-1</v>
      </c>
      <c r="BJ36" s="62">
        <v>-8</v>
      </c>
      <c r="BK36" s="62">
        <v>-9</v>
      </c>
      <c r="BL36" s="62">
        <v>-10</v>
      </c>
      <c r="BM36" s="62">
        <v>-0.5</v>
      </c>
      <c r="BN36" s="62">
        <v>-9</v>
      </c>
      <c r="BO36" s="62">
        <v>0</v>
      </c>
      <c r="BP36" s="4">
        <v>33</v>
      </c>
    </row>
    <row r="37" spans="1:68" x14ac:dyDescent="0.25">
      <c r="A37" s="4">
        <v>34</v>
      </c>
      <c r="B37" s="3" t="s">
        <v>2170</v>
      </c>
      <c r="C37" s="4">
        <v>7</v>
      </c>
      <c r="D37" s="4">
        <v>10</v>
      </c>
      <c r="E37" s="4">
        <v>60</v>
      </c>
      <c r="F37" s="61">
        <v>13.288399999999999</v>
      </c>
      <c r="G37" s="61">
        <v>1.3357000000000001</v>
      </c>
      <c r="H37" s="61">
        <v>6.95</v>
      </c>
      <c r="I37" s="61">
        <v>4.6317000000000004</v>
      </c>
      <c r="J37" s="61">
        <v>11.5817</v>
      </c>
      <c r="K37" s="61">
        <v>5.7884000000000002</v>
      </c>
      <c r="L37" s="61">
        <v>0.46170000000000005</v>
      </c>
      <c r="M37" s="61">
        <v>9.2634000000000007</v>
      </c>
      <c r="N37" s="61">
        <v>10.422550000000001</v>
      </c>
      <c r="O37" s="61">
        <v>11.579249999999998</v>
      </c>
      <c r="P37" s="61">
        <v>1.7375</v>
      </c>
      <c r="Q37" s="61">
        <v>10.422550000000001</v>
      </c>
      <c r="R37" s="61">
        <v>11.579249999999998</v>
      </c>
      <c r="S37" s="61">
        <v>2.8942000000000001</v>
      </c>
      <c r="T37" s="61">
        <v>2.2499999999999999E-2</v>
      </c>
      <c r="U37" s="61">
        <v>2.3E-3</v>
      </c>
      <c r="V37" s="61">
        <v>2.7E-2</v>
      </c>
      <c r="W37" s="61">
        <v>1.7999999999999999E-2</v>
      </c>
      <c r="X37" s="61">
        <v>4.4999999999999998E-2</v>
      </c>
      <c r="Y37" s="61">
        <v>2.2499999999999999E-2</v>
      </c>
      <c r="Z37" s="61">
        <v>1.8E-3</v>
      </c>
      <c r="AA37" s="61">
        <v>3.5999999999999997E-2</v>
      </c>
      <c r="AB37" s="61">
        <v>4.0500000000000001E-2</v>
      </c>
      <c r="AC37" s="61">
        <v>4.4999999999999998E-2</v>
      </c>
      <c r="AD37" s="61">
        <v>6.7499999999999999E-3</v>
      </c>
      <c r="AE37" s="61">
        <v>4.0500000000000001E-2</v>
      </c>
      <c r="AF37" s="61">
        <v>4.4999999999999998E-2</v>
      </c>
      <c r="AG37" s="61">
        <v>1.125E-2</v>
      </c>
      <c r="AH37" s="60">
        <v>4.16</v>
      </c>
      <c r="AI37" s="60">
        <v>0.43</v>
      </c>
      <c r="AJ37" s="60">
        <v>5</v>
      </c>
      <c r="AK37" s="60">
        <v>3.33</v>
      </c>
      <c r="AL37" s="60">
        <v>8.33</v>
      </c>
      <c r="AM37" s="60">
        <v>4.16</v>
      </c>
      <c r="AN37" s="60">
        <v>0.33</v>
      </c>
      <c r="AO37" s="60">
        <v>6.66</v>
      </c>
      <c r="AP37" s="60">
        <v>7.4950000000000001</v>
      </c>
      <c r="AQ37" s="60">
        <v>8.3249999999999993</v>
      </c>
      <c r="AR37" s="60">
        <v>1.25</v>
      </c>
      <c r="AS37" s="60">
        <v>7.4950000000000001</v>
      </c>
      <c r="AT37" s="60">
        <v>8.3249999999999993</v>
      </c>
      <c r="AU37" s="60">
        <v>2.08</v>
      </c>
      <c r="AV37" s="62">
        <v>-2</v>
      </c>
      <c r="AW37" s="62">
        <v>0</v>
      </c>
      <c r="AX37" s="62">
        <v>-5</v>
      </c>
      <c r="AY37" s="62">
        <v>-2</v>
      </c>
      <c r="AZ37" s="62">
        <v>-10</v>
      </c>
      <c r="BA37" s="62">
        <v>-3</v>
      </c>
      <c r="BB37" s="62">
        <v>0</v>
      </c>
      <c r="BC37" s="62">
        <v>-3</v>
      </c>
      <c r="BD37" s="62">
        <v>-3.5</v>
      </c>
      <c r="BE37" s="62">
        <v>-4</v>
      </c>
      <c r="BF37" s="62">
        <v>0</v>
      </c>
      <c r="BG37" s="62">
        <v>-5.5</v>
      </c>
      <c r="BH37" s="62">
        <v>-6.5</v>
      </c>
      <c r="BI37" s="62">
        <v>-0.5</v>
      </c>
      <c r="BJ37" s="62">
        <v>-7.5</v>
      </c>
      <c r="BK37" s="62">
        <v>-8.5</v>
      </c>
      <c r="BL37" s="62">
        <v>-9.5</v>
      </c>
      <c r="BM37" s="62">
        <v>0</v>
      </c>
      <c r="BN37" s="62">
        <v>-8</v>
      </c>
      <c r="BO37" s="62">
        <v>0</v>
      </c>
      <c r="BP37" s="4">
        <v>34</v>
      </c>
    </row>
    <row r="38" spans="1:68" x14ac:dyDescent="0.25">
      <c r="A38" s="4">
        <v>35</v>
      </c>
      <c r="B38" s="3" t="s">
        <v>2171</v>
      </c>
      <c r="C38" s="4">
        <v>7</v>
      </c>
      <c r="D38" s="4">
        <v>15</v>
      </c>
      <c r="E38" s="4">
        <v>65</v>
      </c>
      <c r="F38" s="61">
        <v>17.618400000000001</v>
      </c>
      <c r="G38" s="61">
        <v>1.7757000000000001</v>
      </c>
      <c r="H38" s="61">
        <v>10.350000000000001</v>
      </c>
      <c r="I38" s="61">
        <v>6.8967000000000001</v>
      </c>
      <c r="J38" s="61">
        <v>17.246700000000001</v>
      </c>
      <c r="K38" s="61">
        <v>8.6184000000000012</v>
      </c>
      <c r="L38" s="61">
        <v>0.68670000000000009</v>
      </c>
      <c r="M38" s="61">
        <v>13.7934</v>
      </c>
      <c r="N38" s="61">
        <v>15.520049999999999</v>
      </c>
      <c r="O38" s="61">
        <v>17.24175</v>
      </c>
      <c r="P38" s="61">
        <v>2.5875000000000004</v>
      </c>
      <c r="Q38" s="61">
        <v>15.520049999999999</v>
      </c>
      <c r="R38" s="61">
        <v>17.24175</v>
      </c>
      <c r="S38" s="61">
        <v>4.3092000000000006</v>
      </c>
      <c r="T38" s="61">
        <v>2.2275E-2</v>
      </c>
      <c r="U38" s="61">
        <v>2.2769999999999999E-3</v>
      </c>
      <c r="V38" s="61">
        <v>2.673E-2</v>
      </c>
      <c r="W38" s="61">
        <v>1.7819999999999999E-2</v>
      </c>
      <c r="X38" s="61">
        <v>4.4549999999999999E-2</v>
      </c>
      <c r="Y38" s="61">
        <v>2.2275E-2</v>
      </c>
      <c r="Z38" s="61">
        <v>1.7819999999999999E-3</v>
      </c>
      <c r="AA38" s="61">
        <v>3.5639999999999998E-2</v>
      </c>
      <c r="AB38" s="61">
        <v>4.0094999999999999E-2</v>
      </c>
      <c r="AC38" s="61">
        <v>4.4549999999999999E-2</v>
      </c>
      <c r="AD38" s="61">
        <v>6.6825000000000001E-3</v>
      </c>
      <c r="AE38" s="61">
        <v>4.0094999999999999E-2</v>
      </c>
      <c r="AF38" s="61">
        <v>4.4549999999999999E-2</v>
      </c>
      <c r="AG38" s="61">
        <v>1.11375E-2</v>
      </c>
      <c r="AH38" s="60">
        <v>4.12</v>
      </c>
      <c r="AI38" s="60">
        <v>0.42</v>
      </c>
      <c r="AJ38" s="60">
        <v>4.95</v>
      </c>
      <c r="AK38" s="60">
        <v>3.3</v>
      </c>
      <c r="AL38" s="60">
        <v>8.24</v>
      </c>
      <c r="AM38" s="60">
        <v>4.12</v>
      </c>
      <c r="AN38" s="60">
        <v>0.33</v>
      </c>
      <c r="AO38" s="60">
        <v>6.5949999999999998</v>
      </c>
      <c r="AP38" s="60">
        <v>7.42</v>
      </c>
      <c r="AQ38" s="60">
        <v>8.24</v>
      </c>
      <c r="AR38" s="60">
        <v>1.2350000000000001</v>
      </c>
      <c r="AS38" s="60">
        <v>7.42</v>
      </c>
      <c r="AT38" s="60">
        <v>8.24</v>
      </c>
      <c r="AU38" s="60">
        <v>2.06</v>
      </c>
      <c r="AV38" s="62">
        <v>0</v>
      </c>
      <c r="AW38" s="62">
        <v>0</v>
      </c>
      <c r="AX38" s="62">
        <v>-3</v>
      </c>
      <c r="AY38" s="62">
        <v>0</v>
      </c>
      <c r="AZ38" s="62">
        <v>-8</v>
      </c>
      <c r="BA38" s="62">
        <v>-1</v>
      </c>
      <c r="BB38" s="62">
        <v>0</v>
      </c>
      <c r="BC38" s="62">
        <v>-2</v>
      </c>
      <c r="BD38" s="62">
        <v>-2.5</v>
      </c>
      <c r="BE38" s="62">
        <v>-3</v>
      </c>
      <c r="BF38" s="62">
        <v>0</v>
      </c>
      <c r="BG38" s="62">
        <v>-4.5</v>
      </c>
      <c r="BH38" s="62">
        <v>-5.5</v>
      </c>
      <c r="BI38" s="62">
        <v>0</v>
      </c>
      <c r="BJ38" s="62">
        <v>-6.5</v>
      </c>
      <c r="BK38" s="62">
        <v>-7.5</v>
      </c>
      <c r="BL38" s="62">
        <v>-8.5</v>
      </c>
      <c r="BM38" s="62">
        <v>0</v>
      </c>
      <c r="BN38" s="62">
        <v>-6</v>
      </c>
      <c r="BO38" s="62">
        <v>0</v>
      </c>
      <c r="BP38" s="4">
        <v>35</v>
      </c>
    </row>
    <row r="39" spans="1:68" x14ac:dyDescent="0.25">
      <c r="A39" s="4">
        <v>36</v>
      </c>
      <c r="B39" s="3" t="s">
        <v>2172</v>
      </c>
      <c r="C39" s="4">
        <v>7</v>
      </c>
      <c r="D39" s="4">
        <v>20</v>
      </c>
      <c r="E39" s="4">
        <v>70</v>
      </c>
      <c r="F39" s="61">
        <v>36.508400000000002</v>
      </c>
      <c r="G39" s="61">
        <v>3.7207000000000003</v>
      </c>
      <c r="H39" s="61">
        <v>31.250000000000004</v>
      </c>
      <c r="I39" s="61">
        <v>20.816700000000001</v>
      </c>
      <c r="J39" s="61">
        <v>52.066700000000004</v>
      </c>
      <c r="K39" s="61">
        <v>26.008400000000002</v>
      </c>
      <c r="L39" s="61">
        <v>2.0667</v>
      </c>
      <c r="M39" s="61">
        <v>41.633400000000002</v>
      </c>
      <c r="N39" s="61">
        <v>46.850050000000003</v>
      </c>
      <c r="O39" s="61">
        <v>52.04175</v>
      </c>
      <c r="P39" s="61">
        <v>7.8125000000000009</v>
      </c>
      <c r="Q39" s="61">
        <v>46.850050000000003</v>
      </c>
      <c r="R39" s="61">
        <v>52.04175</v>
      </c>
      <c r="S39" s="61">
        <v>13.004200000000001</v>
      </c>
      <c r="T39" s="61">
        <v>2.2275E-2</v>
      </c>
      <c r="U39" s="61">
        <v>2.2769999999999999E-3</v>
      </c>
      <c r="V39" s="61">
        <v>2.673E-2</v>
      </c>
      <c r="W39" s="61">
        <v>1.7819999999999999E-2</v>
      </c>
      <c r="X39" s="61">
        <v>4.4549999999999999E-2</v>
      </c>
      <c r="Y39" s="61">
        <v>2.2275E-2</v>
      </c>
      <c r="Z39" s="61">
        <v>1.7819999999999999E-3</v>
      </c>
      <c r="AA39" s="61">
        <v>3.5639999999999998E-2</v>
      </c>
      <c r="AB39" s="61">
        <v>4.0094999999999999E-2</v>
      </c>
      <c r="AC39" s="61">
        <v>4.4549999999999999E-2</v>
      </c>
      <c r="AD39" s="61">
        <v>6.6825000000000001E-3</v>
      </c>
      <c r="AE39" s="61">
        <v>4.0094999999999999E-2</v>
      </c>
      <c r="AF39" s="61">
        <v>4.4549999999999999E-2</v>
      </c>
      <c r="AG39" s="61">
        <v>1.11375E-2</v>
      </c>
      <c r="AH39" s="60">
        <v>4.12</v>
      </c>
      <c r="AI39" s="60">
        <v>0.42</v>
      </c>
      <c r="AJ39" s="60">
        <v>4.95</v>
      </c>
      <c r="AK39" s="60">
        <v>3.3</v>
      </c>
      <c r="AL39" s="60">
        <v>8.24</v>
      </c>
      <c r="AM39" s="60">
        <v>4.12</v>
      </c>
      <c r="AN39" s="60">
        <v>0.33</v>
      </c>
      <c r="AO39" s="60">
        <v>6.5949999999999998</v>
      </c>
      <c r="AP39" s="60">
        <v>7.42</v>
      </c>
      <c r="AQ39" s="60">
        <v>8.24</v>
      </c>
      <c r="AR39" s="60">
        <v>1.2350000000000001</v>
      </c>
      <c r="AS39" s="60">
        <v>7.42</v>
      </c>
      <c r="AT39" s="60">
        <v>8.24</v>
      </c>
      <c r="AU39" s="60">
        <v>2.06</v>
      </c>
      <c r="AV39" s="62">
        <v>0</v>
      </c>
      <c r="AW39" s="62">
        <v>0</v>
      </c>
      <c r="AX39" s="62">
        <v>-1</v>
      </c>
      <c r="AY39" s="62">
        <v>0</v>
      </c>
      <c r="AZ39" s="62">
        <v>-6</v>
      </c>
      <c r="BA39" s="62">
        <v>0</v>
      </c>
      <c r="BB39" s="62">
        <v>0</v>
      </c>
      <c r="BC39" s="62">
        <v>-1</v>
      </c>
      <c r="BD39" s="62">
        <v>-1.5</v>
      </c>
      <c r="BE39" s="62">
        <v>-2</v>
      </c>
      <c r="BF39" s="62">
        <v>0</v>
      </c>
      <c r="BG39" s="62">
        <v>-3.5</v>
      </c>
      <c r="BH39" s="62">
        <v>-4.5</v>
      </c>
      <c r="BI39" s="62">
        <v>0</v>
      </c>
      <c r="BJ39" s="62">
        <v>-5.5</v>
      </c>
      <c r="BK39" s="62">
        <v>-6.5</v>
      </c>
      <c r="BL39" s="62">
        <v>-7.5</v>
      </c>
      <c r="BM39" s="62">
        <v>0</v>
      </c>
      <c r="BN39" s="62">
        <v>-4</v>
      </c>
      <c r="BO39" s="62">
        <v>0</v>
      </c>
      <c r="BP39" s="4">
        <v>36</v>
      </c>
    </row>
    <row r="40" spans="1:68" x14ac:dyDescent="0.25">
      <c r="A40" s="4">
        <v>37</v>
      </c>
      <c r="B40" s="3" t="s">
        <v>2173</v>
      </c>
      <c r="C40" s="4">
        <v>7</v>
      </c>
      <c r="D40" s="4">
        <v>-30</v>
      </c>
      <c r="E40" s="4">
        <v>20</v>
      </c>
      <c r="F40" s="61">
        <v>2669.8584000000001</v>
      </c>
      <c r="G40" s="61">
        <v>275.94569999999999</v>
      </c>
      <c r="H40" s="61">
        <v>3202.95</v>
      </c>
      <c r="I40" s="61">
        <v>2133.1667000000002</v>
      </c>
      <c r="J40" s="61">
        <v>5336.1167000000005</v>
      </c>
      <c r="K40" s="61">
        <v>2664.8584000000001</v>
      </c>
      <c r="L40" s="61">
        <v>211.39670000000001</v>
      </c>
      <c r="M40" s="61">
        <v>4266.3334000000004</v>
      </c>
      <c r="N40" s="61">
        <v>4801.22505</v>
      </c>
      <c r="O40" s="61">
        <v>5332.9167499999994</v>
      </c>
      <c r="P40" s="61">
        <v>800.73749999999995</v>
      </c>
      <c r="Q40" s="61">
        <v>4801.22505</v>
      </c>
      <c r="R40" s="61">
        <v>5332.9167499999994</v>
      </c>
      <c r="S40" s="61">
        <v>1332.4292</v>
      </c>
      <c r="T40" s="61">
        <v>5.5125E-2</v>
      </c>
      <c r="U40" s="61">
        <v>5.6350000000000003E-3</v>
      </c>
      <c r="V40" s="61">
        <v>6.615E-2</v>
      </c>
      <c r="W40" s="61">
        <v>4.41E-2</v>
      </c>
      <c r="X40" s="61">
        <v>0.11025</v>
      </c>
      <c r="Y40" s="61">
        <v>5.5125E-2</v>
      </c>
      <c r="Z40" s="61">
        <v>4.4099999999999999E-3</v>
      </c>
      <c r="AA40" s="61">
        <v>8.8200000000000001E-2</v>
      </c>
      <c r="AB40" s="61">
        <v>9.9225000000000008E-2</v>
      </c>
      <c r="AC40" s="61">
        <v>0.11025</v>
      </c>
      <c r="AD40" s="61">
        <v>1.65375E-2</v>
      </c>
      <c r="AE40" s="61">
        <v>9.9225000000000008E-2</v>
      </c>
      <c r="AF40" s="61">
        <v>0.11025</v>
      </c>
      <c r="AG40" s="61">
        <v>2.75625E-2</v>
      </c>
      <c r="AH40" s="60">
        <v>10.199999999999999</v>
      </c>
      <c r="AI40" s="60">
        <v>1.04</v>
      </c>
      <c r="AJ40" s="60">
        <v>12.24</v>
      </c>
      <c r="AK40" s="60">
        <v>8.16</v>
      </c>
      <c r="AL40" s="60">
        <v>20.399999999999999</v>
      </c>
      <c r="AM40" s="60">
        <v>10.199999999999999</v>
      </c>
      <c r="AN40" s="60">
        <v>0.82</v>
      </c>
      <c r="AO40" s="60">
        <v>16.315000000000001</v>
      </c>
      <c r="AP40" s="60">
        <v>18.355</v>
      </c>
      <c r="AQ40" s="60">
        <v>20.395</v>
      </c>
      <c r="AR40" s="60">
        <v>3.06</v>
      </c>
      <c r="AS40" s="60">
        <v>18.355</v>
      </c>
      <c r="AT40" s="60">
        <v>20.395</v>
      </c>
      <c r="AU40" s="60">
        <v>5.0999999999999996</v>
      </c>
      <c r="AV40" s="62">
        <v>-37</v>
      </c>
      <c r="AW40" s="62">
        <v>-27</v>
      </c>
      <c r="AX40" s="62">
        <v>-44</v>
      </c>
      <c r="AY40" s="62">
        <v>-37</v>
      </c>
      <c r="AZ40" s="62">
        <v>-56</v>
      </c>
      <c r="BA40" s="62">
        <v>-39</v>
      </c>
      <c r="BB40" s="62">
        <v>-27</v>
      </c>
      <c r="BC40" s="62">
        <v>-23.5</v>
      </c>
      <c r="BD40" s="62">
        <v>-24.5</v>
      </c>
      <c r="BE40" s="62">
        <v>-25.5</v>
      </c>
      <c r="BF40" s="62">
        <v>-14.5</v>
      </c>
      <c r="BG40" s="62">
        <v>-29.5</v>
      </c>
      <c r="BH40" s="62">
        <v>-32</v>
      </c>
      <c r="BI40" s="62">
        <v>-17</v>
      </c>
      <c r="BJ40" s="62">
        <v>-34.5</v>
      </c>
      <c r="BK40" s="62">
        <v>-36.5</v>
      </c>
      <c r="BL40" s="62">
        <v>-39</v>
      </c>
      <c r="BM40" s="62">
        <v>-16</v>
      </c>
      <c r="BN40" s="62">
        <v>-51</v>
      </c>
      <c r="BO40" s="62">
        <v>-27</v>
      </c>
      <c r="BP40" s="4">
        <v>37</v>
      </c>
    </row>
    <row r="41" spans="1:68" x14ac:dyDescent="0.25">
      <c r="A41" s="4">
        <v>38</v>
      </c>
      <c r="B41" s="3" t="s">
        <v>2174</v>
      </c>
      <c r="C41" s="4">
        <v>7</v>
      </c>
      <c r="D41" s="4">
        <v>-20</v>
      </c>
      <c r="E41" s="4">
        <v>25</v>
      </c>
      <c r="F41" s="61">
        <v>273.69839999999999</v>
      </c>
      <c r="G41" s="61">
        <v>28.265699999999999</v>
      </c>
      <c r="H41" s="61">
        <v>322.95</v>
      </c>
      <c r="I41" s="61">
        <v>215.08670000000001</v>
      </c>
      <c r="J41" s="61">
        <v>538.0367</v>
      </c>
      <c r="K41" s="61">
        <v>268.69839999999999</v>
      </c>
      <c r="L41" s="61">
        <v>21.316700000000001</v>
      </c>
      <c r="M41" s="61">
        <v>430.17340000000002</v>
      </c>
      <c r="N41" s="61">
        <v>484.10505000000001</v>
      </c>
      <c r="O41" s="61">
        <v>537.71674999999993</v>
      </c>
      <c r="P41" s="61">
        <v>80.737499999999997</v>
      </c>
      <c r="Q41" s="61">
        <v>484.10505000000001</v>
      </c>
      <c r="R41" s="61">
        <v>537.71674999999993</v>
      </c>
      <c r="S41" s="61">
        <v>134.3492</v>
      </c>
      <c r="T41" s="61">
        <v>2.9925E-2</v>
      </c>
      <c r="U41" s="61">
        <v>3.0590000000000001E-3</v>
      </c>
      <c r="V41" s="61">
        <v>3.5910000000000004E-2</v>
      </c>
      <c r="W41" s="61">
        <v>2.3939999999999999E-2</v>
      </c>
      <c r="X41" s="61">
        <v>5.985E-2</v>
      </c>
      <c r="Y41" s="61">
        <v>2.9925E-2</v>
      </c>
      <c r="Z41" s="61">
        <v>2.3939999999999999E-3</v>
      </c>
      <c r="AA41" s="61">
        <v>4.7879999999999999E-2</v>
      </c>
      <c r="AB41" s="61">
        <v>5.3865000000000003E-2</v>
      </c>
      <c r="AC41" s="61">
        <v>5.985E-2</v>
      </c>
      <c r="AD41" s="61">
        <v>8.9775000000000011E-3</v>
      </c>
      <c r="AE41" s="61">
        <v>5.3865000000000003E-2</v>
      </c>
      <c r="AF41" s="61">
        <v>5.985E-2</v>
      </c>
      <c r="AG41" s="61">
        <v>1.49625E-2</v>
      </c>
      <c r="AH41" s="60">
        <v>5.54</v>
      </c>
      <c r="AI41" s="60">
        <v>0.56999999999999995</v>
      </c>
      <c r="AJ41" s="60">
        <v>6.64</v>
      </c>
      <c r="AK41" s="60">
        <v>4.43</v>
      </c>
      <c r="AL41" s="60">
        <v>11.07</v>
      </c>
      <c r="AM41" s="60">
        <v>5.54</v>
      </c>
      <c r="AN41" s="60">
        <v>0.44</v>
      </c>
      <c r="AO41" s="60">
        <v>8.86</v>
      </c>
      <c r="AP41" s="60">
        <v>9.9649999999999999</v>
      </c>
      <c r="AQ41" s="60">
        <v>11.07</v>
      </c>
      <c r="AR41" s="60">
        <v>1.66</v>
      </c>
      <c r="AS41" s="60">
        <v>9.9649999999999999</v>
      </c>
      <c r="AT41" s="60">
        <v>11.07</v>
      </c>
      <c r="AU41" s="60">
        <v>2.77</v>
      </c>
      <c r="AV41" s="62">
        <v>-16</v>
      </c>
      <c r="AW41" s="62">
        <v>-10</v>
      </c>
      <c r="AX41" s="62">
        <v>-19</v>
      </c>
      <c r="AY41" s="62">
        <v>-16</v>
      </c>
      <c r="AZ41" s="62">
        <v>-26</v>
      </c>
      <c r="BA41" s="62">
        <v>-17</v>
      </c>
      <c r="BB41" s="62">
        <v>-10</v>
      </c>
      <c r="BC41" s="62">
        <v>-10.5</v>
      </c>
      <c r="BD41" s="62">
        <v>-11</v>
      </c>
      <c r="BE41" s="62">
        <v>-11.5</v>
      </c>
      <c r="BF41" s="62">
        <v>-6</v>
      </c>
      <c r="BG41" s="62">
        <v>-13.5</v>
      </c>
      <c r="BH41" s="62">
        <v>-15</v>
      </c>
      <c r="BI41" s="62">
        <v>-7</v>
      </c>
      <c r="BJ41" s="62">
        <v>-16.5</v>
      </c>
      <c r="BK41" s="62">
        <v>-17.5</v>
      </c>
      <c r="BL41" s="62">
        <v>-19</v>
      </c>
      <c r="BM41" s="62">
        <v>-6.5</v>
      </c>
      <c r="BN41" s="62">
        <v>-24</v>
      </c>
      <c r="BO41" s="62">
        <v>-10</v>
      </c>
      <c r="BP41" s="4">
        <v>38</v>
      </c>
    </row>
    <row r="42" spans="1:68" x14ac:dyDescent="0.25">
      <c r="A42" s="4">
        <v>39</v>
      </c>
      <c r="B42" s="3" t="s">
        <v>2175</v>
      </c>
      <c r="C42" s="4">
        <v>7</v>
      </c>
      <c r="D42" s="4">
        <v>-10</v>
      </c>
      <c r="E42" s="4">
        <v>35</v>
      </c>
      <c r="F42" s="61">
        <v>10.120799999999999</v>
      </c>
      <c r="G42" s="61">
        <v>1.0208999999999999</v>
      </c>
      <c r="H42" s="61">
        <v>6.15</v>
      </c>
      <c r="I42" s="61">
        <v>4.0979000000000001</v>
      </c>
      <c r="J42" s="61">
        <v>10.247900000000001</v>
      </c>
      <c r="K42" s="61">
        <v>5.1208</v>
      </c>
      <c r="L42" s="61">
        <v>0.40790000000000004</v>
      </c>
      <c r="M42" s="61">
        <v>8.1958000000000002</v>
      </c>
      <c r="N42" s="61">
        <v>9.2218499999999999</v>
      </c>
      <c r="O42" s="61">
        <v>10.24475</v>
      </c>
      <c r="P42" s="61">
        <v>1.5375000000000001</v>
      </c>
      <c r="Q42" s="61">
        <v>9.2218499999999999</v>
      </c>
      <c r="R42" s="61">
        <v>10.24475</v>
      </c>
      <c r="S42" s="61">
        <v>2.5604</v>
      </c>
      <c r="T42" s="61">
        <v>2.5424999999999996E-2</v>
      </c>
      <c r="U42" s="61">
        <v>2.5989999999999997E-3</v>
      </c>
      <c r="V42" s="61">
        <v>3.0509999999999995E-2</v>
      </c>
      <c r="W42" s="61">
        <v>2.0339999999999997E-2</v>
      </c>
      <c r="X42" s="61">
        <v>5.0849999999999992E-2</v>
      </c>
      <c r="Y42" s="61">
        <v>2.5424999999999996E-2</v>
      </c>
      <c r="Z42" s="61">
        <v>2.0339999999999998E-3</v>
      </c>
      <c r="AA42" s="61">
        <v>4.0679999999999994E-2</v>
      </c>
      <c r="AB42" s="61">
        <v>4.5765E-2</v>
      </c>
      <c r="AC42" s="61">
        <v>5.0849999999999992E-2</v>
      </c>
      <c r="AD42" s="61">
        <v>7.6274999999999989E-3</v>
      </c>
      <c r="AE42" s="61">
        <v>4.5765E-2</v>
      </c>
      <c r="AF42" s="61">
        <v>5.0849999999999992E-2</v>
      </c>
      <c r="AG42" s="61">
        <v>1.2712499999999998E-2</v>
      </c>
      <c r="AH42" s="60">
        <v>4.7</v>
      </c>
      <c r="AI42" s="60">
        <v>0.48</v>
      </c>
      <c r="AJ42" s="60">
        <v>5.64</v>
      </c>
      <c r="AK42" s="60">
        <v>3.76</v>
      </c>
      <c r="AL42" s="60">
        <v>9.41</v>
      </c>
      <c r="AM42" s="60">
        <v>4.7</v>
      </c>
      <c r="AN42" s="60">
        <v>0.38</v>
      </c>
      <c r="AO42" s="60">
        <v>7.5250000000000004</v>
      </c>
      <c r="AP42" s="60">
        <v>8.4649999999999999</v>
      </c>
      <c r="AQ42" s="60">
        <v>9.4049999999999994</v>
      </c>
      <c r="AR42" s="60">
        <v>1.41</v>
      </c>
      <c r="AS42" s="60">
        <v>8.4649999999999999</v>
      </c>
      <c r="AT42" s="60">
        <v>9.4049999999999994</v>
      </c>
      <c r="AU42" s="60">
        <v>2.35</v>
      </c>
      <c r="AV42" s="62">
        <v>-9</v>
      </c>
      <c r="AW42" s="62">
        <v>-5</v>
      </c>
      <c r="AX42" s="62">
        <v>-13</v>
      </c>
      <c r="AY42" s="62">
        <v>-9</v>
      </c>
      <c r="AZ42" s="62">
        <v>-18</v>
      </c>
      <c r="BA42" s="62">
        <v>-11</v>
      </c>
      <c r="BB42" s="62">
        <v>-5</v>
      </c>
      <c r="BC42" s="62">
        <v>-7</v>
      </c>
      <c r="BD42" s="62">
        <v>-7.5</v>
      </c>
      <c r="BE42" s="62">
        <v>-8</v>
      </c>
      <c r="BF42" s="62">
        <v>-3</v>
      </c>
      <c r="BG42" s="62">
        <v>-10</v>
      </c>
      <c r="BH42" s="62">
        <v>-11</v>
      </c>
      <c r="BI42" s="62">
        <v>-4</v>
      </c>
      <c r="BJ42" s="62">
        <v>-12</v>
      </c>
      <c r="BK42" s="62">
        <v>-13</v>
      </c>
      <c r="BL42" s="62">
        <v>-14.5</v>
      </c>
      <c r="BM42" s="62">
        <v>-3.5</v>
      </c>
      <c r="BN42" s="62">
        <v>-16</v>
      </c>
      <c r="BO42" s="62">
        <v>-5</v>
      </c>
      <c r="BP42" s="4">
        <v>39</v>
      </c>
    </row>
    <row r="43" spans="1:68" x14ac:dyDescent="0.25">
      <c r="A43" s="4">
        <v>40</v>
      </c>
      <c r="B43" s="3" t="s">
        <v>2176</v>
      </c>
      <c r="C43" s="4">
        <v>7</v>
      </c>
      <c r="D43" s="4">
        <v>0</v>
      </c>
      <c r="E43" s="4">
        <v>40</v>
      </c>
      <c r="F43" s="61">
        <v>34.082400000000007</v>
      </c>
      <c r="G43" s="61">
        <v>3.4977</v>
      </c>
      <c r="H43" s="61">
        <v>34.950000000000003</v>
      </c>
      <c r="I43" s="61">
        <v>23.278700000000001</v>
      </c>
      <c r="J43" s="61">
        <v>58.228700000000003</v>
      </c>
      <c r="K43" s="61">
        <v>29.082400000000003</v>
      </c>
      <c r="L43" s="61">
        <v>2.3087000000000004</v>
      </c>
      <c r="M43" s="61">
        <v>46.557400000000001</v>
      </c>
      <c r="N43" s="61">
        <v>52.393050000000002</v>
      </c>
      <c r="O43" s="61">
        <v>58.196750000000002</v>
      </c>
      <c r="P43" s="61">
        <v>8.7375000000000007</v>
      </c>
      <c r="Q43" s="61">
        <v>52.393050000000002</v>
      </c>
      <c r="R43" s="61">
        <v>58.196750000000002</v>
      </c>
      <c r="S43" s="61">
        <v>14.541200000000002</v>
      </c>
      <c r="T43" s="61">
        <v>2.4975000000000001E-2</v>
      </c>
      <c r="U43" s="61">
        <v>2.5530000000000001E-3</v>
      </c>
      <c r="V43" s="61">
        <v>2.9970000000000004E-2</v>
      </c>
      <c r="W43" s="61">
        <v>1.9980000000000001E-2</v>
      </c>
      <c r="X43" s="61">
        <v>4.9950000000000001E-2</v>
      </c>
      <c r="Y43" s="61">
        <v>2.4975000000000001E-2</v>
      </c>
      <c r="Z43" s="61">
        <v>1.9980000000000002E-3</v>
      </c>
      <c r="AA43" s="61">
        <v>3.9960000000000002E-2</v>
      </c>
      <c r="AB43" s="61">
        <v>4.4955000000000009E-2</v>
      </c>
      <c r="AC43" s="61">
        <v>4.9950000000000001E-2</v>
      </c>
      <c r="AD43" s="61">
        <v>7.4925000000000009E-3</v>
      </c>
      <c r="AE43" s="61">
        <v>4.4955000000000009E-2</v>
      </c>
      <c r="AF43" s="61">
        <v>4.9950000000000001E-2</v>
      </c>
      <c r="AG43" s="61">
        <v>1.24875E-2</v>
      </c>
      <c r="AH43" s="60">
        <v>4.62</v>
      </c>
      <c r="AI43" s="60">
        <v>0.47</v>
      </c>
      <c r="AJ43" s="60">
        <v>5.54</v>
      </c>
      <c r="AK43" s="60">
        <v>3.7</v>
      </c>
      <c r="AL43" s="60">
        <v>9.24</v>
      </c>
      <c r="AM43" s="60">
        <v>4.62</v>
      </c>
      <c r="AN43" s="60">
        <v>0.37</v>
      </c>
      <c r="AO43" s="60">
        <v>7.3949999999999996</v>
      </c>
      <c r="AP43" s="60">
        <v>8.3149999999999995</v>
      </c>
      <c r="AQ43" s="60">
        <v>9.24</v>
      </c>
      <c r="AR43" s="60">
        <v>1.385</v>
      </c>
      <c r="AS43" s="60">
        <v>8.3149999999999995</v>
      </c>
      <c r="AT43" s="60">
        <v>9.24</v>
      </c>
      <c r="AU43" s="60">
        <v>2.31</v>
      </c>
      <c r="AV43" s="62">
        <v>-6</v>
      </c>
      <c r="AW43" s="62">
        <v>-1</v>
      </c>
      <c r="AX43" s="62">
        <v>-9</v>
      </c>
      <c r="AY43" s="62">
        <v>-6</v>
      </c>
      <c r="AZ43" s="62">
        <v>-14</v>
      </c>
      <c r="BA43" s="62">
        <v>-7</v>
      </c>
      <c r="BB43" s="62">
        <v>-1</v>
      </c>
      <c r="BC43" s="62">
        <v>-5</v>
      </c>
      <c r="BD43" s="62">
        <v>-5.5</v>
      </c>
      <c r="BE43" s="62">
        <v>-6</v>
      </c>
      <c r="BF43" s="62">
        <v>-1</v>
      </c>
      <c r="BG43" s="62">
        <v>-8</v>
      </c>
      <c r="BH43" s="62">
        <v>-9</v>
      </c>
      <c r="BI43" s="62">
        <v>-2</v>
      </c>
      <c r="BJ43" s="62">
        <v>-10</v>
      </c>
      <c r="BK43" s="62">
        <v>-11</v>
      </c>
      <c r="BL43" s="62">
        <v>-12</v>
      </c>
      <c r="BM43" s="62">
        <v>-1.5</v>
      </c>
      <c r="BN43" s="62">
        <v>-12</v>
      </c>
      <c r="BO43" s="62">
        <v>-1</v>
      </c>
      <c r="BP43" s="4">
        <v>40</v>
      </c>
    </row>
    <row r="44" spans="1:68" x14ac:dyDescent="0.25">
      <c r="A44" s="4">
        <v>41</v>
      </c>
      <c r="B44" s="3" t="s">
        <v>2177</v>
      </c>
      <c r="C44" s="4">
        <v>7</v>
      </c>
      <c r="D44" s="4">
        <v>5</v>
      </c>
      <c r="E44" s="4">
        <v>50</v>
      </c>
      <c r="F44" s="61">
        <v>39.285400000000003</v>
      </c>
      <c r="G44" s="61">
        <v>4.0292000000000003</v>
      </c>
      <c r="H44" s="61">
        <v>39.700000000000003</v>
      </c>
      <c r="I44" s="61">
        <v>26.442700000000002</v>
      </c>
      <c r="J44" s="61">
        <v>66.142700000000005</v>
      </c>
      <c r="K44" s="61">
        <v>33.035400000000003</v>
      </c>
      <c r="L44" s="61">
        <v>2.6227</v>
      </c>
      <c r="M44" s="61">
        <v>52.885400000000004</v>
      </c>
      <c r="N44" s="61">
        <v>59.514050000000005</v>
      </c>
      <c r="O44" s="61">
        <v>66.106750000000005</v>
      </c>
      <c r="P44" s="61">
        <v>9.9250000000000007</v>
      </c>
      <c r="Q44" s="61">
        <v>59.514050000000005</v>
      </c>
      <c r="R44" s="61">
        <v>66.106750000000005</v>
      </c>
      <c r="S44" s="61">
        <v>16.517700000000001</v>
      </c>
      <c r="T44" s="61">
        <v>2.52E-2</v>
      </c>
      <c r="U44" s="61">
        <v>2.5760000000000002E-3</v>
      </c>
      <c r="V44" s="61">
        <v>3.0240000000000003E-2</v>
      </c>
      <c r="W44" s="61">
        <v>2.0160000000000001E-2</v>
      </c>
      <c r="X44" s="61">
        <v>5.04E-2</v>
      </c>
      <c r="Y44" s="61">
        <v>2.52E-2</v>
      </c>
      <c r="Z44" s="61">
        <v>2.016E-3</v>
      </c>
      <c r="AA44" s="61">
        <v>4.0320000000000002E-2</v>
      </c>
      <c r="AB44" s="61">
        <v>4.5360000000000004E-2</v>
      </c>
      <c r="AC44" s="61">
        <v>5.04E-2</v>
      </c>
      <c r="AD44" s="61">
        <v>7.5600000000000007E-3</v>
      </c>
      <c r="AE44" s="61">
        <v>4.5360000000000004E-2</v>
      </c>
      <c r="AF44" s="61">
        <v>5.04E-2</v>
      </c>
      <c r="AG44" s="61">
        <v>1.26E-2</v>
      </c>
      <c r="AH44" s="60">
        <v>4.66</v>
      </c>
      <c r="AI44" s="60">
        <v>0.48</v>
      </c>
      <c r="AJ44" s="60">
        <v>5.59</v>
      </c>
      <c r="AK44" s="60">
        <v>3.73</v>
      </c>
      <c r="AL44" s="60">
        <v>9.32</v>
      </c>
      <c r="AM44" s="60">
        <v>4.66</v>
      </c>
      <c r="AN44" s="60">
        <v>0.37</v>
      </c>
      <c r="AO44" s="60">
        <v>7.46</v>
      </c>
      <c r="AP44" s="60">
        <v>8.39</v>
      </c>
      <c r="AQ44" s="60">
        <v>9.3249999999999993</v>
      </c>
      <c r="AR44" s="60">
        <v>1.4</v>
      </c>
      <c r="AS44" s="60">
        <v>8.39</v>
      </c>
      <c r="AT44" s="60">
        <v>9.3249999999999993</v>
      </c>
      <c r="AU44" s="60">
        <v>2.33</v>
      </c>
      <c r="AV44" s="62">
        <v>-4</v>
      </c>
      <c r="AW44" s="62">
        <v>0</v>
      </c>
      <c r="AX44" s="62">
        <v>-7</v>
      </c>
      <c r="AY44" s="62">
        <v>-4</v>
      </c>
      <c r="AZ44" s="62">
        <v>-13</v>
      </c>
      <c r="BA44" s="62">
        <v>-5</v>
      </c>
      <c r="BB44" s="62">
        <v>0</v>
      </c>
      <c r="BC44" s="62">
        <v>-4</v>
      </c>
      <c r="BD44" s="62">
        <v>-4.5</v>
      </c>
      <c r="BE44" s="62">
        <v>-5</v>
      </c>
      <c r="BF44" s="62">
        <v>0</v>
      </c>
      <c r="BG44" s="62">
        <v>-7</v>
      </c>
      <c r="BH44" s="62">
        <v>-8</v>
      </c>
      <c r="BI44" s="62">
        <v>-1.5</v>
      </c>
      <c r="BJ44" s="62">
        <v>-9</v>
      </c>
      <c r="BK44" s="62">
        <v>-10.5</v>
      </c>
      <c r="BL44" s="62">
        <v>-11.5</v>
      </c>
      <c r="BM44" s="62">
        <v>-0.5</v>
      </c>
      <c r="BN44" s="62">
        <v>-10</v>
      </c>
      <c r="BO44" s="62">
        <v>0</v>
      </c>
      <c r="BP44" s="4">
        <v>41</v>
      </c>
    </row>
    <row r="45" spans="1:68" x14ac:dyDescent="0.25">
      <c r="A45" s="4">
        <v>42</v>
      </c>
      <c r="B45" s="3" t="s">
        <v>2178</v>
      </c>
      <c r="C45" s="4">
        <v>7</v>
      </c>
      <c r="D45" s="4">
        <v>25</v>
      </c>
      <c r="E45" s="4">
        <v>75</v>
      </c>
      <c r="F45" s="61">
        <v>2680.3584000000001</v>
      </c>
      <c r="G45" s="61">
        <v>276.9957</v>
      </c>
      <c r="H45" s="61">
        <v>3207.1499999999996</v>
      </c>
      <c r="I45" s="61">
        <v>2135.9667000000004</v>
      </c>
      <c r="J45" s="61">
        <v>5343.1167000000005</v>
      </c>
      <c r="K45" s="61">
        <v>2668.3584000000001</v>
      </c>
      <c r="L45" s="61">
        <v>211.67670000000001</v>
      </c>
      <c r="M45" s="61">
        <v>4271.9334000000008</v>
      </c>
      <c r="N45" s="61">
        <v>4807.5250500000002</v>
      </c>
      <c r="O45" s="61">
        <v>5339.9167499999994</v>
      </c>
      <c r="P45" s="61">
        <v>801.78749999999991</v>
      </c>
      <c r="Q45" s="61">
        <v>4807.5250500000002</v>
      </c>
      <c r="R45" s="61">
        <v>5339.9167499999994</v>
      </c>
      <c r="S45" s="61">
        <v>1334.1792</v>
      </c>
      <c r="T45" s="61">
        <v>2.3175000000000001E-2</v>
      </c>
      <c r="U45" s="61">
        <v>2.369E-3</v>
      </c>
      <c r="V45" s="61">
        <v>2.7810000000000001E-2</v>
      </c>
      <c r="W45" s="61">
        <v>1.8539999999999997E-2</v>
      </c>
      <c r="X45" s="61">
        <v>4.6350000000000002E-2</v>
      </c>
      <c r="Y45" s="61">
        <v>2.3175000000000001E-2</v>
      </c>
      <c r="Z45" s="61">
        <v>1.854E-3</v>
      </c>
      <c r="AA45" s="61">
        <v>3.7079999999999995E-2</v>
      </c>
      <c r="AB45" s="61">
        <v>4.1715000000000002E-2</v>
      </c>
      <c r="AC45" s="61">
        <v>4.6350000000000002E-2</v>
      </c>
      <c r="AD45" s="61">
        <v>6.9525000000000003E-3</v>
      </c>
      <c r="AE45" s="61">
        <v>4.1715000000000002E-2</v>
      </c>
      <c r="AF45" s="61">
        <v>4.6350000000000002E-2</v>
      </c>
      <c r="AG45" s="61">
        <v>1.1587500000000001E-2</v>
      </c>
      <c r="AH45" s="60">
        <v>4.29</v>
      </c>
      <c r="AI45" s="60">
        <v>0.44</v>
      </c>
      <c r="AJ45" s="60">
        <v>5.14</v>
      </c>
      <c r="AK45" s="60">
        <v>3.43</v>
      </c>
      <c r="AL45" s="60">
        <v>8.57</v>
      </c>
      <c r="AM45" s="60">
        <v>4.29</v>
      </c>
      <c r="AN45" s="60">
        <v>0.34</v>
      </c>
      <c r="AO45" s="60">
        <v>6.86</v>
      </c>
      <c r="AP45" s="60">
        <v>7.7149999999999999</v>
      </c>
      <c r="AQ45" s="60">
        <v>8.5749999999999993</v>
      </c>
      <c r="AR45" s="60">
        <v>1.2849999999999999</v>
      </c>
      <c r="AS45" s="60">
        <v>7.7149999999999999</v>
      </c>
      <c r="AT45" s="60">
        <v>8.5749999999999993</v>
      </c>
      <c r="AU45" s="60">
        <v>2.145</v>
      </c>
      <c r="AV45" s="62">
        <v>0</v>
      </c>
      <c r="AW45" s="62">
        <v>0</v>
      </c>
      <c r="AX45" s="62">
        <v>0</v>
      </c>
      <c r="AY45" s="62">
        <v>0</v>
      </c>
      <c r="AZ45" s="62">
        <v>-5</v>
      </c>
      <c r="BA45" s="62">
        <v>0</v>
      </c>
      <c r="BB45" s="62">
        <v>0</v>
      </c>
      <c r="BC45" s="62">
        <v>-0.5</v>
      </c>
      <c r="BD45" s="62">
        <v>-1</v>
      </c>
      <c r="BE45" s="62">
        <v>-1.5</v>
      </c>
      <c r="BF45" s="62">
        <v>0</v>
      </c>
      <c r="BG45" s="62">
        <v>-3</v>
      </c>
      <c r="BH45" s="62">
        <v>-4</v>
      </c>
      <c r="BI45" s="62">
        <v>0</v>
      </c>
      <c r="BJ45" s="62">
        <v>-5</v>
      </c>
      <c r="BK45" s="62">
        <v>-6</v>
      </c>
      <c r="BL45" s="62">
        <v>-7</v>
      </c>
      <c r="BM45" s="62">
        <v>0</v>
      </c>
      <c r="BN45" s="62">
        <v>-3</v>
      </c>
      <c r="BO45" s="62">
        <v>0</v>
      </c>
      <c r="BP45" s="4">
        <v>42</v>
      </c>
    </row>
    <row r="46" spans="1:68" x14ac:dyDescent="0.25">
      <c r="A46" s="4">
        <v>43</v>
      </c>
      <c r="B46" s="3" t="s">
        <v>2179</v>
      </c>
      <c r="C46" s="4">
        <v>7</v>
      </c>
      <c r="D46" s="4">
        <v>-10</v>
      </c>
      <c r="E46" s="4">
        <v>50</v>
      </c>
      <c r="F46" s="61">
        <v>7.5208000000000004</v>
      </c>
      <c r="G46" s="61">
        <v>0.75214999999999999</v>
      </c>
      <c r="H46" s="61">
        <v>3.0249999999999999</v>
      </c>
      <c r="I46" s="61">
        <v>2.0166499999999998</v>
      </c>
      <c r="J46" s="61">
        <v>5.0416499999999997</v>
      </c>
      <c r="K46" s="61">
        <v>2.5207999999999999</v>
      </c>
      <c r="L46" s="61">
        <v>0.20165000000000002</v>
      </c>
      <c r="M46" s="61">
        <v>4.0332999999999997</v>
      </c>
      <c r="N46" s="61">
        <v>4.5374749999999997</v>
      </c>
      <c r="O46" s="61">
        <v>5.0416249999999998</v>
      </c>
      <c r="P46" s="61">
        <v>0.75624999999999998</v>
      </c>
      <c r="Q46" s="61">
        <v>4.5374749999999997</v>
      </c>
      <c r="R46" s="61">
        <v>5.0416249999999998</v>
      </c>
      <c r="S46" s="61">
        <v>1.2604</v>
      </c>
      <c r="T46" s="61">
        <v>6.9749999999999994E-3</v>
      </c>
      <c r="U46" s="61">
        <v>7.1299999999999998E-4</v>
      </c>
      <c r="V46" s="61">
        <v>8.3700000000000007E-3</v>
      </c>
      <c r="W46" s="61">
        <v>5.5799999999999999E-3</v>
      </c>
      <c r="X46" s="61">
        <v>1.3949999999999999E-2</v>
      </c>
      <c r="Y46" s="61">
        <v>6.9749999999999994E-3</v>
      </c>
      <c r="Z46" s="61">
        <v>5.5800000000000001E-4</v>
      </c>
      <c r="AA46" s="61">
        <v>1.116E-2</v>
      </c>
      <c r="AB46" s="61">
        <v>1.2555E-2</v>
      </c>
      <c r="AC46" s="61">
        <v>1.3949999999999999E-2</v>
      </c>
      <c r="AD46" s="61">
        <v>2.0925000000000002E-3</v>
      </c>
      <c r="AE46" s="61">
        <v>1.2555E-2</v>
      </c>
      <c r="AF46" s="61">
        <v>1.3949999999999999E-2</v>
      </c>
      <c r="AG46" s="61">
        <v>3.4874999999999997E-3</v>
      </c>
      <c r="AH46" s="60">
        <v>1.29</v>
      </c>
      <c r="AI46" s="60">
        <v>0.13</v>
      </c>
      <c r="AJ46" s="60">
        <v>1.55</v>
      </c>
      <c r="AK46" s="60">
        <v>1.03</v>
      </c>
      <c r="AL46" s="60">
        <v>2.58</v>
      </c>
      <c r="AM46" s="60">
        <v>1.29</v>
      </c>
      <c r="AN46" s="60">
        <v>0.1</v>
      </c>
      <c r="AO46" s="60">
        <v>2.0649999999999999</v>
      </c>
      <c r="AP46" s="60">
        <v>2.3250000000000002</v>
      </c>
      <c r="AQ46" s="60">
        <v>2.58</v>
      </c>
      <c r="AR46" s="60">
        <v>0.38500000000000001</v>
      </c>
      <c r="AS46" s="60">
        <v>2.3250000000000002</v>
      </c>
      <c r="AT46" s="60">
        <v>2.58</v>
      </c>
      <c r="AU46" s="60">
        <v>0.64500000000000002</v>
      </c>
      <c r="AV46" s="62">
        <v>-3</v>
      </c>
      <c r="AW46" s="62">
        <v>-1</v>
      </c>
      <c r="AX46" s="62">
        <v>-4</v>
      </c>
      <c r="AY46" s="62">
        <v>-3</v>
      </c>
      <c r="AZ46" s="62">
        <v>-5</v>
      </c>
      <c r="BA46" s="62">
        <v>-3</v>
      </c>
      <c r="BB46" s="62">
        <v>-1</v>
      </c>
      <c r="BC46" s="62">
        <v>-2</v>
      </c>
      <c r="BD46" s="62">
        <v>-2</v>
      </c>
      <c r="BE46" s="62">
        <v>-2</v>
      </c>
      <c r="BF46" s="62">
        <v>-1</v>
      </c>
      <c r="BG46" s="62">
        <v>-2.5</v>
      </c>
      <c r="BH46" s="62">
        <v>-3</v>
      </c>
      <c r="BI46" s="62">
        <v>-1</v>
      </c>
      <c r="BJ46" s="62">
        <v>-3.5</v>
      </c>
      <c r="BK46" s="62">
        <v>-3.5</v>
      </c>
      <c r="BL46" s="62">
        <v>-4</v>
      </c>
      <c r="BM46" s="62">
        <v>-1</v>
      </c>
      <c r="BN46" s="62">
        <v>-4</v>
      </c>
      <c r="BO46" s="62">
        <v>-1</v>
      </c>
      <c r="BP46" s="4">
        <v>43</v>
      </c>
    </row>
    <row r="47" spans="1:68" x14ac:dyDescent="0.25">
      <c r="A47" s="4">
        <v>44</v>
      </c>
      <c r="B47" s="3" t="s">
        <v>2180</v>
      </c>
      <c r="C47" s="4">
        <v>7</v>
      </c>
      <c r="D47" s="4">
        <v>0</v>
      </c>
      <c r="E47" s="4">
        <v>75</v>
      </c>
      <c r="F47" s="61">
        <v>75</v>
      </c>
      <c r="G47" s="61">
        <v>7.5</v>
      </c>
      <c r="H47" s="61">
        <v>30</v>
      </c>
      <c r="I47" s="61">
        <v>20</v>
      </c>
      <c r="J47" s="61">
        <v>50</v>
      </c>
      <c r="K47" s="61">
        <v>25</v>
      </c>
      <c r="L47" s="61">
        <v>2</v>
      </c>
      <c r="M47" s="61">
        <v>40</v>
      </c>
      <c r="N47" s="61">
        <v>45</v>
      </c>
      <c r="O47" s="61">
        <v>50</v>
      </c>
      <c r="P47" s="61">
        <v>7.5</v>
      </c>
      <c r="Q47" s="61">
        <v>45</v>
      </c>
      <c r="R47" s="61">
        <v>50</v>
      </c>
      <c r="S47" s="61">
        <v>12.5</v>
      </c>
      <c r="T47" s="61">
        <v>1.7999999999999999E-2</v>
      </c>
      <c r="U47" s="61">
        <v>1.8400000000000001E-3</v>
      </c>
      <c r="V47" s="61">
        <v>2.1600000000000001E-2</v>
      </c>
      <c r="W47" s="61">
        <v>1.44E-2</v>
      </c>
      <c r="X47" s="61">
        <v>3.5999999999999997E-2</v>
      </c>
      <c r="Y47" s="61">
        <v>1.7999999999999999E-2</v>
      </c>
      <c r="Z47" s="61">
        <v>1.4400000000000001E-3</v>
      </c>
      <c r="AA47" s="61">
        <v>2.8799999999999999E-2</v>
      </c>
      <c r="AB47" s="61">
        <v>3.2400000000000005E-2</v>
      </c>
      <c r="AC47" s="61">
        <v>3.5999999999999997E-2</v>
      </c>
      <c r="AD47" s="61">
        <v>5.4000000000000003E-3</v>
      </c>
      <c r="AE47" s="61">
        <v>3.2400000000000005E-2</v>
      </c>
      <c r="AF47" s="61">
        <v>3.5999999999999997E-2</v>
      </c>
      <c r="AG47" s="61">
        <v>8.9999999999999993E-3</v>
      </c>
      <c r="AH47" s="60">
        <v>3.33</v>
      </c>
      <c r="AI47" s="60">
        <v>0.34</v>
      </c>
      <c r="AJ47" s="60">
        <v>4</v>
      </c>
      <c r="AK47" s="60">
        <v>2.66</v>
      </c>
      <c r="AL47" s="60">
        <v>6.66</v>
      </c>
      <c r="AM47" s="60">
        <v>3.33</v>
      </c>
      <c r="AN47" s="60">
        <v>0.27</v>
      </c>
      <c r="AO47" s="60">
        <v>5.33</v>
      </c>
      <c r="AP47" s="60">
        <v>5.9950000000000001</v>
      </c>
      <c r="AQ47" s="60">
        <v>6.66</v>
      </c>
      <c r="AR47" s="60">
        <v>1</v>
      </c>
      <c r="AS47" s="60">
        <v>5.9950000000000001</v>
      </c>
      <c r="AT47" s="60">
        <v>6.66</v>
      </c>
      <c r="AU47" s="60">
        <v>1.665</v>
      </c>
      <c r="AV47" s="62">
        <v>-4</v>
      </c>
      <c r="AW47" s="62">
        <v>-1</v>
      </c>
      <c r="AX47" s="62">
        <v>-6</v>
      </c>
      <c r="AY47" s="62">
        <v>-4</v>
      </c>
      <c r="AZ47" s="62">
        <v>-10</v>
      </c>
      <c r="BA47" s="62">
        <v>-5</v>
      </c>
      <c r="BB47" s="62">
        <v>-1</v>
      </c>
      <c r="BC47" s="62">
        <v>-3.5</v>
      </c>
      <c r="BD47" s="62">
        <v>-4</v>
      </c>
      <c r="BE47" s="62">
        <v>-4.5</v>
      </c>
      <c r="BF47" s="62">
        <v>-1</v>
      </c>
      <c r="BG47" s="62">
        <v>-5.5</v>
      </c>
      <c r="BH47" s="62">
        <v>-6.5</v>
      </c>
      <c r="BI47" s="62">
        <v>-1.5</v>
      </c>
      <c r="BJ47" s="62">
        <v>-7</v>
      </c>
      <c r="BK47" s="62">
        <v>-8</v>
      </c>
      <c r="BL47" s="62">
        <v>-9</v>
      </c>
      <c r="BM47" s="62">
        <v>-1</v>
      </c>
      <c r="BN47" s="62">
        <v>-9</v>
      </c>
      <c r="BO47" s="62">
        <v>-1</v>
      </c>
      <c r="BP47" s="4">
        <v>44</v>
      </c>
    </row>
    <row r="48" spans="1:68" x14ac:dyDescent="0.25">
      <c r="A48" s="4">
        <v>45</v>
      </c>
      <c r="B48" s="3" t="s">
        <v>2181</v>
      </c>
      <c r="C48" s="4">
        <v>7</v>
      </c>
      <c r="D48" s="4">
        <v>-50</v>
      </c>
      <c r="E48" s="4">
        <v>20</v>
      </c>
      <c r="F48" s="61">
        <v>7.48752</v>
      </c>
      <c r="G48" s="61">
        <v>0.74870999999999999</v>
      </c>
      <c r="H48" s="61">
        <v>2.9849999999999999</v>
      </c>
      <c r="I48" s="61">
        <v>1.9900100000000001</v>
      </c>
      <c r="J48" s="61">
        <v>4.9750100000000002</v>
      </c>
      <c r="K48" s="61">
        <v>2.48752</v>
      </c>
      <c r="L48" s="61">
        <v>0.19901000000000002</v>
      </c>
      <c r="M48" s="61">
        <v>3.9800200000000001</v>
      </c>
      <c r="N48" s="61">
        <v>4.4775150000000004</v>
      </c>
      <c r="O48" s="61">
        <v>4.9750249999999996</v>
      </c>
      <c r="P48" s="61">
        <v>0.74624999999999997</v>
      </c>
      <c r="Q48" s="61">
        <v>4.4775150000000004</v>
      </c>
      <c r="R48" s="61">
        <v>4.9750249999999996</v>
      </c>
      <c r="S48" s="61">
        <v>1.24376</v>
      </c>
      <c r="T48" s="61">
        <v>1.3499999999999999E-3</v>
      </c>
      <c r="U48" s="61">
        <v>1.3799999999999999E-4</v>
      </c>
      <c r="V48" s="61">
        <v>1.6199999999999999E-3</v>
      </c>
      <c r="W48" s="61">
        <v>1.0799999999999998E-3</v>
      </c>
      <c r="X48" s="61">
        <v>2.6999999999999997E-3</v>
      </c>
      <c r="Y48" s="61">
        <v>1.3499999999999999E-3</v>
      </c>
      <c r="Z48" s="61">
        <v>1.08E-4</v>
      </c>
      <c r="AA48" s="61">
        <v>2.1599999999999996E-3</v>
      </c>
      <c r="AB48" s="61">
        <v>2.4299999999999999E-3</v>
      </c>
      <c r="AC48" s="61">
        <v>2.6999999999999997E-3</v>
      </c>
      <c r="AD48" s="61">
        <v>4.0499999999999998E-4</v>
      </c>
      <c r="AE48" s="61">
        <v>2.4299999999999999E-3</v>
      </c>
      <c r="AF48" s="61">
        <v>2.6999999999999997E-3</v>
      </c>
      <c r="AG48" s="61">
        <v>6.7499999999999993E-4</v>
      </c>
      <c r="AH48" s="60">
        <v>0.25</v>
      </c>
      <c r="AI48" s="60">
        <v>0.03</v>
      </c>
      <c r="AJ48" s="60">
        <v>0.3</v>
      </c>
      <c r="AK48" s="60">
        <v>0.2</v>
      </c>
      <c r="AL48" s="60">
        <v>0.5</v>
      </c>
      <c r="AM48" s="60">
        <v>0.25</v>
      </c>
      <c r="AN48" s="60">
        <v>0.02</v>
      </c>
      <c r="AO48" s="60">
        <v>0.4</v>
      </c>
      <c r="AP48" s="60">
        <v>0.45</v>
      </c>
      <c r="AQ48" s="60">
        <v>0.5</v>
      </c>
      <c r="AR48" s="60">
        <v>7.4999999999999997E-2</v>
      </c>
      <c r="AS48" s="60">
        <v>0.45</v>
      </c>
      <c r="AT48" s="60">
        <v>0.5</v>
      </c>
      <c r="AU48" s="60">
        <v>0.125</v>
      </c>
      <c r="AV48" s="62">
        <v>-1</v>
      </c>
      <c r="AW48" s="62">
        <v>-1</v>
      </c>
      <c r="AX48" s="62">
        <v>-1</v>
      </c>
      <c r="AY48" s="62">
        <v>-1</v>
      </c>
      <c r="AZ48" s="62">
        <v>-2</v>
      </c>
      <c r="BA48" s="62">
        <v>-1</v>
      </c>
      <c r="BB48" s="62">
        <v>-1</v>
      </c>
      <c r="BC48" s="62">
        <v>-1</v>
      </c>
      <c r="BD48" s="62">
        <v>-1</v>
      </c>
      <c r="BE48" s="62">
        <v>-1</v>
      </c>
      <c r="BF48" s="62">
        <v>-0.5</v>
      </c>
      <c r="BG48" s="62">
        <v>-1</v>
      </c>
      <c r="BH48" s="62">
        <v>-1</v>
      </c>
      <c r="BI48" s="62">
        <v>-0.5</v>
      </c>
      <c r="BJ48" s="62">
        <v>-1</v>
      </c>
      <c r="BK48" s="62">
        <v>-1</v>
      </c>
      <c r="BL48" s="62">
        <v>-1</v>
      </c>
      <c r="BM48" s="62">
        <v>-0.5</v>
      </c>
      <c r="BN48" s="62">
        <v>-2</v>
      </c>
      <c r="BO48" s="62">
        <v>-1</v>
      </c>
      <c r="BP48" s="4">
        <v>45</v>
      </c>
    </row>
    <row r="49" spans="1:68" x14ac:dyDescent="0.25">
      <c r="A49" s="4">
        <v>46</v>
      </c>
      <c r="B49" s="3" t="s">
        <v>2182</v>
      </c>
      <c r="C49" s="4">
        <v>7</v>
      </c>
      <c r="D49" s="4">
        <v>-30</v>
      </c>
      <c r="E49" s="4">
        <v>20</v>
      </c>
      <c r="F49" s="61">
        <v>7.48752</v>
      </c>
      <c r="G49" s="61">
        <v>0.74870999999999999</v>
      </c>
      <c r="H49" s="61">
        <v>2.9849999999999999</v>
      </c>
      <c r="I49" s="61">
        <v>1.9900100000000001</v>
      </c>
      <c r="J49" s="61">
        <v>4.9750100000000002</v>
      </c>
      <c r="K49" s="61">
        <v>2.48752</v>
      </c>
      <c r="L49" s="61">
        <v>0.19901000000000002</v>
      </c>
      <c r="M49" s="61">
        <v>3.9800200000000001</v>
      </c>
      <c r="N49" s="61">
        <v>4.4775150000000004</v>
      </c>
      <c r="O49" s="61">
        <v>4.9750249999999996</v>
      </c>
      <c r="P49" s="61">
        <v>0.74624999999999997</v>
      </c>
      <c r="Q49" s="61">
        <v>4.4775150000000004</v>
      </c>
      <c r="R49" s="61">
        <v>4.9750249999999996</v>
      </c>
      <c r="S49" s="61">
        <v>1.24376</v>
      </c>
      <c r="T49" s="61">
        <v>1.1249999999999999E-3</v>
      </c>
      <c r="U49" s="61">
        <v>1.15E-4</v>
      </c>
      <c r="V49" s="61">
        <v>1.3500000000000001E-3</v>
      </c>
      <c r="W49" s="61">
        <v>8.9999999999999998E-4</v>
      </c>
      <c r="X49" s="61">
        <v>2.2499999999999998E-3</v>
      </c>
      <c r="Y49" s="61">
        <v>1.1249999999999999E-3</v>
      </c>
      <c r="Z49" s="61">
        <v>9.0000000000000006E-5</v>
      </c>
      <c r="AA49" s="61">
        <v>1.8E-3</v>
      </c>
      <c r="AB49" s="61">
        <v>2.0250000000000003E-3</v>
      </c>
      <c r="AC49" s="61">
        <v>2.2499999999999998E-3</v>
      </c>
      <c r="AD49" s="61">
        <v>3.3750000000000002E-4</v>
      </c>
      <c r="AE49" s="61">
        <v>2.0250000000000003E-3</v>
      </c>
      <c r="AF49" s="61">
        <v>2.2499999999999998E-3</v>
      </c>
      <c r="AG49" s="61">
        <v>5.6249999999999996E-4</v>
      </c>
      <c r="AH49" s="60">
        <v>0.21</v>
      </c>
      <c r="AI49" s="60">
        <v>0.02</v>
      </c>
      <c r="AJ49" s="60">
        <v>0.25</v>
      </c>
      <c r="AK49" s="60">
        <v>0.17</v>
      </c>
      <c r="AL49" s="60">
        <v>0.42</v>
      </c>
      <c r="AM49" s="60">
        <v>0.21</v>
      </c>
      <c r="AN49" s="60">
        <v>0.02</v>
      </c>
      <c r="AO49" s="60">
        <v>0.33500000000000002</v>
      </c>
      <c r="AP49" s="60">
        <v>0.375</v>
      </c>
      <c r="AQ49" s="60">
        <v>0.41499999999999998</v>
      </c>
      <c r="AR49" s="60">
        <v>0.06</v>
      </c>
      <c r="AS49" s="60">
        <v>0.375</v>
      </c>
      <c r="AT49" s="60">
        <v>0.41499999999999998</v>
      </c>
      <c r="AU49" s="60">
        <v>0.105</v>
      </c>
      <c r="AV49" s="62">
        <v>-1</v>
      </c>
      <c r="AW49" s="62">
        <v>-1</v>
      </c>
      <c r="AX49" s="62">
        <v>-1</v>
      </c>
      <c r="AY49" s="62">
        <v>-1</v>
      </c>
      <c r="AZ49" s="62">
        <v>-1</v>
      </c>
      <c r="BA49" s="62">
        <v>-1</v>
      </c>
      <c r="BB49" s="62">
        <v>-1</v>
      </c>
      <c r="BC49" s="62">
        <v>-0.5</v>
      </c>
      <c r="BD49" s="62">
        <v>-0.5</v>
      </c>
      <c r="BE49" s="62">
        <v>-0.5</v>
      </c>
      <c r="BF49" s="62">
        <v>-0.5</v>
      </c>
      <c r="BG49" s="62">
        <v>-0.5</v>
      </c>
      <c r="BH49" s="62">
        <v>-0.5</v>
      </c>
      <c r="BI49" s="62">
        <v>-0.5</v>
      </c>
      <c r="BJ49" s="62">
        <v>-0.5</v>
      </c>
      <c r="BK49" s="62">
        <v>-1</v>
      </c>
      <c r="BL49" s="62">
        <v>-1</v>
      </c>
      <c r="BM49" s="62">
        <v>-0.5</v>
      </c>
      <c r="BN49" s="62">
        <v>-1</v>
      </c>
      <c r="BO49" s="62">
        <v>-1</v>
      </c>
      <c r="BP49" s="4">
        <v>46</v>
      </c>
    </row>
    <row r="50" spans="1:68" x14ac:dyDescent="0.25">
      <c r="A50" s="4">
        <v>47</v>
      </c>
      <c r="B50" s="3" t="s">
        <v>2183</v>
      </c>
      <c r="C50" s="4">
        <v>7</v>
      </c>
      <c r="D50" s="4">
        <v>-20</v>
      </c>
      <c r="E50" s="4">
        <v>50</v>
      </c>
      <c r="F50" s="61">
        <v>7.48752</v>
      </c>
      <c r="G50" s="61">
        <v>0.74870999999999999</v>
      </c>
      <c r="H50" s="61">
        <v>2.9849999999999999</v>
      </c>
      <c r="I50" s="61">
        <v>1.9900100000000001</v>
      </c>
      <c r="J50" s="61">
        <v>4.9750100000000002</v>
      </c>
      <c r="K50" s="61">
        <v>2.48752</v>
      </c>
      <c r="L50" s="61">
        <v>0.19901000000000002</v>
      </c>
      <c r="M50" s="61">
        <v>3.9800200000000001</v>
      </c>
      <c r="N50" s="61">
        <v>4.4775150000000004</v>
      </c>
      <c r="O50" s="61">
        <v>4.9750249999999996</v>
      </c>
      <c r="P50" s="61">
        <v>0.74624999999999997</v>
      </c>
      <c r="Q50" s="61">
        <v>4.4775150000000004</v>
      </c>
      <c r="R50" s="61">
        <v>4.9750249999999996</v>
      </c>
      <c r="S50" s="61">
        <v>1.24376</v>
      </c>
      <c r="T50" s="61">
        <v>2.2499999999999998E-3</v>
      </c>
      <c r="U50" s="61">
        <v>2.3000000000000001E-4</v>
      </c>
      <c r="V50" s="61">
        <v>2.7000000000000001E-3</v>
      </c>
      <c r="W50" s="61">
        <v>1.8E-3</v>
      </c>
      <c r="X50" s="61">
        <v>4.4999999999999997E-3</v>
      </c>
      <c r="Y50" s="61">
        <v>2.2499999999999998E-3</v>
      </c>
      <c r="Z50" s="61">
        <v>1.8000000000000001E-4</v>
      </c>
      <c r="AA50" s="61">
        <v>3.5999999999999999E-3</v>
      </c>
      <c r="AB50" s="61">
        <v>4.0500000000000006E-3</v>
      </c>
      <c r="AC50" s="61">
        <v>4.4999999999999997E-3</v>
      </c>
      <c r="AD50" s="61">
        <v>6.7500000000000004E-4</v>
      </c>
      <c r="AE50" s="61">
        <v>4.0500000000000006E-3</v>
      </c>
      <c r="AF50" s="61">
        <v>4.4999999999999997E-3</v>
      </c>
      <c r="AG50" s="61">
        <v>1.1249999999999999E-3</v>
      </c>
      <c r="AH50" s="60">
        <v>0.42</v>
      </c>
      <c r="AI50" s="60">
        <v>0.04</v>
      </c>
      <c r="AJ50" s="60">
        <v>0.5</v>
      </c>
      <c r="AK50" s="60">
        <v>0.33</v>
      </c>
      <c r="AL50" s="60">
        <v>0.83</v>
      </c>
      <c r="AM50" s="60">
        <v>0.42</v>
      </c>
      <c r="AN50" s="60">
        <v>0.03</v>
      </c>
      <c r="AO50" s="60">
        <v>0.66500000000000004</v>
      </c>
      <c r="AP50" s="60">
        <v>0.75</v>
      </c>
      <c r="AQ50" s="60">
        <v>0.83499999999999996</v>
      </c>
      <c r="AR50" s="60">
        <v>0.125</v>
      </c>
      <c r="AS50" s="60">
        <v>0.75</v>
      </c>
      <c r="AT50" s="60">
        <v>0.83499999999999996</v>
      </c>
      <c r="AU50" s="60">
        <v>0.21</v>
      </c>
      <c r="AV50" s="62">
        <v>-1</v>
      </c>
      <c r="AW50" s="62">
        <v>-1</v>
      </c>
      <c r="AX50" s="62">
        <v>-1</v>
      </c>
      <c r="AY50" s="62">
        <v>-1</v>
      </c>
      <c r="AZ50" s="62">
        <v>-2</v>
      </c>
      <c r="BA50" s="62">
        <v>-1</v>
      </c>
      <c r="BB50" s="62">
        <v>-1</v>
      </c>
      <c r="BC50" s="62">
        <v>-1</v>
      </c>
      <c r="BD50" s="62">
        <v>-1</v>
      </c>
      <c r="BE50" s="62">
        <v>-1</v>
      </c>
      <c r="BF50" s="62">
        <v>-0.5</v>
      </c>
      <c r="BG50" s="62">
        <v>-1</v>
      </c>
      <c r="BH50" s="62">
        <v>-1</v>
      </c>
      <c r="BI50" s="62">
        <v>-0.5</v>
      </c>
      <c r="BJ50" s="62">
        <v>-1</v>
      </c>
      <c r="BK50" s="62">
        <v>-1.5</v>
      </c>
      <c r="BL50" s="62">
        <v>-1.5</v>
      </c>
      <c r="BM50" s="62">
        <v>-0.5</v>
      </c>
      <c r="BN50" s="62">
        <v>-2</v>
      </c>
      <c r="BO50" s="62">
        <v>-1</v>
      </c>
      <c r="BP50" s="4">
        <v>47</v>
      </c>
    </row>
    <row r="51" spans="1:68" x14ac:dyDescent="0.25">
      <c r="A51" s="4">
        <v>48</v>
      </c>
      <c r="B51" s="3" t="s">
        <v>2184</v>
      </c>
      <c r="C51" s="4">
        <v>7</v>
      </c>
      <c r="D51" s="4">
        <v>-15</v>
      </c>
      <c r="E51" s="4">
        <v>60</v>
      </c>
      <c r="F51" s="61">
        <v>8.2395999999999994</v>
      </c>
      <c r="G51" s="61">
        <v>0.82392500000000002</v>
      </c>
      <c r="H51" s="61">
        <v>3.2875000000000001</v>
      </c>
      <c r="I51" s="61">
        <v>2.191675</v>
      </c>
      <c r="J51" s="61">
        <v>5.4791749999999997</v>
      </c>
      <c r="K51" s="61">
        <v>2.7395999999999998</v>
      </c>
      <c r="L51" s="61">
        <v>0.21917500000000004</v>
      </c>
      <c r="M51" s="61">
        <v>4.3833500000000001</v>
      </c>
      <c r="N51" s="61">
        <v>4.9312624999999999</v>
      </c>
      <c r="O51" s="61">
        <v>5.4791875000000001</v>
      </c>
      <c r="P51" s="61">
        <v>0.82187500000000002</v>
      </c>
      <c r="Q51" s="61">
        <v>4.9312624999999999</v>
      </c>
      <c r="R51" s="61">
        <v>5.4791875000000001</v>
      </c>
      <c r="S51" s="61">
        <v>1.3697999999999999</v>
      </c>
      <c r="T51" s="61">
        <v>2.2274999999999999E-3</v>
      </c>
      <c r="U51" s="61">
        <v>2.2770000000000001E-4</v>
      </c>
      <c r="V51" s="61">
        <v>2.673E-3</v>
      </c>
      <c r="W51" s="61">
        <v>1.7819999999999999E-3</v>
      </c>
      <c r="X51" s="61">
        <v>4.4549999999999998E-3</v>
      </c>
      <c r="Y51" s="61">
        <v>2.2274999999999999E-3</v>
      </c>
      <c r="Z51" s="61">
        <v>1.7819999999999999E-4</v>
      </c>
      <c r="AA51" s="61">
        <v>3.5639999999999999E-3</v>
      </c>
      <c r="AB51" s="61">
        <v>4.0095E-3</v>
      </c>
      <c r="AC51" s="61">
        <v>4.4549999999999998E-3</v>
      </c>
      <c r="AD51" s="61">
        <v>6.6825000000000001E-4</v>
      </c>
      <c r="AE51" s="61">
        <v>4.0095E-3</v>
      </c>
      <c r="AF51" s="61">
        <v>4.4549999999999998E-3</v>
      </c>
      <c r="AG51" s="61">
        <v>1.1137499999999999E-3</v>
      </c>
      <c r="AH51" s="60">
        <v>0.41</v>
      </c>
      <c r="AI51" s="60">
        <v>0.04</v>
      </c>
      <c r="AJ51" s="60">
        <v>0.49</v>
      </c>
      <c r="AK51" s="60">
        <v>0.33</v>
      </c>
      <c r="AL51" s="60">
        <v>0.82</v>
      </c>
      <c r="AM51" s="60">
        <v>0.41</v>
      </c>
      <c r="AN51" s="60">
        <v>0.03</v>
      </c>
      <c r="AO51" s="60">
        <v>0.66</v>
      </c>
      <c r="AP51" s="60">
        <v>0.74</v>
      </c>
      <c r="AQ51" s="60">
        <v>0.82499999999999996</v>
      </c>
      <c r="AR51" s="60">
        <v>0.125</v>
      </c>
      <c r="AS51" s="60">
        <v>0.74</v>
      </c>
      <c r="AT51" s="60">
        <v>0.82499999999999996</v>
      </c>
      <c r="AU51" s="60">
        <v>0.20499999999999999</v>
      </c>
      <c r="AV51" s="62">
        <v>-1</v>
      </c>
      <c r="AW51" s="62">
        <v>-1</v>
      </c>
      <c r="AX51" s="62">
        <v>-1</v>
      </c>
      <c r="AY51" s="62">
        <v>-1</v>
      </c>
      <c r="AZ51" s="62">
        <v>-2</v>
      </c>
      <c r="BA51" s="62">
        <v>-1</v>
      </c>
      <c r="BB51" s="62">
        <v>-1</v>
      </c>
      <c r="BC51" s="62">
        <v>-0.5</v>
      </c>
      <c r="BD51" s="62">
        <v>-0.5</v>
      </c>
      <c r="BE51" s="62">
        <v>-1</v>
      </c>
      <c r="BF51" s="62">
        <v>-0.5</v>
      </c>
      <c r="BG51" s="62">
        <v>-1</v>
      </c>
      <c r="BH51" s="62">
        <v>-1</v>
      </c>
      <c r="BI51" s="62">
        <v>-0.5</v>
      </c>
      <c r="BJ51" s="62">
        <v>-1</v>
      </c>
      <c r="BK51" s="62">
        <v>-1</v>
      </c>
      <c r="BL51" s="62">
        <v>-1.5</v>
      </c>
      <c r="BM51" s="62">
        <v>-0.5</v>
      </c>
      <c r="BN51" s="62">
        <v>-2</v>
      </c>
      <c r="BO51" s="62">
        <v>-1</v>
      </c>
      <c r="BP51" s="4">
        <v>48</v>
      </c>
    </row>
    <row r="52" spans="1:68" x14ac:dyDescent="0.25">
      <c r="A52" s="4">
        <v>49</v>
      </c>
      <c r="B52" s="3" t="s">
        <v>2185</v>
      </c>
      <c r="C52" s="4">
        <v>7</v>
      </c>
      <c r="D52" s="4">
        <v>-10</v>
      </c>
      <c r="E52" s="4">
        <v>70</v>
      </c>
      <c r="F52" s="61">
        <v>8.9916800000000006</v>
      </c>
      <c r="G52" s="61">
        <v>0.89913999999999994</v>
      </c>
      <c r="H52" s="61">
        <v>3.59</v>
      </c>
      <c r="I52" s="61">
        <v>2.3933399999999998</v>
      </c>
      <c r="J52" s="61">
        <v>5.9833400000000001</v>
      </c>
      <c r="K52" s="61">
        <v>2.9916800000000001</v>
      </c>
      <c r="L52" s="61">
        <v>0.23934</v>
      </c>
      <c r="M52" s="61">
        <v>4.7866799999999996</v>
      </c>
      <c r="N52" s="61">
        <v>5.3850099999999994</v>
      </c>
      <c r="O52" s="61">
        <v>5.9833499999999997</v>
      </c>
      <c r="P52" s="61">
        <v>0.89749999999999996</v>
      </c>
      <c r="Q52" s="61">
        <v>5.3850099999999994</v>
      </c>
      <c r="R52" s="61">
        <v>5.9833499999999997</v>
      </c>
      <c r="S52" s="61">
        <v>1.4958400000000001</v>
      </c>
      <c r="T52" s="61">
        <v>2.2274999999999999E-3</v>
      </c>
      <c r="U52" s="61">
        <v>2.2770000000000001E-4</v>
      </c>
      <c r="V52" s="61">
        <v>2.673E-3</v>
      </c>
      <c r="W52" s="61">
        <v>1.7819999999999999E-3</v>
      </c>
      <c r="X52" s="61">
        <v>4.4549999999999998E-3</v>
      </c>
      <c r="Y52" s="61">
        <v>2.2274999999999999E-3</v>
      </c>
      <c r="Z52" s="61">
        <v>1.7819999999999999E-4</v>
      </c>
      <c r="AA52" s="61">
        <v>3.5639999999999999E-3</v>
      </c>
      <c r="AB52" s="61">
        <v>4.0095E-3</v>
      </c>
      <c r="AC52" s="61">
        <v>4.4549999999999998E-3</v>
      </c>
      <c r="AD52" s="61">
        <v>6.6825000000000001E-4</v>
      </c>
      <c r="AE52" s="61">
        <v>4.0095E-3</v>
      </c>
      <c r="AF52" s="61">
        <v>4.4549999999999998E-3</v>
      </c>
      <c r="AG52" s="61">
        <v>1.1137499999999999E-3</v>
      </c>
      <c r="AH52" s="60">
        <v>0.41</v>
      </c>
      <c r="AI52" s="60">
        <v>0.04</v>
      </c>
      <c r="AJ52" s="60">
        <v>0.49</v>
      </c>
      <c r="AK52" s="60">
        <v>0.33</v>
      </c>
      <c r="AL52" s="60">
        <v>0.82</v>
      </c>
      <c r="AM52" s="60">
        <v>0.41</v>
      </c>
      <c r="AN52" s="60">
        <v>0.03</v>
      </c>
      <c r="AO52" s="60">
        <v>0.66</v>
      </c>
      <c r="AP52" s="60">
        <v>0.74</v>
      </c>
      <c r="AQ52" s="60">
        <v>0.82499999999999996</v>
      </c>
      <c r="AR52" s="60">
        <v>0.125</v>
      </c>
      <c r="AS52" s="60">
        <v>0.74</v>
      </c>
      <c r="AT52" s="60">
        <v>0.82499999999999996</v>
      </c>
      <c r="AU52" s="60">
        <v>0.20499999999999999</v>
      </c>
      <c r="AV52" s="62">
        <v>-1</v>
      </c>
      <c r="AW52" s="62">
        <v>0</v>
      </c>
      <c r="AX52" s="62">
        <v>-1</v>
      </c>
      <c r="AY52" s="62">
        <v>-1</v>
      </c>
      <c r="AZ52" s="62">
        <v>-2</v>
      </c>
      <c r="BA52" s="62">
        <v>-1</v>
      </c>
      <c r="BB52" s="62">
        <v>0</v>
      </c>
      <c r="BC52" s="62">
        <v>-0.5</v>
      </c>
      <c r="BD52" s="62">
        <v>-0.5</v>
      </c>
      <c r="BE52" s="62">
        <v>-0.5</v>
      </c>
      <c r="BF52" s="62">
        <v>-0.5</v>
      </c>
      <c r="BG52" s="62">
        <v>-1</v>
      </c>
      <c r="BH52" s="62">
        <v>-1</v>
      </c>
      <c r="BI52" s="62">
        <v>-0.5</v>
      </c>
      <c r="BJ52" s="62">
        <v>-1</v>
      </c>
      <c r="BK52" s="62">
        <v>-1</v>
      </c>
      <c r="BL52" s="62">
        <v>-1.5</v>
      </c>
      <c r="BM52" s="62">
        <v>-0.5</v>
      </c>
      <c r="BN52" s="62">
        <v>-1</v>
      </c>
      <c r="BO52" s="62">
        <v>0</v>
      </c>
      <c r="BP52" s="4">
        <v>49</v>
      </c>
    </row>
    <row r="53" spans="1:68" x14ac:dyDescent="0.25">
      <c r="A53" s="4">
        <v>50</v>
      </c>
      <c r="B53" s="3" t="s">
        <v>2186</v>
      </c>
      <c r="C53" s="4">
        <v>8</v>
      </c>
      <c r="D53" s="4">
        <v>0</v>
      </c>
      <c r="E53" s="4">
        <v>55</v>
      </c>
      <c r="F53" s="61">
        <v>11.25</v>
      </c>
      <c r="G53" s="61">
        <v>1.1299999999999999</v>
      </c>
      <c r="H53" s="61">
        <v>4.5</v>
      </c>
      <c r="I53" s="61">
        <v>3</v>
      </c>
      <c r="J53" s="61">
        <v>7.5</v>
      </c>
      <c r="K53" s="61">
        <v>3.75</v>
      </c>
      <c r="L53" s="61">
        <v>0.3</v>
      </c>
      <c r="M53" s="61">
        <v>6</v>
      </c>
      <c r="N53" s="61">
        <v>6.75</v>
      </c>
      <c r="O53" s="61">
        <v>7.5</v>
      </c>
      <c r="P53" s="61">
        <v>1.125</v>
      </c>
      <c r="Q53" s="61">
        <v>6.75</v>
      </c>
      <c r="R53" s="61">
        <v>7.5</v>
      </c>
      <c r="S53" s="61">
        <v>1.875</v>
      </c>
      <c r="T53" s="61">
        <v>2.5000000000000001E-2</v>
      </c>
      <c r="U53" s="61">
        <v>2.5000000000000001E-3</v>
      </c>
      <c r="V53" s="61">
        <v>3.3000000000000002E-2</v>
      </c>
      <c r="W53" s="61">
        <v>2.1999999999999999E-2</v>
      </c>
      <c r="X53" s="61">
        <v>5.5E-2</v>
      </c>
      <c r="Y53" s="61">
        <v>2.75E-2</v>
      </c>
      <c r="Z53" s="61">
        <v>2.2000000000000001E-3</v>
      </c>
      <c r="AA53" s="61">
        <v>4.3999999999999997E-2</v>
      </c>
      <c r="AB53" s="61">
        <v>4.9500000000000002E-2</v>
      </c>
      <c r="AC53" s="61">
        <v>5.5E-2</v>
      </c>
      <c r="AD53" s="61">
        <v>8.2500000000000004E-3</v>
      </c>
      <c r="AE53" s="61">
        <v>4.9500000000000002E-2</v>
      </c>
      <c r="AF53" s="61">
        <v>5.5E-2</v>
      </c>
      <c r="AG53" s="61">
        <v>1.375E-2</v>
      </c>
      <c r="AH53" s="60">
        <v>4.63</v>
      </c>
      <c r="AI53" s="60">
        <v>0.46</v>
      </c>
      <c r="AJ53" s="60">
        <v>6.11</v>
      </c>
      <c r="AK53" s="60">
        <v>4.07</v>
      </c>
      <c r="AL53" s="60">
        <v>10.18</v>
      </c>
      <c r="AM53" s="60">
        <v>5.09</v>
      </c>
      <c r="AN53" s="60">
        <v>0.41</v>
      </c>
      <c r="AO53" s="60">
        <v>8.14</v>
      </c>
      <c r="AP53" s="60">
        <v>9.16</v>
      </c>
      <c r="AQ53" s="60">
        <v>10.175000000000001</v>
      </c>
      <c r="AR53" s="60">
        <v>1.5249999999999999</v>
      </c>
      <c r="AS53" s="60">
        <v>9.16</v>
      </c>
      <c r="AT53" s="60">
        <v>10.175000000000001</v>
      </c>
      <c r="AU53" s="60">
        <v>2.5449999999999999</v>
      </c>
      <c r="AV53" s="62">
        <v>-6</v>
      </c>
      <c r="AW53" s="62">
        <v>-1</v>
      </c>
      <c r="AX53" s="62">
        <v>-11</v>
      </c>
      <c r="AY53" s="62">
        <v>-7</v>
      </c>
      <c r="AZ53" s="62">
        <v>-18</v>
      </c>
      <c r="BA53" s="62">
        <v>-9</v>
      </c>
      <c r="BB53" s="62">
        <v>-1</v>
      </c>
      <c r="BC53" s="62">
        <v>-5</v>
      </c>
      <c r="BD53" s="62">
        <v>-6</v>
      </c>
      <c r="BE53" s="62">
        <v>-6.5</v>
      </c>
      <c r="BF53" s="62">
        <v>-1</v>
      </c>
      <c r="BG53" s="62">
        <v>-8</v>
      </c>
      <c r="BH53" s="62">
        <v>-9</v>
      </c>
      <c r="BI53" s="62">
        <v>-2.5</v>
      </c>
      <c r="BJ53" s="62">
        <v>-10.5</v>
      </c>
      <c r="BK53" s="62">
        <v>-11.5</v>
      </c>
      <c r="BL53" s="62">
        <v>-13</v>
      </c>
      <c r="BM53" s="62">
        <v>-2</v>
      </c>
      <c r="BN53" s="62">
        <v>-12</v>
      </c>
      <c r="BO53" s="62">
        <v>-1</v>
      </c>
      <c r="BP53" s="4">
        <v>50</v>
      </c>
    </row>
    <row r="54" spans="1:68" x14ac:dyDescent="0.25">
      <c r="A54" s="4">
        <v>51</v>
      </c>
      <c r="B54" s="3" t="s">
        <v>2187</v>
      </c>
      <c r="C54" s="4">
        <v>8</v>
      </c>
      <c r="D54" s="4">
        <v>5</v>
      </c>
      <c r="E54" s="4">
        <v>60</v>
      </c>
      <c r="F54" s="61">
        <v>14.479200000000001</v>
      </c>
      <c r="G54" s="61">
        <v>1.4539</v>
      </c>
      <c r="H54" s="61">
        <v>6.1749000000000001</v>
      </c>
      <c r="I54" s="61">
        <v>4.1162999999999998</v>
      </c>
      <c r="J54" s="61">
        <v>10.2912</v>
      </c>
      <c r="K54" s="61">
        <v>5.1456</v>
      </c>
      <c r="L54" s="61">
        <v>0.41189999999999999</v>
      </c>
      <c r="M54" s="61">
        <v>8.2325999999999997</v>
      </c>
      <c r="N54" s="61">
        <v>9.2619000000000007</v>
      </c>
      <c r="O54" s="61">
        <v>10.290750000000001</v>
      </c>
      <c r="P54" s="61">
        <v>1.5435000000000001</v>
      </c>
      <c r="Q54" s="61">
        <v>9.2619000000000007</v>
      </c>
      <c r="R54" s="61">
        <v>10.290750000000001</v>
      </c>
      <c r="S54" s="61">
        <v>2.5728</v>
      </c>
      <c r="T54" s="61">
        <v>2.5000000000000001E-2</v>
      </c>
      <c r="U54" s="61">
        <v>2.5000000000000001E-3</v>
      </c>
      <c r="V54" s="61">
        <v>3.3000000000000002E-2</v>
      </c>
      <c r="W54" s="61">
        <v>2.1999999999999999E-2</v>
      </c>
      <c r="X54" s="61">
        <v>5.5E-2</v>
      </c>
      <c r="Y54" s="61">
        <v>2.75E-2</v>
      </c>
      <c r="Z54" s="61">
        <v>2.2000000000000001E-3</v>
      </c>
      <c r="AA54" s="61">
        <v>4.3999999999999997E-2</v>
      </c>
      <c r="AB54" s="61">
        <v>4.9500000000000002E-2</v>
      </c>
      <c r="AC54" s="61">
        <v>5.5E-2</v>
      </c>
      <c r="AD54" s="61">
        <v>8.2500000000000004E-3</v>
      </c>
      <c r="AE54" s="61">
        <v>4.9500000000000002E-2</v>
      </c>
      <c r="AF54" s="61">
        <v>5.5E-2</v>
      </c>
      <c r="AG54" s="61">
        <v>1.375E-2</v>
      </c>
      <c r="AH54" s="60">
        <v>4.63</v>
      </c>
      <c r="AI54" s="60">
        <v>0.46</v>
      </c>
      <c r="AJ54" s="60">
        <v>6.11</v>
      </c>
      <c r="AK54" s="60">
        <v>4.07</v>
      </c>
      <c r="AL54" s="60">
        <v>10.18</v>
      </c>
      <c r="AM54" s="60">
        <v>5.09</v>
      </c>
      <c r="AN54" s="60">
        <v>0.41</v>
      </c>
      <c r="AO54" s="60">
        <v>8.14</v>
      </c>
      <c r="AP54" s="60">
        <v>9.16</v>
      </c>
      <c r="AQ54" s="60">
        <v>10.175000000000001</v>
      </c>
      <c r="AR54" s="60">
        <v>1.5249999999999999</v>
      </c>
      <c r="AS54" s="60">
        <v>9.16</v>
      </c>
      <c r="AT54" s="60">
        <v>10.175000000000001</v>
      </c>
      <c r="AU54" s="60">
        <v>2.5449999999999999</v>
      </c>
      <c r="AV54" s="62">
        <v>-4</v>
      </c>
      <c r="AW54" s="62">
        <v>0</v>
      </c>
      <c r="AX54" s="62">
        <v>-9</v>
      </c>
      <c r="AY54" s="62">
        <v>-5</v>
      </c>
      <c r="AZ54" s="62">
        <v>-16</v>
      </c>
      <c r="BA54" s="62">
        <v>-7</v>
      </c>
      <c r="BB54" s="62">
        <v>0</v>
      </c>
      <c r="BC54" s="62">
        <v>-4</v>
      </c>
      <c r="BD54" s="62">
        <v>-5</v>
      </c>
      <c r="BE54" s="62">
        <v>-5.5</v>
      </c>
      <c r="BF54" s="62">
        <v>0</v>
      </c>
      <c r="BG54" s="62">
        <v>-7</v>
      </c>
      <c r="BH54" s="62">
        <v>-8</v>
      </c>
      <c r="BI54" s="62">
        <v>-1.5</v>
      </c>
      <c r="BJ54" s="62">
        <v>-9.5</v>
      </c>
      <c r="BK54" s="62">
        <v>-10.5</v>
      </c>
      <c r="BL54" s="62">
        <v>-12</v>
      </c>
      <c r="BM54" s="62">
        <v>-1</v>
      </c>
      <c r="BN54" s="62">
        <v>-10</v>
      </c>
      <c r="BO54" s="62">
        <v>0</v>
      </c>
      <c r="BP54" s="4">
        <v>51</v>
      </c>
    </row>
    <row r="55" spans="1:68" x14ac:dyDescent="0.25">
      <c r="A55" s="4">
        <v>52</v>
      </c>
      <c r="B55" s="3" t="s">
        <v>2188</v>
      </c>
      <c r="C55" s="4">
        <v>8</v>
      </c>
      <c r="D55" s="4">
        <v>10</v>
      </c>
      <c r="E55" s="4">
        <v>65</v>
      </c>
      <c r="F55" s="61">
        <v>19.143699999999999</v>
      </c>
      <c r="G55" s="61">
        <v>1.9203999999999999</v>
      </c>
      <c r="H55" s="61">
        <v>9.7439</v>
      </c>
      <c r="I55" s="61">
        <v>6.4943</v>
      </c>
      <c r="J55" s="61">
        <v>16.238199999999999</v>
      </c>
      <c r="K55" s="61">
        <v>8.1190999999999995</v>
      </c>
      <c r="L55" s="61">
        <v>0.65089999999999992</v>
      </c>
      <c r="M55" s="61">
        <v>12.9886</v>
      </c>
      <c r="N55" s="61">
        <v>14.6134</v>
      </c>
      <c r="O55" s="61">
        <v>16.235749999999999</v>
      </c>
      <c r="P55" s="61">
        <v>2.4347500000000002</v>
      </c>
      <c r="Q55" s="61">
        <v>14.6134</v>
      </c>
      <c r="R55" s="61">
        <v>16.235749999999999</v>
      </c>
      <c r="S55" s="61">
        <v>4.0595499999999998</v>
      </c>
      <c r="T55" s="61">
        <v>2.5000000000000001E-2</v>
      </c>
      <c r="U55" s="61">
        <v>2.5000000000000001E-3</v>
      </c>
      <c r="V55" s="61">
        <v>3.3000000000000002E-2</v>
      </c>
      <c r="W55" s="61">
        <v>2.1999999999999999E-2</v>
      </c>
      <c r="X55" s="61">
        <v>5.5E-2</v>
      </c>
      <c r="Y55" s="61">
        <v>2.75E-2</v>
      </c>
      <c r="Z55" s="61">
        <v>2.2000000000000001E-3</v>
      </c>
      <c r="AA55" s="61">
        <v>4.3999999999999997E-2</v>
      </c>
      <c r="AB55" s="61">
        <v>4.9500000000000002E-2</v>
      </c>
      <c r="AC55" s="61">
        <v>5.5E-2</v>
      </c>
      <c r="AD55" s="61">
        <v>8.2500000000000004E-3</v>
      </c>
      <c r="AE55" s="61">
        <v>4.9500000000000002E-2</v>
      </c>
      <c r="AF55" s="61">
        <v>5.5E-2</v>
      </c>
      <c r="AG55" s="61">
        <v>1.375E-2</v>
      </c>
      <c r="AH55" s="60">
        <v>4.63</v>
      </c>
      <c r="AI55" s="60">
        <v>0.46</v>
      </c>
      <c r="AJ55" s="60">
        <v>6.11</v>
      </c>
      <c r="AK55" s="60">
        <v>4.07</v>
      </c>
      <c r="AL55" s="60">
        <v>10.18</v>
      </c>
      <c r="AM55" s="60">
        <v>5.09</v>
      </c>
      <c r="AN55" s="60">
        <v>0.41</v>
      </c>
      <c r="AO55" s="60">
        <v>8.14</v>
      </c>
      <c r="AP55" s="60">
        <v>9.16</v>
      </c>
      <c r="AQ55" s="60">
        <v>10.175000000000001</v>
      </c>
      <c r="AR55" s="60">
        <v>1.5249999999999999</v>
      </c>
      <c r="AS55" s="60">
        <v>9.16</v>
      </c>
      <c r="AT55" s="60">
        <v>10.175000000000001</v>
      </c>
      <c r="AU55" s="60">
        <v>2.5449999999999999</v>
      </c>
      <c r="AV55" s="62">
        <v>-3</v>
      </c>
      <c r="AW55" s="62">
        <v>0</v>
      </c>
      <c r="AX55" s="62">
        <v>-8</v>
      </c>
      <c r="AY55" s="62">
        <v>-4</v>
      </c>
      <c r="AZ55" s="62">
        <v>-15</v>
      </c>
      <c r="BA55" s="62">
        <v>-6</v>
      </c>
      <c r="BB55" s="62">
        <v>0</v>
      </c>
      <c r="BC55" s="62">
        <v>-3.5</v>
      </c>
      <c r="BD55" s="62">
        <v>-4.5</v>
      </c>
      <c r="BE55" s="62">
        <v>-5</v>
      </c>
      <c r="BF55" s="62">
        <v>0</v>
      </c>
      <c r="BG55" s="62">
        <v>-6.5</v>
      </c>
      <c r="BH55" s="62">
        <v>-7.5</v>
      </c>
      <c r="BI55" s="62">
        <v>-1</v>
      </c>
      <c r="BJ55" s="62">
        <v>-9</v>
      </c>
      <c r="BK55" s="62">
        <v>-10</v>
      </c>
      <c r="BL55" s="62">
        <v>-11.5</v>
      </c>
      <c r="BM55" s="62">
        <v>-0.5</v>
      </c>
      <c r="BN55" s="62">
        <v>-9</v>
      </c>
      <c r="BO55" s="62">
        <v>0</v>
      </c>
      <c r="BP55" s="4">
        <v>52</v>
      </c>
    </row>
    <row r="56" spans="1:68" x14ac:dyDescent="0.25">
      <c r="A56" s="4">
        <v>53</v>
      </c>
      <c r="B56" s="3" t="s">
        <v>2189</v>
      </c>
      <c r="C56" s="4">
        <v>8</v>
      </c>
      <c r="D56" s="4">
        <v>15</v>
      </c>
      <c r="E56" s="4">
        <v>70</v>
      </c>
      <c r="F56" s="61">
        <v>24.8337</v>
      </c>
      <c r="G56" s="61">
        <v>2.4893999999999998</v>
      </c>
      <c r="H56" s="61">
        <v>14.148900000000001</v>
      </c>
      <c r="I56" s="61">
        <v>9.4293000000000013</v>
      </c>
      <c r="J56" s="61">
        <v>23.578199999999999</v>
      </c>
      <c r="K56" s="61">
        <v>11.789099999999999</v>
      </c>
      <c r="L56" s="61">
        <v>0.94589999999999996</v>
      </c>
      <c r="M56" s="61">
        <v>18.858600000000003</v>
      </c>
      <c r="N56" s="61">
        <v>21.218400000000003</v>
      </c>
      <c r="O56" s="61">
        <v>23.573250000000002</v>
      </c>
      <c r="P56" s="61">
        <v>3.5347499999999998</v>
      </c>
      <c r="Q56" s="61">
        <v>21.218400000000003</v>
      </c>
      <c r="R56" s="61">
        <v>23.573250000000002</v>
      </c>
      <c r="S56" s="61">
        <v>5.8945499999999997</v>
      </c>
      <c r="T56" s="61">
        <v>2.4750000000000001E-2</v>
      </c>
      <c r="U56" s="61">
        <v>2.4750000000000002E-3</v>
      </c>
      <c r="V56" s="61">
        <v>3.2670000000000005E-2</v>
      </c>
      <c r="W56" s="61">
        <v>2.1779999999999997E-2</v>
      </c>
      <c r="X56" s="61">
        <v>5.4449999999999998E-2</v>
      </c>
      <c r="Y56" s="61">
        <v>2.7224999999999999E-2</v>
      </c>
      <c r="Z56" s="61">
        <v>2.1780000000000002E-3</v>
      </c>
      <c r="AA56" s="61">
        <v>4.3559999999999995E-2</v>
      </c>
      <c r="AB56" s="61">
        <v>4.9005E-2</v>
      </c>
      <c r="AC56" s="61">
        <v>5.4449999999999998E-2</v>
      </c>
      <c r="AD56" s="61">
        <v>8.1675000000000011E-3</v>
      </c>
      <c r="AE56" s="61">
        <v>4.9005E-2</v>
      </c>
      <c r="AF56" s="61">
        <v>5.4449999999999998E-2</v>
      </c>
      <c r="AG56" s="61">
        <v>1.36125E-2</v>
      </c>
      <c r="AH56" s="60">
        <v>4.58</v>
      </c>
      <c r="AI56" s="60">
        <v>0.46</v>
      </c>
      <c r="AJ56" s="60">
        <v>6.04</v>
      </c>
      <c r="AK56" s="60">
        <v>4.03</v>
      </c>
      <c r="AL56" s="60">
        <v>10.07</v>
      </c>
      <c r="AM56" s="60">
        <v>5.04</v>
      </c>
      <c r="AN56" s="60">
        <v>0.4</v>
      </c>
      <c r="AO56" s="60">
        <v>8.06</v>
      </c>
      <c r="AP56" s="60">
        <v>9.0649999999999995</v>
      </c>
      <c r="AQ56" s="60">
        <v>10.074999999999999</v>
      </c>
      <c r="AR56" s="60">
        <v>1.51</v>
      </c>
      <c r="AS56" s="60">
        <v>9.0649999999999995</v>
      </c>
      <c r="AT56" s="60">
        <v>10.074999999999999</v>
      </c>
      <c r="AU56" s="60">
        <v>2.52</v>
      </c>
      <c r="AV56" s="62">
        <v>-1</v>
      </c>
      <c r="AW56" s="62">
        <v>0</v>
      </c>
      <c r="AX56" s="62">
        <v>-6</v>
      </c>
      <c r="AY56" s="62">
        <v>-2</v>
      </c>
      <c r="AZ56" s="62">
        <v>-13</v>
      </c>
      <c r="BA56" s="62">
        <v>-4</v>
      </c>
      <c r="BB56" s="62">
        <v>0</v>
      </c>
      <c r="BC56" s="62">
        <v>-2.5</v>
      </c>
      <c r="BD56" s="62">
        <v>-3.5</v>
      </c>
      <c r="BE56" s="62">
        <v>-4</v>
      </c>
      <c r="BF56" s="62">
        <v>0</v>
      </c>
      <c r="BG56" s="62">
        <v>-5.5</v>
      </c>
      <c r="BH56" s="62">
        <v>-6.5</v>
      </c>
      <c r="BI56" s="62">
        <v>0</v>
      </c>
      <c r="BJ56" s="62">
        <v>-8</v>
      </c>
      <c r="BK56" s="62">
        <v>-9</v>
      </c>
      <c r="BL56" s="62">
        <v>-10.5</v>
      </c>
      <c r="BM56" s="62">
        <v>0</v>
      </c>
      <c r="BN56" s="62">
        <v>-7</v>
      </c>
      <c r="BO56" s="62">
        <v>0</v>
      </c>
      <c r="BP56" s="4">
        <v>53</v>
      </c>
    </row>
    <row r="57" spans="1:68" x14ac:dyDescent="0.25">
      <c r="A57" s="4">
        <v>54</v>
      </c>
      <c r="B57" s="3" t="s">
        <v>2190</v>
      </c>
      <c r="C57" s="4">
        <v>8</v>
      </c>
      <c r="D57" s="4">
        <v>20</v>
      </c>
      <c r="E57" s="4">
        <v>75</v>
      </c>
      <c r="F57" s="61">
        <v>46.728700000000003</v>
      </c>
      <c r="G57" s="61">
        <v>4.6684000000000001</v>
      </c>
      <c r="H57" s="61">
        <v>39.938900000000004</v>
      </c>
      <c r="I57" s="61">
        <v>26.609300000000005</v>
      </c>
      <c r="J57" s="61">
        <v>66.548200000000008</v>
      </c>
      <c r="K57" s="61">
        <v>33.274100000000004</v>
      </c>
      <c r="L57" s="61">
        <v>2.6758999999999999</v>
      </c>
      <c r="M57" s="61">
        <v>53.218600000000009</v>
      </c>
      <c r="N57" s="61">
        <v>59.883400000000009</v>
      </c>
      <c r="O57" s="61">
        <v>66.523250000000004</v>
      </c>
      <c r="P57" s="61">
        <v>9.9722500000000007</v>
      </c>
      <c r="Q57" s="61">
        <v>59.883400000000009</v>
      </c>
      <c r="R57" s="61">
        <v>66.523250000000004</v>
      </c>
      <c r="S57" s="61">
        <v>16.637050000000002</v>
      </c>
      <c r="T57" s="61">
        <v>2.4750000000000001E-2</v>
      </c>
      <c r="U57" s="61">
        <v>2.4750000000000002E-3</v>
      </c>
      <c r="V57" s="61">
        <v>3.2670000000000005E-2</v>
      </c>
      <c r="W57" s="61">
        <v>2.1779999999999997E-2</v>
      </c>
      <c r="X57" s="61">
        <v>5.4449999999999998E-2</v>
      </c>
      <c r="Y57" s="61">
        <v>2.7224999999999999E-2</v>
      </c>
      <c r="Z57" s="61">
        <v>2.1780000000000002E-3</v>
      </c>
      <c r="AA57" s="61">
        <v>4.3559999999999995E-2</v>
      </c>
      <c r="AB57" s="61">
        <v>4.9005E-2</v>
      </c>
      <c r="AC57" s="61">
        <v>5.4449999999999998E-2</v>
      </c>
      <c r="AD57" s="61">
        <v>8.1675000000000011E-3</v>
      </c>
      <c r="AE57" s="61">
        <v>4.9005E-2</v>
      </c>
      <c r="AF57" s="61">
        <v>5.4449999999999998E-2</v>
      </c>
      <c r="AG57" s="61">
        <v>1.36125E-2</v>
      </c>
      <c r="AH57" s="60">
        <v>4.58</v>
      </c>
      <c r="AI57" s="60">
        <v>0.46</v>
      </c>
      <c r="AJ57" s="60">
        <v>6.04</v>
      </c>
      <c r="AK57" s="60">
        <v>4.03</v>
      </c>
      <c r="AL57" s="60">
        <v>10.07</v>
      </c>
      <c r="AM57" s="60">
        <v>5.04</v>
      </c>
      <c r="AN57" s="60">
        <v>0.4</v>
      </c>
      <c r="AO57" s="60">
        <v>8.06</v>
      </c>
      <c r="AP57" s="60">
        <v>9.0649999999999995</v>
      </c>
      <c r="AQ57" s="60">
        <v>10.074999999999999</v>
      </c>
      <c r="AR57" s="60">
        <v>1.51</v>
      </c>
      <c r="AS57" s="60">
        <v>9.0649999999999995</v>
      </c>
      <c r="AT57" s="60">
        <v>10.074999999999999</v>
      </c>
      <c r="AU57" s="60">
        <v>2.52</v>
      </c>
      <c r="AV57" s="62">
        <v>0</v>
      </c>
      <c r="AW57" s="62">
        <v>0</v>
      </c>
      <c r="AX57" s="62">
        <v>-4</v>
      </c>
      <c r="AY57" s="62">
        <v>0</v>
      </c>
      <c r="AZ57" s="62">
        <v>-11</v>
      </c>
      <c r="BA57" s="62">
        <v>-2</v>
      </c>
      <c r="BB57" s="62">
        <v>0</v>
      </c>
      <c r="BC57" s="62">
        <v>-1.5</v>
      </c>
      <c r="BD57" s="62">
        <v>-2.5</v>
      </c>
      <c r="BE57" s="62">
        <v>-3</v>
      </c>
      <c r="BF57" s="62">
        <v>0</v>
      </c>
      <c r="BG57" s="62">
        <v>-4.5</v>
      </c>
      <c r="BH57" s="62">
        <v>-5.5</v>
      </c>
      <c r="BI57" s="62">
        <v>0</v>
      </c>
      <c r="BJ57" s="62">
        <v>-7</v>
      </c>
      <c r="BK57" s="62">
        <v>-8</v>
      </c>
      <c r="BL57" s="62">
        <v>-9.5</v>
      </c>
      <c r="BM57" s="62">
        <v>0</v>
      </c>
      <c r="BN57" s="62">
        <v>-5</v>
      </c>
      <c r="BO57" s="62">
        <v>0</v>
      </c>
      <c r="BP57" s="4">
        <v>54</v>
      </c>
    </row>
    <row r="58" spans="1:68" x14ac:dyDescent="0.25">
      <c r="A58" s="4">
        <v>55</v>
      </c>
      <c r="B58" s="3" t="s">
        <v>2191</v>
      </c>
      <c r="C58" s="4">
        <v>8</v>
      </c>
      <c r="D58" s="4">
        <v>-30</v>
      </c>
      <c r="E58" s="4">
        <v>25</v>
      </c>
      <c r="F58" s="61">
        <v>2974.4036999999998</v>
      </c>
      <c r="G58" s="61">
        <v>295.52539999999999</v>
      </c>
      <c r="H58" s="61">
        <v>3914.8389000000002</v>
      </c>
      <c r="I58" s="61">
        <v>2607.7593000000002</v>
      </c>
      <c r="J58" s="61">
        <v>6522.5982000000004</v>
      </c>
      <c r="K58" s="61">
        <v>3261.2991000000002</v>
      </c>
      <c r="L58" s="61">
        <v>262.69589999999999</v>
      </c>
      <c r="M58" s="61">
        <v>5215.5186000000003</v>
      </c>
      <c r="N58" s="61">
        <v>5869.0583999999999</v>
      </c>
      <c r="O58" s="61">
        <v>6519.3982500000002</v>
      </c>
      <c r="P58" s="61">
        <v>977.10974999999996</v>
      </c>
      <c r="Q58" s="61">
        <v>5869.0583999999999</v>
      </c>
      <c r="R58" s="61">
        <v>6519.3982500000002</v>
      </c>
      <c r="S58" s="61">
        <v>1630.6495500000001</v>
      </c>
      <c r="T58" s="61">
        <v>6.1250000000000006E-2</v>
      </c>
      <c r="U58" s="61">
        <v>6.1250000000000002E-3</v>
      </c>
      <c r="V58" s="61">
        <v>8.0850000000000005E-2</v>
      </c>
      <c r="W58" s="61">
        <v>5.3900000000000003E-2</v>
      </c>
      <c r="X58" s="61">
        <v>0.13475000000000001</v>
      </c>
      <c r="Y58" s="61">
        <v>6.7375000000000004E-2</v>
      </c>
      <c r="Z58" s="61">
        <v>5.3900000000000007E-3</v>
      </c>
      <c r="AA58" s="61">
        <v>0.10780000000000001</v>
      </c>
      <c r="AB58" s="61">
        <v>0.12127500000000001</v>
      </c>
      <c r="AC58" s="61">
        <v>0.13475000000000001</v>
      </c>
      <c r="AD58" s="61">
        <v>2.0212500000000001E-2</v>
      </c>
      <c r="AE58" s="61">
        <v>0.12127500000000001</v>
      </c>
      <c r="AF58" s="61">
        <v>0.13475000000000001</v>
      </c>
      <c r="AG58" s="61">
        <v>3.3687500000000002E-2</v>
      </c>
      <c r="AH58" s="60">
        <v>11.33</v>
      </c>
      <c r="AI58" s="60">
        <v>1.1299999999999999</v>
      </c>
      <c r="AJ58" s="60">
        <v>14.96</v>
      </c>
      <c r="AK58" s="60">
        <v>9.9700000000000006</v>
      </c>
      <c r="AL58" s="60">
        <v>24.93</v>
      </c>
      <c r="AM58" s="60">
        <v>12.46</v>
      </c>
      <c r="AN58" s="60">
        <v>1</v>
      </c>
      <c r="AO58" s="60">
        <v>19.945</v>
      </c>
      <c r="AP58" s="60">
        <v>22.434999999999999</v>
      </c>
      <c r="AQ58" s="60">
        <v>24.93</v>
      </c>
      <c r="AR58" s="60">
        <v>3.74</v>
      </c>
      <c r="AS58" s="60">
        <v>22.434999999999999</v>
      </c>
      <c r="AT58" s="60">
        <v>24.93</v>
      </c>
      <c r="AU58" s="60">
        <v>6.23</v>
      </c>
      <c r="AV58" s="62">
        <v>-39</v>
      </c>
      <c r="AW58" s="62">
        <v>-27</v>
      </c>
      <c r="AX58" s="62">
        <v>-51</v>
      </c>
      <c r="AY58" s="62">
        <v>-42</v>
      </c>
      <c r="AZ58" s="62">
        <v>-69</v>
      </c>
      <c r="BA58" s="62">
        <v>-47</v>
      </c>
      <c r="BB58" s="62">
        <v>-27</v>
      </c>
      <c r="BC58" s="62">
        <v>-24.5</v>
      </c>
      <c r="BD58" s="62">
        <v>-27</v>
      </c>
      <c r="BE58" s="62">
        <v>-28</v>
      </c>
      <c r="BF58" s="62">
        <v>-14.5</v>
      </c>
      <c r="BG58" s="62">
        <v>-32</v>
      </c>
      <c r="BH58" s="62">
        <v>-34.5</v>
      </c>
      <c r="BI58" s="62">
        <v>-18.5</v>
      </c>
      <c r="BJ58" s="62">
        <v>-38</v>
      </c>
      <c r="BK58" s="62">
        <v>-40.5</v>
      </c>
      <c r="BL58" s="62">
        <v>-44</v>
      </c>
      <c r="BM58" s="62">
        <v>-17</v>
      </c>
      <c r="BN58" s="62">
        <v>-54</v>
      </c>
      <c r="BO58" s="62">
        <v>-27</v>
      </c>
      <c r="BP58" s="4">
        <v>55</v>
      </c>
    </row>
    <row r="59" spans="1:68" x14ac:dyDescent="0.25">
      <c r="A59" s="4">
        <v>56</v>
      </c>
      <c r="B59" s="3" t="s">
        <v>2192</v>
      </c>
      <c r="C59" s="4">
        <v>8</v>
      </c>
      <c r="D59" s="4">
        <v>-20</v>
      </c>
      <c r="E59" s="4">
        <v>30</v>
      </c>
      <c r="F59" s="61">
        <v>307.52370000000002</v>
      </c>
      <c r="G59" s="61">
        <v>30.5654</v>
      </c>
      <c r="H59" s="61">
        <v>395.47890000000001</v>
      </c>
      <c r="I59" s="61">
        <v>263.4393</v>
      </c>
      <c r="J59" s="61">
        <v>658.91819999999996</v>
      </c>
      <c r="K59" s="61">
        <v>329.45909999999998</v>
      </c>
      <c r="L59" s="61">
        <v>26.535900000000002</v>
      </c>
      <c r="M59" s="61">
        <v>526.87860000000001</v>
      </c>
      <c r="N59" s="61">
        <v>592.89840000000004</v>
      </c>
      <c r="O59" s="61">
        <v>658.59825000000012</v>
      </c>
      <c r="P59" s="61">
        <v>98.70975</v>
      </c>
      <c r="Q59" s="61">
        <v>592.89840000000004</v>
      </c>
      <c r="R59" s="61">
        <v>658.59825000000012</v>
      </c>
      <c r="S59" s="61">
        <v>164.72954999999999</v>
      </c>
      <c r="T59" s="61">
        <v>3.3250000000000002E-2</v>
      </c>
      <c r="U59" s="61">
        <v>3.3250000000000003E-3</v>
      </c>
      <c r="V59" s="61">
        <v>4.3890000000000005E-2</v>
      </c>
      <c r="W59" s="61">
        <v>2.9260000000000001E-2</v>
      </c>
      <c r="X59" s="61">
        <v>7.3150000000000007E-2</v>
      </c>
      <c r="Y59" s="61">
        <v>3.6575000000000003E-2</v>
      </c>
      <c r="Z59" s="61">
        <v>2.9260000000000002E-3</v>
      </c>
      <c r="AA59" s="61">
        <v>5.8520000000000003E-2</v>
      </c>
      <c r="AB59" s="61">
        <v>6.5835000000000005E-2</v>
      </c>
      <c r="AC59" s="61">
        <v>7.3150000000000007E-2</v>
      </c>
      <c r="AD59" s="61">
        <v>1.0972500000000001E-2</v>
      </c>
      <c r="AE59" s="61">
        <v>6.5835000000000005E-2</v>
      </c>
      <c r="AF59" s="61">
        <v>7.3150000000000007E-2</v>
      </c>
      <c r="AG59" s="61">
        <v>1.8287500000000002E-2</v>
      </c>
      <c r="AH59" s="60">
        <v>6.15</v>
      </c>
      <c r="AI59" s="60">
        <v>0.62</v>
      </c>
      <c r="AJ59" s="60">
        <v>8.1199999999999992</v>
      </c>
      <c r="AK59" s="60">
        <v>5.41</v>
      </c>
      <c r="AL59" s="60">
        <v>13.53</v>
      </c>
      <c r="AM59" s="60">
        <v>6.77</v>
      </c>
      <c r="AN59" s="60">
        <v>0.54</v>
      </c>
      <c r="AO59" s="60">
        <v>10.824999999999999</v>
      </c>
      <c r="AP59" s="60">
        <v>12.18</v>
      </c>
      <c r="AQ59" s="60">
        <v>13.535</v>
      </c>
      <c r="AR59" s="60">
        <v>2.0299999999999998</v>
      </c>
      <c r="AS59" s="60">
        <v>12.18</v>
      </c>
      <c r="AT59" s="60">
        <v>13.535</v>
      </c>
      <c r="AU59" s="60">
        <v>3.3849999999999998</v>
      </c>
      <c r="AV59" s="62">
        <v>-17</v>
      </c>
      <c r="AW59" s="62">
        <v>-10</v>
      </c>
      <c r="AX59" s="62">
        <v>-23</v>
      </c>
      <c r="AY59" s="62">
        <v>-18</v>
      </c>
      <c r="AZ59" s="62">
        <v>-33</v>
      </c>
      <c r="BA59" s="62">
        <v>-21</v>
      </c>
      <c r="BB59" s="62">
        <v>-10</v>
      </c>
      <c r="BC59" s="62">
        <v>-11</v>
      </c>
      <c r="BD59" s="62">
        <v>-12.5</v>
      </c>
      <c r="BE59" s="62">
        <v>-13</v>
      </c>
      <c r="BF59" s="62">
        <v>-6</v>
      </c>
      <c r="BG59" s="62">
        <v>-15</v>
      </c>
      <c r="BH59" s="62">
        <v>-16.5</v>
      </c>
      <c r="BI59" s="62">
        <v>-8</v>
      </c>
      <c r="BJ59" s="62">
        <v>-18.5</v>
      </c>
      <c r="BK59" s="62">
        <v>-19.5</v>
      </c>
      <c r="BL59" s="62">
        <v>-21.5</v>
      </c>
      <c r="BM59" s="62">
        <v>-7</v>
      </c>
      <c r="BN59" s="62">
        <v>-25</v>
      </c>
      <c r="BO59" s="62">
        <v>-10</v>
      </c>
      <c r="BP59" s="4">
        <v>56</v>
      </c>
    </row>
    <row r="60" spans="1:68" x14ac:dyDescent="0.25">
      <c r="A60" s="4">
        <v>57</v>
      </c>
      <c r="B60" s="3" t="s">
        <v>2193</v>
      </c>
      <c r="C60" s="4">
        <v>8</v>
      </c>
      <c r="D60" s="4">
        <v>-10</v>
      </c>
      <c r="E60" s="4">
        <v>40</v>
      </c>
      <c r="F60" s="61">
        <v>14.1669</v>
      </c>
      <c r="G60" s="61">
        <v>1.4198</v>
      </c>
      <c r="H60" s="61">
        <v>8.3492999999999995</v>
      </c>
      <c r="I60" s="61">
        <v>5.5640999999999998</v>
      </c>
      <c r="J60" s="61">
        <v>13.913399999999999</v>
      </c>
      <c r="K60" s="61">
        <v>6.9566999999999997</v>
      </c>
      <c r="L60" s="61">
        <v>0.55830000000000002</v>
      </c>
      <c r="M60" s="61">
        <v>11.1282</v>
      </c>
      <c r="N60" s="61">
        <v>12.520800000000001</v>
      </c>
      <c r="O60" s="61">
        <v>13.910250000000001</v>
      </c>
      <c r="P60" s="61">
        <v>2.08575</v>
      </c>
      <c r="Q60" s="61">
        <v>12.520800000000001</v>
      </c>
      <c r="R60" s="61">
        <v>13.910250000000001</v>
      </c>
      <c r="S60" s="61">
        <v>3.4783499999999998</v>
      </c>
      <c r="T60" s="61">
        <v>2.8249999999999997E-2</v>
      </c>
      <c r="U60" s="61">
        <v>2.8249999999999998E-3</v>
      </c>
      <c r="V60" s="61">
        <v>3.7289999999999997E-2</v>
      </c>
      <c r="W60" s="61">
        <v>2.4859999999999997E-2</v>
      </c>
      <c r="X60" s="61">
        <v>6.2149999999999997E-2</v>
      </c>
      <c r="Y60" s="61">
        <v>3.1074999999999998E-2</v>
      </c>
      <c r="Z60" s="61">
        <v>2.4859999999999999E-3</v>
      </c>
      <c r="AA60" s="61">
        <v>4.9719999999999993E-2</v>
      </c>
      <c r="AB60" s="61">
        <v>5.5934999999999999E-2</v>
      </c>
      <c r="AC60" s="61">
        <v>6.2149999999999997E-2</v>
      </c>
      <c r="AD60" s="61">
        <v>9.3224999999999992E-3</v>
      </c>
      <c r="AE60" s="61">
        <v>5.5934999999999999E-2</v>
      </c>
      <c r="AF60" s="61">
        <v>6.2149999999999997E-2</v>
      </c>
      <c r="AG60" s="61">
        <v>1.5537499999999999E-2</v>
      </c>
      <c r="AH60" s="60">
        <v>5.23</v>
      </c>
      <c r="AI60" s="60">
        <v>0.52</v>
      </c>
      <c r="AJ60" s="60">
        <v>6.9</v>
      </c>
      <c r="AK60" s="60">
        <v>4.5999999999999996</v>
      </c>
      <c r="AL60" s="60">
        <v>11.5</v>
      </c>
      <c r="AM60" s="60">
        <v>5.75</v>
      </c>
      <c r="AN60" s="60">
        <v>0.46</v>
      </c>
      <c r="AO60" s="60">
        <v>9.1999999999999993</v>
      </c>
      <c r="AP60" s="60">
        <v>10.35</v>
      </c>
      <c r="AQ60" s="60">
        <v>11.5</v>
      </c>
      <c r="AR60" s="60">
        <v>1.7250000000000001</v>
      </c>
      <c r="AS60" s="60">
        <v>10.35</v>
      </c>
      <c r="AT60" s="60">
        <v>11.5</v>
      </c>
      <c r="AU60" s="60">
        <v>2.875</v>
      </c>
      <c r="AV60" s="62">
        <v>-11</v>
      </c>
      <c r="AW60" s="62">
        <v>-5</v>
      </c>
      <c r="AX60" s="62">
        <v>-16</v>
      </c>
      <c r="AY60" s="62">
        <v>-12</v>
      </c>
      <c r="AZ60" s="62">
        <v>-24</v>
      </c>
      <c r="BA60" s="62">
        <v>-14</v>
      </c>
      <c r="BB60" s="62">
        <v>-5</v>
      </c>
      <c r="BC60" s="62">
        <v>-7.5</v>
      </c>
      <c r="BD60" s="62">
        <v>-8.5</v>
      </c>
      <c r="BE60" s="62">
        <v>-9</v>
      </c>
      <c r="BF60" s="62">
        <v>-3</v>
      </c>
      <c r="BG60" s="62">
        <v>-11</v>
      </c>
      <c r="BH60" s="62">
        <v>-12</v>
      </c>
      <c r="BI60" s="62">
        <v>-4.5</v>
      </c>
      <c r="BJ60" s="62">
        <v>-14</v>
      </c>
      <c r="BK60" s="62">
        <v>-15</v>
      </c>
      <c r="BL60" s="62">
        <v>-16.5</v>
      </c>
      <c r="BM60" s="62">
        <v>-4</v>
      </c>
      <c r="BN60" s="62">
        <v>-17</v>
      </c>
      <c r="BO60" s="62">
        <v>-5</v>
      </c>
      <c r="BP60" s="4">
        <v>57</v>
      </c>
    </row>
    <row r="61" spans="1:68" x14ac:dyDescent="0.25">
      <c r="A61" s="4">
        <v>58</v>
      </c>
      <c r="B61" s="3" t="s">
        <v>2194</v>
      </c>
      <c r="C61" s="4">
        <v>8</v>
      </c>
      <c r="D61" s="4">
        <v>0</v>
      </c>
      <c r="E61" s="4">
        <v>45</v>
      </c>
      <c r="F61" s="61">
        <v>40.835700000000003</v>
      </c>
      <c r="G61" s="61">
        <v>4.0693999999999999</v>
      </c>
      <c r="H61" s="61">
        <v>43.542900000000003</v>
      </c>
      <c r="I61" s="61">
        <v>29.007300000000004</v>
      </c>
      <c r="J61" s="61">
        <v>72.550200000000004</v>
      </c>
      <c r="K61" s="61">
        <v>36.275100000000002</v>
      </c>
      <c r="L61" s="61">
        <v>2.9198999999999997</v>
      </c>
      <c r="M61" s="61">
        <v>58.014600000000009</v>
      </c>
      <c r="N61" s="61">
        <v>65.282399999999996</v>
      </c>
      <c r="O61" s="61">
        <v>72.518250000000009</v>
      </c>
      <c r="P61" s="61">
        <v>10.86975</v>
      </c>
      <c r="Q61" s="61">
        <v>65.282399999999996</v>
      </c>
      <c r="R61" s="61">
        <v>72.518250000000009</v>
      </c>
      <c r="S61" s="61">
        <v>18.137550000000001</v>
      </c>
      <c r="T61" s="61">
        <v>2.7750000000000004E-2</v>
      </c>
      <c r="U61" s="61">
        <v>2.7750000000000001E-3</v>
      </c>
      <c r="V61" s="61">
        <v>3.6630000000000003E-2</v>
      </c>
      <c r="W61" s="61">
        <v>2.4420000000000001E-2</v>
      </c>
      <c r="X61" s="61">
        <v>6.1050000000000007E-2</v>
      </c>
      <c r="Y61" s="61">
        <v>3.0525000000000004E-2</v>
      </c>
      <c r="Z61" s="61">
        <v>2.4420000000000002E-3</v>
      </c>
      <c r="AA61" s="61">
        <v>4.8840000000000001E-2</v>
      </c>
      <c r="AB61" s="61">
        <v>5.4945000000000008E-2</v>
      </c>
      <c r="AC61" s="61">
        <v>6.1050000000000007E-2</v>
      </c>
      <c r="AD61" s="61">
        <v>9.1575000000000007E-3</v>
      </c>
      <c r="AE61" s="61">
        <v>5.4945000000000008E-2</v>
      </c>
      <c r="AF61" s="61">
        <v>6.1050000000000007E-2</v>
      </c>
      <c r="AG61" s="61">
        <v>1.5262500000000002E-2</v>
      </c>
      <c r="AH61" s="60">
        <v>5.13</v>
      </c>
      <c r="AI61" s="60">
        <v>0.51</v>
      </c>
      <c r="AJ61" s="60">
        <v>6.78</v>
      </c>
      <c r="AK61" s="60">
        <v>4.5199999999999996</v>
      </c>
      <c r="AL61" s="60">
        <v>11.29</v>
      </c>
      <c r="AM61" s="60">
        <v>5.65</v>
      </c>
      <c r="AN61" s="60">
        <v>0.45</v>
      </c>
      <c r="AO61" s="60">
        <v>9.0350000000000001</v>
      </c>
      <c r="AP61" s="60">
        <v>10.164999999999999</v>
      </c>
      <c r="AQ61" s="60">
        <v>11.295</v>
      </c>
      <c r="AR61" s="60">
        <v>1.6950000000000001</v>
      </c>
      <c r="AS61" s="60">
        <v>10.164999999999999</v>
      </c>
      <c r="AT61" s="60">
        <v>11.295</v>
      </c>
      <c r="AU61" s="60">
        <v>2.8250000000000002</v>
      </c>
      <c r="AV61" s="62">
        <v>-7</v>
      </c>
      <c r="AW61" s="62">
        <v>-1</v>
      </c>
      <c r="AX61" s="62">
        <v>-12</v>
      </c>
      <c r="AY61" s="62">
        <v>-8</v>
      </c>
      <c r="AZ61" s="62">
        <v>-20</v>
      </c>
      <c r="BA61" s="62">
        <v>-10</v>
      </c>
      <c r="BB61" s="62">
        <v>-1</v>
      </c>
      <c r="BC61" s="62">
        <v>-5.5</v>
      </c>
      <c r="BD61" s="62">
        <v>-6.5</v>
      </c>
      <c r="BE61" s="62">
        <v>-7</v>
      </c>
      <c r="BF61" s="62">
        <v>-1</v>
      </c>
      <c r="BG61" s="62">
        <v>-9</v>
      </c>
      <c r="BH61" s="62">
        <v>-10</v>
      </c>
      <c r="BI61" s="62">
        <v>-3</v>
      </c>
      <c r="BJ61" s="62">
        <v>-11.5</v>
      </c>
      <c r="BK61" s="62">
        <v>-13</v>
      </c>
      <c r="BL61" s="62">
        <v>-14.5</v>
      </c>
      <c r="BM61" s="62">
        <v>-2</v>
      </c>
      <c r="BN61" s="62">
        <v>-13</v>
      </c>
      <c r="BO61" s="62">
        <v>-1</v>
      </c>
      <c r="BP61" s="4">
        <v>58</v>
      </c>
    </row>
    <row r="62" spans="1:68" x14ac:dyDescent="0.25">
      <c r="A62" s="4">
        <v>59</v>
      </c>
      <c r="B62" s="3" t="s">
        <v>2195</v>
      </c>
      <c r="C62" s="4">
        <v>8</v>
      </c>
      <c r="D62" s="4">
        <v>5</v>
      </c>
      <c r="E62" s="4">
        <v>55</v>
      </c>
      <c r="F62" s="61">
        <v>47.352200000000003</v>
      </c>
      <c r="G62" s="61">
        <v>4.7199</v>
      </c>
      <c r="H62" s="61">
        <v>49.555900000000001</v>
      </c>
      <c r="I62" s="61">
        <v>33.013300000000001</v>
      </c>
      <c r="J62" s="61">
        <v>82.569199999999995</v>
      </c>
      <c r="K62" s="61">
        <v>41.284599999999998</v>
      </c>
      <c r="L62" s="61">
        <v>3.3229000000000002</v>
      </c>
      <c r="M62" s="61">
        <v>66.026600000000002</v>
      </c>
      <c r="N62" s="61">
        <v>74.297899999999998</v>
      </c>
      <c r="O62" s="61">
        <v>82.53325000000001</v>
      </c>
      <c r="P62" s="61">
        <v>12.371</v>
      </c>
      <c r="Q62" s="61">
        <v>74.297899999999998</v>
      </c>
      <c r="R62" s="61">
        <v>82.53325000000001</v>
      </c>
      <c r="S62" s="61">
        <v>20.642299999999999</v>
      </c>
      <c r="T62" s="61">
        <v>2.8000000000000004E-2</v>
      </c>
      <c r="U62" s="61">
        <v>2.8000000000000004E-3</v>
      </c>
      <c r="V62" s="61">
        <v>3.6960000000000007E-2</v>
      </c>
      <c r="W62" s="61">
        <v>2.4640000000000002E-2</v>
      </c>
      <c r="X62" s="61">
        <v>6.1600000000000009E-2</v>
      </c>
      <c r="Y62" s="61">
        <v>3.0800000000000004E-2</v>
      </c>
      <c r="Z62" s="61">
        <v>2.4640000000000005E-3</v>
      </c>
      <c r="AA62" s="61">
        <v>4.9280000000000004E-2</v>
      </c>
      <c r="AB62" s="61">
        <v>5.544000000000001E-2</v>
      </c>
      <c r="AC62" s="61">
        <v>6.1600000000000009E-2</v>
      </c>
      <c r="AD62" s="61">
        <v>9.2400000000000017E-3</v>
      </c>
      <c r="AE62" s="61">
        <v>5.544000000000001E-2</v>
      </c>
      <c r="AF62" s="61">
        <v>6.1600000000000009E-2</v>
      </c>
      <c r="AG62" s="61">
        <v>1.5400000000000002E-2</v>
      </c>
      <c r="AH62" s="60">
        <v>5.18</v>
      </c>
      <c r="AI62" s="60">
        <v>0.52</v>
      </c>
      <c r="AJ62" s="60">
        <v>6.84</v>
      </c>
      <c r="AK62" s="60">
        <v>4.5599999999999996</v>
      </c>
      <c r="AL62" s="60">
        <v>11.4</v>
      </c>
      <c r="AM62" s="60">
        <v>5.7</v>
      </c>
      <c r="AN62" s="60">
        <v>0.46</v>
      </c>
      <c r="AO62" s="60">
        <v>9.1150000000000002</v>
      </c>
      <c r="AP62" s="60">
        <v>10.255000000000001</v>
      </c>
      <c r="AQ62" s="60">
        <v>11.395</v>
      </c>
      <c r="AR62" s="60">
        <v>1.71</v>
      </c>
      <c r="AS62" s="60">
        <v>10.255000000000001</v>
      </c>
      <c r="AT62" s="60">
        <v>11.395</v>
      </c>
      <c r="AU62" s="60">
        <v>2.85</v>
      </c>
      <c r="AV62" s="62">
        <v>-5</v>
      </c>
      <c r="AW62" s="62">
        <v>0</v>
      </c>
      <c r="AX62" s="62">
        <v>-10</v>
      </c>
      <c r="AY62" s="62">
        <v>-6</v>
      </c>
      <c r="AZ62" s="62">
        <v>-18</v>
      </c>
      <c r="BA62" s="62">
        <v>-8</v>
      </c>
      <c r="BB62" s="62">
        <v>0</v>
      </c>
      <c r="BC62" s="62">
        <v>-4.5</v>
      </c>
      <c r="BD62" s="62">
        <v>-6</v>
      </c>
      <c r="BE62" s="62">
        <v>-6.5</v>
      </c>
      <c r="BF62" s="62">
        <v>0</v>
      </c>
      <c r="BG62" s="62">
        <v>-8</v>
      </c>
      <c r="BH62" s="62">
        <v>-9</v>
      </c>
      <c r="BI62" s="62">
        <v>-2</v>
      </c>
      <c r="BJ62" s="62">
        <v>-11</v>
      </c>
      <c r="BK62" s="62">
        <v>-12</v>
      </c>
      <c r="BL62" s="62">
        <v>-13.5</v>
      </c>
      <c r="BM62" s="62">
        <v>-1.5</v>
      </c>
      <c r="BN62" s="62">
        <v>-12</v>
      </c>
      <c r="BO62" s="62">
        <v>0</v>
      </c>
      <c r="BP62" s="4">
        <v>59</v>
      </c>
    </row>
    <row r="63" spans="1:68" x14ac:dyDescent="0.25">
      <c r="A63" s="4">
        <v>60</v>
      </c>
      <c r="B63" s="3" t="s">
        <v>2196</v>
      </c>
      <c r="C63" s="4">
        <v>8</v>
      </c>
      <c r="D63" s="4">
        <v>25</v>
      </c>
      <c r="E63" s="4">
        <v>80</v>
      </c>
      <c r="F63" s="61">
        <v>2990.1536999999998</v>
      </c>
      <c r="G63" s="61">
        <v>297.10739999999998</v>
      </c>
      <c r="H63" s="61">
        <v>3921.1389000000004</v>
      </c>
      <c r="I63" s="61">
        <v>2611.9593</v>
      </c>
      <c r="J63" s="61">
        <v>6533.0982000000004</v>
      </c>
      <c r="K63" s="61">
        <v>3266.5491000000002</v>
      </c>
      <c r="L63" s="61">
        <v>263.11590000000001</v>
      </c>
      <c r="M63" s="61">
        <v>5223.9186</v>
      </c>
      <c r="N63" s="61">
        <v>5878.5083999999997</v>
      </c>
      <c r="O63" s="61">
        <v>6529.8982500000002</v>
      </c>
      <c r="P63" s="61">
        <v>978.68475000000001</v>
      </c>
      <c r="Q63" s="61">
        <v>5878.5083999999997</v>
      </c>
      <c r="R63" s="61">
        <v>6529.8982500000002</v>
      </c>
      <c r="S63" s="61">
        <v>1633.2745500000001</v>
      </c>
      <c r="T63" s="61">
        <v>2.5750000000000002E-2</v>
      </c>
      <c r="U63" s="61">
        <v>2.575E-3</v>
      </c>
      <c r="V63" s="61">
        <v>3.3989999999999999E-2</v>
      </c>
      <c r="W63" s="61">
        <v>2.266E-2</v>
      </c>
      <c r="X63" s="61">
        <v>5.6649999999999999E-2</v>
      </c>
      <c r="Y63" s="61">
        <v>2.8324999999999999E-2</v>
      </c>
      <c r="Z63" s="61">
        <v>2.2660000000000002E-3</v>
      </c>
      <c r="AA63" s="61">
        <v>4.5319999999999999E-2</v>
      </c>
      <c r="AB63" s="61">
        <v>5.0985000000000003E-2</v>
      </c>
      <c r="AC63" s="61">
        <v>5.6649999999999999E-2</v>
      </c>
      <c r="AD63" s="61">
        <v>8.4974999999999998E-3</v>
      </c>
      <c r="AE63" s="61">
        <v>5.0985000000000003E-2</v>
      </c>
      <c r="AF63" s="61">
        <v>5.6649999999999999E-2</v>
      </c>
      <c r="AG63" s="61">
        <v>1.41625E-2</v>
      </c>
      <c r="AH63" s="60">
        <v>4.76</v>
      </c>
      <c r="AI63" s="60">
        <v>0.48</v>
      </c>
      <c r="AJ63" s="60">
        <v>6.29</v>
      </c>
      <c r="AK63" s="60">
        <v>4.1900000000000004</v>
      </c>
      <c r="AL63" s="60">
        <v>10.48</v>
      </c>
      <c r="AM63" s="60">
        <v>5.24</v>
      </c>
      <c r="AN63" s="60">
        <v>0.42</v>
      </c>
      <c r="AO63" s="60">
        <v>8.3849999999999998</v>
      </c>
      <c r="AP63" s="60">
        <v>9.43</v>
      </c>
      <c r="AQ63" s="60">
        <v>10.48</v>
      </c>
      <c r="AR63" s="60">
        <v>1.57</v>
      </c>
      <c r="AS63" s="60">
        <v>9.43</v>
      </c>
      <c r="AT63" s="60">
        <v>10.48</v>
      </c>
      <c r="AU63" s="60">
        <v>2.62</v>
      </c>
      <c r="AV63" s="62">
        <v>0</v>
      </c>
      <c r="AW63" s="62">
        <v>0</v>
      </c>
      <c r="AX63" s="62">
        <v>-3</v>
      </c>
      <c r="AY63" s="62">
        <v>0</v>
      </c>
      <c r="AZ63" s="62">
        <v>-10</v>
      </c>
      <c r="BA63" s="62">
        <v>-1</v>
      </c>
      <c r="BB63" s="62">
        <v>0</v>
      </c>
      <c r="BC63" s="62">
        <v>-1</v>
      </c>
      <c r="BD63" s="62">
        <v>-2</v>
      </c>
      <c r="BE63" s="62">
        <v>-2.5</v>
      </c>
      <c r="BF63" s="62">
        <v>0</v>
      </c>
      <c r="BG63" s="62">
        <v>-4</v>
      </c>
      <c r="BH63" s="62">
        <v>-5</v>
      </c>
      <c r="BI63" s="62">
        <v>0</v>
      </c>
      <c r="BJ63" s="62">
        <v>-6.5</v>
      </c>
      <c r="BK63" s="62">
        <v>-7.5</v>
      </c>
      <c r="BL63" s="62">
        <v>-9</v>
      </c>
      <c r="BM63" s="62">
        <v>0</v>
      </c>
      <c r="BN63" s="62">
        <v>-4</v>
      </c>
      <c r="BO63" s="62">
        <v>0</v>
      </c>
      <c r="BP63" s="4">
        <v>60</v>
      </c>
    </row>
    <row r="64" spans="1:68" x14ac:dyDescent="0.25">
      <c r="A64" s="4">
        <v>61</v>
      </c>
      <c r="B64" s="3" t="s">
        <v>2197</v>
      </c>
      <c r="C64" s="4">
        <v>8</v>
      </c>
      <c r="D64" s="4">
        <v>0</v>
      </c>
      <c r="E64" s="4">
        <v>80</v>
      </c>
      <c r="F64" s="61">
        <v>112.5</v>
      </c>
      <c r="G64" s="61">
        <v>11.299999999999999</v>
      </c>
      <c r="H64" s="61">
        <v>45</v>
      </c>
      <c r="I64" s="61">
        <v>30</v>
      </c>
      <c r="J64" s="61">
        <v>75</v>
      </c>
      <c r="K64" s="61">
        <v>37.5</v>
      </c>
      <c r="L64" s="61">
        <v>3</v>
      </c>
      <c r="M64" s="61">
        <v>60</v>
      </c>
      <c r="N64" s="61">
        <v>67.5</v>
      </c>
      <c r="O64" s="61">
        <v>75</v>
      </c>
      <c r="P64" s="61">
        <v>11.25</v>
      </c>
      <c r="Q64" s="61">
        <v>67.5</v>
      </c>
      <c r="R64" s="61">
        <v>75</v>
      </c>
      <c r="S64" s="61">
        <v>18.75</v>
      </c>
      <c r="T64" s="61">
        <v>2.0000000000000004E-2</v>
      </c>
      <c r="U64" s="61">
        <v>2E-3</v>
      </c>
      <c r="V64" s="61">
        <v>2.6400000000000003E-2</v>
      </c>
      <c r="W64" s="61">
        <v>1.7600000000000001E-2</v>
      </c>
      <c r="X64" s="61">
        <v>4.4000000000000004E-2</v>
      </c>
      <c r="Y64" s="61">
        <v>2.2000000000000002E-2</v>
      </c>
      <c r="Z64" s="61">
        <v>1.7600000000000003E-3</v>
      </c>
      <c r="AA64" s="61">
        <v>3.5200000000000002E-2</v>
      </c>
      <c r="AB64" s="61">
        <v>3.9600000000000003E-2</v>
      </c>
      <c r="AC64" s="61">
        <v>4.4000000000000004E-2</v>
      </c>
      <c r="AD64" s="61">
        <v>6.6000000000000008E-3</v>
      </c>
      <c r="AE64" s="61">
        <v>3.9600000000000003E-2</v>
      </c>
      <c r="AF64" s="61">
        <v>4.4000000000000004E-2</v>
      </c>
      <c r="AG64" s="61">
        <v>1.1000000000000001E-2</v>
      </c>
      <c r="AH64" s="60">
        <v>3.7</v>
      </c>
      <c r="AI64" s="60">
        <v>0.37</v>
      </c>
      <c r="AJ64" s="60">
        <v>4.88</v>
      </c>
      <c r="AK64" s="60">
        <v>3.26</v>
      </c>
      <c r="AL64" s="60">
        <v>8.14</v>
      </c>
      <c r="AM64" s="60">
        <v>4.07</v>
      </c>
      <c r="AN64" s="60">
        <v>0.33</v>
      </c>
      <c r="AO64" s="60">
        <v>6.51</v>
      </c>
      <c r="AP64" s="60">
        <v>7.3250000000000002</v>
      </c>
      <c r="AQ64" s="60">
        <v>8.14</v>
      </c>
      <c r="AR64" s="60">
        <v>1.22</v>
      </c>
      <c r="AS64" s="60">
        <v>7.3250000000000002</v>
      </c>
      <c r="AT64" s="60">
        <v>8.14</v>
      </c>
      <c r="AU64" s="60">
        <v>2.0350000000000001</v>
      </c>
      <c r="AV64" s="62">
        <v>-5</v>
      </c>
      <c r="AW64" s="62">
        <v>-1</v>
      </c>
      <c r="AX64" s="62">
        <v>-9</v>
      </c>
      <c r="AY64" s="62">
        <v>-6</v>
      </c>
      <c r="AZ64" s="62">
        <v>-14</v>
      </c>
      <c r="BA64" s="62">
        <v>-7</v>
      </c>
      <c r="BB64" s="62">
        <v>-1</v>
      </c>
      <c r="BC64" s="62">
        <v>-4</v>
      </c>
      <c r="BD64" s="62">
        <v>-5</v>
      </c>
      <c r="BE64" s="62">
        <v>-5</v>
      </c>
      <c r="BF64" s="62">
        <v>-1</v>
      </c>
      <c r="BG64" s="62">
        <v>-6.5</v>
      </c>
      <c r="BH64" s="62">
        <v>-7</v>
      </c>
      <c r="BI64" s="62">
        <v>-2</v>
      </c>
      <c r="BJ64" s="62">
        <v>-8.5</v>
      </c>
      <c r="BK64" s="62">
        <v>-9</v>
      </c>
      <c r="BL64" s="62">
        <v>-10.5</v>
      </c>
      <c r="BM64" s="62">
        <v>-1.5</v>
      </c>
      <c r="BN64" s="62">
        <v>-10</v>
      </c>
      <c r="BO64" s="62">
        <v>-1</v>
      </c>
      <c r="BP64" s="4">
        <v>61</v>
      </c>
    </row>
    <row r="65" spans="1:68" x14ac:dyDescent="0.25">
      <c r="A65" s="4">
        <v>62</v>
      </c>
      <c r="B65" s="3" t="s">
        <v>2198</v>
      </c>
      <c r="C65" s="4">
        <v>9</v>
      </c>
      <c r="D65" s="4">
        <v>0</v>
      </c>
      <c r="E65" s="4">
        <v>70</v>
      </c>
      <c r="F65" s="61">
        <v>7.5</v>
      </c>
      <c r="G65" s="61">
        <v>0.75</v>
      </c>
      <c r="H65" s="61">
        <v>3</v>
      </c>
      <c r="I65" s="61">
        <v>2</v>
      </c>
      <c r="J65" s="61">
        <v>5</v>
      </c>
      <c r="K65" s="61">
        <v>2.5</v>
      </c>
      <c r="L65" s="61">
        <v>0.2</v>
      </c>
      <c r="M65" s="61">
        <v>4</v>
      </c>
      <c r="N65" s="61">
        <v>4.5</v>
      </c>
      <c r="O65" s="61">
        <v>5</v>
      </c>
      <c r="P65" s="61">
        <v>0.75</v>
      </c>
      <c r="Q65" s="61">
        <v>4.5</v>
      </c>
      <c r="R65" s="61">
        <v>5</v>
      </c>
      <c r="S65" s="61">
        <v>1.25</v>
      </c>
      <c r="T65" s="61">
        <v>2.75E-2</v>
      </c>
      <c r="U65" s="61">
        <v>2.8E-3</v>
      </c>
      <c r="V65" s="61">
        <v>3.9E-2</v>
      </c>
      <c r="W65" s="61">
        <v>2.5999999999999999E-2</v>
      </c>
      <c r="X65" s="61">
        <v>6.5000000000000002E-2</v>
      </c>
      <c r="Y65" s="61">
        <v>3.2500000000000001E-2</v>
      </c>
      <c r="Z65" s="61">
        <v>2.5999999999999999E-3</v>
      </c>
      <c r="AA65" s="61">
        <v>5.1999999999999998E-2</v>
      </c>
      <c r="AB65" s="61">
        <v>5.8500000000000003E-2</v>
      </c>
      <c r="AC65" s="61">
        <v>6.5000000000000002E-2</v>
      </c>
      <c r="AD65" s="61">
        <v>9.75E-3</v>
      </c>
      <c r="AE65" s="61">
        <v>5.8500000000000003E-2</v>
      </c>
      <c r="AF65" s="61">
        <v>6.5000000000000002E-2</v>
      </c>
      <c r="AG65" s="61">
        <v>1.6250000000000001E-2</v>
      </c>
      <c r="AH65" s="60">
        <v>5.09</v>
      </c>
      <c r="AI65" s="60">
        <v>0.52</v>
      </c>
      <c r="AJ65" s="60">
        <v>7.22</v>
      </c>
      <c r="AK65" s="60">
        <v>4.8099999999999996</v>
      </c>
      <c r="AL65" s="60">
        <v>12.03</v>
      </c>
      <c r="AM65" s="60">
        <v>6.01</v>
      </c>
      <c r="AN65" s="60">
        <v>0.48</v>
      </c>
      <c r="AO65" s="60">
        <v>9.6199999999999992</v>
      </c>
      <c r="AP65" s="60">
        <v>10.824999999999999</v>
      </c>
      <c r="AQ65" s="60">
        <v>12.025</v>
      </c>
      <c r="AR65" s="60">
        <v>1.8049999999999999</v>
      </c>
      <c r="AS65" s="60">
        <v>10.824999999999999</v>
      </c>
      <c r="AT65" s="60">
        <v>12.025</v>
      </c>
      <c r="AU65" s="60">
        <v>3.0049999999999999</v>
      </c>
      <c r="AV65" s="62">
        <v>-8</v>
      </c>
      <c r="AW65" s="62">
        <v>-1</v>
      </c>
      <c r="AX65" s="62">
        <v>-14</v>
      </c>
      <c r="AY65" s="62">
        <v>-9</v>
      </c>
      <c r="AZ65" s="62">
        <v>-23</v>
      </c>
      <c r="BA65" s="62">
        <v>-11</v>
      </c>
      <c r="BB65" s="62">
        <v>-1</v>
      </c>
      <c r="BC65" s="62">
        <v>-5.5</v>
      </c>
      <c r="BD65" s="62">
        <v>-6.5</v>
      </c>
      <c r="BE65" s="62">
        <v>-7</v>
      </c>
      <c r="BF65" s="62">
        <v>-1</v>
      </c>
      <c r="BG65" s="62">
        <v>-8.5</v>
      </c>
      <c r="BH65" s="62">
        <v>-9.5</v>
      </c>
      <c r="BI65" s="62">
        <v>-2.5</v>
      </c>
      <c r="BJ65" s="62">
        <v>-11</v>
      </c>
      <c r="BK65" s="62">
        <v>-12.5</v>
      </c>
      <c r="BL65" s="62">
        <v>-14</v>
      </c>
      <c r="BM65" s="62">
        <v>-2</v>
      </c>
      <c r="BN65" s="62">
        <v>-14</v>
      </c>
      <c r="BO65" s="62">
        <v>-1</v>
      </c>
      <c r="BP65" s="4">
        <v>62</v>
      </c>
    </row>
    <row r="66" spans="1:68" x14ac:dyDescent="0.25">
      <c r="A66" s="4">
        <v>63</v>
      </c>
      <c r="B66" s="3" t="s">
        <v>2199</v>
      </c>
      <c r="C66" s="4">
        <v>9</v>
      </c>
      <c r="D66" s="4">
        <v>5</v>
      </c>
      <c r="E66" s="4">
        <v>75</v>
      </c>
      <c r="F66" s="61">
        <v>9.8331</v>
      </c>
      <c r="G66" s="61">
        <v>0.98429999999999995</v>
      </c>
      <c r="H66" s="61">
        <v>4.3997999999999999</v>
      </c>
      <c r="I66" s="61">
        <v>2.9329000000000001</v>
      </c>
      <c r="J66" s="61">
        <v>7.3327</v>
      </c>
      <c r="K66" s="61">
        <v>3.6659000000000002</v>
      </c>
      <c r="L66" s="61">
        <v>0.29320000000000002</v>
      </c>
      <c r="M66" s="61">
        <v>5.8658000000000001</v>
      </c>
      <c r="N66" s="61">
        <v>6.5992499999999996</v>
      </c>
      <c r="O66" s="61">
        <v>7.3322500000000002</v>
      </c>
      <c r="P66" s="61">
        <v>1.09995</v>
      </c>
      <c r="Q66" s="61">
        <v>6.5992499999999996</v>
      </c>
      <c r="R66" s="61">
        <v>7.3322500000000002</v>
      </c>
      <c r="S66" s="61">
        <v>1.8329500000000001</v>
      </c>
      <c r="T66" s="61">
        <v>2.75E-2</v>
      </c>
      <c r="U66" s="61">
        <v>2.8E-3</v>
      </c>
      <c r="V66" s="61">
        <v>3.9E-2</v>
      </c>
      <c r="W66" s="61">
        <v>2.5999999999999999E-2</v>
      </c>
      <c r="X66" s="61">
        <v>6.5000000000000002E-2</v>
      </c>
      <c r="Y66" s="61">
        <v>3.2500000000000001E-2</v>
      </c>
      <c r="Z66" s="61">
        <v>2.5999999999999999E-3</v>
      </c>
      <c r="AA66" s="61">
        <v>5.1999999999999998E-2</v>
      </c>
      <c r="AB66" s="61">
        <v>5.8500000000000003E-2</v>
      </c>
      <c r="AC66" s="61">
        <v>6.5000000000000002E-2</v>
      </c>
      <c r="AD66" s="61">
        <v>9.75E-3</v>
      </c>
      <c r="AE66" s="61">
        <v>5.8500000000000003E-2</v>
      </c>
      <c r="AF66" s="61">
        <v>6.5000000000000002E-2</v>
      </c>
      <c r="AG66" s="61">
        <v>1.6250000000000001E-2</v>
      </c>
      <c r="AH66" s="60">
        <v>5.09</v>
      </c>
      <c r="AI66" s="60">
        <v>0.52</v>
      </c>
      <c r="AJ66" s="60">
        <v>7.22</v>
      </c>
      <c r="AK66" s="60">
        <v>4.8099999999999996</v>
      </c>
      <c r="AL66" s="60">
        <v>12.03</v>
      </c>
      <c r="AM66" s="60">
        <v>6.01</v>
      </c>
      <c r="AN66" s="60">
        <v>0.48</v>
      </c>
      <c r="AO66" s="60">
        <v>9.6199999999999992</v>
      </c>
      <c r="AP66" s="60">
        <v>10.824999999999999</v>
      </c>
      <c r="AQ66" s="60">
        <v>12.025</v>
      </c>
      <c r="AR66" s="60">
        <v>1.8049999999999999</v>
      </c>
      <c r="AS66" s="60">
        <v>10.824999999999999</v>
      </c>
      <c r="AT66" s="60">
        <v>12.025</v>
      </c>
      <c r="AU66" s="60">
        <v>3.0049999999999999</v>
      </c>
      <c r="AV66" s="62">
        <v>-6</v>
      </c>
      <c r="AW66" s="62">
        <v>0</v>
      </c>
      <c r="AX66" s="62">
        <v>-12</v>
      </c>
      <c r="AY66" s="62">
        <v>-7</v>
      </c>
      <c r="AZ66" s="62">
        <v>-21</v>
      </c>
      <c r="BA66" s="62">
        <v>-9</v>
      </c>
      <c r="BB66" s="62">
        <v>0</v>
      </c>
      <c r="BC66" s="62">
        <v>-4.5</v>
      </c>
      <c r="BD66" s="62">
        <v>-5.5</v>
      </c>
      <c r="BE66" s="62">
        <v>-6</v>
      </c>
      <c r="BF66" s="62">
        <v>0</v>
      </c>
      <c r="BG66" s="62">
        <v>-7.5</v>
      </c>
      <c r="BH66" s="62">
        <v>-8.5</v>
      </c>
      <c r="BI66" s="62">
        <v>-1.5</v>
      </c>
      <c r="BJ66" s="62">
        <v>-10</v>
      </c>
      <c r="BK66" s="62">
        <v>-11.5</v>
      </c>
      <c r="BL66" s="62">
        <v>-13</v>
      </c>
      <c r="BM66" s="62">
        <v>-1</v>
      </c>
      <c r="BN66" s="62">
        <v>-12</v>
      </c>
      <c r="BO66" s="62">
        <v>0</v>
      </c>
      <c r="BP66" s="4">
        <v>63</v>
      </c>
    </row>
    <row r="67" spans="1:68" x14ac:dyDescent="0.25">
      <c r="A67" s="4">
        <v>64</v>
      </c>
      <c r="B67" s="3" t="s">
        <v>2200</v>
      </c>
      <c r="C67" s="4">
        <v>9</v>
      </c>
      <c r="D67" s="4">
        <v>10</v>
      </c>
      <c r="E67" s="4">
        <v>80</v>
      </c>
      <c r="F67" s="61">
        <v>13.7441</v>
      </c>
      <c r="G67" s="61">
        <v>1.3797999999999999</v>
      </c>
      <c r="H67" s="61">
        <v>8.0378000000000007</v>
      </c>
      <c r="I67" s="61">
        <v>5.3568999999999996</v>
      </c>
      <c r="J67" s="61">
        <v>13.3947</v>
      </c>
      <c r="K67" s="61">
        <v>6.6948999999999996</v>
      </c>
      <c r="L67" s="61">
        <v>0.53520000000000001</v>
      </c>
      <c r="M67" s="61">
        <v>10.713799999999999</v>
      </c>
      <c r="N67" s="61">
        <v>12.05425</v>
      </c>
      <c r="O67" s="61">
        <v>13.392250000000001</v>
      </c>
      <c r="P67" s="61">
        <v>2.0094500000000002</v>
      </c>
      <c r="Q67" s="61">
        <v>12.05425</v>
      </c>
      <c r="R67" s="61">
        <v>13.392250000000001</v>
      </c>
      <c r="S67" s="61">
        <v>3.3474499999999998</v>
      </c>
      <c r="T67" s="61">
        <v>2.75E-2</v>
      </c>
      <c r="U67" s="61">
        <v>2.8E-3</v>
      </c>
      <c r="V67" s="61">
        <v>3.9E-2</v>
      </c>
      <c r="W67" s="61">
        <v>2.5999999999999999E-2</v>
      </c>
      <c r="X67" s="61">
        <v>6.5000000000000002E-2</v>
      </c>
      <c r="Y67" s="61">
        <v>3.2500000000000001E-2</v>
      </c>
      <c r="Z67" s="61">
        <v>2.5999999999999999E-3</v>
      </c>
      <c r="AA67" s="61">
        <v>5.1999999999999998E-2</v>
      </c>
      <c r="AB67" s="61">
        <v>5.8500000000000003E-2</v>
      </c>
      <c r="AC67" s="61">
        <v>6.5000000000000002E-2</v>
      </c>
      <c r="AD67" s="61">
        <v>9.75E-3</v>
      </c>
      <c r="AE67" s="61">
        <v>5.8500000000000003E-2</v>
      </c>
      <c r="AF67" s="61">
        <v>6.5000000000000002E-2</v>
      </c>
      <c r="AG67" s="61">
        <v>1.6250000000000001E-2</v>
      </c>
      <c r="AH67" s="60">
        <v>5.09</v>
      </c>
      <c r="AI67" s="60">
        <v>0.52</v>
      </c>
      <c r="AJ67" s="60">
        <v>7.22</v>
      </c>
      <c r="AK67" s="60">
        <v>4.8099999999999996</v>
      </c>
      <c r="AL67" s="60">
        <v>12.03</v>
      </c>
      <c r="AM67" s="60">
        <v>6.01</v>
      </c>
      <c r="AN67" s="60">
        <v>0.48</v>
      </c>
      <c r="AO67" s="60">
        <v>9.6199999999999992</v>
      </c>
      <c r="AP67" s="60">
        <v>10.824999999999999</v>
      </c>
      <c r="AQ67" s="60">
        <v>12.025</v>
      </c>
      <c r="AR67" s="60">
        <v>1.8049999999999999</v>
      </c>
      <c r="AS67" s="60">
        <v>10.824999999999999</v>
      </c>
      <c r="AT67" s="60">
        <v>12.025</v>
      </c>
      <c r="AU67" s="60">
        <v>3.0049999999999999</v>
      </c>
      <c r="AV67" s="62">
        <v>-5</v>
      </c>
      <c r="AW67" s="62">
        <v>0</v>
      </c>
      <c r="AX67" s="62">
        <v>-11</v>
      </c>
      <c r="AY67" s="62">
        <v>-6</v>
      </c>
      <c r="AZ67" s="62">
        <v>-20</v>
      </c>
      <c r="BA67" s="62">
        <v>-8</v>
      </c>
      <c r="BB67" s="62">
        <v>0</v>
      </c>
      <c r="BC67" s="62">
        <v>-4</v>
      </c>
      <c r="BD67" s="62">
        <v>-5</v>
      </c>
      <c r="BE67" s="62">
        <v>-5.5</v>
      </c>
      <c r="BF67" s="62">
        <v>0</v>
      </c>
      <c r="BG67" s="62">
        <v>-7</v>
      </c>
      <c r="BH67" s="62">
        <v>-8</v>
      </c>
      <c r="BI67" s="62">
        <v>-1</v>
      </c>
      <c r="BJ67" s="62">
        <v>-9.5</v>
      </c>
      <c r="BK67" s="62">
        <v>-11</v>
      </c>
      <c r="BL67" s="62">
        <v>-12.5</v>
      </c>
      <c r="BM67" s="62">
        <v>-0.5</v>
      </c>
      <c r="BN67" s="62">
        <v>-11</v>
      </c>
      <c r="BO67" s="62">
        <v>0</v>
      </c>
      <c r="BP67" s="4">
        <v>64</v>
      </c>
    </row>
    <row r="68" spans="1:68" x14ac:dyDescent="0.25">
      <c r="A68" s="4">
        <v>65</v>
      </c>
      <c r="B68" s="3" t="s">
        <v>2201</v>
      </c>
      <c r="C68" s="4">
        <v>9</v>
      </c>
      <c r="D68" s="4">
        <v>15</v>
      </c>
      <c r="E68" s="4">
        <v>85</v>
      </c>
      <c r="F68" s="61">
        <v>18.539099999999998</v>
      </c>
      <c r="G68" s="61">
        <v>1.8648000000000002</v>
      </c>
      <c r="H68" s="61">
        <v>12.547799999999999</v>
      </c>
      <c r="I68" s="61">
        <v>8.3619000000000003</v>
      </c>
      <c r="J68" s="61">
        <v>20.909700000000001</v>
      </c>
      <c r="K68" s="61">
        <v>10.4499</v>
      </c>
      <c r="L68" s="61">
        <v>0.83519999999999994</v>
      </c>
      <c r="M68" s="61">
        <v>16.723800000000001</v>
      </c>
      <c r="N68" s="61">
        <v>18.816749999999999</v>
      </c>
      <c r="O68" s="61">
        <v>20.90475</v>
      </c>
      <c r="P68" s="61">
        <v>3.1369499999999997</v>
      </c>
      <c r="Q68" s="61">
        <v>18.816749999999999</v>
      </c>
      <c r="R68" s="61">
        <v>20.90475</v>
      </c>
      <c r="S68" s="61">
        <v>5.2249499999999998</v>
      </c>
      <c r="T68" s="61">
        <v>2.7224999999999999E-2</v>
      </c>
      <c r="U68" s="61">
        <v>2.7720000000000002E-3</v>
      </c>
      <c r="V68" s="61">
        <v>3.8609999999999998E-2</v>
      </c>
      <c r="W68" s="61">
        <v>2.5739999999999999E-2</v>
      </c>
      <c r="X68" s="61">
        <v>6.4350000000000004E-2</v>
      </c>
      <c r="Y68" s="61">
        <v>3.2175000000000002E-2</v>
      </c>
      <c r="Z68" s="61">
        <v>2.5739999999999999E-3</v>
      </c>
      <c r="AA68" s="61">
        <v>5.1479999999999998E-2</v>
      </c>
      <c r="AB68" s="61">
        <v>5.7915000000000001E-2</v>
      </c>
      <c r="AC68" s="61">
        <v>6.4350000000000004E-2</v>
      </c>
      <c r="AD68" s="61">
        <v>9.6524999999999996E-3</v>
      </c>
      <c r="AE68" s="61">
        <v>5.7915000000000001E-2</v>
      </c>
      <c r="AF68" s="61">
        <v>6.4350000000000004E-2</v>
      </c>
      <c r="AG68" s="61">
        <v>1.6087500000000001E-2</v>
      </c>
      <c r="AH68" s="60">
        <v>5.04</v>
      </c>
      <c r="AI68" s="60">
        <v>0.51</v>
      </c>
      <c r="AJ68" s="60">
        <v>7.14</v>
      </c>
      <c r="AK68" s="60">
        <v>4.76</v>
      </c>
      <c r="AL68" s="60">
        <v>11.9</v>
      </c>
      <c r="AM68" s="60">
        <v>5.95</v>
      </c>
      <c r="AN68" s="60">
        <v>0.48</v>
      </c>
      <c r="AO68" s="60">
        <v>9.5250000000000004</v>
      </c>
      <c r="AP68" s="60">
        <v>10.715</v>
      </c>
      <c r="AQ68" s="60">
        <v>11.904999999999999</v>
      </c>
      <c r="AR68" s="60">
        <v>1.7849999999999999</v>
      </c>
      <c r="AS68" s="60">
        <v>10.715</v>
      </c>
      <c r="AT68" s="60">
        <v>11.904999999999999</v>
      </c>
      <c r="AU68" s="60">
        <v>2.9750000000000001</v>
      </c>
      <c r="AV68" s="62">
        <v>-3</v>
      </c>
      <c r="AW68" s="62">
        <v>0</v>
      </c>
      <c r="AX68" s="62">
        <v>-9</v>
      </c>
      <c r="AY68" s="62">
        <v>-4</v>
      </c>
      <c r="AZ68" s="62">
        <v>-18</v>
      </c>
      <c r="BA68" s="62">
        <v>-6</v>
      </c>
      <c r="BB68" s="62">
        <v>0</v>
      </c>
      <c r="BC68" s="62">
        <v>-3</v>
      </c>
      <c r="BD68" s="62">
        <v>-4</v>
      </c>
      <c r="BE68" s="62">
        <v>-4.5</v>
      </c>
      <c r="BF68" s="62">
        <v>0</v>
      </c>
      <c r="BG68" s="62">
        <v>-6</v>
      </c>
      <c r="BH68" s="62">
        <v>-7</v>
      </c>
      <c r="BI68" s="62">
        <v>0</v>
      </c>
      <c r="BJ68" s="62">
        <v>-8.5</v>
      </c>
      <c r="BK68" s="62">
        <v>-10</v>
      </c>
      <c r="BL68" s="62">
        <v>-11.5</v>
      </c>
      <c r="BM68" s="62">
        <v>0</v>
      </c>
      <c r="BN68" s="62">
        <v>-9</v>
      </c>
      <c r="BO68" s="62">
        <v>0</v>
      </c>
      <c r="BP68" s="4">
        <v>65</v>
      </c>
    </row>
    <row r="69" spans="1:68" x14ac:dyDescent="0.25">
      <c r="A69" s="4">
        <v>66</v>
      </c>
      <c r="B69" s="3" t="s">
        <v>2202</v>
      </c>
      <c r="C69" s="4">
        <v>9</v>
      </c>
      <c r="D69" s="4">
        <v>20</v>
      </c>
      <c r="E69" s="4">
        <v>90</v>
      </c>
      <c r="F69" s="61">
        <v>41.149100000000004</v>
      </c>
      <c r="G69" s="61">
        <v>4.1698000000000004</v>
      </c>
      <c r="H69" s="61">
        <v>42.327799999999996</v>
      </c>
      <c r="I69" s="61">
        <v>28.201899999999998</v>
      </c>
      <c r="J69" s="61">
        <v>70.529699999999991</v>
      </c>
      <c r="K69" s="61">
        <v>35.239899999999999</v>
      </c>
      <c r="L69" s="61">
        <v>2.8151999999999999</v>
      </c>
      <c r="M69" s="61">
        <v>56.403799999999997</v>
      </c>
      <c r="N69" s="61">
        <v>63.466750000000005</v>
      </c>
      <c r="O69" s="61">
        <v>70.504750000000001</v>
      </c>
      <c r="P69" s="61">
        <v>10.581949999999999</v>
      </c>
      <c r="Q69" s="61">
        <v>63.466750000000005</v>
      </c>
      <c r="R69" s="61">
        <v>70.504750000000001</v>
      </c>
      <c r="S69" s="61">
        <v>17.619949999999999</v>
      </c>
      <c r="T69" s="61">
        <v>2.7224999999999999E-2</v>
      </c>
      <c r="U69" s="61">
        <v>2.7720000000000002E-3</v>
      </c>
      <c r="V69" s="61">
        <v>3.8609999999999998E-2</v>
      </c>
      <c r="W69" s="61">
        <v>2.5739999999999999E-2</v>
      </c>
      <c r="X69" s="61">
        <v>6.4350000000000004E-2</v>
      </c>
      <c r="Y69" s="61">
        <v>3.2175000000000002E-2</v>
      </c>
      <c r="Z69" s="61">
        <v>2.5739999999999999E-3</v>
      </c>
      <c r="AA69" s="61">
        <v>5.1479999999999998E-2</v>
      </c>
      <c r="AB69" s="61">
        <v>5.7915000000000001E-2</v>
      </c>
      <c r="AC69" s="61">
        <v>6.4350000000000004E-2</v>
      </c>
      <c r="AD69" s="61">
        <v>9.6524999999999996E-3</v>
      </c>
      <c r="AE69" s="61">
        <v>5.7915000000000001E-2</v>
      </c>
      <c r="AF69" s="61">
        <v>6.4350000000000004E-2</v>
      </c>
      <c r="AG69" s="61">
        <v>1.6087500000000001E-2</v>
      </c>
      <c r="AH69" s="60">
        <v>5.04</v>
      </c>
      <c r="AI69" s="60">
        <v>0.51</v>
      </c>
      <c r="AJ69" s="60">
        <v>7.14</v>
      </c>
      <c r="AK69" s="60">
        <v>4.76</v>
      </c>
      <c r="AL69" s="60">
        <v>11.9</v>
      </c>
      <c r="AM69" s="60">
        <v>5.95</v>
      </c>
      <c r="AN69" s="60">
        <v>0.48</v>
      </c>
      <c r="AO69" s="60">
        <v>9.5250000000000004</v>
      </c>
      <c r="AP69" s="60">
        <v>10.715</v>
      </c>
      <c r="AQ69" s="60">
        <v>11.904999999999999</v>
      </c>
      <c r="AR69" s="60">
        <v>1.7849999999999999</v>
      </c>
      <c r="AS69" s="60">
        <v>10.715</v>
      </c>
      <c r="AT69" s="60">
        <v>11.904999999999999</v>
      </c>
      <c r="AU69" s="60">
        <v>2.9750000000000001</v>
      </c>
      <c r="AV69" s="62">
        <v>-1</v>
      </c>
      <c r="AW69" s="62">
        <v>0</v>
      </c>
      <c r="AX69" s="62">
        <v>-7</v>
      </c>
      <c r="AY69" s="62">
        <v>-2</v>
      </c>
      <c r="AZ69" s="62">
        <v>-16</v>
      </c>
      <c r="BA69" s="62">
        <v>-4</v>
      </c>
      <c r="BB69" s="62">
        <v>0</v>
      </c>
      <c r="BC69" s="62">
        <v>-2</v>
      </c>
      <c r="BD69" s="62">
        <v>-3</v>
      </c>
      <c r="BE69" s="62">
        <v>-3.5</v>
      </c>
      <c r="BF69" s="62">
        <v>0</v>
      </c>
      <c r="BG69" s="62">
        <v>-5</v>
      </c>
      <c r="BH69" s="62">
        <v>-6</v>
      </c>
      <c r="BI69" s="62">
        <v>0</v>
      </c>
      <c r="BJ69" s="62">
        <v>-7.5</v>
      </c>
      <c r="BK69" s="62">
        <v>-9</v>
      </c>
      <c r="BL69" s="62">
        <v>-10.5</v>
      </c>
      <c r="BM69" s="62">
        <v>0</v>
      </c>
      <c r="BN69" s="62">
        <v>-7</v>
      </c>
      <c r="BO69" s="62">
        <v>0</v>
      </c>
      <c r="BP69" s="4">
        <v>66</v>
      </c>
    </row>
    <row r="70" spans="1:68" x14ac:dyDescent="0.25">
      <c r="A70" s="4">
        <v>67</v>
      </c>
      <c r="B70" s="3" t="s">
        <v>2203</v>
      </c>
      <c r="C70" s="4">
        <v>9</v>
      </c>
      <c r="D70" s="4">
        <v>-30</v>
      </c>
      <c r="E70" s="4">
        <v>40</v>
      </c>
      <c r="F70" s="61">
        <v>3265.0491000000002</v>
      </c>
      <c r="G70" s="61">
        <v>333.54480000000001</v>
      </c>
      <c r="H70" s="61">
        <v>4623.7277999999997</v>
      </c>
      <c r="I70" s="61">
        <v>3080.3518999999997</v>
      </c>
      <c r="J70" s="61">
        <v>7704.0796999999993</v>
      </c>
      <c r="K70" s="61">
        <v>3848.8398999999999</v>
      </c>
      <c r="L70" s="61">
        <v>307.39519999999999</v>
      </c>
      <c r="M70" s="61">
        <v>6160.7037999999993</v>
      </c>
      <c r="N70" s="61">
        <v>6932.3917499999998</v>
      </c>
      <c r="O70" s="61">
        <v>7700.8797500000001</v>
      </c>
      <c r="P70" s="61">
        <v>1155.9319499999999</v>
      </c>
      <c r="Q70" s="61">
        <v>6932.3917499999998</v>
      </c>
      <c r="R70" s="61">
        <v>7700.8797500000001</v>
      </c>
      <c r="S70" s="61">
        <v>1924.41995</v>
      </c>
      <c r="T70" s="61">
        <v>6.7375000000000004E-2</v>
      </c>
      <c r="U70" s="61">
        <v>6.8600000000000006E-3</v>
      </c>
      <c r="V70" s="61">
        <v>9.555000000000001E-2</v>
      </c>
      <c r="W70" s="61">
        <v>6.3700000000000007E-2</v>
      </c>
      <c r="X70" s="61">
        <v>0.15925000000000003</v>
      </c>
      <c r="Y70" s="61">
        <v>7.9625000000000015E-2</v>
      </c>
      <c r="Z70" s="61">
        <v>6.3699999999999998E-3</v>
      </c>
      <c r="AA70" s="61">
        <v>0.12740000000000001</v>
      </c>
      <c r="AB70" s="61">
        <v>0.14332500000000001</v>
      </c>
      <c r="AC70" s="61">
        <v>0.15925000000000003</v>
      </c>
      <c r="AD70" s="61">
        <v>2.3887500000000002E-2</v>
      </c>
      <c r="AE70" s="61">
        <v>0.14332500000000001</v>
      </c>
      <c r="AF70" s="61">
        <v>0.15925000000000003</v>
      </c>
      <c r="AG70" s="61">
        <v>3.9812500000000008E-2</v>
      </c>
      <c r="AH70" s="60">
        <v>12.46</v>
      </c>
      <c r="AI70" s="60">
        <v>1.27</v>
      </c>
      <c r="AJ70" s="60">
        <v>17.68</v>
      </c>
      <c r="AK70" s="60">
        <v>11.78</v>
      </c>
      <c r="AL70" s="60">
        <v>29.46</v>
      </c>
      <c r="AM70" s="60">
        <v>14.73</v>
      </c>
      <c r="AN70" s="60">
        <v>1.18</v>
      </c>
      <c r="AO70" s="60">
        <v>23.57</v>
      </c>
      <c r="AP70" s="60">
        <v>26.515000000000001</v>
      </c>
      <c r="AQ70" s="60">
        <v>29.46</v>
      </c>
      <c r="AR70" s="60">
        <v>4.42</v>
      </c>
      <c r="AS70" s="60">
        <v>26.515000000000001</v>
      </c>
      <c r="AT70" s="60">
        <v>29.46</v>
      </c>
      <c r="AU70" s="60">
        <v>7.3650000000000002</v>
      </c>
      <c r="AV70" s="62">
        <v>-44</v>
      </c>
      <c r="AW70" s="62">
        <v>-27</v>
      </c>
      <c r="AX70" s="62">
        <v>-59</v>
      </c>
      <c r="AY70" s="62">
        <v>-47</v>
      </c>
      <c r="AZ70" s="62">
        <v>-81</v>
      </c>
      <c r="BA70" s="62">
        <v>-51</v>
      </c>
      <c r="BB70" s="62">
        <v>-27</v>
      </c>
      <c r="BC70" s="62">
        <v>-25.5</v>
      </c>
      <c r="BD70" s="62">
        <v>-28</v>
      </c>
      <c r="BE70" s="62">
        <v>-29.5</v>
      </c>
      <c r="BF70" s="62">
        <v>-14.5</v>
      </c>
      <c r="BG70" s="62">
        <v>-33</v>
      </c>
      <c r="BH70" s="62">
        <v>-35.5</v>
      </c>
      <c r="BI70" s="62">
        <v>-18.5</v>
      </c>
      <c r="BJ70" s="62">
        <v>-39</v>
      </c>
      <c r="BK70" s="62">
        <v>-43</v>
      </c>
      <c r="BL70" s="62">
        <v>-46.5</v>
      </c>
      <c r="BM70" s="62">
        <v>-17</v>
      </c>
      <c r="BN70" s="62">
        <v>-59</v>
      </c>
      <c r="BO70" s="62">
        <v>-27</v>
      </c>
      <c r="BP70" s="4">
        <v>67</v>
      </c>
    </row>
    <row r="71" spans="1:68" x14ac:dyDescent="0.25">
      <c r="A71" s="4">
        <v>68</v>
      </c>
      <c r="B71" s="3" t="s">
        <v>2204</v>
      </c>
      <c r="C71" s="4">
        <v>9</v>
      </c>
      <c r="D71" s="4">
        <v>-20</v>
      </c>
      <c r="E71" s="4">
        <v>45</v>
      </c>
      <c r="F71" s="61">
        <v>333.20909999999998</v>
      </c>
      <c r="G71" s="61">
        <v>34.024799999999999</v>
      </c>
      <c r="H71" s="61">
        <v>465.00779999999997</v>
      </c>
      <c r="I71" s="61">
        <v>309.7919</v>
      </c>
      <c r="J71" s="61">
        <v>774.79970000000003</v>
      </c>
      <c r="K71" s="61">
        <v>387.07990000000001</v>
      </c>
      <c r="L71" s="61">
        <v>30.915199999999999</v>
      </c>
      <c r="M71" s="61">
        <v>619.5838</v>
      </c>
      <c r="N71" s="61">
        <v>697.19174999999996</v>
      </c>
      <c r="O71" s="61">
        <v>774.47975000000008</v>
      </c>
      <c r="P71" s="61">
        <v>116.25194999999999</v>
      </c>
      <c r="Q71" s="61">
        <v>697.19174999999996</v>
      </c>
      <c r="R71" s="61">
        <v>774.47975000000008</v>
      </c>
      <c r="S71" s="61">
        <v>193.53995</v>
      </c>
      <c r="T71" s="61">
        <v>3.6575000000000003E-2</v>
      </c>
      <c r="U71" s="61">
        <v>3.7240000000000003E-3</v>
      </c>
      <c r="V71" s="61">
        <v>5.1869999999999999E-2</v>
      </c>
      <c r="W71" s="61">
        <v>3.458E-2</v>
      </c>
      <c r="X71" s="61">
        <v>8.6450000000000013E-2</v>
      </c>
      <c r="Y71" s="61">
        <v>4.3225000000000006E-2</v>
      </c>
      <c r="Z71" s="61">
        <v>3.4580000000000001E-3</v>
      </c>
      <c r="AA71" s="61">
        <v>6.9159999999999999E-2</v>
      </c>
      <c r="AB71" s="61">
        <v>7.7805000000000013E-2</v>
      </c>
      <c r="AC71" s="61">
        <v>8.6450000000000013E-2</v>
      </c>
      <c r="AD71" s="61">
        <v>1.29675E-2</v>
      </c>
      <c r="AE71" s="61">
        <v>7.7805000000000013E-2</v>
      </c>
      <c r="AF71" s="61">
        <v>8.6450000000000013E-2</v>
      </c>
      <c r="AG71" s="61">
        <v>2.1612500000000003E-2</v>
      </c>
      <c r="AH71" s="60">
        <v>6.77</v>
      </c>
      <c r="AI71" s="60">
        <v>0.69</v>
      </c>
      <c r="AJ71" s="60">
        <v>9.6</v>
      </c>
      <c r="AK71" s="60">
        <v>6.4</v>
      </c>
      <c r="AL71" s="60">
        <v>15.99</v>
      </c>
      <c r="AM71" s="60">
        <v>8</v>
      </c>
      <c r="AN71" s="60">
        <v>0.64</v>
      </c>
      <c r="AO71" s="60">
        <v>12.795</v>
      </c>
      <c r="AP71" s="60">
        <v>14.395</v>
      </c>
      <c r="AQ71" s="60">
        <v>15.994999999999999</v>
      </c>
      <c r="AR71" s="60">
        <v>2.4</v>
      </c>
      <c r="AS71" s="60">
        <v>14.395</v>
      </c>
      <c r="AT71" s="60">
        <v>15.994999999999999</v>
      </c>
      <c r="AU71" s="60">
        <v>4</v>
      </c>
      <c r="AV71" s="62">
        <v>-20</v>
      </c>
      <c r="AW71" s="62">
        <v>-10</v>
      </c>
      <c r="AX71" s="62">
        <v>-27</v>
      </c>
      <c r="AY71" s="62">
        <v>-21</v>
      </c>
      <c r="AZ71" s="62">
        <v>-39</v>
      </c>
      <c r="BA71" s="62">
        <v>-24</v>
      </c>
      <c r="BB71" s="62">
        <v>-10</v>
      </c>
      <c r="BC71" s="62">
        <v>-11.5</v>
      </c>
      <c r="BD71" s="62">
        <v>-13</v>
      </c>
      <c r="BE71" s="62">
        <v>-13.5</v>
      </c>
      <c r="BF71" s="62">
        <v>-6</v>
      </c>
      <c r="BG71" s="62">
        <v>-15.5</v>
      </c>
      <c r="BH71" s="62">
        <v>-17</v>
      </c>
      <c r="BI71" s="62">
        <v>-8</v>
      </c>
      <c r="BJ71" s="62">
        <v>-19</v>
      </c>
      <c r="BK71" s="62">
        <v>-21</v>
      </c>
      <c r="BL71" s="62">
        <v>-23</v>
      </c>
      <c r="BM71" s="62">
        <v>-7</v>
      </c>
      <c r="BN71" s="62">
        <v>-27</v>
      </c>
      <c r="BO71" s="62">
        <v>-10</v>
      </c>
      <c r="BP71" s="4">
        <v>68</v>
      </c>
    </row>
    <row r="72" spans="1:68" x14ac:dyDescent="0.25">
      <c r="A72" s="4">
        <v>69</v>
      </c>
      <c r="B72" s="3" t="s">
        <v>2205</v>
      </c>
      <c r="C72" s="4">
        <v>9</v>
      </c>
      <c r="D72" s="4">
        <v>-10</v>
      </c>
      <c r="E72" s="4">
        <v>55</v>
      </c>
      <c r="F72" s="61">
        <v>10.7067</v>
      </c>
      <c r="G72" s="61">
        <v>1.0775999999999999</v>
      </c>
      <c r="H72" s="61">
        <v>7.5485999999999995</v>
      </c>
      <c r="I72" s="61">
        <v>5.0303000000000004</v>
      </c>
      <c r="J72" s="61">
        <v>12.578900000000001</v>
      </c>
      <c r="K72" s="61">
        <v>6.2862999999999998</v>
      </c>
      <c r="L72" s="61">
        <v>0.50239999999999996</v>
      </c>
      <c r="M72" s="61">
        <v>10.060600000000001</v>
      </c>
      <c r="N72" s="61">
        <v>11.319749999999999</v>
      </c>
      <c r="O72" s="61">
        <v>12.575749999999999</v>
      </c>
      <c r="P72" s="61">
        <v>1.8871499999999999</v>
      </c>
      <c r="Q72" s="61">
        <v>11.319749999999999</v>
      </c>
      <c r="R72" s="61">
        <v>12.575749999999999</v>
      </c>
      <c r="S72" s="61">
        <v>3.1431499999999999</v>
      </c>
      <c r="T72" s="61">
        <v>3.1074999999999998E-2</v>
      </c>
      <c r="U72" s="61">
        <v>3.1639999999999997E-3</v>
      </c>
      <c r="V72" s="61">
        <v>4.4069999999999998E-2</v>
      </c>
      <c r="W72" s="61">
        <v>2.9379999999999996E-2</v>
      </c>
      <c r="X72" s="61">
        <v>7.3450000000000001E-2</v>
      </c>
      <c r="Y72" s="61">
        <v>3.6725000000000001E-2</v>
      </c>
      <c r="Z72" s="61">
        <v>2.9379999999999996E-3</v>
      </c>
      <c r="AA72" s="61">
        <v>5.8759999999999993E-2</v>
      </c>
      <c r="AB72" s="61">
        <v>6.6104999999999997E-2</v>
      </c>
      <c r="AC72" s="61">
        <v>7.3450000000000001E-2</v>
      </c>
      <c r="AD72" s="61">
        <v>1.10175E-2</v>
      </c>
      <c r="AE72" s="61">
        <v>6.6104999999999997E-2</v>
      </c>
      <c r="AF72" s="61">
        <v>7.3450000000000001E-2</v>
      </c>
      <c r="AG72" s="61">
        <v>1.83625E-2</v>
      </c>
      <c r="AH72" s="60">
        <v>5.75</v>
      </c>
      <c r="AI72" s="60">
        <v>0.59</v>
      </c>
      <c r="AJ72" s="60">
        <v>8.15</v>
      </c>
      <c r="AK72" s="60">
        <v>5.44</v>
      </c>
      <c r="AL72" s="60">
        <v>13.59</v>
      </c>
      <c r="AM72" s="60">
        <v>6.79</v>
      </c>
      <c r="AN72" s="60">
        <v>0.54</v>
      </c>
      <c r="AO72" s="60">
        <v>10.87</v>
      </c>
      <c r="AP72" s="60">
        <v>12.23</v>
      </c>
      <c r="AQ72" s="60">
        <v>13.59</v>
      </c>
      <c r="AR72" s="60">
        <v>2.04</v>
      </c>
      <c r="AS72" s="60">
        <v>12.23</v>
      </c>
      <c r="AT72" s="60">
        <v>13.59</v>
      </c>
      <c r="AU72" s="60">
        <v>3.395</v>
      </c>
      <c r="AV72" s="62">
        <v>-13</v>
      </c>
      <c r="AW72" s="62">
        <v>-5</v>
      </c>
      <c r="AX72" s="62">
        <v>-20</v>
      </c>
      <c r="AY72" s="62">
        <v>-14</v>
      </c>
      <c r="AZ72" s="62">
        <v>-30</v>
      </c>
      <c r="BA72" s="62">
        <v>-16</v>
      </c>
      <c r="BB72" s="62">
        <v>-5</v>
      </c>
      <c r="BC72" s="62">
        <v>-8</v>
      </c>
      <c r="BD72" s="62">
        <v>-9</v>
      </c>
      <c r="BE72" s="62">
        <v>-10</v>
      </c>
      <c r="BF72" s="62">
        <v>-3</v>
      </c>
      <c r="BG72" s="62">
        <v>-11.5</v>
      </c>
      <c r="BH72" s="62">
        <v>-12.5</v>
      </c>
      <c r="BI72" s="62">
        <v>-4.5</v>
      </c>
      <c r="BJ72" s="62">
        <v>-14.5</v>
      </c>
      <c r="BK72" s="62">
        <v>-16</v>
      </c>
      <c r="BL72" s="62">
        <v>-17.5</v>
      </c>
      <c r="BM72" s="62">
        <v>-4</v>
      </c>
      <c r="BN72" s="62">
        <v>-20</v>
      </c>
      <c r="BO72" s="62">
        <v>-5</v>
      </c>
      <c r="BP72" s="4">
        <v>69</v>
      </c>
    </row>
    <row r="73" spans="1:68" x14ac:dyDescent="0.25">
      <c r="A73" s="4">
        <v>70</v>
      </c>
      <c r="B73" s="3" t="s">
        <v>2206</v>
      </c>
      <c r="C73" s="4">
        <v>9</v>
      </c>
      <c r="D73" s="4">
        <v>0</v>
      </c>
      <c r="E73" s="4">
        <v>60</v>
      </c>
      <c r="F73" s="61">
        <v>40.025100000000002</v>
      </c>
      <c r="G73" s="61">
        <v>4.0728000000000009</v>
      </c>
      <c r="H73" s="61">
        <v>49.135800000000003</v>
      </c>
      <c r="I73" s="61">
        <v>32.735900000000001</v>
      </c>
      <c r="J73" s="61">
        <v>81.871700000000004</v>
      </c>
      <c r="K73" s="61">
        <v>40.9039</v>
      </c>
      <c r="L73" s="61">
        <v>3.2672000000000003</v>
      </c>
      <c r="M73" s="61">
        <v>65.471800000000002</v>
      </c>
      <c r="N73" s="61">
        <v>73.671750000000003</v>
      </c>
      <c r="O73" s="61">
        <v>81.839750000000009</v>
      </c>
      <c r="P73" s="61">
        <v>12.283950000000001</v>
      </c>
      <c r="Q73" s="61">
        <v>73.671750000000003</v>
      </c>
      <c r="R73" s="61">
        <v>81.839750000000009</v>
      </c>
      <c r="S73" s="61">
        <v>20.45195</v>
      </c>
      <c r="T73" s="61">
        <v>3.0525000000000004E-2</v>
      </c>
      <c r="U73" s="61">
        <v>3.1080000000000001E-3</v>
      </c>
      <c r="V73" s="61">
        <v>4.3290000000000002E-2</v>
      </c>
      <c r="W73" s="61">
        <v>2.886E-2</v>
      </c>
      <c r="X73" s="61">
        <v>7.2150000000000006E-2</v>
      </c>
      <c r="Y73" s="61">
        <v>3.6075000000000003E-2</v>
      </c>
      <c r="Z73" s="61">
        <v>2.8860000000000001E-3</v>
      </c>
      <c r="AA73" s="61">
        <v>5.772E-2</v>
      </c>
      <c r="AB73" s="61">
        <v>6.4935000000000007E-2</v>
      </c>
      <c r="AC73" s="61">
        <v>7.2150000000000006E-2</v>
      </c>
      <c r="AD73" s="61">
        <v>1.0822500000000001E-2</v>
      </c>
      <c r="AE73" s="61">
        <v>6.4935000000000007E-2</v>
      </c>
      <c r="AF73" s="61">
        <v>7.2150000000000006E-2</v>
      </c>
      <c r="AG73" s="61">
        <v>1.8037500000000001E-2</v>
      </c>
      <c r="AH73" s="60">
        <v>5.65</v>
      </c>
      <c r="AI73" s="60">
        <v>0.56999999999999995</v>
      </c>
      <c r="AJ73" s="60">
        <v>8.01</v>
      </c>
      <c r="AK73" s="60">
        <v>5.34</v>
      </c>
      <c r="AL73" s="60">
        <v>13.35</v>
      </c>
      <c r="AM73" s="60">
        <v>6.67</v>
      </c>
      <c r="AN73" s="60">
        <v>0.53</v>
      </c>
      <c r="AO73" s="60">
        <v>10.68</v>
      </c>
      <c r="AP73" s="60">
        <v>12.015000000000001</v>
      </c>
      <c r="AQ73" s="60">
        <v>13.35</v>
      </c>
      <c r="AR73" s="60">
        <v>2</v>
      </c>
      <c r="AS73" s="60">
        <v>12.015000000000001</v>
      </c>
      <c r="AT73" s="60">
        <v>13.35</v>
      </c>
      <c r="AU73" s="60">
        <v>3.335</v>
      </c>
      <c r="AV73" s="62">
        <v>-9</v>
      </c>
      <c r="AW73" s="62">
        <v>-1</v>
      </c>
      <c r="AX73" s="62">
        <v>-16</v>
      </c>
      <c r="AY73" s="62">
        <v>-10</v>
      </c>
      <c r="AZ73" s="62">
        <v>-26</v>
      </c>
      <c r="BA73" s="62">
        <v>-12</v>
      </c>
      <c r="BB73" s="62">
        <v>-1</v>
      </c>
      <c r="BC73" s="62">
        <v>-6</v>
      </c>
      <c r="BD73" s="62">
        <v>-7</v>
      </c>
      <c r="BE73" s="62">
        <v>-8</v>
      </c>
      <c r="BF73" s="62">
        <v>-1</v>
      </c>
      <c r="BG73" s="62">
        <v>-9.5</v>
      </c>
      <c r="BH73" s="62">
        <v>-10.5</v>
      </c>
      <c r="BI73" s="62">
        <v>-3</v>
      </c>
      <c r="BJ73" s="62">
        <v>-12</v>
      </c>
      <c r="BK73" s="62">
        <v>-14</v>
      </c>
      <c r="BL73" s="62">
        <v>-15.5</v>
      </c>
      <c r="BM73" s="62">
        <v>-2</v>
      </c>
      <c r="BN73" s="62">
        <v>-16</v>
      </c>
      <c r="BO73" s="62">
        <v>-1</v>
      </c>
      <c r="BP73" s="4">
        <v>70</v>
      </c>
    </row>
    <row r="74" spans="1:68" x14ac:dyDescent="0.25">
      <c r="A74" s="4">
        <v>71</v>
      </c>
      <c r="B74" s="3" t="s">
        <v>2207</v>
      </c>
      <c r="C74" s="4">
        <v>9</v>
      </c>
      <c r="D74" s="4">
        <v>5</v>
      </c>
      <c r="E74" s="4">
        <v>70</v>
      </c>
      <c r="F74" s="61">
        <v>45.972099999999998</v>
      </c>
      <c r="G74" s="61">
        <v>4.6763000000000003</v>
      </c>
      <c r="H74" s="61">
        <v>55.661799999999999</v>
      </c>
      <c r="I74" s="61">
        <v>37.0839</v>
      </c>
      <c r="J74" s="61">
        <v>92.745699999999999</v>
      </c>
      <c r="K74" s="61">
        <v>46.3369</v>
      </c>
      <c r="L74" s="61">
        <v>3.7012</v>
      </c>
      <c r="M74" s="61">
        <v>74.1678</v>
      </c>
      <c r="N74" s="61">
        <v>83.45675</v>
      </c>
      <c r="O74" s="61">
        <v>92.709750000000014</v>
      </c>
      <c r="P74" s="61">
        <v>13.91545</v>
      </c>
      <c r="Q74" s="61">
        <v>83.45675</v>
      </c>
      <c r="R74" s="61">
        <v>92.709750000000014</v>
      </c>
      <c r="S74" s="61">
        <v>23.16845</v>
      </c>
      <c r="T74" s="61">
        <v>3.0800000000000004E-2</v>
      </c>
      <c r="U74" s="61">
        <v>3.1360000000000003E-3</v>
      </c>
      <c r="V74" s="61">
        <v>4.3680000000000004E-2</v>
      </c>
      <c r="W74" s="61">
        <v>2.912E-2</v>
      </c>
      <c r="X74" s="61">
        <v>7.2800000000000004E-2</v>
      </c>
      <c r="Y74" s="61">
        <v>3.6400000000000002E-2</v>
      </c>
      <c r="Z74" s="61">
        <v>2.9120000000000001E-3</v>
      </c>
      <c r="AA74" s="61">
        <v>5.824E-2</v>
      </c>
      <c r="AB74" s="61">
        <v>6.5520000000000009E-2</v>
      </c>
      <c r="AC74" s="61">
        <v>7.2800000000000004E-2</v>
      </c>
      <c r="AD74" s="61">
        <v>1.0920000000000001E-2</v>
      </c>
      <c r="AE74" s="61">
        <v>6.5520000000000009E-2</v>
      </c>
      <c r="AF74" s="61">
        <v>7.2800000000000004E-2</v>
      </c>
      <c r="AG74" s="61">
        <v>1.8200000000000001E-2</v>
      </c>
      <c r="AH74" s="60">
        <v>5.7</v>
      </c>
      <c r="AI74" s="60">
        <v>0.57999999999999996</v>
      </c>
      <c r="AJ74" s="60">
        <v>8.08</v>
      </c>
      <c r="AK74" s="60">
        <v>5.39</v>
      </c>
      <c r="AL74" s="60">
        <v>13.47</v>
      </c>
      <c r="AM74" s="60">
        <v>6.73</v>
      </c>
      <c r="AN74" s="60">
        <v>0.54</v>
      </c>
      <c r="AO74" s="60">
        <v>10.775</v>
      </c>
      <c r="AP74" s="60">
        <v>12.12</v>
      </c>
      <c r="AQ74" s="60">
        <v>13.47</v>
      </c>
      <c r="AR74" s="60">
        <v>2.02</v>
      </c>
      <c r="AS74" s="60">
        <v>12.12</v>
      </c>
      <c r="AT74" s="60">
        <v>13.47</v>
      </c>
      <c r="AU74" s="60">
        <v>3.3650000000000002</v>
      </c>
      <c r="AV74" s="62">
        <v>-7</v>
      </c>
      <c r="AW74" s="62">
        <v>0</v>
      </c>
      <c r="AX74" s="62">
        <v>-14</v>
      </c>
      <c r="AY74" s="62">
        <v>-8</v>
      </c>
      <c r="AZ74" s="62">
        <v>-24</v>
      </c>
      <c r="BA74" s="62">
        <v>-10</v>
      </c>
      <c r="BB74" s="62">
        <v>0</v>
      </c>
      <c r="BC74" s="62">
        <v>-5</v>
      </c>
      <c r="BD74" s="62">
        <v>-6.5</v>
      </c>
      <c r="BE74" s="62">
        <v>-7</v>
      </c>
      <c r="BF74" s="62">
        <v>0</v>
      </c>
      <c r="BG74" s="62">
        <v>-8.5</v>
      </c>
      <c r="BH74" s="62">
        <v>-9.5</v>
      </c>
      <c r="BI74" s="62">
        <v>-2</v>
      </c>
      <c r="BJ74" s="62">
        <v>-11.5</v>
      </c>
      <c r="BK74" s="62">
        <v>-13</v>
      </c>
      <c r="BL74" s="62">
        <v>-14.5</v>
      </c>
      <c r="BM74" s="62">
        <v>-1.5</v>
      </c>
      <c r="BN74" s="62">
        <v>-14</v>
      </c>
      <c r="BO74" s="62">
        <v>0</v>
      </c>
      <c r="BP74" s="4">
        <v>71</v>
      </c>
    </row>
    <row r="75" spans="1:68" x14ac:dyDescent="0.25">
      <c r="A75" s="4">
        <v>72</v>
      </c>
      <c r="B75" s="3" t="s">
        <v>2208</v>
      </c>
      <c r="C75" s="4">
        <v>9</v>
      </c>
      <c r="D75" s="4">
        <v>25</v>
      </c>
      <c r="E75" s="4">
        <v>95</v>
      </c>
      <c r="F75" s="61">
        <v>3275.5491000000002</v>
      </c>
      <c r="G75" s="61">
        <v>334.59480000000002</v>
      </c>
      <c r="H75" s="61">
        <v>4627.9277999999995</v>
      </c>
      <c r="I75" s="61">
        <v>3083.1518999999998</v>
      </c>
      <c r="J75" s="61">
        <v>7711.0796999999993</v>
      </c>
      <c r="K75" s="61">
        <v>3852.3398999999999</v>
      </c>
      <c r="L75" s="61">
        <v>307.67520000000002</v>
      </c>
      <c r="M75" s="61">
        <v>6166.3037999999997</v>
      </c>
      <c r="N75" s="61">
        <v>6938.69175</v>
      </c>
      <c r="O75" s="61">
        <v>7707.8797500000001</v>
      </c>
      <c r="P75" s="61">
        <v>1156.9819499999999</v>
      </c>
      <c r="Q75" s="61">
        <v>6938.69175</v>
      </c>
      <c r="R75" s="61">
        <v>7707.8797500000001</v>
      </c>
      <c r="S75" s="61">
        <v>1926.16995</v>
      </c>
      <c r="T75" s="61">
        <v>2.8324999999999999E-2</v>
      </c>
      <c r="U75" s="61">
        <v>2.8839999999999998E-3</v>
      </c>
      <c r="V75" s="61">
        <v>4.0170000000000004E-2</v>
      </c>
      <c r="W75" s="61">
        <v>2.6779999999999998E-2</v>
      </c>
      <c r="X75" s="61">
        <v>6.695000000000001E-2</v>
      </c>
      <c r="Y75" s="61">
        <v>3.3475000000000005E-2</v>
      </c>
      <c r="Z75" s="61">
        <v>2.6779999999999998E-3</v>
      </c>
      <c r="AA75" s="61">
        <v>5.3559999999999997E-2</v>
      </c>
      <c r="AB75" s="61">
        <v>6.0255000000000003E-2</v>
      </c>
      <c r="AC75" s="61">
        <v>6.695000000000001E-2</v>
      </c>
      <c r="AD75" s="61">
        <v>1.0042500000000001E-2</v>
      </c>
      <c r="AE75" s="61">
        <v>6.0255000000000003E-2</v>
      </c>
      <c r="AF75" s="61">
        <v>6.695000000000001E-2</v>
      </c>
      <c r="AG75" s="61">
        <v>1.6737500000000002E-2</v>
      </c>
      <c r="AH75" s="60">
        <v>5.24</v>
      </c>
      <c r="AI75" s="60">
        <v>0.53</v>
      </c>
      <c r="AJ75" s="60">
        <v>7.43</v>
      </c>
      <c r="AK75" s="60">
        <v>4.95</v>
      </c>
      <c r="AL75" s="60">
        <v>12.39</v>
      </c>
      <c r="AM75" s="60">
        <v>6.19</v>
      </c>
      <c r="AN75" s="60">
        <v>0.5</v>
      </c>
      <c r="AO75" s="60">
        <v>9.91</v>
      </c>
      <c r="AP75" s="60">
        <v>11.145</v>
      </c>
      <c r="AQ75" s="60">
        <v>12.385</v>
      </c>
      <c r="AR75" s="60">
        <v>1.86</v>
      </c>
      <c r="AS75" s="60">
        <v>11.145</v>
      </c>
      <c r="AT75" s="60">
        <v>12.385</v>
      </c>
      <c r="AU75" s="60">
        <v>3.0950000000000002</v>
      </c>
      <c r="AV75" s="62">
        <v>0</v>
      </c>
      <c r="AW75" s="62">
        <v>0</v>
      </c>
      <c r="AX75" s="62">
        <v>-6</v>
      </c>
      <c r="AY75" s="62">
        <v>-1</v>
      </c>
      <c r="AZ75" s="62">
        <v>-15</v>
      </c>
      <c r="BA75" s="62">
        <v>-3</v>
      </c>
      <c r="BB75" s="62">
        <v>0</v>
      </c>
      <c r="BC75" s="62">
        <v>-1.5</v>
      </c>
      <c r="BD75" s="62">
        <v>-2.5</v>
      </c>
      <c r="BE75" s="62">
        <v>-3</v>
      </c>
      <c r="BF75" s="62">
        <v>0</v>
      </c>
      <c r="BG75" s="62">
        <v>-4.5</v>
      </c>
      <c r="BH75" s="62">
        <v>-5.5</v>
      </c>
      <c r="BI75" s="62">
        <v>0</v>
      </c>
      <c r="BJ75" s="62">
        <v>-7</v>
      </c>
      <c r="BK75" s="62">
        <v>-8.5</v>
      </c>
      <c r="BL75" s="62">
        <v>-10</v>
      </c>
      <c r="BM75" s="62">
        <v>0</v>
      </c>
      <c r="BN75" s="62">
        <v>-6</v>
      </c>
      <c r="BO75" s="62">
        <v>0</v>
      </c>
      <c r="BP75" s="4">
        <v>72</v>
      </c>
    </row>
    <row r="76" spans="1:68" x14ac:dyDescent="0.25">
      <c r="A76" s="4">
        <v>73</v>
      </c>
      <c r="B76" s="3" t="s">
        <v>2209</v>
      </c>
      <c r="C76" s="4">
        <v>9</v>
      </c>
      <c r="D76" s="4">
        <v>-10</v>
      </c>
      <c r="E76" s="4">
        <v>70</v>
      </c>
      <c r="F76" s="61">
        <v>7.5254500000000002</v>
      </c>
      <c r="G76" s="61">
        <v>0.75260000000000005</v>
      </c>
      <c r="H76" s="61">
        <v>3.0360999999999998</v>
      </c>
      <c r="I76" s="61">
        <v>2.0240499999999999</v>
      </c>
      <c r="J76" s="61">
        <v>5.0601500000000001</v>
      </c>
      <c r="K76" s="61">
        <v>2.5300500000000001</v>
      </c>
      <c r="L76" s="61">
        <v>0.20240000000000002</v>
      </c>
      <c r="M76" s="61">
        <v>4.0480999999999998</v>
      </c>
      <c r="N76" s="61">
        <v>4.554125</v>
      </c>
      <c r="O76" s="61">
        <v>5.0601250000000002</v>
      </c>
      <c r="P76" s="61">
        <v>0.75902499999999995</v>
      </c>
      <c r="Q76" s="61">
        <v>4.554125</v>
      </c>
      <c r="R76" s="61">
        <v>5.0601250000000002</v>
      </c>
      <c r="S76" s="61">
        <v>1.2650250000000001</v>
      </c>
      <c r="T76" s="61">
        <v>8.5249999999999996E-3</v>
      </c>
      <c r="U76" s="61">
        <v>8.6799999999999996E-4</v>
      </c>
      <c r="V76" s="61">
        <v>1.209E-2</v>
      </c>
      <c r="W76" s="61">
        <v>8.0599999999999995E-3</v>
      </c>
      <c r="X76" s="61">
        <v>2.0150000000000001E-2</v>
      </c>
      <c r="Y76" s="61">
        <v>1.0075000000000001E-2</v>
      </c>
      <c r="Z76" s="61">
        <v>8.0599999999999997E-4</v>
      </c>
      <c r="AA76" s="61">
        <v>1.6119999999999999E-2</v>
      </c>
      <c r="AB76" s="61">
        <v>1.8135000000000002E-2</v>
      </c>
      <c r="AC76" s="61">
        <v>2.0150000000000001E-2</v>
      </c>
      <c r="AD76" s="61">
        <v>3.0225E-3</v>
      </c>
      <c r="AE76" s="61">
        <v>1.8135000000000002E-2</v>
      </c>
      <c r="AF76" s="61">
        <v>2.0150000000000001E-2</v>
      </c>
      <c r="AG76" s="61">
        <v>5.0375000000000003E-3</v>
      </c>
      <c r="AH76" s="60">
        <v>1.58</v>
      </c>
      <c r="AI76" s="60">
        <v>0.16</v>
      </c>
      <c r="AJ76" s="60">
        <v>2.2400000000000002</v>
      </c>
      <c r="AK76" s="60">
        <v>1.49</v>
      </c>
      <c r="AL76" s="60">
        <v>3.73</v>
      </c>
      <c r="AM76" s="60">
        <v>1.86</v>
      </c>
      <c r="AN76" s="60">
        <v>0.15</v>
      </c>
      <c r="AO76" s="60">
        <v>2.98</v>
      </c>
      <c r="AP76" s="60">
        <v>3.355</v>
      </c>
      <c r="AQ76" s="60">
        <v>3.73</v>
      </c>
      <c r="AR76" s="60">
        <v>0.56000000000000005</v>
      </c>
      <c r="AS76" s="60">
        <v>3.355</v>
      </c>
      <c r="AT76" s="60">
        <v>3.73</v>
      </c>
      <c r="AU76" s="60">
        <v>0.93</v>
      </c>
      <c r="AV76" s="62">
        <v>-4</v>
      </c>
      <c r="AW76" s="62">
        <v>-1</v>
      </c>
      <c r="AX76" s="62">
        <v>-5</v>
      </c>
      <c r="AY76" s="62">
        <v>-4</v>
      </c>
      <c r="AZ76" s="62">
        <v>-8</v>
      </c>
      <c r="BA76" s="62">
        <v>-4</v>
      </c>
      <c r="BB76" s="62">
        <v>-1</v>
      </c>
      <c r="BC76" s="62">
        <v>-2</v>
      </c>
      <c r="BD76" s="62">
        <v>-2.5</v>
      </c>
      <c r="BE76" s="62">
        <v>-2.5</v>
      </c>
      <c r="BF76" s="62">
        <v>-1</v>
      </c>
      <c r="BG76" s="62">
        <v>-3</v>
      </c>
      <c r="BH76" s="62">
        <v>-3.5</v>
      </c>
      <c r="BI76" s="62">
        <v>-1.5</v>
      </c>
      <c r="BJ76" s="62">
        <v>-4</v>
      </c>
      <c r="BK76" s="62">
        <v>-4.5</v>
      </c>
      <c r="BL76" s="62">
        <v>-5</v>
      </c>
      <c r="BM76" s="62">
        <v>-1</v>
      </c>
      <c r="BN76" s="62">
        <v>-5</v>
      </c>
      <c r="BO76" s="62">
        <v>-1</v>
      </c>
      <c r="BP76" s="4">
        <v>73</v>
      </c>
    </row>
    <row r="77" spans="1:68" x14ac:dyDescent="0.25">
      <c r="A77" s="4">
        <v>74</v>
      </c>
      <c r="B77" s="3" t="s">
        <v>2210</v>
      </c>
      <c r="C77" s="4">
        <v>9</v>
      </c>
      <c r="D77" s="4">
        <v>0</v>
      </c>
      <c r="E77" s="4">
        <v>95</v>
      </c>
      <c r="F77" s="61">
        <v>75</v>
      </c>
      <c r="G77" s="61">
        <v>7.5</v>
      </c>
      <c r="H77" s="61">
        <v>30</v>
      </c>
      <c r="I77" s="61">
        <v>20</v>
      </c>
      <c r="J77" s="61">
        <v>50</v>
      </c>
      <c r="K77" s="61">
        <v>25</v>
      </c>
      <c r="L77" s="61">
        <v>2</v>
      </c>
      <c r="M77" s="61">
        <v>40</v>
      </c>
      <c r="N77" s="61">
        <v>45</v>
      </c>
      <c r="O77" s="61">
        <v>50</v>
      </c>
      <c r="P77" s="61">
        <v>7.5</v>
      </c>
      <c r="Q77" s="61">
        <v>45</v>
      </c>
      <c r="R77" s="61">
        <v>50</v>
      </c>
      <c r="S77" s="61">
        <v>12.5</v>
      </c>
      <c r="T77" s="61">
        <v>2.2000000000000002E-2</v>
      </c>
      <c r="U77" s="61">
        <v>2.2400000000000002E-3</v>
      </c>
      <c r="V77" s="61">
        <v>3.1200000000000002E-2</v>
      </c>
      <c r="W77" s="61">
        <v>2.0799999999999999E-2</v>
      </c>
      <c r="X77" s="61">
        <v>5.2000000000000005E-2</v>
      </c>
      <c r="Y77" s="61">
        <v>2.6000000000000002E-2</v>
      </c>
      <c r="Z77" s="61">
        <v>2.0799999999999998E-3</v>
      </c>
      <c r="AA77" s="61">
        <v>4.1599999999999998E-2</v>
      </c>
      <c r="AB77" s="61">
        <v>4.6800000000000008E-2</v>
      </c>
      <c r="AC77" s="61">
        <v>5.2000000000000005E-2</v>
      </c>
      <c r="AD77" s="61">
        <v>7.8000000000000005E-3</v>
      </c>
      <c r="AE77" s="61">
        <v>4.6800000000000008E-2</v>
      </c>
      <c r="AF77" s="61">
        <v>5.2000000000000005E-2</v>
      </c>
      <c r="AG77" s="61">
        <v>1.3000000000000001E-2</v>
      </c>
      <c r="AH77" s="60">
        <v>4.07</v>
      </c>
      <c r="AI77" s="60">
        <v>0.41</v>
      </c>
      <c r="AJ77" s="60">
        <v>5.77</v>
      </c>
      <c r="AK77" s="60">
        <v>3.85</v>
      </c>
      <c r="AL77" s="60">
        <v>9.6199999999999992</v>
      </c>
      <c r="AM77" s="60">
        <v>4.8099999999999996</v>
      </c>
      <c r="AN77" s="60">
        <v>0.38</v>
      </c>
      <c r="AO77" s="60">
        <v>7.6950000000000003</v>
      </c>
      <c r="AP77" s="60">
        <v>8.66</v>
      </c>
      <c r="AQ77" s="60">
        <v>9.6199999999999992</v>
      </c>
      <c r="AR77" s="60">
        <v>1.4450000000000001</v>
      </c>
      <c r="AS77" s="60">
        <v>8.66</v>
      </c>
      <c r="AT77" s="60">
        <v>9.6199999999999992</v>
      </c>
      <c r="AU77" s="60">
        <v>2.4049999999999998</v>
      </c>
      <c r="AV77" s="62">
        <v>-6</v>
      </c>
      <c r="AW77" s="62">
        <v>-1</v>
      </c>
      <c r="AX77" s="62">
        <v>-11</v>
      </c>
      <c r="AY77" s="62">
        <v>-7</v>
      </c>
      <c r="AZ77" s="62">
        <v>-18</v>
      </c>
      <c r="BA77" s="62">
        <v>-9</v>
      </c>
      <c r="BB77" s="62">
        <v>-1</v>
      </c>
      <c r="BC77" s="62">
        <v>-4.5</v>
      </c>
      <c r="BD77" s="62">
        <v>-5</v>
      </c>
      <c r="BE77" s="62">
        <v>-5.5</v>
      </c>
      <c r="BF77" s="62">
        <v>-1</v>
      </c>
      <c r="BG77" s="62">
        <v>-7</v>
      </c>
      <c r="BH77" s="62">
        <v>-7.5</v>
      </c>
      <c r="BI77" s="62">
        <v>-2</v>
      </c>
      <c r="BJ77" s="62">
        <v>-9</v>
      </c>
      <c r="BK77" s="62">
        <v>-10</v>
      </c>
      <c r="BL77" s="62">
        <v>-11</v>
      </c>
      <c r="BM77" s="62">
        <v>-1.5</v>
      </c>
      <c r="BN77" s="62">
        <v>-11</v>
      </c>
      <c r="BO77" s="62">
        <v>-1</v>
      </c>
      <c r="BP77" s="4">
        <v>74</v>
      </c>
    </row>
    <row r="78" spans="1:68" x14ac:dyDescent="0.25">
      <c r="A78" s="4">
        <v>75</v>
      </c>
      <c r="B78" s="3" t="s">
        <v>2211</v>
      </c>
      <c r="C78" s="4">
        <v>9</v>
      </c>
      <c r="D78" s="4">
        <v>-50</v>
      </c>
      <c r="E78" s="4">
        <v>40</v>
      </c>
      <c r="F78" s="61">
        <v>7.4847299999999999</v>
      </c>
      <c r="G78" s="61">
        <v>0.74843999999999999</v>
      </c>
      <c r="H78" s="61">
        <v>2.9783400000000002</v>
      </c>
      <c r="I78" s="61">
        <v>1.9855700000000001</v>
      </c>
      <c r="J78" s="61">
        <v>4.9639100000000003</v>
      </c>
      <c r="K78" s="61">
        <v>2.48197</v>
      </c>
      <c r="L78" s="61">
        <v>0.19856000000000001</v>
      </c>
      <c r="M78" s="61">
        <v>3.9711400000000001</v>
      </c>
      <c r="N78" s="61">
        <v>4.4675250000000002</v>
      </c>
      <c r="O78" s="61">
        <v>4.9639249999999997</v>
      </c>
      <c r="P78" s="61">
        <v>0.74458500000000005</v>
      </c>
      <c r="Q78" s="61">
        <v>4.4675250000000002</v>
      </c>
      <c r="R78" s="61">
        <v>4.9639249999999997</v>
      </c>
      <c r="S78" s="61">
        <v>1.240985</v>
      </c>
      <c r="T78" s="61">
        <v>1.65E-3</v>
      </c>
      <c r="U78" s="61">
        <v>1.6799999999999999E-4</v>
      </c>
      <c r="V78" s="61">
        <v>2.3400000000000001E-3</v>
      </c>
      <c r="W78" s="61">
        <v>1.56E-3</v>
      </c>
      <c r="X78" s="61">
        <v>3.8999999999999998E-3</v>
      </c>
      <c r="Y78" s="61">
        <v>1.9499999999999999E-3</v>
      </c>
      <c r="Z78" s="61">
        <v>1.56E-4</v>
      </c>
      <c r="AA78" s="61">
        <v>3.1199999999999999E-3</v>
      </c>
      <c r="AB78" s="61">
        <v>3.5100000000000001E-3</v>
      </c>
      <c r="AC78" s="61">
        <v>3.8999999999999998E-3</v>
      </c>
      <c r="AD78" s="61">
        <v>5.8500000000000002E-4</v>
      </c>
      <c r="AE78" s="61">
        <v>3.5100000000000001E-3</v>
      </c>
      <c r="AF78" s="61">
        <v>3.8999999999999998E-3</v>
      </c>
      <c r="AG78" s="61">
        <v>9.7499999999999996E-4</v>
      </c>
      <c r="AH78" s="60">
        <v>0.31</v>
      </c>
      <c r="AI78" s="60">
        <v>0.03</v>
      </c>
      <c r="AJ78" s="60">
        <v>0.43</v>
      </c>
      <c r="AK78" s="60">
        <v>0.28999999999999998</v>
      </c>
      <c r="AL78" s="60">
        <v>0.72</v>
      </c>
      <c r="AM78" s="60">
        <v>0.36</v>
      </c>
      <c r="AN78" s="60">
        <v>0.03</v>
      </c>
      <c r="AO78" s="60">
        <v>0.57499999999999996</v>
      </c>
      <c r="AP78" s="60">
        <v>0.65</v>
      </c>
      <c r="AQ78" s="60">
        <v>0.72</v>
      </c>
      <c r="AR78" s="60">
        <v>0.11</v>
      </c>
      <c r="AS78" s="60">
        <v>0.65</v>
      </c>
      <c r="AT78" s="60">
        <v>0.72</v>
      </c>
      <c r="AU78" s="60">
        <v>0.18</v>
      </c>
      <c r="AV78" s="62">
        <v>-2</v>
      </c>
      <c r="AW78" s="62">
        <v>-1</v>
      </c>
      <c r="AX78" s="62">
        <v>-2</v>
      </c>
      <c r="AY78" s="62">
        <v>-2</v>
      </c>
      <c r="AZ78" s="62">
        <v>-2</v>
      </c>
      <c r="BA78" s="62">
        <v>-2</v>
      </c>
      <c r="BB78" s="62">
        <v>-1</v>
      </c>
      <c r="BC78" s="62">
        <v>-1</v>
      </c>
      <c r="BD78" s="62">
        <v>-1</v>
      </c>
      <c r="BE78" s="62">
        <v>-1</v>
      </c>
      <c r="BF78" s="62">
        <v>-0.5</v>
      </c>
      <c r="BG78" s="62">
        <v>-1</v>
      </c>
      <c r="BH78" s="62">
        <v>-1</v>
      </c>
      <c r="BI78" s="62">
        <v>-0.5</v>
      </c>
      <c r="BJ78" s="62">
        <v>-1</v>
      </c>
      <c r="BK78" s="62">
        <v>-1.5</v>
      </c>
      <c r="BL78" s="62">
        <v>-1.5</v>
      </c>
      <c r="BM78" s="62">
        <v>-0.5</v>
      </c>
      <c r="BN78" s="62">
        <v>-2</v>
      </c>
      <c r="BO78" s="62">
        <v>-1</v>
      </c>
      <c r="BP78" s="4">
        <v>75</v>
      </c>
    </row>
    <row r="79" spans="1:68" x14ac:dyDescent="0.25">
      <c r="A79" s="4">
        <v>76</v>
      </c>
      <c r="B79" s="3" t="s">
        <v>2212</v>
      </c>
      <c r="C79" s="4">
        <v>9</v>
      </c>
      <c r="D79" s="4">
        <v>-30</v>
      </c>
      <c r="E79" s="4">
        <v>40</v>
      </c>
      <c r="F79" s="61">
        <v>7.4847299999999999</v>
      </c>
      <c r="G79" s="61">
        <v>0.74843999999999999</v>
      </c>
      <c r="H79" s="61">
        <v>2.9783400000000002</v>
      </c>
      <c r="I79" s="61">
        <v>1.9855700000000001</v>
      </c>
      <c r="J79" s="61">
        <v>4.9639100000000003</v>
      </c>
      <c r="K79" s="61">
        <v>2.48197</v>
      </c>
      <c r="L79" s="61">
        <v>0.19856000000000001</v>
      </c>
      <c r="M79" s="61">
        <v>3.9711400000000001</v>
      </c>
      <c r="N79" s="61">
        <v>4.4675250000000002</v>
      </c>
      <c r="O79" s="61">
        <v>4.9639249999999997</v>
      </c>
      <c r="P79" s="61">
        <v>0.74458500000000005</v>
      </c>
      <c r="Q79" s="61">
        <v>4.4675250000000002</v>
      </c>
      <c r="R79" s="61">
        <v>4.9639249999999997</v>
      </c>
      <c r="S79" s="61">
        <v>1.240985</v>
      </c>
      <c r="T79" s="61">
        <v>1.3750000000000001E-3</v>
      </c>
      <c r="U79" s="61">
        <v>1.4000000000000001E-4</v>
      </c>
      <c r="V79" s="61">
        <v>1.9500000000000001E-3</v>
      </c>
      <c r="W79" s="61">
        <v>1.2999999999999999E-3</v>
      </c>
      <c r="X79" s="61">
        <v>3.2500000000000003E-3</v>
      </c>
      <c r="Y79" s="61">
        <v>1.6250000000000001E-3</v>
      </c>
      <c r="Z79" s="61">
        <v>1.2999999999999999E-4</v>
      </c>
      <c r="AA79" s="61">
        <v>2.5999999999999999E-3</v>
      </c>
      <c r="AB79" s="61">
        <v>2.9250000000000005E-3</v>
      </c>
      <c r="AC79" s="61">
        <v>3.2500000000000003E-3</v>
      </c>
      <c r="AD79" s="61">
        <v>4.8750000000000003E-4</v>
      </c>
      <c r="AE79" s="61">
        <v>2.9250000000000005E-3</v>
      </c>
      <c r="AF79" s="61">
        <v>3.2500000000000003E-3</v>
      </c>
      <c r="AG79" s="61">
        <v>8.1250000000000007E-4</v>
      </c>
      <c r="AH79" s="60">
        <v>0.25</v>
      </c>
      <c r="AI79" s="60">
        <v>0.03</v>
      </c>
      <c r="AJ79" s="60">
        <v>0.36</v>
      </c>
      <c r="AK79" s="60">
        <v>0.24</v>
      </c>
      <c r="AL79" s="60">
        <v>0.6</v>
      </c>
      <c r="AM79" s="60">
        <v>0.3</v>
      </c>
      <c r="AN79" s="60">
        <v>0.02</v>
      </c>
      <c r="AO79" s="60">
        <v>0.48</v>
      </c>
      <c r="AP79" s="60">
        <v>0.54</v>
      </c>
      <c r="AQ79" s="60">
        <v>0.6</v>
      </c>
      <c r="AR79" s="60">
        <v>0.09</v>
      </c>
      <c r="AS79" s="60">
        <v>0.54</v>
      </c>
      <c r="AT79" s="60">
        <v>0.6</v>
      </c>
      <c r="AU79" s="60">
        <v>0.15</v>
      </c>
      <c r="AV79" s="62">
        <v>-1</v>
      </c>
      <c r="AW79" s="62">
        <v>-1</v>
      </c>
      <c r="AX79" s="62">
        <v>-1</v>
      </c>
      <c r="AY79" s="62">
        <v>-1</v>
      </c>
      <c r="AZ79" s="62">
        <v>-2</v>
      </c>
      <c r="BA79" s="62">
        <v>-1</v>
      </c>
      <c r="BB79" s="62">
        <v>0</v>
      </c>
      <c r="BC79" s="62">
        <v>-0.5</v>
      </c>
      <c r="BD79" s="62">
        <v>-0.5</v>
      </c>
      <c r="BE79" s="62">
        <v>-0.5</v>
      </c>
      <c r="BF79" s="62">
        <v>-0.5</v>
      </c>
      <c r="BG79" s="62">
        <v>-0.5</v>
      </c>
      <c r="BH79" s="62">
        <v>-0.5</v>
      </c>
      <c r="BI79" s="62">
        <v>-0.5</v>
      </c>
      <c r="BJ79" s="62">
        <v>-1</v>
      </c>
      <c r="BK79" s="62">
        <v>-1</v>
      </c>
      <c r="BL79" s="62">
        <v>-1</v>
      </c>
      <c r="BM79" s="62">
        <v>-0.5</v>
      </c>
      <c r="BN79" s="62">
        <v>-1</v>
      </c>
      <c r="BO79" s="62">
        <v>-1</v>
      </c>
      <c r="BP79" s="4">
        <v>76</v>
      </c>
    </row>
    <row r="80" spans="1:68" x14ac:dyDescent="0.25">
      <c r="A80" s="4">
        <v>77</v>
      </c>
      <c r="B80" s="3" t="s">
        <v>2213</v>
      </c>
      <c r="C80" s="4">
        <v>9</v>
      </c>
      <c r="D80" s="4">
        <v>-20</v>
      </c>
      <c r="E80" s="4">
        <v>70</v>
      </c>
      <c r="F80" s="61">
        <v>7.4847299999999999</v>
      </c>
      <c r="G80" s="61">
        <v>0.74843999999999999</v>
      </c>
      <c r="H80" s="61">
        <v>2.9783400000000002</v>
      </c>
      <c r="I80" s="61">
        <v>1.9855700000000001</v>
      </c>
      <c r="J80" s="61">
        <v>4.9639100000000003</v>
      </c>
      <c r="K80" s="61">
        <v>2.48197</v>
      </c>
      <c r="L80" s="61">
        <v>0.19856000000000001</v>
      </c>
      <c r="M80" s="61">
        <v>3.9711400000000001</v>
      </c>
      <c r="N80" s="61">
        <v>4.4675250000000002</v>
      </c>
      <c r="O80" s="61">
        <v>4.9639249999999997</v>
      </c>
      <c r="P80" s="61">
        <v>0.74458500000000005</v>
      </c>
      <c r="Q80" s="61">
        <v>4.4675250000000002</v>
      </c>
      <c r="R80" s="61">
        <v>4.9639249999999997</v>
      </c>
      <c r="S80" s="61">
        <v>1.240985</v>
      </c>
      <c r="T80" s="61">
        <v>2.7500000000000003E-3</v>
      </c>
      <c r="U80" s="61">
        <v>2.8000000000000003E-4</v>
      </c>
      <c r="V80" s="61">
        <v>3.9000000000000003E-3</v>
      </c>
      <c r="W80" s="61">
        <v>2.5999999999999999E-3</v>
      </c>
      <c r="X80" s="61">
        <v>6.5000000000000006E-3</v>
      </c>
      <c r="Y80" s="61">
        <v>3.2500000000000003E-3</v>
      </c>
      <c r="Z80" s="61">
        <v>2.5999999999999998E-4</v>
      </c>
      <c r="AA80" s="61">
        <v>5.1999999999999998E-3</v>
      </c>
      <c r="AB80" s="61">
        <v>5.850000000000001E-3</v>
      </c>
      <c r="AC80" s="61">
        <v>6.5000000000000006E-3</v>
      </c>
      <c r="AD80" s="61">
        <v>9.7500000000000006E-4</v>
      </c>
      <c r="AE80" s="61">
        <v>5.850000000000001E-3</v>
      </c>
      <c r="AF80" s="61">
        <v>6.5000000000000006E-3</v>
      </c>
      <c r="AG80" s="61">
        <v>1.6250000000000001E-3</v>
      </c>
      <c r="AH80" s="60">
        <v>0.51</v>
      </c>
      <c r="AI80" s="60">
        <v>0.05</v>
      </c>
      <c r="AJ80" s="60">
        <v>0.72</v>
      </c>
      <c r="AK80" s="60">
        <v>0.48</v>
      </c>
      <c r="AL80" s="60">
        <v>1.2</v>
      </c>
      <c r="AM80" s="60">
        <v>0.6</v>
      </c>
      <c r="AN80" s="60">
        <v>0.05</v>
      </c>
      <c r="AO80" s="60">
        <v>0.96</v>
      </c>
      <c r="AP80" s="60">
        <v>1.08</v>
      </c>
      <c r="AQ80" s="60">
        <v>1.2050000000000001</v>
      </c>
      <c r="AR80" s="60">
        <v>0.18</v>
      </c>
      <c r="AS80" s="60">
        <v>1.08</v>
      </c>
      <c r="AT80" s="60">
        <v>1.2050000000000001</v>
      </c>
      <c r="AU80" s="60">
        <v>0.3</v>
      </c>
      <c r="AV80" s="62">
        <v>-1</v>
      </c>
      <c r="AW80" s="62">
        <v>-1</v>
      </c>
      <c r="AX80" s="62">
        <v>-2</v>
      </c>
      <c r="AY80" s="62">
        <v>-2</v>
      </c>
      <c r="AZ80" s="62">
        <v>-3</v>
      </c>
      <c r="BA80" s="62">
        <v>-2</v>
      </c>
      <c r="BB80" s="62">
        <v>-1</v>
      </c>
      <c r="BC80" s="62">
        <v>-1</v>
      </c>
      <c r="BD80" s="62">
        <v>-1</v>
      </c>
      <c r="BE80" s="62">
        <v>-1</v>
      </c>
      <c r="BF80" s="62">
        <v>-0.5</v>
      </c>
      <c r="BG80" s="62">
        <v>-1</v>
      </c>
      <c r="BH80" s="62">
        <v>-1.5</v>
      </c>
      <c r="BI80" s="62">
        <v>-0.5</v>
      </c>
      <c r="BJ80" s="62">
        <v>-1.5</v>
      </c>
      <c r="BK80" s="62">
        <v>-1.5</v>
      </c>
      <c r="BL80" s="62">
        <v>-1.5</v>
      </c>
      <c r="BM80" s="62">
        <v>-0.5</v>
      </c>
      <c r="BN80" s="62">
        <v>-2</v>
      </c>
      <c r="BO80" s="62">
        <v>-1</v>
      </c>
      <c r="BP80" s="4">
        <v>77</v>
      </c>
    </row>
    <row r="81" spans="1:68" x14ac:dyDescent="0.25">
      <c r="A81" s="4">
        <v>78</v>
      </c>
      <c r="B81" s="3" t="s">
        <v>2214</v>
      </c>
      <c r="C81" s="4">
        <v>9</v>
      </c>
      <c r="D81" s="4">
        <v>-15</v>
      </c>
      <c r="E81" s="4">
        <v>80</v>
      </c>
      <c r="F81" s="61">
        <v>8.2372750000000003</v>
      </c>
      <c r="G81" s="61">
        <v>0.8237000000000001</v>
      </c>
      <c r="H81" s="61">
        <v>3.2819500000000001</v>
      </c>
      <c r="I81" s="61">
        <v>2.1879750000000002</v>
      </c>
      <c r="J81" s="61">
        <v>5.4699249999999999</v>
      </c>
      <c r="K81" s="61">
        <v>2.7349749999999999</v>
      </c>
      <c r="L81" s="61">
        <v>0.21880000000000002</v>
      </c>
      <c r="M81" s="61">
        <v>4.3759500000000005</v>
      </c>
      <c r="N81" s="61">
        <v>4.9229374999999997</v>
      </c>
      <c r="O81" s="61">
        <v>5.4699375000000003</v>
      </c>
      <c r="P81" s="61">
        <v>0.82048750000000004</v>
      </c>
      <c r="Q81" s="61">
        <v>4.9229374999999997</v>
      </c>
      <c r="R81" s="61">
        <v>5.4699375000000003</v>
      </c>
      <c r="S81" s="61">
        <v>1.3674875</v>
      </c>
      <c r="T81" s="61">
        <v>2.7500000000000003E-3</v>
      </c>
      <c r="U81" s="61">
        <v>2.8000000000000003E-4</v>
      </c>
      <c r="V81" s="61">
        <v>3.9000000000000003E-3</v>
      </c>
      <c r="W81" s="61">
        <v>2.5999999999999999E-3</v>
      </c>
      <c r="X81" s="61">
        <v>6.5000000000000006E-3</v>
      </c>
      <c r="Y81" s="61">
        <v>3.2500000000000003E-3</v>
      </c>
      <c r="Z81" s="61">
        <v>2.5999999999999998E-4</v>
      </c>
      <c r="AA81" s="61">
        <v>5.1999999999999998E-3</v>
      </c>
      <c r="AB81" s="61">
        <v>5.850000000000001E-3</v>
      </c>
      <c r="AC81" s="61">
        <v>6.5000000000000006E-3</v>
      </c>
      <c r="AD81" s="61">
        <v>9.7500000000000006E-4</v>
      </c>
      <c r="AE81" s="61">
        <v>5.850000000000001E-3</v>
      </c>
      <c r="AF81" s="61">
        <v>6.5000000000000006E-3</v>
      </c>
      <c r="AG81" s="61">
        <v>1.6250000000000001E-3</v>
      </c>
      <c r="AH81" s="60">
        <v>0.51</v>
      </c>
      <c r="AI81" s="60">
        <v>0.05</v>
      </c>
      <c r="AJ81" s="60">
        <v>0.72</v>
      </c>
      <c r="AK81" s="60">
        <v>0.48</v>
      </c>
      <c r="AL81" s="60">
        <v>1.2</v>
      </c>
      <c r="AM81" s="60">
        <v>0.6</v>
      </c>
      <c r="AN81" s="60">
        <v>0.05</v>
      </c>
      <c r="AO81" s="60">
        <v>0.96</v>
      </c>
      <c r="AP81" s="60">
        <v>1.08</v>
      </c>
      <c r="AQ81" s="60">
        <v>1.2050000000000001</v>
      </c>
      <c r="AR81" s="60">
        <v>0.18</v>
      </c>
      <c r="AS81" s="60">
        <v>1.08</v>
      </c>
      <c r="AT81" s="60">
        <v>1.2050000000000001</v>
      </c>
      <c r="AU81" s="60">
        <v>0.3</v>
      </c>
      <c r="AV81" s="62">
        <v>-1</v>
      </c>
      <c r="AW81" s="62">
        <v>-1</v>
      </c>
      <c r="AX81" s="62">
        <v>-2</v>
      </c>
      <c r="AY81" s="62">
        <v>-1</v>
      </c>
      <c r="AZ81" s="62">
        <v>-3</v>
      </c>
      <c r="BA81" s="62">
        <v>-2</v>
      </c>
      <c r="BB81" s="62">
        <v>-1</v>
      </c>
      <c r="BC81" s="62">
        <v>-1</v>
      </c>
      <c r="BD81" s="62">
        <v>-1</v>
      </c>
      <c r="BE81" s="62">
        <v>-1</v>
      </c>
      <c r="BF81" s="62">
        <v>-0.5</v>
      </c>
      <c r="BG81" s="62">
        <v>-1</v>
      </c>
      <c r="BH81" s="62">
        <v>-1</v>
      </c>
      <c r="BI81" s="62">
        <v>-0.5</v>
      </c>
      <c r="BJ81" s="62">
        <v>-1.5</v>
      </c>
      <c r="BK81" s="62">
        <v>-1.5</v>
      </c>
      <c r="BL81" s="62">
        <v>-1.5</v>
      </c>
      <c r="BM81" s="62">
        <v>-0.5</v>
      </c>
      <c r="BN81" s="62">
        <v>-2</v>
      </c>
      <c r="BO81" s="62">
        <v>-1</v>
      </c>
      <c r="BP81" s="4">
        <v>78</v>
      </c>
    </row>
    <row r="82" spans="1:68" x14ac:dyDescent="0.25">
      <c r="A82" s="4">
        <v>79</v>
      </c>
      <c r="B82" s="3" t="s">
        <v>2215</v>
      </c>
      <c r="C82" s="4">
        <v>9</v>
      </c>
      <c r="D82" s="4">
        <v>-10</v>
      </c>
      <c r="E82" s="4">
        <v>90</v>
      </c>
      <c r="F82" s="61">
        <v>8.9898199999999999</v>
      </c>
      <c r="G82" s="61">
        <v>0.89895999999999987</v>
      </c>
      <c r="H82" s="61">
        <v>3.5855599999999996</v>
      </c>
      <c r="I82" s="61">
        <v>2.3903799999999999</v>
      </c>
      <c r="J82" s="61">
        <v>5.9759399999999996</v>
      </c>
      <c r="K82" s="61">
        <v>2.9879799999999999</v>
      </c>
      <c r="L82" s="61">
        <v>0.23904</v>
      </c>
      <c r="M82" s="61">
        <v>4.7807599999999999</v>
      </c>
      <c r="N82" s="61">
        <v>5.3783499999999993</v>
      </c>
      <c r="O82" s="61">
        <v>5.9759500000000001</v>
      </c>
      <c r="P82" s="61">
        <v>0.89638999999999991</v>
      </c>
      <c r="Q82" s="61">
        <v>5.3783499999999993</v>
      </c>
      <c r="R82" s="61">
        <v>5.9759500000000001</v>
      </c>
      <c r="S82" s="61">
        <v>1.4939899999999999</v>
      </c>
      <c r="T82" s="61">
        <v>2.7500000000000003E-3</v>
      </c>
      <c r="U82" s="61">
        <v>2.8000000000000003E-4</v>
      </c>
      <c r="V82" s="61">
        <v>3.9000000000000003E-3</v>
      </c>
      <c r="W82" s="61">
        <v>2.5999999999999999E-3</v>
      </c>
      <c r="X82" s="61">
        <v>6.5000000000000006E-3</v>
      </c>
      <c r="Y82" s="61">
        <v>3.2500000000000003E-3</v>
      </c>
      <c r="Z82" s="61">
        <v>2.5999999999999998E-4</v>
      </c>
      <c r="AA82" s="61">
        <v>5.1999999999999998E-3</v>
      </c>
      <c r="AB82" s="61">
        <v>5.850000000000001E-3</v>
      </c>
      <c r="AC82" s="61">
        <v>6.5000000000000006E-3</v>
      </c>
      <c r="AD82" s="61">
        <v>9.7500000000000006E-4</v>
      </c>
      <c r="AE82" s="61">
        <v>5.850000000000001E-3</v>
      </c>
      <c r="AF82" s="61">
        <v>6.5000000000000006E-3</v>
      </c>
      <c r="AG82" s="61">
        <v>1.6250000000000001E-3</v>
      </c>
      <c r="AH82" s="60">
        <v>0.51</v>
      </c>
      <c r="AI82" s="60">
        <v>0.05</v>
      </c>
      <c r="AJ82" s="60">
        <v>0.72</v>
      </c>
      <c r="AK82" s="60">
        <v>0.48</v>
      </c>
      <c r="AL82" s="60">
        <v>1.2</v>
      </c>
      <c r="AM82" s="60">
        <v>0.6</v>
      </c>
      <c r="AN82" s="60">
        <v>0.05</v>
      </c>
      <c r="AO82" s="60">
        <v>0.96</v>
      </c>
      <c r="AP82" s="60">
        <v>1.08</v>
      </c>
      <c r="AQ82" s="60">
        <v>1.2050000000000001</v>
      </c>
      <c r="AR82" s="60">
        <v>0.18</v>
      </c>
      <c r="AS82" s="60">
        <v>1.08</v>
      </c>
      <c r="AT82" s="60">
        <v>1.2050000000000001</v>
      </c>
      <c r="AU82" s="60">
        <v>0.3</v>
      </c>
      <c r="AV82" s="62">
        <v>-1</v>
      </c>
      <c r="AW82" s="62">
        <v>0</v>
      </c>
      <c r="AX82" s="62">
        <v>-2</v>
      </c>
      <c r="AY82" s="62">
        <v>-1</v>
      </c>
      <c r="AZ82" s="62">
        <v>-3</v>
      </c>
      <c r="BA82" s="62">
        <v>-1</v>
      </c>
      <c r="BB82" s="62">
        <v>0</v>
      </c>
      <c r="BC82" s="62">
        <v>-0.5</v>
      </c>
      <c r="BD82" s="62">
        <v>-1</v>
      </c>
      <c r="BE82" s="62">
        <v>-1</v>
      </c>
      <c r="BF82" s="62">
        <v>-0.5</v>
      </c>
      <c r="BG82" s="62">
        <v>-1</v>
      </c>
      <c r="BH82" s="62">
        <v>-1</v>
      </c>
      <c r="BI82" s="62">
        <v>-0.5</v>
      </c>
      <c r="BJ82" s="62">
        <v>-1.5</v>
      </c>
      <c r="BK82" s="62">
        <v>-1.5</v>
      </c>
      <c r="BL82" s="62">
        <v>-1.5</v>
      </c>
      <c r="BM82" s="62">
        <v>-0.5</v>
      </c>
      <c r="BN82" s="62">
        <v>-2</v>
      </c>
      <c r="BO82" s="62">
        <v>0</v>
      </c>
      <c r="BP82" s="4">
        <v>79</v>
      </c>
    </row>
    <row r="83" spans="1:68" x14ac:dyDescent="0.25">
      <c r="A83" s="4">
        <v>80</v>
      </c>
      <c r="B83" s="3" t="s">
        <v>2216</v>
      </c>
      <c r="C83" s="4">
        <v>10</v>
      </c>
      <c r="D83" s="4">
        <v>0</v>
      </c>
      <c r="E83" s="4">
        <v>75</v>
      </c>
      <c r="F83" s="61">
        <v>15</v>
      </c>
      <c r="G83" s="61">
        <v>1.5</v>
      </c>
      <c r="H83" s="61">
        <v>6</v>
      </c>
      <c r="I83" s="61">
        <v>4</v>
      </c>
      <c r="J83" s="61">
        <v>10</v>
      </c>
      <c r="K83" s="61">
        <v>5</v>
      </c>
      <c r="L83" s="61">
        <v>0.4</v>
      </c>
      <c r="M83" s="61">
        <v>8</v>
      </c>
      <c r="N83" s="61">
        <v>9</v>
      </c>
      <c r="O83" s="61">
        <v>10</v>
      </c>
      <c r="P83" s="61">
        <v>1.5</v>
      </c>
      <c r="Q83" s="61">
        <v>9</v>
      </c>
      <c r="R83" s="61">
        <v>10</v>
      </c>
      <c r="S83" s="61">
        <v>2.5</v>
      </c>
      <c r="T83" s="61">
        <v>0.03</v>
      </c>
      <c r="U83" s="61">
        <v>3.0000000000000001E-3</v>
      </c>
      <c r="V83" s="61">
        <v>4.4999999999999998E-2</v>
      </c>
      <c r="W83" s="61">
        <v>0.03</v>
      </c>
      <c r="X83" s="61">
        <v>7.4999999999999997E-2</v>
      </c>
      <c r="Y83" s="61">
        <v>3.7499999999999999E-2</v>
      </c>
      <c r="Z83" s="61">
        <v>3.0000000000000001E-3</v>
      </c>
      <c r="AA83" s="61">
        <v>0.06</v>
      </c>
      <c r="AB83" s="61">
        <v>6.7500000000000004E-2</v>
      </c>
      <c r="AC83" s="61">
        <v>7.4999999999999997E-2</v>
      </c>
      <c r="AD83" s="61">
        <v>1.125E-2</v>
      </c>
      <c r="AE83" s="61">
        <v>6.7500000000000004E-2</v>
      </c>
      <c r="AF83" s="61">
        <v>7.4999999999999997E-2</v>
      </c>
      <c r="AG83" s="61">
        <v>1.8749999999999999E-2</v>
      </c>
      <c r="AH83" s="60">
        <v>5.55</v>
      </c>
      <c r="AI83" s="60">
        <v>0.56000000000000005</v>
      </c>
      <c r="AJ83" s="60">
        <v>8.33</v>
      </c>
      <c r="AK83" s="60">
        <v>5.55</v>
      </c>
      <c r="AL83" s="60">
        <v>13.88</v>
      </c>
      <c r="AM83" s="60">
        <v>6.94</v>
      </c>
      <c r="AN83" s="60">
        <v>0.56000000000000005</v>
      </c>
      <c r="AO83" s="60">
        <v>11.1</v>
      </c>
      <c r="AP83" s="60">
        <v>12.49</v>
      </c>
      <c r="AQ83" s="60">
        <v>13.875</v>
      </c>
      <c r="AR83" s="60">
        <v>2.08</v>
      </c>
      <c r="AS83" s="60">
        <v>12.49</v>
      </c>
      <c r="AT83" s="60">
        <v>13.875</v>
      </c>
      <c r="AU83" s="60">
        <v>3.47</v>
      </c>
      <c r="AV83" s="62">
        <v>-10</v>
      </c>
      <c r="AW83" s="62">
        <v>-1</v>
      </c>
      <c r="AX83" s="62">
        <v>-17</v>
      </c>
      <c r="AY83" s="62">
        <v>-11</v>
      </c>
      <c r="AZ83" s="62">
        <v>-28</v>
      </c>
      <c r="BA83" s="62">
        <v>-14</v>
      </c>
      <c r="BB83" s="62">
        <v>-1</v>
      </c>
      <c r="BC83" s="62">
        <v>-6</v>
      </c>
      <c r="BD83" s="62">
        <v>-7</v>
      </c>
      <c r="BE83" s="62">
        <v>-7.5</v>
      </c>
      <c r="BF83" s="62">
        <v>-1</v>
      </c>
      <c r="BG83" s="62">
        <v>-9</v>
      </c>
      <c r="BH83" s="62">
        <v>-10</v>
      </c>
      <c r="BI83" s="62">
        <v>-2.5</v>
      </c>
      <c r="BJ83" s="62">
        <v>-12</v>
      </c>
      <c r="BK83" s="62">
        <v>-13.5</v>
      </c>
      <c r="BL83" s="62">
        <v>-15</v>
      </c>
      <c r="BM83" s="62">
        <v>-2.5</v>
      </c>
      <c r="BN83" s="62">
        <v>-15</v>
      </c>
      <c r="BO83" s="62">
        <v>-2</v>
      </c>
      <c r="BP83" s="4">
        <v>80</v>
      </c>
    </row>
    <row r="84" spans="1:68" x14ac:dyDescent="0.25">
      <c r="A84" s="4">
        <v>81</v>
      </c>
      <c r="B84" s="3" t="s">
        <v>2217</v>
      </c>
      <c r="C84" s="4">
        <v>10</v>
      </c>
      <c r="D84" s="4">
        <v>5</v>
      </c>
      <c r="E84" s="4">
        <v>80</v>
      </c>
      <c r="F84" s="61">
        <v>19.249500000000001</v>
      </c>
      <c r="G84" s="61">
        <v>1.9254</v>
      </c>
      <c r="H84" s="61">
        <v>8.2497000000000007</v>
      </c>
      <c r="I84" s="61">
        <v>5.4995000000000003</v>
      </c>
      <c r="J84" s="61">
        <v>13.7492</v>
      </c>
      <c r="K84" s="61">
        <v>6.8746</v>
      </c>
      <c r="L84" s="61">
        <v>0.5504</v>
      </c>
      <c r="M84" s="61">
        <v>10.999000000000001</v>
      </c>
      <c r="N84" s="61">
        <v>12.3741</v>
      </c>
      <c r="O84" s="61">
        <v>13.748750000000001</v>
      </c>
      <c r="P84" s="61">
        <v>2.0621999999999998</v>
      </c>
      <c r="Q84" s="61">
        <v>12.3741</v>
      </c>
      <c r="R84" s="61">
        <v>13.748750000000001</v>
      </c>
      <c r="S84" s="61">
        <v>3.4373</v>
      </c>
      <c r="T84" s="61">
        <v>0.03</v>
      </c>
      <c r="U84" s="61">
        <v>3.0000000000000001E-3</v>
      </c>
      <c r="V84" s="61">
        <v>4.4999999999999998E-2</v>
      </c>
      <c r="W84" s="61">
        <v>0.03</v>
      </c>
      <c r="X84" s="61">
        <v>7.4999999999999997E-2</v>
      </c>
      <c r="Y84" s="61">
        <v>3.7499999999999999E-2</v>
      </c>
      <c r="Z84" s="61">
        <v>3.0000000000000001E-3</v>
      </c>
      <c r="AA84" s="61">
        <v>0.06</v>
      </c>
      <c r="AB84" s="61">
        <v>6.7500000000000004E-2</v>
      </c>
      <c r="AC84" s="61">
        <v>7.4999999999999997E-2</v>
      </c>
      <c r="AD84" s="61">
        <v>1.125E-2</v>
      </c>
      <c r="AE84" s="61">
        <v>6.7500000000000004E-2</v>
      </c>
      <c r="AF84" s="61">
        <v>7.4999999999999997E-2</v>
      </c>
      <c r="AG84" s="61">
        <v>1.8749999999999999E-2</v>
      </c>
      <c r="AH84" s="60">
        <v>5.55</v>
      </c>
      <c r="AI84" s="60">
        <v>0.56000000000000005</v>
      </c>
      <c r="AJ84" s="60">
        <v>8.33</v>
      </c>
      <c r="AK84" s="60">
        <v>5.55</v>
      </c>
      <c r="AL84" s="60">
        <v>13.88</v>
      </c>
      <c r="AM84" s="60">
        <v>6.94</v>
      </c>
      <c r="AN84" s="60">
        <v>0.56000000000000005</v>
      </c>
      <c r="AO84" s="60">
        <v>11.1</v>
      </c>
      <c r="AP84" s="60">
        <v>12.49</v>
      </c>
      <c r="AQ84" s="60">
        <v>13.875</v>
      </c>
      <c r="AR84" s="60">
        <v>2.08</v>
      </c>
      <c r="AS84" s="60">
        <v>12.49</v>
      </c>
      <c r="AT84" s="60">
        <v>13.875</v>
      </c>
      <c r="AU84" s="60">
        <v>3.47</v>
      </c>
      <c r="AV84" s="62">
        <v>-8</v>
      </c>
      <c r="AW84" s="62">
        <v>0</v>
      </c>
      <c r="AX84" s="62">
        <v>-15</v>
      </c>
      <c r="AY84" s="62">
        <v>-9</v>
      </c>
      <c r="AZ84" s="62">
        <v>-26</v>
      </c>
      <c r="BA84" s="62">
        <v>-12</v>
      </c>
      <c r="BB84" s="62">
        <v>0</v>
      </c>
      <c r="BC84" s="62">
        <v>-5</v>
      </c>
      <c r="BD84" s="62">
        <v>-6</v>
      </c>
      <c r="BE84" s="62">
        <v>-6.5</v>
      </c>
      <c r="BF84" s="62">
        <v>0</v>
      </c>
      <c r="BG84" s="62">
        <v>-8</v>
      </c>
      <c r="BH84" s="62">
        <v>-9</v>
      </c>
      <c r="BI84" s="62">
        <v>-1.5</v>
      </c>
      <c r="BJ84" s="62">
        <v>-11</v>
      </c>
      <c r="BK84" s="62">
        <v>-12.5</v>
      </c>
      <c r="BL84" s="62">
        <v>-14</v>
      </c>
      <c r="BM84" s="62">
        <v>-1.5</v>
      </c>
      <c r="BN84" s="62">
        <v>-13</v>
      </c>
      <c r="BO84" s="62">
        <v>0</v>
      </c>
      <c r="BP84" s="4">
        <v>81</v>
      </c>
    </row>
    <row r="85" spans="1:68" x14ac:dyDescent="0.25">
      <c r="A85" s="4">
        <v>82</v>
      </c>
      <c r="B85" s="3" t="s">
        <v>2218</v>
      </c>
      <c r="C85" s="4">
        <v>10</v>
      </c>
      <c r="D85" s="4">
        <v>10</v>
      </c>
      <c r="E85" s="4">
        <v>85</v>
      </c>
      <c r="F85" s="61">
        <v>25.2195</v>
      </c>
      <c r="G85" s="61">
        <v>2.5244</v>
      </c>
      <c r="H85" s="61">
        <v>13.0817</v>
      </c>
      <c r="I85" s="61">
        <v>8.7195</v>
      </c>
      <c r="J85" s="61">
        <v>21.801200000000001</v>
      </c>
      <c r="K85" s="61">
        <v>10.900600000000001</v>
      </c>
      <c r="L85" s="61">
        <v>0.87440000000000007</v>
      </c>
      <c r="M85" s="61">
        <v>17.439</v>
      </c>
      <c r="N85" s="61">
        <v>19.620100000000001</v>
      </c>
      <c r="O85" s="61">
        <v>21.798749999999998</v>
      </c>
      <c r="P85" s="61">
        <v>3.2692000000000001</v>
      </c>
      <c r="Q85" s="61">
        <v>19.620100000000001</v>
      </c>
      <c r="R85" s="61">
        <v>21.798749999999998</v>
      </c>
      <c r="S85" s="61">
        <v>5.4503000000000004</v>
      </c>
      <c r="T85" s="61">
        <v>0.03</v>
      </c>
      <c r="U85" s="61">
        <v>3.0000000000000001E-3</v>
      </c>
      <c r="V85" s="61">
        <v>4.4999999999999998E-2</v>
      </c>
      <c r="W85" s="61">
        <v>0.03</v>
      </c>
      <c r="X85" s="61">
        <v>7.4999999999999997E-2</v>
      </c>
      <c r="Y85" s="61">
        <v>3.7499999999999999E-2</v>
      </c>
      <c r="Z85" s="61">
        <v>3.0000000000000001E-3</v>
      </c>
      <c r="AA85" s="61">
        <v>0.06</v>
      </c>
      <c r="AB85" s="61">
        <v>6.7500000000000004E-2</v>
      </c>
      <c r="AC85" s="61">
        <v>7.4999999999999997E-2</v>
      </c>
      <c r="AD85" s="61">
        <v>1.125E-2</v>
      </c>
      <c r="AE85" s="61">
        <v>6.7500000000000004E-2</v>
      </c>
      <c r="AF85" s="61">
        <v>7.4999999999999997E-2</v>
      </c>
      <c r="AG85" s="61">
        <v>1.8749999999999999E-2</v>
      </c>
      <c r="AH85" s="60">
        <v>5.55</v>
      </c>
      <c r="AI85" s="60">
        <v>0.56000000000000005</v>
      </c>
      <c r="AJ85" s="60">
        <v>8.33</v>
      </c>
      <c r="AK85" s="60">
        <v>5.55</v>
      </c>
      <c r="AL85" s="60">
        <v>13.88</v>
      </c>
      <c r="AM85" s="60">
        <v>6.94</v>
      </c>
      <c r="AN85" s="60">
        <v>0.56000000000000005</v>
      </c>
      <c r="AO85" s="60">
        <v>11.1</v>
      </c>
      <c r="AP85" s="60">
        <v>12.49</v>
      </c>
      <c r="AQ85" s="60">
        <v>13.875</v>
      </c>
      <c r="AR85" s="60">
        <v>2.08</v>
      </c>
      <c r="AS85" s="60">
        <v>12.49</v>
      </c>
      <c r="AT85" s="60">
        <v>13.875</v>
      </c>
      <c r="AU85" s="60">
        <v>3.47</v>
      </c>
      <c r="AV85" s="62">
        <v>-7</v>
      </c>
      <c r="AW85" s="62">
        <v>0</v>
      </c>
      <c r="AX85" s="62">
        <v>-14</v>
      </c>
      <c r="AY85" s="62">
        <v>-8</v>
      </c>
      <c r="AZ85" s="62">
        <v>-25</v>
      </c>
      <c r="BA85" s="62">
        <v>-11</v>
      </c>
      <c r="BB85" s="62">
        <v>0</v>
      </c>
      <c r="BC85" s="62">
        <v>-4.5</v>
      </c>
      <c r="BD85" s="62">
        <v>-5.5</v>
      </c>
      <c r="BE85" s="62">
        <v>-6</v>
      </c>
      <c r="BF85" s="62">
        <v>0</v>
      </c>
      <c r="BG85" s="62">
        <v>-7.5</v>
      </c>
      <c r="BH85" s="62">
        <v>-8.5</v>
      </c>
      <c r="BI85" s="62">
        <v>-1</v>
      </c>
      <c r="BJ85" s="62">
        <v>-10.5</v>
      </c>
      <c r="BK85" s="62">
        <v>-12</v>
      </c>
      <c r="BL85" s="62">
        <v>-13.5</v>
      </c>
      <c r="BM85" s="62">
        <v>-1</v>
      </c>
      <c r="BN85" s="62">
        <v>-12</v>
      </c>
      <c r="BO85" s="62">
        <v>0</v>
      </c>
      <c r="BP85" s="4">
        <v>82</v>
      </c>
    </row>
    <row r="86" spans="1:68" x14ac:dyDescent="0.25">
      <c r="A86" s="4">
        <v>83</v>
      </c>
      <c r="B86" s="3" t="s">
        <v>2219</v>
      </c>
      <c r="C86" s="4">
        <v>10</v>
      </c>
      <c r="D86" s="4">
        <v>15</v>
      </c>
      <c r="E86" s="4">
        <v>90</v>
      </c>
      <c r="F86" s="61">
        <v>32.494500000000002</v>
      </c>
      <c r="G86" s="61">
        <v>3.2544000000000004</v>
      </c>
      <c r="H86" s="61">
        <v>19.046700000000001</v>
      </c>
      <c r="I86" s="61">
        <v>12.6945</v>
      </c>
      <c r="J86" s="61">
        <v>31.741199999999999</v>
      </c>
      <c r="K86" s="61">
        <v>15.8706</v>
      </c>
      <c r="L86" s="61">
        <v>1.2744</v>
      </c>
      <c r="M86" s="61">
        <v>25.388999999999999</v>
      </c>
      <c r="N86" s="61">
        <v>28.565100000000001</v>
      </c>
      <c r="O86" s="61">
        <v>31.736249999999998</v>
      </c>
      <c r="P86" s="61">
        <v>4.7591999999999999</v>
      </c>
      <c r="Q86" s="61">
        <v>28.565100000000001</v>
      </c>
      <c r="R86" s="61">
        <v>31.736249999999998</v>
      </c>
      <c r="S86" s="61">
        <v>7.9352999999999998</v>
      </c>
      <c r="T86" s="61">
        <v>2.9699999999999997E-2</v>
      </c>
      <c r="U86" s="61">
        <v>2.97E-3</v>
      </c>
      <c r="V86" s="61">
        <v>4.4549999999999999E-2</v>
      </c>
      <c r="W86" s="61">
        <v>2.9699999999999997E-2</v>
      </c>
      <c r="X86" s="61">
        <v>7.4249999999999997E-2</v>
      </c>
      <c r="Y86" s="61">
        <v>3.7124999999999998E-2</v>
      </c>
      <c r="Z86" s="61">
        <v>2.97E-3</v>
      </c>
      <c r="AA86" s="61">
        <v>5.9399999999999994E-2</v>
      </c>
      <c r="AB86" s="61">
        <v>6.6825000000000009E-2</v>
      </c>
      <c r="AC86" s="61">
        <v>7.4249999999999997E-2</v>
      </c>
      <c r="AD86" s="61">
        <v>1.11375E-2</v>
      </c>
      <c r="AE86" s="61">
        <v>6.6825000000000009E-2</v>
      </c>
      <c r="AF86" s="61">
        <v>7.4249999999999997E-2</v>
      </c>
      <c r="AG86" s="61">
        <v>1.8562499999999999E-2</v>
      </c>
      <c r="AH86" s="60">
        <v>5.49</v>
      </c>
      <c r="AI86" s="60">
        <v>0.55000000000000004</v>
      </c>
      <c r="AJ86" s="60">
        <v>8.24</v>
      </c>
      <c r="AK86" s="60">
        <v>5.49</v>
      </c>
      <c r="AL86" s="60">
        <v>13.74</v>
      </c>
      <c r="AM86" s="60">
        <v>6.87</v>
      </c>
      <c r="AN86" s="60">
        <v>0.55000000000000004</v>
      </c>
      <c r="AO86" s="60">
        <v>10.99</v>
      </c>
      <c r="AP86" s="60">
        <v>12.365</v>
      </c>
      <c r="AQ86" s="60">
        <v>13.734999999999999</v>
      </c>
      <c r="AR86" s="60">
        <v>2.06</v>
      </c>
      <c r="AS86" s="60">
        <v>12.365</v>
      </c>
      <c r="AT86" s="60">
        <v>13.734999999999999</v>
      </c>
      <c r="AU86" s="60">
        <v>3.4350000000000001</v>
      </c>
      <c r="AV86" s="62">
        <v>-5</v>
      </c>
      <c r="AW86" s="62">
        <v>0</v>
      </c>
      <c r="AX86" s="62">
        <v>-12</v>
      </c>
      <c r="AY86" s="62">
        <v>-6</v>
      </c>
      <c r="AZ86" s="62">
        <v>-23</v>
      </c>
      <c r="BA86" s="62">
        <v>-9</v>
      </c>
      <c r="BB86" s="62">
        <v>0</v>
      </c>
      <c r="BC86" s="62">
        <v>-3.5</v>
      </c>
      <c r="BD86" s="62">
        <v>-4.5</v>
      </c>
      <c r="BE86" s="62">
        <v>-5</v>
      </c>
      <c r="BF86" s="62">
        <v>0</v>
      </c>
      <c r="BG86" s="62">
        <v>-6.5</v>
      </c>
      <c r="BH86" s="62">
        <v>-7.5</v>
      </c>
      <c r="BI86" s="62">
        <v>0</v>
      </c>
      <c r="BJ86" s="62">
        <v>-9.5</v>
      </c>
      <c r="BK86" s="62">
        <v>-11</v>
      </c>
      <c r="BL86" s="62">
        <v>-12.5</v>
      </c>
      <c r="BM86" s="62">
        <v>0</v>
      </c>
      <c r="BN86" s="62">
        <v>-10</v>
      </c>
      <c r="BO86" s="62">
        <v>0</v>
      </c>
      <c r="BP86" s="4">
        <v>83</v>
      </c>
    </row>
    <row r="87" spans="1:68" x14ac:dyDescent="0.25">
      <c r="A87" s="4">
        <v>84</v>
      </c>
      <c r="B87" s="3" t="s">
        <v>2220</v>
      </c>
      <c r="C87" s="4">
        <v>10</v>
      </c>
      <c r="D87" s="4">
        <v>20</v>
      </c>
      <c r="E87" s="4">
        <v>95</v>
      </c>
      <c r="F87" s="61">
        <v>59.194500000000005</v>
      </c>
      <c r="G87" s="61">
        <v>5.9444000000000008</v>
      </c>
      <c r="H87" s="61">
        <v>54.166700000000006</v>
      </c>
      <c r="I87" s="61">
        <v>36.094500000000004</v>
      </c>
      <c r="J87" s="61">
        <v>90.261200000000002</v>
      </c>
      <c r="K87" s="61">
        <v>45.130600000000001</v>
      </c>
      <c r="L87" s="61">
        <v>3.6344000000000003</v>
      </c>
      <c r="M87" s="61">
        <v>72.189000000000007</v>
      </c>
      <c r="N87" s="61">
        <v>81.225100000000012</v>
      </c>
      <c r="O87" s="61">
        <v>90.236249999999998</v>
      </c>
      <c r="P87" s="61">
        <v>13.529200000000001</v>
      </c>
      <c r="Q87" s="61">
        <v>81.225100000000012</v>
      </c>
      <c r="R87" s="61">
        <v>90.236249999999998</v>
      </c>
      <c r="S87" s="61">
        <v>22.565300000000001</v>
      </c>
      <c r="T87" s="61">
        <v>2.9699999999999997E-2</v>
      </c>
      <c r="U87" s="61">
        <v>2.97E-3</v>
      </c>
      <c r="V87" s="61">
        <v>4.4549999999999999E-2</v>
      </c>
      <c r="W87" s="61">
        <v>2.9699999999999997E-2</v>
      </c>
      <c r="X87" s="61">
        <v>7.4249999999999997E-2</v>
      </c>
      <c r="Y87" s="61">
        <v>3.7124999999999998E-2</v>
      </c>
      <c r="Z87" s="61">
        <v>2.97E-3</v>
      </c>
      <c r="AA87" s="61">
        <v>5.9399999999999994E-2</v>
      </c>
      <c r="AB87" s="61">
        <v>6.6825000000000009E-2</v>
      </c>
      <c r="AC87" s="61">
        <v>7.4249999999999997E-2</v>
      </c>
      <c r="AD87" s="61">
        <v>1.11375E-2</v>
      </c>
      <c r="AE87" s="61">
        <v>6.6825000000000009E-2</v>
      </c>
      <c r="AF87" s="61">
        <v>7.4249999999999997E-2</v>
      </c>
      <c r="AG87" s="61">
        <v>1.8562499999999999E-2</v>
      </c>
      <c r="AH87" s="60">
        <v>5.49</v>
      </c>
      <c r="AI87" s="60">
        <v>0.55000000000000004</v>
      </c>
      <c r="AJ87" s="60">
        <v>8.24</v>
      </c>
      <c r="AK87" s="60">
        <v>5.49</v>
      </c>
      <c r="AL87" s="60">
        <v>13.74</v>
      </c>
      <c r="AM87" s="60">
        <v>6.87</v>
      </c>
      <c r="AN87" s="60">
        <v>0.55000000000000004</v>
      </c>
      <c r="AO87" s="60">
        <v>10.99</v>
      </c>
      <c r="AP87" s="60">
        <v>12.365</v>
      </c>
      <c r="AQ87" s="60">
        <v>13.734999999999999</v>
      </c>
      <c r="AR87" s="60">
        <v>2.06</v>
      </c>
      <c r="AS87" s="60">
        <v>12.365</v>
      </c>
      <c r="AT87" s="60">
        <v>13.734999999999999</v>
      </c>
      <c r="AU87" s="60">
        <v>3.4350000000000001</v>
      </c>
      <c r="AV87" s="62">
        <v>-3</v>
      </c>
      <c r="AW87" s="62">
        <v>0</v>
      </c>
      <c r="AX87" s="62">
        <v>-10</v>
      </c>
      <c r="AY87" s="62">
        <v>-4</v>
      </c>
      <c r="AZ87" s="62">
        <v>-21</v>
      </c>
      <c r="BA87" s="62">
        <v>-7</v>
      </c>
      <c r="BB87" s="62">
        <v>0</v>
      </c>
      <c r="BC87" s="62">
        <v>-2.5</v>
      </c>
      <c r="BD87" s="62">
        <v>-3.5</v>
      </c>
      <c r="BE87" s="62">
        <v>-4</v>
      </c>
      <c r="BF87" s="62">
        <v>0</v>
      </c>
      <c r="BG87" s="62">
        <v>-5.5</v>
      </c>
      <c r="BH87" s="62">
        <v>-6.5</v>
      </c>
      <c r="BI87" s="62">
        <v>0</v>
      </c>
      <c r="BJ87" s="62">
        <v>-8.5</v>
      </c>
      <c r="BK87" s="62">
        <v>-10</v>
      </c>
      <c r="BL87" s="62">
        <v>-11.5</v>
      </c>
      <c r="BM87" s="62">
        <v>0</v>
      </c>
      <c r="BN87" s="62">
        <v>-8</v>
      </c>
      <c r="BO87" s="62">
        <v>0</v>
      </c>
      <c r="BP87" s="4">
        <v>84</v>
      </c>
    </row>
    <row r="88" spans="1:68" x14ac:dyDescent="0.25">
      <c r="A88" s="4">
        <v>85</v>
      </c>
      <c r="B88" s="3" t="s">
        <v>2221</v>
      </c>
      <c r="C88" s="4">
        <v>10</v>
      </c>
      <c r="D88" s="4">
        <v>-30</v>
      </c>
      <c r="E88" s="4">
        <v>45</v>
      </c>
      <c r="F88" s="61">
        <v>3566.9445000000001</v>
      </c>
      <c r="G88" s="61">
        <v>359.89440000000002</v>
      </c>
      <c r="H88" s="61">
        <v>5337.1167000000005</v>
      </c>
      <c r="I88" s="61">
        <v>3555.9445000000001</v>
      </c>
      <c r="J88" s="61">
        <v>8893.0612000000001</v>
      </c>
      <c r="K88" s="61">
        <v>4446.5306</v>
      </c>
      <c r="L88" s="61">
        <v>358.7944</v>
      </c>
      <c r="M88" s="61">
        <v>7111.8890000000001</v>
      </c>
      <c r="N88" s="61">
        <v>8002.4751000000006</v>
      </c>
      <c r="O88" s="61">
        <v>8889.8612499999999</v>
      </c>
      <c r="P88" s="61">
        <v>1332.6792</v>
      </c>
      <c r="Q88" s="61">
        <v>8002.4751000000006</v>
      </c>
      <c r="R88" s="61">
        <v>8889.8612499999999</v>
      </c>
      <c r="S88" s="61">
        <v>2223.2653</v>
      </c>
      <c r="T88" s="61">
        <v>7.3499999999999996E-2</v>
      </c>
      <c r="U88" s="61">
        <v>7.3500000000000006E-3</v>
      </c>
      <c r="V88" s="61">
        <v>0.11025</v>
      </c>
      <c r="W88" s="61">
        <v>7.3499999999999996E-2</v>
      </c>
      <c r="X88" s="61">
        <v>0.18375</v>
      </c>
      <c r="Y88" s="61">
        <v>9.1874999999999998E-2</v>
      </c>
      <c r="Z88" s="61">
        <v>7.3500000000000006E-3</v>
      </c>
      <c r="AA88" s="61">
        <v>0.14699999999999999</v>
      </c>
      <c r="AB88" s="61">
        <v>0.16537500000000002</v>
      </c>
      <c r="AC88" s="61">
        <v>0.18375</v>
      </c>
      <c r="AD88" s="61">
        <v>2.75625E-2</v>
      </c>
      <c r="AE88" s="61">
        <v>0.16537500000000002</v>
      </c>
      <c r="AF88" s="61">
        <v>0.18375</v>
      </c>
      <c r="AG88" s="61">
        <v>4.5937499999999999E-2</v>
      </c>
      <c r="AH88" s="60">
        <v>13.6</v>
      </c>
      <c r="AI88" s="60">
        <v>1.36</v>
      </c>
      <c r="AJ88" s="60">
        <v>20.399999999999999</v>
      </c>
      <c r="AK88" s="60">
        <v>13.6</v>
      </c>
      <c r="AL88" s="60">
        <v>33.99</v>
      </c>
      <c r="AM88" s="60">
        <v>17</v>
      </c>
      <c r="AN88" s="60">
        <v>1.36</v>
      </c>
      <c r="AO88" s="60">
        <v>27.195</v>
      </c>
      <c r="AP88" s="60">
        <v>30.594999999999999</v>
      </c>
      <c r="AQ88" s="60">
        <v>33.994999999999997</v>
      </c>
      <c r="AR88" s="60">
        <v>5.0999999999999996</v>
      </c>
      <c r="AS88" s="60">
        <v>30.594999999999999</v>
      </c>
      <c r="AT88" s="60">
        <v>33.994999999999997</v>
      </c>
      <c r="AU88" s="60">
        <v>8.5</v>
      </c>
      <c r="AV88" s="62">
        <v>-49</v>
      </c>
      <c r="AW88" s="62">
        <v>-27</v>
      </c>
      <c r="AX88" s="62">
        <v>-66</v>
      </c>
      <c r="AY88" s="62">
        <v>-51</v>
      </c>
      <c r="AZ88" s="62">
        <v>-93</v>
      </c>
      <c r="BA88" s="62">
        <v>-59</v>
      </c>
      <c r="BB88" s="62">
        <v>-27</v>
      </c>
      <c r="BC88" s="62">
        <v>-27</v>
      </c>
      <c r="BD88" s="62">
        <v>-29.5</v>
      </c>
      <c r="BE88" s="62">
        <v>-30.5</v>
      </c>
      <c r="BF88" s="62">
        <v>-14.5</v>
      </c>
      <c r="BG88" s="62">
        <v>-34.5</v>
      </c>
      <c r="BH88" s="62">
        <v>-37</v>
      </c>
      <c r="BI88" s="62">
        <v>-18.5</v>
      </c>
      <c r="BJ88" s="62">
        <v>-41.5</v>
      </c>
      <c r="BK88" s="62">
        <v>-45.5</v>
      </c>
      <c r="BL88" s="62">
        <v>-49</v>
      </c>
      <c r="BM88" s="62">
        <v>-18.5</v>
      </c>
      <c r="BN88" s="62">
        <v>-61</v>
      </c>
      <c r="BO88" s="62">
        <v>-29</v>
      </c>
      <c r="BP88" s="4">
        <v>85</v>
      </c>
    </row>
    <row r="89" spans="1:68" x14ac:dyDescent="0.25">
      <c r="A89" s="4">
        <v>86</v>
      </c>
      <c r="B89" s="3" t="s">
        <v>2222</v>
      </c>
      <c r="C89" s="4">
        <v>10</v>
      </c>
      <c r="D89" s="4">
        <v>-20</v>
      </c>
      <c r="E89" s="4">
        <v>50</v>
      </c>
      <c r="F89" s="61">
        <v>370.14449999999999</v>
      </c>
      <c r="G89" s="61">
        <v>37.334400000000002</v>
      </c>
      <c r="H89" s="61">
        <v>539.0367</v>
      </c>
      <c r="I89" s="61">
        <v>359.14449999999999</v>
      </c>
      <c r="J89" s="61">
        <v>898.1812000000001</v>
      </c>
      <c r="K89" s="61">
        <v>449.09060000000005</v>
      </c>
      <c r="L89" s="61">
        <v>36.234400000000001</v>
      </c>
      <c r="M89" s="61">
        <v>718.28899999999999</v>
      </c>
      <c r="N89" s="61">
        <v>808.23509999999999</v>
      </c>
      <c r="O89" s="61">
        <v>897.86125000000004</v>
      </c>
      <c r="P89" s="61">
        <v>134.5992</v>
      </c>
      <c r="Q89" s="61">
        <v>808.23509999999999</v>
      </c>
      <c r="R89" s="61">
        <v>897.86125000000004</v>
      </c>
      <c r="S89" s="61">
        <v>224.54530000000003</v>
      </c>
      <c r="T89" s="61">
        <v>3.9899999999999998E-2</v>
      </c>
      <c r="U89" s="61">
        <v>3.9900000000000005E-3</v>
      </c>
      <c r="V89" s="61">
        <v>5.985E-2</v>
      </c>
      <c r="W89" s="61">
        <v>3.9899999999999998E-2</v>
      </c>
      <c r="X89" s="61">
        <v>9.9750000000000005E-2</v>
      </c>
      <c r="Y89" s="61">
        <v>4.9875000000000003E-2</v>
      </c>
      <c r="Z89" s="61">
        <v>3.9900000000000005E-3</v>
      </c>
      <c r="AA89" s="61">
        <v>7.9799999999999996E-2</v>
      </c>
      <c r="AB89" s="61">
        <v>8.9775000000000008E-2</v>
      </c>
      <c r="AC89" s="61">
        <v>9.9750000000000005E-2</v>
      </c>
      <c r="AD89" s="61">
        <v>1.49625E-2</v>
      </c>
      <c r="AE89" s="61">
        <v>8.9775000000000008E-2</v>
      </c>
      <c r="AF89" s="61">
        <v>9.9750000000000005E-2</v>
      </c>
      <c r="AG89" s="61">
        <v>2.4937500000000001E-2</v>
      </c>
      <c r="AH89" s="60">
        <v>7.38</v>
      </c>
      <c r="AI89" s="60">
        <v>0.74</v>
      </c>
      <c r="AJ89" s="60">
        <v>11.07</v>
      </c>
      <c r="AK89" s="60">
        <v>7.38</v>
      </c>
      <c r="AL89" s="60">
        <v>18.45</v>
      </c>
      <c r="AM89" s="60">
        <v>9.23</v>
      </c>
      <c r="AN89" s="60">
        <v>0.74</v>
      </c>
      <c r="AO89" s="60">
        <v>14.765000000000001</v>
      </c>
      <c r="AP89" s="60">
        <v>16.61</v>
      </c>
      <c r="AQ89" s="60">
        <v>18.454999999999998</v>
      </c>
      <c r="AR89" s="60">
        <v>2.77</v>
      </c>
      <c r="AS89" s="60">
        <v>16.61</v>
      </c>
      <c r="AT89" s="60">
        <v>18.454999999999998</v>
      </c>
      <c r="AU89" s="60">
        <v>4.6150000000000002</v>
      </c>
      <c r="AV89" s="62">
        <v>-22</v>
      </c>
      <c r="AW89" s="62">
        <v>-10</v>
      </c>
      <c r="AX89" s="62">
        <v>-31</v>
      </c>
      <c r="AY89" s="62">
        <v>-23</v>
      </c>
      <c r="AZ89" s="62">
        <v>-46</v>
      </c>
      <c r="BA89" s="62">
        <v>-27</v>
      </c>
      <c r="BB89" s="62">
        <v>-10</v>
      </c>
      <c r="BC89" s="62">
        <v>-12.5</v>
      </c>
      <c r="BD89" s="62">
        <v>-13.5</v>
      </c>
      <c r="BE89" s="62">
        <v>-14.5</v>
      </c>
      <c r="BF89" s="62">
        <v>-6</v>
      </c>
      <c r="BG89" s="62">
        <v>-16.5</v>
      </c>
      <c r="BH89" s="62">
        <v>-17.5</v>
      </c>
      <c r="BI89" s="62">
        <v>-8</v>
      </c>
      <c r="BJ89" s="62">
        <v>-20.5</v>
      </c>
      <c r="BK89" s="62">
        <v>-22.5</v>
      </c>
      <c r="BL89" s="62">
        <v>-24.5</v>
      </c>
      <c r="BM89" s="62">
        <v>-8</v>
      </c>
      <c r="BN89" s="62">
        <v>-29</v>
      </c>
      <c r="BO89" s="62">
        <v>-11</v>
      </c>
      <c r="BP89" s="4">
        <v>86</v>
      </c>
    </row>
    <row r="90" spans="1:68" x14ac:dyDescent="0.25">
      <c r="A90" s="4">
        <v>87</v>
      </c>
      <c r="B90" s="3" t="s">
        <v>2223</v>
      </c>
      <c r="C90" s="4">
        <v>10</v>
      </c>
      <c r="D90" s="4">
        <v>-10</v>
      </c>
      <c r="E90" s="4">
        <v>60</v>
      </c>
      <c r="F90" s="61">
        <v>18.496500000000001</v>
      </c>
      <c r="G90" s="61">
        <v>1.8528</v>
      </c>
      <c r="H90" s="61">
        <v>11.247900000000001</v>
      </c>
      <c r="I90" s="61">
        <v>7.4964999999999993</v>
      </c>
      <c r="J90" s="61">
        <v>18.744399999999999</v>
      </c>
      <c r="K90" s="61">
        <v>9.3721999999999994</v>
      </c>
      <c r="L90" s="61">
        <v>0.75280000000000014</v>
      </c>
      <c r="M90" s="61">
        <v>14.992999999999999</v>
      </c>
      <c r="N90" s="61">
        <v>16.8687</v>
      </c>
      <c r="O90" s="61">
        <v>18.741250000000001</v>
      </c>
      <c r="P90" s="61">
        <v>2.8104</v>
      </c>
      <c r="Q90" s="61">
        <v>16.8687</v>
      </c>
      <c r="R90" s="61">
        <v>18.741250000000001</v>
      </c>
      <c r="S90" s="61">
        <v>4.6860999999999997</v>
      </c>
      <c r="T90" s="61">
        <v>3.3899999999999993E-2</v>
      </c>
      <c r="U90" s="61">
        <v>3.3899999999999998E-3</v>
      </c>
      <c r="V90" s="61">
        <v>5.0849999999999992E-2</v>
      </c>
      <c r="W90" s="61">
        <v>3.3899999999999993E-2</v>
      </c>
      <c r="X90" s="61">
        <v>8.4749999999999992E-2</v>
      </c>
      <c r="Y90" s="61">
        <v>4.2374999999999996E-2</v>
      </c>
      <c r="Z90" s="61">
        <v>3.3899999999999998E-3</v>
      </c>
      <c r="AA90" s="61">
        <v>6.7799999999999985E-2</v>
      </c>
      <c r="AB90" s="61">
        <v>7.6274999999999996E-2</v>
      </c>
      <c r="AC90" s="61">
        <v>8.4749999999999992E-2</v>
      </c>
      <c r="AD90" s="61">
        <v>1.2712499999999998E-2</v>
      </c>
      <c r="AE90" s="61">
        <v>7.6274999999999996E-2</v>
      </c>
      <c r="AF90" s="61">
        <v>8.4749999999999992E-2</v>
      </c>
      <c r="AG90" s="61">
        <v>2.1187499999999998E-2</v>
      </c>
      <c r="AH90" s="60">
        <v>6.27</v>
      </c>
      <c r="AI90" s="60">
        <v>0.63</v>
      </c>
      <c r="AJ90" s="60">
        <v>9.41</v>
      </c>
      <c r="AK90" s="60">
        <v>6.27</v>
      </c>
      <c r="AL90" s="60">
        <v>15.68</v>
      </c>
      <c r="AM90" s="60">
        <v>7.84</v>
      </c>
      <c r="AN90" s="60">
        <v>0.63</v>
      </c>
      <c r="AO90" s="60">
        <v>12.545</v>
      </c>
      <c r="AP90" s="60">
        <v>14.11</v>
      </c>
      <c r="AQ90" s="60">
        <v>15.68</v>
      </c>
      <c r="AR90" s="60">
        <v>2.35</v>
      </c>
      <c r="AS90" s="60">
        <v>14.11</v>
      </c>
      <c r="AT90" s="60">
        <v>15.68</v>
      </c>
      <c r="AU90" s="60">
        <v>3.92</v>
      </c>
      <c r="AV90" s="62">
        <v>-15</v>
      </c>
      <c r="AW90" s="62">
        <v>-5</v>
      </c>
      <c r="AX90" s="62">
        <v>-23</v>
      </c>
      <c r="AY90" s="62">
        <v>-16</v>
      </c>
      <c r="AZ90" s="62">
        <v>-35</v>
      </c>
      <c r="BA90" s="62">
        <v>-20</v>
      </c>
      <c r="BB90" s="62">
        <v>-5</v>
      </c>
      <c r="BC90" s="62">
        <v>-8.5</v>
      </c>
      <c r="BD90" s="62">
        <v>-10</v>
      </c>
      <c r="BE90" s="62">
        <v>-10.5</v>
      </c>
      <c r="BF90" s="62">
        <v>-3</v>
      </c>
      <c r="BG90" s="62">
        <v>-12</v>
      </c>
      <c r="BH90" s="62">
        <v>-13</v>
      </c>
      <c r="BI90" s="62">
        <v>-4.5</v>
      </c>
      <c r="BJ90" s="62">
        <v>-15.5</v>
      </c>
      <c r="BK90" s="62">
        <v>-17</v>
      </c>
      <c r="BL90" s="62">
        <v>-19</v>
      </c>
      <c r="BM90" s="62">
        <v>-4.5</v>
      </c>
      <c r="BN90" s="62">
        <v>-21</v>
      </c>
      <c r="BO90" s="62">
        <v>-6</v>
      </c>
      <c r="BP90" s="4">
        <v>87</v>
      </c>
    </row>
    <row r="91" spans="1:68" x14ac:dyDescent="0.25">
      <c r="A91" s="4">
        <v>88</v>
      </c>
      <c r="B91" s="3" t="s">
        <v>2224</v>
      </c>
      <c r="C91" s="4">
        <v>10</v>
      </c>
      <c r="D91" s="4">
        <v>0</v>
      </c>
      <c r="E91" s="4">
        <v>65</v>
      </c>
      <c r="F91" s="61">
        <v>50.464500000000001</v>
      </c>
      <c r="G91" s="61">
        <v>5.0784000000000002</v>
      </c>
      <c r="H91" s="61">
        <v>59.228700000000003</v>
      </c>
      <c r="I91" s="61">
        <v>39.464500000000001</v>
      </c>
      <c r="J91" s="61">
        <v>98.693200000000019</v>
      </c>
      <c r="K91" s="61">
        <v>49.346600000000009</v>
      </c>
      <c r="L91" s="61">
        <v>3.9784000000000006</v>
      </c>
      <c r="M91" s="61">
        <v>78.929000000000002</v>
      </c>
      <c r="N91" s="61">
        <v>88.81110000000001</v>
      </c>
      <c r="O91" s="61">
        <v>98.66125000000001</v>
      </c>
      <c r="P91" s="61">
        <v>14.791200000000002</v>
      </c>
      <c r="Q91" s="61">
        <v>88.81110000000001</v>
      </c>
      <c r="R91" s="61">
        <v>98.66125000000001</v>
      </c>
      <c r="S91" s="61">
        <v>24.673300000000005</v>
      </c>
      <c r="T91" s="61">
        <v>3.3300000000000003E-2</v>
      </c>
      <c r="U91" s="61">
        <v>3.3300000000000005E-3</v>
      </c>
      <c r="V91" s="61">
        <v>4.9950000000000001E-2</v>
      </c>
      <c r="W91" s="61">
        <v>3.3300000000000003E-2</v>
      </c>
      <c r="X91" s="61">
        <v>8.3250000000000005E-2</v>
      </c>
      <c r="Y91" s="61">
        <v>4.1625000000000002E-2</v>
      </c>
      <c r="Z91" s="61">
        <v>3.3300000000000005E-3</v>
      </c>
      <c r="AA91" s="61">
        <v>6.6600000000000006E-2</v>
      </c>
      <c r="AB91" s="61">
        <v>7.4925000000000005E-2</v>
      </c>
      <c r="AC91" s="61">
        <v>8.3250000000000005E-2</v>
      </c>
      <c r="AD91" s="61">
        <v>1.24875E-2</v>
      </c>
      <c r="AE91" s="61">
        <v>7.4925000000000005E-2</v>
      </c>
      <c r="AF91" s="61">
        <v>8.3250000000000005E-2</v>
      </c>
      <c r="AG91" s="61">
        <v>2.0812500000000001E-2</v>
      </c>
      <c r="AH91" s="60">
        <v>6.16</v>
      </c>
      <c r="AI91" s="60">
        <v>0.62</v>
      </c>
      <c r="AJ91" s="60">
        <v>9.24</v>
      </c>
      <c r="AK91" s="60">
        <v>6.16</v>
      </c>
      <c r="AL91" s="60">
        <v>15.4</v>
      </c>
      <c r="AM91" s="60">
        <v>7.7</v>
      </c>
      <c r="AN91" s="60">
        <v>0.62</v>
      </c>
      <c r="AO91" s="60">
        <v>12.32</v>
      </c>
      <c r="AP91" s="60">
        <v>13.86</v>
      </c>
      <c r="AQ91" s="60">
        <v>15.4</v>
      </c>
      <c r="AR91" s="60">
        <v>2.31</v>
      </c>
      <c r="AS91" s="60">
        <v>13.86</v>
      </c>
      <c r="AT91" s="60">
        <v>15.4</v>
      </c>
      <c r="AU91" s="60">
        <v>3.85</v>
      </c>
      <c r="AV91" s="62">
        <v>-11</v>
      </c>
      <c r="AW91" s="62">
        <v>-1</v>
      </c>
      <c r="AX91" s="62">
        <v>-19</v>
      </c>
      <c r="AY91" s="62">
        <v>-12</v>
      </c>
      <c r="AZ91" s="62">
        <v>-31</v>
      </c>
      <c r="BA91" s="62">
        <v>-16</v>
      </c>
      <c r="BB91" s="62">
        <v>-1</v>
      </c>
      <c r="BC91" s="62">
        <v>-6.5</v>
      </c>
      <c r="BD91" s="62">
        <v>-8</v>
      </c>
      <c r="BE91" s="62">
        <v>-8.5</v>
      </c>
      <c r="BF91" s="62">
        <v>-1</v>
      </c>
      <c r="BG91" s="62">
        <v>-10</v>
      </c>
      <c r="BH91" s="62">
        <v>-11</v>
      </c>
      <c r="BI91" s="62">
        <v>-3</v>
      </c>
      <c r="BJ91" s="62">
        <v>-13.5</v>
      </c>
      <c r="BK91" s="62">
        <v>-15</v>
      </c>
      <c r="BL91" s="62">
        <v>-16.5</v>
      </c>
      <c r="BM91" s="62">
        <v>-3</v>
      </c>
      <c r="BN91" s="62">
        <v>-17</v>
      </c>
      <c r="BO91" s="62">
        <v>-2</v>
      </c>
      <c r="BP91" s="4">
        <v>88</v>
      </c>
    </row>
    <row r="92" spans="1:68" x14ac:dyDescent="0.25">
      <c r="A92" s="4">
        <v>89</v>
      </c>
      <c r="B92" s="3" t="s">
        <v>2225</v>
      </c>
      <c r="C92" s="4">
        <v>10</v>
      </c>
      <c r="D92" s="4">
        <v>5</v>
      </c>
      <c r="E92" s="4">
        <v>75</v>
      </c>
      <c r="F92" s="61">
        <v>58.654499999999999</v>
      </c>
      <c r="G92" s="61">
        <v>5.9014000000000006</v>
      </c>
      <c r="H92" s="61">
        <v>67.392700000000005</v>
      </c>
      <c r="I92" s="61">
        <v>44.904499999999999</v>
      </c>
      <c r="J92" s="61">
        <v>112.29720000000002</v>
      </c>
      <c r="K92" s="61">
        <v>56.148600000000009</v>
      </c>
      <c r="L92" s="61">
        <v>4.5264000000000006</v>
      </c>
      <c r="M92" s="61">
        <v>89.808999999999997</v>
      </c>
      <c r="N92" s="61">
        <v>101.0531</v>
      </c>
      <c r="O92" s="61">
        <v>112.26125</v>
      </c>
      <c r="P92" s="61">
        <v>16.830200000000001</v>
      </c>
      <c r="Q92" s="61">
        <v>101.0531</v>
      </c>
      <c r="R92" s="61">
        <v>112.26125</v>
      </c>
      <c r="S92" s="61">
        <v>28.074300000000004</v>
      </c>
      <c r="T92" s="61">
        <v>3.3600000000000005E-2</v>
      </c>
      <c r="U92" s="61">
        <v>3.3600000000000006E-3</v>
      </c>
      <c r="V92" s="61">
        <v>5.04E-2</v>
      </c>
      <c r="W92" s="61">
        <v>3.3600000000000005E-2</v>
      </c>
      <c r="X92" s="61">
        <v>8.4000000000000005E-2</v>
      </c>
      <c r="Y92" s="61">
        <v>4.2000000000000003E-2</v>
      </c>
      <c r="Z92" s="61">
        <v>3.3600000000000006E-3</v>
      </c>
      <c r="AA92" s="61">
        <v>6.720000000000001E-2</v>
      </c>
      <c r="AB92" s="61">
        <v>7.5600000000000014E-2</v>
      </c>
      <c r="AC92" s="61">
        <v>8.4000000000000005E-2</v>
      </c>
      <c r="AD92" s="61">
        <v>1.26E-2</v>
      </c>
      <c r="AE92" s="61">
        <v>7.5600000000000014E-2</v>
      </c>
      <c r="AF92" s="61">
        <v>8.4000000000000005E-2</v>
      </c>
      <c r="AG92" s="61">
        <v>2.1000000000000001E-2</v>
      </c>
      <c r="AH92" s="60">
        <v>6.22</v>
      </c>
      <c r="AI92" s="60">
        <v>0.62</v>
      </c>
      <c r="AJ92" s="60">
        <v>9.32</v>
      </c>
      <c r="AK92" s="60">
        <v>6.22</v>
      </c>
      <c r="AL92" s="60">
        <v>15.54</v>
      </c>
      <c r="AM92" s="60">
        <v>7.77</v>
      </c>
      <c r="AN92" s="60">
        <v>0.62</v>
      </c>
      <c r="AO92" s="60">
        <v>12.43</v>
      </c>
      <c r="AP92" s="60">
        <v>13.984999999999999</v>
      </c>
      <c r="AQ92" s="60">
        <v>15.54</v>
      </c>
      <c r="AR92" s="60">
        <v>2.33</v>
      </c>
      <c r="AS92" s="60">
        <v>13.984999999999999</v>
      </c>
      <c r="AT92" s="60">
        <v>15.54</v>
      </c>
      <c r="AU92" s="60">
        <v>3.8849999999999998</v>
      </c>
      <c r="AV92" s="62">
        <v>-9</v>
      </c>
      <c r="AW92" s="62">
        <v>0</v>
      </c>
      <c r="AX92" s="62">
        <v>-17</v>
      </c>
      <c r="AY92" s="62">
        <v>-10</v>
      </c>
      <c r="AZ92" s="62">
        <v>-29</v>
      </c>
      <c r="BA92" s="62">
        <v>-14</v>
      </c>
      <c r="BB92" s="62">
        <v>0</v>
      </c>
      <c r="BC92" s="62">
        <v>-6</v>
      </c>
      <c r="BD92" s="62">
        <v>-7</v>
      </c>
      <c r="BE92" s="62">
        <v>-7.5</v>
      </c>
      <c r="BF92" s="62">
        <v>0</v>
      </c>
      <c r="BG92" s="62">
        <v>-9</v>
      </c>
      <c r="BH92" s="62">
        <v>-10.5</v>
      </c>
      <c r="BI92" s="62">
        <v>-2</v>
      </c>
      <c r="BJ92" s="62">
        <v>-12.5</v>
      </c>
      <c r="BK92" s="62">
        <v>-14</v>
      </c>
      <c r="BL92" s="62">
        <v>-16</v>
      </c>
      <c r="BM92" s="62">
        <v>-2</v>
      </c>
      <c r="BN92" s="62">
        <v>-15</v>
      </c>
      <c r="BO92" s="62">
        <v>0</v>
      </c>
      <c r="BP92" s="4">
        <v>89</v>
      </c>
    </row>
    <row r="93" spans="1:68" x14ac:dyDescent="0.25">
      <c r="A93" s="4">
        <v>90</v>
      </c>
      <c r="B93" s="3" t="s">
        <v>2226</v>
      </c>
      <c r="C93" s="4">
        <v>10</v>
      </c>
      <c r="D93" s="4">
        <v>25</v>
      </c>
      <c r="E93" s="4">
        <v>100</v>
      </c>
      <c r="F93" s="61">
        <v>3587.9445000000001</v>
      </c>
      <c r="G93" s="61">
        <v>361.99440000000004</v>
      </c>
      <c r="H93" s="61">
        <v>5345.5167000000001</v>
      </c>
      <c r="I93" s="61">
        <v>3561.5445</v>
      </c>
      <c r="J93" s="61">
        <v>8907.0612000000001</v>
      </c>
      <c r="K93" s="61">
        <v>4453.5306</v>
      </c>
      <c r="L93" s="61">
        <v>359.3544</v>
      </c>
      <c r="M93" s="61">
        <v>7123.0889999999999</v>
      </c>
      <c r="N93" s="61">
        <v>8015.0751000000009</v>
      </c>
      <c r="O93" s="61">
        <v>8903.8612499999999</v>
      </c>
      <c r="P93" s="61">
        <v>1334.7791999999999</v>
      </c>
      <c r="Q93" s="61">
        <v>8015.0751000000009</v>
      </c>
      <c r="R93" s="61">
        <v>8903.8612499999999</v>
      </c>
      <c r="S93" s="61">
        <v>2226.7653</v>
      </c>
      <c r="T93" s="61">
        <v>3.09E-2</v>
      </c>
      <c r="U93" s="61">
        <v>3.0900000000000003E-3</v>
      </c>
      <c r="V93" s="61">
        <v>4.6350000000000002E-2</v>
      </c>
      <c r="W93" s="61">
        <v>3.09E-2</v>
      </c>
      <c r="X93" s="61">
        <v>7.7249999999999999E-2</v>
      </c>
      <c r="Y93" s="61">
        <v>3.8625E-2</v>
      </c>
      <c r="Z93" s="61">
        <v>3.0900000000000003E-3</v>
      </c>
      <c r="AA93" s="61">
        <v>6.1800000000000001E-2</v>
      </c>
      <c r="AB93" s="61">
        <v>6.9525000000000003E-2</v>
      </c>
      <c r="AC93" s="61">
        <v>7.7249999999999999E-2</v>
      </c>
      <c r="AD93" s="61">
        <v>1.1587500000000001E-2</v>
      </c>
      <c r="AE93" s="61">
        <v>6.9525000000000003E-2</v>
      </c>
      <c r="AF93" s="61">
        <v>7.7249999999999999E-2</v>
      </c>
      <c r="AG93" s="61">
        <v>1.93125E-2</v>
      </c>
      <c r="AH93" s="60">
        <v>5.72</v>
      </c>
      <c r="AI93" s="60">
        <v>0.56999999999999995</v>
      </c>
      <c r="AJ93" s="60">
        <v>8.57</v>
      </c>
      <c r="AK93" s="60">
        <v>5.72</v>
      </c>
      <c r="AL93" s="60">
        <v>14.29</v>
      </c>
      <c r="AM93" s="60">
        <v>7.15</v>
      </c>
      <c r="AN93" s="60">
        <v>0.56999999999999995</v>
      </c>
      <c r="AO93" s="60">
        <v>11.435</v>
      </c>
      <c r="AP93" s="60">
        <v>12.86</v>
      </c>
      <c r="AQ93" s="60">
        <v>14.29</v>
      </c>
      <c r="AR93" s="60">
        <v>2.145</v>
      </c>
      <c r="AS93" s="60">
        <v>12.86</v>
      </c>
      <c r="AT93" s="60">
        <v>14.29</v>
      </c>
      <c r="AU93" s="60">
        <v>3.5750000000000002</v>
      </c>
      <c r="AV93" s="62">
        <v>-2</v>
      </c>
      <c r="AW93" s="62">
        <v>0</v>
      </c>
      <c r="AX93" s="62">
        <v>-9</v>
      </c>
      <c r="AY93" s="62">
        <v>-3</v>
      </c>
      <c r="AZ93" s="62">
        <v>-20</v>
      </c>
      <c r="BA93" s="62">
        <v>-6</v>
      </c>
      <c r="BB93" s="62">
        <v>0</v>
      </c>
      <c r="BC93" s="62">
        <v>-2</v>
      </c>
      <c r="BD93" s="62">
        <v>-3</v>
      </c>
      <c r="BE93" s="62">
        <v>-3.5</v>
      </c>
      <c r="BF93" s="62">
        <v>0</v>
      </c>
      <c r="BG93" s="62">
        <v>-5</v>
      </c>
      <c r="BH93" s="62">
        <v>-6</v>
      </c>
      <c r="BI93" s="62">
        <v>0</v>
      </c>
      <c r="BJ93" s="62">
        <v>-8</v>
      </c>
      <c r="BK93" s="62">
        <v>-9.5</v>
      </c>
      <c r="BL93" s="62">
        <v>-11</v>
      </c>
      <c r="BM93" s="62">
        <v>0</v>
      </c>
      <c r="BN93" s="62">
        <v>-7</v>
      </c>
      <c r="BO93" s="62">
        <v>0</v>
      </c>
      <c r="BP93" s="4">
        <v>90</v>
      </c>
    </row>
    <row r="94" spans="1:68" x14ac:dyDescent="0.25">
      <c r="A94" s="4">
        <v>91</v>
      </c>
      <c r="B94" s="3" t="s">
        <v>2227</v>
      </c>
      <c r="C94" s="4">
        <v>10</v>
      </c>
      <c r="D94" s="4">
        <v>-10</v>
      </c>
      <c r="E94" s="4">
        <v>75</v>
      </c>
      <c r="F94" s="61">
        <v>15.027749999999999</v>
      </c>
      <c r="G94" s="61">
        <v>1.5027999999999999</v>
      </c>
      <c r="H94" s="61">
        <v>6.0416499999999997</v>
      </c>
      <c r="I94" s="61">
        <v>4.0277500000000002</v>
      </c>
      <c r="J94" s="61">
        <v>10.0694</v>
      </c>
      <c r="K94" s="61">
        <v>5.0347</v>
      </c>
      <c r="L94" s="61">
        <v>0.40280000000000005</v>
      </c>
      <c r="M94" s="61">
        <v>8.0555000000000003</v>
      </c>
      <c r="N94" s="61">
        <v>9.0624500000000001</v>
      </c>
      <c r="O94" s="61">
        <v>10.069375000000001</v>
      </c>
      <c r="P94" s="61">
        <v>1.5104</v>
      </c>
      <c r="Q94" s="61">
        <v>9.0624500000000001</v>
      </c>
      <c r="R94" s="61">
        <v>10.069375000000001</v>
      </c>
      <c r="S94" s="61">
        <v>2.51735</v>
      </c>
      <c r="T94" s="61">
        <v>9.2999999999999992E-3</v>
      </c>
      <c r="U94" s="61">
        <v>9.3000000000000005E-4</v>
      </c>
      <c r="V94" s="61">
        <v>1.3949999999999999E-2</v>
      </c>
      <c r="W94" s="61">
        <v>9.2999999999999992E-3</v>
      </c>
      <c r="X94" s="61">
        <v>2.325E-2</v>
      </c>
      <c r="Y94" s="61">
        <v>1.1625E-2</v>
      </c>
      <c r="Z94" s="61">
        <v>9.3000000000000005E-4</v>
      </c>
      <c r="AA94" s="61">
        <v>1.8599999999999998E-2</v>
      </c>
      <c r="AB94" s="61">
        <v>2.0925000000000003E-2</v>
      </c>
      <c r="AC94" s="61">
        <v>2.325E-2</v>
      </c>
      <c r="AD94" s="61">
        <v>3.4874999999999997E-3</v>
      </c>
      <c r="AE94" s="61">
        <v>2.0925000000000003E-2</v>
      </c>
      <c r="AF94" s="61">
        <v>2.325E-2</v>
      </c>
      <c r="AG94" s="61">
        <v>5.8125E-3</v>
      </c>
      <c r="AH94" s="60">
        <v>1.72</v>
      </c>
      <c r="AI94" s="60">
        <v>0.17</v>
      </c>
      <c r="AJ94" s="60">
        <v>2.58</v>
      </c>
      <c r="AK94" s="60">
        <v>1.72</v>
      </c>
      <c r="AL94" s="60">
        <v>4.3</v>
      </c>
      <c r="AM94" s="60">
        <v>2.15</v>
      </c>
      <c r="AN94" s="60">
        <v>0.17</v>
      </c>
      <c r="AO94" s="60">
        <v>3.44</v>
      </c>
      <c r="AP94" s="60">
        <v>3.87</v>
      </c>
      <c r="AQ94" s="60">
        <v>4.3</v>
      </c>
      <c r="AR94" s="60">
        <v>0.64500000000000002</v>
      </c>
      <c r="AS94" s="60">
        <v>3.87</v>
      </c>
      <c r="AT94" s="60">
        <v>4.3</v>
      </c>
      <c r="AU94" s="60">
        <v>1.075</v>
      </c>
      <c r="AV94" s="62">
        <v>-4</v>
      </c>
      <c r="AW94" s="62">
        <v>-1</v>
      </c>
      <c r="AX94" s="62">
        <v>-6</v>
      </c>
      <c r="AY94" s="62">
        <v>-4</v>
      </c>
      <c r="AZ94" s="62">
        <v>-10</v>
      </c>
      <c r="BA94" s="62">
        <v>-5</v>
      </c>
      <c r="BB94" s="62">
        <v>-1</v>
      </c>
      <c r="BC94" s="62">
        <v>-2.5</v>
      </c>
      <c r="BD94" s="62">
        <v>-2.5</v>
      </c>
      <c r="BE94" s="62">
        <v>-3</v>
      </c>
      <c r="BF94" s="62">
        <v>-1</v>
      </c>
      <c r="BG94" s="62">
        <v>-3.5</v>
      </c>
      <c r="BH94" s="62">
        <v>-3.5</v>
      </c>
      <c r="BI94" s="62">
        <v>-1.5</v>
      </c>
      <c r="BJ94" s="62">
        <v>-4</v>
      </c>
      <c r="BK94" s="62">
        <v>-4.5</v>
      </c>
      <c r="BL94" s="62">
        <v>-5</v>
      </c>
      <c r="BM94" s="62">
        <v>-1.5</v>
      </c>
      <c r="BN94" s="62">
        <v>-6</v>
      </c>
      <c r="BO94" s="62">
        <v>-2</v>
      </c>
      <c r="BP94" s="4">
        <v>91</v>
      </c>
    </row>
    <row r="95" spans="1:68" x14ac:dyDescent="0.25">
      <c r="A95" s="4">
        <v>92</v>
      </c>
      <c r="B95" s="3" t="s">
        <v>2228</v>
      </c>
      <c r="C95" s="4">
        <v>10</v>
      </c>
      <c r="D95" s="4">
        <v>-50</v>
      </c>
      <c r="E95" s="4">
        <v>45</v>
      </c>
      <c r="F95" s="61">
        <v>14.98335</v>
      </c>
      <c r="G95" s="61">
        <v>1.4983200000000001</v>
      </c>
      <c r="H95" s="61">
        <v>5.9750100000000002</v>
      </c>
      <c r="I95" s="61">
        <v>3.9833500000000002</v>
      </c>
      <c r="J95" s="61">
        <v>9.9583600000000008</v>
      </c>
      <c r="K95" s="61">
        <v>4.9791800000000004</v>
      </c>
      <c r="L95" s="61">
        <v>0.39832000000000001</v>
      </c>
      <c r="M95" s="61">
        <v>7.9667000000000003</v>
      </c>
      <c r="N95" s="61">
        <v>8.9625299999999992</v>
      </c>
      <c r="O95" s="61">
        <v>9.9583750000000002</v>
      </c>
      <c r="P95" s="61">
        <v>1.49376</v>
      </c>
      <c r="Q95" s="61">
        <v>8.9625299999999992</v>
      </c>
      <c r="R95" s="61">
        <v>9.9583750000000002</v>
      </c>
      <c r="S95" s="61">
        <v>2.4895900000000002</v>
      </c>
      <c r="T95" s="61">
        <v>1.8E-3</v>
      </c>
      <c r="U95" s="61">
        <v>1.7999999999999998E-4</v>
      </c>
      <c r="V95" s="61">
        <v>2.6999999999999997E-3</v>
      </c>
      <c r="W95" s="61">
        <v>1.8E-3</v>
      </c>
      <c r="X95" s="61">
        <v>4.4999999999999997E-3</v>
      </c>
      <c r="Y95" s="61">
        <v>2.2499999999999998E-3</v>
      </c>
      <c r="Z95" s="61">
        <v>1.7999999999999998E-4</v>
      </c>
      <c r="AA95" s="61">
        <v>3.5999999999999999E-3</v>
      </c>
      <c r="AB95" s="61">
        <v>4.0499999999999998E-3</v>
      </c>
      <c r="AC95" s="61">
        <v>4.4999999999999997E-3</v>
      </c>
      <c r="AD95" s="61">
        <v>6.7499999999999993E-4</v>
      </c>
      <c r="AE95" s="61">
        <v>4.0499999999999998E-3</v>
      </c>
      <c r="AF95" s="61">
        <v>4.4999999999999997E-3</v>
      </c>
      <c r="AG95" s="61">
        <v>1.1249999999999999E-3</v>
      </c>
      <c r="AH95" s="60">
        <v>0.33</v>
      </c>
      <c r="AI95" s="60">
        <v>0.03</v>
      </c>
      <c r="AJ95" s="60">
        <v>0.5</v>
      </c>
      <c r="AK95" s="60">
        <v>0.33</v>
      </c>
      <c r="AL95" s="60">
        <v>0.83</v>
      </c>
      <c r="AM95" s="60">
        <v>0.42</v>
      </c>
      <c r="AN95" s="60">
        <v>0.03</v>
      </c>
      <c r="AO95" s="60">
        <v>0.66500000000000004</v>
      </c>
      <c r="AP95" s="60">
        <v>0.75</v>
      </c>
      <c r="AQ95" s="60">
        <v>0.83499999999999996</v>
      </c>
      <c r="AR95" s="60">
        <v>0.125</v>
      </c>
      <c r="AS95" s="60">
        <v>0.75</v>
      </c>
      <c r="AT95" s="60">
        <v>0.83499999999999996</v>
      </c>
      <c r="AU95" s="60">
        <v>0.21</v>
      </c>
      <c r="AV95" s="62">
        <v>-2</v>
      </c>
      <c r="AW95" s="62">
        <v>-1</v>
      </c>
      <c r="AX95" s="62">
        <v>-2</v>
      </c>
      <c r="AY95" s="62">
        <v>-2</v>
      </c>
      <c r="AZ95" s="62">
        <v>-3</v>
      </c>
      <c r="BA95" s="62">
        <v>-2</v>
      </c>
      <c r="BB95" s="62">
        <v>-1</v>
      </c>
      <c r="BC95" s="62">
        <v>-1</v>
      </c>
      <c r="BD95" s="62">
        <v>-1</v>
      </c>
      <c r="BE95" s="62">
        <v>-1</v>
      </c>
      <c r="BF95" s="62">
        <v>-0.5</v>
      </c>
      <c r="BG95" s="62">
        <v>-1</v>
      </c>
      <c r="BH95" s="62">
        <v>-1</v>
      </c>
      <c r="BI95" s="62">
        <v>-0.5</v>
      </c>
      <c r="BJ95" s="62">
        <v>-1</v>
      </c>
      <c r="BK95" s="62">
        <v>-1.5</v>
      </c>
      <c r="BL95" s="62">
        <v>-1.5</v>
      </c>
      <c r="BM95" s="62">
        <v>-0.5</v>
      </c>
      <c r="BN95" s="62">
        <v>-2</v>
      </c>
      <c r="BO95" s="62">
        <v>-1</v>
      </c>
      <c r="BP95" s="4">
        <v>92</v>
      </c>
    </row>
    <row r="96" spans="1:68" x14ac:dyDescent="0.25">
      <c r="A96" s="4">
        <v>93</v>
      </c>
      <c r="B96" s="3" t="s">
        <v>2229</v>
      </c>
      <c r="C96" s="4">
        <v>10</v>
      </c>
      <c r="D96" s="4">
        <v>-30</v>
      </c>
      <c r="E96" s="4">
        <v>45</v>
      </c>
      <c r="F96" s="61">
        <v>14.98335</v>
      </c>
      <c r="G96" s="61">
        <v>1.4983200000000001</v>
      </c>
      <c r="H96" s="61">
        <v>5.9750100000000002</v>
      </c>
      <c r="I96" s="61">
        <v>3.9833500000000002</v>
      </c>
      <c r="J96" s="61">
        <v>9.9583600000000008</v>
      </c>
      <c r="K96" s="61">
        <v>4.9791800000000004</v>
      </c>
      <c r="L96" s="61">
        <v>0.39832000000000001</v>
      </c>
      <c r="M96" s="61">
        <v>7.9667000000000003</v>
      </c>
      <c r="N96" s="61">
        <v>8.9625299999999992</v>
      </c>
      <c r="O96" s="61">
        <v>9.9583750000000002</v>
      </c>
      <c r="P96" s="61">
        <v>1.49376</v>
      </c>
      <c r="Q96" s="61">
        <v>8.9625299999999992</v>
      </c>
      <c r="R96" s="61">
        <v>9.9583750000000002</v>
      </c>
      <c r="S96" s="61">
        <v>2.4895900000000002</v>
      </c>
      <c r="T96" s="61">
        <v>1.5E-3</v>
      </c>
      <c r="U96" s="61">
        <v>1.5000000000000001E-4</v>
      </c>
      <c r="V96" s="61">
        <v>2.2499999999999998E-3</v>
      </c>
      <c r="W96" s="61">
        <v>1.5E-3</v>
      </c>
      <c r="X96" s="61">
        <v>3.7499999999999999E-3</v>
      </c>
      <c r="Y96" s="61">
        <v>1.8749999999999999E-3</v>
      </c>
      <c r="Z96" s="61">
        <v>1.5000000000000001E-4</v>
      </c>
      <c r="AA96" s="61">
        <v>3.0000000000000001E-3</v>
      </c>
      <c r="AB96" s="61">
        <v>3.3750000000000004E-3</v>
      </c>
      <c r="AC96" s="61">
        <v>3.7499999999999999E-3</v>
      </c>
      <c r="AD96" s="61">
        <v>5.6249999999999996E-4</v>
      </c>
      <c r="AE96" s="61">
        <v>3.3750000000000004E-3</v>
      </c>
      <c r="AF96" s="61">
        <v>3.7499999999999999E-3</v>
      </c>
      <c r="AG96" s="61">
        <v>9.3749999999999997E-4</v>
      </c>
      <c r="AH96" s="60">
        <v>0.28000000000000003</v>
      </c>
      <c r="AI96" s="60">
        <v>0.03</v>
      </c>
      <c r="AJ96" s="60">
        <v>0.42</v>
      </c>
      <c r="AK96" s="60">
        <v>0.28000000000000003</v>
      </c>
      <c r="AL96" s="60">
        <v>0.69</v>
      </c>
      <c r="AM96" s="60">
        <v>0.35</v>
      </c>
      <c r="AN96" s="60">
        <v>0.03</v>
      </c>
      <c r="AO96" s="60">
        <v>0.55500000000000005</v>
      </c>
      <c r="AP96" s="60">
        <v>0.625</v>
      </c>
      <c r="AQ96" s="60">
        <v>0.69499999999999995</v>
      </c>
      <c r="AR96" s="60">
        <v>0.105</v>
      </c>
      <c r="AS96" s="60">
        <v>0.625</v>
      </c>
      <c r="AT96" s="60">
        <v>0.69499999999999995</v>
      </c>
      <c r="AU96" s="60">
        <v>0.17499999999999999</v>
      </c>
      <c r="AV96" s="62">
        <v>-1</v>
      </c>
      <c r="AW96" s="62">
        <v>-1</v>
      </c>
      <c r="AX96" s="62">
        <v>-1</v>
      </c>
      <c r="AY96" s="62">
        <v>-1</v>
      </c>
      <c r="AZ96" s="62">
        <v>-2</v>
      </c>
      <c r="BA96" s="62">
        <v>-1</v>
      </c>
      <c r="BB96" s="62">
        <v>-1</v>
      </c>
      <c r="BC96" s="62">
        <v>-0.5</v>
      </c>
      <c r="BD96" s="62">
        <v>-0.5</v>
      </c>
      <c r="BE96" s="62">
        <v>-0.5</v>
      </c>
      <c r="BF96" s="62">
        <v>-0.5</v>
      </c>
      <c r="BG96" s="62">
        <v>-0.5</v>
      </c>
      <c r="BH96" s="62">
        <v>-1</v>
      </c>
      <c r="BI96" s="62">
        <v>-0.5</v>
      </c>
      <c r="BJ96" s="62">
        <v>-1</v>
      </c>
      <c r="BK96" s="62">
        <v>-1</v>
      </c>
      <c r="BL96" s="62">
        <v>-1</v>
      </c>
      <c r="BM96" s="62">
        <v>-0.5</v>
      </c>
      <c r="BN96" s="62">
        <v>-1</v>
      </c>
      <c r="BO96" s="62">
        <v>-1</v>
      </c>
      <c r="BP96" s="4">
        <v>93</v>
      </c>
    </row>
    <row r="97" spans="1:68" x14ac:dyDescent="0.25">
      <c r="A97" s="4">
        <v>94</v>
      </c>
      <c r="B97" s="3" t="s">
        <v>2230</v>
      </c>
      <c r="C97" s="4">
        <v>10</v>
      </c>
      <c r="D97" s="4">
        <v>-20</v>
      </c>
      <c r="E97" s="4">
        <v>75</v>
      </c>
      <c r="F97" s="61">
        <v>14.98335</v>
      </c>
      <c r="G97" s="61">
        <v>1.4983200000000001</v>
      </c>
      <c r="H97" s="61">
        <v>5.9750100000000002</v>
      </c>
      <c r="I97" s="61">
        <v>3.9833500000000002</v>
      </c>
      <c r="J97" s="61">
        <v>9.9583600000000008</v>
      </c>
      <c r="K97" s="61">
        <v>4.9791800000000004</v>
      </c>
      <c r="L97" s="61">
        <v>0.39832000000000001</v>
      </c>
      <c r="M97" s="61">
        <v>7.9667000000000003</v>
      </c>
      <c r="N97" s="61">
        <v>8.9625299999999992</v>
      </c>
      <c r="O97" s="61">
        <v>9.9583750000000002</v>
      </c>
      <c r="P97" s="61">
        <v>1.49376</v>
      </c>
      <c r="Q97" s="61">
        <v>8.9625299999999992</v>
      </c>
      <c r="R97" s="61">
        <v>9.9583750000000002</v>
      </c>
      <c r="S97" s="61">
        <v>2.4895900000000002</v>
      </c>
      <c r="T97" s="61">
        <v>3.0000000000000001E-3</v>
      </c>
      <c r="U97" s="61">
        <v>3.0000000000000003E-4</v>
      </c>
      <c r="V97" s="61">
        <v>4.4999999999999997E-3</v>
      </c>
      <c r="W97" s="61">
        <v>3.0000000000000001E-3</v>
      </c>
      <c r="X97" s="61">
        <v>7.4999999999999997E-3</v>
      </c>
      <c r="Y97" s="61">
        <v>3.7499999999999999E-3</v>
      </c>
      <c r="Z97" s="61">
        <v>3.0000000000000003E-4</v>
      </c>
      <c r="AA97" s="61">
        <v>6.0000000000000001E-3</v>
      </c>
      <c r="AB97" s="61">
        <v>6.7500000000000008E-3</v>
      </c>
      <c r="AC97" s="61">
        <v>7.4999999999999997E-3</v>
      </c>
      <c r="AD97" s="61">
        <v>1.1249999999999999E-3</v>
      </c>
      <c r="AE97" s="61">
        <v>6.7500000000000008E-3</v>
      </c>
      <c r="AF97" s="61">
        <v>7.4999999999999997E-3</v>
      </c>
      <c r="AG97" s="61">
        <v>1.8749999999999999E-3</v>
      </c>
      <c r="AH97" s="60">
        <v>0.56000000000000005</v>
      </c>
      <c r="AI97" s="60">
        <v>0.06</v>
      </c>
      <c r="AJ97" s="60">
        <v>0.83</v>
      </c>
      <c r="AK97" s="60">
        <v>0.56000000000000005</v>
      </c>
      <c r="AL97" s="60">
        <v>1.39</v>
      </c>
      <c r="AM97" s="60">
        <v>0.69</v>
      </c>
      <c r="AN97" s="60">
        <v>0.06</v>
      </c>
      <c r="AO97" s="60">
        <v>1.1100000000000001</v>
      </c>
      <c r="AP97" s="60">
        <v>1.25</v>
      </c>
      <c r="AQ97" s="60">
        <v>1.39</v>
      </c>
      <c r="AR97" s="60">
        <v>0.21</v>
      </c>
      <c r="AS97" s="60">
        <v>1.25</v>
      </c>
      <c r="AT97" s="60">
        <v>1.39</v>
      </c>
      <c r="AU97" s="60">
        <v>0.34499999999999997</v>
      </c>
      <c r="AV97" s="62">
        <v>-2</v>
      </c>
      <c r="AW97" s="62">
        <v>-1</v>
      </c>
      <c r="AX97" s="62">
        <v>-2</v>
      </c>
      <c r="AY97" s="62">
        <v>-2</v>
      </c>
      <c r="AZ97" s="62">
        <v>-3</v>
      </c>
      <c r="BA97" s="62">
        <v>-2</v>
      </c>
      <c r="BB97" s="62">
        <v>-1</v>
      </c>
      <c r="BC97" s="62">
        <v>-1</v>
      </c>
      <c r="BD97" s="62">
        <v>-1</v>
      </c>
      <c r="BE97" s="62">
        <v>-1</v>
      </c>
      <c r="BF97" s="62">
        <v>-0.5</v>
      </c>
      <c r="BG97" s="62">
        <v>-1</v>
      </c>
      <c r="BH97" s="62">
        <v>-1.5</v>
      </c>
      <c r="BI97" s="62">
        <v>-0.5</v>
      </c>
      <c r="BJ97" s="62">
        <v>-1.5</v>
      </c>
      <c r="BK97" s="62">
        <v>-1.5</v>
      </c>
      <c r="BL97" s="62">
        <v>-2</v>
      </c>
      <c r="BM97" s="62">
        <v>-0.5</v>
      </c>
      <c r="BN97" s="62">
        <v>-2</v>
      </c>
      <c r="BO97" s="62">
        <v>-1</v>
      </c>
      <c r="BP97" s="4">
        <v>94</v>
      </c>
    </row>
    <row r="98" spans="1:68" x14ac:dyDescent="0.25">
      <c r="A98" s="4">
        <v>95</v>
      </c>
      <c r="B98" s="3" t="s">
        <v>2231</v>
      </c>
      <c r="C98" s="4">
        <v>10</v>
      </c>
      <c r="D98" s="4">
        <v>-15</v>
      </c>
      <c r="E98" s="4">
        <v>85</v>
      </c>
      <c r="F98" s="61">
        <v>16.486125000000001</v>
      </c>
      <c r="G98" s="61">
        <v>1.6486000000000001</v>
      </c>
      <c r="H98" s="61">
        <v>6.5791750000000002</v>
      </c>
      <c r="I98" s="61">
        <v>4.3861250000000007</v>
      </c>
      <c r="J98" s="61">
        <v>10.965299999999999</v>
      </c>
      <c r="K98" s="61">
        <v>5.4826499999999996</v>
      </c>
      <c r="L98" s="61">
        <v>0.43860000000000005</v>
      </c>
      <c r="M98" s="61">
        <v>8.7722500000000014</v>
      </c>
      <c r="N98" s="61">
        <v>9.8687750000000012</v>
      </c>
      <c r="O98" s="61">
        <v>10.9653125</v>
      </c>
      <c r="P98" s="61">
        <v>1.6448</v>
      </c>
      <c r="Q98" s="61">
        <v>9.8687750000000012</v>
      </c>
      <c r="R98" s="61">
        <v>10.9653125</v>
      </c>
      <c r="S98" s="61">
        <v>2.7413249999999998</v>
      </c>
      <c r="T98" s="61">
        <v>3.0000000000000001E-3</v>
      </c>
      <c r="U98" s="61">
        <v>3.0000000000000003E-4</v>
      </c>
      <c r="V98" s="61">
        <v>4.4999999999999997E-3</v>
      </c>
      <c r="W98" s="61">
        <v>3.0000000000000001E-3</v>
      </c>
      <c r="X98" s="61">
        <v>7.4999999999999997E-3</v>
      </c>
      <c r="Y98" s="61">
        <v>3.7499999999999999E-3</v>
      </c>
      <c r="Z98" s="61">
        <v>3.0000000000000003E-4</v>
      </c>
      <c r="AA98" s="61">
        <v>6.0000000000000001E-3</v>
      </c>
      <c r="AB98" s="61">
        <v>6.7500000000000008E-3</v>
      </c>
      <c r="AC98" s="61">
        <v>7.4999999999999997E-3</v>
      </c>
      <c r="AD98" s="61">
        <v>1.1249999999999999E-3</v>
      </c>
      <c r="AE98" s="61">
        <v>6.7500000000000008E-3</v>
      </c>
      <c r="AF98" s="61">
        <v>7.4999999999999997E-3</v>
      </c>
      <c r="AG98" s="61">
        <v>1.8749999999999999E-3</v>
      </c>
      <c r="AH98" s="60">
        <v>0.56000000000000005</v>
      </c>
      <c r="AI98" s="60">
        <v>0.06</v>
      </c>
      <c r="AJ98" s="60">
        <v>0.83</v>
      </c>
      <c r="AK98" s="60">
        <v>0.56000000000000005</v>
      </c>
      <c r="AL98" s="60">
        <v>1.39</v>
      </c>
      <c r="AM98" s="60">
        <v>0.69</v>
      </c>
      <c r="AN98" s="60">
        <v>0.06</v>
      </c>
      <c r="AO98" s="60">
        <v>1.1100000000000001</v>
      </c>
      <c r="AP98" s="60">
        <v>1.25</v>
      </c>
      <c r="AQ98" s="60">
        <v>1.39</v>
      </c>
      <c r="AR98" s="60">
        <v>0.21</v>
      </c>
      <c r="AS98" s="60">
        <v>1.25</v>
      </c>
      <c r="AT98" s="60">
        <v>1.39</v>
      </c>
      <c r="AU98" s="60">
        <v>0.34499999999999997</v>
      </c>
      <c r="AV98" s="62">
        <v>-2</v>
      </c>
      <c r="AW98" s="62">
        <v>-1</v>
      </c>
      <c r="AX98" s="62">
        <v>-2</v>
      </c>
      <c r="AY98" s="62">
        <v>-2</v>
      </c>
      <c r="AZ98" s="62">
        <v>-3</v>
      </c>
      <c r="BA98" s="62">
        <v>-2</v>
      </c>
      <c r="BB98" s="62">
        <v>-1</v>
      </c>
      <c r="BC98" s="62">
        <v>-1</v>
      </c>
      <c r="BD98" s="62">
        <v>-1</v>
      </c>
      <c r="BE98" s="62">
        <v>-1</v>
      </c>
      <c r="BF98" s="62">
        <v>-0.5</v>
      </c>
      <c r="BG98" s="62">
        <v>-1</v>
      </c>
      <c r="BH98" s="62">
        <v>-1.5</v>
      </c>
      <c r="BI98" s="62">
        <v>-0.5</v>
      </c>
      <c r="BJ98" s="62">
        <v>-1.5</v>
      </c>
      <c r="BK98" s="62">
        <v>-1.5</v>
      </c>
      <c r="BL98" s="62">
        <v>-2</v>
      </c>
      <c r="BM98" s="62">
        <v>-0.5</v>
      </c>
      <c r="BN98" s="62">
        <v>-2</v>
      </c>
      <c r="BO98" s="62">
        <v>-1</v>
      </c>
      <c r="BP98" s="4">
        <v>95</v>
      </c>
    </row>
    <row r="99" spans="1:68" x14ac:dyDescent="0.25">
      <c r="A99" s="4">
        <v>96</v>
      </c>
      <c r="B99" s="3" t="s">
        <v>2232</v>
      </c>
      <c r="C99" s="4">
        <v>10</v>
      </c>
      <c r="D99" s="4">
        <v>-10</v>
      </c>
      <c r="E99" s="4">
        <v>95</v>
      </c>
      <c r="F99" s="61">
        <v>17.988900000000001</v>
      </c>
      <c r="G99" s="61">
        <v>1.7988799999999998</v>
      </c>
      <c r="H99" s="61">
        <v>7.1833399999999994</v>
      </c>
      <c r="I99" s="61">
        <v>4.7888999999999999</v>
      </c>
      <c r="J99" s="61">
        <v>11.972239999999999</v>
      </c>
      <c r="K99" s="61">
        <v>5.9861199999999997</v>
      </c>
      <c r="L99" s="61">
        <v>0.47887999999999997</v>
      </c>
      <c r="M99" s="61">
        <v>9.5777999999999999</v>
      </c>
      <c r="N99" s="61">
        <v>10.77502</v>
      </c>
      <c r="O99" s="61">
        <v>11.972250000000001</v>
      </c>
      <c r="P99" s="61">
        <v>1.7958399999999999</v>
      </c>
      <c r="Q99" s="61">
        <v>10.77502</v>
      </c>
      <c r="R99" s="61">
        <v>11.972250000000001</v>
      </c>
      <c r="S99" s="61">
        <v>2.9930599999999998</v>
      </c>
      <c r="T99" s="61">
        <v>3.0000000000000001E-3</v>
      </c>
      <c r="U99" s="61">
        <v>3.0000000000000003E-4</v>
      </c>
      <c r="V99" s="61">
        <v>4.4999999999999997E-3</v>
      </c>
      <c r="W99" s="61">
        <v>3.0000000000000001E-3</v>
      </c>
      <c r="X99" s="61">
        <v>7.4999999999999997E-3</v>
      </c>
      <c r="Y99" s="61">
        <v>3.7499999999999999E-3</v>
      </c>
      <c r="Z99" s="61">
        <v>3.0000000000000003E-4</v>
      </c>
      <c r="AA99" s="61">
        <v>6.0000000000000001E-3</v>
      </c>
      <c r="AB99" s="61">
        <v>6.7500000000000008E-3</v>
      </c>
      <c r="AC99" s="61">
        <v>7.4999999999999997E-3</v>
      </c>
      <c r="AD99" s="61">
        <v>1.1249999999999999E-3</v>
      </c>
      <c r="AE99" s="61">
        <v>6.7500000000000008E-3</v>
      </c>
      <c r="AF99" s="61">
        <v>7.4999999999999997E-3</v>
      </c>
      <c r="AG99" s="61">
        <v>1.8749999999999999E-3</v>
      </c>
      <c r="AH99" s="60">
        <v>0.56000000000000005</v>
      </c>
      <c r="AI99" s="60">
        <v>0.06</v>
      </c>
      <c r="AJ99" s="60">
        <v>0.83</v>
      </c>
      <c r="AK99" s="60">
        <v>0.56000000000000005</v>
      </c>
      <c r="AL99" s="60">
        <v>1.39</v>
      </c>
      <c r="AM99" s="60">
        <v>0.69</v>
      </c>
      <c r="AN99" s="60">
        <v>0.06</v>
      </c>
      <c r="AO99" s="60">
        <v>1.1100000000000001</v>
      </c>
      <c r="AP99" s="60">
        <v>1.25</v>
      </c>
      <c r="AQ99" s="60">
        <v>1.39</v>
      </c>
      <c r="AR99" s="60">
        <v>0.21</v>
      </c>
      <c r="AS99" s="60">
        <v>1.25</v>
      </c>
      <c r="AT99" s="60">
        <v>1.39</v>
      </c>
      <c r="AU99" s="60">
        <v>0.34499999999999997</v>
      </c>
      <c r="AV99" s="62">
        <v>-1</v>
      </c>
      <c r="AW99" s="62">
        <v>0</v>
      </c>
      <c r="AX99" s="62">
        <v>-2</v>
      </c>
      <c r="AY99" s="62">
        <v>-1</v>
      </c>
      <c r="AZ99" s="62">
        <v>-3</v>
      </c>
      <c r="BA99" s="62">
        <v>-2</v>
      </c>
      <c r="BB99" s="62">
        <v>0</v>
      </c>
      <c r="BC99" s="62">
        <v>-1</v>
      </c>
      <c r="BD99" s="62">
        <v>-1</v>
      </c>
      <c r="BE99" s="62">
        <v>-1</v>
      </c>
      <c r="BF99" s="62">
        <v>-0.5</v>
      </c>
      <c r="BG99" s="62">
        <v>-1</v>
      </c>
      <c r="BH99" s="62">
        <v>-1</v>
      </c>
      <c r="BI99" s="62">
        <v>-0.5</v>
      </c>
      <c r="BJ99" s="62">
        <v>-1.5</v>
      </c>
      <c r="BK99" s="62">
        <v>-1.5</v>
      </c>
      <c r="BL99" s="62">
        <v>-1.5</v>
      </c>
      <c r="BM99" s="62">
        <v>-0.5</v>
      </c>
      <c r="BN99" s="62">
        <v>-2</v>
      </c>
      <c r="BO99" s="62">
        <v>-1</v>
      </c>
      <c r="BP99" s="4">
        <v>96</v>
      </c>
    </row>
    <row r="101" spans="1:68" x14ac:dyDescent="0.25">
      <c r="B101" s="3" t="s">
        <v>81</v>
      </c>
      <c r="C101" s="355" t="s">
        <v>2323</v>
      </c>
      <c r="D101" s="355"/>
      <c r="E101" s="4" t="s">
        <v>72</v>
      </c>
      <c r="F101" s="4" t="s">
        <v>2324</v>
      </c>
      <c r="G101" s="4" t="s">
        <v>2325</v>
      </c>
      <c r="H101" s="4" t="s">
        <v>75</v>
      </c>
    </row>
    <row r="102" spans="1:68" x14ac:dyDescent="0.25">
      <c r="B102" s="3" t="s">
        <v>2242</v>
      </c>
      <c r="C102" s="355">
        <v>0</v>
      </c>
      <c r="D102" s="355"/>
      <c r="E102" s="4">
        <v>0</v>
      </c>
      <c r="F102" s="4">
        <v>0</v>
      </c>
      <c r="G102" s="4">
        <v>0</v>
      </c>
      <c r="H102" s="4">
        <v>0</v>
      </c>
    </row>
    <row r="103" spans="1:68" x14ac:dyDescent="0.25">
      <c r="B103" s="3" t="s">
        <v>2243</v>
      </c>
      <c r="C103" s="355">
        <v>1.2999999999999999E-2</v>
      </c>
      <c r="D103" s="355"/>
      <c r="E103" s="4">
        <v>2.3839999999999999</v>
      </c>
      <c r="F103" s="4">
        <v>1</v>
      </c>
      <c r="G103" s="4">
        <v>20</v>
      </c>
      <c r="H103" s="4">
        <v>-15</v>
      </c>
    </row>
    <row r="104" spans="1:68" x14ac:dyDescent="0.25">
      <c r="B104" s="3" t="s">
        <v>2244</v>
      </c>
      <c r="C104" s="355">
        <v>1.2E-2</v>
      </c>
      <c r="D104" s="355"/>
      <c r="E104" s="4">
        <v>2.2959999999999998</v>
      </c>
      <c r="F104" s="4">
        <v>1</v>
      </c>
      <c r="G104" s="4">
        <v>20</v>
      </c>
      <c r="H104" s="4">
        <v>5</v>
      </c>
    </row>
    <row r="105" spans="1:68" x14ac:dyDescent="0.25">
      <c r="B105" s="3" t="s">
        <v>2245</v>
      </c>
      <c r="C105" s="355">
        <v>2.1999999999999999E-2</v>
      </c>
      <c r="D105" s="355"/>
      <c r="E105" s="4">
        <v>4</v>
      </c>
      <c r="F105" s="4">
        <v>1</v>
      </c>
      <c r="G105" s="4">
        <v>50</v>
      </c>
      <c r="H105" s="4">
        <v>15</v>
      </c>
    </row>
    <row r="106" spans="1:68" x14ac:dyDescent="0.25">
      <c r="B106" s="3" t="s">
        <v>2246</v>
      </c>
      <c r="C106" s="355">
        <v>2.1999999999999999E-2</v>
      </c>
      <c r="D106" s="355"/>
      <c r="E106" s="4">
        <v>4</v>
      </c>
      <c r="F106" s="4">
        <v>1</v>
      </c>
      <c r="G106" s="4">
        <v>60</v>
      </c>
      <c r="H106" s="4">
        <v>20</v>
      </c>
    </row>
    <row r="107" spans="1:68" x14ac:dyDescent="0.25">
      <c r="B107" s="3" t="s">
        <v>2247</v>
      </c>
      <c r="C107" s="355">
        <v>2.1999999999999999E-2</v>
      </c>
      <c r="D107" s="355"/>
      <c r="E107" s="4">
        <v>4.0839999999999996</v>
      </c>
      <c r="F107" s="4">
        <v>1</v>
      </c>
      <c r="G107" s="4">
        <v>70</v>
      </c>
      <c r="H107" s="4">
        <v>25</v>
      </c>
    </row>
    <row r="108" spans="1:68" x14ac:dyDescent="0.25">
      <c r="B108" s="3" t="s">
        <v>2248</v>
      </c>
      <c r="C108" s="355">
        <v>2.7E-2</v>
      </c>
      <c r="D108" s="355"/>
      <c r="E108" s="4">
        <v>5.0199999999999996</v>
      </c>
      <c r="F108" s="4">
        <v>1</v>
      </c>
      <c r="G108" s="4">
        <v>30</v>
      </c>
      <c r="H108" s="4">
        <v>15</v>
      </c>
    </row>
    <row r="109" spans="1:68" x14ac:dyDescent="0.25">
      <c r="B109" s="3" t="s">
        <v>2249</v>
      </c>
      <c r="C109" s="355">
        <v>0.03</v>
      </c>
      <c r="D109" s="355"/>
      <c r="E109" s="4">
        <v>5.532</v>
      </c>
      <c r="F109" s="4">
        <v>1</v>
      </c>
      <c r="G109" s="4">
        <v>40</v>
      </c>
      <c r="H109" s="4">
        <v>15</v>
      </c>
    </row>
    <row r="110" spans="1:68" x14ac:dyDescent="0.25">
      <c r="B110" s="3" t="s">
        <v>2250</v>
      </c>
      <c r="C110" s="355">
        <v>0.22600000000000001</v>
      </c>
      <c r="D110" s="355"/>
      <c r="E110" s="4">
        <v>41.787999999999997</v>
      </c>
      <c r="F110" s="4">
        <v>1</v>
      </c>
      <c r="G110" s="4">
        <v>70</v>
      </c>
      <c r="H110" s="4">
        <v>15</v>
      </c>
    </row>
    <row r="111" spans="1:68" x14ac:dyDescent="0.25">
      <c r="B111" s="3" t="s">
        <v>2251</v>
      </c>
      <c r="C111" s="355">
        <v>0.22500000000000001</v>
      </c>
      <c r="D111" s="355"/>
      <c r="E111" s="4">
        <v>41.704000000000001</v>
      </c>
      <c r="F111" s="4">
        <v>1</v>
      </c>
      <c r="G111" s="4">
        <v>75</v>
      </c>
      <c r="H111" s="4">
        <v>20</v>
      </c>
    </row>
    <row r="112" spans="1:68" x14ac:dyDescent="0.25">
      <c r="B112" s="3" t="s">
        <v>2252</v>
      </c>
      <c r="C112" s="355">
        <v>0.22500000000000001</v>
      </c>
      <c r="D112" s="355"/>
      <c r="E112" s="4">
        <v>41.616</v>
      </c>
      <c r="F112" s="4">
        <v>1</v>
      </c>
      <c r="G112" s="4">
        <v>80</v>
      </c>
      <c r="H112" s="4">
        <v>25</v>
      </c>
    </row>
    <row r="113" spans="2:8" x14ac:dyDescent="0.25">
      <c r="B113" s="3" t="s">
        <v>2253</v>
      </c>
      <c r="C113" s="355">
        <v>0.224</v>
      </c>
      <c r="D113" s="355"/>
      <c r="E113" s="4">
        <v>41.531999999999996</v>
      </c>
      <c r="F113" s="4">
        <v>1</v>
      </c>
      <c r="G113" s="4">
        <v>85</v>
      </c>
      <c r="H113" s="4">
        <v>30</v>
      </c>
    </row>
    <row r="114" spans="2:8" x14ac:dyDescent="0.25">
      <c r="B114" s="3" t="s">
        <v>2254</v>
      </c>
      <c r="C114" s="355">
        <v>0.224</v>
      </c>
      <c r="D114" s="355"/>
      <c r="E114" s="4">
        <v>41.448</v>
      </c>
      <c r="F114" s="4">
        <v>1</v>
      </c>
      <c r="G114" s="4">
        <v>90</v>
      </c>
      <c r="H114" s="4">
        <v>35</v>
      </c>
    </row>
    <row r="115" spans="2:8" x14ac:dyDescent="0.25">
      <c r="B115" s="3" t="s">
        <v>2255</v>
      </c>
      <c r="C115" s="355">
        <v>0.55400000000000005</v>
      </c>
      <c r="D115" s="355"/>
      <c r="E115" s="4">
        <v>102.468</v>
      </c>
      <c r="F115" s="4">
        <v>1</v>
      </c>
      <c r="G115" s="4">
        <v>40</v>
      </c>
      <c r="H115" s="4">
        <v>-5</v>
      </c>
    </row>
    <row r="116" spans="2:8" x14ac:dyDescent="0.25">
      <c r="B116" s="3" t="s">
        <v>2256</v>
      </c>
      <c r="C116" s="355">
        <v>0.30099999999999999</v>
      </c>
      <c r="D116" s="355"/>
      <c r="E116" s="4">
        <v>55.744</v>
      </c>
      <c r="F116" s="4">
        <v>1</v>
      </c>
      <c r="G116" s="4">
        <v>45</v>
      </c>
      <c r="H116" s="4">
        <v>5</v>
      </c>
    </row>
    <row r="117" spans="2:8" x14ac:dyDescent="0.25">
      <c r="B117" s="3" t="s">
        <v>2257</v>
      </c>
      <c r="C117" s="355">
        <v>0.25600000000000001</v>
      </c>
      <c r="D117" s="355"/>
      <c r="E117" s="4">
        <v>47.404000000000003</v>
      </c>
      <c r="F117" s="4">
        <v>1</v>
      </c>
      <c r="G117" s="4">
        <v>55</v>
      </c>
      <c r="H117" s="4">
        <v>10</v>
      </c>
    </row>
    <row r="118" spans="2:8" x14ac:dyDescent="0.25">
      <c r="B118" s="3" t="s">
        <v>2258</v>
      </c>
      <c r="C118" s="355">
        <v>0.252</v>
      </c>
      <c r="D118" s="355"/>
      <c r="E118" s="4">
        <v>46.552</v>
      </c>
      <c r="F118" s="4">
        <v>1</v>
      </c>
      <c r="G118" s="4">
        <v>60</v>
      </c>
      <c r="H118" s="4">
        <v>15</v>
      </c>
    </row>
    <row r="119" spans="2:8" x14ac:dyDescent="0.25">
      <c r="B119" s="3" t="s">
        <v>2259</v>
      </c>
      <c r="C119" s="355">
        <v>0.252</v>
      </c>
      <c r="D119" s="355"/>
      <c r="E119" s="4">
        <v>46.64</v>
      </c>
      <c r="F119" s="4">
        <v>1</v>
      </c>
      <c r="G119" s="4">
        <v>70</v>
      </c>
      <c r="H119" s="4">
        <v>20</v>
      </c>
    </row>
    <row r="120" spans="2:8" x14ac:dyDescent="0.25">
      <c r="B120" s="3" t="s">
        <v>2260</v>
      </c>
      <c r="C120" s="355">
        <v>0.23300000000000001</v>
      </c>
      <c r="D120" s="355"/>
      <c r="E120" s="4">
        <v>43.148000000000003</v>
      </c>
      <c r="F120" s="4">
        <v>1</v>
      </c>
      <c r="G120" s="4">
        <v>95</v>
      </c>
      <c r="H120" s="4">
        <v>40</v>
      </c>
    </row>
    <row r="121" spans="2:8" x14ac:dyDescent="0.25">
      <c r="B121" s="3" t="s">
        <v>2261</v>
      </c>
      <c r="C121" s="355">
        <v>6.9000000000000006E-2</v>
      </c>
      <c r="D121" s="355"/>
      <c r="E121" s="4">
        <v>12.763999999999999</v>
      </c>
      <c r="F121" s="4">
        <v>1</v>
      </c>
      <c r="G121" s="4">
        <v>70</v>
      </c>
      <c r="H121" s="4">
        <v>20</v>
      </c>
    </row>
    <row r="122" spans="2:8" x14ac:dyDescent="0.25">
      <c r="B122" s="3" t="s">
        <v>2262</v>
      </c>
      <c r="C122" s="355">
        <v>1.7000000000000001E-2</v>
      </c>
      <c r="D122" s="355"/>
      <c r="E122" s="4">
        <v>3.2</v>
      </c>
      <c r="F122" s="4">
        <v>1</v>
      </c>
      <c r="G122" s="4">
        <v>95</v>
      </c>
      <c r="H122" s="4">
        <v>15</v>
      </c>
    </row>
    <row r="123" spans="2:8" x14ac:dyDescent="0.25">
      <c r="B123" s="3" t="s">
        <v>2263</v>
      </c>
      <c r="C123" s="355">
        <v>2.5999999999999999E-2</v>
      </c>
      <c r="D123" s="355"/>
      <c r="E123" s="4">
        <v>4.7679999999999998</v>
      </c>
      <c r="F123" s="4">
        <v>2</v>
      </c>
      <c r="G123" s="4">
        <v>25</v>
      </c>
      <c r="H123" s="4">
        <v>-10</v>
      </c>
    </row>
    <row r="124" spans="2:8" x14ac:dyDescent="0.25">
      <c r="B124" s="3" t="s">
        <v>2264</v>
      </c>
      <c r="C124" s="355">
        <v>2.5000000000000001E-2</v>
      </c>
      <c r="D124" s="355"/>
      <c r="E124" s="4">
        <v>4.5919999999999996</v>
      </c>
      <c r="F124" s="4">
        <v>2</v>
      </c>
      <c r="G124" s="4">
        <v>25</v>
      </c>
      <c r="H124" s="4">
        <v>10</v>
      </c>
    </row>
    <row r="125" spans="2:8" x14ac:dyDescent="0.25">
      <c r="B125" s="3" t="s">
        <v>2265</v>
      </c>
      <c r="C125" s="355">
        <v>4.2999999999999997E-2</v>
      </c>
      <c r="D125" s="355"/>
      <c r="E125" s="4">
        <v>8</v>
      </c>
      <c r="F125" s="4">
        <v>2</v>
      </c>
      <c r="G125" s="4">
        <v>55</v>
      </c>
      <c r="H125" s="4">
        <v>20</v>
      </c>
    </row>
    <row r="126" spans="2:8" x14ac:dyDescent="0.25">
      <c r="B126" s="3" t="s">
        <v>2266</v>
      </c>
      <c r="C126" s="355">
        <v>4.2999999999999997E-2</v>
      </c>
      <c r="D126" s="355"/>
      <c r="E126" s="4">
        <v>8</v>
      </c>
      <c r="F126" s="4">
        <v>2</v>
      </c>
      <c r="G126" s="4">
        <v>65</v>
      </c>
      <c r="H126" s="4">
        <v>25</v>
      </c>
    </row>
    <row r="127" spans="2:8" x14ac:dyDescent="0.25">
      <c r="B127" s="3" t="s">
        <v>2267</v>
      </c>
      <c r="C127" s="355">
        <v>4.3999999999999997E-2</v>
      </c>
      <c r="D127" s="355"/>
      <c r="E127" s="4">
        <v>8.1679999999999993</v>
      </c>
      <c r="F127" s="4">
        <v>2</v>
      </c>
      <c r="G127" s="4">
        <v>75</v>
      </c>
      <c r="H127" s="4">
        <v>30</v>
      </c>
    </row>
    <row r="128" spans="2:8" x14ac:dyDescent="0.25">
      <c r="B128" s="3" t="s">
        <v>2268</v>
      </c>
      <c r="C128" s="355">
        <v>5.3999999999999999E-2</v>
      </c>
      <c r="D128" s="355"/>
      <c r="E128" s="4">
        <v>10.039999999999999</v>
      </c>
      <c r="F128" s="4">
        <v>2</v>
      </c>
      <c r="G128" s="4">
        <v>35</v>
      </c>
      <c r="H128" s="4">
        <v>20</v>
      </c>
    </row>
    <row r="129" spans="2:8" x14ac:dyDescent="0.25">
      <c r="B129" s="3" t="s">
        <v>2269</v>
      </c>
      <c r="C129" s="355">
        <v>0.06</v>
      </c>
      <c r="D129" s="355"/>
      <c r="E129" s="4">
        <v>11.064</v>
      </c>
      <c r="F129" s="4">
        <v>2</v>
      </c>
      <c r="G129" s="4">
        <v>45</v>
      </c>
      <c r="H129" s="4">
        <v>20</v>
      </c>
    </row>
    <row r="130" spans="2:8" x14ac:dyDescent="0.25">
      <c r="B130" s="3" t="s">
        <v>2270</v>
      </c>
      <c r="C130" s="355">
        <v>0.45200000000000001</v>
      </c>
      <c r="D130" s="355"/>
      <c r="E130" s="4">
        <v>83.575999999999993</v>
      </c>
      <c r="F130" s="4">
        <v>2</v>
      </c>
      <c r="G130" s="4">
        <v>55</v>
      </c>
      <c r="H130" s="4">
        <v>20</v>
      </c>
    </row>
    <row r="131" spans="2:8" x14ac:dyDescent="0.25">
      <c r="B131" s="3" t="s">
        <v>2271</v>
      </c>
      <c r="C131" s="355">
        <v>0.45100000000000001</v>
      </c>
      <c r="D131" s="355"/>
      <c r="E131" s="4">
        <v>83.408000000000001</v>
      </c>
      <c r="F131" s="4">
        <v>2</v>
      </c>
      <c r="G131" s="4">
        <v>80</v>
      </c>
      <c r="H131" s="4">
        <v>25</v>
      </c>
    </row>
    <row r="132" spans="2:8" x14ac:dyDescent="0.25">
      <c r="B132" s="3" t="s">
        <v>2272</v>
      </c>
      <c r="C132" s="355">
        <v>0.45</v>
      </c>
      <c r="D132" s="355"/>
      <c r="E132" s="4">
        <v>83.231999999999999</v>
      </c>
      <c r="F132" s="4">
        <v>2</v>
      </c>
      <c r="G132" s="4">
        <v>85</v>
      </c>
      <c r="H132" s="4">
        <v>30</v>
      </c>
    </row>
    <row r="133" spans="2:8" x14ac:dyDescent="0.25">
      <c r="B133" s="3" t="s">
        <v>2273</v>
      </c>
      <c r="C133" s="355">
        <v>0.44900000000000001</v>
      </c>
      <c r="D133" s="355"/>
      <c r="E133" s="4">
        <v>83.063999999999993</v>
      </c>
      <c r="F133" s="4">
        <v>2</v>
      </c>
      <c r="G133" s="4">
        <v>90</v>
      </c>
      <c r="H133" s="4">
        <v>35</v>
      </c>
    </row>
    <row r="134" spans="2:8" x14ac:dyDescent="0.25">
      <c r="B134" s="3" t="s">
        <v>2274</v>
      </c>
      <c r="C134" s="355">
        <v>0.44800000000000001</v>
      </c>
      <c r="D134" s="355"/>
      <c r="E134" s="4">
        <v>82.896000000000001</v>
      </c>
      <c r="F134" s="4">
        <v>2</v>
      </c>
      <c r="G134" s="4">
        <v>95</v>
      </c>
      <c r="H134" s="4">
        <v>40</v>
      </c>
    </row>
    <row r="135" spans="2:8" x14ac:dyDescent="0.25">
      <c r="B135" s="3" t="s">
        <v>2275</v>
      </c>
      <c r="C135" s="355">
        <v>1.1080000000000001</v>
      </c>
      <c r="D135" s="355"/>
      <c r="E135" s="4">
        <v>204.93600000000001</v>
      </c>
      <c r="F135" s="4">
        <v>2</v>
      </c>
      <c r="G135" s="4">
        <v>45</v>
      </c>
      <c r="H135" s="4">
        <v>0</v>
      </c>
    </row>
    <row r="136" spans="2:8" x14ac:dyDescent="0.25">
      <c r="B136" s="3" t="s">
        <v>2276</v>
      </c>
      <c r="C136" s="355">
        <v>0.60299999999999998</v>
      </c>
      <c r="D136" s="355"/>
      <c r="E136" s="4">
        <v>111.488</v>
      </c>
      <c r="F136" s="4">
        <v>2</v>
      </c>
      <c r="G136" s="4">
        <v>50</v>
      </c>
      <c r="H136" s="4">
        <v>10</v>
      </c>
    </row>
    <row r="137" spans="2:8" x14ac:dyDescent="0.25">
      <c r="B137" s="3" t="s">
        <v>2277</v>
      </c>
      <c r="C137" s="355">
        <v>0.51200000000000001</v>
      </c>
      <c r="D137" s="355"/>
      <c r="E137" s="4">
        <v>94.808000000000007</v>
      </c>
      <c r="F137" s="4">
        <v>2</v>
      </c>
      <c r="G137" s="4">
        <v>60</v>
      </c>
      <c r="H137" s="4">
        <v>15</v>
      </c>
    </row>
    <row r="138" spans="2:8" x14ac:dyDescent="0.25">
      <c r="B138" s="3" t="s">
        <v>2278</v>
      </c>
      <c r="C138" s="355">
        <v>0.503</v>
      </c>
      <c r="D138" s="355"/>
      <c r="E138" s="4">
        <v>93.103999999999999</v>
      </c>
      <c r="F138" s="4">
        <v>2</v>
      </c>
      <c r="G138" s="4">
        <v>65</v>
      </c>
      <c r="H138" s="4">
        <v>20</v>
      </c>
    </row>
    <row r="139" spans="2:8" x14ac:dyDescent="0.25">
      <c r="B139" s="3" t="s">
        <v>2279</v>
      </c>
      <c r="C139" s="355">
        <v>0.504</v>
      </c>
      <c r="D139" s="355"/>
      <c r="E139" s="4">
        <v>93.28</v>
      </c>
      <c r="F139" s="4">
        <v>2</v>
      </c>
      <c r="G139" s="4">
        <v>75</v>
      </c>
      <c r="H139" s="4">
        <v>25</v>
      </c>
    </row>
    <row r="140" spans="2:8" x14ac:dyDescent="0.25">
      <c r="B140" s="3" t="s">
        <v>2280</v>
      </c>
      <c r="C140" s="355">
        <v>0.46600000000000003</v>
      </c>
      <c r="D140" s="355"/>
      <c r="E140" s="4">
        <v>86.296000000000006</v>
      </c>
      <c r="F140" s="4">
        <v>2</v>
      </c>
      <c r="G140" s="4">
        <v>100</v>
      </c>
      <c r="H140" s="4">
        <v>45</v>
      </c>
    </row>
    <row r="141" spans="2:8" x14ac:dyDescent="0.25">
      <c r="B141" s="3" t="s">
        <v>2281</v>
      </c>
      <c r="C141" s="355">
        <v>0.13800000000000001</v>
      </c>
      <c r="D141" s="355"/>
      <c r="E141" s="4">
        <v>25.527999999999999</v>
      </c>
      <c r="F141" s="4">
        <v>2</v>
      </c>
      <c r="G141" s="4">
        <v>75</v>
      </c>
      <c r="H141" s="4">
        <v>25</v>
      </c>
    </row>
    <row r="142" spans="2:8" x14ac:dyDescent="0.25">
      <c r="B142" s="3" t="s">
        <v>2282</v>
      </c>
      <c r="C142" s="355">
        <v>3.5000000000000003E-2</v>
      </c>
      <c r="D142" s="355"/>
      <c r="E142" s="4">
        <v>6.4</v>
      </c>
      <c r="F142" s="4">
        <v>2</v>
      </c>
      <c r="G142" s="4">
        <v>100</v>
      </c>
      <c r="H142" s="4">
        <v>20</v>
      </c>
    </row>
    <row r="143" spans="2:8" x14ac:dyDescent="0.25">
      <c r="B143" s="3" t="s">
        <v>2283</v>
      </c>
      <c r="C143" s="355">
        <v>3.9E-2</v>
      </c>
      <c r="D143" s="355"/>
      <c r="E143" s="4">
        <v>7.1520000000000001</v>
      </c>
      <c r="F143" s="4">
        <v>3</v>
      </c>
      <c r="G143" s="4">
        <v>30</v>
      </c>
      <c r="H143" s="4">
        <v>-5</v>
      </c>
    </row>
    <row r="144" spans="2:8" x14ac:dyDescent="0.25">
      <c r="B144" s="3" t="s">
        <v>2284</v>
      </c>
      <c r="C144" s="355">
        <v>3.6999999999999998E-2</v>
      </c>
      <c r="D144" s="355"/>
      <c r="E144" s="4">
        <v>6.8879999999999999</v>
      </c>
      <c r="F144" s="4">
        <v>3</v>
      </c>
      <c r="G144" s="4">
        <v>30</v>
      </c>
      <c r="H144" s="4">
        <v>15</v>
      </c>
    </row>
    <row r="145" spans="2:8" x14ac:dyDescent="0.25">
      <c r="B145" s="3" t="s">
        <v>2285</v>
      </c>
      <c r="C145" s="355">
        <v>6.5000000000000002E-2</v>
      </c>
      <c r="D145" s="355"/>
      <c r="E145" s="4">
        <v>12</v>
      </c>
      <c r="F145" s="4">
        <v>3</v>
      </c>
      <c r="G145" s="4">
        <v>60</v>
      </c>
      <c r="H145" s="4">
        <v>25</v>
      </c>
    </row>
    <row r="146" spans="2:8" x14ac:dyDescent="0.25">
      <c r="B146" s="3" t="s">
        <v>2286</v>
      </c>
      <c r="C146" s="355">
        <v>6.5000000000000002E-2</v>
      </c>
      <c r="D146" s="355"/>
      <c r="E146" s="4">
        <v>12</v>
      </c>
      <c r="F146" s="4">
        <v>3</v>
      </c>
      <c r="G146" s="4">
        <v>70</v>
      </c>
      <c r="H146" s="4">
        <v>30</v>
      </c>
    </row>
    <row r="147" spans="2:8" x14ac:dyDescent="0.25">
      <c r="B147" s="3" t="s">
        <v>2287</v>
      </c>
      <c r="C147" s="355">
        <v>6.6000000000000003E-2</v>
      </c>
      <c r="D147" s="355"/>
      <c r="E147" s="4">
        <v>12.252000000000001</v>
      </c>
      <c r="F147" s="4">
        <v>3</v>
      </c>
      <c r="G147" s="4">
        <v>80</v>
      </c>
      <c r="H147" s="4">
        <v>35</v>
      </c>
    </row>
    <row r="148" spans="2:8" x14ac:dyDescent="0.25">
      <c r="B148" s="3" t="s">
        <v>2288</v>
      </c>
      <c r="C148" s="355">
        <v>8.1000000000000003E-2</v>
      </c>
      <c r="D148" s="355"/>
      <c r="E148" s="4">
        <v>15.06</v>
      </c>
      <c r="F148" s="4">
        <v>3</v>
      </c>
      <c r="G148" s="4">
        <v>40</v>
      </c>
      <c r="H148" s="4">
        <v>25</v>
      </c>
    </row>
    <row r="149" spans="2:8" x14ac:dyDescent="0.25">
      <c r="B149" s="3" t="s">
        <v>2289</v>
      </c>
      <c r="C149" s="355">
        <v>0.09</v>
      </c>
      <c r="D149" s="355"/>
      <c r="E149" s="4">
        <v>16.596</v>
      </c>
      <c r="F149" s="4">
        <v>3</v>
      </c>
      <c r="G149" s="4">
        <v>50</v>
      </c>
      <c r="H149" s="4">
        <v>25</v>
      </c>
    </row>
    <row r="150" spans="2:8" x14ac:dyDescent="0.25">
      <c r="B150" s="3" t="s">
        <v>2290</v>
      </c>
      <c r="C150" s="355">
        <v>0.67800000000000005</v>
      </c>
      <c r="D150" s="355"/>
      <c r="E150" s="4">
        <v>125.364</v>
      </c>
      <c r="F150" s="4">
        <v>3</v>
      </c>
      <c r="G150" s="4">
        <v>60</v>
      </c>
      <c r="H150" s="4">
        <v>25</v>
      </c>
    </row>
    <row r="151" spans="2:8" x14ac:dyDescent="0.25">
      <c r="B151" s="3" t="s">
        <v>2291</v>
      </c>
      <c r="C151" s="355">
        <v>0.67600000000000005</v>
      </c>
      <c r="D151" s="355"/>
      <c r="E151" s="4">
        <v>125.11199999999999</v>
      </c>
      <c r="F151" s="4">
        <v>3</v>
      </c>
      <c r="G151" s="4">
        <v>85</v>
      </c>
      <c r="H151" s="4">
        <v>30</v>
      </c>
    </row>
    <row r="152" spans="2:8" x14ac:dyDescent="0.25">
      <c r="B152" s="3" t="s">
        <v>2292</v>
      </c>
      <c r="C152" s="355">
        <v>0.67500000000000004</v>
      </c>
      <c r="D152" s="355"/>
      <c r="E152" s="4">
        <v>124.848</v>
      </c>
      <c r="F152" s="4">
        <v>3</v>
      </c>
      <c r="G152" s="4">
        <v>90</v>
      </c>
      <c r="H152" s="4">
        <v>35</v>
      </c>
    </row>
    <row r="153" spans="2:8" x14ac:dyDescent="0.25">
      <c r="B153" s="3" t="s">
        <v>2293</v>
      </c>
      <c r="C153" s="355">
        <v>0.67300000000000004</v>
      </c>
      <c r="D153" s="355"/>
      <c r="E153" s="4">
        <v>124.596</v>
      </c>
      <c r="F153" s="4">
        <v>3</v>
      </c>
      <c r="G153" s="4">
        <v>95</v>
      </c>
      <c r="H153" s="4">
        <v>40</v>
      </c>
    </row>
    <row r="154" spans="2:8" x14ac:dyDescent="0.25">
      <c r="B154" s="3" t="s">
        <v>2294</v>
      </c>
      <c r="C154" s="355">
        <v>0.67200000000000004</v>
      </c>
      <c r="D154" s="355"/>
      <c r="E154" s="4">
        <v>124.34399999999999</v>
      </c>
      <c r="F154" s="4">
        <v>3</v>
      </c>
      <c r="G154" s="4">
        <v>100</v>
      </c>
      <c r="H154" s="4">
        <v>45</v>
      </c>
    </row>
    <row r="155" spans="2:8" x14ac:dyDescent="0.25">
      <c r="B155" s="3" t="s">
        <v>2295</v>
      </c>
      <c r="C155" s="355">
        <v>1.6619999999999999</v>
      </c>
      <c r="D155" s="355"/>
      <c r="E155" s="4">
        <v>307.404</v>
      </c>
      <c r="F155" s="4">
        <v>3</v>
      </c>
      <c r="G155" s="4">
        <v>50</v>
      </c>
      <c r="H155" s="4">
        <v>5</v>
      </c>
    </row>
    <row r="156" spans="2:8" x14ac:dyDescent="0.25">
      <c r="B156" s="3" t="s">
        <v>2296</v>
      </c>
      <c r="C156" s="355">
        <v>0.90400000000000003</v>
      </c>
      <c r="D156" s="355"/>
      <c r="E156" s="4">
        <v>167.232</v>
      </c>
      <c r="F156" s="4">
        <v>3</v>
      </c>
      <c r="G156" s="4">
        <v>55</v>
      </c>
      <c r="H156" s="4">
        <v>15</v>
      </c>
    </row>
    <row r="157" spans="2:8" x14ac:dyDescent="0.25">
      <c r="B157" s="3" t="s">
        <v>2297</v>
      </c>
      <c r="C157" s="355">
        <v>0.76900000000000002</v>
      </c>
      <c r="D157" s="355"/>
      <c r="E157" s="4">
        <v>142.21199999999999</v>
      </c>
      <c r="F157" s="4">
        <v>3</v>
      </c>
      <c r="G157" s="4">
        <v>65</v>
      </c>
      <c r="H157" s="4">
        <v>20</v>
      </c>
    </row>
    <row r="158" spans="2:8" x14ac:dyDescent="0.25">
      <c r="B158" s="3" t="s">
        <v>2298</v>
      </c>
      <c r="C158" s="355">
        <v>0.755</v>
      </c>
      <c r="D158" s="355"/>
      <c r="E158" s="4">
        <v>139.65600000000001</v>
      </c>
      <c r="F158" s="4">
        <v>3</v>
      </c>
      <c r="G158" s="4">
        <v>70</v>
      </c>
      <c r="H158" s="4">
        <v>25</v>
      </c>
    </row>
    <row r="159" spans="2:8" x14ac:dyDescent="0.25">
      <c r="B159" s="3" t="s">
        <v>2299</v>
      </c>
      <c r="C159" s="355">
        <v>0.75600000000000001</v>
      </c>
      <c r="D159" s="355"/>
      <c r="E159" s="4">
        <v>139.91999999999999</v>
      </c>
      <c r="F159" s="4">
        <v>3</v>
      </c>
      <c r="G159" s="4">
        <v>80</v>
      </c>
      <c r="H159" s="4">
        <v>30</v>
      </c>
    </row>
    <row r="160" spans="2:8" x14ac:dyDescent="0.25">
      <c r="B160" s="3" t="s">
        <v>2300</v>
      </c>
      <c r="C160" s="355">
        <v>0.7</v>
      </c>
      <c r="D160" s="355"/>
      <c r="E160" s="4">
        <v>129.44399999999999</v>
      </c>
      <c r="F160" s="4">
        <v>3</v>
      </c>
      <c r="G160" s="4">
        <v>105</v>
      </c>
      <c r="H160" s="4">
        <v>50</v>
      </c>
    </row>
    <row r="161" spans="2:8" x14ac:dyDescent="0.25">
      <c r="B161" s="3" t="s">
        <v>2301</v>
      </c>
      <c r="C161" s="355">
        <v>0.20699999999999999</v>
      </c>
      <c r="D161" s="355"/>
      <c r="E161" s="4">
        <v>38.292000000000002</v>
      </c>
      <c r="F161" s="4">
        <v>3</v>
      </c>
      <c r="G161" s="4">
        <v>80</v>
      </c>
      <c r="H161" s="4">
        <v>30</v>
      </c>
    </row>
    <row r="162" spans="2:8" x14ac:dyDescent="0.25">
      <c r="B162" s="3" t="s">
        <v>2302</v>
      </c>
      <c r="C162" s="355">
        <v>5.1999999999999998E-2</v>
      </c>
      <c r="D162" s="355"/>
      <c r="E162" s="4">
        <v>9.6</v>
      </c>
      <c r="F162" s="4">
        <v>3</v>
      </c>
      <c r="G162" s="4">
        <v>105</v>
      </c>
      <c r="H162" s="4">
        <v>25</v>
      </c>
    </row>
    <row r="163" spans="2:8" x14ac:dyDescent="0.25">
      <c r="B163" s="3" t="s">
        <v>2303</v>
      </c>
      <c r="C163" s="355">
        <v>6.4000000000000001E-2</v>
      </c>
      <c r="D163" s="355"/>
      <c r="E163" s="4">
        <v>11.92</v>
      </c>
      <c r="F163" s="4">
        <v>4</v>
      </c>
      <c r="G163" s="4">
        <v>35</v>
      </c>
      <c r="H163" s="4">
        <v>0</v>
      </c>
    </row>
    <row r="164" spans="2:8" x14ac:dyDescent="0.25">
      <c r="B164" s="3" t="s">
        <v>2304</v>
      </c>
      <c r="C164" s="355">
        <v>6.2E-2</v>
      </c>
      <c r="D164" s="355"/>
      <c r="E164" s="4">
        <v>11.48</v>
      </c>
      <c r="F164" s="4">
        <v>4</v>
      </c>
      <c r="G164" s="4">
        <v>35</v>
      </c>
      <c r="H164" s="4">
        <v>20</v>
      </c>
    </row>
    <row r="165" spans="2:8" x14ac:dyDescent="0.25">
      <c r="B165" s="3" t="s">
        <v>2305</v>
      </c>
      <c r="C165" s="355">
        <v>0.108</v>
      </c>
      <c r="D165" s="355"/>
      <c r="E165" s="4">
        <v>20</v>
      </c>
      <c r="F165" s="4">
        <v>4</v>
      </c>
      <c r="G165" s="4">
        <v>65</v>
      </c>
      <c r="H165" s="4">
        <v>30</v>
      </c>
    </row>
    <row r="166" spans="2:8" x14ac:dyDescent="0.25">
      <c r="B166" s="3" t="s">
        <v>2306</v>
      </c>
      <c r="C166" s="355">
        <v>0.108</v>
      </c>
      <c r="D166" s="355"/>
      <c r="E166" s="4">
        <v>20</v>
      </c>
      <c r="F166" s="4">
        <v>4</v>
      </c>
      <c r="G166" s="4">
        <v>75</v>
      </c>
      <c r="H166" s="4">
        <v>35</v>
      </c>
    </row>
    <row r="167" spans="2:8" x14ac:dyDescent="0.25">
      <c r="B167" s="3" t="s">
        <v>2307</v>
      </c>
      <c r="C167" s="355">
        <v>0.11</v>
      </c>
      <c r="D167" s="355"/>
      <c r="E167" s="4">
        <v>20.420000000000002</v>
      </c>
      <c r="F167" s="4">
        <v>4</v>
      </c>
      <c r="G167" s="4">
        <v>85</v>
      </c>
      <c r="H167" s="4">
        <v>40</v>
      </c>
    </row>
    <row r="168" spans="2:8" x14ac:dyDescent="0.25">
      <c r="B168" s="3" t="s">
        <v>2308</v>
      </c>
      <c r="C168" s="355">
        <v>0.13600000000000001</v>
      </c>
      <c r="D168" s="355"/>
      <c r="E168" s="4">
        <v>25.1</v>
      </c>
      <c r="F168" s="4">
        <v>4</v>
      </c>
      <c r="G168" s="4">
        <v>45</v>
      </c>
      <c r="H168" s="4">
        <v>30</v>
      </c>
    </row>
    <row r="169" spans="2:8" x14ac:dyDescent="0.25">
      <c r="B169" s="3" t="s">
        <v>2309</v>
      </c>
      <c r="C169" s="355">
        <v>0.15</v>
      </c>
      <c r="D169" s="355"/>
      <c r="E169" s="4">
        <v>27.66</v>
      </c>
      <c r="F169" s="4">
        <v>4</v>
      </c>
      <c r="G169" s="4">
        <v>55</v>
      </c>
      <c r="H169" s="4">
        <v>30</v>
      </c>
    </row>
    <row r="170" spans="2:8" x14ac:dyDescent="0.25">
      <c r="B170" s="3" t="s">
        <v>2310</v>
      </c>
      <c r="C170" s="355">
        <v>1.129</v>
      </c>
      <c r="D170" s="355"/>
      <c r="E170" s="4">
        <v>208.94</v>
      </c>
      <c r="F170" s="4">
        <v>4</v>
      </c>
      <c r="G170" s="4">
        <v>65</v>
      </c>
      <c r="H170" s="4">
        <v>30</v>
      </c>
    </row>
    <row r="171" spans="2:8" x14ac:dyDescent="0.25">
      <c r="B171" s="3" t="s">
        <v>2311</v>
      </c>
      <c r="C171" s="355">
        <v>1.127</v>
      </c>
      <c r="D171" s="355"/>
      <c r="E171" s="4">
        <v>208.52</v>
      </c>
      <c r="F171" s="4">
        <v>4</v>
      </c>
      <c r="G171" s="4">
        <v>90</v>
      </c>
      <c r="H171" s="4">
        <v>35</v>
      </c>
    </row>
    <row r="172" spans="2:8" x14ac:dyDescent="0.25">
      <c r="B172" s="3" t="s">
        <v>2312</v>
      </c>
      <c r="C172" s="355">
        <v>1.125</v>
      </c>
      <c r="D172" s="355"/>
      <c r="E172" s="4">
        <v>208.08</v>
      </c>
      <c r="F172" s="4">
        <v>4</v>
      </c>
      <c r="G172" s="4">
        <v>95</v>
      </c>
      <c r="H172" s="4">
        <v>40</v>
      </c>
    </row>
    <row r="173" spans="2:8" x14ac:dyDescent="0.25">
      <c r="B173" s="3" t="s">
        <v>2313</v>
      </c>
      <c r="C173" s="355">
        <v>1.1220000000000001</v>
      </c>
      <c r="D173" s="355"/>
      <c r="E173" s="4">
        <v>207.66</v>
      </c>
      <c r="F173" s="4">
        <v>4</v>
      </c>
      <c r="G173" s="4">
        <v>100</v>
      </c>
      <c r="H173" s="4">
        <v>45</v>
      </c>
    </row>
    <row r="174" spans="2:8" x14ac:dyDescent="0.25">
      <c r="B174" s="3" t="s">
        <v>2314</v>
      </c>
      <c r="C174" s="355">
        <v>1.1200000000000001</v>
      </c>
      <c r="D174" s="355"/>
      <c r="E174" s="4">
        <v>207.24</v>
      </c>
      <c r="F174" s="4">
        <v>4</v>
      </c>
      <c r="G174" s="4">
        <v>105</v>
      </c>
      <c r="H174" s="4">
        <v>50</v>
      </c>
    </row>
    <row r="175" spans="2:8" x14ac:dyDescent="0.25">
      <c r="B175" s="3" t="s">
        <v>2315</v>
      </c>
      <c r="C175" s="355">
        <v>2.7690000000000001</v>
      </c>
      <c r="D175" s="355"/>
      <c r="E175" s="4">
        <v>512.34</v>
      </c>
      <c r="F175" s="4">
        <v>4</v>
      </c>
      <c r="G175" s="4">
        <v>55</v>
      </c>
      <c r="H175" s="4">
        <v>10</v>
      </c>
    </row>
    <row r="176" spans="2:8" x14ac:dyDescent="0.25">
      <c r="B176" s="3" t="s">
        <v>2316</v>
      </c>
      <c r="C176" s="355">
        <v>1.5069999999999999</v>
      </c>
      <c r="D176" s="355"/>
      <c r="E176" s="4">
        <v>278.72000000000003</v>
      </c>
      <c r="F176" s="4">
        <v>4</v>
      </c>
      <c r="G176" s="4">
        <v>60</v>
      </c>
      <c r="H176" s="4">
        <v>20</v>
      </c>
    </row>
    <row r="177" spans="2:8" x14ac:dyDescent="0.25">
      <c r="B177" s="3" t="s">
        <v>2317</v>
      </c>
      <c r="C177" s="355">
        <v>1.2809999999999999</v>
      </c>
      <c r="D177" s="355"/>
      <c r="E177" s="4">
        <v>237.02</v>
      </c>
      <c r="F177" s="4">
        <v>4</v>
      </c>
      <c r="G177" s="4">
        <v>70</v>
      </c>
      <c r="H177" s="4">
        <v>25</v>
      </c>
    </row>
    <row r="178" spans="2:8" x14ac:dyDescent="0.25">
      <c r="B178" s="3" t="s">
        <v>2318</v>
      </c>
      <c r="C178" s="355">
        <v>1.258</v>
      </c>
      <c r="D178" s="355"/>
      <c r="E178" s="4">
        <v>232.76</v>
      </c>
      <c r="F178" s="4">
        <v>4</v>
      </c>
      <c r="G178" s="4">
        <v>75</v>
      </c>
      <c r="H178" s="4">
        <v>30</v>
      </c>
    </row>
    <row r="179" spans="2:8" x14ac:dyDescent="0.25">
      <c r="B179" s="3" t="s">
        <v>2319</v>
      </c>
      <c r="C179" s="355">
        <v>1.2609999999999999</v>
      </c>
      <c r="D179" s="355"/>
      <c r="E179" s="4">
        <v>233.2</v>
      </c>
      <c r="F179" s="4">
        <v>4</v>
      </c>
      <c r="G179" s="4">
        <v>85</v>
      </c>
      <c r="H179" s="4">
        <v>35</v>
      </c>
    </row>
    <row r="180" spans="2:8" x14ac:dyDescent="0.25">
      <c r="B180" s="3" t="s">
        <v>2320</v>
      </c>
      <c r="C180" s="355">
        <v>1.1659999999999999</v>
      </c>
      <c r="D180" s="355"/>
      <c r="E180" s="4">
        <v>215.74</v>
      </c>
      <c r="F180" s="4">
        <v>4</v>
      </c>
      <c r="G180" s="4">
        <v>110</v>
      </c>
      <c r="H180" s="4">
        <v>55</v>
      </c>
    </row>
    <row r="181" spans="2:8" x14ac:dyDescent="0.25">
      <c r="B181" s="3" t="s">
        <v>2321</v>
      </c>
      <c r="C181" s="355">
        <v>0.34499999999999997</v>
      </c>
      <c r="D181" s="355"/>
      <c r="E181" s="4">
        <v>63.82</v>
      </c>
      <c r="F181" s="4">
        <v>4</v>
      </c>
      <c r="G181" s="4">
        <v>85</v>
      </c>
      <c r="H181" s="4">
        <v>35</v>
      </c>
    </row>
    <row r="182" spans="2:8" x14ac:dyDescent="0.25">
      <c r="B182" s="3" t="s">
        <v>2322</v>
      </c>
      <c r="C182" s="355">
        <v>8.5999999999999993E-2</v>
      </c>
      <c r="D182" s="355"/>
      <c r="E182" s="4">
        <v>16</v>
      </c>
      <c r="F182" s="4">
        <v>4</v>
      </c>
      <c r="G182" s="4">
        <v>110</v>
      </c>
      <c r="H182" s="4">
        <v>30</v>
      </c>
    </row>
  </sheetData>
  <mergeCells count="88">
    <mergeCell ref="C181:D181"/>
    <mergeCell ref="C182:D182"/>
    <mergeCell ref="C101:D101"/>
    <mergeCell ref="C180:D180"/>
    <mergeCell ref="C175:D175"/>
    <mergeCell ref="C176:D176"/>
    <mergeCell ref="C177:D177"/>
    <mergeCell ref="C178:D178"/>
    <mergeCell ref="C179:D179"/>
    <mergeCell ref="C173:D173"/>
    <mergeCell ref="C174:D174"/>
    <mergeCell ref="C168:D168"/>
    <mergeCell ref="C169:D169"/>
    <mergeCell ref="C170:D170"/>
    <mergeCell ref="C171:D171"/>
    <mergeCell ref="C172:D172"/>
    <mergeCell ref="C166:D166"/>
    <mergeCell ref="C167:D167"/>
    <mergeCell ref="C162:D162"/>
    <mergeCell ref="C163:D163"/>
    <mergeCell ref="C164:D164"/>
    <mergeCell ref="C165:D165"/>
    <mergeCell ref="C161:D161"/>
    <mergeCell ref="C157:D157"/>
    <mergeCell ref="C158:D158"/>
    <mergeCell ref="C159:D159"/>
    <mergeCell ref="C160:D160"/>
    <mergeCell ref="C155:D155"/>
    <mergeCell ref="C156:D156"/>
    <mergeCell ref="C150:D150"/>
    <mergeCell ref="C151:D151"/>
    <mergeCell ref="C152:D152"/>
    <mergeCell ref="C153:D153"/>
    <mergeCell ref="C154:D154"/>
    <mergeCell ref="C148:D148"/>
    <mergeCell ref="C149:D149"/>
    <mergeCell ref="C143:D143"/>
    <mergeCell ref="C144:D144"/>
    <mergeCell ref="C145:D145"/>
    <mergeCell ref="C146:D146"/>
    <mergeCell ref="C147:D147"/>
    <mergeCell ref="C141:D141"/>
    <mergeCell ref="C142:D142"/>
    <mergeCell ref="C139:D139"/>
    <mergeCell ref="C140:D140"/>
    <mergeCell ref="C135:D135"/>
    <mergeCell ref="C136:D136"/>
    <mergeCell ref="C137:D137"/>
    <mergeCell ref="C138:D138"/>
    <mergeCell ref="C132:D132"/>
    <mergeCell ref="C133:D133"/>
    <mergeCell ref="C134:D134"/>
    <mergeCell ref="C128:D128"/>
    <mergeCell ref="C129:D129"/>
    <mergeCell ref="C130:D130"/>
    <mergeCell ref="C131:D131"/>
    <mergeCell ref="C125:D125"/>
    <mergeCell ref="C126:D126"/>
    <mergeCell ref="C127:D127"/>
    <mergeCell ref="C121:D121"/>
    <mergeCell ref="C122:D122"/>
    <mergeCell ref="C123:D123"/>
    <mergeCell ref="C124:D124"/>
    <mergeCell ref="C120:D120"/>
    <mergeCell ref="C116:D116"/>
    <mergeCell ref="C117:D117"/>
    <mergeCell ref="C118:D118"/>
    <mergeCell ref="C119:D119"/>
    <mergeCell ref="C115:D115"/>
    <mergeCell ref="C114:D114"/>
    <mergeCell ref="C109:D109"/>
    <mergeCell ref="C110:D110"/>
    <mergeCell ref="C111:D111"/>
    <mergeCell ref="C112:D112"/>
    <mergeCell ref="C113:D113"/>
    <mergeCell ref="C107:D107"/>
    <mergeCell ref="C108:D108"/>
    <mergeCell ref="C102:D102"/>
    <mergeCell ref="C103:D103"/>
    <mergeCell ref="C104:D104"/>
    <mergeCell ref="C105:D105"/>
    <mergeCell ref="C106:D106"/>
    <mergeCell ref="BJ3:BM3"/>
    <mergeCell ref="BN3:BO3"/>
    <mergeCell ref="F3:S3"/>
    <mergeCell ref="T3:AG3"/>
    <mergeCell ref="AH3:AU3"/>
    <mergeCell ref="AV3:BI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MZ264"/>
  <sheetViews>
    <sheetView workbookViewId="0">
      <selection activeCell="BG78" sqref="BG78:BT78"/>
    </sheetView>
  </sheetViews>
  <sheetFormatPr defaultColWidth="0.85546875" defaultRowHeight="15" x14ac:dyDescent="0.25"/>
  <cols>
    <col min="22" max="22" width="0.85546875" customWidth="1"/>
    <col min="87" max="88" width="0.85546875" customWidth="1"/>
    <col min="199" max="199" width="0.85546875" customWidth="1"/>
  </cols>
  <sheetData>
    <row r="1" spans="2:364" ht="5.0999999999999996" customHeight="1" x14ac:dyDescent="0.25"/>
    <row r="2" spans="2:364" ht="15.75" x14ac:dyDescent="0.25">
      <c r="B2" s="356" t="s">
        <v>804</v>
      </c>
      <c r="C2" s="356"/>
      <c r="D2" s="356"/>
      <c r="E2" s="356"/>
      <c r="F2" s="356"/>
      <c r="G2" s="357" t="s">
        <v>805</v>
      </c>
      <c r="H2" s="357"/>
      <c r="I2" s="357"/>
      <c r="J2" s="357"/>
      <c r="K2" s="357"/>
      <c r="L2" s="357"/>
      <c r="M2" s="357"/>
      <c r="N2" s="357"/>
      <c r="O2" s="357"/>
      <c r="P2" s="357"/>
      <c r="Q2" s="357"/>
      <c r="R2" s="357"/>
      <c r="S2" s="357"/>
      <c r="T2" s="357"/>
      <c r="U2" s="357"/>
      <c r="V2" s="357"/>
      <c r="W2" s="357"/>
      <c r="X2" s="357"/>
      <c r="Y2" s="357"/>
      <c r="Z2" s="357"/>
      <c r="AA2" s="357"/>
      <c r="AB2" s="357"/>
      <c r="AC2" s="357"/>
      <c r="AD2" s="357"/>
      <c r="AE2" s="357"/>
      <c r="AF2" s="357"/>
      <c r="AG2" s="357"/>
      <c r="AH2" s="357"/>
      <c r="AI2" s="357"/>
      <c r="AJ2" s="357"/>
      <c r="AK2" s="357"/>
      <c r="AL2" s="357"/>
      <c r="AM2" s="357"/>
      <c r="AN2" s="357"/>
      <c r="AO2" s="357"/>
      <c r="AP2" s="357"/>
      <c r="AQ2" s="357"/>
      <c r="AR2" s="357"/>
      <c r="AS2" s="357"/>
      <c r="AT2" s="357"/>
      <c r="AU2" s="357"/>
      <c r="AV2" s="357"/>
      <c r="AW2" s="357"/>
      <c r="AX2" s="357"/>
      <c r="AY2" s="357"/>
      <c r="AZ2" s="357"/>
      <c r="BA2" s="357"/>
      <c r="BB2" s="357"/>
      <c r="BC2" s="357"/>
      <c r="BD2" s="357"/>
      <c r="BE2" s="357"/>
      <c r="BF2" s="357"/>
      <c r="BG2" s="357"/>
      <c r="BH2" s="357"/>
      <c r="BI2" s="357"/>
      <c r="BJ2" s="357"/>
      <c r="BK2" s="357"/>
      <c r="BL2" s="357"/>
      <c r="BM2" s="357"/>
      <c r="BN2" s="357"/>
      <c r="BO2" s="357"/>
      <c r="BP2" s="357"/>
      <c r="BQ2" s="357"/>
      <c r="BR2" s="357"/>
      <c r="BS2" s="357"/>
      <c r="BT2" s="357"/>
      <c r="BU2" s="357"/>
      <c r="BV2" s="357"/>
      <c r="BW2" s="357"/>
      <c r="BX2" s="357"/>
      <c r="BY2" s="357"/>
      <c r="BZ2" s="357"/>
      <c r="CA2" s="357"/>
      <c r="CB2" s="357"/>
      <c r="CC2" s="357"/>
      <c r="CD2" s="357"/>
      <c r="CE2" s="357"/>
      <c r="CF2" s="357"/>
      <c r="CG2" s="357"/>
      <c r="CH2" s="357"/>
    </row>
    <row r="3" spans="2:364" x14ac:dyDescent="0.25">
      <c r="B3" s="361" t="s">
        <v>806</v>
      </c>
      <c r="C3" s="361"/>
      <c r="D3" s="361"/>
      <c r="E3" s="361"/>
      <c r="F3" s="361"/>
      <c r="G3" s="361"/>
      <c r="H3" s="361"/>
      <c r="I3" s="361"/>
      <c r="J3" s="361"/>
      <c r="K3" s="361"/>
      <c r="L3" s="361"/>
      <c r="M3" s="361"/>
      <c r="N3" s="361"/>
      <c r="O3" s="361"/>
      <c r="P3" s="361"/>
      <c r="Q3" s="361"/>
      <c r="R3" s="361"/>
      <c r="S3" s="361"/>
      <c r="T3" s="361"/>
      <c r="U3" s="361"/>
      <c r="V3" s="361"/>
      <c r="W3" s="361"/>
      <c r="X3" s="361"/>
      <c r="Y3" s="361"/>
      <c r="Z3" s="361"/>
      <c r="AA3" s="361"/>
      <c r="AB3" s="361"/>
      <c r="AC3" s="361"/>
      <c r="AD3" s="361"/>
      <c r="AE3" s="361"/>
      <c r="AF3" s="361"/>
      <c r="AG3" s="361"/>
      <c r="AH3" s="361"/>
      <c r="AI3" s="361"/>
      <c r="AJ3" s="361"/>
      <c r="AK3" s="361"/>
      <c r="AL3" s="361"/>
      <c r="AM3" s="361"/>
      <c r="AN3" s="361"/>
      <c r="AO3" s="361"/>
      <c r="AP3" s="361"/>
      <c r="AQ3" s="361"/>
      <c r="AR3" s="361"/>
      <c r="AS3" s="361"/>
      <c r="AT3" s="361"/>
      <c r="AU3" s="361"/>
      <c r="AV3" s="361"/>
      <c r="AW3" s="361"/>
      <c r="AX3" s="361"/>
      <c r="AY3" s="361"/>
      <c r="AZ3" s="361"/>
      <c r="BA3" s="361"/>
      <c r="BB3" s="361"/>
      <c r="BC3" s="361"/>
      <c r="BD3" s="361"/>
      <c r="BE3" s="361"/>
      <c r="BF3" s="361"/>
      <c r="BG3" s="361"/>
      <c r="BH3" s="361"/>
      <c r="BI3" s="361"/>
      <c r="BJ3" s="361"/>
      <c r="BK3" s="361"/>
      <c r="BL3" s="361"/>
      <c r="BM3" s="361"/>
      <c r="BN3" s="361"/>
      <c r="BO3" s="361"/>
      <c r="BP3" s="361"/>
      <c r="BQ3" s="361"/>
      <c r="BR3" s="361"/>
      <c r="BS3" s="361"/>
      <c r="BT3" s="361"/>
      <c r="BU3" s="361"/>
      <c r="BV3" s="361"/>
      <c r="BW3" s="361"/>
      <c r="BX3" s="361"/>
      <c r="BY3" s="361"/>
      <c r="BZ3" s="361"/>
      <c r="CA3" s="361"/>
      <c r="CB3" s="361"/>
      <c r="CC3" s="361"/>
      <c r="CD3" s="361"/>
      <c r="CE3" s="361"/>
      <c r="CF3" s="361"/>
      <c r="CG3" s="361"/>
      <c r="CH3" s="361"/>
    </row>
    <row r="4" spans="2:364" x14ac:dyDescent="0.25">
      <c r="B4" s="361"/>
      <c r="C4" s="361"/>
      <c r="D4" s="361"/>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c r="AE4" s="361"/>
      <c r="AF4" s="361"/>
      <c r="AG4" s="361"/>
      <c r="AH4" s="361"/>
      <c r="AI4" s="361"/>
      <c r="AJ4" s="361"/>
      <c r="AK4" s="361"/>
      <c r="AL4" s="361"/>
      <c r="AM4" s="361"/>
      <c r="AN4" s="361"/>
      <c r="AO4" s="361"/>
      <c r="AP4" s="361"/>
      <c r="AQ4" s="361"/>
      <c r="AR4" s="361"/>
      <c r="AS4" s="361"/>
      <c r="AT4" s="361"/>
      <c r="AU4" s="361"/>
      <c r="AV4" s="361"/>
      <c r="AW4" s="361"/>
      <c r="AX4" s="361"/>
      <c r="AY4" s="361"/>
      <c r="AZ4" s="361"/>
      <c r="BA4" s="361"/>
      <c r="BB4" s="361"/>
      <c r="BC4" s="361"/>
      <c r="BD4" s="361"/>
      <c r="BE4" s="361"/>
      <c r="BF4" s="361"/>
      <c r="BG4" s="361"/>
      <c r="BH4" s="361"/>
      <c r="BI4" s="361"/>
      <c r="BJ4" s="361"/>
      <c r="BK4" s="361"/>
      <c r="BL4" s="361"/>
      <c r="BM4" s="361"/>
      <c r="BN4" s="361"/>
      <c r="BO4" s="361"/>
      <c r="BP4" s="361"/>
      <c r="BQ4" s="361"/>
      <c r="BR4" s="361"/>
      <c r="BS4" s="361"/>
      <c r="BT4" s="361"/>
      <c r="BU4" s="361"/>
      <c r="BV4" s="361"/>
      <c r="BW4" s="361"/>
      <c r="BX4" s="361"/>
      <c r="BY4" s="361"/>
      <c r="BZ4" s="361"/>
      <c r="CA4" s="361"/>
      <c r="CB4" s="361"/>
      <c r="CC4" s="361"/>
      <c r="CD4" s="361"/>
      <c r="CE4" s="361"/>
      <c r="CF4" s="361"/>
      <c r="CG4" s="361"/>
      <c r="CH4" s="361"/>
    </row>
    <row r="5" spans="2:364" ht="15.75" thickBot="1" x14ac:dyDescent="0.3">
      <c r="B5" s="361"/>
      <c r="C5" s="361"/>
      <c r="D5" s="361"/>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c r="AE5" s="361"/>
      <c r="AF5" s="361"/>
      <c r="AG5" s="361"/>
      <c r="AH5" s="361"/>
      <c r="AI5" s="361"/>
      <c r="AJ5" s="361"/>
      <c r="AK5" s="361"/>
      <c r="AL5" s="361"/>
      <c r="AM5" s="361"/>
      <c r="AN5" s="361"/>
      <c r="AO5" s="361"/>
      <c r="AP5" s="361"/>
      <c r="AQ5" s="361"/>
      <c r="AR5" s="361"/>
      <c r="AS5" s="361"/>
      <c r="AT5" s="361"/>
      <c r="AU5" s="361"/>
      <c r="AV5" s="361"/>
      <c r="AW5" s="361"/>
      <c r="AX5" s="361"/>
      <c r="AY5" s="361"/>
      <c r="AZ5" s="361"/>
      <c r="BA5" s="361"/>
      <c r="BB5" s="361"/>
      <c r="BC5" s="361"/>
      <c r="BD5" s="361"/>
      <c r="BE5" s="361"/>
      <c r="BF5" s="361"/>
      <c r="BG5" s="361"/>
      <c r="BH5" s="361"/>
      <c r="BI5" s="361"/>
      <c r="BJ5" s="361"/>
      <c r="BK5" s="361"/>
      <c r="BL5" s="361"/>
      <c r="BM5" s="361"/>
      <c r="BN5" s="361"/>
      <c r="BO5" s="361"/>
      <c r="BP5" s="361"/>
      <c r="BQ5" s="361"/>
      <c r="BR5" s="361"/>
      <c r="BS5" s="361"/>
      <c r="BT5" s="361"/>
      <c r="BU5" s="361"/>
      <c r="BV5" s="361"/>
      <c r="BW5" s="361"/>
      <c r="BX5" s="361"/>
      <c r="BY5" s="361"/>
      <c r="BZ5" s="361"/>
      <c r="CA5" s="361"/>
      <c r="CB5" s="361"/>
      <c r="CC5" s="361"/>
      <c r="CD5" s="361"/>
      <c r="CE5" s="361"/>
      <c r="CF5" s="361"/>
      <c r="CG5" s="361"/>
      <c r="CH5" s="361"/>
    </row>
    <row r="6" spans="2:364" ht="15.75" thickBot="1" x14ac:dyDescent="0.3">
      <c r="B6" s="362"/>
      <c r="C6" s="362"/>
      <c r="D6" s="362"/>
      <c r="E6" s="362"/>
      <c r="F6" s="362"/>
      <c r="G6" s="363" t="s">
        <v>807</v>
      </c>
      <c r="H6" s="363"/>
      <c r="I6" s="363"/>
      <c r="J6" s="363"/>
      <c r="K6" s="363"/>
      <c r="L6" s="363"/>
      <c r="M6" s="363"/>
      <c r="N6" s="363"/>
      <c r="O6" s="363"/>
      <c r="P6" s="363"/>
      <c r="Q6" s="363"/>
      <c r="R6" s="363"/>
      <c r="S6" s="363"/>
      <c r="T6" s="363"/>
      <c r="U6" s="363"/>
      <c r="V6" s="363"/>
      <c r="W6" s="363"/>
      <c r="X6" s="363"/>
      <c r="Y6" s="363"/>
      <c r="Z6" s="364" t="s">
        <v>809</v>
      </c>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row>
    <row r="7" spans="2:364" ht="5.0999999999999996" customHeight="1" x14ac:dyDescent="0.25">
      <c r="G7" s="7"/>
      <c r="H7" s="7"/>
      <c r="I7" s="7"/>
      <c r="J7" s="7"/>
      <c r="K7" s="7"/>
      <c r="L7" s="7"/>
      <c r="M7" s="7"/>
      <c r="N7" s="7"/>
      <c r="O7" s="7"/>
      <c r="P7" s="7"/>
      <c r="Q7" s="7"/>
      <c r="R7" s="7"/>
      <c r="S7" s="7"/>
      <c r="T7" s="7"/>
      <c r="U7" s="7"/>
      <c r="V7" s="7"/>
      <c r="W7" s="7"/>
      <c r="X7" s="7"/>
      <c r="Y7" s="7"/>
    </row>
    <row r="8" spans="2:364" ht="15.75" x14ac:dyDescent="0.25">
      <c r="B8" s="356" t="s">
        <v>813</v>
      </c>
      <c r="C8" s="356"/>
      <c r="D8" s="356"/>
      <c r="E8" s="356"/>
      <c r="F8" s="356"/>
      <c r="G8" s="357" t="s">
        <v>814</v>
      </c>
      <c r="H8" s="357"/>
      <c r="I8" s="357"/>
      <c r="J8" s="357"/>
      <c r="K8" s="357"/>
      <c r="L8" s="357"/>
      <c r="M8" s="357"/>
      <c r="N8" s="357"/>
      <c r="O8" s="357"/>
      <c r="P8" s="357"/>
      <c r="Q8" s="357"/>
      <c r="R8" s="357"/>
      <c r="S8" s="357"/>
      <c r="T8" s="357"/>
      <c r="U8" s="357"/>
      <c r="V8" s="357"/>
      <c r="W8" s="357"/>
      <c r="X8" s="357"/>
      <c r="Y8" s="357"/>
      <c r="Z8" s="357"/>
      <c r="AA8" s="357"/>
      <c r="AB8" s="357"/>
      <c r="AC8" s="357"/>
      <c r="AD8" s="357"/>
      <c r="AE8" s="357"/>
      <c r="AF8" s="357"/>
      <c r="AG8" s="357"/>
      <c r="AH8" s="357"/>
      <c r="AI8" s="357"/>
      <c r="AJ8" s="357"/>
      <c r="AK8" s="357"/>
      <c r="AL8" s="357"/>
      <c r="AM8" s="357"/>
      <c r="AN8" s="357"/>
      <c r="AO8" s="357"/>
      <c r="AP8" s="357"/>
      <c r="AQ8" s="357"/>
      <c r="AR8" s="357"/>
      <c r="AS8" s="357"/>
      <c r="AT8" s="357"/>
      <c r="AU8" s="357"/>
      <c r="AV8" s="357"/>
      <c r="AW8" s="357"/>
      <c r="AX8" s="357"/>
      <c r="AY8" s="357"/>
      <c r="AZ8" s="357"/>
      <c r="BA8" s="357"/>
      <c r="BB8" s="357"/>
      <c r="BC8" s="357"/>
      <c r="BD8" s="357"/>
      <c r="BE8" s="357"/>
      <c r="BF8" s="357"/>
      <c r="BG8" s="357"/>
      <c r="BH8" s="357"/>
      <c r="BI8" s="357"/>
      <c r="BJ8" s="357"/>
      <c r="BK8" s="357"/>
      <c r="BL8" s="357"/>
      <c r="BM8" s="357"/>
      <c r="BN8" s="357"/>
      <c r="BO8" s="357"/>
      <c r="BP8" s="357"/>
      <c r="BQ8" s="357"/>
      <c r="BR8" s="357"/>
      <c r="BS8" s="357"/>
      <c r="BT8" s="357"/>
      <c r="BU8" s="357"/>
      <c r="BV8" s="357"/>
      <c r="BW8" s="357"/>
      <c r="BX8" s="357"/>
      <c r="BY8" s="357"/>
      <c r="BZ8" s="357"/>
      <c r="CA8" s="357"/>
      <c r="CB8" s="357"/>
      <c r="CC8" s="357"/>
      <c r="CD8" s="357"/>
      <c r="CE8" s="357"/>
      <c r="CF8" s="357"/>
      <c r="CG8" s="357"/>
      <c r="CH8" s="357"/>
      <c r="CK8" s="456" t="s">
        <v>837</v>
      </c>
      <c r="CL8" s="456"/>
      <c r="CM8" s="456"/>
      <c r="CN8" s="456"/>
      <c r="CO8" s="457" t="s">
        <v>1999</v>
      </c>
      <c r="CP8" s="457"/>
      <c r="CQ8" s="457"/>
      <c r="CR8" s="457"/>
      <c r="CS8" s="457"/>
      <c r="CT8" s="457"/>
      <c r="CU8" s="457"/>
      <c r="CV8" s="457"/>
      <c r="CW8" s="457"/>
      <c r="CX8" s="457"/>
      <c r="CY8" s="457"/>
      <c r="CZ8" s="457"/>
      <c r="DA8" s="457"/>
      <c r="DB8" s="457"/>
      <c r="DC8" s="457"/>
      <c r="DD8" s="457"/>
      <c r="DE8" s="457"/>
      <c r="DF8" s="457"/>
      <c r="DG8" s="457"/>
      <c r="DH8" s="457"/>
      <c r="DI8" s="457"/>
      <c r="DJ8" s="457"/>
      <c r="DK8" s="457"/>
      <c r="DL8" s="457"/>
      <c r="DM8" s="457"/>
      <c r="DN8" s="457"/>
      <c r="DO8" s="457"/>
      <c r="DP8" s="457"/>
      <c r="DQ8" s="457"/>
      <c r="DR8" s="457"/>
      <c r="DS8" s="457"/>
      <c r="DT8" s="457"/>
      <c r="DU8" s="457"/>
      <c r="DV8" s="457"/>
      <c r="DW8" s="457"/>
      <c r="DX8" s="457"/>
      <c r="DY8" s="457"/>
      <c r="DZ8" s="457"/>
      <c r="EA8" s="457"/>
      <c r="EB8" s="457"/>
      <c r="EC8" s="457"/>
      <c r="ED8" s="457"/>
      <c r="EE8" s="457"/>
      <c r="EF8" s="457"/>
      <c r="EG8" s="457"/>
      <c r="EH8" s="457"/>
      <c r="EI8" s="457"/>
      <c r="EJ8" s="457"/>
      <c r="EK8" s="457"/>
      <c r="EL8" s="457"/>
      <c r="EM8" s="457"/>
      <c r="EN8" s="457"/>
      <c r="EO8" s="457"/>
      <c r="EP8" s="457"/>
      <c r="EQ8" s="457"/>
      <c r="ER8" s="457"/>
      <c r="ES8" s="457"/>
      <c r="ET8" s="457"/>
      <c r="EU8" s="457"/>
      <c r="EV8" s="457"/>
      <c r="EW8" s="457"/>
      <c r="EX8" s="457"/>
      <c r="EY8" s="457"/>
      <c r="EZ8" s="457"/>
      <c r="FA8" s="457"/>
      <c r="FB8" s="457"/>
      <c r="FC8" s="457"/>
      <c r="FD8" s="457"/>
      <c r="FE8" s="457"/>
      <c r="FF8" s="457"/>
      <c r="FG8" s="457"/>
      <c r="FH8" s="457"/>
      <c r="FI8" s="457"/>
      <c r="FJ8" s="457"/>
      <c r="FK8" s="457"/>
      <c r="FL8" s="457"/>
      <c r="FM8" s="457"/>
      <c r="FN8" s="457"/>
      <c r="FO8" s="457"/>
      <c r="FP8" s="457"/>
      <c r="FQ8" s="457"/>
      <c r="FR8" s="457"/>
      <c r="FS8" s="457"/>
      <c r="FT8" s="457"/>
      <c r="FU8" s="457"/>
      <c r="FV8" s="457"/>
      <c r="FW8" s="457"/>
      <c r="FX8" s="457"/>
      <c r="FY8" s="457"/>
      <c r="FZ8" s="457"/>
      <c r="GA8" s="457"/>
      <c r="GB8" s="457"/>
      <c r="GC8" s="457"/>
      <c r="GD8" s="457"/>
      <c r="GE8" s="457"/>
      <c r="GF8" s="457"/>
      <c r="GG8" s="457"/>
      <c r="GH8" s="457"/>
      <c r="GI8" s="457"/>
      <c r="GJ8" s="457"/>
      <c r="GK8" s="457"/>
      <c r="GL8" s="457"/>
      <c r="GM8" s="457"/>
      <c r="GN8" s="457"/>
      <c r="GQ8" s="356" t="s">
        <v>2019</v>
      </c>
      <c r="GR8" s="356"/>
      <c r="GS8" s="356"/>
      <c r="GT8" s="356"/>
      <c r="GU8" s="357" t="s">
        <v>140</v>
      </c>
      <c r="GV8" s="357"/>
      <c r="GW8" s="357"/>
      <c r="GX8" s="357"/>
      <c r="GY8" s="357"/>
      <c r="GZ8" s="357"/>
      <c r="HA8" s="357"/>
      <c r="HB8" s="357"/>
      <c r="HC8" s="357"/>
      <c r="HD8" s="357"/>
      <c r="HE8" s="357"/>
      <c r="HF8" s="357"/>
      <c r="HG8" s="357"/>
      <c r="HH8" s="357"/>
      <c r="HI8" s="357"/>
      <c r="HJ8" s="357"/>
      <c r="HK8" s="357"/>
      <c r="HL8" s="357"/>
      <c r="HM8" s="357"/>
      <c r="HN8" s="357"/>
      <c r="HO8" s="357"/>
      <c r="HP8" s="357"/>
      <c r="HQ8" s="357"/>
      <c r="HR8" s="357"/>
      <c r="HS8" s="357"/>
      <c r="HT8" s="357"/>
      <c r="HU8" s="357"/>
      <c r="HV8" s="357"/>
      <c r="HW8" s="357"/>
      <c r="HX8" s="357"/>
      <c r="HY8" s="357"/>
      <c r="HZ8" s="357"/>
      <c r="IA8" s="357"/>
      <c r="IB8" s="357"/>
      <c r="IC8" s="357"/>
      <c r="ID8" s="357"/>
      <c r="IE8" s="357"/>
      <c r="IF8" s="357"/>
      <c r="IG8" s="357"/>
      <c r="IH8" s="357"/>
      <c r="II8" s="357"/>
      <c r="IJ8" s="357"/>
      <c r="IK8" s="357"/>
      <c r="IL8" s="357"/>
      <c r="IM8" s="357"/>
      <c r="IN8" s="357"/>
      <c r="IO8" s="357"/>
      <c r="IP8" s="357"/>
      <c r="IQ8" s="357"/>
      <c r="IR8" s="357"/>
      <c r="IS8" s="357"/>
      <c r="IT8" s="357"/>
      <c r="IU8" s="357"/>
      <c r="IV8" s="357"/>
      <c r="IW8" s="357"/>
      <c r="IX8" s="357"/>
      <c r="IY8" s="357"/>
      <c r="IZ8" s="357"/>
      <c r="JA8" s="357"/>
      <c r="JB8" s="357"/>
      <c r="JC8" s="357"/>
      <c r="JD8" s="357"/>
      <c r="JE8" s="357"/>
      <c r="JF8" s="357"/>
      <c r="JG8" s="357"/>
      <c r="JH8" s="357"/>
      <c r="JI8" s="357"/>
      <c r="JJ8" s="357"/>
      <c r="JK8" s="357"/>
      <c r="JL8" s="357"/>
      <c r="JM8" s="357"/>
      <c r="JN8" s="357"/>
      <c r="JO8" s="357"/>
      <c r="JP8" s="357"/>
      <c r="JQ8" s="357"/>
      <c r="JR8" s="357"/>
      <c r="JS8" s="357"/>
      <c r="JT8" s="357"/>
      <c r="JU8" s="357"/>
      <c r="JV8" s="357"/>
      <c r="JW8" s="357"/>
      <c r="JX8" s="357"/>
      <c r="JY8" s="357"/>
      <c r="JZ8" s="357"/>
      <c r="KA8" s="357"/>
      <c r="KB8" s="357"/>
      <c r="KC8" s="357"/>
      <c r="KD8" s="357"/>
      <c r="KE8" s="357"/>
      <c r="KF8" s="357"/>
      <c r="KG8" s="357"/>
      <c r="KH8" s="357"/>
      <c r="KI8" s="357"/>
      <c r="KJ8" s="357"/>
      <c r="KK8" s="357"/>
      <c r="KL8" s="357"/>
      <c r="KM8" s="357"/>
      <c r="KN8" s="357"/>
      <c r="KO8" s="357"/>
      <c r="KP8" s="357"/>
      <c r="KQ8" s="357"/>
      <c r="KR8" s="357"/>
      <c r="KS8" s="357"/>
      <c r="KT8" s="357"/>
      <c r="KU8" s="357"/>
      <c r="KV8" s="357"/>
      <c r="KW8" s="357"/>
      <c r="KX8" s="357"/>
      <c r="KY8" s="357"/>
      <c r="KZ8" s="357"/>
      <c r="LA8" s="357"/>
      <c r="LB8" s="357"/>
      <c r="LC8" s="357"/>
      <c r="LD8" s="357"/>
      <c r="LE8" s="357"/>
      <c r="LF8" s="357"/>
      <c r="LG8" s="357"/>
      <c r="LH8" s="357"/>
      <c r="LI8" s="357"/>
      <c r="LJ8" s="357"/>
      <c r="LK8" s="357"/>
      <c r="LL8" s="357"/>
      <c r="LM8" s="357"/>
      <c r="LN8" s="357"/>
      <c r="LO8" s="357"/>
      <c r="LP8" s="357"/>
      <c r="LQ8" s="357"/>
      <c r="LR8" s="357"/>
      <c r="LS8" s="357"/>
      <c r="LT8" s="357"/>
      <c r="LU8" s="357"/>
      <c r="LV8" s="357"/>
      <c r="LW8" s="357"/>
      <c r="LX8" s="357"/>
      <c r="LY8" s="357"/>
      <c r="LZ8" s="357"/>
      <c r="MA8" s="357"/>
      <c r="MB8" s="357"/>
      <c r="MC8" s="357"/>
      <c r="MD8" s="357"/>
      <c r="ME8" s="357"/>
      <c r="MF8" s="357"/>
      <c r="MG8" s="357"/>
      <c r="MH8" s="357"/>
      <c r="MI8" s="357"/>
      <c r="MJ8" s="357"/>
      <c r="MK8" s="357"/>
      <c r="ML8" s="357"/>
      <c r="MM8" s="357"/>
      <c r="MN8" s="357"/>
      <c r="MO8" s="357"/>
      <c r="MP8" s="357"/>
      <c r="MQ8" s="357"/>
      <c r="MR8" s="357"/>
      <c r="MS8" s="357"/>
      <c r="MT8" s="357"/>
      <c r="MU8" s="357"/>
      <c r="MV8" s="357"/>
      <c r="MW8" s="357"/>
      <c r="MX8" s="357"/>
      <c r="MY8" s="357"/>
      <c r="MZ8" s="357"/>
    </row>
    <row r="9" spans="2:364" x14ac:dyDescent="0.25">
      <c r="B9" s="358"/>
      <c r="C9" s="358"/>
      <c r="D9" s="358"/>
      <c r="E9" s="358"/>
      <c r="F9" s="358"/>
      <c r="G9" s="359" t="s">
        <v>2</v>
      </c>
      <c r="H9" s="359"/>
      <c r="I9" s="359"/>
      <c r="J9" s="359"/>
      <c r="K9" s="359"/>
      <c r="L9" s="359"/>
      <c r="M9" s="359"/>
      <c r="N9" s="359"/>
      <c r="O9" s="359"/>
      <c r="P9" s="359"/>
      <c r="Q9" s="359"/>
      <c r="R9" s="359"/>
      <c r="S9" s="359"/>
      <c r="T9" s="359"/>
      <c r="U9" s="359"/>
      <c r="V9" s="359"/>
      <c r="W9" s="359"/>
      <c r="X9" s="359"/>
      <c r="Y9" s="359"/>
      <c r="Z9" s="360" t="s">
        <v>851</v>
      </c>
      <c r="AA9" s="360"/>
      <c r="AB9" s="360"/>
      <c r="AC9" s="360"/>
      <c r="AD9" s="360"/>
      <c r="AE9" s="360"/>
      <c r="AF9" s="360"/>
      <c r="AG9" s="360"/>
      <c r="AH9" s="360"/>
      <c r="AI9" s="360"/>
      <c r="AJ9" s="360"/>
      <c r="AK9" s="360"/>
      <c r="AL9" s="360"/>
      <c r="AM9" s="360"/>
      <c r="AN9" s="360"/>
      <c r="AO9" s="360"/>
      <c r="AP9" s="360"/>
      <c r="AQ9" s="360"/>
      <c r="AR9" s="360"/>
      <c r="AS9" s="360"/>
      <c r="AT9" s="360"/>
      <c r="AU9" s="360"/>
      <c r="AV9" s="360"/>
      <c r="AW9" s="360"/>
      <c r="AX9" s="360"/>
      <c r="AY9" s="360"/>
      <c r="AZ9" s="360"/>
      <c r="BA9" s="360"/>
      <c r="BB9" s="360"/>
      <c r="BC9" s="360"/>
      <c r="BD9" s="360"/>
      <c r="BE9" s="360"/>
      <c r="BF9" s="360"/>
      <c r="BG9" s="360"/>
      <c r="BH9" s="360"/>
      <c r="BI9" s="360"/>
      <c r="BJ9" s="360"/>
      <c r="BK9" s="360"/>
      <c r="BL9" s="360"/>
      <c r="BM9" s="360"/>
      <c r="BN9" s="360"/>
      <c r="BO9" s="360"/>
      <c r="BP9" s="360"/>
      <c r="BQ9" s="360"/>
      <c r="BR9" s="360"/>
      <c r="BS9" s="360"/>
      <c r="BT9" s="360"/>
      <c r="BU9" s="360"/>
      <c r="BV9" s="360"/>
      <c r="BW9" s="360"/>
      <c r="BX9" s="360"/>
      <c r="BY9" s="360"/>
      <c r="BZ9" s="360"/>
      <c r="CA9" s="360"/>
      <c r="CB9" s="360"/>
      <c r="CC9" s="360"/>
      <c r="CD9" s="360"/>
      <c r="CE9" s="360"/>
      <c r="CF9" s="360"/>
      <c r="CG9" s="360"/>
      <c r="CH9" s="360"/>
      <c r="CK9" s="458" t="str">
        <f>"Your selected Culture ("&amp;Z12&amp;") may have free ranks in specified skills. The list below shows the skill categories/sub-categories that you may spend these points in. The second column dictates how many points you have available in the category/sub-category"&amp;" it refers to, and the third column is for you to fill in. Type the number of ranks you wish in any chosen skill in the third column, the ranks will be added automatically to your character sheet."&amp;" Any rows that contain a '0' indicates that no skill has been inserted into its cell in the character sheet."</f>
        <v>Your selected Culture (Harsh) may have free ranks in specified skills. The list below shows the skill categories/sub-categories that you may spend these points in. The second column dictates how many points you have available in the category/sub-category it refers to, and the third column is for you to fill in. Type the number of ranks you wish in any chosen skill in the third column, the ranks will be added automatically to your character sheet. Any rows that contain a '0' indicates that no skill has been inserted into its cell in the character sheet.</v>
      </c>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60"/>
      <c r="GQ9" s="406" t="s">
        <v>2020</v>
      </c>
      <c r="GR9" s="406"/>
      <c r="GS9" s="406"/>
      <c r="GT9" s="406"/>
      <c r="GU9" s="406"/>
      <c r="GV9" s="406"/>
      <c r="GW9" s="406"/>
      <c r="GX9" s="406"/>
      <c r="GY9" s="406"/>
      <c r="GZ9" s="406"/>
      <c r="HA9" s="406"/>
      <c r="HB9" s="406"/>
      <c r="HC9" s="406"/>
      <c r="HD9" s="406"/>
      <c r="HE9" s="406"/>
      <c r="HF9" s="406"/>
      <c r="HG9" s="406"/>
      <c r="HH9" s="406"/>
      <c r="HI9" s="406"/>
      <c r="HJ9" s="406"/>
      <c r="HK9" s="406"/>
      <c r="HL9" s="406"/>
      <c r="HM9" s="406"/>
      <c r="HN9" s="406"/>
      <c r="HO9" s="406"/>
      <c r="HP9" s="406"/>
      <c r="HQ9" s="406"/>
      <c r="HR9" s="406"/>
      <c r="HS9" s="406"/>
      <c r="HT9" s="406"/>
      <c r="HU9" s="406"/>
      <c r="HV9" s="406"/>
      <c r="HW9" s="406"/>
      <c r="HX9" s="406"/>
      <c r="HY9" s="406"/>
      <c r="HZ9" s="406"/>
      <c r="IA9" s="406"/>
      <c r="IB9" s="406"/>
      <c r="IC9" s="406"/>
      <c r="ID9" s="406"/>
      <c r="IE9" s="406"/>
      <c r="IF9" s="406"/>
      <c r="IG9" s="406"/>
      <c r="IH9" s="406"/>
      <c r="II9" s="406"/>
      <c r="IJ9" s="406"/>
      <c r="IK9" s="406"/>
      <c r="IL9" s="406"/>
      <c r="IM9" s="406"/>
      <c r="IN9" s="406"/>
      <c r="IO9" s="406"/>
      <c r="IP9" s="406"/>
      <c r="IQ9" s="406"/>
      <c r="IR9" s="406"/>
      <c r="IS9" s="406"/>
      <c r="IT9" s="406"/>
      <c r="IU9" s="406"/>
      <c r="IV9" s="406"/>
      <c r="IW9" s="406"/>
      <c r="IX9" s="406"/>
      <c r="IY9" s="406"/>
      <c r="IZ9" s="406"/>
      <c r="JA9" s="406"/>
      <c r="JB9" s="406"/>
      <c r="JC9" s="406"/>
      <c r="JD9" s="406"/>
      <c r="JE9" s="406"/>
      <c r="JF9" s="406"/>
      <c r="JG9" s="406"/>
      <c r="JH9" s="406"/>
      <c r="JI9" s="406"/>
      <c r="JJ9" s="406"/>
      <c r="JK9" s="406"/>
      <c r="JL9" s="406"/>
      <c r="JM9" s="406"/>
      <c r="JN9" s="406"/>
      <c r="JO9" s="406"/>
      <c r="JP9" s="406"/>
      <c r="JQ9" s="406"/>
      <c r="JR9" s="406"/>
      <c r="JS9" s="406"/>
      <c r="JT9" s="406"/>
      <c r="JU9" s="406"/>
      <c r="JV9" s="406"/>
      <c r="JW9" s="406"/>
      <c r="JX9" s="406"/>
      <c r="JY9" s="406"/>
      <c r="JZ9" s="406"/>
      <c r="KA9" s="406"/>
      <c r="KB9" s="406"/>
      <c r="KC9" s="406"/>
      <c r="KD9" s="406"/>
      <c r="KE9" s="406"/>
      <c r="KF9" s="406"/>
      <c r="KG9" s="406"/>
      <c r="KH9" s="406"/>
      <c r="KI9" s="406"/>
      <c r="KJ9" s="406"/>
      <c r="KK9" s="406"/>
      <c r="KL9" s="406"/>
      <c r="KM9" s="406"/>
      <c r="KN9" s="406"/>
      <c r="KO9" s="406"/>
      <c r="KP9" s="406"/>
      <c r="KQ9" s="406"/>
      <c r="KR9" s="406"/>
      <c r="KS9" s="406"/>
      <c r="KT9" s="406"/>
      <c r="KU9" s="406"/>
      <c r="KV9" s="406"/>
      <c r="KW9" s="406"/>
      <c r="KX9" s="406"/>
      <c r="KY9" s="406"/>
      <c r="KZ9" s="406"/>
      <c r="LA9" s="406"/>
      <c r="LB9" s="406"/>
      <c r="LC9" s="406"/>
      <c r="LD9" s="406"/>
      <c r="LE9" s="406"/>
      <c r="LF9" s="406"/>
      <c r="LG9" s="406"/>
      <c r="LH9" s="406"/>
      <c r="LI9" s="406"/>
      <c r="LJ9" s="406"/>
      <c r="LK9" s="406"/>
      <c r="LL9" s="406"/>
      <c r="LM9" s="406"/>
      <c r="LN9" s="406"/>
      <c r="LO9" s="406"/>
      <c r="LP9" s="406"/>
      <c r="LQ9" s="406"/>
      <c r="LR9" s="406"/>
      <c r="LS9" s="406"/>
      <c r="LT9" s="406"/>
      <c r="LU9" s="406"/>
      <c r="LV9" s="406"/>
      <c r="LW9" s="406"/>
      <c r="LX9" s="406"/>
      <c r="LY9" s="406"/>
      <c r="LZ9" s="406"/>
      <c r="MA9" s="406"/>
      <c r="MB9" s="406"/>
      <c r="MC9" s="406"/>
      <c r="MD9" s="406"/>
      <c r="ME9" s="406"/>
      <c r="MF9" s="406"/>
      <c r="MG9" s="406"/>
      <c r="MH9" s="406"/>
      <c r="MI9" s="406"/>
      <c r="MJ9" s="406"/>
      <c r="MK9" s="406"/>
      <c r="ML9" s="406"/>
      <c r="MM9" s="406"/>
      <c r="MN9" s="406"/>
      <c r="MO9" s="406"/>
      <c r="MP9" s="406"/>
      <c r="MQ9" s="406"/>
      <c r="MR9" s="406"/>
      <c r="MS9" s="406"/>
      <c r="MT9" s="406"/>
      <c r="MU9" s="406"/>
      <c r="MV9" s="406"/>
      <c r="MW9" s="406"/>
      <c r="MX9" s="406"/>
      <c r="MY9" s="406"/>
      <c r="MZ9" s="406"/>
    </row>
    <row r="10" spans="2:364" ht="15.75" thickBot="1" x14ac:dyDescent="0.3">
      <c r="B10" s="367"/>
      <c r="C10" s="367"/>
      <c r="D10" s="367"/>
      <c r="E10" s="367"/>
      <c r="F10" s="367"/>
      <c r="G10" s="372" t="s">
        <v>1</v>
      </c>
      <c r="H10" s="372"/>
      <c r="I10" s="372"/>
      <c r="J10" s="372"/>
      <c r="K10" s="372"/>
      <c r="L10" s="372"/>
      <c r="M10" s="372"/>
      <c r="N10" s="372"/>
      <c r="O10" s="372"/>
      <c r="P10" s="372"/>
      <c r="Q10" s="372"/>
      <c r="R10" s="372"/>
      <c r="S10" s="372"/>
      <c r="T10" s="372"/>
      <c r="U10" s="372"/>
      <c r="V10" s="372"/>
      <c r="W10" s="372"/>
      <c r="X10" s="372"/>
      <c r="Y10" s="372"/>
      <c r="Z10" s="373" t="s">
        <v>3482</v>
      </c>
      <c r="AA10" s="373"/>
      <c r="AB10" s="373"/>
      <c r="AC10" s="373"/>
      <c r="AD10" s="373"/>
      <c r="AE10" s="373"/>
      <c r="AF10" s="373"/>
      <c r="AG10" s="373"/>
      <c r="AH10" s="373"/>
      <c r="AI10" s="373"/>
      <c r="AJ10" s="373"/>
      <c r="AK10" s="373"/>
      <c r="AL10" s="373"/>
      <c r="AM10" s="373"/>
      <c r="AN10" s="373"/>
      <c r="AO10" s="373"/>
      <c r="AP10" s="373"/>
      <c r="AQ10" s="373"/>
      <c r="AR10" s="373"/>
      <c r="AS10" s="373"/>
      <c r="AT10" s="373"/>
      <c r="AU10" s="373"/>
      <c r="AV10" s="373"/>
      <c r="AW10" s="373"/>
      <c r="AX10" s="373"/>
      <c r="AY10" s="373"/>
      <c r="AZ10" s="373"/>
      <c r="BA10" s="373"/>
      <c r="BB10" s="373"/>
      <c r="BC10" s="373"/>
      <c r="BD10" s="373"/>
      <c r="BE10" s="373"/>
      <c r="BF10" s="373"/>
      <c r="BG10" s="373"/>
      <c r="BH10" s="373"/>
      <c r="BI10" s="373"/>
      <c r="BJ10" s="373"/>
      <c r="BK10" s="373"/>
      <c r="BL10" s="373"/>
      <c r="BM10" s="373"/>
      <c r="BN10" s="373"/>
      <c r="BO10" s="373"/>
      <c r="BP10" s="373"/>
      <c r="BQ10" s="373"/>
      <c r="BR10" s="373"/>
      <c r="BS10" s="373"/>
      <c r="BT10" s="373"/>
      <c r="BU10" s="373"/>
      <c r="BV10" s="373"/>
      <c r="BW10" s="373"/>
      <c r="BX10" s="373"/>
      <c r="BY10" s="373"/>
      <c r="BZ10" s="373"/>
      <c r="CA10" s="373"/>
      <c r="CB10" s="373"/>
      <c r="CC10" s="373"/>
      <c r="CD10" s="373"/>
      <c r="CE10" s="373"/>
      <c r="CF10" s="373"/>
      <c r="CG10" s="373"/>
      <c r="CH10" s="373"/>
      <c r="CK10" s="405"/>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DL10" s="406"/>
      <c r="DM10" s="406"/>
      <c r="DN10" s="406"/>
      <c r="DO10" s="406"/>
      <c r="DP10" s="406"/>
      <c r="DQ10" s="406"/>
      <c r="DR10" s="406"/>
      <c r="DS10" s="406"/>
      <c r="DT10" s="406"/>
      <c r="DU10" s="406"/>
      <c r="DV10" s="406"/>
      <c r="DW10" s="406"/>
      <c r="DX10" s="406"/>
      <c r="DY10" s="406"/>
      <c r="DZ10" s="406"/>
      <c r="EA10" s="406"/>
      <c r="EB10" s="406"/>
      <c r="EC10" s="406"/>
      <c r="ED10" s="406"/>
      <c r="EE10" s="406"/>
      <c r="EF10" s="406"/>
      <c r="EG10" s="406"/>
      <c r="EH10" s="406"/>
      <c r="EI10" s="406"/>
      <c r="EJ10" s="406"/>
      <c r="EK10" s="406"/>
      <c r="EL10" s="406"/>
      <c r="EM10" s="406"/>
      <c r="EN10" s="406"/>
      <c r="EO10" s="406"/>
      <c r="EP10" s="406"/>
      <c r="EQ10" s="406"/>
      <c r="ER10" s="406"/>
      <c r="ES10" s="406"/>
      <c r="ET10" s="406"/>
      <c r="EU10" s="406"/>
      <c r="EV10" s="406"/>
      <c r="EW10" s="406"/>
      <c r="EX10" s="406"/>
      <c r="EY10" s="406"/>
      <c r="EZ10" s="406"/>
      <c r="FA10" s="406"/>
      <c r="FB10" s="406"/>
      <c r="FC10" s="406"/>
      <c r="FD10" s="406"/>
      <c r="FE10" s="406"/>
      <c r="FF10" s="406"/>
      <c r="FG10" s="406"/>
      <c r="FH10" s="406"/>
      <c r="FI10" s="406"/>
      <c r="FJ10" s="406"/>
      <c r="FK10" s="406"/>
      <c r="FL10" s="406"/>
      <c r="FM10" s="406"/>
      <c r="FN10" s="406"/>
      <c r="FO10" s="406"/>
      <c r="FP10" s="406"/>
      <c r="FQ10" s="406"/>
      <c r="FR10" s="406"/>
      <c r="FS10" s="406"/>
      <c r="FT10" s="406"/>
      <c r="FU10" s="406"/>
      <c r="FV10" s="406"/>
      <c r="FW10" s="406"/>
      <c r="FX10" s="406"/>
      <c r="FY10" s="406"/>
      <c r="FZ10" s="406"/>
      <c r="GA10" s="406"/>
      <c r="GB10" s="406"/>
      <c r="GC10" s="406"/>
      <c r="GD10" s="406"/>
      <c r="GE10" s="406"/>
      <c r="GF10" s="406"/>
      <c r="GG10" s="406"/>
      <c r="GH10" s="406"/>
      <c r="GI10" s="406"/>
      <c r="GJ10" s="406"/>
      <c r="GK10" s="406"/>
      <c r="GL10" s="406"/>
      <c r="GM10" s="406"/>
      <c r="GN10" s="407"/>
      <c r="GQ10" s="406"/>
      <c r="GR10" s="406"/>
      <c r="GS10" s="406"/>
      <c r="GT10" s="406"/>
      <c r="GU10" s="406"/>
      <c r="GV10" s="406"/>
      <c r="GW10" s="406"/>
      <c r="GX10" s="406"/>
      <c r="GY10" s="406"/>
      <c r="GZ10" s="406"/>
      <c r="HA10" s="406"/>
      <c r="HB10" s="406"/>
      <c r="HC10" s="406"/>
      <c r="HD10" s="406"/>
      <c r="HE10" s="406"/>
      <c r="HF10" s="406"/>
      <c r="HG10" s="406"/>
      <c r="HH10" s="406"/>
      <c r="HI10" s="406"/>
      <c r="HJ10" s="406"/>
      <c r="HK10" s="406"/>
      <c r="HL10" s="406"/>
      <c r="HM10" s="406"/>
      <c r="HN10" s="406"/>
      <c r="HO10" s="406"/>
      <c r="HP10" s="406"/>
      <c r="HQ10" s="406"/>
      <c r="HR10" s="406"/>
      <c r="HS10" s="406"/>
      <c r="HT10" s="406"/>
      <c r="HU10" s="406"/>
      <c r="HV10" s="406"/>
      <c r="HW10" s="406"/>
      <c r="HX10" s="406"/>
      <c r="HY10" s="406"/>
      <c r="HZ10" s="406"/>
      <c r="IA10" s="406"/>
      <c r="IB10" s="406"/>
      <c r="IC10" s="406"/>
      <c r="ID10" s="406"/>
      <c r="IE10" s="406"/>
      <c r="IF10" s="406"/>
      <c r="IG10" s="406"/>
      <c r="IH10" s="406"/>
      <c r="II10" s="406"/>
      <c r="IJ10" s="406"/>
      <c r="IK10" s="406"/>
      <c r="IL10" s="406"/>
      <c r="IM10" s="406"/>
      <c r="IN10" s="406"/>
      <c r="IO10" s="406"/>
      <c r="IP10" s="406"/>
      <c r="IQ10" s="406"/>
      <c r="IR10" s="406"/>
      <c r="IS10" s="406"/>
      <c r="IT10" s="406"/>
      <c r="IU10" s="406"/>
      <c r="IV10" s="406"/>
      <c r="IW10" s="406"/>
      <c r="IX10" s="406"/>
      <c r="IY10" s="406"/>
      <c r="IZ10" s="406"/>
      <c r="JA10" s="406"/>
      <c r="JB10" s="406"/>
      <c r="JC10" s="406"/>
      <c r="JD10" s="406"/>
      <c r="JE10" s="406"/>
      <c r="JF10" s="406"/>
      <c r="JG10" s="406"/>
      <c r="JH10" s="406"/>
      <c r="JI10" s="406"/>
      <c r="JJ10" s="406"/>
      <c r="JK10" s="406"/>
      <c r="JL10" s="406"/>
      <c r="JM10" s="406"/>
      <c r="JN10" s="406"/>
      <c r="JO10" s="406"/>
      <c r="JP10" s="406"/>
      <c r="JQ10" s="406"/>
      <c r="JR10" s="406"/>
      <c r="JS10" s="406"/>
      <c r="JT10" s="406"/>
      <c r="JU10" s="406"/>
      <c r="JV10" s="406"/>
      <c r="JW10" s="406"/>
      <c r="JX10" s="406"/>
      <c r="JY10" s="406"/>
      <c r="JZ10" s="406"/>
      <c r="KA10" s="406"/>
      <c r="KB10" s="406"/>
      <c r="KC10" s="406"/>
      <c r="KD10" s="406"/>
      <c r="KE10" s="406"/>
      <c r="KF10" s="406"/>
      <c r="KG10" s="406"/>
      <c r="KH10" s="406"/>
      <c r="KI10" s="406"/>
      <c r="KJ10" s="406"/>
      <c r="KK10" s="406"/>
      <c r="KL10" s="406"/>
      <c r="KM10" s="406"/>
      <c r="KN10" s="406"/>
      <c r="KO10" s="406"/>
      <c r="KP10" s="406"/>
      <c r="KQ10" s="406"/>
      <c r="KR10" s="406"/>
      <c r="KS10" s="406"/>
      <c r="KT10" s="406"/>
      <c r="KU10" s="406"/>
      <c r="KV10" s="406"/>
      <c r="KW10" s="406"/>
      <c r="KX10" s="406"/>
      <c r="KY10" s="406"/>
      <c r="KZ10" s="406"/>
      <c r="LA10" s="406"/>
      <c r="LB10" s="406"/>
      <c r="LC10" s="406"/>
      <c r="LD10" s="406"/>
      <c r="LE10" s="406"/>
      <c r="LF10" s="406"/>
      <c r="LG10" s="406"/>
      <c r="LH10" s="406"/>
      <c r="LI10" s="406"/>
      <c r="LJ10" s="406"/>
      <c r="LK10" s="406"/>
      <c r="LL10" s="406"/>
      <c r="LM10" s="406"/>
      <c r="LN10" s="406"/>
      <c r="LO10" s="406"/>
      <c r="LP10" s="406"/>
      <c r="LQ10" s="406"/>
      <c r="LR10" s="406"/>
      <c r="LS10" s="406"/>
      <c r="LT10" s="406"/>
      <c r="LU10" s="406"/>
      <c r="LV10" s="406"/>
      <c r="LW10" s="406"/>
      <c r="LX10" s="406"/>
      <c r="LY10" s="406"/>
      <c r="LZ10" s="406"/>
      <c r="MA10" s="406"/>
      <c r="MB10" s="406"/>
      <c r="MC10" s="406"/>
      <c r="MD10" s="406"/>
      <c r="ME10" s="406"/>
      <c r="MF10" s="406"/>
      <c r="MG10" s="406"/>
      <c r="MH10" s="406"/>
      <c r="MI10" s="406"/>
      <c r="MJ10" s="406"/>
      <c r="MK10" s="406"/>
      <c r="ML10" s="406"/>
      <c r="MM10" s="406"/>
      <c r="MN10" s="406"/>
      <c r="MO10" s="406"/>
      <c r="MP10" s="406"/>
      <c r="MQ10" s="406"/>
      <c r="MR10" s="406"/>
      <c r="MS10" s="406"/>
      <c r="MT10" s="406"/>
      <c r="MU10" s="406"/>
      <c r="MV10" s="406"/>
      <c r="MW10" s="406"/>
      <c r="MX10" s="406"/>
      <c r="MY10" s="406"/>
      <c r="MZ10" s="406"/>
    </row>
    <row r="11" spans="2:364" ht="15.75" thickBot="1" x14ac:dyDescent="0.3">
      <c r="B11" s="370"/>
      <c r="C11" s="370"/>
      <c r="D11" s="370"/>
      <c r="E11" s="370"/>
      <c r="F11" s="370"/>
      <c r="G11" s="371" t="s">
        <v>3</v>
      </c>
      <c r="H11" s="371"/>
      <c r="I11" s="371"/>
      <c r="J11" s="371"/>
      <c r="K11" s="371"/>
      <c r="L11" s="371"/>
      <c r="M11" s="371"/>
      <c r="N11" s="371"/>
      <c r="O11" s="371"/>
      <c r="P11" s="371"/>
      <c r="Q11" s="371"/>
      <c r="R11" s="371"/>
      <c r="S11" s="371"/>
      <c r="T11" s="371"/>
      <c r="U11" s="371"/>
      <c r="V11" s="371"/>
      <c r="W11" s="371"/>
      <c r="X11" s="371"/>
      <c r="Y11" s="371"/>
      <c r="Z11" s="364" t="s">
        <v>3897</v>
      </c>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K11" s="405"/>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c r="DL11" s="406"/>
      <c r="DM11" s="406"/>
      <c r="DN11" s="406"/>
      <c r="DO11" s="406"/>
      <c r="DP11" s="406"/>
      <c r="DQ11" s="406"/>
      <c r="DR11" s="406"/>
      <c r="DS11" s="406"/>
      <c r="DT11" s="406"/>
      <c r="DU11" s="406"/>
      <c r="DV11" s="406"/>
      <c r="DW11" s="406"/>
      <c r="DX11" s="406"/>
      <c r="DY11" s="406"/>
      <c r="DZ11" s="406"/>
      <c r="EA11" s="406"/>
      <c r="EB11" s="406"/>
      <c r="EC11" s="406"/>
      <c r="ED11" s="406"/>
      <c r="EE11" s="406"/>
      <c r="EF11" s="406"/>
      <c r="EG11" s="406"/>
      <c r="EH11" s="406"/>
      <c r="EI11" s="406"/>
      <c r="EJ11" s="406"/>
      <c r="EK11" s="406"/>
      <c r="EL11" s="406"/>
      <c r="EM11" s="406"/>
      <c r="EN11" s="406"/>
      <c r="EO11" s="406"/>
      <c r="EP11" s="406"/>
      <c r="EQ11" s="406"/>
      <c r="ER11" s="406"/>
      <c r="ES11" s="406"/>
      <c r="ET11" s="406"/>
      <c r="EU11" s="406"/>
      <c r="EV11" s="406"/>
      <c r="EW11" s="406"/>
      <c r="EX11" s="406"/>
      <c r="EY11" s="406"/>
      <c r="EZ11" s="406"/>
      <c r="FA11" s="406"/>
      <c r="FB11" s="406"/>
      <c r="FC11" s="406"/>
      <c r="FD11" s="406"/>
      <c r="FE11" s="406"/>
      <c r="FF11" s="406"/>
      <c r="FG11" s="406"/>
      <c r="FH11" s="406"/>
      <c r="FI11" s="406"/>
      <c r="FJ11" s="406"/>
      <c r="FK11" s="406"/>
      <c r="FL11" s="406"/>
      <c r="FM11" s="406"/>
      <c r="FN11" s="406"/>
      <c r="FO11" s="406"/>
      <c r="FP11" s="406"/>
      <c r="FQ11" s="406"/>
      <c r="FR11" s="406"/>
      <c r="FS11" s="406"/>
      <c r="FT11" s="406"/>
      <c r="FU11" s="406"/>
      <c r="FV11" s="406"/>
      <c r="FW11" s="406"/>
      <c r="FX11" s="406"/>
      <c r="FY11" s="406"/>
      <c r="FZ11" s="406"/>
      <c r="GA11" s="406"/>
      <c r="GB11" s="406"/>
      <c r="GC11" s="406"/>
      <c r="GD11" s="406"/>
      <c r="GE11" s="406"/>
      <c r="GF11" s="406"/>
      <c r="GG11" s="406"/>
      <c r="GH11" s="406"/>
      <c r="GI11" s="406"/>
      <c r="GJ11" s="406"/>
      <c r="GK11" s="406"/>
      <c r="GL11" s="406"/>
      <c r="GM11" s="406"/>
      <c r="GN11" s="407"/>
      <c r="GQ11" s="406"/>
      <c r="GR11" s="406"/>
      <c r="GS11" s="406"/>
      <c r="GT11" s="406"/>
      <c r="GU11" s="406"/>
      <c r="GV11" s="406"/>
      <c r="GW11" s="406"/>
      <c r="GX11" s="406"/>
      <c r="GY11" s="406"/>
      <c r="GZ11" s="406"/>
      <c r="HA11" s="406"/>
      <c r="HB11" s="406"/>
      <c r="HC11" s="406"/>
      <c r="HD11" s="406"/>
      <c r="HE11" s="406"/>
      <c r="HF11" s="406"/>
      <c r="HG11" s="406"/>
      <c r="HH11" s="406"/>
      <c r="HI11" s="406"/>
      <c r="HJ11" s="406"/>
      <c r="HK11" s="406"/>
      <c r="HL11" s="406"/>
      <c r="HM11" s="406"/>
      <c r="HN11" s="406"/>
      <c r="HO11" s="406"/>
      <c r="HP11" s="406"/>
      <c r="HQ11" s="406"/>
      <c r="HR11" s="406"/>
      <c r="HS11" s="406"/>
      <c r="HT11" s="406"/>
      <c r="HU11" s="406"/>
      <c r="HV11" s="406"/>
      <c r="HW11" s="406"/>
      <c r="HX11" s="406"/>
      <c r="HY11" s="406"/>
      <c r="HZ11" s="406"/>
      <c r="IA11" s="406"/>
      <c r="IB11" s="406"/>
      <c r="IC11" s="406"/>
      <c r="ID11" s="406"/>
      <c r="IE11" s="406"/>
      <c r="IF11" s="406"/>
      <c r="IG11" s="406"/>
      <c r="IH11" s="406"/>
      <c r="II11" s="406"/>
      <c r="IJ11" s="406"/>
      <c r="IK11" s="406"/>
      <c r="IL11" s="406"/>
      <c r="IM11" s="406"/>
      <c r="IN11" s="406"/>
      <c r="IO11" s="406"/>
      <c r="IP11" s="406"/>
      <c r="IQ11" s="406"/>
      <c r="IR11" s="406"/>
      <c r="IS11" s="406"/>
      <c r="IT11" s="406"/>
      <c r="IU11" s="406"/>
      <c r="IV11" s="406"/>
      <c r="IW11" s="406"/>
      <c r="IX11" s="406"/>
      <c r="IY11" s="406"/>
      <c r="IZ11" s="406"/>
      <c r="JA11" s="406"/>
      <c r="JB11" s="406"/>
      <c r="JC11" s="406"/>
      <c r="JD11" s="406"/>
      <c r="JE11" s="406"/>
      <c r="JF11" s="406"/>
      <c r="JG11" s="406"/>
      <c r="JH11" s="406"/>
      <c r="JI11" s="406"/>
      <c r="JJ11" s="406"/>
      <c r="JK11" s="406"/>
      <c r="JL11" s="406"/>
      <c r="JM11" s="406"/>
      <c r="JN11" s="406"/>
      <c r="JO11" s="406"/>
      <c r="JP11" s="406"/>
      <c r="JQ11" s="406"/>
      <c r="JR11" s="406"/>
      <c r="JS11" s="406"/>
      <c r="JT11" s="406"/>
      <c r="JU11" s="406"/>
      <c r="JV11" s="406"/>
      <c r="JW11" s="406"/>
      <c r="JX11" s="406"/>
      <c r="JY11" s="406"/>
      <c r="JZ11" s="406"/>
      <c r="KA11" s="406"/>
      <c r="KB11" s="406"/>
      <c r="KC11" s="406"/>
      <c r="KD11" s="406"/>
      <c r="KE11" s="406"/>
      <c r="KF11" s="406"/>
      <c r="KG11" s="406"/>
      <c r="KH11" s="406"/>
      <c r="KI11" s="406"/>
      <c r="KJ11" s="406"/>
      <c r="KK11" s="406"/>
      <c r="KL11" s="406"/>
      <c r="KM11" s="406"/>
      <c r="KN11" s="406"/>
      <c r="KO11" s="406"/>
      <c r="KP11" s="406"/>
      <c r="KQ11" s="406"/>
      <c r="KR11" s="406"/>
      <c r="KS11" s="406"/>
      <c r="KT11" s="406"/>
      <c r="KU11" s="406"/>
      <c r="KV11" s="406"/>
      <c r="KW11" s="406"/>
      <c r="KX11" s="406"/>
      <c r="KY11" s="406"/>
      <c r="KZ11" s="406"/>
      <c r="LA11" s="406"/>
      <c r="LB11" s="406"/>
      <c r="LC11" s="406"/>
      <c r="LD11" s="406"/>
      <c r="LE11" s="406"/>
      <c r="LF11" s="406"/>
      <c r="LG11" s="406"/>
      <c r="LH11" s="406"/>
      <c r="LI11" s="406"/>
      <c r="LJ11" s="406"/>
      <c r="LK11" s="406"/>
      <c r="LL11" s="406"/>
      <c r="LM11" s="406"/>
      <c r="LN11" s="406"/>
      <c r="LO11" s="406"/>
      <c r="LP11" s="406"/>
      <c r="LQ11" s="406"/>
      <c r="LR11" s="406"/>
      <c r="LS11" s="406"/>
      <c r="LT11" s="406"/>
      <c r="LU11" s="406"/>
      <c r="LV11" s="406"/>
      <c r="LW11" s="406"/>
      <c r="LX11" s="406"/>
      <c r="LY11" s="406"/>
      <c r="LZ11" s="406"/>
      <c r="MA11" s="406"/>
      <c r="MB11" s="406"/>
      <c r="MC11" s="406"/>
      <c r="MD11" s="406"/>
      <c r="ME11" s="406"/>
      <c r="MF11" s="406"/>
      <c r="MG11" s="406"/>
      <c r="MH11" s="406"/>
      <c r="MI11" s="406"/>
      <c r="MJ11" s="406"/>
      <c r="MK11" s="406"/>
      <c r="ML11" s="406"/>
      <c r="MM11" s="406"/>
      <c r="MN11" s="406"/>
      <c r="MO11" s="406"/>
      <c r="MP11" s="406"/>
      <c r="MQ11" s="406"/>
      <c r="MR11" s="406"/>
      <c r="MS11" s="406"/>
      <c r="MT11" s="406"/>
      <c r="MU11" s="406"/>
      <c r="MV11" s="406"/>
      <c r="MW11" s="406"/>
      <c r="MX11" s="406"/>
      <c r="MY11" s="406"/>
      <c r="MZ11" s="406"/>
    </row>
    <row r="12" spans="2:364" ht="15.75" thickBot="1" x14ac:dyDescent="0.3">
      <c r="B12" s="367"/>
      <c r="C12" s="367"/>
      <c r="D12" s="367"/>
      <c r="E12" s="367"/>
      <c r="F12" s="367"/>
      <c r="G12" s="368" t="s">
        <v>21</v>
      </c>
      <c r="H12" s="368"/>
      <c r="I12" s="368"/>
      <c r="J12" s="368"/>
      <c r="K12" s="368"/>
      <c r="L12" s="368"/>
      <c r="M12" s="368"/>
      <c r="N12" s="368"/>
      <c r="O12" s="368"/>
      <c r="P12" s="368"/>
      <c r="Q12" s="368"/>
      <c r="R12" s="368"/>
      <c r="S12" s="368"/>
      <c r="T12" s="368"/>
      <c r="U12" s="368"/>
      <c r="V12" s="368"/>
      <c r="W12" s="368"/>
      <c r="X12" s="368"/>
      <c r="Y12" s="368"/>
      <c r="Z12" s="369" t="s">
        <v>815</v>
      </c>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c r="BE12" s="369"/>
      <c r="BF12" s="369"/>
      <c r="BG12" s="369"/>
      <c r="BH12" s="369"/>
      <c r="BI12" s="369"/>
      <c r="BJ12" s="369"/>
      <c r="BK12" s="369"/>
      <c r="BL12" s="369"/>
      <c r="BM12" s="369"/>
      <c r="BN12" s="369"/>
      <c r="BO12" s="369"/>
      <c r="BP12" s="369"/>
      <c r="BQ12" s="369"/>
      <c r="BR12" s="369"/>
      <c r="BS12" s="369"/>
      <c r="BT12" s="369"/>
      <c r="BU12" s="369"/>
      <c r="BV12" s="369"/>
      <c r="BW12" s="369"/>
      <c r="BX12" s="369"/>
      <c r="BY12" s="369"/>
      <c r="BZ12" s="369"/>
      <c r="CA12" s="369"/>
      <c r="CB12" s="369"/>
      <c r="CC12" s="369"/>
      <c r="CD12" s="369"/>
      <c r="CE12" s="369"/>
      <c r="CF12" s="369"/>
      <c r="CG12" s="369"/>
      <c r="CH12" s="369"/>
      <c r="CK12" s="405"/>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DL12" s="406"/>
      <c r="DM12" s="406"/>
      <c r="DN12" s="406"/>
      <c r="DO12" s="406"/>
      <c r="DP12" s="406"/>
      <c r="DQ12" s="406"/>
      <c r="DR12" s="406"/>
      <c r="DS12" s="406"/>
      <c r="DT12" s="406"/>
      <c r="DU12" s="406"/>
      <c r="DV12" s="406"/>
      <c r="DW12" s="406"/>
      <c r="DX12" s="406"/>
      <c r="DY12" s="406"/>
      <c r="DZ12" s="406"/>
      <c r="EA12" s="406"/>
      <c r="EB12" s="406"/>
      <c r="EC12" s="406"/>
      <c r="ED12" s="406"/>
      <c r="EE12" s="406"/>
      <c r="EF12" s="406"/>
      <c r="EG12" s="406"/>
      <c r="EH12" s="406"/>
      <c r="EI12" s="406"/>
      <c r="EJ12" s="406"/>
      <c r="EK12" s="406"/>
      <c r="EL12" s="406"/>
      <c r="EM12" s="406"/>
      <c r="EN12" s="406"/>
      <c r="EO12" s="406"/>
      <c r="EP12" s="406"/>
      <c r="EQ12" s="406"/>
      <c r="ER12" s="406"/>
      <c r="ES12" s="406"/>
      <c r="ET12" s="406"/>
      <c r="EU12" s="406"/>
      <c r="EV12" s="406"/>
      <c r="EW12" s="406"/>
      <c r="EX12" s="406"/>
      <c r="EY12" s="406"/>
      <c r="EZ12" s="406"/>
      <c r="FA12" s="406"/>
      <c r="FB12" s="406"/>
      <c r="FC12" s="406"/>
      <c r="FD12" s="406"/>
      <c r="FE12" s="406"/>
      <c r="FF12" s="406"/>
      <c r="FG12" s="406"/>
      <c r="FH12" s="406"/>
      <c r="FI12" s="406"/>
      <c r="FJ12" s="406"/>
      <c r="FK12" s="406"/>
      <c r="FL12" s="406"/>
      <c r="FM12" s="406"/>
      <c r="FN12" s="406"/>
      <c r="FO12" s="406"/>
      <c r="FP12" s="406"/>
      <c r="FQ12" s="406"/>
      <c r="FR12" s="406"/>
      <c r="FS12" s="406"/>
      <c r="FT12" s="406"/>
      <c r="FU12" s="406"/>
      <c r="FV12" s="406"/>
      <c r="FW12" s="406"/>
      <c r="FX12" s="406"/>
      <c r="FY12" s="406"/>
      <c r="FZ12" s="406"/>
      <c r="GA12" s="406"/>
      <c r="GB12" s="406"/>
      <c r="GC12" s="406"/>
      <c r="GD12" s="406"/>
      <c r="GE12" s="406"/>
      <c r="GF12" s="406"/>
      <c r="GG12" s="406"/>
      <c r="GH12" s="406"/>
      <c r="GI12" s="406"/>
      <c r="GJ12" s="406"/>
      <c r="GK12" s="406"/>
      <c r="GL12" s="406"/>
      <c r="GM12" s="406"/>
      <c r="GN12" s="407"/>
      <c r="GQ12" s="406"/>
      <c r="GR12" s="406"/>
      <c r="GS12" s="406"/>
      <c r="GT12" s="406"/>
      <c r="GU12" s="406"/>
      <c r="GV12" s="406"/>
      <c r="GW12" s="406"/>
      <c r="GX12" s="406"/>
      <c r="GY12" s="406"/>
      <c r="GZ12" s="406"/>
      <c r="HA12" s="406"/>
      <c r="HB12" s="406"/>
      <c r="HC12" s="406"/>
      <c r="HD12" s="406"/>
      <c r="HE12" s="406"/>
      <c r="HF12" s="406"/>
      <c r="HG12" s="406"/>
      <c r="HH12" s="406"/>
      <c r="HI12" s="406"/>
      <c r="HJ12" s="406"/>
      <c r="HK12" s="406"/>
      <c r="HL12" s="406"/>
      <c r="HM12" s="406"/>
      <c r="HN12" s="406"/>
      <c r="HO12" s="406"/>
      <c r="HP12" s="406"/>
      <c r="HQ12" s="406"/>
      <c r="HR12" s="406"/>
      <c r="HS12" s="406"/>
      <c r="HT12" s="406"/>
      <c r="HU12" s="406"/>
      <c r="HV12" s="406"/>
      <c r="HW12" s="406"/>
      <c r="HX12" s="406"/>
      <c r="HY12" s="406"/>
      <c r="HZ12" s="406"/>
      <c r="IA12" s="406"/>
      <c r="IB12" s="406"/>
      <c r="IC12" s="406"/>
      <c r="ID12" s="406"/>
      <c r="IE12" s="406"/>
      <c r="IF12" s="406"/>
      <c r="IG12" s="406"/>
      <c r="IH12" s="406"/>
      <c r="II12" s="406"/>
      <c r="IJ12" s="406"/>
      <c r="IK12" s="406"/>
      <c r="IL12" s="406"/>
      <c r="IM12" s="406"/>
      <c r="IN12" s="406"/>
      <c r="IO12" s="406"/>
      <c r="IP12" s="406"/>
      <c r="IQ12" s="406"/>
      <c r="IR12" s="406"/>
      <c r="IS12" s="406"/>
      <c r="IT12" s="406"/>
      <c r="IU12" s="406"/>
      <c r="IV12" s="406"/>
      <c r="IW12" s="406"/>
      <c r="IX12" s="406"/>
      <c r="IY12" s="406"/>
      <c r="IZ12" s="406"/>
      <c r="JA12" s="406"/>
      <c r="JB12" s="406"/>
      <c r="JC12" s="406"/>
      <c r="JD12" s="406"/>
      <c r="JE12" s="406"/>
      <c r="JF12" s="406"/>
      <c r="JG12" s="406"/>
      <c r="JH12" s="406"/>
      <c r="JI12" s="406"/>
      <c r="JJ12" s="406"/>
      <c r="JK12" s="406"/>
      <c r="JL12" s="406"/>
      <c r="JM12" s="406"/>
      <c r="JN12" s="406"/>
      <c r="JO12" s="406"/>
      <c r="JP12" s="406"/>
      <c r="JQ12" s="406"/>
      <c r="JR12" s="406"/>
      <c r="JS12" s="406"/>
      <c r="JT12" s="406"/>
      <c r="JU12" s="406"/>
      <c r="JV12" s="406"/>
      <c r="JW12" s="406"/>
      <c r="JX12" s="406"/>
      <c r="JY12" s="406"/>
      <c r="JZ12" s="406"/>
      <c r="KA12" s="406"/>
      <c r="KB12" s="406"/>
      <c r="KC12" s="406"/>
      <c r="KD12" s="406"/>
      <c r="KE12" s="406"/>
      <c r="KF12" s="406"/>
      <c r="KG12" s="406"/>
      <c r="KH12" s="406"/>
      <c r="KI12" s="406"/>
      <c r="KJ12" s="406"/>
      <c r="KK12" s="406"/>
      <c r="KL12" s="406"/>
      <c r="KM12" s="406"/>
      <c r="KN12" s="406"/>
      <c r="KO12" s="406"/>
      <c r="KP12" s="406"/>
      <c r="KQ12" s="406"/>
      <c r="KR12" s="406"/>
      <c r="KS12" s="406"/>
      <c r="KT12" s="406"/>
      <c r="KU12" s="406"/>
      <c r="KV12" s="406"/>
      <c r="KW12" s="406"/>
      <c r="KX12" s="406"/>
      <c r="KY12" s="406"/>
      <c r="KZ12" s="406"/>
      <c r="LA12" s="406"/>
      <c r="LB12" s="406"/>
      <c r="LC12" s="406"/>
      <c r="LD12" s="406"/>
      <c r="LE12" s="406"/>
      <c r="LF12" s="406"/>
      <c r="LG12" s="406"/>
      <c r="LH12" s="406"/>
      <c r="LI12" s="406"/>
      <c r="LJ12" s="406"/>
      <c r="LK12" s="406"/>
      <c r="LL12" s="406"/>
      <c r="LM12" s="406"/>
      <c r="LN12" s="406"/>
      <c r="LO12" s="406"/>
      <c r="LP12" s="406"/>
      <c r="LQ12" s="406"/>
      <c r="LR12" s="406"/>
      <c r="LS12" s="406"/>
      <c r="LT12" s="406"/>
      <c r="LU12" s="406"/>
      <c r="LV12" s="406"/>
      <c r="LW12" s="406"/>
      <c r="LX12" s="406"/>
      <c r="LY12" s="406"/>
      <c r="LZ12" s="406"/>
      <c r="MA12" s="406"/>
      <c r="MB12" s="406"/>
      <c r="MC12" s="406"/>
      <c r="MD12" s="406"/>
      <c r="ME12" s="406"/>
      <c r="MF12" s="406"/>
      <c r="MG12" s="406"/>
      <c r="MH12" s="406"/>
      <c r="MI12" s="406"/>
      <c r="MJ12" s="406"/>
      <c r="MK12" s="406"/>
      <c r="ML12" s="406"/>
      <c r="MM12" s="406"/>
      <c r="MN12" s="406"/>
      <c r="MO12" s="406"/>
      <c r="MP12" s="406"/>
      <c r="MQ12" s="406"/>
      <c r="MR12" s="406"/>
      <c r="MS12" s="406"/>
      <c r="MT12" s="406"/>
      <c r="MU12" s="406"/>
      <c r="MV12" s="406"/>
      <c r="MW12" s="406"/>
      <c r="MX12" s="406"/>
      <c r="MY12" s="406"/>
      <c r="MZ12" s="406"/>
    </row>
    <row r="13" spans="2:364" ht="15.75" thickBot="1" x14ac:dyDescent="0.3">
      <c r="B13" s="370"/>
      <c r="C13" s="370"/>
      <c r="D13" s="370"/>
      <c r="E13" s="370"/>
      <c r="F13" s="370"/>
      <c r="G13" s="371" t="s">
        <v>8</v>
      </c>
      <c r="H13" s="371"/>
      <c r="I13" s="371"/>
      <c r="J13" s="371"/>
      <c r="K13" s="371"/>
      <c r="L13" s="371"/>
      <c r="M13" s="371"/>
      <c r="N13" s="371"/>
      <c r="O13" s="371"/>
      <c r="P13" s="371"/>
      <c r="Q13" s="371"/>
      <c r="R13" s="371"/>
      <c r="S13" s="371"/>
      <c r="T13" s="371"/>
      <c r="U13" s="371"/>
      <c r="V13" s="371"/>
      <c r="W13" s="371"/>
      <c r="X13" s="371"/>
      <c r="Y13" s="371"/>
      <c r="Z13" s="364" t="s">
        <v>3479</v>
      </c>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K13" s="461"/>
      <c r="CL13" s="462"/>
      <c r="CM13" s="462"/>
      <c r="CN13" s="462"/>
      <c r="CO13" s="462"/>
      <c r="CP13" s="462"/>
      <c r="CQ13" s="462"/>
      <c r="CR13" s="462"/>
      <c r="CS13" s="462"/>
      <c r="CT13" s="462"/>
      <c r="CU13" s="462"/>
      <c r="CV13" s="462"/>
      <c r="CW13" s="462"/>
      <c r="CX13" s="462"/>
      <c r="CY13" s="462"/>
      <c r="CZ13" s="462"/>
      <c r="DA13" s="462"/>
      <c r="DB13" s="462"/>
      <c r="DC13" s="462"/>
      <c r="DD13" s="462"/>
      <c r="DE13" s="462"/>
      <c r="DF13" s="462"/>
      <c r="DG13" s="462"/>
      <c r="DH13" s="462"/>
      <c r="DI13" s="462"/>
      <c r="DJ13" s="462"/>
      <c r="DK13" s="462"/>
      <c r="DL13" s="462"/>
      <c r="DM13" s="462"/>
      <c r="DN13" s="462"/>
      <c r="DO13" s="462"/>
      <c r="DP13" s="462"/>
      <c r="DQ13" s="462"/>
      <c r="DR13" s="462"/>
      <c r="DS13" s="462"/>
      <c r="DT13" s="462"/>
      <c r="DU13" s="462"/>
      <c r="DV13" s="462"/>
      <c r="DW13" s="462"/>
      <c r="DX13" s="462"/>
      <c r="DY13" s="462"/>
      <c r="DZ13" s="462"/>
      <c r="EA13" s="462"/>
      <c r="EB13" s="462"/>
      <c r="EC13" s="462"/>
      <c r="ED13" s="462"/>
      <c r="EE13" s="462"/>
      <c r="EF13" s="462"/>
      <c r="EG13" s="462"/>
      <c r="EH13" s="462"/>
      <c r="EI13" s="462"/>
      <c r="EJ13" s="462"/>
      <c r="EK13" s="462"/>
      <c r="EL13" s="462"/>
      <c r="EM13" s="462"/>
      <c r="EN13" s="462"/>
      <c r="EO13" s="462"/>
      <c r="EP13" s="462"/>
      <c r="EQ13" s="462"/>
      <c r="ER13" s="462"/>
      <c r="ES13" s="462"/>
      <c r="ET13" s="462"/>
      <c r="EU13" s="462"/>
      <c r="EV13" s="462"/>
      <c r="EW13" s="462"/>
      <c r="EX13" s="462"/>
      <c r="EY13" s="462"/>
      <c r="EZ13" s="462"/>
      <c r="FA13" s="462"/>
      <c r="FB13" s="462"/>
      <c r="FC13" s="462"/>
      <c r="FD13" s="462"/>
      <c r="FE13" s="462"/>
      <c r="FF13" s="462"/>
      <c r="FG13" s="462"/>
      <c r="FH13" s="462"/>
      <c r="FI13" s="462"/>
      <c r="FJ13" s="462"/>
      <c r="FK13" s="462"/>
      <c r="FL13" s="462"/>
      <c r="FM13" s="462"/>
      <c r="FN13" s="462"/>
      <c r="FO13" s="462"/>
      <c r="FP13" s="462"/>
      <c r="FQ13" s="462"/>
      <c r="FR13" s="462"/>
      <c r="FS13" s="462"/>
      <c r="FT13" s="462"/>
      <c r="FU13" s="462"/>
      <c r="FV13" s="462"/>
      <c r="FW13" s="462"/>
      <c r="FX13" s="462"/>
      <c r="FY13" s="462"/>
      <c r="FZ13" s="462"/>
      <c r="GA13" s="462"/>
      <c r="GB13" s="462"/>
      <c r="GC13" s="462"/>
      <c r="GD13" s="462"/>
      <c r="GE13" s="462"/>
      <c r="GF13" s="462"/>
      <c r="GG13" s="462"/>
      <c r="GH13" s="462"/>
      <c r="GI13" s="462"/>
      <c r="GJ13" s="462"/>
      <c r="GK13" s="462"/>
      <c r="GL13" s="462"/>
      <c r="GM13" s="462"/>
      <c r="GN13" s="463"/>
      <c r="GQ13" s="406"/>
      <c r="GR13" s="406"/>
      <c r="GS13" s="406"/>
      <c r="GT13" s="406"/>
      <c r="GU13" s="406"/>
      <c r="GV13" s="406"/>
      <c r="GW13" s="406"/>
      <c r="GX13" s="406"/>
      <c r="GY13" s="406"/>
      <c r="GZ13" s="406"/>
      <c r="HA13" s="406"/>
      <c r="HB13" s="406"/>
      <c r="HC13" s="406"/>
      <c r="HD13" s="406"/>
      <c r="HE13" s="406"/>
      <c r="HF13" s="406"/>
      <c r="HG13" s="406"/>
      <c r="HH13" s="406"/>
      <c r="HI13" s="406"/>
      <c r="HJ13" s="406"/>
      <c r="HK13" s="406"/>
      <c r="HL13" s="406"/>
      <c r="HM13" s="406"/>
      <c r="HN13" s="406"/>
      <c r="HO13" s="406"/>
      <c r="HP13" s="406"/>
      <c r="HQ13" s="406"/>
      <c r="HR13" s="406"/>
      <c r="HS13" s="406"/>
      <c r="HT13" s="406"/>
      <c r="HU13" s="406"/>
      <c r="HV13" s="406"/>
      <c r="HW13" s="406"/>
      <c r="HX13" s="406"/>
      <c r="HY13" s="406"/>
      <c r="HZ13" s="406"/>
      <c r="IA13" s="406"/>
      <c r="IB13" s="406"/>
      <c r="IC13" s="406"/>
      <c r="ID13" s="406"/>
      <c r="IE13" s="406"/>
      <c r="IF13" s="406"/>
      <c r="IG13" s="406"/>
      <c r="IH13" s="406"/>
      <c r="II13" s="406"/>
      <c r="IJ13" s="406"/>
      <c r="IK13" s="406"/>
      <c r="IL13" s="406"/>
      <c r="IM13" s="406"/>
      <c r="IN13" s="406"/>
      <c r="IO13" s="406"/>
      <c r="IP13" s="406"/>
      <c r="IQ13" s="406"/>
      <c r="IR13" s="406"/>
      <c r="IS13" s="406"/>
      <c r="IT13" s="406"/>
      <c r="IU13" s="406"/>
      <c r="IV13" s="406"/>
      <c r="IW13" s="406"/>
      <c r="IX13" s="406"/>
      <c r="IY13" s="406"/>
      <c r="IZ13" s="406"/>
      <c r="JA13" s="406"/>
      <c r="JB13" s="406"/>
      <c r="JC13" s="406"/>
      <c r="JD13" s="406"/>
      <c r="JE13" s="406"/>
      <c r="JF13" s="406"/>
      <c r="JG13" s="406"/>
      <c r="JH13" s="406"/>
      <c r="JI13" s="406"/>
      <c r="JJ13" s="406"/>
      <c r="JK13" s="406"/>
      <c r="JL13" s="406"/>
      <c r="JM13" s="406"/>
      <c r="JN13" s="406"/>
      <c r="JO13" s="406"/>
      <c r="JP13" s="406"/>
      <c r="JQ13" s="406"/>
      <c r="JR13" s="406"/>
      <c r="JS13" s="406"/>
      <c r="JT13" s="406"/>
      <c r="JU13" s="406"/>
      <c r="JV13" s="406"/>
      <c r="JW13" s="406"/>
      <c r="JX13" s="406"/>
      <c r="JY13" s="406"/>
      <c r="JZ13" s="406"/>
      <c r="KA13" s="406"/>
      <c r="KB13" s="406"/>
      <c r="KC13" s="406"/>
      <c r="KD13" s="406"/>
      <c r="KE13" s="406"/>
      <c r="KF13" s="406"/>
      <c r="KG13" s="406"/>
      <c r="KH13" s="406"/>
      <c r="KI13" s="406"/>
      <c r="KJ13" s="406"/>
      <c r="KK13" s="406"/>
      <c r="KL13" s="406"/>
      <c r="KM13" s="406"/>
      <c r="KN13" s="406"/>
      <c r="KO13" s="406"/>
      <c r="KP13" s="406"/>
      <c r="KQ13" s="406"/>
      <c r="KR13" s="406"/>
      <c r="KS13" s="406"/>
      <c r="KT13" s="406"/>
      <c r="KU13" s="406"/>
      <c r="KV13" s="406"/>
      <c r="KW13" s="406"/>
      <c r="KX13" s="406"/>
      <c r="KY13" s="406"/>
      <c r="KZ13" s="406"/>
      <c r="LA13" s="406"/>
      <c r="LB13" s="406"/>
      <c r="LC13" s="406"/>
      <c r="LD13" s="406"/>
      <c r="LE13" s="406"/>
      <c r="LF13" s="406"/>
      <c r="LG13" s="406"/>
      <c r="LH13" s="406"/>
      <c r="LI13" s="406"/>
      <c r="LJ13" s="406"/>
      <c r="LK13" s="406"/>
      <c r="LL13" s="406"/>
      <c r="LM13" s="406"/>
      <c r="LN13" s="406"/>
      <c r="LO13" s="406"/>
      <c r="LP13" s="406"/>
      <c r="LQ13" s="406"/>
      <c r="LR13" s="406"/>
      <c r="LS13" s="406"/>
      <c r="LT13" s="406"/>
      <c r="LU13" s="406"/>
      <c r="LV13" s="406"/>
      <c r="LW13" s="406"/>
      <c r="LX13" s="406"/>
      <c r="LY13" s="406"/>
      <c r="LZ13" s="406"/>
      <c r="MA13" s="406"/>
      <c r="MB13" s="406"/>
      <c r="MC13" s="406"/>
      <c r="MD13" s="406"/>
      <c r="ME13" s="406"/>
      <c r="MF13" s="406"/>
      <c r="MG13" s="406"/>
      <c r="MH13" s="406"/>
      <c r="MI13" s="406"/>
      <c r="MJ13" s="406"/>
      <c r="MK13" s="406"/>
      <c r="ML13" s="406"/>
      <c r="MM13" s="406"/>
      <c r="MN13" s="406"/>
      <c r="MO13" s="406"/>
      <c r="MP13" s="406"/>
      <c r="MQ13" s="406"/>
      <c r="MR13" s="406"/>
      <c r="MS13" s="406"/>
      <c r="MT13" s="406"/>
      <c r="MU13" s="406"/>
      <c r="MV13" s="406"/>
      <c r="MW13" s="406"/>
      <c r="MX13" s="406"/>
      <c r="MY13" s="406"/>
      <c r="MZ13" s="406"/>
    </row>
    <row r="14" spans="2:364" ht="15.75" thickBot="1" x14ac:dyDescent="0.3">
      <c r="B14" s="367"/>
      <c r="C14" s="367"/>
      <c r="D14" s="367"/>
      <c r="E14" s="367"/>
      <c r="F14" s="367"/>
      <c r="G14" s="368" t="s">
        <v>20</v>
      </c>
      <c r="H14" s="368"/>
      <c r="I14" s="368"/>
      <c r="J14" s="368"/>
      <c r="K14" s="368"/>
      <c r="L14" s="368"/>
      <c r="M14" s="368"/>
      <c r="N14" s="368"/>
      <c r="O14" s="368"/>
      <c r="P14" s="368"/>
      <c r="Q14" s="368"/>
      <c r="R14" s="368"/>
      <c r="S14" s="368"/>
      <c r="T14" s="368"/>
      <c r="U14" s="368"/>
      <c r="V14" s="368"/>
      <c r="W14" s="368"/>
      <c r="X14" s="368"/>
      <c r="Y14" s="368"/>
      <c r="Z14" s="369" t="s">
        <v>1964</v>
      </c>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c r="BE14" s="369"/>
      <c r="BF14" s="369"/>
      <c r="BG14" s="369"/>
      <c r="BH14" s="369"/>
      <c r="BI14" s="369"/>
      <c r="BJ14" s="369"/>
      <c r="BK14" s="369"/>
      <c r="BL14" s="369"/>
      <c r="BM14" s="369"/>
      <c r="BN14" s="369"/>
      <c r="BO14" s="369"/>
      <c r="BP14" s="369"/>
      <c r="BQ14" s="369"/>
      <c r="BR14" s="369"/>
      <c r="BS14" s="369"/>
      <c r="BT14" s="369"/>
      <c r="BU14" s="369"/>
      <c r="BV14" s="369"/>
      <c r="BW14" s="369"/>
      <c r="BX14" s="369"/>
      <c r="BY14" s="369"/>
      <c r="BZ14" s="369"/>
      <c r="CA14" s="369"/>
      <c r="CB14" s="369"/>
      <c r="CC14" s="369"/>
      <c r="CD14" s="369"/>
      <c r="CE14" s="369"/>
      <c r="CF14" s="369"/>
      <c r="CG14" s="369"/>
      <c r="CH14" s="369"/>
      <c r="CK14" s="464"/>
      <c r="CL14" s="465"/>
      <c r="CM14" s="465"/>
      <c r="CN14" s="465"/>
      <c r="CO14" s="465"/>
      <c r="CP14" s="465"/>
      <c r="CQ14" s="465"/>
      <c r="CR14" s="465"/>
      <c r="CS14" s="465"/>
      <c r="CT14" s="465"/>
      <c r="CU14" s="465"/>
      <c r="CV14" s="465"/>
      <c r="CW14" s="465"/>
      <c r="CX14" s="465"/>
      <c r="CY14" s="465"/>
      <c r="CZ14" s="465"/>
      <c r="DA14" s="465"/>
      <c r="DB14" s="465"/>
      <c r="DC14" s="465"/>
      <c r="DD14" s="465"/>
      <c r="DE14" s="465"/>
      <c r="DF14" s="465"/>
      <c r="DG14" s="465"/>
      <c r="DH14" s="465"/>
      <c r="DI14" s="465"/>
      <c r="DJ14" s="465"/>
      <c r="DK14" s="465"/>
      <c r="DL14" s="465"/>
      <c r="DM14" s="465"/>
      <c r="DN14" s="465"/>
      <c r="DO14" s="465"/>
      <c r="DP14" s="465"/>
      <c r="DQ14" s="465"/>
      <c r="DR14" s="465"/>
      <c r="DS14" s="465"/>
      <c r="DT14" s="465"/>
      <c r="DU14" s="465"/>
      <c r="DV14" s="465"/>
      <c r="DW14" s="465"/>
      <c r="DX14" s="465"/>
      <c r="DY14" s="465"/>
      <c r="DZ14" s="465"/>
      <c r="EA14" s="465"/>
      <c r="EB14" s="465"/>
      <c r="EC14" s="466"/>
      <c r="ED14" s="466"/>
      <c r="EE14" s="466"/>
      <c r="EF14" s="466"/>
      <c r="EG14" s="466"/>
      <c r="EH14" s="467"/>
      <c r="EI14" s="467"/>
      <c r="EJ14" s="467"/>
      <c r="EK14" s="467"/>
      <c r="EL14" s="468"/>
      <c r="EM14" s="465"/>
      <c r="EN14" s="465"/>
      <c r="EO14" s="465"/>
      <c r="EP14" s="465"/>
      <c r="EQ14" s="465"/>
      <c r="ER14" s="465"/>
      <c r="ES14" s="465"/>
      <c r="ET14" s="465"/>
      <c r="EU14" s="465"/>
      <c r="EV14" s="465"/>
      <c r="EW14" s="465"/>
      <c r="EX14" s="465"/>
      <c r="EY14" s="465"/>
      <c r="EZ14" s="465"/>
      <c r="FA14" s="465"/>
      <c r="FB14" s="465"/>
      <c r="FC14" s="465"/>
      <c r="FD14" s="465"/>
      <c r="FE14" s="465"/>
      <c r="FF14" s="465"/>
      <c r="FG14" s="465"/>
      <c r="FH14" s="465"/>
      <c r="FI14" s="465"/>
      <c r="FJ14" s="465"/>
      <c r="FK14" s="465"/>
      <c r="FL14" s="465"/>
      <c r="FM14" s="465"/>
      <c r="FN14" s="465"/>
      <c r="FO14" s="465"/>
      <c r="FP14" s="465"/>
      <c r="FQ14" s="465"/>
      <c r="FR14" s="465"/>
      <c r="FS14" s="465"/>
      <c r="FT14" s="465"/>
      <c r="FU14" s="465"/>
      <c r="FV14" s="465"/>
      <c r="FW14" s="465"/>
      <c r="FX14" s="465"/>
      <c r="FY14" s="465"/>
      <c r="FZ14" s="465"/>
      <c r="GA14" s="465"/>
      <c r="GB14" s="465"/>
      <c r="GC14" s="465"/>
      <c r="GD14" s="465"/>
      <c r="GE14" s="466"/>
      <c r="GF14" s="466"/>
      <c r="GG14" s="466"/>
      <c r="GH14" s="466"/>
      <c r="GI14" s="466"/>
      <c r="GJ14" s="467"/>
      <c r="GK14" s="467"/>
      <c r="GL14" s="467"/>
      <c r="GM14" s="467"/>
      <c r="GN14" s="469"/>
      <c r="GQ14" s="406"/>
      <c r="GR14" s="406"/>
      <c r="GS14" s="406"/>
      <c r="GT14" s="406"/>
      <c r="GU14" s="406"/>
      <c r="GV14" s="406"/>
      <c r="GW14" s="406"/>
      <c r="GX14" s="406"/>
      <c r="GY14" s="406"/>
      <c r="GZ14" s="406"/>
      <c r="HA14" s="406"/>
      <c r="HB14" s="406"/>
      <c r="HC14" s="406"/>
      <c r="HD14" s="406"/>
      <c r="HE14" s="406"/>
      <c r="HF14" s="406"/>
      <c r="HG14" s="406"/>
      <c r="HH14" s="406"/>
      <c r="HI14" s="406"/>
      <c r="HJ14" s="406"/>
      <c r="HK14" s="406"/>
      <c r="HL14" s="406"/>
      <c r="HM14" s="406"/>
      <c r="HN14" s="406"/>
      <c r="HO14" s="406"/>
      <c r="HP14" s="406"/>
      <c r="HQ14" s="406"/>
      <c r="HR14" s="406"/>
      <c r="HS14" s="406"/>
      <c r="HT14" s="406"/>
      <c r="HU14" s="406"/>
      <c r="HV14" s="406"/>
      <c r="HW14" s="406"/>
      <c r="HX14" s="406"/>
      <c r="HY14" s="406"/>
      <c r="HZ14" s="406"/>
      <c r="IA14" s="406"/>
      <c r="IB14" s="406"/>
      <c r="IC14" s="406"/>
      <c r="ID14" s="406"/>
      <c r="IE14" s="406"/>
      <c r="IF14" s="406"/>
      <c r="IG14" s="406"/>
      <c r="IH14" s="406"/>
      <c r="II14" s="406"/>
      <c r="IJ14" s="406"/>
      <c r="IK14" s="406"/>
      <c r="IL14" s="406"/>
      <c r="IM14" s="406"/>
      <c r="IN14" s="406"/>
      <c r="IO14" s="406"/>
      <c r="IP14" s="406"/>
      <c r="IQ14" s="406"/>
      <c r="IR14" s="406"/>
      <c r="IS14" s="406"/>
      <c r="IT14" s="406"/>
      <c r="IU14" s="406"/>
      <c r="IV14" s="406"/>
      <c r="IW14" s="406"/>
      <c r="IX14" s="406"/>
      <c r="IY14" s="406"/>
      <c r="IZ14" s="406"/>
      <c r="JA14" s="406"/>
      <c r="JB14" s="406"/>
      <c r="JC14" s="406"/>
      <c r="JD14" s="406"/>
      <c r="JE14" s="406"/>
      <c r="JF14" s="406"/>
      <c r="JG14" s="406"/>
      <c r="JH14" s="406"/>
      <c r="JI14" s="406"/>
      <c r="JJ14" s="406"/>
      <c r="JK14" s="406"/>
      <c r="JL14" s="406"/>
      <c r="JM14" s="406"/>
      <c r="JN14" s="406"/>
      <c r="JO14" s="406"/>
      <c r="JP14" s="406"/>
      <c r="JQ14" s="406"/>
      <c r="JR14" s="406"/>
      <c r="JS14" s="406"/>
      <c r="JT14" s="406"/>
      <c r="JU14" s="406"/>
      <c r="JV14" s="406"/>
      <c r="JW14" s="406"/>
      <c r="JX14" s="406"/>
      <c r="JY14" s="406"/>
      <c r="JZ14" s="406"/>
      <c r="KA14" s="406"/>
      <c r="KB14" s="406"/>
      <c r="KC14" s="406"/>
      <c r="KD14" s="406"/>
      <c r="KE14" s="406"/>
      <c r="KF14" s="406"/>
      <c r="KG14" s="406"/>
      <c r="KH14" s="406"/>
      <c r="KI14" s="406"/>
      <c r="KJ14" s="406"/>
      <c r="KK14" s="406"/>
      <c r="KL14" s="406"/>
      <c r="KM14" s="406"/>
      <c r="KN14" s="406"/>
      <c r="KO14" s="406"/>
      <c r="KP14" s="406"/>
      <c r="KQ14" s="406"/>
      <c r="KR14" s="406"/>
      <c r="KS14" s="406"/>
      <c r="KT14" s="406"/>
      <c r="KU14" s="406"/>
      <c r="KV14" s="406"/>
      <c r="KW14" s="406"/>
      <c r="KX14" s="406"/>
      <c r="KY14" s="406"/>
      <c r="KZ14" s="406"/>
      <c r="LA14" s="406"/>
      <c r="LB14" s="406"/>
      <c r="LC14" s="406"/>
      <c r="LD14" s="406"/>
      <c r="LE14" s="406"/>
      <c r="LF14" s="406"/>
      <c r="LG14" s="406"/>
      <c r="LH14" s="406"/>
      <c r="LI14" s="406"/>
      <c r="LJ14" s="406"/>
      <c r="LK14" s="406"/>
      <c r="LL14" s="406"/>
      <c r="LM14" s="406"/>
      <c r="LN14" s="406"/>
      <c r="LO14" s="406"/>
      <c r="LP14" s="406"/>
      <c r="LQ14" s="406"/>
      <c r="LR14" s="406"/>
      <c r="LS14" s="406"/>
      <c r="LT14" s="406"/>
      <c r="LU14" s="406"/>
      <c r="LV14" s="406"/>
      <c r="LW14" s="406"/>
      <c r="LX14" s="406"/>
      <c r="LY14" s="406"/>
      <c r="LZ14" s="406"/>
      <c r="MA14" s="406"/>
      <c r="MB14" s="406"/>
      <c r="MC14" s="406"/>
      <c r="MD14" s="406"/>
      <c r="ME14" s="406"/>
      <c r="MF14" s="406"/>
      <c r="MG14" s="406"/>
      <c r="MH14" s="406"/>
      <c r="MI14" s="406"/>
      <c r="MJ14" s="406"/>
      <c r="MK14" s="406"/>
      <c r="ML14" s="406"/>
      <c r="MM14" s="406"/>
      <c r="MN14" s="406"/>
      <c r="MO14" s="406"/>
      <c r="MP14" s="406"/>
      <c r="MQ14" s="406"/>
      <c r="MR14" s="406"/>
      <c r="MS14" s="406"/>
      <c r="MT14" s="406"/>
      <c r="MU14" s="406"/>
      <c r="MV14" s="406"/>
      <c r="MW14" s="406"/>
      <c r="MX14" s="406"/>
      <c r="MY14" s="406"/>
      <c r="MZ14" s="406"/>
    </row>
    <row r="15" spans="2:364" ht="15.75" thickBot="1" x14ac:dyDescent="0.3">
      <c r="B15" s="370"/>
      <c r="C15" s="370"/>
      <c r="D15" s="370"/>
      <c r="E15" s="370"/>
      <c r="F15" s="370"/>
      <c r="G15" s="371" t="s">
        <v>11</v>
      </c>
      <c r="H15" s="371"/>
      <c r="I15" s="371"/>
      <c r="J15" s="371"/>
      <c r="K15" s="371"/>
      <c r="L15" s="371"/>
      <c r="M15" s="371"/>
      <c r="N15" s="371"/>
      <c r="O15" s="371"/>
      <c r="P15" s="371"/>
      <c r="Q15" s="371"/>
      <c r="R15" s="371"/>
      <c r="S15" s="371"/>
      <c r="T15" s="371"/>
      <c r="U15" s="371"/>
      <c r="V15" s="371"/>
      <c r="W15" s="371"/>
      <c r="X15" s="371"/>
      <c r="Y15" s="371"/>
      <c r="Z15" s="364" t="s">
        <v>3480</v>
      </c>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v>1</v>
      </c>
      <c r="CJ15">
        <v>251</v>
      </c>
      <c r="CK15" s="365" t="str">
        <f>IFERROR(VLOOKUP($CI15,Skills!$H$2:$N$620,7,FALSE),"")</f>
        <v/>
      </c>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445" t="str">
        <f>IFERROR(VLOOKUP($CI15,Skills!$H$2:$K$620,4,FALSE),"")</f>
        <v/>
      </c>
      <c r="ED15" s="445"/>
      <c r="EE15" s="445"/>
      <c r="EF15" s="445"/>
      <c r="EG15" s="445"/>
      <c r="EH15" s="446"/>
      <c r="EI15" s="446"/>
      <c r="EJ15" s="446"/>
      <c r="EK15" s="446"/>
      <c r="EL15" s="447"/>
      <c r="EM15" s="366" t="str">
        <f>IFERROR(VLOOKUP($CJ15,Skills!$H$2:$N$620,7,FALSE),"")</f>
        <v/>
      </c>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445" t="str">
        <f>IFERROR(VLOOKUP($CJ15,Skills!$H$2:$K$620,4,FALSE),"")</f>
        <v/>
      </c>
      <c r="GF15" s="445"/>
      <c r="GG15" s="445"/>
      <c r="GH15" s="445"/>
      <c r="GI15" s="445"/>
      <c r="GJ15" s="448"/>
      <c r="GK15" s="448"/>
      <c r="GL15" s="448"/>
      <c r="GM15" s="448"/>
      <c r="GN15" s="449"/>
      <c r="GQ15" s="480" t="s">
        <v>2021</v>
      </c>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1" t="s">
        <v>141</v>
      </c>
      <c r="IF15" s="481"/>
      <c r="IG15" s="481"/>
      <c r="IH15" s="481"/>
      <c r="II15" s="481"/>
      <c r="IJ15" s="481"/>
      <c r="IK15" s="481"/>
      <c r="IL15" s="481"/>
      <c r="IM15" s="481"/>
      <c r="IN15" s="481"/>
      <c r="IO15" s="481"/>
      <c r="IP15" s="481"/>
      <c r="IQ15" s="481"/>
      <c r="IR15" s="481"/>
      <c r="IS15" s="481"/>
      <c r="IT15" s="481"/>
      <c r="IU15" s="481"/>
      <c r="IV15" s="481"/>
      <c r="IW15" s="481"/>
      <c r="IX15" s="481"/>
      <c r="IY15" s="481"/>
      <c r="IZ15" s="481"/>
      <c r="JA15" s="481"/>
      <c r="JB15" s="481"/>
      <c r="JC15" s="481"/>
      <c r="JD15" s="481"/>
      <c r="JE15" s="481"/>
      <c r="JF15" s="481"/>
      <c r="JG15" s="481"/>
      <c r="JH15" s="481"/>
      <c r="JI15" s="481"/>
      <c r="JJ15" s="481"/>
      <c r="JK15" s="481"/>
      <c r="JL15" s="481"/>
      <c r="JM15" s="481"/>
      <c r="JN15" s="481"/>
      <c r="JO15" s="481"/>
      <c r="JP15" s="481"/>
      <c r="JQ15" s="481"/>
      <c r="JR15" s="481"/>
      <c r="JS15" s="481"/>
      <c r="JT15" s="481"/>
      <c r="JU15" s="481"/>
      <c r="JV15" s="481"/>
      <c r="JW15" s="481"/>
      <c r="JX15" s="481"/>
      <c r="JY15" s="481"/>
      <c r="JZ15" s="481"/>
      <c r="KA15" s="481"/>
      <c r="KB15" s="481"/>
      <c r="KC15" s="481"/>
      <c r="KD15" s="481"/>
      <c r="KE15" s="481"/>
      <c r="KF15" s="481"/>
      <c r="KG15" s="481"/>
      <c r="KH15" s="481"/>
      <c r="KI15" s="481"/>
      <c r="KJ15" s="481"/>
      <c r="KK15" s="481"/>
      <c r="KL15" s="481"/>
      <c r="KM15" s="481"/>
      <c r="KN15" s="481"/>
      <c r="KO15" s="481"/>
      <c r="KP15" s="481"/>
      <c r="KQ15" s="481"/>
      <c r="KR15" s="481"/>
      <c r="KS15" s="481"/>
      <c r="KT15" s="481"/>
      <c r="KU15" s="481"/>
      <c r="KV15" s="481"/>
      <c r="KW15" s="481"/>
      <c r="KX15" s="481"/>
      <c r="KY15" s="481"/>
      <c r="KZ15" s="481"/>
      <c r="LA15" s="481"/>
      <c r="LB15" s="481"/>
      <c r="LC15" s="481"/>
      <c r="LD15" s="481"/>
      <c r="LE15" s="481"/>
      <c r="LF15" s="481"/>
      <c r="LG15" s="481"/>
      <c r="LH15" s="481"/>
      <c r="LI15" s="481"/>
      <c r="LJ15" s="481"/>
      <c r="LK15" s="481"/>
      <c r="LL15" s="481"/>
      <c r="LM15" s="481"/>
      <c r="LN15" s="481"/>
      <c r="LO15" s="481"/>
      <c r="LP15" s="481"/>
      <c r="LQ15" s="481"/>
      <c r="LR15" s="481"/>
      <c r="LS15" s="481"/>
      <c r="LT15" s="481"/>
      <c r="LU15" s="481"/>
      <c r="LV15" s="481"/>
      <c r="LW15" s="481"/>
      <c r="LX15" s="481"/>
      <c r="LY15" s="481"/>
      <c r="LZ15" s="481"/>
      <c r="MA15" s="481"/>
      <c r="MB15" s="481"/>
      <c r="MC15" s="481"/>
      <c r="MD15" s="481"/>
      <c r="ME15" s="481"/>
      <c r="MF15" s="481"/>
      <c r="MG15" s="481"/>
      <c r="MH15" s="481"/>
      <c r="MI15" s="481"/>
      <c r="MJ15" s="481"/>
      <c r="MK15" s="481"/>
      <c r="ML15" s="481"/>
      <c r="MM15" s="481"/>
      <c r="MN15" s="481"/>
      <c r="MO15" s="481"/>
      <c r="MP15" s="481"/>
      <c r="MQ15" s="481"/>
      <c r="MR15" s="481"/>
      <c r="MS15" s="481"/>
      <c r="MT15" s="481"/>
      <c r="MU15" s="481"/>
      <c r="MV15" s="481"/>
      <c r="MW15" s="481"/>
      <c r="MX15" s="481"/>
      <c r="MY15" s="481"/>
      <c r="MZ15" s="481"/>
    </row>
    <row r="16" spans="2:364" x14ac:dyDescent="0.25">
      <c r="B16" s="367"/>
      <c r="C16" s="367"/>
      <c r="D16" s="367"/>
      <c r="E16" s="367"/>
      <c r="F16" s="367"/>
      <c r="G16" s="372" t="s">
        <v>4</v>
      </c>
      <c r="H16" s="372"/>
      <c r="I16" s="372"/>
      <c r="J16" s="372"/>
      <c r="K16" s="372"/>
      <c r="L16" s="372"/>
      <c r="M16" s="372"/>
      <c r="N16" s="372"/>
      <c r="O16" s="372"/>
      <c r="P16" s="372"/>
      <c r="Q16" s="372"/>
      <c r="R16" s="372"/>
      <c r="S16" s="372"/>
      <c r="T16" s="372"/>
      <c r="U16" s="372"/>
      <c r="V16" s="372"/>
      <c r="W16" s="372"/>
      <c r="X16" s="372"/>
      <c r="Y16" s="372"/>
      <c r="Z16" s="382">
        <v>22</v>
      </c>
      <c r="AA16" s="382"/>
      <c r="AB16" s="382"/>
      <c r="AC16" s="382"/>
      <c r="AD16" s="382"/>
      <c r="AE16" s="382"/>
      <c r="AF16" s="382"/>
      <c r="AG16" s="382"/>
      <c r="AH16" s="382"/>
      <c r="AI16" s="382"/>
      <c r="AJ16" s="382"/>
      <c r="AK16" s="382"/>
      <c r="AL16" s="382"/>
      <c r="AM16" s="382"/>
      <c r="AN16" s="382"/>
      <c r="AO16" s="382"/>
      <c r="AP16" s="382"/>
      <c r="AQ16" s="382"/>
      <c r="AR16" s="382"/>
      <c r="AS16" s="382"/>
      <c r="AT16" s="382"/>
      <c r="AU16" s="382"/>
      <c r="AV16" s="382"/>
      <c r="AW16" s="382"/>
      <c r="AX16" s="382"/>
      <c r="AY16" s="382"/>
      <c r="AZ16" s="382"/>
      <c r="BA16" s="382"/>
      <c r="BB16" s="382"/>
      <c r="BC16" s="382"/>
      <c r="BD16" s="382"/>
      <c r="BE16" s="382"/>
      <c r="BF16" s="382"/>
      <c r="BG16" s="382"/>
      <c r="BH16" s="382"/>
      <c r="BI16" s="382"/>
      <c r="BJ16" s="382"/>
      <c r="BK16" s="382"/>
      <c r="BL16" s="382"/>
      <c r="BM16" s="382"/>
      <c r="BN16" s="382"/>
      <c r="BO16" s="382"/>
      <c r="BP16" s="382"/>
      <c r="BQ16" s="382"/>
      <c r="BR16" s="382"/>
      <c r="BS16" s="382"/>
      <c r="BT16" s="382"/>
      <c r="BU16" s="382"/>
      <c r="BV16" s="382"/>
      <c r="BW16" s="382"/>
      <c r="BX16" s="382"/>
      <c r="BY16" s="382"/>
      <c r="BZ16" s="382"/>
      <c r="CA16" s="382"/>
      <c r="CB16" s="382"/>
      <c r="CC16" s="382"/>
      <c r="CD16" s="382"/>
      <c r="CE16" s="382"/>
      <c r="CF16" s="382"/>
      <c r="CG16" s="382"/>
      <c r="CH16" s="382"/>
      <c r="CI16">
        <v>2</v>
      </c>
      <c r="CJ16">
        <v>252</v>
      </c>
      <c r="CK16" s="450" t="str">
        <f>IFERROR(VLOOKUP($CI16,Skills!$H$2:$N$620,7,FALSE),"")</f>
        <v/>
      </c>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17" t="str">
        <f>IFERROR(VLOOKUP($CI16,Skills!$H$2:$K$620,4,FALSE),"")</f>
        <v/>
      </c>
      <c r="ED16" s="417"/>
      <c r="EE16" s="417"/>
      <c r="EF16" s="417"/>
      <c r="EG16" s="417"/>
      <c r="EH16" s="452"/>
      <c r="EI16" s="452"/>
      <c r="EJ16" s="452"/>
      <c r="EK16" s="452"/>
      <c r="EL16" s="453"/>
      <c r="EM16" s="451" t="str">
        <f>IFERROR(VLOOKUP($CJ16,Skills!$H$2:$N$620,7,FALSE),"")</f>
        <v/>
      </c>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17" t="str">
        <f>IFERROR(VLOOKUP($CJ16,Skills!$H$2:$K$620,4,FALSE),"")</f>
        <v/>
      </c>
      <c r="GF16" s="417"/>
      <c r="GG16" s="417"/>
      <c r="GH16" s="417"/>
      <c r="GI16" s="417"/>
      <c r="GJ16" s="454"/>
      <c r="GK16" s="454"/>
      <c r="GL16" s="454"/>
      <c r="GM16" s="454"/>
      <c r="GN16" s="455"/>
      <c r="GQ16" s="370" t="str">
        <f>IF((VLOOKUP($Z$11,RaceChart,29,FALSE))="","",(VLOOKUP($Z$11,RaceChart,29,FALSE)))</f>
        <v>Resistance to Elements (cold) II</v>
      </c>
      <c r="GR16" s="370"/>
      <c r="GS16" s="370"/>
      <c r="GT16" s="370"/>
      <c r="GU16" s="370"/>
      <c r="GV16" s="370"/>
      <c r="GW16" s="370"/>
      <c r="GX16" s="370"/>
      <c r="GY16" s="370"/>
      <c r="GZ16" s="370"/>
      <c r="HA16" s="370"/>
      <c r="HB16" s="370"/>
      <c r="HC16" s="370"/>
      <c r="HD16" s="370"/>
      <c r="HE16" s="370"/>
      <c r="HF16" s="370"/>
      <c r="HG16" s="370"/>
      <c r="HH16" s="370"/>
      <c r="HI16" s="370"/>
      <c r="HJ16" s="370"/>
      <c r="HK16" s="370"/>
      <c r="HL16" s="370"/>
      <c r="HM16" s="370"/>
      <c r="HN16" s="370"/>
      <c r="HO16" s="370"/>
      <c r="HP16" s="370"/>
      <c r="HQ16" s="370"/>
      <c r="HR16" s="370"/>
      <c r="HS16" s="370"/>
      <c r="HT16" s="370"/>
      <c r="HU16" s="370"/>
      <c r="HV16" s="370"/>
      <c r="HW16" s="370"/>
      <c r="HX16" s="370"/>
      <c r="HY16" s="370"/>
      <c r="HZ16" s="370"/>
      <c r="IA16" s="370"/>
      <c r="IB16" s="370"/>
      <c r="IC16" s="370"/>
      <c r="ID16" s="370"/>
      <c r="IE16" s="381" t="str">
        <f>IFERROR(VLOOKUP(GQ16,Charts!$V$2:$X$518,3,FALSE),"")</f>
        <v>+10 DB, RR and Endurance against Cold/Ice OR the critical is reduced by 1 severity.</v>
      </c>
      <c r="IF16" s="381"/>
      <c r="IG16" s="381"/>
      <c r="IH16" s="381"/>
      <c r="II16" s="381"/>
      <c r="IJ16" s="381"/>
      <c r="IK16" s="381"/>
      <c r="IL16" s="381"/>
      <c r="IM16" s="381"/>
      <c r="IN16" s="381"/>
      <c r="IO16" s="381"/>
      <c r="IP16" s="381"/>
      <c r="IQ16" s="381"/>
      <c r="IR16" s="381"/>
      <c r="IS16" s="381"/>
      <c r="IT16" s="381"/>
      <c r="IU16" s="381"/>
      <c r="IV16" s="381"/>
      <c r="IW16" s="381"/>
      <c r="IX16" s="381"/>
      <c r="IY16" s="381"/>
      <c r="IZ16" s="381"/>
      <c r="JA16" s="381"/>
      <c r="JB16" s="381"/>
      <c r="JC16" s="381"/>
      <c r="JD16" s="381"/>
      <c r="JE16" s="381"/>
      <c r="JF16" s="381"/>
      <c r="JG16" s="381"/>
      <c r="JH16" s="381"/>
      <c r="JI16" s="381"/>
      <c r="JJ16" s="381"/>
      <c r="JK16" s="381"/>
      <c r="JL16" s="381"/>
      <c r="JM16" s="381"/>
      <c r="JN16" s="381"/>
      <c r="JO16" s="381"/>
      <c r="JP16" s="381"/>
      <c r="JQ16" s="381"/>
      <c r="JR16" s="381"/>
      <c r="JS16" s="381"/>
      <c r="JT16" s="381"/>
      <c r="JU16" s="381"/>
      <c r="JV16" s="381"/>
      <c r="JW16" s="381"/>
      <c r="JX16" s="381"/>
      <c r="JY16" s="381"/>
      <c r="JZ16" s="381"/>
      <c r="KA16" s="381"/>
      <c r="KB16" s="381"/>
      <c r="KC16" s="381"/>
      <c r="KD16" s="381"/>
      <c r="KE16" s="381"/>
      <c r="KF16" s="381"/>
      <c r="KG16" s="381"/>
      <c r="KH16" s="381"/>
      <c r="KI16" s="381"/>
      <c r="KJ16" s="381"/>
      <c r="KK16" s="381"/>
      <c r="KL16" s="381"/>
      <c r="KM16" s="381"/>
      <c r="KN16" s="381"/>
      <c r="KO16" s="381"/>
      <c r="KP16" s="381"/>
      <c r="KQ16" s="381"/>
      <c r="KR16" s="381"/>
      <c r="KS16" s="381"/>
      <c r="KT16" s="381"/>
      <c r="KU16" s="381"/>
      <c r="KV16" s="381"/>
      <c r="KW16" s="381"/>
      <c r="KX16" s="381"/>
      <c r="KY16" s="381"/>
      <c r="KZ16" s="381"/>
      <c r="LA16" s="381"/>
      <c r="LB16" s="381"/>
      <c r="LC16" s="381"/>
      <c r="LD16" s="381"/>
      <c r="LE16" s="381"/>
      <c r="LF16" s="381"/>
      <c r="LG16" s="381"/>
      <c r="LH16" s="381"/>
      <c r="LI16" s="381"/>
      <c r="LJ16" s="381"/>
      <c r="LK16" s="381"/>
      <c r="LL16" s="381"/>
      <c r="LM16" s="381"/>
      <c r="LN16" s="381"/>
      <c r="LO16" s="381"/>
      <c r="LP16" s="381"/>
      <c r="LQ16" s="381"/>
      <c r="LR16" s="381"/>
      <c r="LS16" s="381"/>
      <c r="LT16" s="381"/>
      <c r="LU16" s="381"/>
      <c r="LV16" s="381"/>
      <c r="LW16" s="381"/>
      <c r="LX16" s="381"/>
      <c r="LY16" s="381"/>
      <c r="LZ16" s="381"/>
      <c r="MA16" s="381"/>
      <c r="MB16" s="381"/>
      <c r="MC16" s="381"/>
      <c r="MD16" s="381"/>
      <c r="ME16" s="381"/>
      <c r="MF16" s="381"/>
      <c r="MG16" s="381"/>
      <c r="MH16" s="381"/>
      <c r="MI16" s="381"/>
      <c r="MJ16" s="381"/>
      <c r="MK16" s="381"/>
      <c r="ML16" s="381"/>
      <c r="MM16" s="381"/>
      <c r="MN16" s="381"/>
      <c r="MO16" s="381"/>
      <c r="MP16" s="381"/>
      <c r="MQ16" s="381"/>
      <c r="MR16" s="381"/>
      <c r="MS16" s="381"/>
      <c r="MT16" s="381"/>
      <c r="MU16" s="381"/>
      <c r="MV16" s="381"/>
      <c r="MW16" s="381"/>
      <c r="MX16" s="381"/>
      <c r="MY16" s="381"/>
      <c r="MZ16" s="381"/>
    </row>
    <row r="17" spans="2:364" x14ac:dyDescent="0.25">
      <c r="B17" s="370"/>
      <c r="C17" s="370"/>
      <c r="D17" s="370"/>
      <c r="E17" s="370"/>
      <c r="F17" s="370"/>
      <c r="G17" s="380" t="s">
        <v>817</v>
      </c>
      <c r="H17" s="380"/>
      <c r="I17" s="380"/>
      <c r="J17" s="380"/>
      <c r="K17" s="380"/>
      <c r="L17" s="380"/>
      <c r="M17" s="380"/>
      <c r="N17" s="380"/>
      <c r="O17" s="380"/>
      <c r="P17" s="380"/>
      <c r="Q17" s="380"/>
      <c r="R17" s="380"/>
      <c r="S17" s="380"/>
      <c r="T17" s="380"/>
      <c r="U17" s="380"/>
      <c r="V17" s="380"/>
      <c r="W17" s="380"/>
      <c r="X17" s="380"/>
      <c r="Y17" s="380"/>
      <c r="Z17" s="383" t="s">
        <v>3481</v>
      </c>
      <c r="AA17" s="383"/>
      <c r="AB17" s="383"/>
      <c r="AC17" s="383"/>
      <c r="AD17" s="383"/>
      <c r="AE17" s="383"/>
      <c r="AF17" s="383"/>
      <c r="AG17" s="383"/>
      <c r="AH17" s="383"/>
      <c r="AI17" s="383"/>
      <c r="AJ17" s="383"/>
      <c r="AK17" s="383"/>
      <c r="AL17" s="383"/>
      <c r="AM17" s="383"/>
      <c r="AN17" s="383"/>
      <c r="AO17" s="383"/>
      <c r="AP17" s="383"/>
      <c r="AQ17" s="383"/>
      <c r="AR17" s="383"/>
      <c r="AS17" s="383"/>
      <c r="AT17" s="383"/>
      <c r="AU17" s="383"/>
      <c r="AV17" s="383"/>
      <c r="AW17" s="383"/>
      <c r="AX17" s="383"/>
      <c r="AY17" s="383"/>
      <c r="AZ17" s="383"/>
      <c r="BA17" s="383"/>
      <c r="BB17" s="383"/>
      <c r="BC17" s="383"/>
      <c r="BD17" s="383"/>
      <c r="BE17" s="383"/>
      <c r="BF17" s="383"/>
      <c r="BG17" s="383"/>
      <c r="BH17" s="383"/>
      <c r="BI17" s="383"/>
      <c r="BJ17" s="383"/>
      <c r="BK17" s="383"/>
      <c r="BL17" s="384" t="str">
        <f>"( Average= "&amp;VLOOKUP(Z11,RaceChart,25,FALSE)&amp;" )"</f>
        <v>( Average= 177 )</v>
      </c>
      <c r="BM17" s="384"/>
      <c r="BN17" s="384"/>
      <c r="BO17" s="384"/>
      <c r="BP17" s="384"/>
      <c r="BQ17" s="384"/>
      <c r="BR17" s="384"/>
      <c r="BS17" s="384"/>
      <c r="BT17" s="384"/>
      <c r="BU17" s="384"/>
      <c r="BV17" s="384"/>
      <c r="BW17" s="384"/>
      <c r="BX17" s="384"/>
      <c r="BY17" s="384"/>
      <c r="BZ17" s="384"/>
      <c r="CA17" s="384"/>
      <c r="CB17" s="384"/>
      <c r="CC17" s="384"/>
      <c r="CD17" s="384"/>
      <c r="CE17" s="384"/>
      <c r="CF17" s="384"/>
      <c r="CG17" s="384"/>
      <c r="CH17" s="384"/>
      <c r="CI17">
        <v>3</v>
      </c>
      <c r="CJ17">
        <v>253</v>
      </c>
      <c r="CK17" s="365" t="str">
        <f>IFERROR(VLOOKUP($CI17,Skills!$H$2:$N$620,7,FALSE),"")</f>
        <v/>
      </c>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445" t="str">
        <f>IFERROR(VLOOKUP($CI17,Skills!$H$2:$K$620,4,FALSE),"")</f>
        <v/>
      </c>
      <c r="ED17" s="445"/>
      <c r="EE17" s="445"/>
      <c r="EF17" s="445"/>
      <c r="EG17" s="445"/>
      <c r="EH17" s="446">
        <v>1</v>
      </c>
      <c r="EI17" s="446"/>
      <c r="EJ17" s="446"/>
      <c r="EK17" s="446"/>
      <c r="EL17" s="447"/>
      <c r="EM17" s="366" t="str">
        <f>IFERROR(VLOOKUP($CJ17,Skills!$H$2:$N$620,7,FALSE),"")</f>
        <v/>
      </c>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445" t="str">
        <f>IFERROR(VLOOKUP($CJ17,Skills!$H$2:$K$620,4,FALSE),"")</f>
        <v/>
      </c>
      <c r="GF17" s="445"/>
      <c r="GG17" s="445"/>
      <c r="GH17" s="445"/>
      <c r="GI17" s="445"/>
      <c r="GJ17" s="448"/>
      <c r="GK17" s="448"/>
      <c r="GL17" s="448"/>
      <c r="GM17" s="448"/>
      <c r="GN17" s="449"/>
      <c r="GQ17" s="476">
        <f>IF((VLOOKUP($Z$11,RaceChart,30,FALSE))="","",(VLOOKUP($Z$11,RaceChart,30,FALSE)))</f>
        <v>0</v>
      </c>
      <c r="GR17" s="476"/>
      <c r="GS17" s="476"/>
      <c r="GT17" s="476"/>
      <c r="GU17" s="476"/>
      <c r="GV17" s="476"/>
      <c r="GW17" s="476"/>
      <c r="GX17" s="476"/>
      <c r="GY17" s="476"/>
      <c r="GZ17" s="476"/>
      <c r="HA17" s="476"/>
      <c r="HB17" s="476"/>
      <c r="HC17" s="476"/>
      <c r="HD17" s="476"/>
      <c r="HE17" s="476"/>
      <c r="HF17" s="476"/>
      <c r="HG17" s="476"/>
      <c r="HH17" s="476"/>
      <c r="HI17" s="476"/>
      <c r="HJ17" s="476"/>
      <c r="HK17" s="476"/>
      <c r="HL17" s="476"/>
      <c r="HM17" s="476"/>
      <c r="HN17" s="476"/>
      <c r="HO17" s="476"/>
      <c r="HP17" s="476"/>
      <c r="HQ17" s="476"/>
      <c r="HR17" s="476"/>
      <c r="HS17" s="476"/>
      <c r="HT17" s="476"/>
      <c r="HU17" s="476"/>
      <c r="HV17" s="476"/>
      <c r="HW17" s="476"/>
      <c r="HX17" s="476"/>
      <c r="HY17" s="476"/>
      <c r="HZ17" s="476"/>
      <c r="IA17" s="476"/>
      <c r="IB17" s="476"/>
      <c r="IC17" s="476"/>
      <c r="ID17" s="476"/>
      <c r="IE17" s="477" t="str">
        <f>IFERROR(VLOOKUP(GQ17,Charts!$V$2:$X$518,3,FALSE),"")</f>
        <v/>
      </c>
      <c r="IF17" s="477"/>
      <c r="IG17" s="477"/>
      <c r="IH17" s="477"/>
      <c r="II17" s="477"/>
      <c r="IJ17" s="477"/>
      <c r="IK17" s="477"/>
      <c r="IL17" s="477"/>
      <c r="IM17" s="477"/>
      <c r="IN17" s="477"/>
      <c r="IO17" s="477"/>
      <c r="IP17" s="477"/>
      <c r="IQ17" s="477"/>
      <c r="IR17" s="477"/>
      <c r="IS17" s="477"/>
      <c r="IT17" s="477"/>
      <c r="IU17" s="477"/>
      <c r="IV17" s="477"/>
      <c r="IW17" s="477"/>
      <c r="IX17" s="477"/>
      <c r="IY17" s="477"/>
      <c r="IZ17" s="477"/>
      <c r="JA17" s="477"/>
      <c r="JB17" s="477"/>
      <c r="JC17" s="477"/>
      <c r="JD17" s="477"/>
      <c r="JE17" s="477"/>
      <c r="JF17" s="477"/>
      <c r="JG17" s="477"/>
      <c r="JH17" s="477"/>
      <c r="JI17" s="477"/>
      <c r="JJ17" s="477"/>
      <c r="JK17" s="477"/>
      <c r="JL17" s="477"/>
      <c r="JM17" s="477"/>
      <c r="JN17" s="477"/>
      <c r="JO17" s="477"/>
      <c r="JP17" s="477"/>
      <c r="JQ17" s="477"/>
      <c r="JR17" s="477"/>
      <c r="JS17" s="477"/>
      <c r="JT17" s="477"/>
      <c r="JU17" s="477"/>
      <c r="JV17" s="477"/>
      <c r="JW17" s="477"/>
      <c r="JX17" s="477"/>
      <c r="JY17" s="477"/>
      <c r="JZ17" s="477"/>
      <c r="KA17" s="477"/>
      <c r="KB17" s="477"/>
      <c r="KC17" s="477"/>
      <c r="KD17" s="477"/>
      <c r="KE17" s="477"/>
      <c r="KF17" s="477"/>
      <c r="KG17" s="477"/>
      <c r="KH17" s="477"/>
      <c r="KI17" s="477"/>
      <c r="KJ17" s="477"/>
      <c r="KK17" s="477"/>
      <c r="KL17" s="477"/>
      <c r="KM17" s="477"/>
      <c r="KN17" s="477"/>
      <c r="KO17" s="477"/>
      <c r="KP17" s="477"/>
      <c r="KQ17" s="477"/>
      <c r="KR17" s="477"/>
      <c r="KS17" s="477"/>
      <c r="KT17" s="477"/>
      <c r="KU17" s="477"/>
      <c r="KV17" s="477"/>
      <c r="KW17" s="477"/>
      <c r="KX17" s="477"/>
      <c r="KY17" s="477"/>
      <c r="KZ17" s="477"/>
      <c r="LA17" s="477"/>
      <c r="LB17" s="477"/>
      <c r="LC17" s="477"/>
      <c r="LD17" s="477"/>
      <c r="LE17" s="477"/>
      <c r="LF17" s="477"/>
      <c r="LG17" s="477"/>
      <c r="LH17" s="477"/>
      <c r="LI17" s="477"/>
      <c r="LJ17" s="477"/>
      <c r="LK17" s="477"/>
      <c r="LL17" s="477"/>
      <c r="LM17" s="477"/>
      <c r="LN17" s="477"/>
      <c r="LO17" s="477"/>
      <c r="LP17" s="477"/>
      <c r="LQ17" s="477"/>
      <c r="LR17" s="477"/>
      <c r="LS17" s="477"/>
      <c r="LT17" s="477"/>
      <c r="LU17" s="477"/>
      <c r="LV17" s="477"/>
      <c r="LW17" s="477"/>
      <c r="LX17" s="477"/>
      <c r="LY17" s="477"/>
      <c r="LZ17" s="477"/>
      <c r="MA17" s="477"/>
      <c r="MB17" s="477"/>
      <c r="MC17" s="477"/>
      <c r="MD17" s="477"/>
      <c r="ME17" s="477"/>
      <c r="MF17" s="477"/>
      <c r="MG17" s="477"/>
      <c r="MH17" s="477"/>
      <c r="MI17" s="477"/>
      <c r="MJ17" s="477"/>
      <c r="MK17" s="477"/>
      <c r="ML17" s="477"/>
      <c r="MM17" s="477"/>
      <c r="MN17" s="477"/>
      <c r="MO17" s="477"/>
      <c r="MP17" s="477"/>
      <c r="MQ17" s="477"/>
      <c r="MR17" s="477"/>
      <c r="MS17" s="477"/>
      <c r="MT17" s="477"/>
      <c r="MU17" s="477"/>
      <c r="MV17" s="477"/>
      <c r="MW17" s="477"/>
      <c r="MX17" s="477"/>
      <c r="MY17" s="477"/>
      <c r="MZ17" s="477"/>
    </row>
    <row r="18" spans="2:364" x14ac:dyDescent="0.25">
      <c r="B18" s="367"/>
      <c r="C18" s="367"/>
      <c r="D18" s="367"/>
      <c r="E18" s="367"/>
      <c r="F18" s="367"/>
      <c r="G18" s="372" t="s">
        <v>818</v>
      </c>
      <c r="H18" s="372"/>
      <c r="I18" s="372"/>
      <c r="J18" s="372"/>
      <c r="K18" s="372"/>
      <c r="L18" s="372"/>
      <c r="M18" s="372"/>
      <c r="N18" s="372"/>
      <c r="O18" s="372"/>
      <c r="P18" s="372"/>
      <c r="Q18" s="372"/>
      <c r="R18" s="372"/>
      <c r="S18" s="372"/>
      <c r="T18" s="372"/>
      <c r="U18" s="372"/>
      <c r="V18" s="372"/>
      <c r="W18" s="372"/>
      <c r="X18" s="372"/>
      <c r="Y18" s="372"/>
      <c r="Z18" s="378">
        <v>156</v>
      </c>
      <c r="AA18" s="378"/>
      <c r="AB18" s="378"/>
      <c r="AC18" s="378"/>
      <c r="AD18" s="378"/>
      <c r="AE18" s="378"/>
      <c r="AF18" s="378"/>
      <c r="AG18" s="378"/>
      <c r="AH18" s="378"/>
      <c r="AI18" s="378"/>
      <c r="AJ18" s="378"/>
      <c r="AK18" s="378"/>
      <c r="AL18" s="378"/>
      <c r="AM18" s="378"/>
      <c r="AN18" s="378"/>
      <c r="AO18" s="378"/>
      <c r="AP18" s="378"/>
      <c r="AQ18" s="378"/>
      <c r="AR18" s="378"/>
      <c r="AS18" s="378"/>
      <c r="AT18" s="378"/>
      <c r="AU18" s="378"/>
      <c r="AV18" s="378"/>
      <c r="AW18" s="378"/>
      <c r="AX18" s="378"/>
      <c r="AY18" s="378"/>
      <c r="AZ18" s="378"/>
      <c r="BA18" s="378"/>
      <c r="BB18" s="378"/>
      <c r="BC18" s="378"/>
      <c r="BD18" s="378"/>
      <c r="BE18" s="378"/>
      <c r="BF18" s="378"/>
      <c r="BG18" s="378"/>
      <c r="BH18" s="378"/>
      <c r="BI18" s="378"/>
      <c r="BJ18" s="378"/>
      <c r="BK18" s="378"/>
      <c r="BL18" s="379" t="str">
        <f>"( Average= "&amp;VLOOKUP(Z11,RaceChart,27,FALSE)&amp;" lbs )"</f>
        <v>( Average= 174 lbs )</v>
      </c>
      <c r="BM18" s="379"/>
      <c r="BN18" s="379"/>
      <c r="BO18" s="379"/>
      <c r="BP18" s="379"/>
      <c r="BQ18" s="379"/>
      <c r="BR18" s="379"/>
      <c r="BS18" s="379"/>
      <c r="BT18" s="379"/>
      <c r="BU18" s="379"/>
      <c r="BV18" s="379"/>
      <c r="BW18" s="379"/>
      <c r="BX18" s="379"/>
      <c r="BY18" s="379"/>
      <c r="BZ18" s="379"/>
      <c r="CA18" s="379"/>
      <c r="CB18" s="379"/>
      <c r="CC18" s="379"/>
      <c r="CD18" s="379"/>
      <c r="CE18" s="379"/>
      <c r="CF18" s="379"/>
      <c r="CG18" s="379"/>
      <c r="CH18" s="379"/>
      <c r="CI18">
        <v>4</v>
      </c>
      <c r="CJ18">
        <v>254</v>
      </c>
      <c r="CK18" s="450" t="str">
        <f>IFERROR(VLOOKUP($CI18,Skills!$H$2:$N$620,7,FALSE),"")</f>
        <v/>
      </c>
      <c r="CL18" s="451"/>
      <c r="CM18" s="451"/>
      <c r="CN18" s="451"/>
      <c r="CO18" s="451"/>
      <c r="CP18" s="451"/>
      <c r="CQ18" s="451"/>
      <c r="CR18" s="451"/>
      <c r="CS18" s="451"/>
      <c r="CT18" s="451"/>
      <c r="CU18" s="451"/>
      <c r="CV18" s="451"/>
      <c r="CW18" s="451"/>
      <c r="CX18" s="451"/>
      <c r="CY18" s="451"/>
      <c r="CZ18" s="451"/>
      <c r="DA18" s="451"/>
      <c r="DB18" s="451"/>
      <c r="DC18" s="451"/>
      <c r="DD18" s="451"/>
      <c r="DE18" s="451"/>
      <c r="DF18" s="451"/>
      <c r="DG18" s="451"/>
      <c r="DH18" s="451"/>
      <c r="DI18" s="451"/>
      <c r="DJ18" s="451"/>
      <c r="DK18" s="451"/>
      <c r="DL18" s="451"/>
      <c r="DM18" s="451"/>
      <c r="DN18" s="451"/>
      <c r="DO18" s="451"/>
      <c r="DP18" s="451"/>
      <c r="DQ18" s="451"/>
      <c r="DR18" s="451"/>
      <c r="DS18" s="451"/>
      <c r="DT18" s="451"/>
      <c r="DU18" s="451"/>
      <c r="DV18" s="451"/>
      <c r="DW18" s="451"/>
      <c r="DX18" s="451"/>
      <c r="DY18" s="451"/>
      <c r="DZ18" s="451"/>
      <c r="EA18" s="451"/>
      <c r="EB18" s="451"/>
      <c r="EC18" s="417" t="str">
        <f>IFERROR(VLOOKUP($CI18,Skills!$H$2:$K$620,4,FALSE),"")</f>
        <v/>
      </c>
      <c r="ED18" s="417"/>
      <c r="EE18" s="417"/>
      <c r="EF18" s="417"/>
      <c r="EG18" s="417"/>
      <c r="EH18" s="452"/>
      <c r="EI18" s="452"/>
      <c r="EJ18" s="452"/>
      <c r="EK18" s="452"/>
      <c r="EL18" s="453"/>
      <c r="EM18" s="451" t="str">
        <f>IFERROR(VLOOKUP($CJ18,Skills!$H$2:$N$620,7,FALSE),"")</f>
        <v/>
      </c>
      <c r="EN18" s="451"/>
      <c r="EO18" s="451"/>
      <c r="EP18" s="451"/>
      <c r="EQ18" s="451"/>
      <c r="ER18" s="451"/>
      <c r="ES18" s="451"/>
      <c r="ET18" s="451"/>
      <c r="EU18" s="451"/>
      <c r="EV18" s="451"/>
      <c r="EW18" s="451"/>
      <c r="EX18" s="451"/>
      <c r="EY18" s="451"/>
      <c r="EZ18" s="451"/>
      <c r="FA18" s="451"/>
      <c r="FB18" s="451"/>
      <c r="FC18" s="451"/>
      <c r="FD18" s="451"/>
      <c r="FE18" s="451"/>
      <c r="FF18" s="451"/>
      <c r="FG18" s="451"/>
      <c r="FH18" s="451"/>
      <c r="FI18" s="451"/>
      <c r="FJ18" s="451"/>
      <c r="FK18" s="451"/>
      <c r="FL18" s="451"/>
      <c r="FM18" s="451"/>
      <c r="FN18" s="451"/>
      <c r="FO18" s="451"/>
      <c r="FP18" s="451"/>
      <c r="FQ18" s="451"/>
      <c r="FR18" s="451"/>
      <c r="FS18" s="451"/>
      <c r="FT18" s="451"/>
      <c r="FU18" s="451"/>
      <c r="FV18" s="451"/>
      <c r="FW18" s="451"/>
      <c r="FX18" s="451"/>
      <c r="FY18" s="451"/>
      <c r="FZ18" s="451"/>
      <c r="GA18" s="451"/>
      <c r="GB18" s="451"/>
      <c r="GC18" s="451"/>
      <c r="GD18" s="451"/>
      <c r="GE18" s="417" t="str">
        <f>IFERROR(VLOOKUP($CJ18,Skills!$H$2:$K$620,4,FALSE),"")</f>
        <v/>
      </c>
      <c r="GF18" s="417"/>
      <c r="GG18" s="417"/>
      <c r="GH18" s="417"/>
      <c r="GI18" s="417"/>
      <c r="GJ18" s="454"/>
      <c r="GK18" s="454"/>
      <c r="GL18" s="454"/>
      <c r="GM18" s="454"/>
      <c r="GN18" s="455"/>
      <c r="GQ18" s="370">
        <f>IF((VLOOKUP($Z$11,RaceChart,31,FALSE))="","",(VLOOKUP($Z$11,RaceChart,31,FALSE)))</f>
        <v>0</v>
      </c>
      <c r="GR18" s="370"/>
      <c r="GS18" s="370"/>
      <c r="GT18" s="370"/>
      <c r="GU18" s="370"/>
      <c r="GV18" s="370"/>
      <c r="GW18" s="370"/>
      <c r="GX18" s="370"/>
      <c r="GY18" s="370"/>
      <c r="GZ18" s="370"/>
      <c r="HA18" s="370"/>
      <c r="HB18" s="370"/>
      <c r="HC18" s="370"/>
      <c r="HD18" s="370"/>
      <c r="HE18" s="370"/>
      <c r="HF18" s="370"/>
      <c r="HG18" s="370"/>
      <c r="HH18" s="370"/>
      <c r="HI18" s="370"/>
      <c r="HJ18" s="370"/>
      <c r="HK18" s="370"/>
      <c r="HL18" s="370"/>
      <c r="HM18" s="370"/>
      <c r="HN18" s="370"/>
      <c r="HO18" s="370"/>
      <c r="HP18" s="370"/>
      <c r="HQ18" s="370"/>
      <c r="HR18" s="370"/>
      <c r="HS18" s="370"/>
      <c r="HT18" s="370"/>
      <c r="HU18" s="370"/>
      <c r="HV18" s="370"/>
      <c r="HW18" s="370"/>
      <c r="HX18" s="370"/>
      <c r="HY18" s="370"/>
      <c r="HZ18" s="370"/>
      <c r="IA18" s="370"/>
      <c r="IB18" s="370"/>
      <c r="IC18" s="370"/>
      <c r="ID18" s="370"/>
      <c r="IE18" s="381" t="str">
        <f>IFERROR(VLOOKUP(GQ18,Charts!$V$2:$X$518,3,FALSE),"")</f>
        <v/>
      </c>
      <c r="IF18" s="381"/>
      <c r="IG18" s="381"/>
      <c r="IH18" s="381"/>
      <c r="II18" s="381"/>
      <c r="IJ18" s="381"/>
      <c r="IK18" s="381"/>
      <c r="IL18" s="381"/>
      <c r="IM18" s="381"/>
      <c r="IN18" s="381"/>
      <c r="IO18" s="381"/>
      <c r="IP18" s="381"/>
      <c r="IQ18" s="381"/>
      <c r="IR18" s="381"/>
      <c r="IS18" s="381"/>
      <c r="IT18" s="381"/>
      <c r="IU18" s="381"/>
      <c r="IV18" s="381"/>
      <c r="IW18" s="381"/>
      <c r="IX18" s="381"/>
      <c r="IY18" s="381"/>
      <c r="IZ18" s="381"/>
      <c r="JA18" s="381"/>
      <c r="JB18" s="381"/>
      <c r="JC18" s="381"/>
      <c r="JD18" s="381"/>
      <c r="JE18" s="381"/>
      <c r="JF18" s="381"/>
      <c r="JG18" s="381"/>
      <c r="JH18" s="381"/>
      <c r="JI18" s="381"/>
      <c r="JJ18" s="381"/>
      <c r="JK18" s="381"/>
      <c r="JL18" s="381"/>
      <c r="JM18" s="381"/>
      <c r="JN18" s="381"/>
      <c r="JO18" s="381"/>
      <c r="JP18" s="381"/>
      <c r="JQ18" s="381"/>
      <c r="JR18" s="381"/>
      <c r="JS18" s="381"/>
      <c r="JT18" s="381"/>
      <c r="JU18" s="381"/>
      <c r="JV18" s="381"/>
      <c r="JW18" s="381"/>
      <c r="JX18" s="381"/>
      <c r="JY18" s="381"/>
      <c r="JZ18" s="381"/>
      <c r="KA18" s="381"/>
      <c r="KB18" s="381"/>
      <c r="KC18" s="381"/>
      <c r="KD18" s="381"/>
      <c r="KE18" s="381"/>
      <c r="KF18" s="381"/>
      <c r="KG18" s="381"/>
      <c r="KH18" s="381"/>
      <c r="KI18" s="381"/>
      <c r="KJ18" s="381"/>
      <c r="KK18" s="381"/>
      <c r="KL18" s="381"/>
      <c r="KM18" s="381"/>
      <c r="KN18" s="381"/>
      <c r="KO18" s="381"/>
      <c r="KP18" s="381"/>
      <c r="KQ18" s="381"/>
      <c r="KR18" s="381"/>
      <c r="KS18" s="381"/>
      <c r="KT18" s="381"/>
      <c r="KU18" s="381"/>
      <c r="KV18" s="381"/>
      <c r="KW18" s="381"/>
      <c r="KX18" s="381"/>
      <c r="KY18" s="381"/>
      <c r="KZ18" s="381"/>
      <c r="LA18" s="381"/>
      <c r="LB18" s="381"/>
      <c r="LC18" s="381"/>
      <c r="LD18" s="381"/>
      <c r="LE18" s="381"/>
      <c r="LF18" s="381"/>
      <c r="LG18" s="381"/>
      <c r="LH18" s="381"/>
      <c r="LI18" s="381"/>
      <c r="LJ18" s="381"/>
      <c r="LK18" s="381"/>
      <c r="LL18" s="381"/>
      <c r="LM18" s="381"/>
      <c r="LN18" s="381"/>
      <c r="LO18" s="381"/>
      <c r="LP18" s="381"/>
      <c r="LQ18" s="381"/>
      <c r="LR18" s="381"/>
      <c r="LS18" s="381"/>
      <c r="LT18" s="381"/>
      <c r="LU18" s="381"/>
      <c r="LV18" s="381"/>
      <c r="LW18" s="381"/>
      <c r="LX18" s="381"/>
      <c r="LY18" s="381"/>
      <c r="LZ18" s="381"/>
      <c r="MA18" s="381"/>
      <c r="MB18" s="381"/>
      <c r="MC18" s="381"/>
      <c r="MD18" s="381"/>
      <c r="ME18" s="381"/>
      <c r="MF18" s="381"/>
      <c r="MG18" s="381"/>
      <c r="MH18" s="381"/>
      <c r="MI18" s="381"/>
      <c r="MJ18" s="381"/>
      <c r="MK18" s="381"/>
      <c r="ML18" s="381"/>
      <c r="MM18" s="381"/>
      <c r="MN18" s="381"/>
      <c r="MO18" s="381"/>
      <c r="MP18" s="381"/>
      <c r="MQ18" s="381"/>
      <c r="MR18" s="381"/>
      <c r="MS18" s="381"/>
      <c r="MT18" s="381"/>
      <c r="MU18" s="381"/>
      <c r="MV18" s="381"/>
      <c r="MW18" s="381"/>
      <c r="MX18" s="381"/>
      <c r="MY18" s="381"/>
      <c r="MZ18" s="381"/>
    </row>
    <row r="19" spans="2:364" x14ac:dyDescent="0.25">
      <c r="B19" s="370"/>
      <c r="C19" s="370"/>
      <c r="D19" s="370"/>
      <c r="E19" s="370"/>
      <c r="F19" s="370"/>
      <c r="G19" s="380" t="s">
        <v>19</v>
      </c>
      <c r="H19" s="380"/>
      <c r="I19" s="380"/>
      <c r="J19" s="380"/>
      <c r="K19" s="380"/>
      <c r="L19" s="380"/>
      <c r="M19" s="380"/>
      <c r="N19" s="380"/>
      <c r="O19" s="380"/>
      <c r="P19" s="380"/>
      <c r="Q19" s="380"/>
      <c r="R19" s="380"/>
      <c r="S19" s="380"/>
      <c r="T19" s="380"/>
      <c r="U19" s="380"/>
      <c r="V19" s="380"/>
      <c r="W19" s="380"/>
      <c r="X19" s="380"/>
      <c r="Y19" s="380"/>
      <c r="Z19" s="381" t="s">
        <v>819</v>
      </c>
      <c r="AA19" s="381"/>
      <c r="AB19" s="381"/>
      <c r="AC19" s="381"/>
      <c r="AD19" s="381"/>
      <c r="AE19" s="381"/>
      <c r="AF19" s="381"/>
      <c r="AG19" s="381"/>
      <c r="AH19" s="381"/>
      <c r="AI19" s="381"/>
      <c r="AJ19" s="381"/>
      <c r="AK19" s="381"/>
      <c r="AL19" s="381"/>
      <c r="AM19" s="381"/>
      <c r="AN19" s="381"/>
      <c r="AO19" s="381"/>
      <c r="AP19" s="381"/>
      <c r="AQ19" s="381"/>
      <c r="AR19" s="381"/>
      <c r="AS19" s="381"/>
      <c r="AT19" s="381"/>
      <c r="AU19" s="381"/>
      <c r="AV19" s="381"/>
      <c r="AW19" s="381"/>
      <c r="AX19" s="381"/>
      <c r="AY19" s="381"/>
      <c r="AZ19" s="381"/>
      <c r="BA19" s="381"/>
      <c r="BB19" s="381"/>
      <c r="BC19" s="381"/>
      <c r="BD19" s="381"/>
      <c r="BE19" s="381"/>
      <c r="BF19" s="381"/>
      <c r="BG19" s="381"/>
      <c r="BH19" s="381"/>
      <c r="BI19" s="381"/>
      <c r="BJ19" s="381"/>
      <c r="BK19" s="381"/>
      <c r="BL19" s="381"/>
      <c r="BM19" s="381"/>
      <c r="BN19" s="381"/>
      <c r="BO19" s="381"/>
      <c r="BP19" s="381"/>
      <c r="BQ19" s="381"/>
      <c r="BR19" s="381"/>
      <c r="BS19" s="381"/>
      <c r="BT19" s="381"/>
      <c r="BU19" s="381"/>
      <c r="BV19" s="381"/>
      <c r="BW19" s="381"/>
      <c r="BX19" s="381"/>
      <c r="BY19" s="381"/>
      <c r="BZ19" s="381"/>
      <c r="CA19" s="381"/>
      <c r="CB19" s="381"/>
      <c r="CC19" s="381"/>
      <c r="CD19" s="381"/>
      <c r="CE19" s="381"/>
      <c r="CF19" s="381"/>
      <c r="CG19" s="381"/>
      <c r="CH19" s="381"/>
      <c r="CI19">
        <v>5</v>
      </c>
      <c r="CJ19">
        <v>255</v>
      </c>
      <c r="CK19" s="365" t="str">
        <f>IFERROR(VLOOKUP($CI19,Skills!$H$2:$N$620,7,FALSE),"")</f>
        <v/>
      </c>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445" t="str">
        <f>IFERROR(VLOOKUP($CI19,Skills!$H$2:$K$620,4,FALSE),"")</f>
        <v/>
      </c>
      <c r="ED19" s="445"/>
      <c r="EE19" s="445"/>
      <c r="EF19" s="445"/>
      <c r="EG19" s="445"/>
      <c r="EH19" s="446"/>
      <c r="EI19" s="446"/>
      <c r="EJ19" s="446"/>
      <c r="EK19" s="446"/>
      <c r="EL19" s="447"/>
      <c r="EM19" s="366" t="str">
        <f>IFERROR(VLOOKUP($CJ19,Skills!$H$2:$N$620,7,FALSE),"")</f>
        <v/>
      </c>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445" t="str">
        <f>IFERROR(VLOOKUP($CJ19,Skills!$H$2:$K$620,4,FALSE),"")</f>
        <v/>
      </c>
      <c r="GF19" s="445"/>
      <c r="GG19" s="445"/>
      <c r="GH19" s="445"/>
      <c r="GI19" s="445"/>
      <c r="GJ19" s="448"/>
      <c r="GK19" s="448"/>
      <c r="GL19" s="448"/>
      <c r="GM19" s="448"/>
      <c r="GN19" s="449"/>
      <c r="GQ19" s="476">
        <f>IF((VLOOKUP($Z$11,RaceChart,32,FALSE))="","",(VLOOKUP($Z$11,RaceChart,32,FALSE)))</f>
        <v>0</v>
      </c>
      <c r="GR19" s="476"/>
      <c r="GS19" s="476"/>
      <c r="GT19" s="476"/>
      <c r="GU19" s="476"/>
      <c r="GV19" s="476"/>
      <c r="GW19" s="476"/>
      <c r="GX19" s="476"/>
      <c r="GY19" s="476"/>
      <c r="GZ19" s="476"/>
      <c r="HA19" s="476"/>
      <c r="HB19" s="476"/>
      <c r="HC19" s="476"/>
      <c r="HD19" s="476"/>
      <c r="HE19" s="476"/>
      <c r="HF19" s="476"/>
      <c r="HG19" s="476"/>
      <c r="HH19" s="476"/>
      <c r="HI19" s="476"/>
      <c r="HJ19" s="476"/>
      <c r="HK19" s="476"/>
      <c r="HL19" s="476"/>
      <c r="HM19" s="476"/>
      <c r="HN19" s="476"/>
      <c r="HO19" s="476"/>
      <c r="HP19" s="476"/>
      <c r="HQ19" s="476"/>
      <c r="HR19" s="476"/>
      <c r="HS19" s="476"/>
      <c r="HT19" s="476"/>
      <c r="HU19" s="476"/>
      <c r="HV19" s="476"/>
      <c r="HW19" s="476"/>
      <c r="HX19" s="476"/>
      <c r="HY19" s="476"/>
      <c r="HZ19" s="476"/>
      <c r="IA19" s="476"/>
      <c r="IB19" s="476"/>
      <c r="IC19" s="476"/>
      <c r="ID19" s="476"/>
      <c r="IE19" s="477" t="str">
        <f>IFERROR(VLOOKUP(GQ19,Charts!$V$2:$X$518,3,FALSE),"")</f>
        <v/>
      </c>
      <c r="IF19" s="477"/>
      <c r="IG19" s="477"/>
      <c r="IH19" s="477"/>
      <c r="II19" s="477"/>
      <c r="IJ19" s="477"/>
      <c r="IK19" s="477"/>
      <c r="IL19" s="477"/>
      <c r="IM19" s="477"/>
      <c r="IN19" s="477"/>
      <c r="IO19" s="477"/>
      <c r="IP19" s="477"/>
      <c r="IQ19" s="477"/>
      <c r="IR19" s="477"/>
      <c r="IS19" s="477"/>
      <c r="IT19" s="477"/>
      <c r="IU19" s="477"/>
      <c r="IV19" s="477"/>
      <c r="IW19" s="477"/>
      <c r="IX19" s="477"/>
      <c r="IY19" s="477"/>
      <c r="IZ19" s="477"/>
      <c r="JA19" s="477"/>
      <c r="JB19" s="477"/>
      <c r="JC19" s="477"/>
      <c r="JD19" s="477"/>
      <c r="JE19" s="477"/>
      <c r="JF19" s="477"/>
      <c r="JG19" s="477"/>
      <c r="JH19" s="477"/>
      <c r="JI19" s="477"/>
      <c r="JJ19" s="477"/>
      <c r="JK19" s="477"/>
      <c r="JL19" s="477"/>
      <c r="JM19" s="477"/>
      <c r="JN19" s="477"/>
      <c r="JO19" s="477"/>
      <c r="JP19" s="477"/>
      <c r="JQ19" s="477"/>
      <c r="JR19" s="477"/>
      <c r="JS19" s="477"/>
      <c r="JT19" s="477"/>
      <c r="JU19" s="477"/>
      <c r="JV19" s="477"/>
      <c r="JW19" s="477"/>
      <c r="JX19" s="477"/>
      <c r="JY19" s="477"/>
      <c r="JZ19" s="477"/>
      <c r="KA19" s="477"/>
      <c r="KB19" s="477"/>
      <c r="KC19" s="477"/>
      <c r="KD19" s="477"/>
      <c r="KE19" s="477"/>
      <c r="KF19" s="477"/>
      <c r="KG19" s="477"/>
      <c r="KH19" s="477"/>
      <c r="KI19" s="477"/>
      <c r="KJ19" s="477"/>
      <c r="KK19" s="477"/>
      <c r="KL19" s="477"/>
      <c r="KM19" s="477"/>
      <c r="KN19" s="477"/>
      <c r="KO19" s="477"/>
      <c r="KP19" s="477"/>
      <c r="KQ19" s="477"/>
      <c r="KR19" s="477"/>
      <c r="KS19" s="477"/>
      <c r="KT19" s="477"/>
      <c r="KU19" s="477"/>
      <c r="KV19" s="477"/>
      <c r="KW19" s="477"/>
      <c r="KX19" s="477"/>
      <c r="KY19" s="477"/>
      <c r="KZ19" s="477"/>
      <c r="LA19" s="477"/>
      <c r="LB19" s="477"/>
      <c r="LC19" s="477"/>
      <c r="LD19" s="477"/>
      <c r="LE19" s="477"/>
      <c r="LF19" s="477"/>
      <c r="LG19" s="477"/>
      <c r="LH19" s="477"/>
      <c r="LI19" s="477"/>
      <c r="LJ19" s="477"/>
      <c r="LK19" s="477"/>
      <c r="LL19" s="477"/>
      <c r="LM19" s="477"/>
      <c r="LN19" s="477"/>
      <c r="LO19" s="477"/>
      <c r="LP19" s="477"/>
      <c r="LQ19" s="477"/>
      <c r="LR19" s="477"/>
      <c r="LS19" s="477"/>
      <c r="LT19" s="477"/>
      <c r="LU19" s="477"/>
      <c r="LV19" s="477"/>
      <c r="LW19" s="477"/>
      <c r="LX19" s="477"/>
      <c r="LY19" s="477"/>
      <c r="LZ19" s="477"/>
      <c r="MA19" s="477"/>
      <c r="MB19" s="477"/>
      <c r="MC19" s="477"/>
      <c r="MD19" s="477"/>
      <c r="ME19" s="477"/>
      <c r="MF19" s="477"/>
      <c r="MG19" s="477"/>
      <c r="MH19" s="477"/>
      <c r="MI19" s="477"/>
      <c r="MJ19" s="477"/>
      <c r="MK19" s="477"/>
      <c r="ML19" s="477"/>
      <c r="MM19" s="477"/>
      <c r="MN19" s="477"/>
      <c r="MO19" s="477"/>
      <c r="MP19" s="477"/>
      <c r="MQ19" s="477"/>
      <c r="MR19" s="477"/>
      <c r="MS19" s="477"/>
      <c r="MT19" s="477"/>
      <c r="MU19" s="477"/>
      <c r="MV19" s="477"/>
      <c r="MW19" s="477"/>
      <c r="MX19" s="477"/>
      <c r="MY19" s="477"/>
      <c r="MZ19" s="477"/>
    </row>
    <row r="20" spans="2:364" x14ac:dyDescent="0.25">
      <c r="B20" s="367"/>
      <c r="C20" s="367"/>
      <c r="D20" s="367"/>
      <c r="E20" s="367"/>
      <c r="F20" s="367"/>
      <c r="G20" s="372" t="s">
        <v>22</v>
      </c>
      <c r="H20" s="372"/>
      <c r="I20" s="372"/>
      <c r="J20" s="372"/>
      <c r="K20" s="372"/>
      <c r="L20" s="372"/>
      <c r="M20" s="372"/>
      <c r="N20" s="372"/>
      <c r="O20" s="372"/>
      <c r="P20" s="372"/>
      <c r="Q20" s="372"/>
      <c r="R20" s="372"/>
      <c r="S20" s="372"/>
      <c r="T20" s="372"/>
      <c r="U20" s="372"/>
      <c r="V20" s="372"/>
      <c r="W20" s="372"/>
      <c r="X20" s="372"/>
      <c r="Y20" s="372"/>
      <c r="Z20" s="374" t="s">
        <v>820</v>
      </c>
      <c r="AA20" s="374"/>
      <c r="AB20" s="374"/>
      <c r="AC20" s="374"/>
      <c r="AD20" s="374"/>
      <c r="AE20" s="374"/>
      <c r="AF20" s="374"/>
      <c r="AG20" s="374"/>
      <c r="AH20" s="374"/>
      <c r="AI20" s="374"/>
      <c r="AJ20" s="374"/>
      <c r="AK20" s="374"/>
      <c r="AL20" s="374"/>
      <c r="AM20" s="374"/>
      <c r="AN20" s="374"/>
      <c r="AO20" s="374"/>
      <c r="AP20" s="374"/>
      <c r="AQ20" s="374"/>
      <c r="AR20" s="374"/>
      <c r="AS20" s="374"/>
      <c r="AT20" s="374"/>
      <c r="AU20" s="374"/>
      <c r="AV20" s="374"/>
      <c r="AW20" s="374"/>
      <c r="AX20" s="374"/>
      <c r="AY20" s="374"/>
      <c r="AZ20" s="374"/>
      <c r="BA20" s="374"/>
      <c r="BB20" s="374"/>
      <c r="BC20" s="374"/>
      <c r="BD20" s="374"/>
      <c r="BE20" s="374"/>
      <c r="BF20" s="374"/>
      <c r="BG20" s="374"/>
      <c r="BH20" s="374"/>
      <c r="BI20" s="374"/>
      <c r="BJ20" s="374"/>
      <c r="BK20" s="374"/>
      <c r="BL20" s="374"/>
      <c r="BM20" s="374"/>
      <c r="BN20" s="374"/>
      <c r="BO20" s="374"/>
      <c r="BP20" s="374"/>
      <c r="BQ20" s="374"/>
      <c r="BR20" s="374"/>
      <c r="BS20" s="374"/>
      <c r="BT20" s="374"/>
      <c r="BU20" s="374"/>
      <c r="BV20" s="374"/>
      <c r="BW20" s="374"/>
      <c r="BX20" s="374"/>
      <c r="BY20" s="374"/>
      <c r="BZ20" s="374"/>
      <c r="CA20" s="374"/>
      <c r="CB20" s="374"/>
      <c r="CC20" s="374"/>
      <c r="CD20" s="374"/>
      <c r="CE20" s="374"/>
      <c r="CF20" s="374"/>
      <c r="CG20" s="374"/>
      <c r="CH20" s="374"/>
      <c r="CI20">
        <v>6</v>
      </c>
      <c r="CJ20">
        <v>256</v>
      </c>
      <c r="CK20" s="450" t="str">
        <f>IFERROR(VLOOKUP($CI20,Skills!$H$2:$N$620,7,FALSE),"")</f>
        <v/>
      </c>
      <c r="CL20" s="451"/>
      <c r="CM20" s="451"/>
      <c r="CN20" s="451"/>
      <c r="CO20" s="451"/>
      <c r="CP20" s="451"/>
      <c r="CQ20" s="451"/>
      <c r="CR20" s="451"/>
      <c r="CS20" s="451"/>
      <c r="CT20" s="451"/>
      <c r="CU20" s="451"/>
      <c r="CV20" s="451"/>
      <c r="CW20" s="451"/>
      <c r="CX20" s="451"/>
      <c r="CY20" s="451"/>
      <c r="CZ20" s="451"/>
      <c r="DA20" s="451"/>
      <c r="DB20" s="451"/>
      <c r="DC20" s="451"/>
      <c r="DD20" s="451"/>
      <c r="DE20" s="451"/>
      <c r="DF20" s="451"/>
      <c r="DG20" s="451"/>
      <c r="DH20" s="451"/>
      <c r="DI20" s="451"/>
      <c r="DJ20" s="451"/>
      <c r="DK20" s="451"/>
      <c r="DL20" s="451"/>
      <c r="DM20" s="451"/>
      <c r="DN20" s="451"/>
      <c r="DO20" s="451"/>
      <c r="DP20" s="451"/>
      <c r="DQ20" s="451"/>
      <c r="DR20" s="451"/>
      <c r="DS20" s="451"/>
      <c r="DT20" s="451"/>
      <c r="DU20" s="451"/>
      <c r="DV20" s="451"/>
      <c r="DW20" s="451"/>
      <c r="DX20" s="451"/>
      <c r="DY20" s="451"/>
      <c r="DZ20" s="451"/>
      <c r="EA20" s="451"/>
      <c r="EB20" s="451"/>
      <c r="EC20" s="417" t="str">
        <f>IFERROR(VLOOKUP($CI20,Skills!$H$2:$K$620,4,FALSE),"")</f>
        <v/>
      </c>
      <c r="ED20" s="417"/>
      <c r="EE20" s="417"/>
      <c r="EF20" s="417"/>
      <c r="EG20" s="417"/>
      <c r="EH20" s="452"/>
      <c r="EI20" s="452"/>
      <c r="EJ20" s="452"/>
      <c r="EK20" s="452"/>
      <c r="EL20" s="453"/>
      <c r="EM20" s="451" t="str">
        <f>IFERROR(VLOOKUP($CJ20,Skills!$H$2:$N$620,7,FALSE),"")</f>
        <v/>
      </c>
      <c r="EN20" s="451"/>
      <c r="EO20" s="451"/>
      <c r="EP20" s="451"/>
      <c r="EQ20" s="451"/>
      <c r="ER20" s="451"/>
      <c r="ES20" s="451"/>
      <c r="ET20" s="451"/>
      <c r="EU20" s="451"/>
      <c r="EV20" s="451"/>
      <c r="EW20" s="451"/>
      <c r="EX20" s="451"/>
      <c r="EY20" s="451"/>
      <c r="EZ20" s="451"/>
      <c r="FA20" s="451"/>
      <c r="FB20" s="451"/>
      <c r="FC20" s="451"/>
      <c r="FD20" s="451"/>
      <c r="FE20" s="451"/>
      <c r="FF20" s="451"/>
      <c r="FG20" s="451"/>
      <c r="FH20" s="451"/>
      <c r="FI20" s="451"/>
      <c r="FJ20" s="451"/>
      <c r="FK20" s="451"/>
      <c r="FL20" s="451"/>
      <c r="FM20" s="451"/>
      <c r="FN20" s="451"/>
      <c r="FO20" s="451"/>
      <c r="FP20" s="451"/>
      <c r="FQ20" s="451"/>
      <c r="FR20" s="451"/>
      <c r="FS20" s="451"/>
      <c r="FT20" s="451"/>
      <c r="FU20" s="451"/>
      <c r="FV20" s="451"/>
      <c r="FW20" s="451"/>
      <c r="FX20" s="451"/>
      <c r="FY20" s="451"/>
      <c r="FZ20" s="451"/>
      <c r="GA20" s="451"/>
      <c r="GB20" s="451"/>
      <c r="GC20" s="451"/>
      <c r="GD20" s="451"/>
      <c r="GE20" s="417" t="str">
        <f>IFERROR(VLOOKUP($CJ20,Skills!$H$2:$K$620,4,FALSE),"")</f>
        <v/>
      </c>
      <c r="GF20" s="417"/>
      <c r="GG20" s="417"/>
      <c r="GH20" s="417"/>
      <c r="GI20" s="417"/>
      <c r="GJ20" s="454"/>
      <c r="GK20" s="454"/>
      <c r="GL20" s="454"/>
      <c r="GM20" s="454"/>
      <c r="GN20" s="455"/>
      <c r="GQ20" s="370">
        <f>IF((VLOOKUP($Z$11,RaceChart,33,FALSE))="","",(VLOOKUP($Z$11,RaceChart,33,FALSE)))</f>
        <v>0</v>
      </c>
      <c r="GR20" s="370"/>
      <c r="GS20" s="370"/>
      <c r="GT20" s="370"/>
      <c r="GU20" s="370"/>
      <c r="GV20" s="370"/>
      <c r="GW20" s="370"/>
      <c r="GX20" s="370"/>
      <c r="GY20" s="370"/>
      <c r="GZ20" s="370"/>
      <c r="HA20" s="370"/>
      <c r="HB20" s="370"/>
      <c r="HC20" s="370"/>
      <c r="HD20" s="370"/>
      <c r="HE20" s="370"/>
      <c r="HF20" s="370"/>
      <c r="HG20" s="370"/>
      <c r="HH20" s="370"/>
      <c r="HI20" s="370"/>
      <c r="HJ20" s="370"/>
      <c r="HK20" s="370"/>
      <c r="HL20" s="370"/>
      <c r="HM20" s="370"/>
      <c r="HN20" s="370"/>
      <c r="HO20" s="370"/>
      <c r="HP20" s="370"/>
      <c r="HQ20" s="370"/>
      <c r="HR20" s="370"/>
      <c r="HS20" s="370"/>
      <c r="HT20" s="370"/>
      <c r="HU20" s="370"/>
      <c r="HV20" s="370"/>
      <c r="HW20" s="370"/>
      <c r="HX20" s="370"/>
      <c r="HY20" s="370"/>
      <c r="HZ20" s="370"/>
      <c r="IA20" s="370"/>
      <c r="IB20" s="370"/>
      <c r="IC20" s="370"/>
      <c r="ID20" s="370"/>
      <c r="IE20" s="381" t="str">
        <f>IFERROR(VLOOKUP(GQ20,Charts!$V$2:$X$518,3,FALSE),"")</f>
        <v/>
      </c>
      <c r="IF20" s="381"/>
      <c r="IG20" s="381"/>
      <c r="IH20" s="381"/>
      <c r="II20" s="381"/>
      <c r="IJ20" s="381"/>
      <c r="IK20" s="381"/>
      <c r="IL20" s="381"/>
      <c r="IM20" s="381"/>
      <c r="IN20" s="381"/>
      <c r="IO20" s="381"/>
      <c r="IP20" s="381"/>
      <c r="IQ20" s="381"/>
      <c r="IR20" s="381"/>
      <c r="IS20" s="381"/>
      <c r="IT20" s="381"/>
      <c r="IU20" s="381"/>
      <c r="IV20" s="381"/>
      <c r="IW20" s="381"/>
      <c r="IX20" s="381"/>
      <c r="IY20" s="381"/>
      <c r="IZ20" s="381"/>
      <c r="JA20" s="381"/>
      <c r="JB20" s="381"/>
      <c r="JC20" s="381"/>
      <c r="JD20" s="381"/>
      <c r="JE20" s="381"/>
      <c r="JF20" s="381"/>
      <c r="JG20" s="381"/>
      <c r="JH20" s="381"/>
      <c r="JI20" s="381"/>
      <c r="JJ20" s="381"/>
      <c r="JK20" s="381"/>
      <c r="JL20" s="381"/>
      <c r="JM20" s="381"/>
      <c r="JN20" s="381"/>
      <c r="JO20" s="381"/>
      <c r="JP20" s="381"/>
      <c r="JQ20" s="381"/>
      <c r="JR20" s="381"/>
      <c r="JS20" s="381"/>
      <c r="JT20" s="381"/>
      <c r="JU20" s="381"/>
      <c r="JV20" s="381"/>
      <c r="JW20" s="381"/>
      <c r="JX20" s="381"/>
      <c r="JY20" s="381"/>
      <c r="JZ20" s="381"/>
      <c r="KA20" s="381"/>
      <c r="KB20" s="381"/>
      <c r="KC20" s="381"/>
      <c r="KD20" s="381"/>
      <c r="KE20" s="381"/>
      <c r="KF20" s="381"/>
      <c r="KG20" s="381"/>
      <c r="KH20" s="381"/>
      <c r="KI20" s="381"/>
      <c r="KJ20" s="381"/>
      <c r="KK20" s="381"/>
      <c r="KL20" s="381"/>
      <c r="KM20" s="381"/>
      <c r="KN20" s="381"/>
      <c r="KO20" s="381"/>
      <c r="KP20" s="381"/>
      <c r="KQ20" s="381"/>
      <c r="KR20" s="381"/>
      <c r="KS20" s="381"/>
      <c r="KT20" s="381"/>
      <c r="KU20" s="381"/>
      <c r="KV20" s="381"/>
      <c r="KW20" s="381"/>
      <c r="KX20" s="381"/>
      <c r="KY20" s="381"/>
      <c r="KZ20" s="381"/>
      <c r="LA20" s="381"/>
      <c r="LB20" s="381"/>
      <c r="LC20" s="381"/>
      <c r="LD20" s="381"/>
      <c r="LE20" s="381"/>
      <c r="LF20" s="381"/>
      <c r="LG20" s="381"/>
      <c r="LH20" s="381"/>
      <c r="LI20" s="381"/>
      <c r="LJ20" s="381"/>
      <c r="LK20" s="381"/>
      <c r="LL20" s="381"/>
      <c r="LM20" s="381"/>
      <c r="LN20" s="381"/>
      <c r="LO20" s="381"/>
      <c r="LP20" s="381"/>
      <c r="LQ20" s="381"/>
      <c r="LR20" s="381"/>
      <c r="LS20" s="381"/>
      <c r="LT20" s="381"/>
      <c r="LU20" s="381"/>
      <c r="LV20" s="381"/>
      <c r="LW20" s="381"/>
      <c r="LX20" s="381"/>
      <c r="LY20" s="381"/>
      <c r="LZ20" s="381"/>
      <c r="MA20" s="381"/>
      <c r="MB20" s="381"/>
      <c r="MC20" s="381"/>
      <c r="MD20" s="381"/>
      <c r="ME20" s="381"/>
      <c r="MF20" s="381"/>
      <c r="MG20" s="381"/>
      <c r="MH20" s="381"/>
      <c r="MI20" s="381"/>
      <c r="MJ20" s="381"/>
      <c r="MK20" s="381"/>
      <c r="ML20" s="381"/>
      <c r="MM20" s="381"/>
      <c r="MN20" s="381"/>
      <c r="MO20" s="381"/>
      <c r="MP20" s="381"/>
      <c r="MQ20" s="381"/>
      <c r="MR20" s="381"/>
      <c r="MS20" s="381"/>
      <c r="MT20" s="381"/>
      <c r="MU20" s="381"/>
      <c r="MV20" s="381"/>
      <c r="MW20" s="381"/>
      <c r="MX20" s="381"/>
      <c r="MY20" s="381"/>
      <c r="MZ20" s="381"/>
    </row>
    <row r="21" spans="2:364" x14ac:dyDescent="0.25">
      <c r="B21" s="375"/>
      <c r="C21" s="375"/>
      <c r="D21" s="375"/>
      <c r="E21" s="375"/>
      <c r="F21" s="375"/>
      <c r="G21" s="376" t="s">
        <v>12</v>
      </c>
      <c r="H21" s="376"/>
      <c r="I21" s="376"/>
      <c r="J21" s="376"/>
      <c r="K21" s="376"/>
      <c r="L21" s="376"/>
      <c r="M21" s="376"/>
      <c r="N21" s="376"/>
      <c r="O21" s="376"/>
      <c r="P21" s="376"/>
      <c r="Q21" s="376"/>
      <c r="R21" s="376"/>
      <c r="S21" s="376"/>
      <c r="T21" s="376"/>
      <c r="U21" s="376"/>
      <c r="V21" s="376"/>
      <c r="W21" s="376"/>
      <c r="X21" s="376"/>
      <c r="Y21" s="376"/>
      <c r="Z21" s="377" t="s">
        <v>821</v>
      </c>
      <c r="AA21" s="377"/>
      <c r="AB21" s="377"/>
      <c r="AC21" s="377"/>
      <c r="AD21" s="377"/>
      <c r="AE21" s="377"/>
      <c r="AF21" s="377"/>
      <c r="AG21" s="377"/>
      <c r="AH21" s="377"/>
      <c r="AI21" s="377"/>
      <c r="AJ21" s="377"/>
      <c r="AK21" s="377"/>
      <c r="AL21" s="377"/>
      <c r="AM21" s="377"/>
      <c r="AN21" s="377"/>
      <c r="AO21" s="377"/>
      <c r="AP21" s="377"/>
      <c r="AQ21" s="377"/>
      <c r="AR21" s="377"/>
      <c r="AS21" s="377"/>
      <c r="AT21" s="377"/>
      <c r="AU21" s="377"/>
      <c r="AV21" s="377"/>
      <c r="AW21" s="377"/>
      <c r="AX21" s="377"/>
      <c r="AY21" s="377"/>
      <c r="AZ21" s="377"/>
      <c r="BA21" s="377"/>
      <c r="BB21" s="377"/>
      <c r="BC21" s="377"/>
      <c r="BD21" s="377"/>
      <c r="BE21" s="377"/>
      <c r="BF21" s="377"/>
      <c r="BG21" s="377"/>
      <c r="BH21" s="377"/>
      <c r="BI21" s="377"/>
      <c r="BJ21" s="377"/>
      <c r="BK21" s="377"/>
      <c r="BL21" s="377"/>
      <c r="BM21" s="377"/>
      <c r="BN21" s="377"/>
      <c r="BO21" s="377"/>
      <c r="BP21" s="377"/>
      <c r="BQ21" s="377"/>
      <c r="BR21" s="377"/>
      <c r="BS21" s="377"/>
      <c r="BT21" s="377"/>
      <c r="BU21" s="377"/>
      <c r="BV21" s="377"/>
      <c r="BW21" s="377"/>
      <c r="BX21" s="377"/>
      <c r="BY21" s="377"/>
      <c r="BZ21" s="377"/>
      <c r="CA21" s="377"/>
      <c r="CB21" s="377"/>
      <c r="CC21" s="377"/>
      <c r="CD21" s="377"/>
      <c r="CE21" s="377"/>
      <c r="CF21" s="377"/>
      <c r="CG21" s="377"/>
      <c r="CH21" s="377"/>
      <c r="CI21">
        <v>7</v>
      </c>
      <c r="CJ21">
        <v>257</v>
      </c>
      <c r="CK21" s="365" t="str">
        <f>IFERROR(VLOOKUP($CI21,Skills!$H$2:$N$620,7,FALSE),"")</f>
        <v/>
      </c>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445" t="str">
        <f>IFERROR(VLOOKUP($CI21,Skills!$H$2:$K$620,4,FALSE),"")</f>
        <v/>
      </c>
      <c r="ED21" s="445"/>
      <c r="EE21" s="445"/>
      <c r="EF21" s="445"/>
      <c r="EG21" s="445"/>
      <c r="EH21" s="446"/>
      <c r="EI21" s="446"/>
      <c r="EJ21" s="446"/>
      <c r="EK21" s="446"/>
      <c r="EL21" s="447"/>
      <c r="EM21" s="366" t="str">
        <f>IFERROR(VLOOKUP($CJ21,Skills!$H$2:$N$620,7,FALSE),"")</f>
        <v/>
      </c>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445" t="str">
        <f>IFERROR(VLOOKUP($CJ21,Skills!$H$2:$K$620,4,FALSE),"")</f>
        <v/>
      </c>
      <c r="GF21" s="445"/>
      <c r="GG21" s="445"/>
      <c r="GH21" s="445"/>
      <c r="GI21" s="445"/>
      <c r="GJ21" s="448"/>
      <c r="GK21" s="448"/>
      <c r="GL21" s="448"/>
      <c r="GM21" s="448"/>
      <c r="GN21" s="449"/>
      <c r="GQ21" s="476">
        <f>IF((VLOOKUP($Z$11,RaceChart,34,FALSE))="","",(VLOOKUP($Z$11,RaceChart,34,FALSE)))</f>
        <v>0</v>
      </c>
      <c r="GR21" s="476"/>
      <c r="GS21" s="476"/>
      <c r="GT21" s="476"/>
      <c r="GU21" s="476"/>
      <c r="GV21" s="476"/>
      <c r="GW21" s="476"/>
      <c r="GX21" s="476"/>
      <c r="GY21" s="476"/>
      <c r="GZ21" s="476"/>
      <c r="HA21" s="476"/>
      <c r="HB21" s="476"/>
      <c r="HC21" s="476"/>
      <c r="HD21" s="476"/>
      <c r="HE21" s="476"/>
      <c r="HF21" s="476"/>
      <c r="HG21" s="476"/>
      <c r="HH21" s="476"/>
      <c r="HI21" s="476"/>
      <c r="HJ21" s="476"/>
      <c r="HK21" s="476"/>
      <c r="HL21" s="476"/>
      <c r="HM21" s="476"/>
      <c r="HN21" s="476"/>
      <c r="HO21" s="476"/>
      <c r="HP21" s="476"/>
      <c r="HQ21" s="476"/>
      <c r="HR21" s="476"/>
      <c r="HS21" s="476"/>
      <c r="HT21" s="476"/>
      <c r="HU21" s="476"/>
      <c r="HV21" s="476"/>
      <c r="HW21" s="476"/>
      <c r="HX21" s="476"/>
      <c r="HY21" s="476"/>
      <c r="HZ21" s="476"/>
      <c r="IA21" s="476"/>
      <c r="IB21" s="476"/>
      <c r="IC21" s="476"/>
      <c r="ID21" s="476"/>
      <c r="IE21" s="477" t="str">
        <f>IFERROR(VLOOKUP(GQ21,Charts!$V$2:$X$518,3,FALSE),"")</f>
        <v/>
      </c>
      <c r="IF21" s="477"/>
      <c r="IG21" s="477"/>
      <c r="IH21" s="477"/>
      <c r="II21" s="477"/>
      <c r="IJ21" s="477"/>
      <c r="IK21" s="477"/>
      <c r="IL21" s="477"/>
      <c r="IM21" s="477"/>
      <c r="IN21" s="477"/>
      <c r="IO21" s="477"/>
      <c r="IP21" s="477"/>
      <c r="IQ21" s="477"/>
      <c r="IR21" s="477"/>
      <c r="IS21" s="477"/>
      <c r="IT21" s="477"/>
      <c r="IU21" s="477"/>
      <c r="IV21" s="477"/>
      <c r="IW21" s="477"/>
      <c r="IX21" s="477"/>
      <c r="IY21" s="477"/>
      <c r="IZ21" s="477"/>
      <c r="JA21" s="477"/>
      <c r="JB21" s="477"/>
      <c r="JC21" s="477"/>
      <c r="JD21" s="477"/>
      <c r="JE21" s="477"/>
      <c r="JF21" s="477"/>
      <c r="JG21" s="477"/>
      <c r="JH21" s="477"/>
      <c r="JI21" s="477"/>
      <c r="JJ21" s="477"/>
      <c r="JK21" s="477"/>
      <c r="JL21" s="477"/>
      <c r="JM21" s="477"/>
      <c r="JN21" s="477"/>
      <c r="JO21" s="477"/>
      <c r="JP21" s="477"/>
      <c r="JQ21" s="477"/>
      <c r="JR21" s="477"/>
      <c r="JS21" s="477"/>
      <c r="JT21" s="477"/>
      <c r="JU21" s="477"/>
      <c r="JV21" s="477"/>
      <c r="JW21" s="477"/>
      <c r="JX21" s="477"/>
      <c r="JY21" s="477"/>
      <c r="JZ21" s="477"/>
      <c r="KA21" s="477"/>
      <c r="KB21" s="477"/>
      <c r="KC21" s="477"/>
      <c r="KD21" s="477"/>
      <c r="KE21" s="477"/>
      <c r="KF21" s="477"/>
      <c r="KG21" s="477"/>
      <c r="KH21" s="477"/>
      <c r="KI21" s="477"/>
      <c r="KJ21" s="477"/>
      <c r="KK21" s="477"/>
      <c r="KL21" s="477"/>
      <c r="KM21" s="477"/>
      <c r="KN21" s="477"/>
      <c r="KO21" s="477"/>
      <c r="KP21" s="477"/>
      <c r="KQ21" s="477"/>
      <c r="KR21" s="477"/>
      <c r="KS21" s="477"/>
      <c r="KT21" s="477"/>
      <c r="KU21" s="477"/>
      <c r="KV21" s="477"/>
      <c r="KW21" s="477"/>
      <c r="KX21" s="477"/>
      <c r="KY21" s="477"/>
      <c r="KZ21" s="477"/>
      <c r="LA21" s="477"/>
      <c r="LB21" s="477"/>
      <c r="LC21" s="477"/>
      <c r="LD21" s="477"/>
      <c r="LE21" s="477"/>
      <c r="LF21" s="477"/>
      <c r="LG21" s="477"/>
      <c r="LH21" s="477"/>
      <c r="LI21" s="477"/>
      <c r="LJ21" s="477"/>
      <c r="LK21" s="477"/>
      <c r="LL21" s="477"/>
      <c r="LM21" s="477"/>
      <c r="LN21" s="477"/>
      <c r="LO21" s="477"/>
      <c r="LP21" s="477"/>
      <c r="LQ21" s="477"/>
      <c r="LR21" s="477"/>
      <c r="LS21" s="477"/>
      <c r="LT21" s="477"/>
      <c r="LU21" s="477"/>
      <c r="LV21" s="477"/>
      <c r="LW21" s="477"/>
      <c r="LX21" s="477"/>
      <c r="LY21" s="477"/>
      <c r="LZ21" s="477"/>
      <c r="MA21" s="477"/>
      <c r="MB21" s="477"/>
      <c r="MC21" s="477"/>
      <c r="MD21" s="477"/>
      <c r="ME21" s="477"/>
      <c r="MF21" s="477"/>
      <c r="MG21" s="477"/>
      <c r="MH21" s="477"/>
      <c r="MI21" s="477"/>
      <c r="MJ21" s="477"/>
      <c r="MK21" s="477"/>
      <c r="ML21" s="477"/>
      <c r="MM21" s="477"/>
      <c r="MN21" s="477"/>
      <c r="MO21" s="477"/>
      <c r="MP21" s="477"/>
      <c r="MQ21" s="477"/>
      <c r="MR21" s="477"/>
      <c r="MS21" s="477"/>
      <c r="MT21" s="477"/>
      <c r="MU21" s="477"/>
      <c r="MV21" s="477"/>
      <c r="MW21" s="477"/>
      <c r="MX21" s="477"/>
      <c r="MY21" s="477"/>
      <c r="MZ21" s="477"/>
    </row>
    <row r="22" spans="2:364" x14ac:dyDescent="0.25">
      <c r="CI22">
        <v>8</v>
      </c>
      <c r="CJ22">
        <v>258</v>
      </c>
      <c r="CK22" s="450" t="str">
        <f>IFERROR(VLOOKUP($CI22,Skills!$H$2:$N$620,7,FALSE),"")</f>
        <v/>
      </c>
      <c r="CL22" s="451"/>
      <c r="CM22" s="451"/>
      <c r="CN22" s="451"/>
      <c r="CO22" s="451"/>
      <c r="CP22" s="451"/>
      <c r="CQ22" s="451"/>
      <c r="CR22" s="451"/>
      <c r="CS22" s="451"/>
      <c r="CT22" s="451"/>
      <c r="CU22" s="451"/>
      <c r="CV22" s="451"/>
      <c r="CW22" s="451"/>
      <c r="CX22" s="451"/>
      <c r="CY22" s="451"/>
      <c r="CZ22" s="451"/>
      <c r="DA22" s="451"/>
      <c r="DB22" s="451"/>
      <c r="DC22" s="451"/>
      <c r="DD22" s="451"/>
      <c r="DE22" s="451"/>
      <c r="DF22" s="451"/>
      <c r="DG22" s="451"/>
      <c r="DH22" s="451"/>
      <c r="DI22" s="451"/>
      <c r="DJ22" s="451"/>
      <c r="DK22" s="451"/>
      <c r="DL22" s="451"/>
      <c r="DM22" s="451"/>
      <c r="DN22" s="451"/>
      <c r="DO22" s="451"/>
      <c r="DP22" s="451"/>
      <c r="DQ22" s="451"/>
      <c r="DR22" s="451"/>
      <c r="DS22" s="451"/>
      <c r="DT22" s="451"/>
      <c r="DU22" s="451"/>
      <c r="DV22" s="451"/>
      <c r="DW22" s="451"/>
      <c r="DX22" s="451"/>
      <c r="DY22" s="451"/>
      <c r="DZ22" s="451"/>
      <c r="EA22" s="451"/>
      <c r="EB22" s="451"/>
      <c r="EC22" s="417" t="str">
        <f>IFERROR(VLOOKUP($CI22,Skills!$H$2:$K$620,4,FALSE),"")</f>
        <v/>
      </c>
      <c r="ED22" s="417"/>
      <c r="EE22" s="417"/>
      <c r="EF22" s="417"/>
      <c r="EG22" s="417"/>
      <c r="EH22" s="452"/>
      <c r="EI22" s="452"/>
      <c r="EJ22" s="452"/>
      <c r="EK22" s="452"/>
      <c r="EL22" s="453"/>
      <c r="EM22" s="451" t="str">
        <f>IFERROR(VLOOKUP($CJ22,Skills!$H$2:$N$620,7,FALSE),"")</f>
        <v/>
      </c>
      <c r="EN22" s="451"/>
      <c r="EO22" s="451"/>
      <c r="EP22" s="451"/>
      <c r="EQ22" s="451"/>
      <c r="ER22" s="451"/>
      <c r="ES22" s="451"/>
      <c r="ET22" s="451"/>
      <c r="EU22" s="451"/>
      <c r="EV22" s="451"/>
      <c r="EW22" s="451"/>
      <c r="EX22" s="451"/>
      <c r="EY22" s="451"/>
      <c r="EZ22" s="451"/>
      <c r="FA22" s="451"/>
      <c r="FB22" s="451"/>
      <c r="FC22" s="451"/>
      <c r="FD22" s="451"/>
      <c r="FE22" s="451"/>
      <c r="FF22" s="451"/>
      <c r="FG22" s="451"/>
      <c r="FH22" s="451"/>
      <c r="FI22" s="451"/>
      <c r="FJ22" s="451"/>
      <c r="FK22" s="451"/>
      <c r="FL22" s="451"/>
      <c r="FM22" s="451"/>
      <c r="FN22" s="451"/>
      <c r="FO22" s="451"/>
      <c r="FP22" s="451"/>
      <c r="FQ22" s="451"/>
      <c r="FR22" s="451"/>
      <c r="FS22" s="451"/>
      <c r="FT22" s="451"/>
      <c r="FU22" s="451"/>
      <c r="FV22" s="451"/>
      <c r="FW22" s="451"/>
      <c r="FX22" s="451"/>
      <c r="FY22" s="451"/>
      <c r="FZ22" s="451"/>
      <c r="GA22" s="451"/>
      <c r="GB22" s="451"/>
      <c r="GC22" s="451"/>
      <c r="GD22" s="451"/>
      <c r="GE22" s="417" t="str">
        <f>IFERROR(VLOOKUP($CJ22,Skills!$H$2:$K$620,4,FALSE),"")</f>
        <v/>
      </c>
      <c r="GF22" s="417"/>
      <c r="GG22" s="417"/>
      <c r="GH22" s="417"/>
      <c r="GI22" s="417"/>
      <c r="GJ22" s="454"/>
      <c r="GK22" s="454"/>
      <c r="GL22" s="454"/>
      <c r="GM22" s="454"/>
      <c r="GN22" s="455"/>
      <c r="GQ22" s="478" t="s">
        <v>2022</v>
      </c>
      <c r="GR22" s="478"/>
      <c r="GS22" s="478"/>
      <c r="GT22" s="478"/>
      <c r="GU22" s="478"/>
      <c r="GV22" s="478"/>
      <c r="GW22" s="478"/>
      <c r="GX22" s="478"/>
      <c r="GY22" s="478"/>
      <c r="GZ22" s="478"/>
      <c r="HA22" s="478"/>
      <c r="HB22" s="478"/>
      <c r="HC22" s="478"/>
      <c r="HD22" s="478"/>
      <c r="HE22" s="478"/>
      <c r="HF22" s="478"/>
      <c r="HG22" s="478"/>
      <c r="HH22" s="478"/>
      <c r="HI22" s="478"/>
      <c r="HJ22" s="478"/>
      <c r="HK22" s="478"/>
      <c r="HL22" s="478"/>
      <c r="HM22" s="478"/>
      <c r="HN22" s="478"/>
      <c r="HO22" s="478"/>
      <c r="HP22" s="478"/>
      <c r="HQ22" s="478"/>
      <c r="HR22" s="478"/>
      <c r="HS22" s="478"/>
      <c r="HT22" s="478"/>
      <c r="HU22" s="478"/>
      <c r="HV22" s="478"/>
      <c r="HW22" s="478"/>
      <c r="HX22" s="478"/>
      <c r="HY22" s="478"/>
      <c r="HZ22" s="478"/>
      <c r="IA22" s="478"/>
      <c r="IB22" s="478"/>
      <c r="IC22" s="478"/>
      <c r="ID22" s="478"/>
      <c r="IE22" s="479" t="s">
        <v>141</v>
      </c>
      <c r="IF22" s="479"/>
      <c r="IG22" s="479"/>
      <c r="IH22" s="479"/>
      <c r="II22" s="479"/>
      <c r="IJ22" s="479"/>
      <c r="IK22" s="479"/>
      <c r="IL22" s="479"/>
      <c r="IM22" s="479"/>
      <c r="IN22" s="479"/>
      <c r="IO22" s="479"/>
      <c r="IP22" s="479"/>
      <c r="IQ22" s="479"/>
      <c r="IR22" s="479"/>
      <c r="IS22" s="479"/>
      <c r="IT22" s="479"/>
      <c r="IU22" s="479"/>
      <c r="IV22" s="479"/>
      <c r="IW22" s="479"/>
      <c r="IX22" s="479"/>
      <c r="IY22" s="479"/>
      <c r="IZ22" s="479"/>
      <c r="JA22" s="479"/>
      <c r="JB22" s="479"/>
      <c r="JC22" s="479"/>
      <c r="JD22" s="479"/>
      <c r="JE22" s="479"/>
      <c r="JF22" s="479"/>
      <c r="JG22" s="479"/>
      <c r="JH22" s="479"/>
      <c r="JI22" s="479"/>
      <c r="JJ22" s="479"/>
      <c r="JK22" s="479"/>
      <c r="JL22" s="479"/>
      <c r="JM22" s="479"/>
      <c r="JN22" s="479"/>
      <c r="JO22" s="479"/>
      <c r="JP22" s="479"/>
      <c r="JQ22" s="479"/>
      <c r="JR22" s="479"/>
      <c r="JS22" s="479"/>
      <c r="JT22" s="479"/>
      <c r="JU22" s="479"/>
      <c r="JV22" s="479"/>
      <c r="JW22" s="479"/>
      <c r="JX22" s="479"/>
      <c r="JY22" s="479"/>
      <c r="JZ22" s="479"/>
      <c r="KA22" s="479"/>
      <c r="KB22" s="479"/>
      <c r="KC22" s="479"/>
      <c r="KD22" s="479"/>
      <c r="KE22" s="479"/>
      <c r="KF22" s="479"/>
      <c r="KG22" s="479"/>
      <c r="KH22" s="479"/>
      <c r="KI22" s="479"/>
      <c r="KJ22" s="479"/>
      <c r="KK22" s="479"/>
      <c r="KL22" s="479"/>
      <c r="KM22" s="479"/>
      <c r="KN22" s="479"/>
      <c r="KO22" s="479"/>
      <c r="KP22" s="479"/>
      <c r="KQ22" s="479"/>
      <c r="KR22" s="479"/>
      <c r="KS22" s="479"/>
      <c r="KT22" s="479"/>
      <c r="KU22" s="479"/>
      <c r="KV22" s="479"/>
      <c r="KW22" s="479"/>
      <c r="KX22" s="479"/>
      <c r="KY22" s="479"/>
      <c r="KZ22" s="479"/>
      <c r="LA22" s="479"/>
      <c r="LB22" s="479"/>
      <c r="LC22" s="479"/>
      <c r="LD22" s="479"/>
      <c r="LE22" s="479"/>
      <c r="LF22" s="479"/>
      <c r="LG22" s="479"/>
      <c r="LH22" s="479"/>
      <c r="LI22" s="479"/>
      <c r="LJ22" s="479"/>
      <c r="LK22" s="479"/>
      <c r="LL22" s="479"/>
      <c r="LM22" s="479"/>
      <c r="LN22" s="479"/>
      <c r="LO22" s="479"/>
      <c r="LP22" s="479"/>
      <c r="LQ22" s="479"/>
      <c r="LR22" s="479"/>
      <c r="LS22" s="479"/>
      <c r="LT22" s="479"/>
      <c r="LU22" s="479"/>
      <c r="LV22" s="479"/>
      <c r="LW22" s="479"/>
      <c r="LX22" s="479"/>
      <c r="LY22" s="479"/>
      <c r="LZ22" s="479"/>
      <c r="MA22" s="479"/>
      <c r="MB22" s="479"/>
      <c r="MC22" s="479"/>
      <c r="MD22" s="479"/>
      <c r="ME22" s="479"/>
      <c r="MF22" s="479"/>
      <c r="MG22" s="479"/>
      <c r="MH22" s="479"/>
      <c r="MI22" s="479"/>
      <c r="MJ22" s="479"/>
      <c r="MK22" s="479"/>
      <c r="ML22" s="479"/>
      <c r="MM22" s="479"/>
      <c r="MN22" s="479"/>
      <c r="MO22" s="479"/>
      <c r="MP22" s="479"/>
      <c r="MQ22" s="479"/>
      <c r="MR22" s="479"/>
      <c r="MS22" s="479"/>
      <c r="MT22" s="479"/>
      <c r="MU22" s="479"/>
      <c r="MV22" s="479"/>
      <c r="MW22" s="479"/>
      <c r="MX22" s="479"/>
      <c r="MY22" s="479"/>
      <c r="MZ22" s="479"/>
    </row>
    <row r="23" spans="2:364" ht="15.75" x14ac:dyDescent="0.25">
      <c r="B23" s="356" t="s">
        <v>822</v>
      </c>
      <c r="C23" s="356"/>
      <c r="D23" s="356"/>
      <c r="E23" s="356"/>
      <c r="F23" s="356"/>
      <c r="G23" s="357" t="s">
        <v>188</v>
      </c>
      <c r="H23" s="357"/>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357"/>
      <c r="AK23" s="357"/>
      <c r="AL23" s="357"/>
      <c r="AM23" s="357"/>
      <c r="AN23" s="357"/>
      <c r="AO23" s="357"/>
      <c r="AP23" s="357"/>
      <c r="AQ23" s="357"/>
      <c r="AR23" s="357"/>
      <c r="AS23" s="357"/>
      <c r="AT23" s="357"/>
      <c r="AU23" s="357"/>
      <c r="AV23" s="357"/>
      <c r="AW23" s="357"/>
      <c r="AX23" s="357"/>
      <c r="AY23" s="357"/>
      <c r="AZ23" s="357"/>
      <c r="BA23" s="357"/>
      <c r="BB23" s="357"/>
      <c r="BC23" s="357"/>
      <c r="BD23" s="357"/>
      <c r="BE23" s="357"/>
      <c r="BF23" s="357"/>
      <c r="BG23" s="357"/>
      <c r="BH23" s="357"/>
      <c r="BI23" s="357"/>
      <c r="BJ23" s="357"/>
      <c r="BK23" s="357"/>
      <c r="BL23" s="357"/>
      <c r="BM23" s="357"/>
      <c r="BN23" s="357"/>
      <c r="BO23" s="357"/>
      <c r="BP23" s="357"/>
      <c r="BQ23" s="357"/>
      <c r="BR23" s="357"/>
      <c r="BS23" s="357"/>
      <c r="BT23" s="357"/>
      <c r="BU23" s="357"/>
      <c r="BV23" s="357"/>
      <c r="BW23" s="357"/>
      <c r="BX23" s="357"/>
      <c r="BY23" s="357"/>
      <c r="BZ23" s="357"/>
      <c r="CA23" s="357"/>
      <c r="CB23" s="357"/>
      <c r="CC23" s="357"/>
      <c r="CD23" s="357"/>
      <c r="CE23" s="357"/>
      <c r="CF23" s="357"/>
      <c r="CG23" s="357"/>
      <c r="CH23" s="357"/>
      <c r="CI23">
        <v>9</v>
      </c>
      <c r="CJ23">
        <v>259</v>
      </c>
      <c r="CK23" s="365" t="str">
        <f>IFERROR(VLOOKUP($CI23,Skills!$H$2:$N$620,7,FALSE),"")</f>
        <v/>
      </c>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445" t="str">
        <f>IFERROR(VLOOKUP($CI23,Skills!$H$2:$K$620,4,FALSE),"")</f>
        <v/>
      </c>
      <c r="ED23" s="445"/>
      <c r="EE23" s="445"/>
      <c r="EF23" s="445"/>
      <c r="EG23" s="445"/>
      <c r="EH23" s="446"/>
      <c r="EI23" s="446"/>
      <c r="EJ23" s="446"/>
      <c r="EK23" s="446"/>
      <c r="EL23" s="447"/>
      <c r="EM23" s="366" t="str">
        <f>IFERROR(VLOOKUP($CJ23,Skills!$H$2:$N$620,7,FALSE),"")</f>
        <v/>
      </c>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445" t="str">
        <f>IFERROR(VLOOKUP($CJ23,Skills!$H$2:$K$620,4,FALSE),"")</f>
        <v/>
      </c>
      <c r="GF23" s="445"/>
      <c r="GG23" s="445"/>
      <c r="GH23" s="445"/>
      <c r="GI23" s="445"/>
      <c r="GJ23" s="448"/>
      <c r="GK23" s="448"/>
      <c r="GL23" s="448"/>
      <c r="GM23" s="448"/>
      <c r="GN23" s="449"/>
      <c r="GQ23" s="367">
        <f>IF((VLOOKUP($Z$11,RaceChart,35,FALSE))="","",(VLOOKUP($Z$11,RaceChart,35,FALSE)))</f>
        <v>0</v>
      </c>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477" t="str">
        <f>IFERROR(VLOOKUP(GQ23,Charts!$V$2:$X$518,3,FALSE),"")</f>
        <v/>
      </c>
      <c r="IF23" s="477"/>
      <c r="IG23" s="477"/>
      <c r="IH23" s="477"/>
      <c r="II23" s="477"/>
      <c r="IJ23" s="477"/>
      <c r="IK23" s="477"/>
      <c r="IL23" s="477"/>
      <c r="IM23" s="477"/>
      <c r="IN23" s="477"/>
      <c r="IO23" s="477"/>
      <c r="IP23" s="477"/>
      <c r="IQ23" s="477"/>
      <c r="IR23" s="477"/>
      <c r="IS23" s="477"/>
      <c r="IT23" s="477"/>
      <c r="IU23" s="477"/>
      <c r="IV23" s="477"/>
      <c r="IW23" s="477"/>
      <c r="IX23" s="477"/>
      <c r="IY23" s="477"/>
      <c r="IZ23" s="477"/>
      <c r="JA23" s="477"/>
      <c r="JB23" s="477"/>
      <c r="JC23" s="477"/>
      <c r="JD23" s="477"/>
      <c r="JE23" s="477"/>
      <c r="JF23" s="477"/>
      <c r="JG23" s="477"/>
      <c r="JH23" s="477"/>
      <c r="JI23" s="477"/>
      <c r="JJ23" s="477"/>
      <c r="JK23" s="477"/>
      <c r="JL23" s="477"/>
      <c r="JM23" s="477"/>
      <c r="JN23" s="477"/>
      <c r="JO23" s="477"/>
      <c r="JP23" s="477"/>
      <c r="JQ23" s="477"/>
      <c r="JR23" s="477"/>
      <c r="JS23" s="477"/>
      <c r="JT23" s="477"/>
      <c r="JU23" s="477"/>
      <c r="JV23" s="477"/>
      <c r="JW23" s="477"/>
      <c r="JX23" s="477"/>
      <c r="JY23" s="477"/>
      <c r="JZ23" s="477"/>
      <c r="KA23" s="477"/>
      <c r="KB23" s="477"/>
      <c r="KC23" s="477"/>
      <c r="KD23" s="477"/>
      <c r="KE23" s="477"/>
      <c r="KF23" s="477"/>
      <c r="KG23" s="477"/>
      <c r="KH23" s="477"/>
      <c r="KI23" s="477"/>
      <c r="KJ23" s="477"/>
      <c r="KK23" s="477"/>
      <c r="KL23" s="477"/>
      <c r="KM23" s="477"/>
      <c r="KN23" s="477"/>
      <c r="KO23" s="477"/>
      <c r="KP23" s="477"/>
      <c r="KQ23" s="477"/>
      <c r="KR23" s="477"/>
      <c r="KS23" s="477"/>
      <c r="KT23" s="477"/>
      <c r="KU23" s="477"/>
      <c r="KV23" s="477"/>
      <c r="KW23" s="477"/>
      <c r="KX23" s="477"/>
      <c r="KY23" s="477"/>
      <c r="KZ23" s="477"/>
      <c r="LA23" s="477"/>
      <c r="LB23" s="477"/>
      <c r="LC23" s="477"/>
      <c r="LD23" s="477"/>
      <c r="LE23" s="477"/>
      <c r="LF23" s="477"/>
      <c r="LG23" s="477"/>
      <c r="LH23" s="477"/>
      <c r="LI23" s="477"/>
      <c r="LJ23" s="477"/>
      <c r="LK23" s="477"/>
      <c r="LL23" s="477"/>
      <c r="LM23" s="477"/>
      <c r="LN23" s="477"/>
      <c r="LO23" s="477"/>
      <c r="LP23" s="477"/>
      <c r="LQ23" s="477"/>
      <c r="LR23" s="477"/>
      <c r="LS23" s="477"/>
      <c r="LT23" s="477"/>
      <c r="LU23" s="477"/>
      <c r="LV23" s="477"/>
      <c r="LW23" s="477"/>
      <c r="LX23" s="477"/>
      <c r="LY23" s="477"/>
      <c r="LZ23" s="477"/>
      <c r="MA23" s="477"/>
      <c r="MB23" s="477"/>
      <c r="MC23" s="477"/>
      <c r="MD23" s="477"/>
      <c r="ME23" s="477"/>
      <c r="MF23" s="477"/>
      <c r="MG23" s="477"/>
      <c r="MH23" s="477"/>
      <c r="MI23" s="477"/>
      <c r="MJ23" s="477"/>
      <c r="MK23" s="477"/>
      <c r="ML23" s="477"/>
      <c r="MM23" s="477"/>
      <c r="MN23" s="477"/>
      <c r="MO23" s="477"/>
      <c r="MP23" s="477"/>
      <c r="MQ23" s="477"/>
      <c r="MR23" s="477"/>
      <c r="MS23" s="477"/>
      <c r="MT23" s="477"/>
      <c r="MU23" s="477"/>
      <c r="MV23" s="477"/>
      <c r="MW23" s="477"/>
      <c r="MX23" s="477"/>
      <c r="MY23" s="477"/>
      <c r="MZ23" s="477"/>
    </row>
    <row r="24" spans="2:364" x14ac:dyDescent="0.25">
      <c r="B24" s="361" t="s">
        <v>823</v>
      </c>
      <c r="C24" s="361"/>
      <c r="D24" s="361"/>
      <c r="E24" s="361"/>
      <c r="F24" s="361"/>
      <c r="G24" s="361"/>
      <c r="H24" s="361"/>
      <c r="I24" s="361"/>
      <c r="J24" s="361"/>
      <c r="K24" s="361"/>
      <c r="L24" s="361"/>
      <c r="M24" s="361"/>
      <c r="N24" s="361"/>
      <c r="O24" s="361"/>
      <c r="P24" s="361"/>
      <c r="Q24" s="361"/>
      <c r="R24" s="361"/>
      <c r="S24" s="361"/>
      <c r="T24" s="361"/>
      <c r="U24" s="361"/>
      <c r="V24" s="361"/>
      <c r="W24" s="361"/>
      <c r="X24" s="361"/>
      <c r="Y24" s="361"/>
      <c r="Z24" s="361"/>
      <c r="AA24" s="361"/>
      <c r="AB24" s="361"/>
      <c r="AC24" s="361"/>
      <c r="AD24" s="361"/>
      <c r="AE24" s="361"/>
      <c r="AF24" s="361"/>
      <c r="AG24" s="361"/>
      <c r="AH24" s="361"/>
      <c r="AI24" s="361"/>
      <c r="AJ24" s="361"/>
      <c r="AK24" s="361"/>
      <c r="AL24" s="361"/>
      <c r="AM24" s="361"/>
      <c r="AN24" s="361"/>
      <c r="AO24" s="361"/>
      <c r="AP24" s="361"/>
      <c r="AQ24" s="361"/>
      <c r="AR24" s="361"/>
      <c r="AS24" s="361"/>
      <c r="AT24" s="361"/>
      <c r="AU24" s="361"/>
      <c r="AV24" s="361"/>
      <c r="AW24" s="361"/>
      <c r="AX24" s="361"/>
      <c r="AY24" s="361"/>
      <c r="AZ24" s="361"/>
      <c r="BA24" s="361"/>
      <c r="BB24" s="361"/>
      <c r="BC24" s="361"/>
      <c r="BD24" s="361"/>
      <c r="BE24" s="361"/>
      <c r="BF24" s="361"/>
      <c r="BG24" s="361"/>
      <c r="BH24" s="361"/>
      <c r="BI24" s="361"/>
      <c r="BJ24" s="361"/>
      <c r="BK24" s="361"/>
      <c r="BL24" s="361"/>
      <c r="BM24" s="361"/>
      <c r="BN24" s="361"/>
      <c r="BO24" s="361"/>
      <c r="BP24" s="361"/>
      <c r="BQ24" s="361"/>
      <c r="BR24" s="361"/>
      <c r="BS24" s="361"/>
      <c r="BT24" s="361"/>
      <c r="BU24" s="361"/>
      <c r="BV24" s="361"/>
      <c r="BW24" s="361"/>
      <c r="BX24" s="361"/>
      <c r="BY24" s="361"/>
      <c r="BZ24" s="361"/>
      <c r="CA24" s="361"/>
      <c r="CB24" s="361"/>
      <c r="CC24" s="361"/>
      <c r="CD24" s="361"/>
      <c r="CE24" s="361"/>
      <c r="CF24" s="361"/>
      <c r="CG24" s="361"/>
      <c r="CH24" s="361"/>
      <c r="CI24">
        <v>10</v>
      </c>
      <c r="CJ24">
        <v>260</v>
      </c>
      <c r="CK24" s="450" t="str">
        <f>IFERROR(VLOOKUP($CI24,Skills!$H$2:$N$620,7,FALSE),"")</f>
        <v/>
      </c>
      <c r="CL24" s="451"/>
      <c r="CM24" s="451"/>
      <c r="CN24" s="451"/>
      <c r="CO24" s="451"/>
      <c r="CP24" s="451"/>
      <c r="CQ24" s="451"/>
      <c r="CR24" s="451"/>
      <c r="CS24" s="451"/>
      <c r="CT24" s="451"/>
      <c r="CU24" s="451"/>
      <c r="CV24" s="451"/>
      <c r="CW24" s="451"/>
      <c r="CX24" s="451"/>
      <c r="CY24" s="451"/>
      <c r="CZ24" s="451"/>
      <c r="DA24" s="451"/>
      <c r="DB24" s="451"/>
      <c r="DC24" s="451"/>
      <c r="DD24" s="451"/>
      <c r="DE24" s="451"/>
      <c r="DF24" s="451"/>
      <c r="DG24" s="451"/>
      <c r="DH24" s="451"/>
      <c r="DI24" s="451"/>
      <c r="DJ24" s="451"/>
      <c r="DK24" s="451"/>
      <c r="DL24" s="451"/>
      <c r="DM24" s="451"/>
      <c r="DN24" s="451"/>
      <c r="DO24" s="451"/>
      <c r="DP24" s="451"/>
      <c r="DQ24" s="451"/>
      <c r="DR24" s="451"/>
      <c r="DS24" s="451"/>
      <c r="DT24" s="451"/>
      <c r="DU24" s="451"/>
      <c r="DV24" s="451"/>
      <c r="DW24" s="451"/>
      <c r="DX24" s="451"/>
      <c r="DY24" s="451"/>
      <c r="DZ24" s="451"/>
      <c r="EA24" s="451"/>
      <c r="EB24" s="451"/>
      <c r="EC24" s="417" t="str">
        <f>IFERROR(VLOOKUP($CI24,Skills!$H$2:$K$620,4,FALSE),"")</f>
        <v/>
      </c>
      <c r="ED24" s="417"/>
      <c r="EE24" s="417"/>
      <c r="EF24" s="417"/>
      <c r="EG24" s="417"/>
      <c r="EH24" s="452"/>
      <c r="EI24" s="452"/>
      <c r="EJ24" s="452"/>
      <c r="EK24" s="452"/>
      <c r="EL24" s="453"/>
      <c r="EM24" s="451" t="str">
        <f>IFERROR(VLOOKUP($CJ24,Skills!$H$2:$N$620,7,FALSE),"")</f>
        <v/>
      </c>
      <c r="EN24" s="451"/>
      <c r="EO24" s="451"/>
      <c r="EP24" s="451"/>
      <c r="EQ24" s="451"/>
      <c r="ER24" s="451"/>
      <c r="ES24" s="451"/>
      <c r="ET24" s="451"/>
      <c r="EU24" s="451"/>
      <c r="EV24" s="451"/>
      <c r="EW24" s="451"/>
      <c r="EX24" s="451"/>
      <c r="EY24" s="451"/>
      <c r="EZ24" s="451"/>
      <c r="FA24" s="451"/>
      <c r="FB24" s="451"/>
      <c r="FC24" s="451"/>
      <c r="FD24" s="451"/>
      <c r="FE24" s="451"/>
      <c r="FF24" s="451"/>
      <c r="FG24" s="451"/>
      <c r="FH24" s="451"/>
      <c r="FI24" s="451"/>
      <c r="FJ24" s="451"/>
      <c r="FK24" s="451"/>
      <c r="FL24" s="451"/>
      <c r="FM24" s="451"/>
      <c r="FN24" s="451"/>
      <c r="FO24" s="451"/>
      <c r="FP24" s="451"/>
      <c r="FQ24" s="451"/>
      <c r="FR24" s="451"/>
      <c r="FS24" s="451"/>
      <c r="FT24" s="451"/>
      <c r="FU24" s="451"/>
      <c r="FV24" s="451"/>
      <c r="FW24" s="451"/>
      <c r="FX24" s="451"/>
      <c r="FY24" s="451"/>
      <c r="FZ24" s="451"/>
      <c r="GA24" s="451"/>
      <c r="GB24" s="451"/>
      <c r="GC24" s="451"/>
      <c r="GD24" s="451"/>
      <c r="GE24" s="417" t="str">
        <f>IFERROR(VLOOKUP($CJ24,Skills!$H$2:$K$620,4,FALSE),"")</f>
        <v/>
      </c>
      <c r="GF24" s="417"/>
      <c r="GG24" s="417"/>
      <c r="GH24" s="417"/>
      <c r="GI24" s="417"/>
      <c r="GJ24" s="454"/>
      <c r="GK24" s="454"/>
      <c r="GL24" s="454"/>
      <c r="GM24" s="454"/>
      <c r="GN24" s="455"/>
      <c r="GQ24" s="370">
        <f>IF((VLOOKUP($Z$11,RaceChart,36,FALSE))="","",(VLOOKUP($Z$11,RaceChart,36,FALSE)))</f>
        <v>0</v>
      </c>
      <c r="GR24" s="370"/>
      <c r="GS24" s="370"/>
      <c r="GT24" s="370"/>
      <c r="GU24" s="370"/>
      <c r="GV24" s="370"/>
      <c r="GW24" s="370"/>
      <c r="GX24" s="370"/>
      <c r="GY24" s="370"/>
      <c r="GZ24" s="370"/>
      <c r="HA24" s="370"/>
      <c r="HB24" s="370"/>
      <c r="HC24" s="370"/>
      <c r="HD24" s="370"/>
      <c r="HE24" s="370"/>
      <c r="HF24" s="370"/>
      <c r="HG24" s="370"/>
      <c r="HH24" s="370"/>
      <c r="HI24" s="370"/>
      <c r="HJ24" s="370"/>
      <c r="HK24" s="370"/>
      <c r="HL24" s="370"/>
      <c r="HM24" s="370"/>
      <c r="HN24" s="370"/>
      <c r="HO24" s="370"/>
      <c r="HP24" s="370"/>
      <c r="HQ24" s="370"/>
      <c r="HR24" s="370"/>
      <c r="HS24" s="370"/>
      <c r="HT24" s="370"/>
      <c r="HU24" s="370"/>
      <c r="HV24" s="370"/>
      <c r="HW24" s="370"/>
      <c r="HX24" s="370"/>
      <c r="HY24" s="370"/>
      <c r="HZ24" s="370"/>
      <c r="IA24" s="370"/>
      <c r="IB24" s="370"/>
      <c r="IC24" s="370"/>
      <c r="ID24" s="370"/>
      <c r="IE24" s="381" t="str">
        <f>IFERROR(VLOOKUP(GQ24,Charts!$V$2:$X$518,3,FALSE),"")</f>
        <v/>
      </c>
      <c r="IF24" s="381"/>
      <c r="IG24" s="381"/>
      <c r="IH24" s="381"/>
      <c r="II24" s="381"/>
      <c r="IJ24" s="381"/>
      <c r="IK24" s="381"/>
      <c r="IL24" s="381"/>
      <c r="IM24" s="381"/>
      <c r="IN24" s="381"/>
      <c r="IO24" s="381"/>
      <c r="IP24" s="381"/>
      <c r="IQ24" s="381"/>
      <c r="IR24" s="381"/>
      <c r="IS24" s="381"/>
      <c r="IT24" s="381"/>
      <c r="IU24" s="381"/>
      <c r="IV24" s="381"/>
      <c r="IW24" s="381"/>
      <c r="IX24" s="381"/>
      <c r="IY24" s="381"/>
      <c r="IZ24" s="381"/>
      <c r="JA24" s="381"/>
      <c r="JB24" s="381"/>
      <c r="JC24" s="381"/>
      <c r="JD24" s="381"/>
      <c r="JE24" s="381"/>
      <c r="JF24" s="381"/>
      <c r="JG24" s="381"/>
      <c r="JH24" s="381"/>
      <c r="JI24" s="381"/>
      <c r="JJ24" s="381"/>
      <c r="JK24" s="381"/>
      <c r="JL24" s="381"/>
      <c r="JM24" s="381"/>
      <c r="JN24" s="381"/>
      <c r="JO24" s="381"/>
      <c r="JP24" s="381"/>
      <c r="JQ24" s="381"/>
      <c r="JR24" s="381"/>
      <c r="JS24" s="381"/>
      <c r="JT24" s="381"/>
      <c r="JU24" s="381"/>
      <c r="JV24" s="381"/>
      <c r="JW24" s="381"/>
      <c r="JX24" s="381"/>
      <c r="JY24" s="381"/>
      <c r="JZ24" s="381"/>
      <c r="KA24" s="381"/>
      <c r="KB24" s="381"/>
      <c r="KC24" s="381"/>
      <c r="KD24" s="381"/>
      <c r="KE24" s="381"/>
      <c r="KF24" s="381"/>
      <c r="KG24" s="381"/>
      <c r="KH24" s="381"/>
      <c r="KI24" s="381"/>
      <c r="KJ24" s="381"/>
      <c r="KK24" s="381"/>
      <c r="KL24" s="381"/>
      <c r="KM24" s="381"/>
      <c r="KN24" s="381"/>
      <c r="KO24" s="381"/>
      <c r="KP24" s="381"/>
      <c r="KQ24" s="381"/>
      <c r="KR24" s="381"/>
      <c r="KS24" s="381"/>
      <c r="KT24" s="381"/>
      <c r="KU24" s="381"/>
      <c r="KV24" s="381"/>
      <c r="KW24" s="381"/>
      <c r="KX24" s="381"/>
      <c r="KY24" s="381"/>
      <c r="KZ24" s="381"/>
      <c r="LA24" s="381"/>
      <c r="LB24" s="381"/>
      <c r="LC24" s="381"/>
      <c r="LD24" s="381"/>
      <c r="LE24" s="381"/>
      <c r="LF24" s="381"/>
      <c r="LG24" s="381"/>
      <c r="LH24" s="381"/>
      <c r="LI24" s="381"/>
      <c r="LJ24" s="381"/>
      <c r="LK24" s="381"/>
      <c r="LL24" s="381"/>
      <c r="LM24" s="381"/>
      <c r="LN24" s="381"/>
      <c r="LO24" s="381"/>
      <c r="LP24" s="381"/>
      <c r="LQ24" s="381"/>
      <c r="LR24" s="381"/>
      <c r="LS24" s="381"/>
      <c r="LT24" s="381"/>
      <c r="LU24" s="381"/>
      <c r="LV24" s="381"/>
      <c r="LW24" s="381"/>
      <c r="LX24" s="381"/>
      <c r="LY24" s="381"/>
      <c r="LZ24" s="381"/>
      <c r="MA24" s="381"/>
      <c r="MB24" s="381"/>
      <c r="MC24" s="381"/>
      <c r="MD24" s="381"/>
      <c r="ME24" s="381"/>
      <c r="MF24" s="381"/>
      <c r="MG24" s="381"/>
      <c r="MH24" s="381"/>
      <c r="MI24" s="381"/>
      <c r="MJ24" s="381"/>
      <c r="MK24" s="381"/>
      <c r="ML24" s="381"/>
      <c r="MM24" s="381"/>
      <c r="MN24" s="381"/>
      <c r="MO24" s="381"/>
      <c r="MP24" s="381"/>
      <c r="MQ24" s="381"/>
      <c r="MR24" s="381"/>
      <c r="MS24" s="381"/>
      <c r="MT24" s="381"/>
      <c r="MU24" s="381"/>
      <c r="MV24" s="381"/>
      <c r="MW24" s="381"/>
      <c r="MX24" s="381"/>
      <c r="MY24" s="381"/>
      <c r="MZ24" s="381"/>
    </row>
    <row r="25" spans="2:364" x14ac:dyDescent="0.25">
      <c r="B25" s="361"/>
      <c r="C25" s="361"/>
      <c r="D25" s="361"/>
      <c r="E25" s="361"/>
      <c r="F25" s="361"/>
      <c r="G25" s="361"/>
      <c r="H25" s="361"/>
      <c r="I25" s="361"/>
      <c r="J25" s="361"/>
      <c r="K25" s="361"/>
      <c r="L25" s="361"/>
      <c r="M25" s="361"/>
      <c r="N25" s="361"/>
      <c r="O25" s="361"/>
      <c r="P25" s="361"/>
      <c r="Q25" s="361"/>
      <c r="R25" s="361"/>
      <c r="S25" s="361"/>
      <c r="T25" s="361"/>
      <c r="U25" s="361"/>
      <c r="V25" s="361"/>
      <c r="W25" s="361"/>
      <c r="X25" s="361"/>
      <c r="Y25" s="361"/>
      <c r="Z25" s="361"/>
      <c r="AA25" s="361"/>
      <c r="AB25" s="361"/>
      <c r="AC25" s="361"/>
      <c r="AD25" s="361"/>
      <c r="AE25" s="361"/>
      <c r="AF25" s="361"/>
      <c r="AG25" s="361"/>
      <c r="AH25" s="361"/>
      <c r="AI25" s="361"/>
      <c r="AJ25" s="361"/>
      <c r="AK25" s="361"/>
      <c r="AL25" s="361"/>
      <c r="AM25" s="361"/>
      <c r="AN25" s="361"/>
      <c r="AO25" s="361"/>
      <c r="AP25" s="361"/>
      <c r="AQ25" s="361"/>
      <c r="AR25" s="361"/>
      <c r="AS25" s="361"/>
      <c r="AT25" s="361"/>
      <c r="AU25" s="361"/>
      <c r="AV25" s="361"/>
      <c r="AW25" s="361"/>
      <c r="AX25" s="361"/>
      <c r="AY25" s="361"/>
      <c r="AZ25" s="361"/>
      <c r="BA25" s="361"/>
      <c r="BB25" s="361"/>
      <c r="BC25" s="361"/>
      <c r="BD25" s="361"/>
      <c r="BE25" s="361"/>
      <c r="BF25" s="361"/>
      <c r="BG25" s="361"/>
      <c r="BH25" s="361"/>
      <c r="BI25" s="361"/>
      <c r="BJ25" s="361"/>
      <c r="BK25" s="361"/>
      <c r="BL25" s="361"/>
      <c r="BM25" s="361"/>
      <c r="BN25" s="361"/>
      <c r="BO25" s="361"/>
      <c r="BP25" s="361"/>
      <c r="BQ25" s="361"/>
      <c r="BR25" s="361"/>
      <c r="BS25" s="361"/>
      <c r="BT25" s="361"/>
      <c r="BU25" s="361"/>
      <c r="BV25" s="361"/>
      <c r="BW25" s="361"/>
      <c r="BX25" s="361"/>
      <c r="BY25" s="361"/>
      <c r="BZ25" s="361"/>
      <c r="CA25" s="361"/>
      <c r="CB25" s="361"/>
      <c r="CC25" s="361"/>
      <c r="CD25" s="361"/>
      <c r="CE25" s="361"/>
      <c r="CF25" s="361"/>
      <c r="CG25" s="361"/>
      <c r="CH25" s="361"/>
      <c r="CI25">
        <v>11</v>
      </c>
      <c r="CJ25">
        <v>261</v>
      </c>
      <c r="CK25" s="365" t="str">
        <f>IFERROR(VLOOKUP($CI25,Skills!$H$2:$N$620,7,FALSE),"")</f>
        <v/>
      </c>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445" t="str">
        <f>IFERROR(VLOOKUP($CI25,Skills!$H$2:$K$620,4,FALSE),"")</f>
        <v/>
      </c>
      <c r="ED25" s="445"/>
      <c r="EE25" s="445"/>
      <c r="EF25" s="445"/>
      <c r="EG25" s="445"/>
      <c r="EH25" s="446"/>
      <c r="EI25" s="446"/>
      <c r="EJ25" s="446"/>
      <c r="EK25" s="446"/>
      <c r="EL25" s="447"/>
      <c r="EM25" s="366" t="str">
        <f>IFERROR(VLOOKUP($CJ25,Skills!$H$2:$N$620,7,FALSE),"")</f>
        <v/>
      </c>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445" t="str">
        <f>IFERROR(VLOOKUP($CJ25,Skills!$H$2:$K$620,4,FALSE),"")</f>
        <v/>
      </c>
      <c r="GF25" s="445"/>
      <c r="GG25" s="445"/>
      <c r="GH25" s="445"/>
      <c r="GI25" s="445"/>
      <c r="GJ25" s="448"/>
      <c r="GK25" s="448"/>
      <c r="GL25" s="448"/>
      <c r="GM25" s="448"/>
      <c r="GN25" s="449"/>
      <c r="GQ25" s="367">
        <f>IF((VLOOKUP($Z$11,RaceChart,37,FALSE))="","",(VLOOKUP($Z$11,RaceChart,37,FALSE)))</f>
        <v>0</v>
      </c>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477" t="str">
        <f>IFERROR(VLOOKUP(GQ25,Charts!$V$2:$X$518,3,FALSE),"")</f>
        <v/>
      </c>
      <c r="IF25" s="477"/>
      <c r="IG25" s="477"/>
      <c r="IH25" s="477"/>
      <c r="II25" s="477"/>
      <c r="IJ25" s="477"/>
      <c r="IK25" s="477"/>
      <c r="IL25" s="477"/>
      <c r="IM25" s="477"/>
      <c r="IN25" s="477"/>
      <c r="IO25" s="477"/>
      <c r="IP25" s="477"/>
      <c r="IQ25" s="477"/>
      <c r="IR25" s="477"/>
      <c r="IS25" s="477"/>
      <c r="IT25" s="477"/>
      <c r="IU25" s="477"/>
      <c r="IV25" s="477"/>
      <c r="IW25" s="477"/>
      <c r="IX25" s="477"/>
      <c r="IY25" s="477"/>
      <c r="IZ25" s="477"/>
      <c r="JA25" s="477"/>
      <c r="JB25" s="477"/>
      <c r="JC25" s="477"/>
      <c r="JD25" s="477"/>
      <c r="JE25" s="477"/>
      <c r="JF25" s="477"/>
      <c r="JG25" s="477"/>
      <c r="JH25" s="477"/>
      <c r="JI25" s="477"/>
      <c r="JJ25" s="477"/>
      <c r="JK25" s="477"/>
      <c r="JL25" s="477"/>
      <c r="JM25" s="477"/>
      <c r="JN25" s="477"/>
      <c r="JO25" s="477"/>
      <c r="JP25" s="477"/>
      <c r="JQ25" s="477"/>
      <c r="JR25" s="477"/>
      <c r="JS25" s="477"/>
      <c r="JT25" s="477"/>
      <c r="JU25" s="477"/>
      <c r="JV25" s="477"/>
      <c r="JW25" s="477"/>
      <c r="JX25" s="477"/>
      <c r="JY25" s="477"/>
      <c r="JZ25" s="477"/>
      <c r="KA25" s="477"/>
      <c r="KB25" s="477"/>
      <c r="KC25" s="477"/>
      <c r="KD25" s="477"/>
      <c r="KE25" s="477"/>
      <c r="KF25" s="477"/>
      <c r="KG25" s="477"/>
      <c r="KH25" s="477"/>
      <c r="KI25" s="477"/>
      <c r="KJ25" s="477"/>
      <c r="KK25" s="477"/>
      <c r="KL25" s="477"/>
      <c r="KM25" s="477"/>
      <c r="KN25" s="477"/>
      <c r="KO25" s="477"/>
      <c r="KP25" s="477"/>
      <c r="KQ25" s="477"/>
      <c r="KR25" s="477"/>
      <c r="KS25" s="477"/>
      <c r="KT25" s="477"/>
      <c r="KU25" s="477"/>
      <c r="KV25" s="477"/>
      <c r="KW25" s="477"/>
      <c r="KX25" s="477"/>
      <c r="KY25" s="477"/>
      <c r="KZ25" s="477"/>
      <c r="LA25" s="477"/>
      <c r="LB25" s="477"/>
      <c r="LC25" s="477"/>
      <c r="LD25" s="477"/>
      <c r="LE25" s="477"/>
      <c r="LF25" s="477"/>
      <c r="LG25" s="477"/>
      <c r="LH25" s="477"/>
      <c r="LI25" s="477"/>
      <c r="LJ25" s="477"/>
      <c r="LK25" s="477"/>
      <c r="LL25" s="477"/>
      <c r="LM25" s="477"/>
      <c r="LN25" s="477"/>
      <c r="LO25" s="477"/>
      <c r="LP25" s="477"/>
      <c r="LQ25" s="477"/>
      <c r="LR25" s="477"/>
      <c r="LS25" s="477"/>
      <c r="LT25" s="477"/>
      <c r="LU25" s="477"/>
      <c r="LV25" s="477"/>
      <c r="LW25" s="477"/>
      <c r="LX25" s="477"/>
      <c r="LY25" s="477"/>
      <c r="LZ25" s="477"/>
      <c r="MA25" s="477"/>
      <c r="MB25" s="477"/>
      <c r="MC25" s="477"/>
      <c r="MD25" s="477"/>
      <c r="ME25" s="477"/>
      <c r="MF25" s="477"/>
      <c r="MG25" s="477"/>
      <c r="MH25" s="477"/>
      <c r="MI25" s="477"/>
      <c r="MJ25" s="477"/>
      <c r="MK25" s="477"/>
      <c r="ML25" s="477"/>
      <c r="MM25" s="477"/>
      <c r="MN25" s="477"/>
      <c r="MO25" s="477"/>
      <c r="MP25" s="477"/>
      <c r="MQ25" s="477"/>
      <c r="MR25" s="477"/>
      <c r="MS25" s="477"/>
      <c r="MT25" s="477"/>
      <c r="MU25" s="477"/>
      <c r="MV25" s="477"/>
      <c r="MW25" s="477"/>
      <c r="MX25" s="477"/>
      <c r="MY25" s="477"/>
      <c r="MZ25" s="477"/>
    </row>
    <row r="26" spans="2:364" ht="15.75" thickBot="1" x14ac:dyDescent="0.3">
      <c r="B26" s="361"/>
      <c r="C26" s="361"/>
      <c r="D26" s="361"/>
      <c r="E26" s="361"/>
      <c r="F26" s="361"/>
      <c r="G26" s="361"/>
      <c r="H26" s="361"/>
      <c r="I26" s="361"/>
      <c r="J26" s="361"/>
      <c r="K26" s="361"/>
      <c r="L26" s="361"/>
      <c r="M26" s="361"/>
      <c r="N26" s="361"/>
      <c r="O26" s="361"/>
      <c r="P26" s="361"/>
      <c r="Q26" s="361"/>
      <c r="R26" s="361"/>
      <c r="S26" s="361"/>
      <c r="T26" s="361"/>
      <c r="U26" s="361"/>
      <c r="V26" s="361"/>
      <c r="W26" s="361"/>
      <c r="X26" s="361"/>
      <c r="Y26" s="361"/>
      <c r="Z26" s="361"/>
      <c r="AA26" s="361"/>
      <c r="AB26" s="361"/>
      <c r="AC26" s="361"/>
      <c r="AD26" s="361"/>
      <c r="AE26" s="361"/>
      <c r="AF26" s="361"/>
      <c r="AG26" s="361"/>
      <c r="AH26" s="361"/>
      <c r="AI26" s="361"/>
      <c r="AJ26" s="361"/>
      <c r="AK26" s="361"/>
      <c r="AL26" s="361"/>
      <c r="AM26" s="361"/>
      <c r="AN26" s="361"/>
      <c r="AO26" s="361"/>
      <c r="AP26" s="361"/>
      <c r="AQ26" s="361"/>
      <c r="AR26" s="361"/>
      <c r="AS26" s="361"/>
      <c r="AT26" s="361"/>
      <c r="AU26" s="361"/>
      <c r="AV26" s="361"/>
      <c r="AW26" s="361"/>
      <c r="AX26" s="361"/>
      <c r="AY26" s="361"/>
      <c r="AZ26" s="361"/>
      <c r="BA26" s="361"/>
      <c r="BB26" s="361"/>
      <c r="BC26" s="361"/>
      <c r="BD26" s="361"/>
      <c r="BE26" s="361"/>
      <c r="BF26" s="361"/>
      <c r="BG26" s="361"/>
      <c r="BH26" s="361"/>
      <c r="BI26" s="361"/>
      <c r="BJ26" s="361"/>
      <c r="BK26" s="361"/>
      <c r="BL26" s="361"/>
      <c r="BM26" s="361"/>
      <c r="BN26" s="361"/>
      <c r="BO26" s="361"/>
      <c r="BP26" s="361"/>
      <c r="BQ26" s="361"/>
      <c r="BR26" s="361"/>
      <c r="BS26" s="361"/>
      <c r="BT26" s="361"/>
      <c r="BU26" s="361"/>
      <c r="BV26" s="361"/>
      <c r="BW26" s="361"/>
      <c r="BX26" s="361"/>
      <c r="BY26" s="361"/>
      <c r="BZ26" s="361"/>
      <c r="CA26" s="361"/>
      <c r="CB26" s="361"/>
      <c r="CC26" s="361"/>
      <c r="CD26" s="361"/>
      <c r="CE26" s="361"/>
      <c r="CF26" s="361"/>
      <c r="CG26" s="361"/>
      <c r="CH26" s="361"/>
      <c r="CI26">
        <v>12</v>
      </c>
      <c r="CJ26">
        <v>262</v>
      </c>
      <c r="CK26" s="450" t="str">
        <f>IFERROR(VLOOKUP($CI26,Skills!$H$2:$N$620,7,FALSE),"")</f>
        <v/>
      </c>
      <c r="CL26" s="451"/>
      <c r="CM26" s="451"/>
      <c r="CN26" s="451"/>
      <c r="CO26" s="451"/>
      <c r="CP26" s="451"/>
      <c r="CQ26" s="451"/>
      <c r="CR26" s="451"/>
      <c r="CS26" s="451"/>
      <c r="CT26" s="451"/>
      <c r="CU26" s="451"/>
      <c r="CV26" s="451"/>
      <c r="CW26" s="451"/>
      <c r="CX26" s="451"/>
      <c r="CY26" s="451"/>
      <c r="CZ26" s="451"/>
      <c r="DA26" s="451"/>
      <c r="DB26" s="451"/>
      <c r="DC26" s="451"/>
      <c r="DD26" s="451"/>
      <c r="DE26" s="451"/>
      <c r="DF26" s="451"/>
      <c r="DG26" s="451"/>
      <c r="DH26" s="451"/>
      <c r="DI26" s="451"/>
      <c r="DJ26" s="451"/>
      <c r="DK26" s="451"/>
      <c r="DL26" s="451"/>
      <c r="DM26" s="451"/>
      <c r="DN26" s="451"/>
      <c r="DO26" s="451"/>
      <c r="DP26" s="451"/>
      <c r="DQ26" s="451"/>
      <c r="DR26" s="451"/>
      <c r="DS26" s="451"/>
      <c r="DT26" s="451"/>
      <c r="DU26" s="451"/>
      <c r="DV26" s="451"/>
      <c r="DW26" s="451"/>
      <c r="DX26" s="451"/>
      <c r="DY26" s="451"/>
      <c r="DZ26" s="451"/>
      <c r="EA26" s="451"/>
      <c r="EB26" s="451"/>
      <c r="EC26" s="417" t="str">
        <f>IFERROR(VLOOKUP($CI26,Skills!$H$2:$K$620,4,FALSE),"")</f>
        <v/>
      </c>
      <c r="ED26" s="417"/>
      <c r="EE26" s="417"/>
      <c r="EF26" s="417"/>
      <c r="EG26" s="417"/>
      <c r="EH26" s="452"/>
      <c r="EI26" s="452"/>
      <c r="EJ26" s="452"/>
      <c r="EK26" s="452"/>
      <c r="EL26" s="453"/>
      <c r="EM26" s="451" t="str">
        <f>IFERROR(VLOOKUP($CJ26,Skills!$H$2:$N$620,7,FALSE),"")</f>
        <v/>
      </c>
      <c r="EN26" s="451"/>
      <c r="EO26" s="451"/>
      <c r="EP26" s="451"/>
      <c r="EQ26" s="451"/>
      <c r="ER26" s="451"/>
      <c r="ES26" s="451"/>
      <c r="ET26" s="451"/>
      <c r="EU26" s="451"/>
      <c r="EV26" s="451"/>
      <c r="EW26" s="451"/>
      <c r="EX26" s="451"/>
      <c r="EY26" s="451"/>
      <c r="EZ26" s="451"/>
      <c r="FA26" s="451"/>
      <c r="FB26" s="451"/>
      <c r="FC26" s="451"/>
      <c r="FD26" s="451"/>
      <c r="FE26" s="451"/>
      <c r="FF26" s="451"/>
      <c r="FG26" s="451"/>
      <c r="FH26" s="451"/>
      <c r="FI26" s="451"/>
      <c r="FJ26" s="451"/>
      <c r="FK26" s="451"/>
      <c r="FL26" s="451"/>
      <c r="FM26" s="451"/>
      <c r="FN26" s="451"/>
      <c r="FO26" s="451"/>
      <c r="FP26" s="451"/>
      <c r="FQ26" s="451"/>
      <c r="FR26" s="451"/>
      <c r="FS26" s="451"/>
      <c r="FT26" s="451"/>
      <c r="FU26" s="451"/>
      <c r="FV26" s="451"/>
      <c r="FW26" s="451"/>
      <c r="FX26" s="451"/>
      <c r="FY26" s="451"/>
      <c r="FZ26" s="451"/>
      <c r="GA26" s="451"/>
      <c r="GB26" s="451"/>
      <c r="GC26" s="451"/>
      <c r="GD26" s="451"/>
      <c r="GE26" s="417" t="str">
        <f>IFERROR(VLOOKUP($CJ26,Skills!$H$2:$K$620,4,FALSE),"")</f>
        <v/>
      </c>
      <c r="GF26" s="417"/>
      <c r="GG26" s="417"/>
      <c r="GH26" s="417"/>
      <c r="GI26" s="417"/>
      <c r="GJ26" s="454"/>
      <c r="GK26" s="454"/>
      <c r="GL26" s="454"/>
      <c r="GM26" s="454"/>
      <c r="GN26" s="455"/>
      <c r="GQ26" s="375">
        <f>IF((VLOOKUP($Z$11,RaceChart,38,FALSE))="","",(VLOOKUP($Z$11,RaceChart,38,FALSE)))</f>
        <v>0</v>
      </c>
      <c r="GR26" s="375"/>
      <c r="GS26" s="375"/>
      <c r="GT26" s="375"/>
      <c r="GU26" s="375"/>
      <c r="GV26" s="375"/>
      <c r="GW26" s="375"/>
      <c r="GX26" s="375"/>
      <c r="GY26" s="375"/>
      <c r="GZ26" s="375"/>
      <c r="HA26" s="375"/>
      <c r="HB26" s="375"/>
      <c r="HC26" s="375"/>
      <c r="HD26" s="375"/>
      <c r="HE26" s="375"/>
      <c r="HF26" s="375"/>
      <c r="HG26" s="375"/>
      <c r="HH26" s="375"/>
      <c r="HI26" s="375"/>
      <c r="HJ26" s="375"/>
      <c r="HK26" s="375"/>
      <c r="HL26" s="375"/>
      <c r="HM26" s="375"/>
      <c r="HN26" s="375"/>
      <c r="HO26" s="375"/>
      <c r="HP26" s="375"/>
      <c r="HQ26" s="375"/>
      <c r="HR26" s="375"/>
      <c r="HS26" s="375"/>
      <c r="HT26" s="375"/>
      <c r="HU26" s="375"/>
      <c r="HV26" s="375"/>
      <c r="HW26" s="375"/>
      <c r="HX26" s="375"/>
      <c r="HY26" s="375"/>
      <c r="HZ26" s="375"/>
      <c r="IA26" s="375"/>
      <c r="IB26" s="375"/>
      <c r="IC26" s="375"/>
      <c r="ID26" s="375"/>
      <c r="IE26" s="495" t="str">
        <f>IFERROR(VLOOKUP(GQ26,Charts!$V$2:$X$518,3,FALSE),"")</f>
        <v/>
      </c>
      <c r="IF26" s="495"/>
      <c r="IG26" s="495"/>
      <c r="IH26" s="495"/>
      <c r="II26" s="495"/>
      <c r="IJ26" s="495"/>
      <c r="IK26" s="495"/>
      <c r="IL26" s="495"/>
      <c r="IM26" s="495"/>
      <c r="IN26" s="495"/>
      <c r="IO26" s="495"/>
      <c r="IP26" s="495"/>
      <c r="IQ26" s="495"/>
      <c r="IR26" s="495"/>
      <c r="IS26" s="495"/>
      <c r="IT26" s="495"/>
      <c r="IU26" s="495"/>
      <c r="IV26" s="495"/>
      <c r="IW26" s="495"/>
      <c r="IX26" s="495"/>
      <c r="IY26" s="495"/>
      <c r="IZ26" s="495"/>
      <c r="JA26" s="495"/>
      <c r="JB26" s="495"/>
      <c r="JC26" s="495"/>
      <c r="JD26" s="495"/>
      <c r="JE26" s="495"/>
      <c r="JF26" s="495"/>
      <c r="JG26" s="495"/>
      <c r="JH26" s="495"/>
      <c r="JI26" s="495"/>
      <c r="JJ26" s="495"/>
      <c r="JK26" s="495"/>
      <c r="JL26" s="495"/>
      <c r="JM26" s="495"/>
      <c r="JN26" s="495"/>
      <c r="JO26" s="495"/>
      <c r="JP26" s="495"/>
      <c r="JQ26" s="495"/>
      <c r="JR26" s="495"/>
      <c r="JS26" s="495"/>
      <c r="JT26" s="495"/>
      <c r="JU26" s="495"/>
      <c r="JV26" s="495"/>
      <c r="JW26" s="495"/>
      <c r="JX26" s="495"/>
      <c r="JY26" s="495"/>
      <c r="JZ26" s="495"/>
      <c r="KA26" s="495"/>
      <c r="KB26" s="495"/>
      <c r="KC26" s="495"/>
      <c r="KD26" s="495"/>
      <c r="KE26" s="495"/>
      <c r="KF26" s="495"/>
      <c r="KG26" s="495"/>
      <c r="KH26" s="495"/>
      <c r="KI26" s="495"/>
      <c r="KJ26" s="495"/>
      <c r="KK26" s="495"/>
      <c r="KL26" s="495"/>
      <c r="KM26" s="495"/>
      <c r="KN26" s="495"/>
      <c r="KO26" s="495"/>
      <c r="KP26" s="495"/>
      <c r="KQ26" s="495"/>
      <c r="KR26" s="495"/>
      <c r="KS26" s="495"/>
      <c r="KT26" s="495"/>
      <c r="KU26" s="495"/>
      <c r="KV26" s="495"/>
      <c r="KW26" s="495"/>
      <c r="KX26" s="495"/>
      <c r="KY26" s="495"/>
      <c r="KZ26" s="495"/>
      <c r="LA26" s="495"/>
      <c r="LB26" s="495"/>
      <c r="LC26" s="495"/>
      <c r="LD26" s="495"/>
      <c r="LE26" s="495"/>
      <c r="LF26" s="495"/>
      <c r="LG26" s="495"/>
      <c r="LH26" s="495"/>
      <c r="LI26" s="495"/>
      <c r="LJ26" s="495"/>
      <c r="LK26" s="495"/>
      <c r="LL26" s="495"/>
      <c r="LM26" s="495"/>
      <c r="LN26" s="495"/>
      <c r="LO26" s="495"/>
      <c r="LP26" s="495"/>
      <c r="LQ26" s="495"/>
      <c r="LR26" s="495"/>
      <c r="LS26" s="495"/>
      <c r="LT26" s="495"/>
      <c r="LU26" s="495"/>
      <c r="LV26" s="495"/>
      <c r="LW26" s="495"/>
      <c r="LX26" s="495"/>
      <c r="LY26" s="495"/>
      <c r="LZ26" s="495"/>
      <c r="MA26" s="495"/>
      <c r="MB26" s="495"/>
      <c r="MC26" s="495"/>
      <c r="MD26" s="495"/>
      <c r="ME26" s="495"/>
      <c r="MF26" s="495"/>
      <c r="MG26" s="495"/>
      <c r="MH26" s="495"/>
      <c r="MI26" s="495"/>
      <c r="MJ26" s="495"/>
      <c r="MK26" s="495"/>
      <c r="ML26" s="495"/>
      <c r="MM26" s="495"/>
      <c r="MN26" s="495"/>
      <c r="MO26" s="495"/>
      <c r="MP26" s="495"/>
      <c r="MQ26" s="495"/>
      <c r="MR26" s="495"/>
      <c r="MS26" s="495"/>
      <c r="MT26" s="495"/>
      <c r="MU26" s="495"/>
      <c r="MV26" s="495"/>
      <c r="MW26" s="495"/>
      <c r="MX26" s="495"/>
      <c r="MY26" s="495"/>
      <c r="MZ26" s="496"/>
    </row>
    <row r="27" spans="2:364" ht="15.75" thickBot="1" x14ac:dyDescent="0.3">
      <c r="B27" s="393">
        <v>1</v>
      </c>
      <c r="C27" s="393"/>
      <c r="D27" s="393"/>
      <c r="E27" s="393"/>
      <c r="F27" s="393"/>
      <c r="G27" s="394" t="s">
        <v>824</v>
      </c>
      <c r="H27" s="394"/>
      <c r="I27" s="390" t="s">
        <v>504</v>
      </c>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v>13</v>
      </c>
      <c r="CJ27">
        <v>263</v>
      </c>
      <c r="CK27" s="365" t="str">
        <f>IFERROR(VLOOKUP($CI27,Skills!$H$2:$N$620,7,FALSE),"")</f>
        <v/>
      </c>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445" t="str">
        <f>IFERROR(VLOOKUP($CI27,Skills!$H$2:$K$620,4,FALSE),"")</f>
        <v/>
      </c>
      <c r="ED27" s="445"/>
      <c r="EE27" s="445"/>
      <c r="EF27" s="445"/>
      <c r="EG27" s="445"/>
      <c r="EH27" s="446"/>
      <c r="EI27" s="446"/>
      <c r="EJ27" s="446"/>
      <c r="EK27" s="446"/>
      <c r="EL27" s="447"/>
      <c r="EM27" s="366" t="str">
        <f>IFERROR(VLOOKUP($CJ27,Skills!$H$2:$N$620,7,FALSE),"")</f>
        <v/>
      </c>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445" t="str">
        <f>IFERROR(VLOOKUP($CJ27,Skills!$H$2:$K$620,4,FALSE),"")</f>
        <v/>
      </c>
      <c r="GF27" s="445"/>
      <c r="GG27" s="445"/>
      <c r="GH27" s="445"/>
      <c r="GI27" s="445"/>
      <c r="GJ27" s="448"/>
      <c r="GK27" s="448"/>
      <c r="GL27" s="448"/>
      <c r="GM27" s="448"/>
      <c r="GN27" s="449"/>
      <c r="IE27" s="8"/>
      <c r="IF27" s="8"/>
      <c r="IG27" s="8"/>
      <c r="IH27" s="8"/>
      <c r="II27" s="8"/>
      <c r="IJ27" s="8"/>
      <c r="IK27" s="8"/>
      <c r="IL27" s="8"/>
      <c r="IM27" s="8"/>
      <c r="IN27" s="8"/>
      <c r="IO27" s="8"/>
      <c r="IP27" s="8"/>
      <c r="IQ27" s="8"/>
      <c r="IR27" s="8"/>
      <c r="IS27" s="8"/>
      <c r="IT27" s="8"/>
      <c r="IU27" s="8"/>
      <c r="IV27" s="8"/>
      <c r="IW27" s="8"/>
      <c r="IX27" s="8"/>
      <c r="IY27" s="8"/>
      <c r="IZ27" s="8"/>
      <c r="JA27" s="8"/>
      <c r="JB27" s="8"/>
      <c r="JC27" s="8"/>
      <c r="JD27" s="8"/>
      <c r="JE27" s="8"/>
      <c r="JF27" s="8"/>
      <c r="JG27" s="8"/>
      <c r="JH27" s="8"/>
      <c r="JI27" s="8"/>
      <c r="JJ27" s="8"/>
      <c r="JK27" s="8"/>
      <c r="JL27" s="8"/>
      <c r="JM27" s="8"/>
      <c r="JN27" s="8"/>
      <c r="JO27" s="8"/>
      <c r="JP27" s="8"/>
      <c r="JQ27" s="8"/>
      <c r="JR27" s="8"/>
      <c r="JS27" s="8"/>
      <c r="JT27" s="8"/>
      <c r="JU27" s="8"/>
      <c r="JV27" s="8"/>
      <c r="JW27" s="8"/>
      <c r="JX27" s="8"/>
      <c r="JY27" s="8"/>
      <c r="JZ27" s="8"/>
      <c r="KA27" s="8"/>
      <c r="KB27" s="8"/>
      <c r="KC27" s="8"/>
      <c r="KD27" s="8"/>
      <c r="KE27" s="8"/>
      <c r="KF27" s="8"/>
      <c r="KG27" s="8"/>
      <c r="KH27" s="8"/>
      <c r="KI27" s="8"/>
      <c r="KJ27" s="8"/>
      <c r="KK27" s="8"/>
      <c r="KL27" s="8"/>
      <c r="KM27" s="8"/>
      <c r="KN27" s="8"/>
      <c r="KO27" s="8"/>
      <c r="KP27" s="8"/>
      <c r="KQ27" s="8"/>
      <c r="KR27" s="8"/>
      <c r="KS27" s="8"/>
      <c r="KT27" s="8"/>
      <c r="KU27" s="8"/>
      <c r="KV27" s="8"/>
      <c r="KW27" s="8"/>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8"/>
      <c r="MC27" s="8"/>
      <c r="MD27" s="8"/>
      <c r="ME27" s="8"/>
      <c r="MF27" s="8"/>
      <c r="MG27" s="8"/>
      <c r="MH27" s="8"/>
      <c r="MI27" s="8"/>
      <c r="MJ27" s="8"/>
      <c r="MK27" s="8"/>
      <c r="ML27" s="8"/>
      <c r="MM27" s="8"/>
      <c r="MN27" s="8"/>
      <c r="MO27" s="8"/>
      <c r="MP27" s="8"/>
      <c r="MQ27" s="8"/>
      <c r="MR27" s="8"/>
      <c r="MS27" s="8"/>
      <c r="MT27" s="8"/>
      <c r="MU27" s="8"/>
      <c r="MV27" s="8"/>
      <c r="MW27" s="8"/>
      <c r="MX27" s="8"/>
      <c r="MY27" s="8"/>
      <c r="MZ27" s="8"/>
    </row>
    <row r="28" spans="2:364" ht="16.5" thickBot="1" x14ac:dyDescent="0.3">
      <c r="B28" s="385">
        <v>2</v>
      </c>
      <c r="C28" s="385"/>
      <c r="D28" s="385"/>
      <c r="E28" s="385"/>
      <c r="F28" s="385"/>
      <c r="G28" s="386" t="s">
        <v>824</v>
      </c>
      <c r="H28" s="386"/>
      <c r="I28" s="387" t="s">
        <v>503</v>
      </c>
      <c r="J28" s="387"/>
      <c r="K28" s="387"/>
      <c r="L28" s="387"/>
      <c r="M28" s="387"/>
      <c r="N28" s="387"/>
      <c r="O28" s="387"/>
      <c r="P28" s="387"/>
      <c r="Q28" s="387"/>
      <c r="R28" s="387"/>
      <c r="S28" s="387"/>
      <c r="T28" s="387"/>
      <c r="U28" s="387"/>
      <c r="V28" s="387"/>
      <c r="W28" s="387"/>
      <c r="X28" s="387"/>
      <c r="Y28" s="387"/>
      <c r="Z28" s="387"/>
      <c r="AA28" s="387"/>
      <c r="AB28" s="387"/>
      <c r="AC28" s="387"/>
      <c r="AD28" s="387"/>
      <c r="AE28" s="387"/>
      <c r="AF28" s="387"/>
      <c r="AG28" s="387"/>
      <c r="AH28" s="387"/>
      <c r="AI28" s="387"/>
      <c r="AJ28" s="387"/>
      <c r="AK28" s="387"/>
      <c r="AL28" s="387"/>
      <c r="AM28" s="387"/>
      <c r="AN28" s="387"/>
      <c r="AO28" s="387"/>
      <c r="AP28" s="387"/>
      <c r="AQ28" s="387"/>
      <c r="AR28" s="387"/>
      <c r="AS28" s="387"/>
      <c r="AT28" s="387"/>
      <c r="AU28" s="387"/>
      <c r="AV28" s="387"/>
      <c r="AW28" s="387"/>
      <c r="AX28" s="387"/>
      <c r="AY28" s="387"/>
      <c r="AZ28" s="387"/>
      <c r="BA28" s="387"/>
      <c r="BB28" s="387"/>
      <c r="BC28" s="387"/>
      <c r="BD28" s="387"/>
      <c r="BE28" s="387"/>
      <c r="BF28" s="387"/>
      <c r="BG28" s="387"/>
      <c r="BH28" s="387"/>
      <c r="BI28" s="387"/>
      <c r="BJ28" s="387"/>
      <c r="BK28" s="387"/>
      <c r="BL28" s="387"/>
      <c r="BM28" s="387"/>
      <c r="BN28" s="387"/>
      <c r="BO28" s="387"/>
      <c r="BP28" s="387"/>
      <c r="BQ28" s="387"/>
      <c r="BR28" s="387"/>
      <c r="BS28" s="387"/>
      <c r="BT28" s="387"/>
      <c r="BU28" s="387"/>
      <c r="BV28" s="387"/>
      <c r="BW28" s="387"/>
      <c r="BX28" s="387"/>
      <c r="BY28" s="387"/>
      <c r="BZ28" s="387"/>
      <c r="CA28" s="387"/>
      <c r="CB28" s="387"/>
      <c r="CC28" s="387"/>
      <c r="CD28" s="387"/>
      <c r="CE28" s="387"/>
      <c r="CF28" s="387"/>
      <c r="CG28" s="387"/>
      <c r="CH28" s="387"/>
      <c r="CI28">
        <v>14</v>
      </c>
      <c r="CJ28">
        <v>264</v>
      </c>
      <c r="CK28" s="450" t="str">
        <f>IFERROR(VLOOKUP($CI28,Skills!$H$2:$N$620,7,FALSE),"")</f>
        <v/>
      </c>
      <c r="CL28" s="451"/>
      <c r="CM28" s="451"/>
      <c r="CN28" s="451"/>
      <c r="CO28" s="451"/>
      <c r="CP28" s="451"/>
      <c r="CQ28" s="451"/>
      <c r="CR28" s="451"/>
      <c r="CS28" s="451"/>
      <c r="CT28" s="451"/>
      <c r="CU28" s="451"/>
      <c r="CV28" s="451"/>
      <c r="CW28" s="451"/>
      <c r="CX28" s="451"/>
      <c r="CY28" s="451"/>
      <c r="CZ28" s="451"/>
      <c r="DA28" s="451"/>
      <c r="DB28" s="451"/>
      <c r="DC28" s="451"/>
      <c r="DD28" s="451"/>
      <c r="DE28" s="451"/>
      <c r="DF28" s="451"/>
      <c r="DG28" s="451"/>
      <c r="DH28" s="451"/>
      <c r="DI28" s="451"/>
      <c r="DJ28" s="451"/>
      <c r="DK28" s="451"/>
      <c r="DL28" s="451"/>
      <c r="DM28" s="451"/>
      <c r="DN28" s="451"/>
      <c r="DO28" s="451"/>
      <c r="DP28" s="451"/>
      <c r="DQ28" s="451"/>
      <c r="DR28" s="451"/>
      <c r="DS28" s="451"/>
      <c r="DT28" s="451"/>
      <c r="DU28" s="451"/>
      <c r="DV28" s="451"/>
      <c r="DW28" s="451"/>
      <c r="DX28" s="451"/>
      <c r="DY28" s="451"/>
      <c r="DZ28" s="451"/>
      <c r="EA28" s="451"/>
      <c r="EB28" s="451"/>
      <c r="EC28" s="417" t="str">
        <f>IFERROR(VLOOKUP($CI28,Skills!$H$2:$K$620,4,FALSE),"")</f>
        <v/>
      </c>
      <c r="ED28" s="417"/>
      <c r="EE28" s="417"/>
      <c r="EF28" s="417"/>
      <c r="EG28" s="417"/>
      <c r="EH28" s="452"/>
      <c r="EI28" s="452"/>
      <c r="EJ28" s="452"/>
      <c r="EK28" s="452"/>
      <c r="EL28" s="453"/>
      <c r="EM28" s="451" t="str">
        <f>IFERROR(VLOOKUP($CJ28,Skills!$H$2:$N$620,7,FALSE),"")</f>
        <v/>
      </c>
      <c r="EN28" s="451"/>
      <c r="EO28" s="451"/>
      <c r="EP28" s="451"/>
      <c r="EQ28" s="451"/>
      <c r="ER28" s="451"/>
      <c r="ES28" s="451"/>
      <c r="ET28" s="451"/>
      <c r="EU28" s="451"/>
      <c r="EV28" s="451"/>
      <c r="EW28" s="451"/>
      <c r="EX28" s="451"/>
      <c r="EY28" s="451"/>
      <c r="EZ28" s="451"/>
      <c r="FA28" s="451"/>
      <c r="FB28" s="451"/>
      <c r="FC28" s="451"/>
      <c r="FD28" s="451"/>
      <c r="FE28" s="451"/>
      <c r="FF28" s="451"/>
      <c r="FG28" s="451"/>
      <c r="FH28" s="451"/>
      <c r="FI28" s="451"/>
      <c r="FJ28" s="451"/>
      <c r="FK28" s="451"/>
      <c r="FL28" s="451"/>
      <c r="FM28" s="451"/>
      <c r="FN28" s="451"/>
      <c r="FO28" s="451"/>
      <c r="FP28" s="451"/>
      <c r="FQ28" s="451"/>
      <c r="FR28" s="451"/>
      <c r="FS28" s="451"/>
      <c r="FT28" s="451"/>
      <c r="FU28" s="451"/>
      <c r="FV28" s="451"/>
      <c r="FW28" s="451"/>
      <c r="FX28" s="451"/>
      <c r="FY28" s="451"/>
      <c r="FZ28" s="451"/>
      <c r="GA28" s="451"/>
      <c r="GB28" s="451"/>
      <c r="GC28" s="451"/>
      <c r="GD28" s="451"/>
      <c r="GE28" s="417" t="str">
        <f>IFERROR(VLOOKUP($CJ28,Skills!$H$2:$K$620,4,FALSE),"")</f>
        <v/>
      </c>
      <c r="GF28" s="417"/>
      <c r="GG28" s="417"/>
      <c r="GH28" s="417"/>
      <c r="GI28" s="417"/>
      <c r="GJ28" s="454"/>
      <c r="GK28" s="454"/>
      <c r="GL28" s="454"/>
      <c r="GM28" s="454"/>
      <c r="GN28" s="455"/>
      <c r="GQ28" s="456" t="s">
        <v>2023</v>
      </c>
      <c r="GR28" s="456"/>
      <c r="GS28" s="456"/>
      <c r="GT28" s="456"/>
      <c r="GU28" s="457" t="s">
        <v>2024</v>
      </c>
      <c r="GV28" s="457"/>
      <c r="GW28" s="457"/>
      <c r="GX28" s="457"/>
      <c r="GY28" s="457"/>
      <c r="GZ28" s="457"/>
      <c r="HA28" s="457"/>
      <c r="HB28" s="457"/>
      <c r="HC28" s="457"/>
      <c r="HD28" s="457"/>
      <c r="HE28" s="457"/>
      <c r="HF28" s="457"/>
      <c r="HG28" s="457"/>
      <c r="HH28" s="457"/>
      <c r="HI28" s="457"/>
      <c r="HJ28" s="457"/>
      <c r="HK28" s="457"/>
      <c r="HL28" s="457"/>
      <c r="HM28" s="457"/>
      <c r="HN28" s="457"/>
      <c r="HO28" s="457"/>
      <c r="HP28" s="457"/>
      <c r="HQ28" s="457"/>
      <c r="HR28" s="457"/>
      <c r="HS28" s="457"/>
      <c r="HT28" s="457"/>
      <c r="HU28" s="457"/>
      <c r="HV28" s="457"/>
      <c r="HW28" s="457"/>
      <c r="HX28" s="457"/>
      <c r="HY28" s="457"/>
      <c r="HZ28" s="457"/>
      <c r="IA28" s="457"/>
      <c r="IB28" s="457"/>
      <c r="IC28" s="457"/>
      <c r="ID28" s="457"/>
      <c r="IE28" s="457"/>
      <c r="IF28" s="457"/>
      <c r="IG28" s="457"/>
      <c r="IH28" s="457"/>
      <c r="II28" s="457"/>
      <c r="IJ28" s="457"/>
      <c r="IK28" s="457"/>
      <c r="IL28" s="457"/>
      <c r="IM28" s="457"/>
      <c r="IN28" s="457"/>
      <c r="IO28" s="457"/>
      <c r="IP28" s="457"/>
      <c r="IQ28" s="457"/>
      <c r="IR28" s="457"/>
      <c r="IS28" s="457"/>
      <c r="IT28" s="457"/>
      <c r="IU28" s="457"/>
      <c r="IV28" s="457"/>
      <c r="IW28" s="457"/>
      <c r="IX28" s="457"/>
      <c r="IY28" s="457"/>
      <c r="IZ28" s="457"/>
      <c r="JA28" s="457"/>
      <c r="JB28" s="457"/>
      <c r="JC28" s="457"/>
      <c r="JD28" s="457"/>
      <c r="JE28" s="457"/>
      <c r="JF28" s="457"/>
      <c r="JG28" s="457"/>
      <c r="JH28" s="457"/>
      <c r="JI28" s="457"/>
      <c r="JJ28" s="457"/>
      <c r="JK28" s="457"/>
      <c r="JL28" s="457"/>
      <c r="JM28" s="457"/>
      <c r="JN28" s="457"/>
      <c r="JO28" s="457"/>
      <c r="JP28" s="457"/>
      <c r="JQ28" s="457"/>
      <c r="JR28" s="457"/>
      <c r="JS28" s="457"/>
      <c r="JT28" s="457"/>
      <c r="JU28" s="457"/>
      <c r="JV28" s="457"/>
      <c r="JW28" s="457"/>
      <c r="JX28" s="457"/>
      <c r="JY28" s="457"/>
      <c r="JZ28" s="457"/>
      <c r="KA28" s="457"/>
      <c r="KB28" s="457"/>
      <c r="KC28" s="457"/>
      <c r="KD28" s="457"/>
      <c r="KE28" s="457"/>
      <c r="KF28" s="457"/>
      <c r="KG28" s="457"/>
      <c r="KH28" s="457"/>
      <c r="KI28" s="457"/>
      <c r="KJ28" s="457"/>
      <c r="KK28" s="457"/>
      <c r="KL28" s="457"/>
      <c r="KM28" s="457"/>
      <c r="KN28" s="457"/>
      <c r="KO28" s="457"/>
      <c r="KP28" s="457"/>
      <c r="KQ28" s="457"/>
      <c r="KR28" s="457"/>
      <c r="KS28" s="457"/>
      <c r="KT28" s="457"/>
      <c r="KU28" s="457"/>
      <c r="KV28" s="457"/>
      <c r="KW28" s="457"/>
      <c r="KX28" s="457"/>
      <c r="KY28" s="457"/>
      <c r="KZ28" s="457"/>
      <c r="LA28" s="457"/>
      <c r="LB28" s="457"/>
      <c r="LC28" s="457"/>
      <c r="LD28" s="457"/>
      <c r="LE28" s="457"/>
      <c r="LF28" s="457"/>
      <c r="LG28" s="457"/>
      <c r="LH28" s="457"/>
      <c r="LI28" s="457"/>
      <c r="LJ28" s="457"/>
      <c r="LK28" s="457"/>
      <c r="LL28" s="457"/>
      <c r="LM28" s="457"/>
      <c r="LN28" s="457"/>
      <c r="LO28" s="457"/>
      <c r="LP28" s="457"/>
      <c r="LQ28" s="457"/>
      <c r="LR28" s="457"/>
      <c r="LS28" s="457"/>
      <c r="LT28" s="457"/>
      <c r="LU28" s="457"/>
      <c r="LV28" s="457"/>
      <c r="LW28" s="457"/>
      <c r="LX28" s="457"/>
      <c r="LY28" s="457"/>
      <c r="LZ28" s="457"/>
      <c r="MA28" s="457"/>
      <c r="MB28" s="457"/>
      <c r="MC28" s="457"/>
      <c r="MD28" s="457"/>
      <c r="ME28" s="457"/>
      <c r="MF28" s="457"/>
      <c r="MG28" s="457"/>
      <c r="MH28" s="457"/>
      <c r="MI28" s="457"/>
      <c r="MJ28" s="457"/>
      <c r="MK28" s="457"/>
      <c r="ML28" s="457"/>
      <c r="MM28" s="457"/>
      <c r="MN28" s="457"/>
      <c r="MO28" s="457"/>
      <c r="MP28" s="457"/>
      <c r="MQ28" s="457"/>
      <c r="MR28" s="457"/>
      <c r="MS28" s="457"/>
      <c r="MT28" s="457"/>
      <c r="MU28" s="457"/>
      <c r="MV28" s="457"/>
      <c r="MW28" s="457"/>
      <c r="MX28" s="457"/>
      <c r="MY28" s="457"/>
      <c r="MZ28" s="457"/>
    </row>
    <row r="29" spans="2:364" ht="15.75" thickBot="1" x14ac:dyDescent="0.3">
      <c r="B29" s="391">
        <v>3</v>
      </c>
      <c r="C29" s="391"/>
      <c r="D29" s="391"/>
      <c r="E29" s="391"/>
      <c r="F29" s="391"/>
      <c r="G29" s="392" t="s">
        <v>824</v>
      </c>
      <c r="H29" s="392"/>
      <c r="I29" s="390" t="s">
        <v>505</v>
      </c>
      <c r="J29" s="390"/>
      <c r="K29" s="390"/>
      <c r="L29" s="390"/>
      <c r="M29" s="390"/>
      <c r="N29" s="390"/>
      <c r="O29" s="390"/>
      <c r="P29" s="390"/>
      <c r="Q29" s="390"/>
      <c r="R29" s="390"/>
      <c r="S29" s="390"/>
      <c r="T29" s="390"/>
      <c r="U29" s="390"/>
      <c r="V29" s="390"/>
      <c r="W29" s="390"/>
      <c r="X29" s="390"/>
      <c r="Y29" s="390"/>
      <c r="Z29" s="390"/>
      <c r="AA29" s="390"/>
      <c r="AB29" s="390"/>
      <c r="AC29" s="390"/>
      <c r="AD29" s="390"/>
      <c r="AE29" s="390"/>
      <c r="AF29" s="390"/>
      <c r="AG29" s="390"/>
      <c r="AH29" s="390"/>
      <c r="AI29" s="390"/>
      <c r="AJ29" s="390"/>
      <c r="AK29" s="390"/>
      <c r="AL29" s="390"/>
      <c r="AM29" s="390"/>
      <c r="AN29" s="390"/>
      <c r="AO29" s="390"/>
      <c r="AP29" s="390"/>
      <c r="AQ29" s="390"/>
      <c r="AR29" s="390"/>
      <c r="AS29" s="390"/>
      <c r="AT29" s="390"/>
      <c r="AU29" s="390"/>
      <c r="AV29" s="390"/>
      <c r="AW29" s="390"/>
      <c r="AX29" s="390"/>
      <c r="AY29" s="390"/>
      <c r="AZ29" s="390"/>
      <c r="BA29" s="390"/>
      <c r="BB29" s="390"/>
      <c r="BC29" s="390"/>
      <c r="BD29" s="390"/>
      <c r="BE29" s="390"/>
      <c r="BF29" s="390"/>
      <c r="BG29" s="390"/>
      <c r="BH29" s="390"/>
      <c r="BI29" s="390"/>
      <c r="BJ29" s="390"/>
      <c r="BK29" s="390"/>
      <c r="BL29" s="390"/>
      <c r="BM29" s="390"/>
      <c r="BN29" s="390"/>
      <c r="BO29" s="390"/>
      <c r="BP29" s="390"/>
      <c r="BQ29" s="390"/>
      <c r="BR29" s="390"/>
      <c r="BS29" s="390"/>
      <c r="BT29" s="390"/>
      <c r="BU29" s="390"/>
      <c r="BV29" s="390"/>
      <c r="BW29" s="390"/>
      <c r="BX29" s="390"/>
      <c r="BY29" s="390"/>
      <c r="BZ29" s="390"/>
      <c r="CA29" s="390"/>
      <c r="CB29" s="390"/>
      <c r="CC29" s="390"/>
      <c r="CD29" s="390"/>
      <c r="CE29" s="390"/>
      <c r="CF29" s="390"/>
      <c r="CG29" s="390"/>
      <c r="CH29" s="390"/>
      <c r="CI29">
        <v>15</v>
      </c>
      <c r="CJ29">
        <v>265</v>
      </c>
      <c r="CK29" s="365" t="str">
        <f>IFERROR(VLOOKUP($CI29,Skills!$H$2:$N$620,7,FALSE),"")</f>
        <v/>
      </c>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445" t="str">
        <f>IFERROR(VLOOKUP($CI29,Skills!$H$2:$K$620,4,FALSE),"")</f>
        <v/>
      </c>
      <c r="ED29" s="445"/>
      <c r="EE29" s="445"/>
      <c r="EF29" s="445"/>
      <c r="EG29" s="445"/>
      <c r="EH29" s="446"/>
      <c r="EI29" s="446"/>
      <c r="EJ29" s="446"/>
      <c r="EK29" s="446"/>
      <c r="EL29" s="447"/>
      <c r="EM29" s="366" t="str">
        <f>IFERROR(VLOOKUP($CJ29,Skills!$H$2:$N$620,7,FALSE),"")</f>
        <v/>
      </c>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445" t="str">
        <f>IFERROR(VLOOKUP($CJ29,Skills!$H$2:$K$620,4,FALSE),"")</f>
        <v/>
      </c>
      <c r="GF29" s="445"/>
      <c r="GG29" s="445"/>
      <c r="GH29" s="445"/>
      <c r="GI29" s="445"/>
      <c r="GJ29" s="448"/>
      <c r="GK29" s="448"/>
      <c r="GL29" s="448"/>
      <c r="GM29" s="448"/>
      <c r="GN29" s="449"/>
      <c r="GQ29" s="482" t="str">
        <f>"Racial DP Bonus:  "&amp;VLOOKUP($Z$11,RaceChart,19,FALSE)</f>
        <v>Racial DP Bonus:  38</v>
      </c>
      <c r="GR29" s="483"/>
      <c r="GS29" s="483"/>
      <c r="GT29" s="483"/>
      <c r="GU29" s="483"/>
      <c r="GV29" s="483"/>
      <c r="GW29" s="483"/>
      <c r="GX29" s="483"/>
      <c r="GY29" s="483"/>
      <c r="GZ29" s="483"/>
      <c r="HA29" s="483"/>
      <c r="HB29" s="483"/>
      <c r="HC29" s="483"/>
      <c r="HD29" s="483"/>
      <c r="HE29" s="483"/>
      <c r="HF29" s="483"/>
      <c r="HG29" s="483"/>
      <c r="HH29" s="483"/>
      <c r="HI29" s="483"/>
      <c r="HJ29" s="483"/>
      <c r="HK29" s="483"/>
      <c r="HL29" s="483"/>
      <c r="HM29" s="483"/>
      <c r="HN29" s="483"/>
      <c r="HO29" s="483"/>
      <c r="HP29" s="483"/>
      <c r="HQ29" s="483"/>
      <c r="HR29" s="483"/>
      <c r="HS29" s="483"/>
      <c r="HT29" s="483"/>
      <c r="HU29" s="483"/>
      <c r="HV29" s="483"/>
      <c r="HW29" s="483"/>
      <c r="HX29" s="483"/>
      <c r="HY29" s="483"/>
      <c r="HZ29" s="483"/>
      <c r="IA29" s="483"/>
      <c r="IB29" s="483"/>
      <c r="IC29" s="483"/>
      <c r="ID29" s="483"/>
      <c r="IE29" s="483"/>
      <c r="IF29" s="483"/>
      <c r="IG29" s="483"/>
      <c r="IH29" s="483"/>
      <c r="II29" s="483"/>
      <c r="IJ29" s="483"/>
      <c r="IK29" s="483"/>
      <c r="IL29" s="483"/>
      <c r="IM29" s="483"/>
      <c r="IN29" s="483"/>
      <c r="IO29" s="483"/>
      <c r="IP29" s="483"/>
      <c r="IQ29" s="483"/>
      <c r="IR29" s="483"/>
      <c r="IS29" s="483"/>
      <c r="IT29" s="483"/>
      <c r="IU29" s="483"/>
      <c r="IV29" s="483"/>
      <c r="IW29" s="483"/>
      <c r="IX29" s="483"/>
      <c r="IY29" s="483"/>
      <c r="IZ29" s="483"/>
      <c r="JA29" s="483"/>
      <c r="JB29" s="483"/>
      <c r="JC29" s="483"/>
      <c r="JD29" s="483"/>
      <c r="JE29" s="483"/>
      <c r="JF29" s="483"/>
      <c r="JG29" s="483"/>
      <c r="JH29" s="483"/>
      <c r="JI29" s="483"/>
      <c r="JJ29" s="483"/>
      <c r="JK29" s="483"/>
      <c r="JL29" s="483"/>
      <c r="JM29" s="483"/>
      <c r="JN29" s="483"/>
      <c r="JO29" s="483"/>
      <c r="JP29" s="483"/>
      <c r="JQ29" s="483"/>
      <c r="JR29" s="483"/>
      <c r="JS29" s="483"/>
      <c r="JT29" s="483"/>
      <c r="JU29" s="483"/>
      <c r="JV29" s="483"/>
      <c r="JW29" s="483"/>
      <c r="JX29" s="483"/>
      <c r="JY29" s="483"/>
      <c r="JZ29" s="483"/>
      <c r="KA29" s="483"/>
      <c r="KB29" s="483"/>
      <c r="KC29" s="483"/>
      <c r="KD29" s="483"/>
      <c r="KE29" s="483"/>
      <c r="KF29" s="483"/>
      <c r="KG29" s="483"/>
      <c r="KH29" s="483"/>
      <c r="KI29" s="483"/>
      <c r="KJ29" s="483"/>
      <c r="KK29" s="483"/>
      <c r="KL29" s="483"/>
      <c r="KM29" s="483"/>
      <c r="KN29" s="483"/>
      <c r="KO29" s="483"/>
      <c r="KP29" s="483"/>
      <c r="KQ29" s="483"/>
      <c r="KR29" s="483"/>
      <c r="KS29" s="483"/>
      <c r="KT29" s="483"/>
      <c r="KU29" s="483"/>
      <c r="KV29" s="483"/>
      <c r="KW29" s="483"/>
      <c r="KX29" s="483"/>
      <c r="KY29" s="483"/>
      <c r="KZ29" s="483"/>
      <c r="LA29" s="483"/>
      <c r="LB29" s="483"/>
      <c r="LC29" s="483"/>
      <c r="LD29" s="483"/>
      <c r="LE29" s="483"/>
      <c r="LF29" s="483"/>
      <c r="LG29" s="483"/>
      <c r="LH29" s="483"/>
      <c r="LI29" s="483"/>
      <c r="LJ29" s="483"/>
      <c r="LK29" s="483"/>
      <c r="LL29" s="483"/>
      <c r="LM29" s="483"/>
      <c r="LN29" s="483"/>
      <c r="LO29" s="483"/>
      <c r="LP29" s="483"/>
      <c r="LQ29" s="483"/>
      <c r="LR29" s="483"/>
      <c r="LS29" s="483"/>
      <c r="LT29" s="483"/>
      <c r="LU29" s="483"/>
      <c r="LV29" s="483"/>
      <c r="LW29" s="483"/>
      <c r="LX29" s="483"/>
      <c r="LY29" s="483"/>
      <c r="LZ29" s="483"/>
      <c r="MA29" s="483"/>
      <c r="MB29" s="483"/>
      <c r="MC29" s="483"/>
      <c r="MD29" s="483"/>
      <c r="ME29" s="483"/>
      <c r="MF29" s="483"/>
      <c r="MG29" s="483"/>
      <c r="MH29" s="483"/>
      <c r="MI29" s="483"/>
      <c r="MJ29" s="483"/>
      <c r="MK29" s="483"/>
      <c r="ML29" s="483"/>
      <c r="MM29" s="483"/>
      <c r="MN29" s="483"/>
      <c r="MO29" s="483"/>
      <c r="MP29" s="483"/>
      <c r="MQ29" s="483"/>
      <c r="MR29" s="483"/>
      <c r="MS29" s="483"/>
      <c r="MT29" s="483"/>
      <c r="MU29" s="483"/>
      <c r="MV29" s="483"/>
      <c r="MW29" s="483"/>
      <c r="MX29" s="483"/>
      <c r="MY29" s="483"/>
      <c r="MZ29" s="484"/>
    </row>
    <row r="30" spans="2:364" ht="15.75" thickBot="1" x14ac:dyDescent="0.3">
      <c r="B30" s="385">
        <v>4</v>
      </c>
      <c r="C30" s="385"/>
      <c r="D30" s="385"/>
      <c r="E30" s="385"/>
      <c r="F30" s="385"/>
      <c r="G30" s="386" t="s">
        <v>824</v>
      </c>
      <c r="H30" s="386"/>
      <c r="I30" s="387" t="s">
        <v>81</v>
      </c>
      <c r="J30" s="387"/>
      <c r="K30" s="387"/>
      <c r="L30" s="387"/>
      <c r="M30" s="387"/>
      <c r="N30" s="387"/>
      <c r="O30" s="387"/>
      <c r="P30" s="387"/>
      <c r="Q30" s="387"/>
      <c r="R30" s="387"/>
      <c r="S30" s="387"/>
      <c r="T30" s="387"/>
      <c r="U30" s="387"/>
      <c r="V30" s="387"/>
      <c r="W30" s="387"/>
      <c r="X30" s="387"/>
      <c r="Y30" s="387"/>
      <c r="Z30" s="387"/>
      <c r="AA30" s="387"/>
      <c r="AB30" s="387"/>
      <c r="AC30" s="387"/>
      <c r="AD30" s="387"/>
      <c r="AE30" s="387"/>
      <c r="AF30" s="387"/>
      <c r="AG30" s="387"/>
      <c r="AH30" s="387"/>
      <c r="AI30" s="387"/>
      <c r="AJ30" s="387"/>
      <c r="AK30" s="387"/>
      <c r="AL30" s="387"/>
      <c r="AM30" s="387"/>
      <c r="AN30" s="387"/>
      <c r="AO30" s="387"/>
      <c r="AP30" s="387"/>
      <c r="AQ30" s="387"/>
      <c r="AR30" s="387"/>
      <c r="AS30" s="387"/>
      <c r="AT30" s="387"/>
      <c r="AU30" s="387"/>
      <c r="AV30" s="387"/>
      <c r="AW30" s="387"/>
      <c r="AX30" s="387"/>
      <c r="AY30" s="387"/>
      <c r="AZ30" s="387"/>
      <c r="BA30" s="387"/>
      <c r="BB30" s="387"/>
      <c r="BC30" s="387"/>
      <c r="BD30" s="387"/>
      <c r="BE30" s="387"/>
      <c r="BF30" s="387"/>
      <c r="BG30" s="387"/>
      <c r="BH30" s="387"/>
      <c r="BI30" s="387"/>
      <c r="BJ30" s="387"/>
      <c r="BK30" s="387"/>
      <c r="BL30" s="387"/>
      <c r="BM30" s="387"/>
      <c r="BN30" s="387"/>
      <c r="BO30" s="387"/>
      <c r="BP30" s="387"/>
      <c r="BQ30" s="387"/>
      <c r="BR30" s="387"/>
      <c r="BS30" s="387"/>
      <c r="BT30" s="387"/>
      <c r="BU30" s="387"/>
      <c r="BV30" s="387"/>
      <c r="BW30" s="387"/>
      <c r="BX30" s="387"/>
      <c r="BY30" s="387"/>
      <c r="BZ30" s="387"/>
      <c r="CA30" s="387"/>
      <c r="CB30" s="387"/>
      <c r="CC30" s="387"/>
      <c r="CD30" s="387"/>
      <c r="CE30" s="387"/>
      <c r="CF30" s="387"/>
      <c r="CG30" s="387"/>
      <c r="CH30" s="387"/>
      <c r="CI30">
        <v>16</v>
      </c>
      <c r="CJ30">
        <v>266</v>
      </c>
      <c r="CK30" s="450" t="str">
        <f>IFERROR(VLOOKUP($CI30,Skills!$H$2:$N$620,7,FALSE),"")</f>
        <v/>
      </c>
      <c r="CL30" s="451"/>
      <c r="CM30" s="451"/>
      <c r="CN30" s="451"/>
      <c r="CO30" s="451"/>
      <c r="CP30" s="451"/>
      <c r="CQ30" s="451"/>
      <c r="CR30" s="451"/>
      <c r="CS30" s="451"/>
      <c r="CT30" s="451"/>
      <c r="CU30" s="451"/>
      <c r="CV30" s="451"/>
      <c r="CW30" s="451"/>
      <c r="CX30" s="451"/>
      <c r="CY30" s="451"/>
      <c r="CZ30" s="451"/>
      <c r="DA30" s="451"/>
      <c r="DB30" s="451"/>
      <c r="DC30" s="451"/>
      <c r="DD30" s="451"/>
      <c r="DE30" s="451"/>
      <c r="DF30" s="451"/>
      <c r="DG30" s="451"/>
      <c r="DH30" s="451"/>
      <c r="DI30" s="451"/>
      <c r="DJ30" s="451"/>
      <c r="DK30" s="451"/>
      <c r="DL30" s="451"/>
      <c r="DM30" s="451"/>
      <c r="DN30" s="451"/>
      <c r="DO30" s="451"/>
      <c r="DP30" s="451"/>
      <c r="DQ30" s="451"/>
      <c r="DR30" s="451"/>
      <c r="DS30" s="451"/>
      <c r="DT30" s="451"/>
      <c r="DU30" s="451"/>
      <c r="DV30" s="451"/>
      <c r="DW30" s="451"/>
      <c r="DX30" s="451"/>
      <c r="DY30" s="451"/>
      <c r="DZ30" s="451"/>
      <c r="EA30" s="451"/>
      <c r="EB30" s="451"/>
      <c r="EC30" s="417" t="str">
        <f>IFERROR(VLOOKUP($CI30,Skills!$H$2:$K$620,4,FALSE),"")</f>
        <v/>
      </c>
      <c r="ED30" s="417"/>
      <c r="EE30" s="417"/>
      <c r="EF30" s="417"/>
      <c r="EG30" s="417"/>
      <c r="EH30" s="452"/>
      <c r="EI30" s="452"/>
      <c r="EJ30" s="452"/>
      <c r="EK30" s="452"/>
      <c r="EL30" s="453"/>
      <c r="EM30" s="451" t="str">
        <f>IFERROR(VLOOKUP($CJ30,Skills!$H$2:$N$620,7,FALSE),"")</f>
        <v/>
      </c>
      <c r="EN30" s="451"/>
      <c r="EO30" s="451"/>
      <c r="EP30" s="451"/>
      <c r="EQ30" s="451"/>
      <c r="ER30" s="451"/>
      <c r="ES30" s="451"/>
      <c r="ET30" s="451"/>
      <c r="EU30" s="451"/>
      <c r="EV30" s="451"/>
      <c r="EW30" s="451"/>
      <c r="EX30" s="451"/>
      <c r="EY30" s="451"/>
      <c r="EZ30" s="451"/>
      <c r="FA30" s="451"/>
      <c r="FB30" s="451"/>
      <c r="FC30" s="451"/>
      <c r="FD30" s="451"/>
      <c r="FE30" s="451"/>
      <c r="FF30" s="451"/>
      <c r="FG30" s="451"/>
      <c r="FH30" s="451"/>
      <c r="FI30" s="451"/>
      <c r="FJ30" s="451"/>
      <c r="FK30" s="451"/>
      <c r="FL30" s="451"/>
      <c r="FM30" s="451"/>
      <c r="FN30" s="451"/>
      <c r="FO30" s="451"/>
      <c r="FP30" s="451"/>
      <c r="FQ30" s="451"/>
      <c r="FR30" s="451"/>
      <c r="FS30" s="451"/>
      <c r="FT30" s="451"/>
      <c r="FU30" s="451"/>
      <c r="FV30" s="451"/>
      <c r="FW30" s="451"/>
      <c r="FX30" s="451"/>
      <c r="FY30" s="451"/>
      <c r="FZ30" s="451"/>
      <c r="GA30" s="451"/>
      <c r="GB30" s="451"/>
      <c r="GC30" s="451"/>
      <c r="GD30" s="451"/>
      <c r="GE30" s="417" t="str">
        <f>IFERROR(VLOOKUP($CJ30,Skills!$H$2:$K$620,4,FALSE),"")</f>
        <v/>
      </c>
      <c r="GF30" s="417"/>
      <c r="GG30" s="417"/>
      <c r="GH30" s="417"/>
      <c r="GI30" s="417"/>
      <c r="GJ30" s="454"/>
      <c r="GK30" s="454"/>
      <c r="GL30" s="454"/>
      <c r="GM30" s="454"/>
      <c r="GN30" s="455"/>
      <c r="GQ30" s="485" t="str">
        <f>"DP Bonus available to spend:  "&amp;((VLOOKUP($Z$11,RaceChart,19,FALSE))-MN33-MN34-MN35-MN36-MN37-MN38-MN39-MN40-MN42-MN43-MN44-MN45-MN46-MN47)</f>
        <v>DP Bonus available to spend:  37</v>
      </c>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7"/>
    </row>
    <row r="31" spans="2:364" ht="15.75" thickBot="1" x14ac:dyDescent="0.3">
      <c r="B31" s="388">
        <v>5</v>
      </c>
      <c r="C31" s="388"/>
      <c r="D31" s="388"/>
      <c r="E31" s="388"/>
      <c r="F31" s="388"/>
      <c r="G31" s="389" t="s">
        <v>824</v>
      </c>
      <c r="H31" s="389"/>
      <c r="I31" s="390" t="s">
        <v>825</v>
      </c>
      <c r="J31" s="390"/>
      <c r="K31" s="390"/>
      <c r="L31" s="390"/>
      <c r="M31" s="390"/>
      <c r="N31" s="390"/>
      <c r="O31" s="390"/>
      <c r="P31" s="390"/>
      <c r="Q31" s="390"/>
      <c r="R31" s="390"/>
      <c r="S31" s="390"/>
      <c r="T31" s="390"/>
      <c r="U31" s="390"/>
      <c r="V31" s="390"/>
      <c r="W31" s="390"/>
      <c r="X31" s="390"/>
      <c r="Y31" s="390"/>
      <c r="Z31" s="390"/>
      <c r="AA31" s="390"/>
      <c r="AB31" s="390"/>
      <c r="AC31" s="390"/>
      <c r="AD31" s="390"/>
      <c r="AE31" s="390"/>
      <c r="AF31" s="390"/>
      <c r="AG31" s="390"/>
      <c r="AH31" s="390"/>
      <c r="AI31" s="390"/>
      <c r="AJ31" s="390"/>
      <c r="AK31" s="390"/>
      <c r="AL31" s="390"/>
      <c r="AM31" s="390"/>
      <c r="AN31" s="390"/>
      <c r="AO31" s="390"/>
      <c r="AP31" s="390"/>
      <c r="AQ31" s="390"/>
      <c r="AR31" s="390"/>
      <c r="AS31" s="390"/>
      <c r="AT31" s="390"/>
      <c r="AU31" s="390"/>
      <c r="AV31" s="390"/>
      <c r="AW31" s="390"/>
      <c r="AX31" s="390"/>
      <c r="AY31" s="390"/>
      <c r="AZ31" s="390"/>
      <c r="BA31" s="390"/>
      <c r="BB31" s="390"/>
      <c r="BC31" s="390"/>
      <c r="BD31" s="390"/>
      <c r="BE31" s="390"/>
      <c r="BF31" s="390"/>
      <c r="BG31" s="390"/>
      <c r="BH31" s="390"/>
      <c r="BI31" s="390"/>
      <c r="BJ31" s="390"/>
      <c r="BK31" s="390"/>
      <c r="BL31" s="390"/>
      <c r="BM31" s="390"/>
      <c r="BN31" s="390"/>
      <c r="BO31" s="390"/>
      <c r="BP31" s="390"/>
      <c r="BQ31" s="390"/>
      <c r="BR31" s="390"/>
      <c r="BS31" s="390"/>
      <c r="BT31" s="390"/>
      <c r="BU31" s="390"/>
      <c r="BV31" s="390"/>
      <c r="BW31" s="390"/>
      <c r="BX31" s="390"/>
      <c r="BY31" s="390"/>
      <c r="BZ31" s="390"/>
      <c r="CA31" s="390"/>
      <c r="CB31" s="390"/>
      <c r="CC31" s="390"/>
      <c r="CD31" s="390"/>
      <c r="CE31" s="390"/>
      <c r="CF31" s="390"/>
      <c r="CG31" s="390"/>
      <c r="CH31" s="390"/>
      <c r="CI31">
        <v>17</v>
      </c>
      <c r="CJ31">
        <v>267</v>
      </c>
      <c r="CK31" s="365" t="str">
        <f>IFERROR(VLOOKUP($CI31,Skills!$H$2:$N$620,7,FALSE),"")</f>
        <v/>
      </c>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445" t="str">
        <f>IFERROR(VLOOKUP($CI31,Skills!$H$2:$K$620,4,FALSE),"")</f>
        <v/>
      </c>
      <c r="ED31" s="445"/>
      <c r="EE31" s="445"/>
      <c r="EF31" s="445"/>
      <c r="EG31" s="445"/>
      <c r="EH31" s="446"/>
      <c r="EI31" s="446"/>
      <c r="EJ31" s="446"/>
      <c r="EK31" s="446"/>
      <c r="EL31" s="447"/>
      <c r="EM31" s="366" t="str">
        <f>IFERROR(VLOOKUP($CJ31,Skills!$H$2:$N$620,7,FALSE),"")</f>
        <v/>
      </c>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445" t="str">
        <f>IFERROR(VLOOKUP($CJ31,Skills!$H$2:$K$620,4,FALSE),"")</f>
        <v/>
      </c>
      <c r="GF31" s="445"/>
      <c r="GG31" s="445"/>
      <c r="GH31" s="445"/>
      <c r="GI31" s="445"/>
      <c r="GJ31" s="448"/>
      <c r="GK31" s="448"/>
      <c r="GL31" s="448"/>
      <c r="GM31" s="448"/>
      <c r="GN31" s="449"/>
      <c r="GQ31" s="497" t="str">
        <f>"Maximum points to spend on Talent: "&amp;VLOOKUP(Z6,Charts!$B$2:$F$6,5,FALSE)</f>
        <v>Maximum points to spend on Talent: 10</v>
      </c>
      <c r="GR31" s="498"/>
      <c r="GS31" s="498"/>
      <c r="GT31" s="498"/>
      <c r="GU31" s="498"/>
      <c r="GV31" s="498"/>
      <c r="GW31" s="498"/>
      <c r="GX31" s="498"/>
      <c r="GY31" s="498"/>
      <c r="GZ31" s="498"/>
      <c r="HA31" s="498"/>
      <c r="HB31" s="498"/>
      <c r="HC31" s="498"/>
      <c r="HD31" s="498"/>
      <c r="HE31" s="498"/>
      <c r="HF31" s="498"/>
      <c r="HG31" s="498"/>
      <c r="HH31" s="498"/>
      <c r="HI31" s="498"/>
      <c r="HJ31" s="498"/>
      <c r="HK31" s="498"/>
      <c r="HL31" s="498"/>
      <c r="HM31" s="498"/>
      <c r="HN31" s="498"/>
      <c r="HO31" s="498"/>
      <c r="HP31" s="498"/>
      <c r="HQ31" s="498"/>
      <c r="HR31" s="498"/>
      <c r="HS31" s="498"/>
      <c r="HT31" s="498"/>
      <c r="HU31" s="498"/>
      <c r="HV31" s="498"/>
      <c r="HW31" s="498"/>
      <c r="HX31" s="498"/>
      <c r="HY31" s="498"/>
      <c r="HZ31" s="498"/>
      <c r="IA31" s="498"/>
      <c r="IB31" s="498"/>
      <c r="IC31" s="498"/>
      <c r="ID31" s="498"/>
      <c r="IE31" s="498"/>
      <c r="IF31" s="498"/>
      <c r="IG31" s="498"/>
      <c r="IH31" s="498"/>
      <c r="II31" s="498"/>
      <c r="IJ31" s="498"/>
      <c r="IK31" s="498"/>
      <c r="IL31" s="498"/>
      <c r="IM31" s="498"/>
      <c r="IN31" s="498"/>
      <c r="IO31" s="498"/>
      <c r="IP31" s="498"/>
      <c r="IQ31" s="498"/>
      <c r="IR31" s="498"/>
      <c r="IS31" s="498"/>
      <c r="IT31" s="498"/>
      <c r="IU31" s="498"/>
      <c r="IV31" s="498"/>
      <c r="IW31" s="498"/>
      <c r="IX31" s="498"/>
      <c r="IY31" s="498"/>
      <c r="IZ31" s="498"/>
      <c r="JA31" s="498"/>
      <c r="JB31" s="498"/>
      <c r="JC31" s="498"/>
      <c r="JD31" s="498"/>
      <c r="JE31" s="498"/>
      <c r="JF31" s="498"/>
      <c r="JG31" s="498"/>
      <c r="JH31" s="498"/>
      <c r="JI31" s="498"/>
      <c r="JJ31" s="498"/>
      <c r="JK31" s="498"/>
      <c r="JL31" s="498"/>
      <c r="JM31" s="498"/>
      <c r="JN31" s="498"/>
      <c r="JO31" s="498"/>
      <c r="JP31" s="498"/>
      <c r="JQ31" s="498"/>
      <c r="JR31" s="498"/>
      <c r="JS31" s="498"/>
      <c r="JT31" s="498"/>
      <c r="JU31" s="498"/>
      <c r="JV31" s="498"/>
      <c r="JW31" s="498"/>
      <c r="JX31" s="498"/>
      <c r="JY31" s="498"/>
      <c r="JZ31" s="498"/>
      <c r="KA31" s="498"/>
      <c r="KB31" s="498"/>
      <c r="KC31" s="498"/>
      <c r="KD31" s="498"/>
      <c r="KE31" s="498"/>
      <c r="KF31" s="498"/>
      <c r="KG31" s="498"/>
      <c r="KH31" s="498"/>
      <c r="KI31" s="498"/>
      <c r="KJ31" s="498"/>
      <c r="KK31" s="498"/>
      <c r="KL31" s="498"/>
      <c r="KM31" s="498"/>
      <c r="KN31" s="498"/>
      <c r="KO31" s="498"/>
      <c r="KP31" s="498"/>
      <c r="KQ31" s="498"/>
      <c r="KR31" s="498"/>
      <c r="KS31" s="498"/>
      <c r="KT31" s="498"/>
      <c r="KU31" s="498"/>
      <c r="KV31" s="498"/>
      <c r="KW31" s="498"/>
      <c r="KX31" s="498"/>
      <c r="KY31" s="498"/>
      <c r="KZ31" s="498"/>
      <c r="LA31" s="498"/>
      <c r="LB31" s="498"/>
      <c r="LC31" s="498"/>
      <c r="LD31" s="498"/>
      <c r="LE31" s="498"/>
      <c r="LF31" s="498"/>
      <c r="LG31" s="498"/>
      <c r="LH31" s="498"/>
      <c r="LI31" s="498"/>
      <c r="LJ31" s="498"/>
      <c r="LK31" s="498"/>
      <c r="LL31" s="498"/>
      <c r="LM31" s="498"/>
      <c r="LN31" s="498"/>
      <c r="LO31" s="498"/>
      <c r="LP31" s="498"/>
      <c r="LQ31" s="498"/>
      <c r="LR31" s="498"/>
      <c r="LS31" s="498"/>
      <c r="LT31" s="498"/>
      <c r="LU31" s="498"/>
      <c r="LV31" s="498"/>
      <c r="LW31" s="498"/>
      <c r="LX31" s="498"/>
      <c r="LY31" s="498"/>
      <c r="LZ31" s="498"/>
      <c r="MA31" s="498"/>
      <c r="MB31" s="498"/>
      <c r="MC31" s="498"/>
      <c r="MD31" s="498"/>
      <c r="ME31" s="498"/>
      <c r="MF31" s="498"/>
      <c r="MG31" s="498"/>
      <c r="MH31" s="498"/>
      <c r="MI31" s="498"/>
      <c r="MJ31" s="498"/>
      <c r="MK31" s="498"/>
      <c r="ML31" s="498"/>
      <c r="MM31" s="498"/>
      <c r="MN31" s="498"/>
      <c r="MO31" s="498"/>
      <c r="MP31" s="498"/>
      <c r="MQ31" s="498"/>
      <c r="MR31" s="498"/>
      <c r="MS31" s="498"/>
      <c r="MT31" s="498"/>
      <c r="MU31" s="498"/>
      <c r="MV31" s="498"/>
      <c r="MW31" s="498"/>
      <c r="MX31" s="498"/>
      <c r="MY31" s="498"/>
      <c r="MZ31" s="499"/>
    </row>
    <row r="32" spans="2:364" ht="15.75" thickBot="1" x14ac:dyDescent="0.3">
      <c r="B32" s="3"/>
      <c r="C32" s="3"/>
      <c r="D32" s="3"/>
      <c r="E32" s="3"/>
      <c r="F32" s="3"/>
      <c r="CI32">
        <v>18</v>
      </c>
      <c r="CJ32">
        <v>268</v>
      </c>
      <c r="CK32" s="450" t="str">
        <f>IFERROR(VLOOKUP($CI32,Skills!$H$2:$N$620,7,FALSE),"")</f>
        <v/>
      </c>
      <c r="CL32" s="451"/>
      <c r="CM32" s="451"/>
      <c r="CN32" s="451"/>
      <c r="CO32" s="451"/>
      <c r="CP32" s="451"/>
      <c r="CQ32" s="451"/>
      <c r="CR32" s="451"/>
      <c r="CS32" s="451"/>
      <c r="CT32" s="451"/>
      <c r="CU32" s="451"/>
      <c r="CV32" s="451"/>
      <c r="CW32" s="451"/>
      <c r="CX32" s="451"/>
      <c r="CY32" s="451"/>
      <c r="CZ32" s="451"/>
      <c r="DA32" s="451"/>
      <c r="DB32" s="451"/>
      <c r="DC32" s="451"/>
      <c r="DD32" s="451"/>
      <c r="DE32" s="451"/>
      <c r="DF32" s="451"/>
      <c r="DG32" s="451"/>
      <c r="DH32" s="451"/>
      <c r="DI32" s="451"/>
      <c r="DJ32" s="451"/>
      <c r="DK32" s="451"/>
      <c r="DL32" s="451"/>
      <c r="DM32" s="451"/>
      <c r="DN32" s="451"/>
      <c r="DO32" s="451"/>
      <c r="DP32" s="451"/>
      <c r="DQ32" s="451"/>
      <c r="DR32" s="451"/>
      <c r="DS32" s="451"/>
      <c r="DT32" s="451"/>
      <c r="DU32" s="451"/>
      <c r="DV32" s="451"/>
      <c r="DW32" s="451"/>
      <c r="DX32" s="451"/>
      <c r="DY32" s="451"/>
      <c r="DZ32" s="451"/>
      <c r="EA32" s="451"/>
      <c r="EB32" s="451"/>
      <c r="EC32" s="417" t="str">
        <f>IFERROR(VLOOKUP($CI32,Skills!$H$2:$K$620,4,FALSE),"")</f>
        <v/>
      </c>
      <c r="ED32" s="417"/>
      <c r="EE32" s="417"/>
      <c r="EF32" s="417"/>
      <c r="EG32" s="417"/>
      <c r="EH32" s="452"/>
      <c r="EI32" s="452"/>
      <c r="EJ32" s="452"/>
      <c r="EK32" s="452"/>
      <c r="EL32" s="453"/>
      <c r="EM32" s="451" t="str">
        <f>IFERROR(VLOOKUP($CJ32,Skills!$H$2:$N$620,7,FALSE),"")</f>
        <v/>
      </c>
      <c r="EN32" s="451"/>
      <c r="EO32" s="451"/>
      <c r="EP32" s="451"/>
      <c r="EQ32" s="451"/>
      <c r="ER32" s="451"/>
      <c r="ES32" s="451"/>
      <c r="ET32" s="451"/>
      <c r="EU32" s="451"/>
      <c r="EV32" s="451"/>
      <c r="EW32" s="451"/>
      <c r="EX32" s="451"/>
      <c r="EY32" s="451"/>
      <c r="EZ32" s="451"/>
      <c r="FA32" s="451"/>
      <c r="FB32" s="451"/>
      <c r="FC32" s="451"/>
      <c r="FD32" s="451"/>
      <c r="FE32" s="451"/>
      <c r="FF32" s="451"/>
      <c r="FG32" s="451"/>
      <c r="FH32" s="451"/>
      <c r="FI32" s="451"/>
      <c r="FJ32" s="451"/>
      <c r="FK32" s="451"/>
      <c r="FL32" s="451"/>
      <c r="FM32" s="451"/>
      <c r="FN32" s="451"/>
      <c r="FO32" s="451"/>
      <c r="FP32" s="451"/>
      <c r="FQ32" s="451"/>
      <c r="FR32" s="451"/>
      <c r="FS32" s="451"/>
      <c r="FT32" s="451"/>
      <c r="FU32" s="451"/>
      <c r="FV32" s="451"/>
      <c r="FW32" s="451"/>
      <c r="FX32" s="451"/>
      <c r="FY32" s="451"/>
      <c r="FZ32" s="451"/>
      <c r="GA32" s="451"/>
      <c r="GB32" s="451"/>
      <c r="GC32" s="451"/>
      <c r="GD32" s="451"/>
      <c r="GE32" s="417" t="str">
        <f>IFERROR(VLOOKUP($CJ32,Skills!$H$2:$K$620,4,FALSE),"")</f>
        <v/>
      </c>
      <c r="GF32" s="417"/>
      <c r="GG32" s="417"/>
      <c r="GH32" s="417"/>
      <c r="GI32" s="417"/>
      <c r="GJ32" s="454"/>
      <c r="GK32" s="454"/>
      <c r="GL32" s="454"/>
      <c r="GM32" s="454"/>
      <c r="GN32" s="455"/>
      <c r="GQ32" s="488" t="s">
        <v>2025</v>
      </c>
      <c r="GR32" s="488"/>
      <c r="GS32" s="488"/>
      <c r="GT32" s="488"/>
      <c r="GU32" s="488"/>
      <c r="GV32" s="488"/>
      <c r="GW32" s="488"/>
      <c r="GX32" s="488"/>
      <c r="GY32" s="488"/>
      <c r="GZ32" s="488"/>
      <c r="HA32" s="488"/>
      <c r="HB32" s="488"/>
      <c r="HC32" s="488"/>
      <c r="HD32" s="488"/>
      <c r="HE32" s="488"/>
      <c r="HF32" s="488"/>
      <c r="HG32" s="488"/>
      <c r="HH32" s="488"/>
      <c r="HI32" s="488"/>
      <c r="HJ32" s="488"/>
      <c r="HK32" s="488"/>
      <c r="HL32" s="488"/>
      <c r="HM32" s="488"/>
      <c r="HN32" s="488"/>
      <c r="HO32" s="488"/>
      <c r="HP32" s="488"/>
      <c r="HQ32" s="488"/>
      <c r="HR32" s="488"/>
      <c r="HS32" s="488"/>
      <c r="HT32" s="488"/>
      <c r="HU32" s="488"/>
      <c r="HV32" s="488"/>
      <c r="HW32" s="488"/>
      <c r="HX32" s="488"/>
      <c r="HY32" s="488"/>
      <c r="HZ32" s="488"/>
      <c r="IA32" s="488"/>
      <c r="IB32" s="488"/>
      <c r="IC32" s="488"/>
      <c r="ID32" s="488"/>
      <c r="IE32" s="489" t="s">
        <v>141</v>
      </c>
      <c r="IF32" s="489"/>
      <c r="IG32" s="489"/>
      <c r="IH32" s="489"/>
      <c r="II32" s="489"/>
      <c r="IJ32" s="489"/>
      <c r="IK32" s="489"/>
      <c r="IL32" s="489"/>
      <c r="IM32" s="489"/>
      <c r="IN32" s="489"/>
      <c r="IO32" s="489"/>
      <c r="IP32" s="489"/>
      <c r="IQ32" s="489"/>
      <c r="IR32" s="489"/>
      <c r="IS32" s="489"/>
      <c r="IT32" s="489"/>
      <c r="IU32" s="489"/>
      <c r="IV32" s="489"/>
      <c r="IW32" s="489"/>
      <c r="IX32" s="489"/>
      <c r="IY32" s="489"/>
      <c r="IZ32" s="489"/>
      <c r="JA32" s="489"/>
      <c r="JB32" s="489"/>
      <c r="JC32" s="489"/>
      <c r="JD32" s="489"/>
      <c r="JE32" s="489"/>
      <c r="JF32" s="489"/>
      <c r="JG32" s="489"/>
      <c r="JH32" s="489"/>
      <c r="JI32" s="489"/>
      <c r="JJ32" s="489"/>
      <c r="JK32" s="489"/>
      <c r="JL32" s="489"/>
      <c r="JM32" s="489"/>
      <c r="JN32" s="489"/>
      <c r="JO32" s="489"/>
      <c r="JP32" s="489"/>
      <c r="JQ32" s="489"/>
      <c r="JR32" s="489"/>
      <c r="JS32" s="489"/>
      <c r="JT32" s="489"/>
      <c r="JU32" s="489"/>
      <c r="JV32" s="489"/>
      <c r="JW32" s="489"/>
      <c r="JX32" s="489"/>
      <c r="JY32" s="489"/>
      <c r="JZ32" s="489"/>
      <c r="KA32" s="489"/>
      <c r="KB32" s="489"/>
      <c r="KC32" s="489"/>
      <c r="KD32" s="489"/>
      <c r="KE32" s="489"/>
      <c r="KF32" s="489"/>
      <c r="KG32" s="489"/>
      <c r="KH32" s="489"/>
      <c r="KI32" s="489"/>
      <c r="KJ32" s="489"/>
      <c r="KK32" s="489"/>
      <c r="KL32" s="489"/>
      <c r="KM32" s="489"/>
      <c r="KN32" s="489"/>
      <c r="KO32" s="489"/>
      <c r="KP32" s="489"/>
      <c r="KQ32" s="489"/>
      <c r="KR32" s="489"/>
      <c r="KS32" s="489"/>
      <c r="KT32" s="489"/>
      <c r="KU32" s="489"/>
      <c r="KV32" s="489"/>
      <c r="KW32" s="489"/>
      <c r="KX32" s="489"/>
      <c r="KY32" s="489"/>
      <c r="KZ32" s="489"/>
      <c r="LA32" s="489"/>
      <c r="LB32" s="489"/>
      <c r="LC32" s="489"/>
      <c r="LD32" s="489"/>
      <c r="LE32" s="489"/>
      <c r="LF32" s="489"/>
      <c r="LG32" s="489"/>
      <c r="LH32" s="489"/>
      <c r="LI32" s="489"/>
      <c r="LJ32" s="489"/>
      <c r="LK32" s="489"/>
      <c r="LL32" s="489"/>
      <c r="LM32" s="489"/>
      <c r="LN32" s="489"/>
      <c r="LO32" s="489"/>
      <c r="LP32" s="489"/>
      <c r="LQ32" s="489"/>
      <c r="LR32" s="489"/>
      <c r="LS32" s="489"/>
      <c r="LT32" s="489"/>
      <c r="LU32" s="489"/>
      <c r="LV32" s="489"/>
      <c r="LW32" s="489"/>
      <c r="LX32" s="489"/>
      <c r="LY32" s="489"/>
      <c r="LZ32" s="489"/>
      <c r="MA32" s="489"/>
      <c r="MB32" s="489"/>
      <c r="MC32" s="489"/>
      <c r="MD32" s="489"/>
      <c r="ME32" s="489"/>
      <c r="MF32" s="489"/>
      <c r="MG32" s="489"/>
      <c r="MH32" s="489"/>
      <c r="MI32" s="489"/>
      <c r="MJ32" s="489"/>
      <c r="MK32" s="489"/>
      <c r="ML32" s="489"/>
      <c r="MM32" s="489"/>
      <c r="MN32" s="490" t="s">
        <v>2026</v>
      </c>
      <c r="MO32" s="490"/>
      <c r="MP32" s="490"/>
      <c r="MQ32" s="490"/>
      <c r="MR32" s="490"/>
      <c r="MS32" s="490"/>
      <c r="MT32" s="490"/>
      <c r="MU32" s="490"/>
      <c r="MV32" s="490"/>
      <c r="MW32" s="490"/>
      <c r="MX32" s="490"/>
      <c r="MY32" s="490"/>
      <c r="MZ32" s="490"/>
    </row>
    <row r="33" spans="2:364" ht="16.5" thickBot="1" x14ac:dyDescent="0.3">
      <c r="B33" s="401" t="s">
        <v>826</v>
      </c>
      <c r="C33" s="402"/>
      <c r="D33" s="402"/>
      <c r="E33" s="402"/>
      <c r="F33" s="402"/>
      <c r="G33" s="403" t="s">
        <v>827</v>
      </c>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c r="AG33" s="403"/>
      <c r="AH33" s="403"/>
      <c r="AI33" s="403"/>
      <c r="AJ33" s="403"/>
      <c r="AK33" s="403"/>
      <c r="AL33" s="403"/>
      <c r="AM33" s="403"/>
      <c r="AN33" s="403"/>
      <c r="AO33" s="403"/>
      <c r="AP33" s="403"/>
      <c r="AQ33" s="403"/>
      <c r="AR33" s="403"/>
      <c r="AS33" s="403"/>
      <c r="AT33" s="403"/>
      <c r="AU33" s="403"/>
      <c r="AV33" s="403"/>
      <c r="AW33" s="403"/>
      <c r="AX33" s="403"/>
      <c r="AY33" s="403"/>
      <c r="AZ33" s="403"/>
      <c r="BA33" s="403"/>
      <c r="BB33" s="403"/>
      <c r="BC33" s="403"/>
      <c r="BD33" s="403"/>
      <c r="BE33" s="403"/>
      <c r="BF33" s="403"/>
      <c r="BG33" s="403"/>
      <c r="BH33" s="403"/>
      <c r="BI33" s="403"/>
      <c r="BJ33" s="403"/>
      <c r="BK33" s="403"/>
      <c r="BL33" s="403"/>
      <c r="BM33" s="403"/>
      <c r="BN33" s="403"/>
      <c r="BO33" s="403"/>
      <c r="BP33" s="403"/>
      <c r="BQ33" s="403"/>
      <c r="BR33" s="403"/>
      <c r="BS33" s="403"/>
      <c r="BT33" s="403"/>
      <c r="BU33" s="403"/>
      <c r="BV33" s="403"/>
      <c r="BW33" s="403"/>
      <c r="BX33" s="403"/>
      <c r="BY33" s="403"/>
      <c r="BZ33" s="403"/>
      <c r="CA33" s="403"/>
      <c r="CB33" s="403"/>
      <c r="CC33" s="403"/>
      <c r="CD33" s="403"/>
      <c r="CE33" s="403"/>
      <c r="CF33" s="403"/>
      <c r="CG33" s="403"/>
      <c r="CH33" s="404"/>
      <c r="CI33">
        <v>19</v>
      </c>
      <c r="CJ33">
        <v>269</v>
      </c>
      <c r="CK33" s="365" t="str">
        <f>IFERROR(VLOOKUP($CI33,Skills!$H$2:$N$620,7,FALSE),"")</f>
        <v/>
      </c>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445" t="str">
        <f>IFERROR(VLOOKUP($CI33,Skills!$H$2:$K$620,4,FALSE),"")</f>
        <v/>
      </c>
      <c r="ED33" s="445"/>
      <c r="EE33" s="445"/>
      <c r="EF33" s="445"/>
      <c r="EG33" s="445"/>
      <c r="EH33" s="446"/>
      <c r="EI33" s="446"/>
      <c r="EJ33" s="446"/>
      <c r="EK33" s="446"/>
      <c r="EL33" s="447"/>
      <c r="EM33" s="366" t="str">
        <f>IFERROR(VLOOKUP($CJ33,Skills!$H$2:$N$620,7,FALSE),"")</f>
        <v/>
      </c>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445" t="str">
        <f>IFERROR(VLOOKUP($CJ33,Skills!$H$2:$K$620,4,FALSE),"")</f>
        <v/>
      </c>
      <c r="GF33" s="445"/>
      <c r="GG33" s="445"/>
      <c r="GH33" s="445"/>
      <c r="GI33" s="445"/>
      <c r="GJ33" s="448"/>
      <c r="GK33" s="448"/>
      <c r="GL33" s="448"/>
      <c r="GM33" s="448"/>
      <c r="GN33" s="449"/>
      <c r="GQ33" s="431" t="s">
        <v>1212</v>
      </c>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91" t="str">
        <f>IFERROR(VLOOKUP(GQ33,Charts!$V$2:$X$518,3,FALSE),"")</f>
        <v>Can reproduce any pitch with an instrument. +10 Performance Art: Play Instrument</v>
      </c>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2">
        <f>IFERROR(VLOOKUP(GQ33,Charts!$V$2:$W$518,2,FALSE),"0")</f>
        <v>7</v>
      </c>
      <c r="MO33" s="492"/>
      <c r="MP33" s="492"/>
      <c r="MQ33" s="492"/>
      <c r="MR33" s="492"/>
      <c r="MS33" s="492"/>
      <c r="MT33" s="492"/>
      <c r="MU33" s="492"/>
      <c r="MV33" s="492"/>
      <c r="MW33" s="492"/>
      <c r="MX33" s="492"/>
      <c r="MY33" s="492"/>
      <c r="MZ33" s="492"/>
    </row>
    <row r="34" spans="2:364" ht="15.75" thickBot="1" x14ac:dyDescent="0.3">
      <c r="B34" s="405" t="s">
        <v>828</v>
      </c>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7"/>
      <c r="CI34">
        <v>20</v>
      </c>
      <c r="CJ34">
        <v>270</v>
      </c>
      <c r="CK34" s="450" t="str">
        <f>IFERROR(VLOOKUP($CI34,Skills!$H$2:$N$620,7,FALSE),"")</f>
        <v/>
      </c>
      <c r="CL34" s="451"/>
      <c r="CM34" s="451"/>
      <c r="CN34" s="451"/>
      <c r="CO34" s="451"/>
      <c r="CP34" s="451"/>
      <c r="CQ34" s="451"/>
      <c r="CR34" s="451"/>
      <c r="CS34" s="451"/>
      <c r="CT34" s="451"/>
      <c r="CU34" s="451"/>
      <c r="CV34" s="451"/>
      <c r="CW34" s="451"/>
      <c r="CX34" s="451"/>
      <c r="CY34" s="451"/>
      <c r="CZ34" s="451"/>
      <c r="DA34" s="451"/>
      <c r="DB34" s="451"/>
      <c r="DC34" s="451"/>
      <c r="DD34" s="451"/>
      <c r="DE34" s="451"/>
      <c r="DF34" s="451"/>
      <c r="DG34" s="451"/>
      <c r="DH34" s="451"/>
      <c r="DI34" s="451"/>
      <c r="DJ34" s="451"/>
      <c r="DK34" s="451"/>
      <c r="DL34" s="451"/>
      <c r="DM34" s="451"/>
      <c r="DN34" s="451"/>
      <c r="DO34" s="451"/>
      <c r="DP34" s="451"/>
      <c r="DQ34" s="451"/>
      <c r="DR34" s="451"/>
      <c r="DS34" s="451"/>
      <c r="DT34" s="451"/>
      <c r="DU34" s="451"/>
      <c r="DV34" s="451"/>
      <c r="DW34" s="451"/>
      <c r="DX34" s="451"/>
      <c r="DY34" s="451"/>
      <c r="DZ34" s="451"/>
      <c r="EA34" s="451"/>
      <c r="EB34" s="451"/>
      <c r="EC34" s="417" t="str">
        <f>IFERROR(VLOOKUP($CI34,Skills!$H$2:$K$620,4,FALSE),"")</f>
        <v/>
      </c>
      <c r="ED34" s="417"/>
      <c r="EE34" s="417"/>
      <c r="EF34" s="417"/>
      <c r="EG34" s="417"/>
      <c r="EH34" s="452"/>
      <c r="EI34" s="452"/>
      <c r="EJ34" s="452"/>
      <c r="EK34" s="452"/>
      <c r="EL34" s="453"/>
      <c r="EM34" s="451" t="str">
        <f>IFERROR(VLOOKUP($CJ34,Skills!$H$2:$N$620,7,FALSE),"")</f>
        <v/>
      </c>
      <c r="EN34" s="451"/>
      <c r="EO34" s="451"/>
      <c r="EP34" s="451"/>
      <c r="EQ34" s="451"/>
      <c r="ER34" s="451"/>
      <c r="ES34" s="451"/>
      <c r="ET34" s="451"/>
      <c r="EU34" s="451"/>
      <c r="EV34" s="451"/>
      <c r="EW34" s="451"/>
      <c r="EX34" s="451"/>
      <c r="EY34" s="451"/>
      <c r="EZ34" s="451"/>
      <c r="FA34" s="451"/>
      <c r="FB34" s="451"/>
      <c r="FC34" s="451"/>
      <c r="FD34" s="451"/>
      <c r="FE34" s="451"/>
      <c r="FF34" s="451"/>
      <c r="FG34" s="451"/>
      <c r="FH34" s="451"/>
      <c r="FI34" s="451"/>
      <c r="FJ34" s="451"/>
      <c r="FK34" s="451"/>
      <c r="FL34" s="451"/>
      <c r="FM34" s="451"/>
      <c r="FN34" s="451"/>
      <c r="FO34" s="451"/>
      <c r="FP34" s="451"/>
      <c r="FQ34" s="451"/>
      <c r="FR34" s="451"/>
      <c r="FS34" s="451"/>
      <c r="FT34" s="451"/>
      <c r="FU34" s="451"/>
      <c r="FV34" s="451"/>
      <c r="FW34" s="451"/>
      <c r="FX34" s="451"/>
      <c r="FY34" s="451"/>
      <c r="FZ34" s="451"/>
      <c r="GA34" s="451"/>
      <c r="GB34" s="451"/>
      <c r="GC34" s="451"/>
      <c r="GD34" s="451"/>
      <c r="GE34" s="417" t="str">
        <f>IFERROR(VLOOKUP($CJ34,Skills!$H$2:$K$620,4,FALSE),"")</f>
        <v/>
      </c>
      <c r="GF34" s="417"/>
      <c r="GG34" s="417"/>
      <c r="GH34" s="417"/>
      <c r="GI34" s="417"/>
      <c r="GJ34" s="454"/>
      <c r="GK34" s="454"/>
      <c r="GL34" s="454"/>
      <c r="GM34" s="454"/>
      <c r="GN34" s="455"/>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93" t="str">
        <f>IFERROR(VLOOKUP(GQ34,Charts!$V$2:$X$518,3,FALSE),"")</f>
        <v/>
      </c>
      <c r="IF34" s="493"/>
      <c r="IG34" s="493"/>
      <c r="IH34" s="493"/>
      <c r="II34" s="493"/>
      <c r="IJ34" s="493"/>
      <c r="IK34" s="493"/>
      <c r="IL34" s="493"/>
      <c r="IM34" s="493"/>
      <c r="IN34" s="493"/>
      <c r="IO34" s="493"/>
      <c r="IP34" s="493"/>
      <c r="IQ34" s="493"/>
      <c r="IR34" s="493"/>
      <c r="IS34" s="493"/>
      <c r="IT34" s="493"/>
      <c r="IU34" s="493"/>
      <c r="IV34" s="493"/>
      <c r="IW34" s="493"/>
      <c r="IX34" s="493"/>
      <c r="IY34" s="493"/>
      <c r="IZ34" s="493"/>
      <c r="JA34" s="493"/>
      <c r="JB34" s="493"/>
      <c r="JC34" s="493"/>
      <c r="JD34" s="493"/>
      <c r="JE34" s="493"/>
      <c r="JF34" s="493"/>
      <c r="JG34" s="493"/>
      <c r="JH34" s="493"/>
      <c r="JI34" s="493"/>
      <c r="JJ34" s="493"/>
      <c r="JK34" s="493"/>
      <c r="JL34" s="493"/>
      <c r="JM34" s="493"/>
      <c r="JN34" s="493"/>
      <c r="JO34" s="493"/>
      <c r="JP34" s="493"/>
      <c r="JQ34" s="493"/>
      <c r="JR34" s="493"/>
      <c r="JS34" s="493"/>
      <c r="JT34" s="493"/>
      <c r="JU34" s="493"/>
      <c r="JV34" s="493"/>
      <c r="JW34" s="493"/>
      <c r="JX34" s="493"/>
      <c r="JY34" s="493"/>
      <c r="JZ34" s="493"/>
      <c r="KA34" s="493"/>
      <c r="KB34" s="493"/>
      <c r="KC34" s="493"/>
      <c r="KD34" s="493"/>
      <c r="KE34" s="493"/>
      <c r="KF34" s="493"/>
      <c r="KG34" s="493"/>
      <c r="KH34" s="493"/>
      <c r="KI34" s="493"/>
      <c r="KJ34" s="493"/>
      <c r="KK34" s="493"/>
      <c r="KL34" s="493"/>
      <c r="KM34" s="493"/>
      <c r="KN34" s="493"/>
      <c r="KO34" s="493"/>
      <c r="KP34" s="493"/>
      <c r="KQ34" s="493"/>
      <c r="KR34" s="493"/>
      <c r="KS34" s="493"/>
      <c r="KT34" s="493"/>
      <c r="KU34" s="493"/>
      <c r="KV34" s="493"/>
      <c r="KW34" s="493"/>
      <c r="KX34" s="493"/>
      <c r="KY34" s="493"/>
      <c r="KZ34" s="493"/>
      <c r="LA34" s="493"/>
      <c r="LB34" s="493"/>
      <c r="LC34" s="493"/>
      <c r="LD34" s="493"/>
      <c r="LE34" s="493"/>
      <c r="LF34" s="493"/>
      <c r="LG34" s="493"/>
      <c r="LH34" s="493"/>
      <c r="LI34" s="493"/>
      <c r="LJ34" s="493"/>
      <c r="LK34" s="493"/>
      <c r="LL34" s="493"/>
      <c r="LM34" s="493"/>
      <c r="LN34" s="493"/>
      <c r="LO34" s="493"/>
      <c r="LP34" s="493"/>
      <c r="LQ34" s="493"/>
      <c r="LR34" s="493"/>
      <c r="LS34" s="493"/>
      <c r="LT34" s="493"/>
      <c r="LU34" s="493"/>
      <c r="LV34" s="493"/>
      <c r="LW34" s="493"/>
      <c r="LX34" s="493"/>
      <c r="LY34" s="493"/>
      <c r="LZ34" s="493"/>
      <c r="MA34" s="493"/>
      <c r="MB34" s="493"/>
      <c r="MC34" s="493"/>
      <c r="MD34" s="493"/>
      <c r="ME34" s="493"/>
      <c r="MF34" s="493"/>
      <c r="MG34" s="493"/>
      <c r="MH34" s="493"/>
      <c r="MI34" s="493"/>
      <c r="MJ34" s="493"/>
      <c r="MK34" s="493"/>
      <c r="ML34" s="493"/>
      <c r="MM34" s="493"/>
      <c r="MN34" s="494" t="str">
        <f>IFERROR(VLOOKUP(GQ34,Charts!$V$2:$W$518,2,FALSE),"0")</f>
        <v>0</v>
      </c>
      <c r="MO34" s="494"/>
      <c r="MP34" s="494"/>
      <c r="MQ34" s="494"/>
      <c r="MR34" s="494"/>
      <c r="MS34" s="494"/>
      <c r="MT34" s="494"/>
      <c r="MU34" s="494"/>
      <c r="MV34" s="494"/>
      <c r="MW34" s="494"/>
      <c r="MX34" s="494"/>
      <c r="MY34" s="494"/>
      <c r="MZ34" s="494"/>
    </row>
    <row r="35" spans="2:364" ht="15.75" thickBot="1" x14ac:dyDescent="0.3">
      <c r="B35" s="405"/>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7"/>
      <c r="CI35">
        <v>21</v>
      </c>
      <c r="CJ35">
        <v>271</v>
      </c>
      <c r="CK35" s="365" t="str">
        <f>IFERROR(VLOOKUP($CI35,Skills!$H$2:$N$620,7,FALSE),"")</f>
        <v/>
      </c>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445" t="str">
        <f>IFERROR(VLOOKUP($CI35,Skills!$H$2:$K$620,4,FALSE),"")</f>
        <v/>
      </c>
      <c r="ED35" s="445"/>
      <c r="EE35" s="445"/>
      <c r="EF35" s="445"/>
      <c r="EG35" s="445"/>
      <c r="EH35" s="446"/>
      <c r="EI35" s="446"/>
      <c r="EJ35" s="446"/>
      <c r="EK35" s="446"/>
      <c r="EL35" s="447"/>
      <c r="EM35" s="366" t="str">
        <f>IFERROR(VLOOKUP($CJ35,Skills!$H$2:$N$620,7,FALSE),"")</f>
        <v/>
      </c>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445" t="str">
        <f>IFERROR(VLOOKUP($CJ35,Skills!$H$2:$K$620,4,FALSE),"")</f>
        <v/>
      </c>
      <c r="GF35" s="445"/>
      <c r="GG35" s="445"/>
      <c r="GH35" s="445"/>
      <c r="GI35" s="445"/>
      <c r="GJ35" s="448"/>
      <c r="GK35" s="448"/>
      <c r="GL35" s="448"/>
      <c r="GM35" s="448"/>
      <c r="GN35" s="449"/>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91" t="str">
        <f>IFERROR(VLOOKUP(GQ35,Charts!$V$2:$X$518,3,FALSE),"")</f>
        <v/>
      </c>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2" t="str">
        <f>IFERROR(VLOOKUP(GQ35,Charts!$V$2:$W$518,2,FALSE),"0")</f>
        <v>0</v>
      </c>
      <c r="MO35" s="492"/>
      <c r="MP35" s="492"/>
      <c r="MQ35" s="492"/>
      <c r="MR35" s="492"/>
      <c r="MS35" s="492"/>
      <c r="MT35" s="492"/>
      <c r="MU35" s="492"/>
      <c r="MV35" s="492"/>
      <c r="MW35" s="492"/>
      <c r="MX35" s="492"/>
      <c r="MY35" s="492"/>
      <c r="MZ35" s="492"/>
    </row>
    <row r="36" spans="2:364" ht="15.75" thickBot="1" x14ac:dyDescent="0.3">
      <c r="B36" s="405"/>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7"/>
      <c r="CI36">
        <v>22</v>
      </c>
      <c r="CJ36">
        <v>272</v>
      </c>
      <c r="CK36" s="450" t="str">
        <f>IFERROR(VLOOKUP($CI36,Skills!$H$2:$N$620,7,FALSE),"")</f>
        <v/>
      </c>
      <c r="CL36" s="451"/>
      <c r="CM36" s="451"/>
      <c r="CN36" s="451"/>
      <c r="CO36" s="451"/>
      <c r="CP36" s="451"/>
      <c r="CQ36" s="451"/>
      <c r="CR36" s="451"/>
      <c r="CS36" s="451"/>
      <c r="CT36" s="451"/>
      <c r="CU36" s="451"/>
      <c r="CV36" s="451"/>
      <c r="CW36" s="451"/>
      <c r="CX36" s="451"/>
      <c r="CY36" s="451"/>
      <c r="CZ36" s="451"/>
      <c r="DA36" s="451"/>
      <c r="DB36" s="451"/>
      <c r="DC36" s="451"/>
      <c r="DD36" s="451"/>
      <c r="DE36" s="451"/>
      <c r="DF36" s="451"/>
      <c r="DG36" s="451"/>
      <c r="DH36" s="451"/>
      <c r="DI36" s="451"/>
      <c r="DJ36" s="451"/>
      <c r="DK36" s="451"/>
      <c r="DL36" s="451"/>
      <c r="DM36" s="451"/>
      <c r="DN36" s="451"/>
      <c r="DO36" s="451"/>
      <c r="DP36" s="451"/>
      <c r="DQ36" s="451"/>
      <c r="DR36" s="451"/>
      <c r="DS36" s="451"/>
      <c r="DT36" s="451"/>
      <c r="DU36" s="451"/>
      <c r="DV36" s="451"/>
      <c r="DW36" s="451"/>
      <c r="DX36" s="451"/>
      <c r="DY36" s="451"/>
      <c r="DZ36" s="451"/>
      <c r="EA36" s="451"/>
      <c r="EB36" s="451"/>
      <c r="EC36" s="417" t="str">
        <f>IFERROR(VLOOKUP($CI36,Skills!$H$2:$K$620,4,FALSE),"")</f>
        <v/>
      </c>
      <c r="ED36" s="417"/>
      <c r="EE36" s="417"/>
      <c r="EF36" s="417"/>
      <c r="EG36" s="417"/>
      <c r="EH36" s="452">
        <v>1</v>
      </c>
      <c r="EI36" s="452"/>
      <c r="EJ36" s="452"/>
      <c r="EK36" s="452"/>
      <c r="EL36" s="453"/>
      <c r="EM36" s="451" t="str">
        <f>IFERROR(VLOOKUP($CJ36,Skills!$H$2:$N$620,7,FALSE),"")</f>
        <v/>
      </c>
      <c r="EN36" s="451"/>
      <c r="EO36" s="451"/>
      <c r="EP36" s="451"/>
      <c r="EQ36" s="451"/>
      <c r="ER36" s="451"/>
      <c r="ES36" s="451"/>
      <c r="ET36" s="451"/>
      <c r="EU36" s="451"/>
      <c r="EV36" s="451"/>
      <c r="EW36" s="451"/>
      <c r="EX36" s="451"/>
      <c r="EY36" s="451"/>
      <c r="EZ36" s="451"/>
      <c r="FA36" s="451"/>
      <c r="FB36" s="451"/>
      <c r="FC36" s="451"/>
      <c r="FD36" s="451"/>
      <c r="FE36" s="451"/>
      <c r="FF36" s="451"/>
      <c r="FG36" s="451"/>
      <c r="FH36" s="451"/>
      <c r="FI36" s="451"/>
      <c r="FJ36" s="451"/>
      <c r="FK36" s="451"/>
      <c r="FL36" s="451"/>
      <c r="FM36" s="451"/>
      <c r="FN36" s="451"/>
      <c r="FO36" s="451"/>
      <c r="FP36" s="451"/>
      <c r="FQ36" s="451"/>
      <c r="FR36" s="451"/>
      <c r="FS36" s="451"/>
      <c r="FT36" s="451"/>
      <c r="FU36" s="451"/>
      <c r="FV36" s="451"/>
      <c r="FW36" s="451"/>
      <c r="FX36" s="451"/>
      <c r="FY36" s="451"/>
      <c r="FZ36" s="451"/>
      <c r="GA36" s="451"/>
      <c r="GB36" s="451"/>
      <c r="GC36" s="451"/>
      <c r="GD36" s="451"/>
      <c r="GE36" s="417" t="str">
        <f>IFERROR(VLOOKUP($CJ36,Skills!$H$2:$K$620,4,FALSE),"")</f>
        <v/>
      </c>
      <c r="GF36" s="417"/>
      <c r="GG36" s="417"/>
      <c r="GH36" s="417"/>
      <c r="GI36" s="417"/>
      <c r="GJ36" s="454"/>
      <c r="GK36" s="454"/>
      <c r="GL36" s="454"/>
      <c r="GM36" s="454"/>
      <c r="GN36" s="455"/>
      <c r="GQ36" s="433"/>
      <c r="GR36" s="433"/>
      <c r="GS36" s="433"/>
      <c r="GT36" s="433"/>
      <c r="GU36" s="433"/>
      <c r="GV36" s="433"/>
      <c r="GW36" s="433"/>
      <c r="GX36" s="433"/>
      <c r="GY36" s="433"/>
      <c r="GZ36" s="433"/>
      <c r="HA36" s="433"/>
      <c r="HB36" s="433"/>
      <c r="HC36" s="433"/>
      <c r="HD36" s="433"/>
      <c r="HE36" s="433"/>
      <c r="HF36" s="433"/>
      <c r="HG36" s="433"/>
      <c r="HH36" s="433"/>
      <c r="HI36" s="433"/>
      <c r="HJ36" s="433"/>
      <c r="HK36" s="433"/>
      <c r="HL36" s="433"/>
      <c r="HM36" s="433"/>
      <c r="HN36" s="433"/>
      <c r="HO36" s="433"/>
      <c r="HP36" s="433"/>
      <c r="HQ36" s="433"/>
      <c r="HR36" s="433"/>
      <c r="HS36" s="433"/>
      <c r="HT36" s="433"/>
      <c r="HU36" s="433"/>
      <c r="HV36" s="433"/>
      <c r="HW36" s="433"/>
      <c r="HX36" s="433"/>
      <c r="HY36" s="433"/>
      <c r="HZ36" s="433"/>
      <c r="IA36" s="433"/>
      <c r="IB36" s="433"/>
      <c r="IC36" s="433"/>
      <c r="ID36" s="433"/>
      <c r="IE36" s="493" t="str">
        <f>IFERROR(VLOOKUP(GQ36,Charts!$V$2:$X$518,3,FALSE),"")</f>
        <v/>
      </c>
      <c r="IF36" s="493"/>
      <c r="IG36" s="493"/>
      <c r="IH36" s="493"/>
      <c r="II36" s="493"/>
      <c r="IJ36" s="493"/>
      <c r="IK36" s="493"/>
      <c r="IL36" s="493"/>
      <c r="IM36" s="493"/>
      <c r="IN36" s="493"/>
      <c r="IO36" s="493"/>
      <c r="IP36" s="493"/>
      <c r="IQ36" s="493"/>
      <c r="IR36" s="493"/>
      <c r="IS36" s="493"/>
      <c r="IT36" s="493"/>
      <c r="IU36" s="493"/>
      <c r="IV36" s="493"/>
      <c r="IW36" s="493"/>
      <c r="IX36" s="493"/>
      <c r="IY36" s="493"/>
      <c r="IZ36" s="493"/>
      <c r="JA36" s="493"/>
      <c r="JB36" s="493"/>
      <c r="JC36" s="493"/>
      <c r="JD36" s="493"/>
      <c r="JE36" s="493"/>
      <c r="JF36" s="493"/>
      <c r="JG36" s="493"/>
      <c r="JH36" s="493"/>
      <c r="JI36" s="493"/>
      <c r="JJ36" s="493"/>
      <c r="JK36" s="493"/>
      <c r="JL36" s="493"/>
      <c r="JM36" s="493"/>
      <c r="JN36" s="493"/>
      <c r="JO36" s="493"/>
      <c r="JP36" s="493"/>
      <c r="JQ36" s="493"/>
      <c r="JR36" s="493"/>
      <c r="JS36" s="493"/>
      <c r="JT36" s="493"/>
      <c r="JU36" s="493"/>
      <c r="JV36" s="493"/>
      <c r="JW36" s="493"/>
      <c r="JX36" s="493"/>
      <c r="JY36" s="493"/>
      <c r="JZ36" s="493"/>
      <c r="KA36" s="493"/>
      <c r="KB36" s="493"/>
      <c r="KC36" s="493"/>
      <c r="KD36" s="493"/>
      <c r="KE36" s="493"/>
      <c r="KF36" s="493"/>
      <c r="KG36" s="493"/>
      <c r="KH36" s="493"/>
      <c r="KI36" s="493"/>
      <c r="KJ36" s="493"/>
      <c r="KK36" s="493"/>
      <c r="KL36" s="493"/>
      <c r="KM36" s="493"/>
      <c r="KN36" s="493"/>
      <c r="KO36" s="493"/>
      <c r="KP36" s="493"/>
      <c r="KQ36" s="493"/>
      <c r="KR36" s="493"/>
      <c r="KS36" s="493"/>
      <c r="KT36" s="493"/>
      <c r="KU36" s="493"/>
      <c r="KV36" s="493"/>
      <c r="KW36" s="493"/>
      <c r="KX36" s="493"/>
      <c r="KY36" s="493"/>
      <c r="KZ36" s="493"/>
      <c r="LA36" s="493"/>
      <c r="LB36" s="493"/>
      <c r="LC36" s="493"/>
      <c r="LD36" s="493"/>
      <c r="LE36" s="493"/>
      <c r="LF36" s="493"/>
      <c r="LG36" s="493"/>
      <c r="LH36" s="493"/>
      <c r="LI36" s="493"/>
      <c r="LJ36" s="493"/>
      <c r="LK36" s="493"/>
      <c r="LL36" s="493"/>
      <c r="LM36" s="493"/>
      <c r="LN36" s="493"/>
      <c r="LO36" s="493"/>
      <c r="LP36" s="493"/>
      <c r="LQ36" s="493"/>
      <c r="LR36" s="493"/>
      <c r="LS36" s="493"/>
      <c r="LT36" s="493"/>
      <c r="LU36" s="493"/>
      <c r="LV36" s="493"/>
      <c r="LW36" s="493"/>
      <c r="LX36" s="493"/>
      <c r="LY36" s="493"/>
      <c r="LZ36" s="493"/>
      <c r="MA36" s="493"/>
      <c r="MB36" s="493"/>
      <c r="MC36" s="493"/>
      <c r="MD36" s="493"/>
      <c r="ME36" s="493"/>
      <c r="MF36" s="493"/>
      <c r="MG36" s="493"/>
      <c r="MH36" s="493"/>
      <c r="MI36" s="493"/>
      <c r="MJ36" s="493"/>
      <c r="MK36" s="493"/>
      <c r="ML36" s="493"/>
      <c r="MM36" s="493"/>
      <c r="MN36" s="494" t="str">
        <f>IFERROR(VLOOKUP(GQ36,Charts!$V$2:$W$518,2,FALSE),"0")</f>
        <v>0</v>
      </c>
      <c r="MO36" s="494"/>
      <c r="MP36" s="494"/>
      <c r="MQ36" s="494"/>
      <c r="MR36" s="494"/>
      <c r="MS36" s="494"/>
      <c r="MT36" s="494"/>
      <c r="MU36" s="494"/>
      <c r="MV36" s="494"/>
      <c r="MW36" s="494"/>
      <c r="MX36" s="494"/>
      <c r="MY36" s="494"/>
      <c r="MZ36" s="494"/>
    </row>
    <row r="37" spans="2:364" ht="15.75" thickBot="1" x14ac:dyDescent="0.3">
      <c r="B37" s="408"/>
      <c r="C37" s="409"/>
      <c r="D37" s="409"/>
      <c r="E37" s="409"/>
      <c r="F37" s="409"/>
      <c r="G37" s="409"/>
      <c r="H37" s="409"/>
      <c r="I37" s="409"/>
      <c r="J37" s="409"/>
      <c r="K37" s="409"/>
      <c r="L37" s="409"/>
      <c r="M37" s="409"/>
      <c r="N37" s="409"/>
      <c r="O37" s="409"/>
      <c r="P37" s="409"/>
      <c r="Q37" s="409"/>
      <c r="R37" s="409"/>
      <c r="S37" s="409"/>
      <c r="T37" s="409"/>
      <c r="U37" s="409"/>
      <c r="V37" s="409"/>
      <c r="W37" s="409"/>
      <c r="X37" s="409"/>
      <c r="Y37" s="409"/>
      <c r="Z37" s="409"/>
      <c r="AA37" s="409"/>
      <c r="AB37" s="409"/>
      <c r="AC37" s="409"/>
      <c r="AD37" s="409"/>
      <c r="AE37" s="409"/>
      <c r="AF37" s="409"/>
      <c r="AG37" s="409"/>
      <c r="AH37" s="409"/>
      <c r="AI37" s="409"/>
      <c r="AJ37" s="409"/>
      <c r="AK37" s="409"/>
      <c r="AL37" s="409"/>
      <c r="AM37" s="409"/>
      <c r="AN37" s="409"/>
      <c r="AO37" s="409"/>
      <c r="AP37" s="409"/>
      <c r="AQ37" s="409"/>
      <c r="AR37" s="409"/>
      <c r="AS37" s="409"/>
      <c r="AT37" s="409"/>
      <c r="AU37" s="409"/>
      <c r="AV37" s="409"/>
      <c r="AW37" s="409"/>
      <c r="AX37" s="409"/>
      <c r="AY37" s="409"/>
      <c r="AZ37" s="409"/>
      <c r="BA37" s="409"/>
      <c r="BB37" s="409"/>
      <c r="BC37" s="409"/>
      <c r="BD37" s="409"/>
      <c r="BE37" s="409"/>
      <c r="BF37" s="409"/>
      <c r="BG37" s="409"/>
      <c r="BH37" s="409"/>
      <c r="BI37" s="409"/>
      <c r="BJ37" s="409"/>
      <c r="BK37" s="409"/>
      <c r="BL37" s="409"/>
      <c r="BM37" s="409"/>
      <c r="BN37" s="409"/>
      <c r="BO37" s="409"/>
      <c r="BP37" s="409"/>
      <c r="BQ37" s="409"/>
      <c r="BR37" s="409"/>
      <c r="BS37" s="409"/>
      <c r="BT37" s="409"/>
      <c r="BU37" s="409"/>
      <c r="BV37" s="409"/>
      <c r="BW37" s="409"/>
      <c r="BX37" s="409"/>
      <c r="BY37" s="409"/>
      <c r="BZ37" s="409"/>
      <c r="CA37" s="409"/>
      <c r="CB37" s="409"/>
      <c r="CC37" s="409"/>
      <c r="CD37" s="409"/>
      <c r="CE37" s="409"/>
      <c r="CF37" s="409"/>
      <c r="CG37" s="409"/>
      <c r="CH37" s="410"/>
      <c r="CI37">
        <v>23</v>
      </c>
      <c r="CJ37">
        <v>273</v>
      </c>
      <c r="CK37" s="365" t="str">
        <f>IFERROR(VLOOKUP($CI37,Skills!$H$2:$N$620,7,FALSE),"")</f>
        <v/>
      </c>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445" t="str">
        <f>IFERROR(VLOOKUP($CI37,Skills!$H$2:$K$620,4,FALSE),"")</f>
        <v/>
      </c>
      <c r="ED37" s="445"/>
      <c r="EE37" s="445"/>
      <c r="EF37" s="445"/>
      <c r="EG37" s="445"/>
      <c r="EH37" s="446"/>
      <c r="EI37" s="446"/>
      <c r="EJ37" s="446"/>
      <c r="EK37" s="446"/>
      <c r="EL37" s="447"/>
      <c r="EM37" s="366" t="str">
        <f>IFERROR(VLOOKUP($CJ37,Skills!$H$2:$N$620,7,FALSE),"")</f>
        <v/>
      </c>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445" t="str">
        <f>IFERROR(VLOOKUP($CJ37,Skills!$H$2:$K$620,4,FALSE),"")</f>
        <v/>
      </c>
      <c r="GF37" s="445"/>
      <c r="GG37" s="445"/>
      <c r="GH37" s="445"/>
      <c r="GI37" s="445"/>
      <c r="GJ37" s="448"/>
      <c r="GK37" s="448"/>
      <c r="GL37" s="448"/>
      <c r="GM37" s="448"/>
      <c r="GN37" s="449"/>
      <c r="GQ37" s="431"/>
      <c r="GR37" s="431"/>
      <c r="GS37" s="431"/>
      <c r="GT37" s="431"/>
      <c r="GU37" s="431"/>
      <c r="GV37" s="431"/>
      <c r="GW37" s="431"/>
      <c r="GX37" s="431"/>
      <c r="GY37" s="431"/>
      <c r="GZ37" s="431"/>
      <c r="HA37" s="431"/>
      <c r="HB37" s="431"/>
      <c r="HC37" s="431"/>
      <c r="HD37" s="431"/>
      <c r="HE37" s="431"/>
      <c r="HF37" s="431"/>
      <c r="HG37" s="431"/>
      <c r="HH37" s="431"/>
      <c r="HI37" s="431"/>
      <c r="HJ37" s="431"/>
      <c r="HK37" s="431"/>
      <c r="HL37" s="431"/>
      <c r="HM37" s="431"/>
      <c r="HN37" s="431"/>
      <c r="HO37" s="431"/>
      <c r="HP37" s="431"/>
      <c r="HQ37" s="431"/>
      <c r="HR37" s="431"/>
      <c r="HS37" s="431"/>
      <c r="HT37" s="431"/>
      <c r="HU37" s="431"/>
      <c r="HV37" s="431"/>
      <c r="HW37" s="431"/>
      <c r="HX37" s="431"/>
      <c r="HY37" s="431"/>
      <c r="HZ37" s="431"/>
      <c r="IA37" s="431"/>
      <c r="IB37" s="431"/>
      <c r="IC37" s="431"/>
      <c r="ID37" s="431"/>
      <c r="IE37" s="491" t="str">
        <f>IFERROR(VLOOKUP(GQ37,Charts!$V$2:$X$518,3,FALSE),"")</f>
        <v/>
      </c>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2" t="str">
        <f>IFERROR(VLOOKUP(GQ37,Charts!$V$2:$W$518,2,FALSE),"0")</f>
        <v>0</v>
      </c>
      <c r="MO37" s="492"/>
      <c r="MP37" s="492"/>
      <c r="MQ37" s="492"/>
      <c r="MR37" s="492"/>
      <c r="MS37" s="492"/>
      <c r="MT37" s="492"/>
      <c r="MU37" s="492"/>
      <c r="MV37" s="492"/>
      <c r="MW37" s="492"/>
      <c r="MX37" s="492"/>
      <c r="MY37" s="492"/>
      <c r="MZ37" s="492"/>
    </row>
    <row r="38" spans="2:364" ht="15.75" thickBot="1" x14ac:dyDescent="0.3">
      <c r="B38" s="421" t="str">
        <f>"Statistic Points Available = "&amp;VLOOKUP(Z6,Charts!$B$2:$E$6,4,FALSE)-SUM(AX40:BH49)</f>
        <v>Statistic Points Available = 0</v>
      </c>
      <c r="C38" s="422"/>
      <c r="D38" s="422"/>
      <c r="E38" s="422"/>
      <c r="F38" s="422"/>
      <c r="G38" s="422"/>
      <c r="H38" s="422"/>
      <c r="I38" s="422"/>
      <c r="J38" s="422"/>
      <c r="K38" s="422"/>
      <c r="L38" s="422"/>
      <c r="M38" s="422"/>
      <c r="N38" s="422"/>
      <c r="O38" s="422"/>
      <c r="P38" s="422"/>
      <c r="Q38" s="422"/>
      <c r="R38" s="422"/>
      <c r="S38" s="422"/>
      <c r="T38" s="422"/>
      <c r="U38" s="422"/>
      <c r="V38" s="422"/>
      <c r="W38" s="422"/>
      <c r="X38" s="422"/>
      <c r="Y38" s="422"/>
      <c r="Z38" s="422"/>
      <c r="AA38" s="422"/>
      <c r="AB38" s="422"/>
      <c r="AC38" s="422"/>
      <c r="AD38" s="422"/>
      <c r="AE38" s="422"/>
      <c r="AF38" s="422"/>
      <c r="AG38" s="422"/>
      <c r="AH38" s="422"/>
      <c r="AI38" s="422"/>
      <c r="AJ38" s="422"/>
      <c r="AK38" s="422"/>
      <c r="AL38" s="422"/>
      <c r="AM38" s="422"/>
      <c r="AN38" s="422"/>
      <c r="AO38" s="422"/>
      <c r="AP38" s="422"/>
      <c r="AQ38" s="422"/>
      <c r="AR38" s="422"/>
      <c r="AS38" s="422"/>
      <c r="AT38" s="422"/>
      <c r="AU38" s="422"/>
      <c r="AV38" s="422"/>
      <c r="AW38" s="422"/>
      <c r="AX38" s="422"/>
      <c r="AY38" s="422"/>
      <c r="AZ38" s="422"/>
      <c r="BA38" s="422"/>
      <c r="BB38" s="422"/>
      <c r="BC38" s="422"/>
      <c r="BD38" s="422"/>
      <c r="BE38" s="422"/>
      <c r="BF38" s="422"/>
      <c r="BG38" s="422"/>
      <c r="BH38" s="422"/>
      <c r="BI38" s="422"/>
      <c r="BJ38" s="422"/>
      <c r="BK38" s="422"/>
      <c r="BL38" s="422"/>
      <c r="BM38" s="422"/>
      <c r="BN38" s="422"/>
      <c r="BO38" s="422"/>
      <c r="BP38" s="422"/>
      <c r="BQ38" s="422"/>
      <c r="BR38" s="422"/>
      <c r="BS38" s="422"/>
      <c r="BT38" s="422"/>
      <c r="BU38" s="422"/>
      <c r="BV38" s="422"/>
      <c r="BW38" s="422"/>
      <c r="BX38" s="422"/>
      <c r="BY38" s="422"/>
      <c r="BZ38" s="422"/>
      <c r="CA38" s="422"/>
      <c r="CB38" s="422"/>
      <c r="CC38" s="422"/>
      <c r="CD38" s="422"/>
      <c r="CE38" s="422"/>
      <c r="CF38" s="422"/>
      <c r="CG38" s="422"/>
      <c r="CH38" s="423"/>
      <c r="CI38">
        <v>24</v>
      </c>
      <c r="CJ38">
        <v>274</v>
      </c>
      <c r="CK38" s="450" t="str">
        <f>IFERROR(VLOOKUP($CI38,Skills!$H$2:$N$620,7,FALSE),"")</f>
        <v/>
      </c>
      <c r="CL38" s="451"/>
      <c r="CM38" s="451"/>
      <c r="CN38" s="451"/>
      <c r="CO38" s="451"/>
      <c r="CP38" s="451"/>
      <c r="CQ38" s="451"/>
      <c r="CR38" s="451"/>
      <c r="CS38" s="451"/>
      <c r="CT38" s="451"/>
      <c r="CU38" s="451"/>
      <c r="CV38" s="451"/>
      <c r="CW38" s="451"/>
      <c r="CX38" s="451"/>
      <c r="CY38" s="451"/>
      <c r="CZ38" s="451"/>
      <c r="DA38" s="451"/>
      <c r="DB38" s="451"/>
      <c r="DC38" s="451"/>
      <c r="DD38" s="451"/>
      <c r="DE38" s="451"/>
      <c r="DF38" s="451"/>
      <c r="DG38" s="451"/>
      <c r="DH38" s="451"/>
      <c r="DI38" s="451"/>
      <c r="DJ38" s="451"/>
      <c r="DK38" s="451"/>
      <c r="DL38" s="451"/>
      <c r="DM38" s="451"/>
      <c r="DN38" s="451"/>
      <c r="DO38" s="451"/>
      <c r="DP38" s="451"/>
      <c r="DQ38" s="451"/>
      <c r="DR38" s="451"/>
      <c r="DS38" s="451"/>
      <c r="DT38" s="451"/>
      <c r="DU38" s="451"/>
      <c r="DV38" s="451"/>
      <c r="DW38" s="451"/>
      <c r="DX38" s="451"/>
      <c r="DY38" s="451"/>
      <c r="DZ38" s="451"/>
      <c r="EA38" s="451"/>
      <c r="EB38" s="451"/>
      <c r="EC38" s="417" t="str">
        <f>IFERROR(VLOOKUP($CI38,Skills!$H$2:$K$620,4,FALSE),"")</f>
        <v/>
      </c>
      <c r="ED38" s="417"/>
      <c r="EE38" s="417"/>
      <c r="EF38" s="417"/>
      <c r="EG38" s="417"/>
      <c r="EH38" s="452"/>
      <c r="EI38" s="452"/>
      <c r="EJ38" s="452"/>
      <c r="EK38" s="452"/>
      <c r="EL38" s="453"/>
      <c r="EM38" s="451" t="str">
        <f>IFERROR(VLOOKUP($CJ38,Skills!$H$2:$N$620,7,FALSE),"")</f>
        <v/>
      </c>
      <c r="EN38" s="451"/>
      <c r="EO38" s="451"/>
      <c r="EP38" s="451"/>
      <c r="EQ38" s="451"/>
      <c r="ER38" s="451"/>
      <c r="ES38" s="451"/>
      <c r="ET38" s="451"/>
      <c r="EU38" s="451"/>
      <c r="EV38" s="451"/>
      <c r="EW38" s="451"/>
      <c r="EX38" s="451"/>
      <c r="EY38" s="451"/>
      <c r="EZ38" s="451"/>
      <c r="FA38" s="451"/>
      <c r="FB38" s="451"/>
      <c r="FC38" s="451"/>
      <c r="FD38" s="451"/>
      <c r="FE38" s="451"/>
      <c r="FF38" s="451"/>
      <c r="FG38" s="451"/>
      <c r="FH38" s="451"/>
      <c r="FI38" s="451"/>
      <c r="FJ38" s="451"/>
      <c r="FK38" s="451"/>
      <c r="FL38" s="451"/>
      <c r="FM38" s="451"/>
      <c r="FN38" s="451"/>
      <c r="FO38" s="451"/>
      <c r="FP38" s="451"/>
      <c r="FQ38" s="451"/>
      <c r="FR38" s="451"/>
      <c r="FS38" s="451"/>
      <c r="FT38" s="451"/>
      <c r="FU38" s="451"/>
      <c r="FV38" s="451"/>
      <c r="FW38" s="451"/>
      <c r="FX38" s="451"/>
      <c r="FY38" s="451"/>
      <c r="FZ38" s="451"/>
      <c r="GA38" s="451"/>
      <c r="GB38" s="451"/>
      <c r="GC38" s="451"/>
      <c r="GD38" s="451"/>
      <c r="GE38" s="417" t="str">
        <f>IFERROR(VLOOKUP($CJ38,Skills!$H$2:$K$620,4,FALSE),"")</f>
        <v/>
      </c>
      <c r="GF38" s="417"/>
      <c r="GG38" s="417"/>
      <c r="GH38" s="417"/>
      <c r="GI38" s="417"/>
      <c r="GJ38" s="454"/>
      <c r="GK38" s="454"/>
      <c r="GL38" s="454"/>
      <c r="GM38" s="454"/>
      <c r="GN38" s="455"/>
      <c r="GQ38" s="433"/>
      <c r="GR38" s="433"/>
      <c r="GS38" s="433"/>
      <c r="GT38" s="433"/>
      <c r="GU38" s="433"/>
      <c r="GV38" s="433"/>
      <c r="GW38" s="433"/>
      <c r="GX38" s="433"/>
      <c r="GY38" s="433"/>
      <c r="GZ38" s="433"/>
      <c r="HA38" s="433"/>
      <c r="HB38" s="433"/>
      <c r="HC38" s="433"/>
      <c r="HD38" s="433"/>
      <c r="HE38" s="433"/>
      <c r="HF38" s="433"/>
      <c r="HG38" s="433"/>
      <c r="HH38" s="433"/>
      <c r="HI38" s="433"/>
      <c r="HJ38" s="433"/>
      <c r="HK38" s="433"/>
      <c r="HL38" s="433"/>
      <c r="HM38" s="433"/>
      <c r="HN38" s="433"/>
      <c r="HO38" s="433"/>
      <c r="HP38" s="433"/>
      <c r="HQ38" s="433"/>
      <c r="HR38" s="433"/>
      <c r="HS38" s="433"/>
      <c r="HT38" s="433"/>
      <c r="HU38" s="433"/>
      <c r="HV38" s="433"/>
      <c r="HW38" s="433"/>
      <c r="HX38" s="433"/>
      <c r="HY38" s="433"/>
      <c r="HZ38" s="433"/>
      <c r="IA38" s="433"/>
      <c r="IB38" s="433"/>
      <c r="IC38" s="433"/>
      <c r="ID38" s="433"/>
      <c r="IE38" s="493" t="str">
        <f>IFERROR(VLOOKUP(GQ38,Charts!$V$2:$X$518,3,FALSE),"")</f>
        <v/>
      </c>
      <c r="IF38" s="493"/>
      <c r="IG38" s="493"/>
      <c r="IH38" s="493"/>
      <c r="II38" s="493"/>
      <c r="IJ38" s="493"/>
      <c r="IK38" s="493"/>
      <c r="IL38" s="493"/>
      <c r="IM38" s="493"/>
      <c r="IN38" s="493"/>
      <c r="IO38" s="493"/>
      <c r="IP38" s="493"/>
      <c r="IQ38" s="493"/>
      <c r="IR38" s="493"/>
      <c r="IS38" s="493"/>
      <c r="IT38" s="493"/>
      <c r="IU38" s="493"/>
      <c r="IV38" s="493"/>
      <c r="IW38" s="493"/>
      <c r="IX38" s="493"/>
      <c r="IY38" s="493"/>
      <c r="IZ38" s="493"/>
      <c r="JA38" s="493"/>
      <c r="JB38" s="493"/>
      <c r="JC38" s="493"/>
      <c r="JD38" s="493"/>
      <c r="JE38" s="493"/>
      <c r="JF38" s="493"/>
      <c r="JG38" s="493"/>
      <c r="JH38" s="493"/>
      <c r="JI38" s="493"/>
      <c r="JJ38" s="493"/>
      <c r="JK38" s="493"/>
      <c r="JL38" s="493"/>
      <c r="JM38" s="493"/>
      <c r="JN38" s="493"/>
      <c r="JO38" s="493"/>
      <c r="JP38" s="493"/>
      <c r="JQ38" s="493"/>
      <c r="JR38" s="493"/>
      <c r="JS38" s="493"/>
      <c r="JT38" s="493"/>
      <c r="JU38" s="493"/>
      <c r="JV38" s="493"/>
      <c r="JW38" s="493"/>
      <c r="JX38" s="493"/>
      <c r="JY38" s="493"/>
      <c r="JZ38" s="493"/>
      <c r="KA38" s="493"/>
      <c r="KB38" s="493"/>
      <c r="KC38" s="493"/>
      <c r="KD38" s="493"/>
      <c r="KE38" s="493"/>
      <c r="KF38" s="493"/>
      <c r="KG38" s="493"/>
      <c r="KH38" s="493"/>
      <c r="KI38" s="493"/>
      <c r="KJ38" s="493"/>
      <c r="KK38" s="493"/>
      <c r="KL38" s="493"/>
      <c r="KM38" s="493"/>
      <c r="KN38" s="493"/>
      <c r="KO38" s="493"/>
      <c r="KP38" s="493"/>
      <c r="KQ38" s="493"/>
      <c r="KR38" s="493"/>
      <c r="KS38" s="493"/>
      <c r="KT38" s="493"/>
      <c r="KU38" s="493"/>
      <c r="KV38" s="493"/>
      <c r="KW38" s="493"/>
      <c r="KX38" s="493"/>
      <c r="KY38" s="493"/>
      <c r="KZ38" s="493"/>
      <c r="LA38" s="493"/>
      <c r="LB38" s="493"/>
      <c r="LC38" s="493"/>
      <c r="LD38" s="493"/>
      <c r="LE38" s="493"/>
      <c r="LF38" s="493"/>
      <c r="LG38" s="493"/>
      <c r="LH38" s="493"/>
      <c r="LI38" s="493"/>
      <c r="LJ38" s="493"/>
      <c r="LK38" s="493"/>
      <c r="LL38" s="493"/>
      <c r="LM38" s="493"/>
      <c r="LN38" s="493"/>
      <c r="LO38" s="493"/>
      <c r="LP38" s="493"/>
      <c r="LQ38" s="493"/>
      <c r="LR38" s="493"/>
      <c r="LS38" s="493"/>
      <c r="LT38" s="493"/>
      <c r="LU38" s="493"/>
      <c r="LV38" s="493"/>
      <c r="LW38" s="493"/>
      <c r="LX38" s="493"/>
      <c r="LY38" s="493"/>
      <c r="LZ38" s="493"/>
      <c r="MA38" s="493"/>
      <c r="MB38" s="493"/>
      <c r="MC38" s="493"/>
      <c r="MD38" s="493"/>
      <c r="ME38" s="493"/>
      <c r="MF38" s="493"/>
      <c r="MG38" s="493"/>
      <c r="MH38" s="493"/>
      <c r="MI38" s="493"/>
      <c r="MJ38" s="493"/>
      <c r="MK38" s="493"/>
      <c r="ML38" s="493"/>
      <c r="MM38" s="493"/>
      <c r="MN38" s="494" t="str">
        <f>IFERROR(VLOOKUP(GQ38,Charts!$V$2:$W$518,2,FALSE),"0")</f>
        <v>0</v>
      </c>
      <c r="MO38" s="494"/>
      <c r="MP38" s="494"/>
      <c r="MQ38" s="494"/>
      <c r="MR38" s="494"/>
      <c r="MS38" s="494"/>
      <c r="MT38" s="494"/>
      <c r="MU38" s="494"/>
      <c r="MV38" s="494"/>
      <c r="MW38" s="494"/>
      <c r="MX38" s="494"/>
      <c r="MY38" s="494"/>
      <c r="MZ38" s="494"/>
    </row>
    <row r="39" spans="2:364" ht="15.75" thickBot="1" x14ac:dyDescent="0.3">
      <c r="B39" s="411"/>
      <c r="C39" s="412"/>
      <c r="D39" s="412"/>
      <c r="E39" s="412"/>
      <c r="F39" s="412"/>
      <c r="G39" s="412"/>
      <c r="H39" s="412"/>
      <c r="I39" s="412"/>
      <c r="J39" s="412"/>
      <c r="K39" s="412"/>
      <c r="L39" s="412"/>
      <c r="M39" s="412"/>
      <c r="N39" s="412"/>
      <c r="O39" s="412"/>
      <c r="P39" s="412"/>
      <c r="Q39" s="412"/>
      <c r="R39" s="412"/>
      <c r="S39" s="412"/>
      <c r="T39" s="412"/>
      <c r="U39" s="412"/>
      <c r="V39" s="413" t="s">
        <v>829</v>
      </c>
      <c r="W39" s="413"/>
      <c r="X39" s="413"/>
      <c r="Y39" s="413"/>
      <c r="Z39" s="413"/>
      <c r="AA39" s="413"/>
      <c r="AB39" s="413"/>
      <c r="AC39" s="413"/>
      <c r="AD39" s="413"/>
      <c r="AE39" s="413"/>
      <c r="AF39" s="413"/>
      <c r="AG39" s="413"/>
      <c r="AH39" s="413"/>
      <c r="AI39" s="413"/>
      <c r="AJ39" s="413" t="s">
        <v>830</v>
      </c>
      <c r="AK39" s="413"/>
      <c r="AL39" s="413"/>
      <c r="AM39" s="413"/>
      <c r="AN39" s="413"/>
      <c r="AO39" s="413"/>
      <c r="AP39" s="413"/>
      <c r="AQ39" s="413"/>
      <c r="AR39" s="413"/>
      <c r="AS39" s="413"/>
      <c r="AT39" s="413"/>
      <c r="AU39" s="413"/>
      <c r="AV39" s="413"/>
      <c r="AW39" s="413"/>
      <c r="AX39" s="413" t="s">
        <v>2007</v>
      </c>
      <c r="AY39" s="413"/>
      <c r="AZ39" s="413"/>
      <c r="BA39" s="413"/>
      <c r="BB39" s="413"/>
      <c r="BC39" s="413"/>
      <c r="BD39" s="413"/>
      <c r="BE39" s="413"/>
      <c r="BF39" s="413"/>
      <c r="BG39" s="413"/>
      <c r="BH39" s="413"/>
      <c r="BI39" s="413" t="s">
        <v>831</v>
      </c>
      <c r="BJ39" s="413"/>
      <c r="BK39" s="413"/>
      <c r="BL39" s="413"/>
      <c r="BM39" s="413"/>
      <c r="BN39" s="413"/>
      <c r="BO39" s="413"/>
      <c r="BP39" s="413"/>
      <c r="BQ39" s="413"/>
      <c r="BR39" s="413"/>
      <c r="BS39" s="413" t="s">
        <v>832</v>
      </c>
      <c r="BT39" s="413"/>
      <c r="BU39" s="413"/>
      <c r="BV39" s="413"/>
      <c r="BW39" s="413"/>
      <c r="BX39" s="413"/>
      <c r="BY39" s="413"/>
      <c r="BZ39" s="413"/>
      <c r="CA39" s="413"/>
      <c r="CB39" s="413"/>
      <c r="CC39" s="413"/>
      <c r="CD39" s="413"/>
      <c r="CE39" s="413"/>
      <c r="CF39" s="413"/>
      <c r="CG39" s="413"/>
      <c r="CH39" s="414"/>
      <c r="CI39">
        <v>25</v>
      </c>
      <c r="CJ39">
        <v>275</v>
      </c>
      <c r="CK39" s="365" t="str">
        <f>IFERROR(VLOOKUP($CI39,Skills!$H$2:$N$620,7,FALSE),"")</f>
        <v/>
      </c>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445" t="str">
        <f>IFERROR(VLOOKUP($CI39,Skills!$H$2:$K$620,4,FALSE),"")</f>
        <v/>
      </c>
      <c r="ED39" s="445"/>
      <c r="EE39" s="445"/>
      <c r="EF39" s="445"/>
      <c r="EG39" s="445"/>
      <c r="EH39" s="446">
        <v>1</v>
      </c>
      <c r="EI39" s="446"/>
      <c r="EJ39" s="446"/>
      <c r="EK39" s="446"/>
      <c r="EL39" s="447"/>
      <c r="EM39" s="366" t="str">
        <f>IFERROR(VLOOKUP($CJ39,Skills!$H$2:$N$620,7,FALSE),"")</f>
        <v/>
      </c>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445" t="str">
        <f>IFERROR(VLOOKUP($CJ39,Skills!$H$2:$K$620,4,FALSE),"")</f>
        <v/>
      </c>
      <c r="GF39" s="445"/>
      <c r="GG39" s="445"/>
      <c r="GH39" s="445"/>
      <c r="GI39" s="445"/>
      <c r="GJ39" s="448"/>
      <c r="GK39" s="448"/>
      <c r="GL39" s="448"/>
      <c r="GM39" s="448"/>
      <c r="GN39" s="449"/>
      <c r="GQ39" s="431"/>
      <c r="GR39" s="431"/>
      <c r="GS39" s="431"/>
      <c r="GT39" s="431"/>
      <c r="GU39" s="431"/>
      <c r="GV39" s="431"/>
      <c r="GW39" s="431"/>
      <c r="GX39" s="431"/>
      <c r="GY39" s="431"/>
      <c r="GZ39" s="431"/>
      <c r="HA39" s="431"/>
      <c r="HB39" s="431"/>
      <c r="HC39" s="431"/>
      <c r="HD39" s="431"/>
      <c r="HE39" s="431"/>
      <c r="HF39" s="431"/>
      <c r="HG39" s="431"/>
      <c r="HH39" s="431"/>
      <c r="HI39" s="431"/>
      <c r="HJ39" s="431"/>
      <c r="HK39" s="431"/>
      <c r="HL39" s="431"/>
      <c r="HM39" s="431"/>
      <c r="HN39" s="431"/>
      <c r="HO39" s="431"/>
      <c r="HP39" s="431"/>
      <c r="HQ39" s="431"/>
      <c r="HR39" s="431"/>
      <c r="HS39" s="431"/>
      <c r="HT39" s="431"/>
      <c r="HU39" s="431"/>
      <c r="HV39" s="431"/>
      <c r="HW39" s="431"/>
      <c r="HX39" s="431"/>
      <c r="HY39" s="431"/>
      <c r="HZ39" s="431"/>
      <c r="IA39" s="431"/>
      <c r="IB39" s="431"/>
      <c r="IC39" s="431"/>
      <c r="ID39" s="431"/>
      <c r="IE39" s="491" t="str">
        <f>IFERROR(VLOOKUP(GQ39,Charts!$V$2:$X$518,3,FALSE),"")</f>
        <v/>
      </c>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2" t="str">
        <f>IFERROR(VLOOKUP(GQ39,Charts!$V$2:$W$518,2,FALSE),"0")</f>
        <v>0</v>
      </c>
      <c r="MO39" s="492"/>
      <c r="MP39" s="492"/>
      <c r="MQ39" s="492"/>
      <c r="MR39" s="492"/>
      <c r="MS39" s="492"/>
      <c r="MT39" s="492"/>
      <c r="MU39" s="492"/>
      <c r="MV39" s="492"/>
      <c r="MW39" s="492"/>
      <c r="MX39" s="492"/>
      <c r="MY39" s="492"/>
      <c r="MZ39" s="492"/>
    </row>
    <row r="40" spans="2:364" ht="15.75" thickBot="1" x14ac:dyDescent="0.3">
      <c r="B40" s="395" t="s">
        <v>25</v>
      </c>
      <c r="C40" s="396"/>
      <c r="D40" s="396"/>
      <c r="E40" s="396"/>
      <c r="F40" s="396"/>
      <c r="G40" s="396"/>
      <c r="H40" s="396"/>
      <c r="I40" s="396"/>
      <c r="J40" s="396"/>
      <c r="K40" s="396"/>
      <c r="L40" s="396"/>
      <c r="M40" s="396"/>
      <c r="N40" s="396"/>
      <c r="O40" s="396"/>
      <c r="P40" s="396"/>
      <c r="Q40" s="396"/>
      <c r="R40" s="396"/>
      <c r="S40" s="396"/>
      <c r="T40" s="396"/>
      <c r="U40" s="396"/>
      <c r="V40" s="397">
        <v>65</v>
      </c>
      <c r="W40" s="397"/>
      <c r="X40" s="397"/>
      <c r="Y40" s="397"/>
      <c r="Z40" s="397"/>
      <c r="AA40" s="397"/>
      <c r="AB40" s="397"/>
      <c r="AC40" s="397"/>
      <c r="AD40" s="397"/>
      <c r="AE40" s="397"/>
      <c r="AF40" s="397"/>
      <c r="AG40" s="397"/>
      <c r="AH40" s="397"/>
      <c r="AI40" s="397"/>
      <c r="AJ40" s="397">
        <v>100</v>
      </c>
      <c r="AK40" s="397"/>
      <c r="AL40" s="397"/>
      <c r="AM40" s="397"/>
      <c r="AN40" s="397"/>
      <c r="AO40" s="397"/>
      <c r="AP40" s="397"/>
      <c r="AQ40" s="397"/>
      <c r="AR40" s="397"/>
      <c r="AS40" s="397"/>
      <c r="AT40" s="397"/>
      <c r="AU40" s="397"/>
      <c r="AV40" s="397"/>
      <c r="AW40" s="397"/>
      <c r="AX40" s="419">
        <f>ROUND(VLOOKUP(V40,Charts!$AF$2:$AH$101,2,FALSE),2)</f>
        <v>2</v>
      </c>
      <c r="AY40" s="419"/>
      <c r="AZ40" s="419"/>
      <c r="BA40" s="419"/>
      <c r="BB40" s="419"/>
      <c r="BC40" s="419"/>
      <c r="BD40" s="419"/>
      <c r="BE40" s="419"/>
      <c r="BF40" s="419"/>
      <c r="BG40" s="419"/>
      <c r="BH40" s="419"/>
      <c r="BI40" s="397">
        <v>0</v>
      </c>
      <c r="BJ40" s="397"/>
      <c r="BK40" s="397"/>
      <c r="BL40" s="397"/>
      <c r="BM40" s="397"/>
      <c r="BN40" s="397"/>
      <c r="BO40" s="397"/>
      <c r="BP40" s="397"/>
      <c r="BQ40" s="397"/>
      <c r="BR40" s="397"/>
      <c r="BS40" s="415">
        <f>MIN((V40+BI40),AJ40)</f>
        <v>65</v>
      </c>
      <c r="BT40" s="415"/>
      <c r="BU40" s="415"/>
      <c r="BV40" s="415"/>
      <c r="BW40" s="415"/>
      <c r="BX40" s="415"/>
      <c r="BY40" s="415"/>
      <c r="BZ40" s="415"/>
      <c r="CA40" s="415"/>
      <c r="CB40" s="415"/>
      <c r="CC40" s="415"/>
      <c r="CD40" s="415"/>
      <c r="CE40" s="415"/>
      <c r="CF40" s="415"/>
      <c r="CG40" s="415"/>
      <c r="CH40" s="416"/>
      <c r="CI40">
        <v>26</v>
      </c>
      <c r="CJ40">
        <v>276</v>
      </c>
      <c r="CK40" s="450" t="str">
        <f>IFERROR(VLOOKUP($CI40,Skills!$H$2:$N$620,7,FALSE),"")</f>
        <v/>
      </c>
      <c r="CL40" s="451"/>
      <c r="CM40" s="451"/>
      <c r="CN40" s="451"/>
      <c r="CO40" s="451"/>
      <c r="CP40" s="451"/>
      <c r="CQ40" s="451"/>
      <c r="CR40" s="451"/>
      <c r="CS40" s="451"/>
      <c r="CT40" s="451"/>
      <c r="CU40" s="451"/>
      <c r="CV40" s="451"/>
      <c r="CW40" s="451"/>
      <c r="CX40" s="451"/>
      <c r="CY40" s="451"/>
      <c r="CZ40" s="451"/>
      <c r="DA40" s="451"/>
      <c r="DB40" s="451"/>
      <c r="DC40" s="451"/>
      <c r="DD40" s="451"/>
      <c r="DE40" s="451"/>
      <c r="DF40" s="451"/>
      <c r="DG40" s="451"/>
      <c r="DH40" s="451"/>
      <c r="DI40" s="451"/>
      <c r="DJ40" s="451"/>
      <c r="DK40" s="451"/>
      <c r="DL40" s="451"/>
      <c r="DM40" s="451"/>
      <c r="DN40" s="451"/>
      <c r="DO40" s="451"/>
      <c r="DP40" s="451"/>
      <c r="DQ40" s="451"/>
      <c r="DR40" s="451"/>
      <c r="DS40" s="451"/>
      <c r="DT40" s="451"/>
      <c r="DU40" s="451"/>
      <c r="DV40" s="451"/>
      <c r="DW40" s="451"/>
      <c r="DX40" s="451"/>
      <c r="DY40" s="451"/>
      <c r="DZ40" s="451"/>
      <c r="EA40" s="451"/>
      <c r="EB40" s="451"/>
      <c r="EC40" s="417" t="str">
        <f>IFERROR(VLOOKUP($CI40,Skills!$H$2:$K$620,4,FALSE),"")</f>
        <v/>
      </c>
      <c r="ED40" s="417"/>
      <c r="EE40" s="417"/>
      <c r="EF40" s="417"/>
      <c r="EG40" s="417"/>
      <c r="EH40" s="452"/>
      <c r="EI40" s="452"/>
      <c r="EJ40" s="452"/>
      <c r="EK40" s="452"/>
      <c r="EL40" s="453"/>
      <c r="EM40" s="451" t="str">
        <f>IFERROR(VLOOKUP($CJ40,Skills!$H$2:$N$620,7,FALSE),"")</f>
        <v/>
      </c>
      <c r="EN40" s="451"/>
      <c r="EO40" s="451"/>
      <c r="EP40" s="451"/>
      <c r="EQ40" s="451"/>
      <c r="ER40" s="451"/>
      <c r="ES40" s="451"/>
      <c r="ET40" s="451"/>
      <c r="EU40" s="451"/>
      <c r="EV40" s="451"/>
      <c r="EW40" s="451"/>
      <c r="EX40" s="451"/>
      <c r="EY40" s="451"/>
      <c r="EZ40" s="451"/>
      <c r="FA40" s="451"/>
      <c r="FB40" s="451"/>
      <c r="FC40" s="451"/>
      <c r="FD40" s="451"/>
      <c r="FE40" s="451"/>
      <c r="FF40" s="451"/>
      <c r="FG40" s="451"/>
      <c r="FH40" s="451"/>
      <c r="FI40" s="451"/>
      <c r="FJ40" s="451"/>
      <c r="FK40" s="451"/>
      <c r="FL40" s="451"/>
      <c r="FM40" s="451"/>
      <c r="FN40" s="451"/>
      <c r="FO40" s="451"/>
      <c r="FP40" s="451"/>
      <c r="FQ40" s="451"/>
      <c r="FR40" s="451"/>
      <c r="FS40" s="451"/>
      <c r="FT40" s="451"/>
      <c r="FU40" s="451"/>
      <c r="FV40" s="451"/>
      <c r="FW40" s="451"/>
      <c r="FX40" s="451"/>
      <c r="FY40" s="451"/>
      <c r="FZ40" s="451"/>
      <c r="GA40" s="451"/>
      <c r="GB40" s="451"/>
      <c r="GC40" s="451"/>
      <c r="GD40" s="451"/>
      <c r="GE40" s="417" t="str">
        <f>IFERROR(VLOOKUP($CJ40,Skills!$H$2:$K$620,4,FALSE),"")</f>
        <v/>
      </c>
      <c r="GF40" s="417"/>
      <c r="GG40" s="417"/>
      <c r="GH40" s="417"/>
      <c r="GI40" s="417"/>
      <c r="GJ40" s="454"/>
      <c r="GK40" s="454"/>
      <c r="GL40" s="454"/>
      <c r="GM40" s="454"/>
      <c r="GN40" s="455"/>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93" t="str">
        <f>IFERROR(VLOOKUP(GQ40,Charts!$V$2:$X$518,3,FALSE),"")</f>
        <v/>
      </c>
      <c r="IF40" s="493"/>
      <c r="IG40" s="493"/>
      <c r="IH40" s="493"/>
      <c r="II40" s="493"/>
      <c r="IJ40" s="493"/>
      <c r="IK40" s="493"/>
      <c r="IL40" s="493"/>
      <c r="IM40" s="493"/>
      <c r="IN40" s="493"/>
      <c r="IO40" s="493"/>
      <c r="IP40" s="493"/>
      <c r="IQ40" s="493"/>
      <c r="IR40" s="493"/>
      <c r="IS40" s="493"/>
      <c r="IT40" s="493"/>
      <c r="IU40" s="493"/>
      <c r="IV40" s="493"/>
      <c r="IW40" s="493"/>
      <c r="IX40" s="493"/>
      <c r="IY40" s="493"/>
      <c r="IZ40" s="493"/>
      <c r="JA40" s="493"/>
      <c r="JB40" s="493"/>
      <c r="JC40" s="493"/>
      <c r="JD40" s="493"/>
      <c r="JE40" s="493"/>
      <c r="JF40" s="493"/>
      <c r="JG40" s="493"/>
      <c r="JH40" s="493"/>
      <c r="JI40" s="493"/>
      <c r="JJ40" s="493"/>
      <c r="JK40" s="493"/>
      <c r="JL40" s="493"/>
      <c r="JM40" s="493"/>
      <c r="JN40" s="493"/>
      <c r="JO40" s="493"/>
      <c r="JP40" s="493"/>
      <c r="JQ40" s="493"/>
      <c r="JR40" s="493"/>
      <c r="JS40" s="493"/>
      <c r="JT40" s="493"/>
      <c r="JU40" s="493"/>
      <c r="JV40" s="493"/>
      <c r="JW40" s="493"/>
      <c r="JX40" s="493"/>
      <c r="JY40" s="493"/>
      <c r="JZ40" s="493"/>
      <c r="KA40" s="493"/>
      <c r="KB40" s="493"/>
      <c r="KC40" s="493"/>
      <c r="KD40" s="493"/>
      <c r="KE40" s="493"/>
      <c r="KF40" s="493"/>
      <c r="KG40" s="493"/>
      <c r="KH40" s="493"/>
      <c r="KI40" s="493"/>
      <c r="KJ40" s="493"/>
      <c r="KK40" s="493"/>
      <c r="KL40" s="493"/>
      <c r="KM40" s="493"/>
      <c r="KN40" s="493"/>
      <c r="KO40" s="493"/>
      <c r="KP40" s="493"/>
      <c r="KQ40" s="493"/>
      <c r="KR40" s="493"/>
      <c r="KS40" s="493"/>
      <c r="KT40" s="493"/>
      <c r="KU40" s="493"/>
      <c r="KV40" s="493"/>
      <c r="KW40" s="493"/>
      <c r="KX40" s="493"/>
      <c r="KY40" s="493"/>
      <c r="KZ40" s="493"/>
      <c r="LA40" s="493"/>
      <c r="LB40" s="493"/>
      <c r="LC40" s="493"/>
      <c r="LD40" s="493"/>
      <c r="LE40" s="493"/>
      <c r="LF40" s="493"/>
      <c r="LG40" s="493"/>
      <c r="LH40" s="493"/>
      <c r="LI40" s="493"/>
      <c r="LJ40" s="493"/>
      <c r="LK40" s="493"/>
      <c r="LL40" s="493"/>
      <c r="LM40" s="493"/>
      <c r="LN40" s="493"/>
      <c r="LO40" s="493"/>
      <c r="LP40" s="493"/>
      <c r="LQ40" s="493"/>
      <c r="LR40" s="493"/>
      <c r="LS40" s="493"/>
      <c r="LT40" s="493"/>
      <c r="LU40" s="493"/>
      <c r="LV40" s="493"/>
      <c r="LW40" s="493"/>
      <c r="LX40" s="493"/>
      <c r="LY40" s="493"/>
      <c r="LZ40" s="493"/>
      <c r="MA40" s="493"/>
      <c r="MB40" s="493"/>
      <c r="MC40" s="493"/>
      <c r="MD40" s="493"/>
      <c r="ME40" s="493"/>
      <c r="MF40" s="493"/>
      <c r="MG40" s="493"/>
      <c r="MH40" s="493"/>
      <c r="MI40" s="493"/>
      <c r="MJ40" s="493"/>
      <c r="MK40" s="493"/>
      <c r="ML40" s="493"/>
      <c r="MM40" s="493"/>
      <c r="MN40" s="494" t="str">
        <f>IFERROR(VLOOKUP(GQ40,Charts!$V$2:$W$518,2,FALSE),"0")</f>
        <v>0</v>
      </c>
      <c r="MO40" s="494"/>
      <c r="MP40" s="494"/>
      <c r="MQ40" s="494"/>
      <c r="MR40" s="494"/>
      <c r="MS40" s="494"/>
      <c r="MT40" s="494"/>
      <c r="MU40" s="494"/>
      <c r="MV40" s="494"/>
      <c r="MW40" s="494"/>
      <c r="MX40" s="494"/>
      <c r="MY40" s="494"/>
      <c r="MZ40" s="494"/>
    </row>
    <row r="41" spans="2:364" ht="15.75" thickBot="1" x14ac:dyDescent="0.3">
      <c r="B41" s="398" t="s">
        <v>26</v>
      </c>
      <c r="C41" s="399"/>
      <c r="D41" s="399"/>
      <c r="E41" s="399"/>
      <c r="F41" s="399"/>
      <c r="G41" s="399"/>
      <c r="H41" s="399"/>
      <c r="I41" s="399"/>
      <c r="J41" s="399"/>
      <c r="K41" s="399"/>
      <c r="L41" s="399"/>
      <c r="M41" s="399"/>
      <c r="N41" s="399"/>
      <c r="O41" s="399"/>
      <c r="P41" s="399"/>
      <c r="Q41" s="399"/>
      <c r="R41" s="399"/>
      <c r="S41" s="399"/>
      <c r="T41" s="399"/>
      <c r="U41" s="399"/>
      <c r="V41" s="400">
        <v>41</v>
      </c>
      <c r="W41" s="400"/>
      <c r="X41" s="400"/>
      <c r="Y41" s="400"/>
      <c r="Z41" s="400"/>
      <c r="AA41" s="400"/>
      <c r="AB41" s="400"/>
      <c r="AC41" s="400"/>
      <c r="AD41" s="400"/>
      <c r="AE41" s="400"/>
      <c r="AF41" s="400"/>
      <c r="AG41" s="400"/>
      <c r="AH41" s="400"/>
      <c r="AI41" s="400"/>
      <c r="AJ41" s="400">
        <v>100</v>
      </c>
      <c r="AK41" s="400"/>
      <c r="AL41" s="400"/>
      <c r="AM41" s="400"/>
      <c r="AN41" s="400"/>
      <c r="AO41" s="400"/>
      <c r="AP41" s="400"/>
      <c r="AQ41" s="400"/>
      <c r="AR41" s="400"/>
      <c r="AS41" s="400"/>
      <c r="AT41" s="400"/>
      <c r="AU41" s="400"/>
      <c r="AV41" s="400"/>
      <c r="AW41" s="400"/>
      <c r="AX41" s="420">
        <f>ROUND(VLOOKUP(V41,Charts!$AF$2:$AH$101,2,FALSE),2)</f>
        <v>-2</v>
      </c>
      <c r="AY41" s="420"/>
      <c r="AZ41" s="420"/>
      <c r="BA41" s="420"/>
      <c r="BB41" s="420"/>
      <c r="BC41" s="420"/>
      <c r="BD41" s="420"/>
      <c r="BE41" s="420"/>
      <c r="BF41" s="420"/>
      <c r="BG41" s="420"/>
      <c r="BH41" s="420"/>
      <c r="BI41" s="400">
        <v>0</v>
      </c>
      <c r="BJ41" s="400"/>
      <c r="BK41" s="400"/>
      <c r="BL41" s="400"/>
      <c r="BM41" s="400"/>
      <c r="BN41" s="400"/>
      <c r="BO41" s="400"/>
      <c r="BP41" s="400"/>
      <c r="BQ41" s="400"/>
      <c r="BR41" s="400"/>
      <c r="BS41" s="417">
        <f t="shared" ref="BS41:BS49" si="0">MIN((V41+BI41),AJ41)</f>
        <v>41</v>
      </c>
      <c r="BT41" s="417"/>
      <c r="BU41" s="417"/>
      <c r="BV41" s="417"/>
      <c r="BW41" s="417"/>
      <c r="BX41" s="417"/>
      <c r="BY41" s="417"/>
      <c r="BZ41" s="417"/>
      <c r="CA41" s="417"/>
      <c r="CB41" s="417"/>
      <c r="CC41" s="417"/>
      <c r="CD41" s="417"/>
      <c r="CE41" s="417"/>
      <c r="CF41" s="417"/>
      <c r="CG41" s="417"/>
      <c r="CH41" s="418"/>
      <c r="CI41">
        <v>27</v>
      </c>
      <c r="CJ41">
        <v>277</v>
      </c>
      <c r="CK41" s="365" t="str">
        <f>IFERROR(VLOOKUP($CI41,Skills!$H$2:$N$620,7,FALSE),"")</f>
        <v/>
      </c>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445" t="str">
        <f>IFERROR(VLOOKUP($CI41,Skills!$H$2:$K$620,4,FALSE),"")</f>
        <v/>
      </c>
      <c r="ED41" s="445"/>
      <c r="EE41" s="445"/>
      <c r="EF41" s="445"/>
      <c r="EG41" s="445"/>
      <c r="EH41" s="446"/>
      <c r="EI41" s="446"/>
      <c r="EJ41" s="446"/>
      <c r="EK41" s="446"/>
      <c r="EL41" s="447"/>
      <c r="EM41" s="366" t="str">
        <f>IFERROR(VLOOKUP($CJ41,Skills!$H$2:$N$620,7,FALSE),"")</f>
        <v/>
      </c>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445" t="str">
        <f>IFERROR(VLOOKUP($CJ41,Skills!$H$2:$K$620,4,FALSE),"")</f>
        <v/>
      </c>
      <c r="GF41" s="445"/>
      <c r="GG41" s="445"/>
      <c r="GH41" s="445"/>
      <c r="GI41" s="445"/>
      <c r="GJ41" s="448"/>
      <c r="GK41" s="448"/>
      <c r="GL41" s="448"/>
      <c r="GM41" s="448"/>
      <c r="GN41" s="449"/>
      <c r="GQ41" s="503" t="s">
        <v>2027</v>
      </c>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4" t="s">
        <v>141</v>
      </c>
      <c r="IF41" s="504"/>
      <c r="IG41" s="504"/>
      <c r="IH41" s="504"/>
      <c r="II41" s="504"/>
      <c r="IJ41" s="504"/>
      <c r="IK41" s="504"/>
      <c r="IL41" s="504"/>
      <c r="IM41" s="504"/>
      <c r="IN41" s="504"/>
      <c r="IO41" s="504"/>
      <c r="IP41" s="504"/>
      <c r="IQ41" s="504"/>
      <c r="IR41" s="504"/>
      <c r="IS41" s="504"/>
      <c r="IT41" s="504"/>
      <c r="IU41" s="504"/>
      <c r="IV41" s="504"/>
      <c r="IW41" s="504"/>
      <c r="IX41" s="504"/>
      <c r="IY41" s="504"/>
      <c r="IZ41" s="504"/>
      <c r="JA41" s="504"/>
      <c r="JB41" s="504"/>
      <c r="JC41" s="504"/>
      <c r="JD41" s="504"/>
      <c r="JE41" s="504"/>
      <c r="JF41" s="504"/>
      <c r="JG41" s="504"/>
      <c r="JH41" s="504"/>
      <c r="JI41" s="504"/>
      <c r="JJ41" s="504"/>
      <c r="JK41" s="504"/>
      <c r="JL41" s="504"/>
      <c r="JM41" s="504"/>
      <c r="JN41" s="504"/>
      <c r="JO41" s="504"/>
      <c r="JP41" s="504"/>
      <c r="JQ41" s="504"/>
      <c r="JR41" s="504"/>
      <c r="JS41" s="504"/>
      <c r="JT41" s="504"/>
      <c r="JU41" s="504"/>
      <c r="JV41" s="504"/>
      <c r="JW41" s="504"/>
      <c r="JX41" s="504"/>
      <c r="JY41" s="504"/>
      <c r="JZ41" s="504"/>
      <c r="KA41" s="504"/>
      <c r="KB41" s="504"/>
      <c r="KC41" s="504"/>
      <c r="KD41" s="504"/>
      <c r="KE41" s="504"/>
      <c r="KF41" s="504"/>
      <c r="KG41" s="504"/>
      <c r="KH41" s="504"/>
      <c r="KI41" s="504"/>
      <c r="KJ41" s="504"/>
      <c r="KK41" s="504"/>
      <c r="KL41" s="504"/>
      <c r="KM41" s="504"/>
      <c r="KN41" s="504"/>
      <c r="KO41" s="504"/>
      <c r="KP41" s="504"/>
      <c r="KQ41" s="504"/>
      <c r="KR41" s="504"/>
      <c r="KS41" s="504"/>
      <c r="KT41" s="504"/>
      <c r="KU41" s="504"/>
      <c r="KV41" s="504"/>
      <c r="KW41" s="504"/>
      <c r="KX41" s="504"/>
      <c r="KY41" s="504"/>
      <c r="KZ41" s="504"/>
      <c r="LA41" s="504"/>
      <c r="LB41" s="504"/>
      <c r="LC41" s="504"/>
      <c r="LD41" s="504"/>
      <c r="LE41" s="504"/>
      <c r="LF41" s="504"/>
      <c r="LG41" s="504"/>
      <c r="LH41" s="504"/>
      <c r="LI41" s="504"/>
      <c r="LJ41" s="504"/>
      <c r="LK41" s="504"/>
      <c r="LL41" s="504"/>
      <c r="LM41" s="504"/>
      <c r="LN41" s="504"/>
      <c r="LO41" s="504"/>
      <c r="LP41" s="504"/>
      <c r="LQ41" s="504"/>
      <c r="LR41" s="504"/>
      <c r="LS41" s="504"/>
      <c r="LT41" s="504"/>
      <c r="LU41" s="504"/>
      <c r="LV41" s="504"/>
      <c r="LW41" s="504"/>
      <c r="LX41" s="504"/>
      <c r="LY41" s="504"/>
      <c r="LZ41" s="504"/>
      <c r="MA41" s="504"/>
      <c r="MB41" s="504"/>
      <c r="MC41" s="504"/>
      <c r="MD41" s="504"/>
      <c r="ME41" s="504"/>
      <c r="MF41" s="504"/>
      <c r="MG41" s="504"/>
      <c r="MH41" s="504"/>
      <c r="MI41" s="504"/>
      <c r="MJ41" s="504"/>
      <c r="MK41" s="504"/>
      <c r="ML41" s="504"/>
      <c r="MM41" s="504"/>
      <c r="MN41" s="505" t="s">
        <v>2026</v>
      </c>
      <c r="MO41" s="505"/>
      <c r="MP41" s="505"/>
      <c r="MQ41" s="505"/>
      <c r="MR41" s="505"/>
      <c r="MS41" s="505"/>
      <c r="MT41" s="505"/>
      <c r="MU41" s="505"/>
      <c r="MV41" s="505"/>
      <c r="MW41" s="505"/>
      <c r="MX41" s="505"/>
      <c r="MY41" s="505"/>
      <c r="MZ41" s="505"/>
    </row>
    <row r="42" spans="2:364" ht="15.75" thickBot="1" x14ac:dyDescent="0.3">
      <c r="B42" s="395" t="s">
        <v>27</v>
      </c>
      <c r="C42" s="396"/>
      <c r="D42" s="396"/>
      <c r="E42" s="396"/>
      <c r="F42" s="396"/>
      <c r="G42" s="396"/>
      <c r="H42" s="396"/>
      <c r="I42" s="396"/>
      <c r="J42" s="396"/>
      <c r="K42" s="396"/>
      <c r="L42" s="396"/>
      <c r="M42" s="396"/>
      <c r="N42" s="396"/>
      <c r="O42" s="396"/>
      <c r="P42" s="396"/>
      <c r="Q42" s="396"/>
      <c r="R42" s="396"/>
      <c r="S42" s="396"/>
      <c r="T42" s="396"/>
      <c r="U42" s="396"/>
      <c r="V42" s="397">
        <v>71</v>
      </c>
      <c r="W42" s="397"/>
      <c r="X42" s="397"/>
      <c r="Y42" s="397"/>
      <c r="Z42" s="397"/>
      <c r="AA42" s="397"/>
      <c r="AB42" s="397"/>
      <c r="AC42" s="397"/>
      <c r="AD42" s="397"/>
      <c r="AE42" s="397"/>
      <c r="AF42" s="397"/>
      <c r="AG42" s="397"/>
      <c r="AH42" s="397"/>
      <c r="AI42" s="397"/>
      <c r="AJ42" s="397">
        <v>100</v>
      </c>
      <c r="AK42" s="397"/>
      <c r="AL42" s="397"/>
      <c r="AM42" s="397"/>
      <c r="AN42" s="397"/>
      <c r="AO42" s="397"/>
      <c r="AP42" s="397"/>
      <c r="AQ42" s="397"/>
      <c r="AR42" s="397"/>
      <c r="AS42" s="397"/>
      <c r="AT42" s="397"/>
      <c r="AU42" s="397"/>
      <c r="AV42" s="397"/>
      <c r="AW42" s="397"/>
      <c r="AX42" s="419">
        <f>ROUND(VLOOKUP(V42,Charts!$AF$2:$AH$101,2,FALSE),2)</f>
        <v>3</v>
      </c>
      <c r="AY42" s="419"/>
      <c r="AZ42" s="419"/>
      <c r="BA42" s="419"/>
      <c r="BB42" s="419"/>
      <c r="BC42" s="419"/>
      <c r="BD42" s="419"/>
      <c r="BE42" s="419"/>
      <c r="BF42" s="419"/>
      <c r="BG42" s="419"/>
      <c r="BH42" s="419"/>
      <c r="BI42" s="397">
        <v>7</v>
      </c>
      <c r="BJ42" s="397"/>
      <c r="BK42" s="397"/>
      <c r="BL42" s="397"/>
      <c r="BM42" s="397"/>
      <c r="BN42" s="397"/>
      <c r="BO42" s="397"/>
      <c r="BP42" s="397"/>
      <c r="BQ42" s="397"/>
      <c r="BR42" s="397"/>
      <c r="BS42" s="415">
        <f t="shared" si="0"/>
        <v>78</v>
      </c>
      <c r="BT42" s="415"/>
      <c r="BU42" s="415"/>
      <c r="BV42" s="415"/>
      <c r="BW42" s="415"/>
      <c r="BX42" s="415"/>
      <c r="BY42" s="415"/>
      <c r="BZ42" s="415"/>
      <c r="CA42" s="415"/>
      <c r="CB42" s="415"/>
      <c r="CC42" s="415"/>
      <c r="CD42" s="415"/>
      <c r="CE42" s="415"/>
      <c r="CF42" s="415"/>
      <c r="CG42" s="415"/>
      <c r="CH42" s="416"/>
      <c r="CI42">
        <v>28</v>
      </c>
      <c r="CJ42">
        <v>278</v>
      </c>
      <c r="CK42" s="450" t="str">
        <f>IFERROR(VLOOKUP($CI42,Skills!$H$2:$N$620,7,FALSE),"")</f>
        <v/>
      </c>
      <c r="CL42" s="451"/>
      <c r="CM42" s="451"/>
      <c r="CN42" s="451"/>
      <c r="CO42" s="451"/>
      <c r="CP42" s="451"/>
      <c r="CQ42" s="451"/>
      <c r="CR42" s="451"/>
      <c r="CS42" s="451"/>
      <c r="CT42" s="451"/>
      <c r="CU42" s="451"/>
      <c r="CV42" s="451"/>
      <c r="CW42" s="451"/>
      <c r="CX42" s="451"/>
      <c r="CY42" s="451"/>
      <c r="CZ42" s="451"/>
      <c r="DA42" s="451"/>
      <c r="DB42" s="451"/>
      <c r="DC42" s="451"/>
      <c r="DD42" s="451"/>
      <c r="DE42" s="451"/>
      <c r="DF42" s="451"/>
      <c r="DG42" s="451"/>
      <c r="DH42" s="451"/>
      <c r="DI42" s="451"/>
      <c r="DJ42" s="451"/>
      <c r="DK42" s="451"/>
      <c r="DL42" s="451"/>
      <c r="DM42" s="451"/>
      <c r="DN42" s="451"/>
      <c r="DO42" s="451"/>
      <c r="DP42" s="451"/>
      <c r="DQ42" s="451"/>
      <c r="DR42" s="451"/>
      <c r="DS42" s="451"/>
      <c r="DT42" s="451"/>
      <c r="DU42" s="451"/>
      <c r="DV42" s="451"/>
      <c r="DW42" s="451"/>
      <c r="DX42" s="451"/>
      <c r="DY42" s="451"/>
      <c r="DZ42" s="451"/>
      <c r="EA42" s="451"/>
      <c r="EB42" s="451"/>
      <c r="EC42" s="417" t="str">
        <f>IFERROR(VLOOKUP($CI42,Skills!$H$2:$K$620,4,FALSE),"")</f>
        <v/>
      </c>
      <c r="ED42" s="417"/>
      <c r="EE42" s="417"/>
      <c r="EF42" s="417"/>
      <c r="EG42" s="417"/>
      <c r="EH42" s="452"/>
      <c r="EI42" s="452"/>
      <c r="EJ42" s="452"/>
      <c r="EK42" s="452"/>
      <c r="EL42" s="453"/>
      <c r="EM42" s="451" t="str">
        <f>IFERROR(VLOOKUP($CJ42,Skills!$H$2:$N$620,7,FALSE),"")</f>
        <v/>
      </c>
      <c r="EN42" s="451"/>
      <c r="EO42" s="451"/>
      <c r="EP42" s="451"/>
      <c r="EQ42" s="451"/>
      <c r="ER42" s="451"/>
      <c r="ES42" s="451"/>
      <c r="ET42" s="451"/>
      <c r="EU42" s="451"/>
      <c r="EV42" s="451"/>
      <c r="EW42" s="451"/>
      <c r="EX42" s="451"/>
      <c r="EY42" s="451"/>
      <c r="EZ42" s="451"/>
      <c r="FA42" s="451"/>
      <c r="FB42" s="451"/>
      <c r="FC42" s="451"/>
      <c r="FD42" s="451"/>
      <c r="FE42" s="451"/>
      <c r="FF42" s="451"/>
      <c r="FG42" s="451"/>
      <c r="FH42" s="451"/>
      <c r="FI42" s="451"/>
      <c r="FJ42" s="451"/>
      <c r="FK42" s="451"/>
      <c r="FL42" s="451"/>
      <c r="FM42" s="451"/>
      <c r="FN42" s="451"/>
      <c r="FO42" s="451"/>
      <c r="FP42" s="451"/>
      <c r="FQ42" s="451"/>
      <c r="FR42" s="451"/>
      <c r="FS42" s="451"/>
      <c r="FT42" s="451"/>
      <c r="FU42" s="451"/>
      <c r="FV42" s="451"/>
      <c r="FW42" s="451"/>
      <c r="FX42" s="451"/>
      <c r="FY42" s="451"/>
      <c r="FZ42" s="451"/>
      <c r="GA42" s="451"/>
      <c r="GB42" s="451"/>
      <c r="GC42" s="451"/>
      <c r="GD42" s="451"/>
      <c r="GE42" s="417" t="str">
        <f>IFERROR(VLOOKUP($CJ42,Skills!$H$2:$K$620,4,FALSE),"")</f>
        <v/>
      </c>
      <c r="GF42" s="417"/>
      <c r="GG42" s="417"/>
      <c r="GH42" s="417"/>
      <c r="GI42" s="417"/>
      <c r="GJ42" s="454"/>
      <c r="GK42" s="454"/>
      <c r="GL42" s="454"/>
      <c r="GM42" s="454"/>
      <c r="GN42" s="455"/>
      <c r="GQ42" s="433" t="s">
        <v>1761</v>
      </c>
      <c r="GR42" s="433"/>
      <c r="GS42" s="433"/>
      <c r="GT42" s="433"/>
      <c r="GU42" s="433"/>
      <c r="GV42" s="433"/>
      <c r="GW42" s="433"/>
      <c r="GX42" s="433"/>
      <c r="GY42" s="433"/>
      <c r="GZ42" s="433"/>
      <c r="HA42" s="433"/>
      <c r="HB42" s="433"/>
      <c r="HC42" s="433"/>
      <c r="HD42" s="433"/>
      <c r="HE42" s="433"/>
      <c r="HF42" s="433"/>
      <c r="HG42" s="433"/>
      <c r="HH42" s="433"/>
      <c r="HI42" s="433"/>
      <c r="HJ42" s="433"/>
      <c r="HK42" s="433"/>
      <c r="HL42" s="433"/>
      <c r="HM42" s="433"/>
      <c r="HN42" s="433"/>
      <c r="HO42" s="433"/>
      <c r="HP42" s="433"/>
      <c r="HQ42" s="433"/>
      <c r="HR42" s="433"/>
      <c r="HS42" s="433"/>
      <c r="HT42" s="433"/>
      <c r="HU42" s="433"/>
      <c r="HV42" s="433"/>
      <c r="HW42" s="433"/>
      <c r="HX42" s="433"/>
      <c r="HY42" s="433"/>
      <c r="HZ42" s="433"/>
      <c r="IA42" s="433"/>
      <c r="IB42" s="433"/>
      <c r="IC42" s="433"/>
      <c r="ID42" s="433"/>
      <c r="IE42" s="493" t="str">
        <f>IFERROR(VLOOKUP(GQ42,Charts!$V$2:$X$518,3,FALSE),"")</f>
        <v>When suffering a spell failure, your Spell Failure roll is increased by +5</v>
      </c>
      <c r="IF42" s="493"/>
      <c r="IG42" s="493"/>
      <c r="IH42" s="493"/>
      <c r="II42" s="493"/>
      <c r="IJ42" s="493"/>
      <c r="IK42" s="493"/>
      <c r="IL42" s="493"/>
      <c r="IM42" s="493"/>
      <c r="IN42" s="493"/>
      <c r="IO42" s="493"/>
      <c r="IP42" s="493"/>
      <c r="IQ42" s="493"/>
      <c r="IR42" s="493"/>
      <c r="IS42" s="493"/>
      <c r="IT42" s="493"/>
      <c r="IU42" s="493"/>
      <c r="IV42" s="493"/>
      <c r="IW42" s="493"/>
      <c r="IX42" s="493"/>
      <c r="IY42" s="493"/>
      <c r="IZ42" s="493"/>
      <c r="JA42" s="493"/>
      <c r="JB42" s="493"/>
      <c r="JC42" s="493"/>
      <c r="JD42" s="493"/>
      <c r="JE42" s="493"/>
      <c r="JF42" s="493"/>
      <c r="JG42" s="493"/>
      <c r="JH42" s="493"/>
      <c r="JI42" s="493"/>
      <c r="JJ42" s="493"/>
      <c r="JK42" s="493"/>
      <c r="JL42" s="493"/>
      <c r="JM42" s="493"/>
      <c r="JN42" s="493"/>
      <c r="JO42" s="493"/>
      <c r="JP42" s="493"/>
      <c r="JQ42" s="493"/>
      <c r="JR42" s="493"/>
      <c r="JS42" s="493"/>
      <c r="JT42" s="493"/>
      <c r="JU42" s="493"/>
      <c r="JV42" s="493"/>
      <c r="JW42" s="493"/>
      <c r="JX42" s="493"/>
      <c r="JY42" s="493"/>
      <c r="JZ42" s="493"/>
      <c r="KA42" s="493"/>
      <c r="KB42" s="493"/>
      <c r="KC42" s="493"/>
      <c r="KD42" s="493"/>
      <c r="KE42" s="493"/>
      <c r="KF42" s="493"/>
      <c r="KG42" s="493"/>
      <c r="KH42" s="493"/>
      <c r="KI42" s="493"/>
      <c r="KJ42" s="493"/>
      <c r="KK42" s="493"/>
      <c r="KL42" s="493"/>
      <c r="KM42" s="493"/>
      <c r="KN42" s="493"/>
      <c r="KO42" s="493"/>
      <c r="KP42" s="493"/>
      <c r="KQ42" s="493"/>
      <c r="KR42" s="493"/>
      <c r="KS42" s="493"/>
      <c r="KT42" s="493"/>
      <c r="KU42" s="493"/>
      <c r="KV42" s="493"/>
      <c r="KW42" s="493"/>
      <c r="KX42" s="493"/>
      <c r="KY42" s="493"/>
      <c r="KZ42" s="493"/>
      <c r="LA42" s="493"/>
      <c r="LB42" s="493"/>
      <c r="LC42" s="493"/>
      <c r="LD42" s="493"/>
      <c r="LE42" s="493"/>
      <c r="LF42" s="493"/>
      <c r="LG42" s="493"/>
      <c r="LH42" s="493"/>
      <c r="LI42" s="493"/>
      <c r="LJ42" s="493"/>
      <c r="LK42" s="493"/>
      <c r="LL42" s="493"/>
      <c r="LM42" s="493"/>
      <c r="LN42" s="493"/>
      <c r="LO42" s="493"/>
      <c r="LP42" s="493"/>
      <c r="LQ42" s="493"/>
      <c r="LR42" s="493"/>
      <c r="LS42" s="493"/>
      <c r="LT42" s="493"/>
      <c r="LU42" s="493"/>
      <c r="LV42" s="493"/>
      <c r="LW42" s="493"/>
      <c r="LX42" s="493"/>
      <c r="LY42" s="493"/>
      <c r="LZ42" s="493"/>
      <c r="MA42" s="493"/>
      <c r="MB42" s="493"/>
      <c r="MC42" s="493"/>
      <c r="MD42" s="493"/>
      <c r="ME42" s="493"/>
      <c r="MF42" s="493"/>
      <c r="MG42" s="493"/>
      <c r="MH42" s="493"/>
      <c r="MI42" s="493"/>
      <c r="MJ42" s="493"/>
      <c r="MK42" s="493"/>
      <c r="ML42" s="493"/>
      <c r="MM42" s="493"/>
      <c r="MN42" s="494">
        <f>IFERROR(VLOOKUP(GQ42,Charts!$V$2:$W$518,2,FALSE),"0")</f>
        <v>-6</v>
      </c>
      <c r="MO42" s="494"/>
      <c r="MP42" s="494"/>
      <c r="MQ42" s="494"/>
      <c r="MR42" s="494"/>
      <c r="MS42" s="494"/>
      <c r="MT42" s="494"/>
      <c r="MU42" s="494"/>
      <c r="MV42" s="494"/>
      <c r="MW42" s="494"/>
      <c r="MX42" s="494"/>
      <c r="MY42" s="494"/>
      <c r="MZ42" s="494"/>
    </row>
    <row r="43" spans="2:364" ht="15.75" thickBot="1" x14ac:dyDescent="0.3">
      <c r="B43" s="398" t="s">
        <v>28</v>
      </c>
      <c r="C43" s="399"/>
      <c r="D43" s="399"/>
      <c r="E43" s="399"/>
      <c r="F43" s="399"/>
      <c r="G43" s="399"/>
      <c r="H43" s="399"/>
      <c r="I43" s="399"/>
      <c r="J43" s="399"/>
      <c r="K43" s="399"/>
      <c r="L43" s="399"/>
      <c r="M43" s="399"/>
      <c r="N43" s="399"/>
      <c r="O43" s="399"/>
      <c r="P43" s="399"/>
      <c r="Q43" s="399"/>
      <c r="R43" s="399"/>
      <c r="S43" s="399"/>
      <c r="T43" s="399"/>
      <c r="U43" s="399"/>
      <c r="V43" s="400">
        <v>65</v>
      </c>
      <c r="W43" s="400"/>
      <c r="X43" s="400"/>
      <c r="Y43" s="400"/>
      <c r="Z43" s="400"/>
      <c r="AA43" s="400"/>
      <c r="AB43" s="400"/>
      <c r="AC43" s="400"/>
      <c r="AD43" s="400"/>
      <c r="AE43" s="400"/>
      <c r="AF43" s="400"/>
      <c r="AG43" s="400"/>
      <c r="AH43" s="400"/>
      <c r="AI43" s="400"/>
      <c r="AJ43" s="400">
        <v>100</v>
      </c>
      <c r="AK43" s="400"/>
      <c r="AL43" s="400"/>
      <c r="AM43" s="400"/>
      <c r="AN43" s="400"/>
      <c r="AO43" s="400"/>
      <c r="AP43" s="400"/>
      <c r="AQ43" s="400"/>
      <c r="AR43" s="400"/>
      <c r="AS43" s="400"/>
      <c r="AT43" s="400"/>
      <c r="AU43" s="400"/>
      <c r="AV43" s="400"/>
      <c r="AW43" s="400"/>
      <c r="AX43" s="420">
        <f>ROUND(VLOOKUP(V43,Charts!$AF$2:$AH$101,2,FALSE),2)</f>
        <v>2</v>
      </c>
      <c r="AY43" s="420"/>
      <c r="AZ43" s="420"/>
      <c r="BA43" s="420"/>
      <c r="BB43" s="420"/>
      <c r="BC43" s="420"/>
      <c r="BD43" s="420"/>
      <c r="BE43" s="420"/>
      <c r="BF43" s="420"/>
      <c r="BG43" s="420"/>
      <c r="BH43" s="420"/>
      <c r="BI43" s="400">
        <v>0</v>
      </c>
      <c r="BJ43" s="400"/>
      <c r="BK43" s="400"/>
      <c r="BL43" s="400"/>
      <c r="BM43" s="400"/>
      <c r="BN43" s="400"/>
      <c r="BO43" s="400"/>
      <c r="BP43" s="400"/>
      <c r="BQ43" s="400"/>
      <c r="BR43" s="400"/>
      <c r="BS43" s="417">
        <f t="shared" si="0"/>
        <v>65</v>
      </c>
      <c r="BT43" s="417"/>
      <c r="BU43" s="417"/>
      <c r="BV43" s="417"/>
      <c r="BW43" s="417"/>
      <c r="BX43" s="417"/>
      <c r="BY43" s="417"/>
      <c r="BZ43" s="417"/>
      <c r="CA43" s="417"/>
      <c r="CB43" s="417"/>
      <c r="CC43" s="417"/>
      <c r="CD43" s="417"/>
      <c r="CE43" s="417"/>
      <c r="CF43" s="417"/>
      <c r="CG43" s="417"/>
      <c r="CH43" s="418"/>
      <c r="CI43">
        <v>29</v>
      </c>
      <c r="CJ43">
        <v>279</v>
      </c>
      <c r="CK43" s="365" t="str">
        <f>IFERROR(VLOOKUP($CI43,Skills!$H$2:$N$620,7,FALSE),"")</f>
        <v/>
      </c>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445" t="str">
        <f>IFERROR(VLOOKUP($CI43,Skills!$H$2:$K$620,4,FALSE),"")</f>
        <v/>
      </c>
      <c r="ED43" s="445"/>
      <c r="EE43" s="445"/>
      <c r="EF43" s="445"/>
      <c r="EG43" s="445"/>
      <c r="EH43" s="446"/>
      <c r="EI43" s="446"/>
      <c r="EJ43" s="446"/>
      <c r="EK43" s="446"/>
      <c r="EL43" s="447"/>
      <c r="EM43" s="366" t="str">
        <f>IFERROR(VLOOKUP($CJ43,Skills!$H$2:$N$620,7,FALSE),"")</f>
        <v/>
      </c>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445" t="str">
        <f>IFERROR(VLOOKUP($CJ43,Skills!$H$2:$K$620,4,FALSE),"")</f>
        <v/>
      </c>
      <c r="GF43" s="445"/>
      <c r="GG43" s="445"/>
      <c r="GH43" s="445"/>
      <c r="GI43" s="445"/>
      <c r="GJ43" s="448"/>
      <c r="GK43" s="448"/>
      <c r="GL43" s="448"/>
      <c r="GM43" s="448"/>
      <c r="GN43" s="449"/>
      <c r="GQ43" s="431"/>
      <c r="GR43" s="431"/>
      <c r="GS43" s="431"/>
      <c r="GT43" s="431"/>
      <c r="GU43" s="431"/>
      <c r="GV43" s="431"/>
      <c r="GW43" s="431"/>
      <c r="GX43" s="431"/>
      <c r="GY43" s="431"/>
      <c r="GZ43" s="431"/>
      <c r="HA43" s="431"/>
      <c r="HB43" s="431"/>
      <c r="HC43" s="431"/>
      <c r="HD43" s="431"/>
      <c r="HE43" s="431"/>
      <c r="HF43" s="431"/>
      <c r="HG43" s="431"/>
      <c r="HH43" s="431"/>
      <c r="HI43" s="431"/>
      <c r="HJ43" s="431"/>
      <c r="HK43" s="431"/>
      <c r="HL43" s="431"/>
      <c r="HM43" s="431"/>
      <c r="HN43" s="431"/>
      <c r="HO43" s="431"/>
      <c r="HP43" s="431"/>
      <c r="HQ43" s="431"/>
      <c r="HR43" s="431"/>
      <c r="HS43" s="431"/>
      <c r="HT43" s="431"/>
      <c r="HU43" s="431"/>
      <c r="HV43" s="431"/>
      <c r="HW43" s="431"/>
      <c r="HX43" s="431"/>
      <c r="HY43" s="431"/>
      <c r="HZ43" s="431"/>
      <c r="IA43" s="431"/>
      <c r="IB43" s="431"/>
      <c r="IC43" s="431"/>
      <c r="ID43" s="431"/>
      <c r="IE43" s="491" t="str">
        <f>IFERROR(VLOOKUP(GQ43,Charts!$V$2:$X$518,3,FALSE),"")</f>
        <v/>
      </c>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2" t="str">
        <f>IFERROR(VLOOKUP(GQ43,Charts!$V$2:$W$518,2,FALSE),"0")</f>
        <v>0</v>
      </c>
      <c r="MO43" s="492"/>
      <c r="MP43" s="492"/>
      <c r="MQ43" s="492"/>
      <c r="MR43" s="492"/>
      <c r="MS43" s="492"/>
      <c r="MT43" s="492"/>
      <c r="MU43" s="492"/>
      <c r="MV43" s="492"/>
      <c r="MW43" s="492"/>
      <c r="MX43" s="492"/>
      <c r="MY43" s="492"/>
      <c r="MZ43" s="492"/>
    </row>
    <row r="44" spans="2:364" ht="15.75" thickBot="1" x14ac:dyDescent="0.3">
      <c r="B44" s="395" t="s">
        <v>29</v>
      </c>
      <c r="C44" s="396"/>
      <c r="D44" s="396"/>
      <c r="E44" s="396"/>
      <c r="F44" s="396"/>
      <c r="G44" s="396"/>
      <c r="H44" s="396"/>
      <c r="I44" s="396"/>
      <c r="J44" s="396"/>
      <c r="K44" s="396"/>
      <c r="L44" s="396"/>
      <c r="M44" s="396"/>
      <c r="N44" s="396"/>
      <c r="O44" s="396"/>
      <c r="P44" s="396"/>
      <c r="Q44" s="396"/>
      <c r="R44" s="396"/>
      <c r="S44" s="396"/>
      <c r="T44" s="396"/>
      <c r="U44" s="396"/>
      <c r="V44" s="397">
        <v>53</v>
      </c>
      <c r="W44" s="397"/>
      <c r="X44" s="397"/>
      <c r="Y44" s="397"/>
      <c r="Z44" s="397"/>
      <c r="AA44" s="397"/>
      <c r="AB44" s="397"/>
      <c r="AC44" s="397"/>
      <c r="AD44" s="397"/>
      <c r="AE44" s="397"/>
      <c r="AF44" s="397"/>
      <c r="AG44" s="397"/>
      <c r="AH44" s="397"/>
      <c r="AI44" s="397"/>
      <c r="AJ44" s="397">
        <v>100</v>
      </c>
      <c r="AK44" s="397"/>
      <c r="AL44" s="397"/>
      <c r="AM44" s="397"/>
      <c r="AN44" s="397"/>
      <c r="AO44" s="397"/>
      <c r="AP44" s="397"/>
      <c r="AQ44" s="397"/>
      <c r="AR44" s="397"/>
      <c r="AS44" s="397"/>
      <c r="AT44" s="397"/>
      <c r="AU44" s="397"/>
      <c r="AV44" s="397"/>
      <c r="AW44" s="397"/>
      <c r="AX44" s="419">
        <f>ROUND(VLOOKUP(V44,Charts!$AF$2:$AH$101,2,FALSE),2)</f>
        <v>0</v>
      </c>
      <c r="AY44" s="419"/>
      <c r="AZ44" s="419"/>
      <c r="BA44" s="419"/>
      <c r="BB44" s="419"/>
      <c r="BC44" s="419"/>
      <c r="BD44" s="419"/>
      <c r="BE44" s="419"/>
      <c r="BF44" s="419"/>
      <c r="BG44" s="419"/>
      <c r="BH44" s="419"/>
      <c r="BI44" s="397">
        <v>0</v>
      </c>
      <c r="BJ44" s="397"/>
      <c r="BK44" s="397"/>
      <c r="BL44" s="397"/>
      <c r="BM44" s="397"/>
      <c r="BN44" s="397"/>
      <c r="BO44" s="397"/>
      <c r="BP44" s="397"/>
      <c r="BQ44" s="397"/>
      <c r="BR44" s="397"/>
      <c r="BS44" s="415">
        <f t="shared" si="0"/>
        <v>53</v>
      </c>
      <c r="BT44" s="415"/>
      <c r="BU44" s="415"/>
      <c r="BV44" s="415"/>
      <c r="BW44" s="415"/>
      <c r="BX44" s="415"/>
      <c r="BY44" s="415"/>
      <c r="BZ44" s="415"/>
      <c r="CA44" s="415"/>
      <c r="CB44" s="415"/>
      <c r="CC44" s="415"/>
      <c r="CD44" s="415"/>
      <c r="CE44" s="415"/>
      <c r="CF44" s="415"/>
      <c r="CG44" s="415"/>
      <c r="CH44" s="416"/>
      <c r="CI44">
        <v>30</v>
      </c>
      <c r="CJ44">
        <v>280</v>
      </c>
      <c r="CK44" s="450" t="str">
        <f>IFERROR(VLOOKUP($CI44,Skills!$H$2:$N$620,7,FALSE),"")</f>
        <v/>
      </c>
      <c r="CL44" s="451"/>
      <c r="CM44" s="451"/>
      <c r="CN44" s="451"/>
      <c r="CO44" s="451"/>
      <c r="CP44" s="451"/>
      <c r="CQ44" s="451"/>
      <c r="CR44" s="451"/>
      <c r="CS44" s="451"/>
      <c r="CT44" s="451"/>
      <c r="CU44" s="451"/>
      <c r="CV44" s="451"/>
      <c r="CW44" s="451"/>
      <c r="CX44" s="451"/>
      <c r="CY44" s="451"/>
      <c r="CZ44" s="451"/>
      <c r="DA44" s="451"/>
      <c r="DB44" s="451"/>
      <c r="DC44" s="451"/>
      <c r="DD44" s="451"/>
      <c r="DE44" s="451"/>
      <c r="DF44" s="451"/>
      <c r="DG44" s="451"/>
      <c r="DH44" s="451"/>
      <c r="DI44" s="451"/>
      <c r="DJ44" s="451"/>
      <c r="DK44" s="451"/>
      <c r="DL44" s="451"/>
      <c r="DM44" s="451"/>
      <c r="DN44" s="451"/>
      <c r="DO44" s="451"/>
      <c r="DP44" s="451"/>
      <c r="DQ44" s="451"/>
      <c r="DR44" s="451"/>
      <c r="DS44" s="451"/>
      <c r="DT44" s="451"/>
      <c r="DU44" s="451"/>
      <c r="DV44" s="451"/>
      <c r="DW44" s="451"/>
      <c r="DX44" s="451"/>
      <c r="DY44" s="451"/>
      <c r="DZ44" s="451"/>
      <c r="EA44" s="451"/>
      <c r="EB44" s="451"/>
      <c r="EC44" s="417" t="str">
        <f>IFERROR(VLOOKUP($CI44,Skills!$H$2:$K$620,4,FALSE),"")</f>
        <v/>
      </c>
      <c r="ED44" s="417"/>
      <c r="EE44" s="417"/>
      <c r="EF44" s="417"/>
      <c r="EG44" s="417"/>
      <c r="EH44" s="452"/>
      <c r="EI44" s="452"/>
      <c r="EJ44" s="452"/>
      <c r="EK44" s="452"/>
      <c r="EL44" s="453"/>
      <c r="EM44" s="451" t="str">
        <f>IFERROR(VLOOKUP($CJ44,Skills!$H$2:$N$620,7,FALSE),"")</f>
        <v/>
      </c>
      <c r="EN44" s="451"/>
      <c r="EO44" s="451"/>
      <c r="EP44" s="451"/>
      <c r="EQ44" s="451"/>
      <c r="ER44" s="451"/>
      <c r="ES44" s="451"/>
      <c r="ET44" s="451"/>
      <c r="EU44" s="451"/>
      <c r="EV44" s="451"/>
      <c r="EW44" s="451"/>
      <c r="EX44" s="451"/>
      <c r="EY44" s="451"/>
      <c r="EZ44" s="451"/>
      <c r="FA44" s="451"/>
      <c r="FB44" s="451"/>
      <c r="FC44" s="451"/>
      <c r="FD44" s="451"/>
      <c r="FE44" s="451"/>
      <c r="FF44" s="451"/>
      <c r="FG44" s="451"/>
      <c r="FH44" s="451"/>
      <c r="FI44" s="451"/>
      <c r="FJ44" s="451"/>
      <c r="FK44" s="451"/>
      <c r="FL44" s="451"/>
      <c r="FM44" s="451"/>
      <c r="FN44" s="451"/>
      <c r="FO44" s="451"/>
      <c r="FP44" s="451"/>
      <c r="FQ44" s="451"/>
      <c r="FR44" s="451"/>
      <c r="FS44" s="451"/>
      <c r="FT44" s="451"/>
      <c r="FU44" s="451"/>
      <c r="FV44" s="451"/>
      <c r="FW44" s="451"/>
      <c r="FX44" s="451"/>
      <c r="FY44" s="451"/>
      <c r="FZ44" s="451"/>
      <c r="GA44" s="451"/>
      <c r="GB44" s="451"/>
      <c r="GC44" s="451"/>
      <c r="GD44" s="451"/>
      <c r="GE44" s="417" t="str">
        <f>IFERROR(VLOOKUP($CJ44,Skills!$H$2:$K$620,4,FALSE),"")</f>
        <v/>
      </c>
      <c r="GF44" s="417"/>
      <c r="GG44" s="417"/>
      <c r="GH44" s="417"/>
      <c r="GI44" s="417"/>
      <c r="GJ44" s="454"/>
      <c r="GK44" s="454"/>
      <c r="GL44" s="454"/>
      <c r="GM44" s="454"/>
      <c r="GN44" s="455"/>
      <c r="GQ44" s="433"/>
      <c r="GR44" s="433"/>
      <c r="GS44" s="433"/>
      <c r="GT44" s="433"/>
      <c r="GU44" s="433"/>
      <c r="GV44" s="433"/>
      <c r="GW44" s="433"/>
      <c r="GX44" s="433"/>
      <c r="GY44" s="433"/>
      <c r="GZ44" s="433"/>
      <c r="HA44" s="433"/>
      <c r="HB44" s="433"/>
      <c r="HC44" s="433"/>
      <c r="HD44" s="433"/>
      <c r="HE44" s="433"/>
      <c r="HF44" s="433"/>
      <c r="HG44" s="433"/>
      <c r="HH44" s="433"/>
      <c r="HI44" s="433"/>
      <c r="HJ44" s="433"/>
      <c r="HK44" s="433"/>
      <c r="HL44" s="433"/>
      <c r="HM44" s="433"/>
      <c r="HN44" s="433"/>
      <c r="HO44" s="433"/>
      <c r="HP44" s="433"/>
      <c r="HQ44" s="433"/>
      <c r="HR44" s="433"/>
      <c r="HS44" s="433"/>
      <c r="HT44" s="433"/>
      <c r="HU44" s="433"/>
      <c r="HV44" s="433"/>
      <c r="HW44" s="433"/>
      <c r="HX44" s="433"/>
      <c r="HY44" s="433"/>
      <c r="HZ44" s="433"/>
      <c r="IA44" s="433"/>
      <c r="IB44" s="433"/>
      <c r="IC44" s="433"/>
      <c r="ID44" s="433"/>
      <c r="IE44" s="493" t="str">
        <f>IFERROR(VLOOKUP(GQ44,Charts!$V$2:$X$518,3,FALSE),"")</f>
        <v/>
      </c>
      <c r="IF44" s="493"/>
      <c r="IG44" s="493"/>
      <c r="IH44" s="493"/>
      <c r="II44" s="493"/>
      <c r="IJ44" s="493"/>
      <c r="IK44" s="493"/>
      <c r="IL44" s="493"/>
      <c r="IM44" s="493"/>
      <c r="IN44" s="493"/>
      <c r="IO44" s="493"/>
      <c r="IP44" s="493"/>
      <c r="IQ44" s="493"/>
      <c r="IR44" s="493"/>
      <c r="IS44" s="493"/>
      <c r="IT44" s="493"/>
      <c r="IU44" s="493"/>
      <c r="IV44" s="493"/>
      <c r="IW44" s="493"/>
      <c r="IX44" s="493"/>
      <c r="IY44" s="493"/>
      <c r="IZ44" s="493"/>
      <c r="JA44" s="493"/>
      <c r="JB44" s="493"/>
      <c r="JC44" s="493"/>
      <c r="JD44" s="493"/>
      <c r="JE44" s="493"/>
      <c r="JF44" s="493"/>
      <c r="JG44" s="493"/>
      <c r="JH44" s="493"/>
      <c r="JI44" s="493"/>
      <c r="JJ44" s="493"/>
      <c r="JK44" s="493"/>
      <c r="JL44" s="493"/>
      <c r="JM44" s="493"/>
      <c r="JN44" s="493"/>
      <c r="JO44" s="493"/>
      <c r="JP44" s="493"/>
      <c r="JQ44" s="493"/>
      <c r="JR44" s="493"/>
      <c r="JS44" s="493"/>
      <c r="JT44" s="493"/>
      <c r="JU44" s="493"/>
      <c r="JV44" s="493"/>
      <c r="JW44" s="493"/>
      <c r="JX44" s="493"/>
      <c r="JY44" s="493"/>
      <c r="JZ44" s="493"/>
      <c r="KA44" s="493"/>
      <c r="KB44" s="493"/>
      <c r="KC44" s="493"/>
      <c r="KD44" s="493"/>
      <c r="KE44" s="493"/>
      <c r="KF44" s="493"/>
      <c r="KG44" s="493"/>
      <c r="KH44" s="493"/>
      <c r="KI44" s="493"/>
      <c r="KJ44" s="493"/>
      <c r="KK44" s="493"/>
      <c r="KL44" s="493"/>
      <c r="KM44" s="493"/>
      <c r="KN44" s="493"/>
      <c r="KO44" s="493"/>
      <c r="KP44" s="493"/>
      <c r="KQ44" s="493"/>
      <c r="KR44" s="493"/>
      <c r="KS44" s="493"/>
      <c r="KT44" s="493"/>
      <c r="KU44" s="493"/>
      <c r="KV44" s="493"/>
      <c r="KW44" s="493"/>
      <c r="KX44" s="493"/>
      <c r="KY44" s="493"/>
      <c r="KZ44" s="493"/>
      <c r="LA44" s="493"/>
      <c r="LB44" s="493"/>
      <c r="LC44" s="493"/>
      <c r="LD44" s="493"/>
      <c r="LE44" s="493"/>
      <c r="LF44" s="493"/>
      <c r="LG44" s="493"/>
      <c r="LH44" s="493"/>
      <c r="LI44" s="493"/>
      <c r="LJ44" s="493"/>
      <c r="LK44" s="493"/>
      <c r="LL44" s="493"/>
      <c r="LM44" s="493"/>
      <c r="LN44" s="493"/>
      <c r="LO44" s="493"/>
      <c r="LP44" s="493"/>
      <c r="LQ44" s="493"/>
      <c r="LR44" s="493"/>
      <c r="LS44" s="493"/>
      <c r="LT44" s="493"/>
      <c r="LU44" s="493"/>
      <c r="LV44" s="493"/>
      <c r="LW44" s="493"/>
      <c r="LX44" s="493"/>
      <c r="LY44" s="493"/>
      <c r="LZ44" s="493"/>
      <c r="MA44" s="493"/>
      <c r="MB44" s="493"/>
      <c r="MC44" s="493"/>
      <c r="MD44" s="493"/>
      <c r="ME44" s="493"/>
      <c r="MF44" s="493"/>
      <c r="MG44" s="493"/>
      <c r="MH44" s="493"/>
      <c r="MI44" s="493"/>
      <c r="MJ44" s="493"/>
      <c r="MK44" s="493"/>
      <c r="ML44" s="493"/>
      <c r="MM44" s="493"/>
      <c r="MN44" s="494" t="str">
        <f>IFERROR(VLOOKUP(GQ44,Charts!$V$2:$W$518,2,FALSE),"0")</f>
        <v>0</v>
      </c>
      <c r="MO44" s="494"/>
      <c r="MP44" s="494"/>
      <c r="MQ44" s="494"/>
      <c r="MR44" s="494"/>
      <c r="MS44" s="494"/>
      <c r="MT44" s="494"/>
      <c r="MU44" s="494"/>
      <c r="MV44" s="494"/>
      <c r="MW44" s="494"/>
      <c r="MX44" s="494"/>
      <c r="MY44" s="494"/>
      <c r="MZ44" s="494"/>
    </row>
    <row r="45" spans="2:364" ht="15.75" thickBot="1" x14ac:dyDescent="0.3">
      <c r="B45" s="398" t="s">
        <v>30</v>
      </c>
      <c r="C45" s="399"/>
      <c r="D45" s="399"/>
      <c r="E45" s="399"/>
      <c r="F45" s="399"/>
      <c r="G45" s="399"/>
      <c r="H45" s="399"/>
      <c r="I45" s="399"/>
      <c r="J45" s="399"/>
      <c r="K45" s="399"/>
      <c r="L45" s="399"/>
      <c r="M45" s="399"/>
      <c r="N45" s="399"/>
      <c r="O45" s="399"/>
      <c r="P45" s="399"/>
      <c r="Q45" s="399"/>
      <c r="R45" s="399"/>
      <c r="S45" s="399"/>
      <c r="T45" s="399"/>
      <c r="U45" s="399"/>
      <c r="V45" s="400">
        <v>35</v>
      </c>
      <c r="W45" s="400"/>
      <c r="X45" s="400"/>
      <c r="Y45" s="400"/>
      <c r="Z45" s="400"/>
      <c r="AA45" s="400"/>
      <c r="AB45" s="400"/>
      <c r="AC45" s="400"/>
      <c r="AD45" s="400"/>
      <c r="AE45" s="400"/>
      <c r="AF45" s="400"/>
      <c r="AG45" s="400"/>
      <c r="AH45" s="400"/>
      <c r="AI45" s="400"/>
      <c r="AJ45" s="400">
        <v>100</v>
      </c>
      <c r="AK45" s="400"/>
      <c r="AL45" s="400"/>
      <c r="AM45" s="400"/>
      <c r="AN45" s="400"/>
      <c r="AO45" s="400"/>
      <c r="AP45" s="400"/>
      <c r="AQ45" s="400"/>
      <c r="AR45" s="400"/>
      <c r="AS45" s="400"/>
      <c r="AT45" s="400"/>
      <c r="AU45" s="400"/>
      <c r="AV45" s="400"/>
      <c r="AW45" s="400"/>
      <c r="AX45" s="420">
        <f>ROUND(VLOOKUP(V45,Charts!$AF$2:$AH$101,2,FALSE),2)</f>
        <v>-3</v>
      </c>
      <c r="AY45" s="420"/>
      <c r="AZ45" s="420"/>
      <c r="BA45" s="420"/>
      <c r="BB45" s="420"/>
      <c r="BC45" s="420"/>
      <c r="BD45" s="420"/>
      <c r="BE45" s="420"/>
      <c r="BF45" s="420"/>
      <c r="BG45" s="420"/>
      <c r="BH45" s="420"/>
      <c r="BI45" s="400">
        <v>0</v>
      </c>
      <c r="BJ45" s="400"/>
      <c r="BK45" s="400"/>
      <c r="BL45" s="400"/>
      <c r="BM45" s="400"/>
      <c r="BN45" s="400"/>
      <c r="BO45" s="400"/>
      <c r="BP45" s="400"/>
      <c r="BQ45" s="400"/>
      <c r="BR45" s="400"/>
      <c r="BS45" s="417">
        <f t="shared" si="0"/>
        <v>35</v>
      </c>
      <c r="BT45" s="417"/>
      <c r="BU45" s="417"/>
      <c r="BV45" s="417"/>
      <c r="BW45" s="417"/>
      <c r="BX45" s="417"/>
      <c r="BY45" s="417"/>
      <c r="BZ45" s="417"/>
      <c r="CA45" s="417"/>
      <c r="CB45" s="417"/>
      <c r="CC45" s="417"/>
      <c r="CD45" s="417"/>
      <c r="CE45" s="417"/>
      <c r="CF45" s="417"/>
      <c r="CG45" s="417"/>
      <c r="CH45" s="418"/>
      <c r="CI45">
        <v>31</v>
      </c>
      <c r="CJ45">
        <v>281</v>
      </c>
      <c r="CK45" s="365" t="str">
        <f>IFERROR(VLOOKUP($CI45,Skills!$H$2:$N$620,7,FALSE),"")</f>
        <v/>
      </c>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445" t="str">
        <f>IFERROR(VLOOKUP($CI45,Skills!$H$2:$K$620,4,FALSE),"")</f>
        <v/>
      </c>
      <c r="ED45" s="445"/>
      <c r="EE45" s="445"/>
      <c r="EF45" s="445"/>
      <c r="EG45" s="445"/>
      <c r="EH45" s="446"/>
      <c r="EI45" s="446"/>
      <c r="EJ45" s="446"/>
      <c r="EK45" s="446"/>
      <c r="EL45" s="447"/>
      <c r="EM45" s="366" t="str">
        <f>IFERROR(VLOOKUP($CJ45,Skills!$H$2:$N$620,7,FALSE),"")</f>
        <v/>
      </c>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445" t="str">
        <f>IFERROR(VLOOKUP($CJ45,Skills!$H$2:$K$620,4,FALSE),"")</f>
        <v/>
      </c>
      <c r="GF45" s="445"/>
      <c r="GG45" s="445"/>
      <c r="GH45" s="445"/>
      <c r="GI45" s="445"/>
      <c r="GJ45" s="448"/>
      <c r="GK45" s="448"/>
      <c r="GL45" s="448"/>
      <c r="GM45" s="448"/>
      <c r="GN45" s="449"/>
      <c r="GQ45" s="431"/>
      <c r="GR45" s="431"/>
      <c r="GS45" s="431"/>
      <c r="GT45" s="431"/>
      <c r="GU45" s="431"/>
      <c r="GV45" s="431"/>
      <c r="GW45" s="431"/>
      <c r="GX45" s="431"/>
      <c r="GY45" s="431"/>
      <c r="GZ45" s="431"/>
      <c r="HA45" s="431"/>
      <c r="HB45" s="431"/>
      <c r="HC45" s="431"/>
      <c r="HD45" s="431"/>
      <c r="HE45" s="431"/>
      <c r="HF45" s="431"/>
      <c r="HG45" s="431"/>
      <c r="HH45" s="431"/>
      <c r="HI45" s="431"/>
      <c r="HJ45" s="431"/>
      <c r="HK45" s="431"/>
      <c r="HL45" s="431"/>
      <c r="HM45" s="431"/>
      <c r="HN45" s="431"/>
      <c r="HO45" s="431"/>
      <c r="HP45" s="431"/>
      <c r="HQ45" s="431"/>
      <c r="HR45" s="431"/>
      <c r="HS45" s="431"/>
      <c r="HT45" s="431"/>
      <c r="HU45" s="431"/>
      <c r="HV45" s="431"/>
      <c r="HW45" s="431"/>
      <c r="HX45" s="431"/>
      <c r="HY45" s="431"/>
      <c r="HZ45" s="431"/>
      <c r="IA45" s="431"/>
      <c r="IB45" s="431"/>
      <c r="IC45" s="431"/>
      <c r="ID45" s="431"/>
      <c r="IE45" s="491" t="str">
        <f>IFERROR(VLOOKUP(GQ45,Charts!$V$2:$X$518,3,FALSE),"")</f>
        <v/>
      </c>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2" t="str">
        <f>IFERROR(VLOOKUP(GQ45,Charts!$V$2:$W$518,2,FALSE),"0")</f>
        <v>0</v>
      </c>
      <c r="MO45" s="492"/>
      <c r="MP45" s="492"/>
      <c r="MQ45" s="492"/>
      <c r="MR45" s="492"/>
      <c r="MS45" s="492"/>
      <c r="MT45" s="492"/>
      <c r="MU45" s="492"/>
      <c r="MV45" s="492"/>
      <c r="MW45" s="492"/>
      <c r="MX45" s="492"/>
      <c r="MY45" s="492"/>
      <c r="MZ45" s="492"/>
    </row>
    <row r="46" spans="2:364" ht="15.75" thickBot="1" x14ac:dyDescent="0.3">
      <c r="B46" s="395" t="s">
        <v>31</v>
      </c>
      <c r="C46" s="396"/>
      <c r="D46" s="396"/>
      <c r="E46" s="396"/>
      <c r="F46" s="396"/>
      <c r="G46" s="396"/>
      <c r="H46" s="396"/>
      <c r="I46" s="396"/>
      <c r="J46" s="396"/>
      <c r="K46" s="396"/>
      <c r="L46" s="396"/>
      <c r="M46" s="396"/>
      <c r="N46" s="396"/>
      <c r="O46" s="396"/>
      <c r="P46" s="396"/>
      <c r="Q46" s="396"/>
      <c r="R46" s="396"/>
      <c r="S46" s="396"/>
      <c r="T46" s="396"/>
      <c r="U46" s="396"/>
      <c r="V46" s="397">
        <v>47</v>
      </c>
      <c r="W46" s="397"/>
      <c r="X46" s="397"/>
      <c r="Y46" s="397"/>
      <c r="Z46" s="397"/>
      <c r="AA46" s="397"/>
      <c r="AB46" s="397"/>
      <c r="AC46" s="397"/>
      <c r="AD46" s="397"/>
      <c r="AE46" s="397"/>
      <c r="AF46" s="397"/>
      <c r="AG46" s="397"/>
      <c r="AH46" s="397"/>
      <c r="AI46" s="397"/>
      <c r="AJ46" s="397">
        <v>100</v>
      </c>
      <c r="AK46" s="397"/>
      <c r="AL46" s="397"/>
      <c r="AM46" s="397"/>
      <c r="AN46" s="397"/>
      <c r="AO46" s="397"/>
      <c r="AP46" s="397"/>
      <c r="AQ46" s="397"/>
      <c r="AR46" s="397"/>
      <c r="AS46" s="397"/>
      <c r="AT46" s="397"/>
      <c r="AU46" s="397"/>
      <c r="AV46" s="397"/>
      <c r="AW46" s="397"/>
      <c r="AX46" s="419">
        <f>ROUND(VLOOKUP(V46,Charts!$AF$2:$AH$101,2,FALSE),2)</f>
        <v>-1</v>
      </c>
      <c r="AY46" s="419"/>
      <c r="AZ46" s="419"/>
      <c r="BA46" s="419"/>
      <c r="BB46" s="419"/>
      <c r="BC46" s="419"/>
      <c r="BD46" s="419"/>
      <c r="BE46" s="419"/>
      <c r="BF46" s="419"/>
      <c r="BG46" s="419"/>
      <c r="BH46" s="419"/>
      <c r="BI46" s="397">
        <v>0</v>
      </c>
      <c r="BJ46" s="397"/>
      <c r="BK46" s="397"/>
      <c r="BL46" s="397"/>
      <c r="BM46" s="397"/>
      <c r="BN46" s="397"/>
      <c r="BO46" s="397"/>
      <c r="BP46" s="397"/>
      <c r="BQ46" s="397"/>
      <c r="BR46" s="397"/>
      <c r="BS46" s="415">
        <f t="shared" si="0"/>
        <v>47</v>
      </c>
      <c r="BT46" s="415"/>
      <c r="BU46" s="415"/>
      <c r="BV46" s="415"/>
      <c r="BW46" s="415"/>
      <c r="BX46" s="415"/>
      <c r="BY46" s="415"/>
      <c r="BZ46" s="415"/>
      <c r="CA46" s="415"/>
      <c r="CB46" s="415"/>
      <c r="CC46" s="415"/>
      <c r="CD46" s="415"/>
      <c r="CE46" s="415"/>
      <c r="CF46" s="415"/>
      <c r="CG46" s="415"/>
      <c r="CH46" s="416"/>
      <c r="CI46">
        <v>32</v>
      </c>
      <c r="CJ46">
        <v>282</v>
      </c>
      <c r="CK46" s="450" t="str">
        <f>IFERROR(VLOOKUP($CI46,Skills!$H$2:$N$620,7,FALSE),"")</f>
        <v/>
      </c>
      <c r="CL46" s="451"/>
      <c r="CM46" s="451"/>
      <c r="CN46" s="451"/>
      <c r="CO46" s="451"/>
      <c r="CP46" s="451"/>
      <c r="CQ46" s="451"/>
      <c r="CR46" s="451"/>
      <c r="CS46" s="451"/>
      <c r="CT46" s="451"/>
      <c r="CU46" s="451"/>
      <c r="CV46" s="451"/>
      <c r="CW46" s="451"/>
      <c r="CX46" s="451"/>
      <c r="CY46" s="451"/>
      <c r="CZ46" s="451"/>
      <c r="DA46" s="451"/>
      <c r="DB46" s="451"/>
      <c r="DC46" s="451"/>
      <c r="DD46" s="451"/>
      <c r="DE46" s="451"/>
      <c r="DF46" s="451"/>
      <c r="DG46" s="451"/>
      <c r="DH46" s="451"/>
      <c r="DI46" s="451"/>
      <c r="DJ46" s="451"/>
      <c r="DK46" s="451"/>
      <c r="DL46" s="451"/>
      <c r="DM46" s="451"/>
      <c r="DN46" s="451"/>
      <c r="DO46" s="451"/>
      <c r="DP46" s="451"/>
      <c r="DQ46" s="451"/>
      <c r="DR46" s="451"/>
      <c r="DS46" s="451"/>
      <c r="DT46" s="451"/>
      <c r="DU46" s="451"/>
      <c r="DV46" s="451"/>
      <c r="DW46" s="451"/>
      <c r="DX46" s="451"/>
      <c r="DY46" s="451"/>
      <c r="DZ46" s="451"/>
      <c r="EA46" s="451"/>
      <c r="EB46" s="451"/>
      <c r="EC46" s="417" t="str">
        <f>IFERROR(VLOOKUP($CI46,Skills!$H$2:$K$620,4,FALSE),"")</f>
        <v/>
      </c>
      <c r="ED46" s="417"/>
      <c r="EE46" s="417"/>
      <c r="EF46" s="417"/>
      <c r="EG46" s="417"/>
      <c r="EH46" s="452"/>
      <c r="EI46" s="452"/>
      <c r="EJ46" s="452"/>
      <c r="EK46" s="452"/>
      <c r="EL46" s="453"/>
      <c r="EM46" s="451" t="str">
        <f>IFERROR(VLOOKUP($CJ46,Skills!$H$2:$N$620,7,FALSE),"")</f>
        <v/>
      </c>
      <c r="EN46" s="451"/>
      <c r="EO46" s="451"/>
      <c r="EP46" s="451"/>
      <c r="EQ46" s="451"/>
      <c r="ER46" s="451"/>
      <c r="ES46" s="451"/>
      <c r="ET46" s="451"/>
      <c r="EU46" s="451"/>
      <c r="EV46" s="451"/>
      <c r="EW46" s="451"/>
      <c r="EX46" s="451"/>
      <c r="EY46" s="451"/>
      <c r="EZ46" s="451"/>
      <c r="FA46" s="451"/>
      <c r="FB46" s="451"/>
      <c r="FC46" s="451"/>
      <c r="FD46" s="451"/>
      <c r="FE46" s="451"/>
      <c r="FF46" s="451"/>
      <c r="FG46" s="451"/>
      <c r="FH46" s="451"/>
      <c r="FI46" s="451"/>
      <c r="FJ46" s="451"/>
      <c r="FK46" s="451"/>
      <c r="FL46" s="451"/>
      <c r="FM46" s="451"/>
      <c r="FN46" s="451"/>
      <c r="FO46" s="451"/>
      <c r="FP46" s="451"/>
      <c r="FQ46" s="451"/>
      <c r="FR46" s="451"/>
      <c r="FS46" s="451"/>
      <c r="FT46" s="451"/>
      <c r="FU46" s="451"/>
      <c r="FV46" s="451"/>
      <c r="FW46" s="451"/>
      <c r="FX46" s="451"/>
      <c r="FY46" s="451"/>
      <c r="FZ46" s="451"/>
      <c r="GA46" s="451"/>
      <c r="GB46" s="451"/>
      <c r="GC46" s="451"/>
      <c r="GD46" s="451"/>
      <c r="GE46" s="417" t="str">
        <f>IFERROR(VLOOKUP($CJ46,Skills!$H$2:$K$620,4,FALSE),"")</f>
        <v/>
      </c>
      <c r="GF46" s="417"/>
      <c r="GG46" s="417"/>
      <c r="GH46" s="417"/>
      <c r="GI46" s="417"/>
      <c r="GJ46" s="454"/>
      <c r="GK46" s="454"/>
      <c r="GL46" s="454"/>
      <c r="GM46" s="454"/>
      <c r="GN46" s="455"/>
      <c r="GQ46" s="433"/>
      <c r="GR46" s="433"/>
      <c r="GS46" s="433"/>
      <c r="GT46" s="433"/>
      <c r="GU46" s="433"/>
      <c r="GV46" s="433"/>
      <c r="GW46" s="433"/>
      <c r="GX46" s="433"/>
      <c r="GY46" s="433"/>
      <c r="GZ46" s="433"/>
      <c r="HA46" s="433"/>
      <c r="HB46" s="433"/>
      <c r="HC46" s="433"/>
      <c r="HD46" s="433"/>
      <c r="HE46" s="433"/>
      <c r="HF46" s="433"/>
      <c r="HG46" s="433"/>
      <c r="HH46" s="433"/>
      <c r="HI46" s="433"/>
      <c r="HJ46" s="433"/>
      <c r="HK46" s="433"/>
      <c r="HL46" s="433"/>
      <c r="HM46" s="433"/>
      <c r="HN46" s="433"/>
      <c r="HO46" s="433"/>
      <c r="HP46" s="433"/>
      <c r="HQ46" s="433"/>
      <c r="HR46" s="433"/>
      <c r="HS46" s="433"/>
      <c r="HT46" s="433"/>
      <c r="HU46" s="433"/>
      <c r="HV46" s="433"/>
      <c r="HW46" s="433"/>
      <c r="HX46" s="433"/>
      <c r="HY46" s="433"/>
      <c r="HZ46" s="433"/>
      <c r="IA46" s="433"/>
      <c r="IB46" s="433"/>
      <c r="IC46" s="433"/>
      <c r="ID46" s="433"/>
      <c r="IE46" s="493" t="str">
        <f>IFERROR(VLOOKUP(GQ46,Charts!$V$2:$X$518,3,FALSE),"")</f>
        <v/>
      </c>
      <c r="IF46" s="493"/>
      <c r="IG46" s="493"/>
      <c r="IH46" s="493"/>
      <c r="II46" s="493"/>
      <c r="IJ46" s="493"/>
      <c r="IK46" s="493"/>
      <c r="IL46" s="493"/>
      <c r="IM46" s="493"/>
      <c r="IN46" s="493"/>
      <c r="IO46" s="493"/>
      <c r="IP46" s="493"/>
      <c r="IQ46" s="493"/>
      <c r="IR46" s="493"/>
      <c r="IS46" s="493"/>
      <c r="IT46" s="493"/>
      <c r="IU46" s="493"/>
      <c r="IV46" s="493"/>
      <c r="IW46" s="493"/>
      <c r="IX46" s="493"/>
      <c r="IY46" s="493"/>
      <c r="IZ46" s="493"/>
      <c r="JA46" s="493"/>
      <c r="JB46" s="493"/>
      <c r="JC46" s="493"/>
      <c r="JD46" s="493"/>
      <c r="JE46" s="493"/>
      <c r="JF46" s="493"/>
      <c r="JG46" s="493"/>
      <c r="JH46" s="493"/>
      <c r="JI46" s="493"/>
      <c r="JJ46" s="493"/>
      <c r="JK46" s="493"/>
      <c r="JL46" s="493"/>
      <c r="JM46" s="493"/>
      <c r="JN46" s="493"/>
      <c r="JO46" s="493"/>
      <c r="JP46" s="493"/>
      <c r="JQ46" s="493"/>
      <c r="JR46" s="493"/>
      <c r="JS46" s="493"/>
      <c r="JT46" s="493"/>
      <c r="JU46" s="493"/>
      <c r="JV46" s="493"/>
      <c r="JW46" s="493"/>
      <c r="JX46" s="493"/>
      <c r="JY46" s="493"/>
      <c r="JZ46" s="493"/>
      <c r="KA46" s="493"/>
      <c r="KB46" s="493"/>
      <c r="KC46" s="493"/>
      <c r="KD46" s="493"/>
      <c r="KE46" s="493"/>
      <c r="KF46" s="493"/>
      <c r="KG46" s="493"/>
      <c r="KH46" s="493"/>
      <c r="KI46" s="493"/>
      <c r="KJ46" s="493"/>
      <c r="KK46" s="493"/>
      <c r="KL46" s="493"/>
      <c r="KM46" s="493"/>
      <c r="KN46" s="493"/>
      <c r="KO46" s="493"/>
      <c r="KP46" s="493"/>
      <c r="KQ46" s="493"/>
      <c r="KR46" s="493"/>
      <c r="KS46" s="493"/>
      <c r="KT46" s="493"/>
      <c r="KU46" s="493"/>
      <c r="KV46" s="493"/>
      <c r="KW46" s="493"/>
      <c r="KX46" s="493"/>
      <c r="KY46" s="493"/>
      <c r="KZ46" s="493"/>
      <c r="LA46" s="493"/>
      <c r="LB46" s="493"/>
      <c r="LC46" s="493"/>
      <c r="LD46" s="493"/>
      <c r="LE46" s="493"/>
      <c r="LF46" s="493"/>
      <c r="LG46" s="493"/>
      <c r="LH46" s="493"/>
      <c r="LI46" s="493"/>
      <c r="LJ46" s="493"/>
      <c r="LK46" s="493"/>
      <c r="LL46" s="493"/>
      <c r="LM46" s="493"/>
      <c r="LN46" s="493"/>
      <c r="LO46" s="493"/>
      <c r="LP46" s="493"/>
      <c r="LQ46" s="493"/>
      <c r="LR46" s="493"/>
      <c r="LS46" s="493"/>
      <c r="LT46" s="493"/>
      <c r="LU46" s="493"/>
      <c r="LV46" s="493"/>
      <c r="LW46" s="493"/>
      <c r="LX46" s="493"/>
      <c r="LY46" s="493"/>
      <c r="LZ46" s="493"/>
      <c r="MA46" s="493"/>
      <c r="MB46" s="493"/>
      <c r="MC46" s="493"/>
      <c r="MD46" s="493"/>
      <c r="ME46" s="493"/>
      <c r="MF46" s="493"/>
      <c r="MG46" s="493"/>
      <c r="MH46" s="493"/>
      <c r="MI46" s="493"/>
      <c r="MJ46" s="493"/>
      <c r="MK46" s="493"/>
      <c r="ML46" s="493"/>
      <c r="MM46" s="493"/>
      <c r="MN46" s="494" t="str">
        <f>IFERROR(VLOOKUP(GQ46,Charts!$V$2:$W$518,2,FALSE),"0")</f>
        <v>0</v>
      </c>
      <c r="MO46" s="494"/>
      <c r="MP46" s="494"/>
      <c r="MQ46" s="494"/>
      <c r="MR46" s="494"/>
      <c r="MS46" s="494"/>
      <c r="MT46" s="494"/>
      <c r="MU46" s="494"/>
      <c r="MV46" s="494"/>
      <c r="MW46" s="494"/>
      <c r="MX46" s="494"/>
      <c r="MY46" s="494"/>
      <c r="MZ46" s="494"/>
    </row>
    <row r="47" spans="2:364" ht="15.75" thickBot="1" x14ac:dyDescent="0.3">
      <c r="B47" s="398" t="s">
        <v>32</v>
      </c>
      <c r="C47" s="399"/>
      <c r="D47" s="399"/>
      <c r="E47" s="399"/>
      <c r="F47" s="399"/>
      <c r="G47" s="399"/>
      <c r="H47" s="399"/>
      <c r="I47" s="399"/>
      <c r="J47" s="399"/>
      <c r="K47" s="399"/>
      <c r="L47" s="399"/>
      <c r="M47" s="399"/>
      <c r="N47" s="399"/>
      <c r="O47" s="399"/>
      <c r="P47" s="399"/>
      <c r="Q47" s="399"/>
      <c r="R47" s="399"/>
      <c r="S47" s="399"/>
      <c r="T47" s="399"/>
      <c r="U47" s="399"/>
      <c r="V47" s="400">
        <v>59</v>
      </c>
      <c r="W47" s="400"/>
      <c r="X47" s="400"/>
      <c r="Y47" s="400"/>
      <c r="Z47" s="400"/>
      <c r="AA47" s="400"/>
      <c r="AB47" s="400"/>
      <c r="AC47" s="400"/>
      <c r="AD47" s="400"/>
      <c r="AE47" s="400"/>
      <c r="AF47" s="400"/>
      <c r="AG47" s="400"/>
      <c r="AH47" s="400"/>
      <c r="AI47" s="400"/>
      <c r="AJ47" s="400">
        <v>100</v>
      </c>
      <c r="AK47" s="400"/>
      <c r="AL47" s="400"/>
      <c r="AM47" s="400"/>
      <c r="AN47" s="400"/>
      <c r="AO47" s="400"/>
      <c r="AP47" s="400"/>
      <c r="AQ47" s="400"/>
      <c r="AR47" s="400"/>
      <c r="AS47" s="400"/>
      <c r="AT47" s="400"/>
      <c r="AU47" s="400"/>
      <c r="AV47" s="400"/>
      <c r="AW47" s="400"/>
      <c r="AX47" s="420">
        <f>ROUND(VLOOKUP(V47,Charts!$AF$2:$AH$101,2,FALSE),2)</f>
        <v>1</v>
      </c>
      <c r="AY47" s="420"/>
      <c r="AZ47" s="420"/>
      <c r="BA47" s="420"/>
      <c r="BB47" s="420"/>
      <c r="BC47" s="420"/>
      <c r="BD47" s="420"/>
      <c r="BE47" s="420"/>
      <c r="BF47" s="420"/>
      <c r="BG47" s="420"/>
      <c r="BH47" s="420"/>
      <c r="BI47" s="400">
        <v>0</v>
      </c>
      <c r="BJ47" s="400"/>
      <c r="BK47" s="400"/>
      <c r="BL47" s="400"/>
      <c r="BM47" s="400"/>
      <c r="BN47" s="400"/>
      <c r="BO47" s="400"/>
      <c r="BP47" s="400"/>
      <c r="BQ47" s="400"/>
      <c r="BR47" s="400"/>
      <c r="BS47" s="417">
        <f t="shared" si="0"/>
        <v>59</v>
      </c>
      <c r="BT47" s="417"/>
      <c r="BU47" s="417"/>
      <c r="BV47" s="417"/>
      <c r="BW47" s="417"/>
      <c r="BX47" s="417"/>
      <c r="BY47" s="417"/>
      <c r="BZ47" s="417"/>
      <c r="CA47" s="417"/>
      <c r="CB47" s="417"/>
      <c r="CC47" s="417"/>
      <c r="CD47" s="417"/>
      <c r="CE47" s="417"/>
      <c r="CF47" s="417"/>
      <c r="CG47" s="417"/>
      <c r="CH47" s="418"/>
      <c r="CI47">
        <v>33</v>
      </c>
      <c r="CJ47">
        <v>283</v>
      </c>
      <c r="CK47" s="365" t="str">
        <f>IFERROR(VLOOKUP($CI47,Skills!$H$2:$N$620,7,FALSE),"")</f>
        <v/>
      </c>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445" t="str">
        <f>IFERROR(VLOOKUP($CI47,Skills!$H$2:$K$620,4,FALSE),"")</f>
        <v/>
      </c>
      <c r="ED47" s="445"/>
      <c r="EE47" s="445"/>
      <c r="EF47" s="445"/>
      <c r="EG47" s="445"/>
      <c r="EH47" s="446"/>
      <c r="EI47" s="446"/>
      <c r="EJ47" s="446"/>
      <c r="EK47" s="446"/>
      <c r="EL47" s="447"/>
      <c r="EM47" s="366" t="str">
        <f>IFERROR(VLOOKUP($CJ47,Skills!$H$2:$N$620,7,FALSE),"")</f>
        <v/>
      </c>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445" t="str">
        <f>IFERROR(VLOOKUP($CJ47,Skills!$H$2:$K$620,4,FALSE),"")</f>
        <v/>
      </c>
      <c r="GF47" s="445"/>
      <c r="GG47" s="445"/>
      <c r="GH47" s="445"/>
      <c r="GI47" s="445"/>
      <c r="GJ47" s="448"/>
      <c r="GK47" s="448"/>
      <c r="GL47" s="448"/>
      <c r="GM47" s="448"/>
      <c r="GN47" s="449"/>
      <c r="GQ47" s="431"/>
      <c r="GR47" s="431"/>
      <c r="GS47" s="431"/>
      <c r="GT47" s="431"/>
      <c r="GU47" s="431"/>
      <c r="GV47" s="431"/>
      <c r="GW47" s="431"/>
      <c r="GX47" s="431"/>
      <c r="GY47" s="431"/>
      <c r="GZ47" s="431"/>
      <c r="HA47" s="431"/>
      <c r="HB47" s="431"/>
      <c r="HC47" s="431"/>
      <c r="HD47" s="431"/>
      <c r="HE47" s="431"/>
      <c r="HF47" s="431"/>
      <c r="HG47" s="431"/>
      <c r="HH47" s="431"/>
      <c r="HI47" s="431"/>
      <c r="HJ47" s="431"/>
      <c r="HK47" s="431"/>
      <c r="HL47" s="431"/>
      <c r="HM47" s="431"/>
      <c r="HN47" s="431"/>
      <c r="HO47" s="431"/>
      <c r="HP47" s="431"/>
      <c r="HQ47" s="431"/>
      <c r="HR47" s="431"/>
      <c r="HS47" s="431"/>
      <c r="HT47" s="431"/>
      <c r="HU47" s="431"/>
      <c r="HV47" s="431"/>
      <c r="HW47" s="431"/>
      <c r="HX47" s="431"/>
      <c r="HY47" s="431"/>
      <c r="HZ47" s="431"/>
      <c r="IA47" s="431"/>
      <c r="IB47" s="431"/>
      <c r="IC47" s="431"/>
      <c r="ID47" s="431"/>
      <c r="IE47" s="500" t="str">
        <f>IFERROR(VLOOKUP(GQ47,Charts!$V$2:$X$518,3,FALSE),"")</f>
        <v/>
      </c>
      <c r="IF47" s="500"/>
      <c r="IG47" s="500"/>
      <c r="IH47" s="500"/>
      <c r="II47" s="500"/>
      <c r="IJ47" s="500"/>
      <c r="IK47" s="500"/>
      <c r="IL47" s="500"/>
      <c r="IM47" s="500"/>
      <c r="IN47" s="500"/>
      <c r="IO47" s="500"/>
      <c r="IP47" s="500"/>
      <c r="IQ47" s="500"/>
      <c r="IR47" s="500"/>
      <c r="IS47" s="500"/>
      <c r="IT47" s="500"/>
      <c r="IU47" s="500"/>
      <c r="IV47" s="500"/>
      <c r="IW47" s="500"/>
      <c r="IX47" s="500"/>
      <c r="IY47" s="500"/>
      <c r="IZ47" s="500"/>
      <c r="JA47" s="500"/>
      <c r="JB47" s="500"/>
      <c r="JC47" s="500"/>
      <c r="JD47" s="500"/>
      <c r="JE47" s="500"/>
      <c r="JF47" s="500"/>
      <c r="JG47" s="500"/>
      <c r="JH47" s="500"/>
      <c r="JI47" s="500"/>
      <c r="JJ47" s="500"/>
      <c r="JK47" s="500"/>
      <c r="JL47" s="500"/>
      <c r="JM47" s="500"/>
      <c r="JN47" s="500"/>
      <c r="JO47" s="500"/>
      <c r="JP47" s="500"/>
      <c r="JQ47" s="500"/>
      <c r="JR47" s="500"/>
      <c r="JS47" s="500"/>
      <c r="JT47" s="500"/>
      <c r="JU47" s="500"/>
      <c r="JV47" s="500"/>
      <c r="JW47" s="500"/>
      <c r="JX47" s="500"/>
      <c r="JY47" s="500"/>
      <c r="JZ47" s="500"/>
      <c r="KA47" s="500"/>
      <c r="KB47" s="500"/>
      <c r="KC47" s="500"/>
      <c r="KD47" s="500"/>
      <c r="KE47" s="500"/>
      <c r="KF47" s="500"/>
      <c r="KG47" s="500"/>
      <c r="KH47" s="500"/>
      <c r="KI47" s="500"/>
      <c r="KJ47" s="500"/>
      <c r="KK47" s="500"/>
      <c r="KL47" s="500"/>
      <c r="KM47" s="500"/>
      <c r="KN47" s="500"/>
      <c r="KO47" s="500"/>
      <c r="KP47" s="500"/>
      <c r="KQ47" s="500"/>
      <c r="KR47" s="500"/>
      <c r="KS47" s="500"/>
      <c r="KT47" s="500"/>
      <c r="KU47" s="500"/>
      <c r="KV47" s="500"/>
      <c r="KW47" s="500"/>
      <c r="KX47" s="500"/>
      <c r="KY47" s="500"/>
      <c r="KZ47" s="500"/>
      <c r="LA47" s="500"/>
      <c r="LB47" s="500"/>
      <c r="LC47" s="500"/>
      <c r="LD47" s="500"/>
      <c r="LE47" s="500"/>
      <c r="LF47" s="500"/>
      <c r="LG47" s="500"/>
      <c r="LH47" s="500"/>
      <c r="LI47" s="500"/>
      <c r="LJ47" s="500"/>
      <c r="LK47" s="500"/>
      <c r="LL47" s="500"/>
      <c r="LM47" s="500"/>
      <c r="LN47" s="500"/>
      <c r="LO47" s="500"/>
      <c r="LP47" s="500"/>
      <c r="LQ47" s="500"/>
      <c r="LR47" s="500"/>
      <c r="LS47" s="500"/>
      <c r="LT47" s="500"/>
      <c r="LU47" s="500"/>
      <c r="LV47" s="500"/>
      <c r="LW47" s="500"/>
      <c r="LX47" s="500"/>
      <c r="LY47" s="500"/>
      <c r="LZ47" s="500"/>
      <c r="MA47" s="500"/>
      <c r="MB47" s="500"/>
      <c r="MC47" s="500"/>
      <c r="MD47" s="500"/>
      <c r="ME47" s="500"/>
      <c r="MF47" s="500"/>
      <c r="MG47" s="500"/>
      <c r="MH47" s="500"/>
      <c r="MI47" s="500"/>
      <c r="MJ47" s="500"/>
      <c r="MK47" s="500"/>
      <c r="ML47" s="500"/>
      <c r="MM47" s="500"/>
      <c r="MN47" s="501" t="str">
        <f>IFERROR(VLOOKUP(GQ47,Charts!$V$2:$W$518,2,FALSE),"0")</f>
        <v>0</v>
      </c>
      <c r="MO47" s="501"/>
      <c r="MP47" s="501"/>
      <c r="MQ47" s="501"/>
      <c r="MR47" s="501"/>
      <c r="MS47" s="501"/>
      <c r="MT47" s="501"/>
      <c r="MU47" s="501"/>
      <c r="MV47" s="501"/>
      <c r="MW47" s="501"/>
      <c r="MX47" s="501"/>
      <c r="MY47" s="501"/>
      <c r="MZ47" s="501"/>
    </row>
    <row r="48" spans="2:364" x14ac:dyDescent="0.25">
      <c r="B48" s="395" t="s">
        <v>33</v>
      </c>
      <c r="C48" s="396"/>
      <c r="D48" s="396"/>
      <c r="E48" s="396"/>
      <c r="F48" s="396"/>
      <c r="G48" s="396"/>
      <c r="H48" s="396"/>
      <c r="I48" s="396"/>
      <c r="J48" s="396"/>
      <c r="K48" s="396"/>
      <c r="L48" s="396"/>
      <c r="M48" s="396"/>
      <c r="N48" s="396"/>
      <c r="O48" s="396"/>
      <c r="P48" s="396"/>
      <c r="Q48" s="396"/>
      <c r="R48" s="396"/>
      <c r="S48" s="396"/>
      <c r="T48" s="396"/>
      <c r="U48" s="396"/>
      <c r="V48" s="397">
        <v>35</v>
      </c>
      <c r="W48" s="397"/>
      <c r="X48" s="397"/>
      <c r="Y48" s="397"/>
      <c r="Z48" s="397"/>
      <c r="AA48" s="397"/>
      <c r="AB48" s="397"/>
      <c r="AC48" s="397"/>
      <c r="AD48" s="397"/>
      <c r="AE48" s="397"/>
      <c r="AF48" s="397"/>
      <c r="AG48" s="397"/>
      <c r="AH48" s="397"/>
      <c r="AI48" s="397"/>
      <c r="AJ48" s="397">
        <v>100</v>
      </c>
      <c r="AK48" s="397"/>
      <c r="AL48" s="397"/>
      <c r="AM48" s="397"/>
      <c r="AN48" s="397"/>
      <c r="AO48" s="397"/>
      <c r="AP48" s="397"/>
      <c r="AQ48" s="397"/>
      <c r="AR48" s="397"/>
      <c r="AS48" s="397"/>
      <c r="AT48" s="397"/>
      <c r="AU48" s="397"/>
      <c r="AV48" s="397"/>
      <c r="AW48" s="397"/>
      <c r="AX48" s="419">
        <f>ROUND(VLOOKUP(V48,Charts!$AF$2:$AH$101,2,FALSE),2)</f>
        <v>-3</v>
      </c>
      <c r="AY48" s="419"/>
      <c r="AZ48" s="419"/>
      <c r="BA48" s="419"/>
      <c r="BB48" s="419"/>
      <c r="BC48" s="419"/>
      <c r="BD48" s="419"/>
      <c r="BE48" s="419"/>
      <c r="BF48" s="419"/>
      <c r="BG48" s="419"/>
      <c r="BH48" s="419"/>
      <c r="BI48" s="397">
        <v>0</v>
      </c>
      <c r="BJ48" s="397"/>
      <c r="BK48" s="397"/>
      <c r="BL48" s="397"/>
      <c r="BM48" s="397"/>
      <c r="BN48" s="397"/>
      <c r="BO48" s="397"/>
      <c r="BP48" s="397"/>
      <c r="BQ48" s="397"/>
      <c r="BR48" s="397"/>
      <c r="BS48" s="415">
        <f t="shared" si="0"/>
        <v>35</v>
      </c>
      <c r="BT48" s="415"/>
      <c r="BU48" s="415"/>
      <c r="BV48" s="415"/>
      <c r="BW48" s="415"/>
      <c r="BX48" s="415"/>
      <c r="BY48" s="415"/>
      <c r="BZ48" s="415"/>
      <c r="CA48" s="415"/>
      <c r="CB48" s="415"/>
      <c r="CC48" s="415"/>
      <c r="CD48" s="415"/>
      <c r="CE48" s="415"/>
      <c r="CF48" s="415"/>
      <c r="CG48" s="415"/>
      <c r="CH48" s="416"/>
      <c r="CI48">
        <v>34</v>
      </c>
      <c r="CJ48">
        <v>284</v>
      </c>
      <c r="CK48" s="450" t="str">
        <f>IFERROR(VLOOKUP($CI48,Skills!$H$2:$N$620,7,FALSE),"")</f>
        <v/>
      </c>
      <c r="CL48" s="451"/>
      <c r="CM48" s="451"/>
      <c r="CN48" s="451"/>
      <c r="CO48" s="451"/>
      <c r="CP48" s="451"/>
      <c r="CQ48" s="451"/>
      <c r="CR48" s="451"/>
      <c r="CS48" s="451"/>
      <c r="CT48" s="451"/>
      <c r="CU48" s="451"/>
      <c r="CV48" s="451"/>
      <c r="CW48" s="451"/>
      <c r="CX48" s="451"/>
      <c r="CY48" s="451"/>
      <c r="CZ48" s="451"/>
      <c r="DA48" s="451"/>
      <c r="DB48" s="451"/>
      <c r="DC48" s="451"/>
      <c r="DD48" s="451"/>
      <c r="DE48" s="451"/>
      <c r="DF48" s="451"/>
      <c r="DG48" s="451"/>
      <c r="DH48" s="451"/>
      <c r="DI48" s="451"/>
      <c r="DJ48" s="451"/>
      <c r="DK48" s="451"/>
      <c r="DL48" s="451"/>
      <c r="DM48" s="451"/>
      <c r="DN48" s="451"/>
      <c r="DO48" s="451"/>
      <c r="DP48" s="451"/>
      <c r="DQ48" s="451"/>
      <c r="DR48" s="451"/>
      <c r="DS48" s="451"/>
      <c r="DT48" s="451"/>
      <c r="DU48" s="451"/>
      <c r="DV48" s="451"/>
      <c r="DW48" s="451"/>
      <c r="DX48" s="451"/>
      <c r="DY48" s="451"/>
      <c r="DZ48" s="451"/>
      <c r="EA48" s="451"/>
      <c r="EB48" s="451"/>
      <c r="EC48" s="417" t="str">
        <f>IFERROR(VLOOKUP($CI48,Skills!$H$2:$K$620,4,FALSE),"")</f>
        <v/>
      </c>
      <c r="ED48" s="417"/>
      <c r="EE48" s="417"/>
      <c r="EF48" s="417"/>
      <c r="EG48" s="417"/>
      <c r="EH48" s="452"/>
      <c r="EI48" s="452"/>
      <c r="EJ48" s="452"/>
      <c r="EK48" s="452"/>
      <c r="EL48" s="453"/>
      <c r="EM48" s="451" t="str">
        <f>IFERROR(VLOOKUP($CJ48,Skills!$H$2:$N$620,7,FALSE),"")</f>
        <v/>
      </c>
      <c r="EN48" s="451"/>
      <c r="EO48" s="451"/>
      <c r="EP48" s="451"/>
      <c r="EQ48" s="451"/>
      <c r="ER48" s="451"/>
      <c r="ES48" s="451"/>
      <c r="ET48" s="451"/>
      <c r="EU48" s="451"/>
      <c r="EV48" s="451"/>
      <c r="EW48" s="451"/>
      <c r="EX48" s="451"/>
      <c r="EY48" s="451"/>
      <c r="EZ48" s="451"/>
      <c r="FA48" s="451"/>
      <c r="FB48" s="451"/>
      <c r="FC48" s="451"/>
      <c r="FD48" s="451"/>
      <c r="FE48" s="451"/>
      <c r="FF48" s="451"/>
      <c r="FG48" s="451"/>
      <c r="FH48" s="451"/>
      <c r="FI48" s="451"/>
      <c r="FJ48" s="451"/>
      <c r="FK48" s="451"/>
      <c r="FL48" s="451"/>
      <c r="FM48" s="451"/>
      <c r="FN48" s="451"/>
      <c r="FO48" s="451"/>
      <c r="FP48" s="451"/>
      <c r="FQ48" s="451"/>
      <c r="FR48" s="451"/>
      <c r="FS48" s="451"/>
      <c r="FT48" s="451"/>
      <c r="FU48" s="451"/>
      <c r="FV48" s="451"/>
      <c r="FW48" s="451"/>
      <c r="FX48" s="451"/>
      <c r="FY48" s="451"/>
      <c r="FZ48" s="451"/>
      <c r="GA48" s="451"/>
      <c r="GB48" s="451"/>
      <c r="GC48" s="451"/>
      <c r="GD48" s="451"/>
      <c r="GE48" s="417" t="str">
        <f>IFERROR(VLOOKUP($CJ48,Skills!$H$2:$K$620,4,FALSE),"")</f>
        <v/>
      </c>
      <c r="GF48" s="417"/>
      <c r="GG48" s="417"/>
      <c r="GH48" s="417"/>
      <c r="GI48" s="417"/>
      <c r="GJ48" s="454"/>
      <c r="GK48" s="454"/>
      <c r="GL48" s="454"/>
      <c r="GM48" s="454"/>
      <c r="GN48" s="455"/>
    </row>
    <row r="49" spans="2:364" x14ac:dyDescent="0.25">
      <c r="B49" s="424" t="s">
        <v>34</v>
      </c>
      <c r="C49" s="425"/>
      <c r="D49" s="425"/>
      <c r="E49" s="425"/>
      <c r="F49" s="425"/>
      <c r="G49" s="425"/>
      <c r="H49" s="425"/>
      <c r="I49" s="425"/>
      <c r="J49" s="425"/>
      <c r="K49" s="425"/>
      <c r="L49" s="425"/>
      <c r="M49" s="425"/>
      <c r="N49" s="425"/>
      <c r="O49" s="425"/>
      <c r="P49" s="425"/>
      <c r="Q49" s="425"/>
      <c r="R49" s="425"/>
      <c r="S49" s="425"/>
      <c r="T49" s="425"/>
      <c r="U49" s="425"/>
      <c r="V49" s="426">
        <v>59</v>
      </c>
      <c r="W49" s="426"/>
      <c r="X49" s="426"/>
      <c r="Y49" s="426"/>
      <c r="Z49" s="426"/>
      <c r="AA49" s="426"/>
      <c r="AB49" s="426"/>
      <c r="AC49" s="426"/>
      <c r="AD49" s="426"/>
      <c r="AE49" s="426"/>
      <c r="AF49" s="426"/>
      <c r="AG49" s="426"/>
      <c r="AH49" s="426"/>
      <c r="AI49" s="426"/>
      <c r="AJ49" s="426">
        <v>100</v>
      </c>
      <c r="AK49" s="426"/>
      <c r="AL49" s="426"/>
      <c r="AM49" s="426"/>
      <c r="AN49" s="426"/>
      <c r="AO49" s="426"/>
      <c r="AP49" s="426"/>
      <c r="AQ49" s="426"/>
      <c r="AR49" s="426"/>
      <c r="AS49" s="426"/>
      <c r="AT49" s="426"/>
      <c r="AU49" s="426"/>
      <c r="AV49" s="426"/>
      <c r="AW49" s="426"/>
      <c r="AX49" s="429">
        <f>ROUND(VLOOKUP(V49,Charts!$AF$2:$AH$101,2,FALSE),2)</f>
        <v>1</v>
      </c>
      <c r="AY49" s="429"/>
      <c r="AZ49" s="429"/>
      <c r="BA49" s="429"/>
      <c r="BB49" s="429"/>
      <c r="BC49" s="429"/>
      <c r="BD49" s="429"/>
      <c r="BE49" s="429"/>
      <c r="BF49" s="429"/>
      <c r="BG49" s="429"/>
      <c r="BH49" s="429"/>
      <c r="BI49" s="426">
        <v>9</v>
      </c>
      <c r="BJ49" s="426"/>
      <c r="BK49" s="426"/>
      <c r="BL49" s="426"/>
      <c r="BM49" s="426"/>
      <c r="BN49" s="426"/>
      <c r="BO49" s="426"/>
      <c r="BP49" s="426"/>
      <c r="BQ49" s="426"/>
      <c r="BR49" s="426"/>
      <c r="BS49" s="427">
        <f t="shared" si="0"/>
        <v>68</v>
      </c>
      <c r="BT49" s="427"/>
      <c r="BU49" s="427"/>
      <c r="BV49" s="427"/>
      <c r="BW49" s="427"/>
      <c r="BX49" s="427"/>
      <c r="BY49" s="427"/>
      <c r="BZ49" s="427"/>
      <c r="CA49" s="427"/>
      <c r="CB49" s="427"/>
      <c r="CC49" s="427"/>
      <c r="CD49" s="427"/>
      <c r="CE49" s="427"/>
      <c r="CF49" s="427"/>
      <c r="CG49" s="427"/>
      <c r="CH49" s="428"/>
      <c r="CI49">
        <v>35</v>
      </c>
      <c r="CJ49">
        <v>285</v>
      </c>
      <c r="CK49" s="365" t="str">
        <f>IFERROR(VLOOKUP($CI49,Skills!$H$2:$N$620,7,FALSE),"")</f>
        <v/>
      </c>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445" t="str">
        <f>IFERROR(VLOOKUP($CI49,Skills!$H$2:$K$620,4,FALSE),"")</f>
        <v/>
      </c>
      <c r="ED49" s="445"/>
      <c r="EE49" s="445"/>
      <c r="EF49" s="445"/>
      <c r="EG49" s="445"/>
      <c r="EH49" s="446"/>
      <c r="EI49" s="446"/>
      <c r="EJ49" s="446"/>
      <c r="EK49" s="446"/>
      <c r="EL49" s="447"/>
      <c r="EM49" s="366" t="str">
        <f>IFERROR(VLOOKUP($CJ49,Skills!$H$2:$N$620,7,FALSE),"")</f>
        <v/>
      </c>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445" t="str">
        <f>IFERROR(VLOOKUP($CJ49,Skills!$H$2:$K$620,4,FALSE),"")</f>
        <v/>
      </c>
      <c r="GF49" s="445"/>
      <c r="GG49" s="445"/>
      <c r="GH49" s="445"/>
      <c r="GI49" s="445"/>
      <c r="GJ49" s="448"/>
      <c r="GK49" s="448"/>
      <c r="GL49" s="448"/>
      <c r="GM49" s="448"/>
      <c r="GN49" s="449"/>
      <c r="GQ49" s="502">
        <f>((VLOOKUP(Z11,RaceChart,19,FALSE))-MN33-MN34-MN35-MN36-MN37-MN38-MN39-MN40-MN42-MN43-MN44-MN45-MN46-MN47)</f>
        <v>37</v>
      </c>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502"/>
      <c r="JV49" s="502"/>
      <c r="JW49" s="502"/>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502"/>
      <c r="MF49" s="502"/>
      <c r="MG49" s="502"/>
      <c r="MH49" s="502"/>
      <c r="MI49" s="502"/>
      <c r="MJ49" s="502"/>
      <c r="MK49" s="502"/>
      <c r="ML49" s="502"/>
      <c r="MM49" s="502"/>
      <c r="MN49" s="502"/>
      <c r="MO49" s="502"/>
      <c r="MP49" s="502"/>
      <c r="MQ49" s="502"/>
      <c r="MR49" s="502"/>
      <c r="MS49" s="502"/>
      <c r="MT49" s="502"/>
      <c r="MU49" s="502"/>
      <c r="MV49" s="502"/>
      <c r="MW49" s="502"/>
      <c r="MX49" s="502"/>
      <c r="MY49" s="502"/>
      <c r="MZ49" s="502"/>
    </row>
    <row r="50" spans="2:364" x14ac:dyDescent="0.25">
      <c r="B50" s="3"/>
      <c r="C50" s="3"/>
      <c r="D50" s="3"/>
      <c r="E50" s="3"/>
      <c r="F50" s="3"/>
      <c r="CI50">
        <v>36</v>
      </c>
      <c r="CJ50">
        <v>286</v>
      </c>
      <c r="CK50" s="450" t="str">
        <f>IFERROR(VLOOKUP($CI50,Skills!$H$2:$N$620,7,FALSE),"")</f>
        <v/>
      </c>
      <c r="CL50" s="451"/>
      <c r="CM50" s="451"/>
      <c r="CN50" s="451"/>
      <c r="CO50" s="451"/>
      <c r="CP50" s="451"/>
      <c r="CQ50" s="451"/>
      <c r="CR50" s="451"/>
      <c r="CS50" s="451"/>
      <c r="CT50" s="451"/>
      <c r="CU50" s="451"/>
      <c r="CV50" s="451"/>
      <c r="CW50" s="451"/>
      <c r="CX50" s="451"/>
      <c r="CY50" s="451"/>
      <c r="CZ50" s="451"/>
      <c r="DA50" s="451"/>
      <c r="DB50" s="451"/>
      <c r="DC50" s="451"/>
      <c r="DD50" s="451"/>
      <c r="DE50" s="451"/>
      <c r="DF50" s="451"/>
      <c r="DG50" s="451"/>
      <c r="DH50" s="451"/>
      <c r="DI50" s="451"/>
      <c r="DJ50" s="451"/>
      <c r="DK50" s="451"/>
      <c r="DL50" s="451"/>
      <c r="DM50" s="451"/>
      <c r="DN50" s="451"/>
      <c r="DO50" s="451"/>
      <c r="DP50" s="451"/>
      <c r="DQ50" s="451"/>
      <c r="DR50" s="451"/>
      <c r="DS50" s="451"/>
      <c r="DT50" s="451"/>
      <c r="DU50" s="451"/>
      <c r="DV50" s="451"/>
      <c r="DW50" s="451"/>
      <c r="DX50" s="451"/>
      <c r="DY50" s="451"/>
      <c r="DZ50" s="451"/>
      <c r="EA50" s="451"/>
      <c r="EB50" s="451"/>
      <c r="EC50" s="417" t="str">
        <f>IFERROR(VLOOKUP($CI50,Skills!$H$2:$K$620,4,FALSE),"")</f>
        <v/>
      </c>
      <c r="ED50" s="417"/>
      <c r="EE50" s="417"/>
      <c r="EF50" s="417"/>
      <c r="EG50" s="417"/>
      <c r="EH50" s="452"/>
      <c r="EI50" s="452"/>
      <c r="EJ50" s="452"/>
      <c r="EK50" s="452"/>
      <c r="EL50" s="453"/>
      <c r="EM50" s="451" t="str">
        <f>IFERROR(VLOOKUP($CJ50,Skills!$H$2:$N$620,7,FALSE),"")</f>
        <v/>
      </c>
      <c r="EN50" s="451"/>
      <c r="EO50" s="451"/>
      <c r="EP50" s="451"/>
      <c r="EQ50" s="451"/>
      <c r="ER50" s="451"/>
      <c r="ES50" s="451"/>
      <c r="ET50" s="451"/>
      <c r="EU50" s="451"/>
      <c r="EV50" s="451"/>
      <c r="EW50" s="451"/>
      <c r="EX50" s="451"/>
      <c r="EY50" s="451"/>
      <c r="EZ50" s="451"/>
      <c r="FA50" s="451"/>
      <c r="FB50" s="451"/>
      <c r="FC50" s="451"/>
      <c r="FD50" s="451"/>
      <c r="FE50" s="451"/>
      <c r="FF50" s="451"/>
      <c r="FG50" s="451"/>
      <c r="FH50" s="451"/>
      <c r="FI50" s="451"/>
      <c r="FJ50" s="451"/>
      <c r="FK50" s="451"/>
      <c r="FL50" s="451"/>
      <c r="FM50" s="451"/>
      <c r="FN50" s="451"/>
      <c r="FO50" s="451"/>
      <c r="FP50" s="451"/>
      <c r="FQ50" s="451"/>
      <c r="FR50" s="451"/>
      <c r="FS50" s="451"/>
      <c r="FT50" s="451"/>
      <c r="FU50" s="451"/>
      <c r="FV50" s="451"/>
      <c r="FW50" s="451"/>
      <c r="FX50" s="451"/>
      <c r="FY50" s="451"/>
      <c r="FZ50" s="451"/>
      <c r="GA50" s="451"/>
      <c r="GB50" s="451"/>
      <c r="GC50" s="451"/>
      <c r="GD50" s="451"/>
      <c r="GE50" s="417" t="str">
        <f>IFERROR(VLOOKUP($CJ50,Skills!$H$2:$K$620,4,FALSE),"")</f>
        <v/>
      </c>
      <c r="GF50" s="417"/>
      <c r="GG50" s="417"/>
      <c r="GH50" s="417"/>
      <c r="GI50" s="417"/>
      <c r="GJ50" s="454"/>
      <c r="GK50" s="454"/>
      <c r="GL50" s="454"/>
      <c r="GM50" s="454"/>
      <c r="GN50" s="455"/>
    </row>
    <row r="51" spans="2:364" ht="15.75" x14ac:dyDescent="0.25">
      <c r="B51" s="356" t="s">
        <v>833</v>
      </c>
      <c r="C51" s="356"/>
      <c r="D51" s="356"/>
      <c r="E51" s="356"/>
      <c r="F51" s="356"/>
      <c r="G51" s="357" t="s">
        <v>834</v>
      </c>
      <c r="H51" s="357"/>
      <c r="I51" s="357"/>
      <c r="J51" s="357"/>
      <c r="K51" s="357"/>
      <c r="L51" s="357"/>
      <c r="M51" s="357"/>
      <c r="N51" s="357"/>
      <c r="O51" s="357"/>
      <c r="P51" s="357"/>
      <c r="Q51" s="357"/>
      <c r="R51" s="357"/>
      <c r="S51" s="357"/>
      <c r="T51" s="357"/>
      <c r="U51" s="357"/>
      <c r="V51" s="357"/>
      <c r="W51" s="357"/>
      <c r="X51" s="357"/>
      <c r="Y51" s="357"/>
      <c r="Z51" s="357"/>
      <c r="AA51" s="357"/>
      <c r="AB51" s="357"/>
      <c r="AC51" s="357"/>
      <c r="AD51" s="357"/>
      <c r="AE51" s="357"/>
      <c r="AF51" s="357"/>
      <c r="AG51" s="357"/>
      <c r="AH51" s="357"/>
      <c r="AI51" s="357"/>
      <c r="AJ51" s="357"/>
      <c r="AK51" s="357"/>
      <c r="AL51" s="357"/>
      <c r="AM51" s="357"/>
      <c r="AN51" s="357"/>
      <c r="AO51" s="357"/>
      <c r="AP51" s="357"/>
      <c r="AQ51" s="357"/>
      <c r="AR51" s="357"/>
      <c r="AS51" s="357"/>
      <c r="AT51" s="357"/>
      <c r="AU51" s="357"/>
      <c r="AV51" s="357"/>
      <c r="AW51" s="357"/>
      <c r="AX51" s="357"/>
      <c r="AY51" s="357"/>
      <c r="AZ51" s="357"/>
      <c r="BA51" s="357"/>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57"/>
      <c r="BX51" s="357"/>
      <c r="BY51" s="357"/>
      <c r="BZ51" s="357"/>
      <c r="CA51" s="357"/>
      <c r="CB51" s="357"/>
      <c r="CC51" s="357"/>
      <c r="CD51" s="357"/>
      <c r="CE51" s="357"/>
      <c r="CF51" s="357"/>
      <c r="CG51" s="357"/>
      <c r="CH51" s="357"/>
      <c r="CI51">
        <v>37</v>
      </c>
      <c r="CJ51">
        <v>287</v>
      </c>
      <c r="CK51" s="365" t="str">
        <f>IFERROR(VLOOKUP($CI51,Skills!$H$2:$N$620,7,FALSE),"")</f>
        <v/>
      </c>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445" t="str">
        <f>IFERROR(VLOOKUP($CI51,Skills!$H$2:$K$620,4,FALSE),"")</f>
        <v/>
      </c>
      <c r="ED51" s="445"/>
      <c r="EE51" s="445"/>
      <c r="EF51" s="445"/>
      <c r="EG51" s="445"/>
      <c r="EH51" s="446"/>
      <c r="EI51" s="446"/>
      <c r="EJ51" s="446"/>
      <c r="EK51" s="446"/>
      <c r="EL51" s="447"/>
      <c r="EM51" s="366" t="str">
        <f>IFERROR(VLOOKUP($CJ51,Skills!$H$2:$N$620,7,FALSE),"")</f>
        <v/>
      </c>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445" t="str">
        <f>IFERROR(VLOOKUP($CJ51,Skills!$H$2:$K$620,4,FALSE),"")</f>
        <v/>
      </c>
      <c r="GF51" s="445"/>
      <c r="GG51" s="445"/>
      <c r="GH51" s="445"/>
      <c r="GI51" s="445"/>
      <c r="GJ51" s="448"/>
      <c r="GK51" s="448"/>
      <c r="GL51" s="448"/>
      <c r="GM51" s="448"/>
      <c r="GN51" s="449"/>
    </row>
    <row r="52" spans="2:364" x14ac:dyDescent="0.25">
      <c r="B52" s="361" t="s">
        <v>835</v>
      </c>
      <c r="C52" s="361"/>
      <c r="D52" s="361"/>
      <c r="E52" s="361"/>
      <c r="F52" s="361"/>
      <c r="G52" s="361"/>
      <c r="H52" s="361"/>
      <c r="I52" s="361"/>
      <c r="J52" s="361"/>
      <c r="K52" s="361"/>
      <c r="L52" s="361"/>
      <c r="M52" s="361"/>
      <c r="N52" s="361"/>
      <c r="O52" s="361"/>
      <c r="P52" s="361"/>
      <c r="Q52" s="361"/>
      <c r="R52" s="361"/>
      <c r="S52" s="361"/>
      <c r="T52" s="361"/>
      <c r="U52" s="361"/>
      <c r="V52" s="361"/>
      <c r="W52" s="361"/>
      <c r="X52" s="361"/>
      <c r="Y52" s="361"/>
      <c r="Z52" s="361"/>
      <c r="AA52" s="361"/>
      <c r="AB52" s="361"/>
      <c r="AC52" s="361"/>
      <c r="AD52" s="361"/>
      <c r="AE52" s="361"/>
      <c r="AF52" s="361"/>
      <c r="AG52" s="361"/>
      <c r="AH52" s="361"/>
      <c r="AI52" s="361"/>
      <c r="AJ52" s="361"/>
      <c r="AK52" s="361"/>
      <c r="AL52" s="361"/>
      <c r="AM52" s="361"/>
      <c r="AN52" s="361"/>
      <c r="AO52" s="361"/>
      <c r="AP52" s="361"/>
      <c r="AQ52" s="361"/>
      <c r="AR52" s="361"/>
      <c r="AS52" s="361"/>
      <c r="AT52" s="361"/>
      <c r="AU52" s="361"/>
      <c r="AV52" s="361"/>
      <c r="AW52" s="361"/>
      <c r="AX52" s="361"/>
      <c r="AY52" s="361"/>
      <c r="AZ52" s="361"/>
      <c r="BA52" s="361"/>
      <c r="BB52" s="361"/>
      <c r="BC52" s="361"/>
      <c r="BD52" s="361"/>
      <c r="BE52" s="361"/>
      <c r="BF52" s="361"/>
      <c r="BG52" s="361"/>
      <c r="BH52" s="361"/>
      <c r="BI52" s="361"/>
      <c r="BJ52" s="361"/>
      <c r="BK52" s="361"/>
      <c r="BL52" s="361"/>
      <c r="BM52" s="361"/>
      <c r="BN52" s="361"/>
      <c r="BO52" s="361"/>
      <c r="BP52" s="361"/>
      <c r="BQ52" s="361"/>
      <c r="BR52" s="361"/>
      <c r="BS52" s="361"/>
      <c r="BT52" s="361"/>
      <c r="BU52" s="361"/>
      <c r="BV52" s="361"/>
      <c r="BW52" s="361"/>
      <c r="BX52" s="361"/>
      <c r="BY52" s="361"/>
      <c r="BZ52" s="361"/>
      <c r="CA52" s="361"/>
      <c r="CB52" s="361"/>
      <c r="CC52" s="361"/>
      <c r="CD52" s="361"/>
      <c r="CE52" s="361"/>
      <c r="CF52" s="361"/>
      <c r="CG52" s="361"/>
      <c r="CH52" s="361"/>
      <c r="CI52">
        <v>38</v>
      </c>
      <c r="CJ52">
        <v>288</v>
      </c>
      <c r="CK52" s="450" t="str">
        <f>IFERROR(VLOOKUP($CI52,Skills!$H$2:$N$620,7,FALSE),"")</f>
        <v/>
      </c>
      <c r="CL52" s="451"/>
      <c r="CM52" s="451"/>
      <c r="CN52" s="451"/>
      <c r="CO52" s="451"/>
      <c r="CP52" s="451"/>
      <c r="CQ52" s="451"/>
      <c r="CR52" s="451"/>
      <c r="CS52" s="451"/>
      <c r="CT52" s="451"/>
      <c r="CU52" s="451"/>
      <c r="CV52" s="451"/>
      <c r="CW52" s="451"/>
      <c r="CX52" s="451"/>
      <c r="CY52" s="451"/>
      <c r="CZ52" s="451"/>
      <c r="DA52" s="451"/>
      <c r="DB52" s="451"/>
      <c r="DC52" s="451"/>
      <c r="DD52" s="451"/>
      <c r="DE52" s="451"/>
      <c r="DF52" s="451"/>
      <c r="DG52" s="451"/>
      <c r="DH52" s="451"/>
      <c r="DI52" s="451"/>
      <c r="DJ52" s="451"/>
      <c r="DK52" s="451"/>
      <c r="DL52" s="451"/>
      <c r="DM52" s="451"/>
      <c r="DN52" s="451"/>
      <c r="DO52" s="451"/>
      <c r="DP52" s="451"/>
      <c r="DQ52" s="451"/>
      <c r="DR52" s="451"/>
      <c r="DS52" s="451"/>
      <c r="DT52" s="451"/>
      <c r="DU52" s="451"/>
      <c r="DV52" s="451"/>
      <c r="DW52" s="451"/>
      <c r="DX52" s="451"/>
      <c r="DY52" s="451"/>
      <c r="DZ52" s="451"/>
      <c r="EA52" s="451"/>
      <c r="EB52" s="451"/>
      <c r="EC52" s="417" t="str">
        <f>IFERROR(VLOOKUP($CI52,Skills!$H$2:$K$620,4,FALSE),"")</f>
        <v/>
      </c>
      <c r="ED52" s="417"/>
      <c r="EE52" s="417"/>
      <c r="EF52" s="417"/>
      <c r="EG52" s="417"/>
      <c r="EH52" s="452"/>
      <c r="EI52" s="452"/>
      <c r="EJ52" s="452"/>
      <c r="EK52" s="452"/>
      <c r="EL52" s="453"/>
      <c r="EM52" s="451" t="str">
        <f>IFERROR(VLOOKUP($CJ52,Skills!$H$2:$N$620,7,FALSE),"")</f>
        <v/>
      </c>
      <c r="EN52" s="451"/>
      <c r="EO52" s="451"/>
      <c r="EP52" s="451"/>
      <c r="EQ52" s="451"/>
      <c r="ER52" s="451"/>
      <c r="ES52" s="451"/>
      <c r="ET52" s="451"/>
      <c r="EU52" s="451"/>
      <c r="EV52" s="451"/>
      <c r="EW52" s="451"/>
      <c r="EX52" s="451"/>
      <c r="EY52" s="451"/>
      <c r="EZ52" s="451"/>
      <c r="FA52" s="451"/>
      <c r="FB52" s="451"/>
      <c r="FC52" s="451"/>
      <c r="FD52" s="451"/>
      <c r="FE52" s="451"/>
      <c r="FF52" s="451"/>
      <c r="FG52" s="451"/>
      <c r="FH52" s="451"/>
      <c r="FI52" s="451"/>
      <c r="FJ52" s="451"/>
      <c r="FK52" s="451"/>
      <c r="FL52" s="451"/>
      <c r="FM52" s="451"/>
      <c r="FN52" s="451"/>
      <c r="FO52" s="451"/>
      <c r="FP52" s="451"/>
      <c r="FQ52" s="451"/>
      <c r="FR52" s="451"/>
      <c r="FS52" s="451"/>
      <c r="FT52" s="451"/>
      <c r="FU52" s="451"/>
      <c r="FV52" s="451"/>
      <c r="FW52" s="451"/>
      <c r="FX52" s="451"/>
      <c r="FY52" s="451"/>
      <c r="FZ52" s="451"/>
      <c r="GA52" s="451"/>
      <c r="GB52" s="451"/>
      <c r="GC52" s="451"/>
      <c r="GD52" s="451"/>
      <c r="GE52" s="417" t="str">
        <f>IFERROR(VLOOKUP($CJ52,Skills!$H$2:$K$620,4,FALSE),"")</f>
        <v/>
      </c>
      <c r="GF52" s="417"/>
      <c r="GG52" s="417"/>
      <c r="GH52" s="417"/>
      <c r="GI52" s="417"/>
      <c r="GJ52" s="454"/>
      <c r="GK52" s="454"/>
      <c r="GL52" s="454"/>
      <c r="GM52" s="454"/>
      <c r="GN52" s="455"/>
    </row>
    <row r="53" spans="2:364" x14ac:dyDescent="0.25">
      <c r="B53" s="361"/>
      <c r="C53" s="361"/>
      <c r="D53" s="361"/>
      <c r="E53" s="361"/>
      <c r="F53" s="361"/>
      <c r="G53" s="361"/>
      <c r="H53" s="361"/>
      <c r="I53" s="361"/>
      <c r="J53" s="361"/>
      <c r="K53" s="361"/>
      <c r="L53" s="361"/>
      <c r="M53" s="361"/>
      <c r="N53" s="361"/>
      <c r="O53" s="361"/>
      <c r="P53" s="361"/>
      <c r="Q53" s="361"/>
      <c r="R53" s="361"/>
      <c r="S53" s="361"/>
      <c r="T53" s="361"/>
      <c r="U53" s="361"/>
      <c r="V53" s="361"/>
      <c r="W53" s="361"/>
      <c r="X53" s="361"/>
      <c r="Y53" s="361"/>
      <c r="Z53" s="361"/>
      <c r="AA53" s="361"/>
      <c r="AB53" s="361"/>
      <c r="AC53" s="361"/>
      <c r="AD53" s="361"/>
      <c r="AE53" s="361"/>
      <c r="AF53" s="361"/>
      <c r="AG53" s="361"/>
      <c r="AH53" s="361"/>
      <c r="AI53" s="361"/>
      <c r="AJ53" s="361"/>
      <c r="AK53" s="361"/>
      <c r="AL53" s="361"/>
      <c r="AM53" s="361"/>
      <c r="AN53" s="361"/>
      <c r="AO53" s="361"/>
      <c r="AP53" s="361"/>
      <c r="AQ53" s="361"/>
      <c r="AR53" s="361"/>
      <c r="AS53" s="361"/>
      <c r="AT53" s="361"/>
      <c r="AU53" s="361"/>
      <c r="AV53" s="361"/>
      <c r="AW53" s="361"/>
      <c r="AX53" s="361"/>
      <c r="AY53" s="361"/>
      <c r="AZ53" s="361"/>
      <c r="BA53" s="361"/>
      <c r="BB53" s="361"/>
      <c r="BC53" s="361"/>
      <c r="BD53" s="361"/>
      <c r="BE53" s="361"/>
      <c r="BF53" s="361"/>
      <c r="BG53" s="361"/>
      <c r="BH53" s="361"/>
      <c r="BI53" s="361"/>
      <c r="BJ53" s="361"/>
      <c r="BK53" s="361"/>
      <c r="BL53" s="361"/>
      <c r="BM53" s="361"/>
      <c r="BN53" s="361"/>
      <c r="BO53" s="361"/>
      <c r="BP53" s="361"/>
      <c r="BQ53" s="361"/>
      <c r="BR53" s="361"/>
      <c r="BS53" s="361"/>
      <c r="BT53" s="361"/>
      <c r="BU53" s="361"/>
      <c r="BV53" s="361"/>
      <c r="BW53" s="361"/>
      <c r="BX53" s="361"/>
      <c r="BY53" s="361"/>
      <c r="BZ53" s="361"/>
      <c r="CA53" s="361"/>
      <c r="CB53" s="361"/>
      <c r="CC53" s="361"/>
      <c r="CD53" s="361"/>
      <c r="CE53" s="361"/>
      <c r="CF53" s="361"/>
      <c r="CG53" s="361"/>
      <c r="CH53" s="361"/>
      <c r="CI53">
        <v>39</v>
      </c>
      <c r="CJ53">
        <v>289</v>
      </c>
      <c r="CK53" s="365" t="str">
        <f>IFERROR(VLOOKUP($CI53,Skills!$H$2:$N$620,7,FALSE),"")</f>
        <v/>
      </c>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445" t="str">
        <f>IFERROR(VLOOKUP($CI53,Skills!$H$2:$K$620,4,FALSE),"")</f>
        <v/>
      </c>
      <c r="ED53" s="445"/>
      <c r="EE53" s="445"/>
      <c r="EF53" s="445"/>
      <c r="EG53" s="445"/>
      <c r="EH53" s="446"/>
      <c r="EI53" s="446"/>
      <c r="EJ53" s="446"/>
      <c r="EK53" s="446"/>
      <c r="EL53" s="447"/>
      <c r="EM53" s="366" t="str">
        <f>IFERROR(VLOOKUP($CJ53,Skills!$H$2:$N$620,7,FALSE),"")</f>
        <v/>
      </c>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445" t="str">
        <f>IFERROR(VLOOKUP($CJ53,Skills!$H$2:$K$620,4,FALSE),"")</f>
        <v/>
      </c>
      <c r="GF53" s="445"/>
      <c r="GG53" s="445"/>
      <c r="GH53" s="445"/>
      <c r="GI53" s="445"/>
      <c r="GJ53" s="448"/>
      <c r="GK53" s="448"/>
      <c r="GL53" s="448"/>
      <c r="GM53" s="448"/>
      <c r="GN53" s="449"/>
    </row>
    <row r="54" spans="2:364" x14ac:dyDescent="0.25">
      <c r="B54" s="361"/>
      <c r="C54" s="361"/>
      <c r="D54" s="361"/>
      <c r="E54" s="361"/>
      <c r="F54" s="361"/>
      <c r="G54" s="361"/>
      <c r="H54" s="361"/>
      <c r="I54" s="361"/>
      <c r="J54" s="361"/>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c r="AJ54" s="361"/>
      <c r="AK54" s="361"/>
      <c r="AL54" s="361"/>
      <c r="AM54" s="361"/>
      <c r="AN54" s="361"/>
      <c r="AO54" s="361"/>
      <c r="AP54" s="361"/>
      <c r="AQ54" s="361"/>
      <c r="AR54" s="361"/>
      <c r="AS54" s="361"/>
      <c r="AT54" s="361"/>
      <c r="AU54" s="361"/>
      <c r="AV54" s="361"/>
      <c r="AW54" s="361"/>
      <c r="AX54" s="361"/>
      <c r="AY54" s="361"/>
      <c r="AZ54" s="361"/>
      <c r="BA54" s="361"/>
      <c r="BB54" s="361"/>
      <c r="BC54" s="361"/>
      <c r="BD54" s="361"/>
      <c r="BE54" s="361"/>
      <c r="BF54" s="361"/>
      <c r="BG54" s="361"/>
      <c r="BH54" s="361"/>
      <c r="BI54" s="361"/>
      <c r="BJ54" s="361"/>
      <c r="BK54" s="361"/>
      <c r="BL54" s="361"/>
      <c r="BM54" s="361"/>
      <c r="BN54" s="361"/>
      <c r="BO54" s="361"/>
      <c r="BP54" s="361"/>
      <c r="BQ54" s="361"/>
      <c r="BR54" s="361"/>
      <c r="BS54" s="361"/>
      <c r="BT54" s="361"/>
      <c r="BU54" s="361"/>
      <c r="BV54" s="361"/>
      <c r="BW54" s="361"/>
      <c r="BX54" s="361"/>
      <c r="BY54" s="361"/>
      <c r="BZ54" s="361"/>
      <c r="CA54" s="361"/>
      <c r="CB54" s="361"/>
      <c r="CC54" s="361"/>
      <c r="CD54" s="361"/>
      <c r="CE54" s="361"/>
      <c r="CF54" s="361"/>
      <c r="CG54" s="361"/>
      <c r="CH54" s="361"/>
      <c r="CI54">
        <v>40</v>
      </c>
      <c r="CJ54">
        <v>290</v>
      </c>
      <c r="CK54" s="450" t="str">
        <f>IFERROR(VLOOKUP($CI54,Skills!$H$2:$N$620,7,FALSE),"")</f>
        <v/>
      </c>
      <c r="CL54" s="451"/>
      <c r="CM54" s="451"/>
      <c r="CN54" s="451"/>
      <c r="CO54" s="451"/>
      <c r="CP54" s="451"/>
      <c r="CQ54" s="451"/>
      <c r="CR54" s="451"/>
      <c r="CS54" s="451"/>
      <c r="CT54" s="451"/>
      <c r="CU54" s="451"/>
      <c r="CV54" s="451"/>
      <c r="CW54" s="451"/>
      <c r="CX54" s="451"/>
      <c r="CY54" s="451"/>
      <c r="CZ54" s="451"/>
      <c r="DA54" s="451"/>
      <c r="DB54" s="451"/>
      <c r="DC54" s="451"/>
      <c r="DD54" s="451"/>
      <c r="DE54" s="451"/>
      <c r="DF54" s="451"/>
      <c r="DG54" s="451"/>
      <c r="DH54" s="451"/>
      <c r="DI54" s="451"/>
      <c r="DJ54" s="451"/>
      <c r="DK54" s="451"/>
      <c r="DL54" s="451"/>
      <c r="DM54" s="451"/>
      <c r="DN54" s="451"/>
      <c r="DO54" s="451"/>
      <c r="DP54" s="451"/>
      <c r="DQ54" s="451"/>
      <c r="DR54" s="451"/>
      <c r="DS54" s="451"/>
      <c r="DT54" s="451"/>
      <c r="DU54" s="451"/>
      <c r="DV54" s="451"/>
      <c r="DW54" s="451"/>
      <c r="DX54" s="451"/>
      <c r="DY54" s="451"/>
      <c r="DZ54" s="451"/>
      <c r="EA54" s="451"/>
      <c r="EB54" s="451"/>
      <c r="EC54" s="417" t="str">
        <f>IFERROR(VLOOKUP($CI54,Skills!$H$2:$K$620,4,FALSE),"")</f>
        <v/>
      </c>
      <c r="ED54" s="417"/>
      <c r="EE54" s="417"/>
      <c r="EF54" s="417"/>
      <c r="EG54" s="417"/>
      <c r="EH54" s="452"/>
      <c r="EI54" s="452"/>
      <c r="EJ54" s="452"/>
      <c r="EK54" s="452"/>
      <c r="EL54" s="453"/>
      <c r="EM54" s="451" t="str">
        <f>IFERROR(VLOOKUP($CJ54,Skills!$H$2:$N$620,7,FALSE),"")</f>
        <v/>
      </c>
      <c r="EN54" s="451"/>
      <c r="EO54" s="451"/>
      <c r="EP54" s="451"/>
      <c r="EQ54" s="451"/>
      <c r="ER54" s="451"/>
      <c r="ES54" s="451"/>
      <c r="ET54" s="451"/>
      <c r="EU54" s="451"/>
      <c r="EV54" s="451"/>
      <c r="EW54" s="451"/>
      <c r="EX54" s="451"/>
      <c r="EY54" s="451"/>
      <c r="EZ54" s="451"/>
      <c r="FA54" s="451"/>
      <c r="FB54" s="451"/>
      <c r="FC54" s="451"/>
      <c r="FD54" s="451"/>
      <c r="FE54" s="451"/>
      <c r="FF54" s="451"/>
      <c r="FG54" s="451"/>
      <c r="FH54" s="451"/>
      <c r="FI54" s="451"/>
      <c r="FJ54" s="451"/>
      <c r="FK54" s="451"/>
      <c r="FL54" s="451"/>
      <c r="FM54" s="451"/>
      <c r="FN54" s="451"/>
      <c r="FO54" s="451"/>
      <c r="FP54" s="451"/>
      <c r="FQ54" s="451"/>
      <c r="FR54" s="451"/>
      <c r="FS54" s="451"/>
      <c r="FT54" s="451"/>
      <c r="FU54" s="451"/>
      <c r="FV54" s="451"/>
      <c r="FW54" s="451"/>
      <c r="FX54" s="451"/>
      <c r="FY54" s="451"/>
      <c r="FZ54" s="451"/>
      <c r="GA54" s="451"/>
      <c r="GB54" s="451"/>
      <c r="GC54" s="451"/>
      <c r="GD54" s="451"/>
      <c r="GE54" s="417" t="str">
        <f>IFERROR(VLOOKUP($CJ54,Skills!$H$2:$K$620,4,FALSE),"")</f>
        <v/>
      </c>
      <c r="GF54" s="417"/>
      <c r="GG54" s="417"/>
      <c r="GH54" s="417"/>
      <c r="GI54" s="417"/>
      <c r="GJ54" s="454"/>
      <c r="GK54" s="454"/>
      <c r="GL54" s="454"/>
      <c r="GM54" s="454"/>
      <c r="GN54" s="455"/>
    </row>
    <row r="55" spans="2:364" ht="15.75" thickBot="1" x14ac:dyDescent="0.3">
      <c r="B55" s="361"/>
      <c r="C55" s="361"/>
      <c r="D55" s="361"/>
      <c r="E55" s="361"/>
      <c r="F55" s="361"/>
      <c r="G55" s="361"/>
      <c r="H55" s="361"/>
      <c r="I55" s="361"/>
      <c r="J55" s="361"/>
      <c r="K55" s="361"/>
      <c r="L55" s="361"/>
      <c r="M55" s="361"/>
      <c r="N55" s="361"/>
      <c r="O55" s="361"/>
      <c r="P55" s="361"/>
      <c r="Q55" s="361"/>
      <c r="R55" s="361"/>
      <c r="S55" s="361"/>
      <c r="T55" s="361"/>
      <c r="U55" s="361"/>
      <c r="V55" s="361"/>
      <c r="W55" s="361"/>
      <c r="X55" s="361"/>
      <c r="Y55" s="361"/>
      <c r="Z55" s="361"/>
      <c r="AA55" s="361"/>
      <c r="AB55" s="361"/>
      <c r="AC55" s="361"/>
      <c r="AD55" s="361"/>
      <c r="AE55" s="361"/>
      <c r="AF55" s="361"/>
      <c r="AG55" s="361"/>
      <c r="AH55" s="361"/>
      <c r="AI55" s="361"/>
      <c r="AJ55" s="361"/>
      <c r="AK55" s="361"/>
      <c r="AL55" s="361"/>
      <c r="AM55" s="361"/>
      <c r="AN55" s="361"/>
      <c r="AO55" s="361"/>
      <c r="AP55" s="361"/>
      <c r="AQ55" s="361"/>
      <c r="AR55" s="361"/>
      <c r="AS55" s="361"/>
      <c r="AT55" s="361"/>
      <c r="AU55" s="361"/>
      <c r="AV55" s="361"/>
      <c r="AW55" s="361"/>
      <c r="AX55" s="361"/>
      <c r="AY55" s="361"/>
      <c r="AZ55" s="361"/>
      <c r="BA55" s="361"/>
      <c r="BB55" s="361"/>
      <c r="BC55" s="361"/>
      <c r="BD55" s="361"/>
      <c r="BE55" s="361"/>
      <c r="BF55" s="361"/>
      <c r="BG55" s="361"/>
      <c r="BH55" s="361"/>
      <c r="BI55" s="361"/>
      <c r="BJ55" s="361"/>
      <c r="BK55" s="361"/>
      <c r="BL55" s="361"/>
      <c r="BM55" s="361"/>
      <c r="BN55" s="361"/>
      <c r="BO55" s="361"/>
      <c r="BP55" s="361"/>
      <c r="BQ55" s="361"/>
      <c r="BR55" s="361"/>
      <c r="BS55" s="361"/>
      <c r="BT55" s="361"/>
      <c r="BU55" s="361"/>
      <c r="BV55" s="361"/>
      <c r="BW55" s="361"/>
      <c r="BX55" s="361"/>
      <c r="BY55" s="361"/>
      <c r="BZ55" s="361"/>
      <c r="CA55" s="361"/>
      <c r="CB55" s="361"/>
      <c r="CC55" s="361"/>
      <c r="CD55" s="361"/>
      <c r="CE55" s="361"/>
      <c r="CF55" s="361"/>
      <c r="CG55" s="361"/>
      <c r="CH55" s="361"/>
      <c r="CI55">
        <v>41</v>
      </c>
      <c r="CJ55">
        <v>291</v>
      </c>
      <c r="CK55" s="365" t="str">
        <f>IFERROR(VLOOKUP($CI55,Skills!$H$2:$N$620,7,FALSE),"")</f>
        <v/>
      </c>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445" t="str">
        <f>IFERROR(VLOOKUP($CI55,Skills!$H$2:$K$620,4,FALSE),"")</f>
        <v/>
      </c>
      <c r="ED55" s="445"/>
      <c r="EE55" s="445"/>
      <c r="EF55" s="445"/>
      <c r="EG55" s="445"/>
      <c r="EH55" s="446"/>
      <c r="EI55" s="446"/>
      <c r="EJ55" s="446"/>
      <c r="EK55" s="446"/>
      <c r="EL55" s="447"/>
      <c r="EM55" s="366" t="str">
        <f>IFERROR(VLOOKUP($CJ55,Skills!$H$2:$N$620,7,FALSE),"")</f>
        <v/>
      </c>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445" t="str">
        <f>IFERROR(VLOOKUP($CJ55,Skills!$H$2:$K$620,4,FALSE),"")</f>
        <v/>
      </c>
      <c r="GF55" s="445"/>
      <c r="GG55" s="445"/>
      <c r="GH55" s="445"/>
      <c r="GI55" s="445"/>
      <c r="GJ55" s="448"/>
      <c r="GK55" s="448"/>
      <c r="GL55" s="448"/>
      <c r="GM55" s="448"/>
      <c r="GN55" s="449"/>
    </row>
    <row r="56" spans="2:364" ht="15.75" thickBot="1" x14ac:dyDescent="0.3">
      <c r="B56" s="434" t="s">
        <v>836</v>
      </c>
      <c r="C56" s="434"/>
      <c r="D56" s="434"/>
      <c r="E56" s="434"/>
      <c r="F56" s="434"/>
      <c r="G56" s="434"/>
      <c r="H56" s="433" t="s">
        <v>77</v>
      </c>
      <c r="I56" s="433"/>
      <c r="J56" s="433"/>
      <c r="K56" s="433"/>
      <c r="L56" s="433"/>
      <c r="M56" s="433"/>
      <c r="N56" s="433"/>
      <c r="O56" s="433"/>
      <c r="P56" s="433"/>
      <c r="Q56" s="433"/>
      <c r="R56" s="433"/>
      <c r="S56" s="433"/>
      <c r="T56" s="433"/>
      <c r="U56" s="433"/>
      <c r="V56" s="433"/>
      <c r="W56" s="433"/>
      <c r="X56" s="433"/>
      <c r="Y56" s="433"/>
      <c r="Z56" s="433"/>
      <c r="AA56" s="433"/>
      <c r="AB56" s="433"/>
      <c r="AC56" s="433"/>
      <c r="AD56" s="433"/>
      <c r="AE56" s="433"/>
      <c r="AF56" s="433"/>
      <c r="AG56" s="433"/>
      <c r="AH56" s="433"/>
      <c r="AI56" s="433"/>
      <c r="AJ56" s="433"/>
      <c r="AK56" s="433"/>
      <c r="AL56" s="433"/>
      <c r="AM56" s="433"/>
      <c r="AN56" s="433"/>
      <c r="AO56" s="433"/>
      <c r="AP56" s="433"/>
      <c r="AQ56" s="433"/>
      <c r="AR56" s="433"/>
      <c r="AS56" s="433"/>
      <c r="AT56" s="433"/>
      <c r="AU56" s="433"/>
      <c r="AV56" s="433"/>
      <c r="AW56" s="433"/>
      <c r="AX56" s="433"/>
      <c r="AY56" s="433"/>
      <c r="AZ56" s="433"/>
      <c r="BA56" s="433"/>
      <c r="BB56" s="433"/>
      <c r="BC56" s="433"/>
      <c r="BD56" s="433"/>
      <c r="BE56" s="433"/>
      <c r="BF56" s="433"/>
      <c r="BG56" s="433"/>
      <c r="BH56" s="433"/>
      <c r="BI56" s="433"/>
      <c r="BJ56" s="433"/>
      <c r="BK56" s="433"/>
      <c r="BL56" s="433"/>
      <c r="BM56" s="433"/>
      <c r="BN56" s="433"/>
      <c r="BO56" s="433"/>
      <c r="BP56" s="433"/>
      <c r="BQ56" s="433"/>
      <c r="BR56" s="433"/>
      <c r="BS56" s="433"/>
      <c r="BT56" s="433"/>
      <c r="BU56" s="433"/>
      <c r="BV56" s="433"/>
      <c r="BW56" s="433"/>
      <c r="BX56" s="433"/>
      <c r="BY56" s="433"/>
      <c r="BZ56" s="433"/>
      <c r="CA56" s="433"/>
      <c r="CB56" s="433"/>
      <c r="CC56" s="433"/>
      <c r="CD56" s="433"/>
      <c r="CE56" s="433"/>
      <c r="CF56" s="433"/>
      <c r="CG56" s="433"/>
      <c r="CH56" s="433"/>
      <c r="CI56">
        <v>42</v>
      </c>
      <c r="CJ56">
        <v>292</v>
      </c>
      <c r="CK56" s="450" t="str">
        <f>IFERROR(VLOOKUP($CI56,Skills!$H$2:$N$620,7,FALSE),"")</f>
        <v/>
      </c>
      <c r="CL56" s="451"/>
      <c r="CM56" s="451"/>
      <c r="CN56" s="451"/>
      <c r="CO56" s="451"/>
      <c r="CP56" s="451"/>
      <c r="CQ56" s="451"/>
      <c r="CR56" s="451"/>
      <c r="CS56" s="451"/>
      <c r="CT56" s="451"/>
      <c r="CU56" s="451"/>
      <c r="CV56" s="451"/>
      <c r="CW56" s="451"/>
      <c r="CX56" s="451"/>
      <c r="CY56" s="451"/>
      <c r="CZ56" s="451"/>
      <c r="DA56" s="451"/>
      <c r="DB56" s="451"/>
      <c r="DC56" s="451"/>
      <c r="DD56" s="451"/>
      <c r="DE56" s="451"/>
      <c r="DF56" s="451"/>
      <c r="DG56" s="451"/>
      <c r="DH56" s="451"/>
      <c r="DI56" s="451"/>
      <c r="DJ56" s="451"/>
      <c r="DK56" s="451"/>
      <c r="DL56" s="451"/>
      <c r="DM56" s="451"/>
      <c r="DN56" s="451"/>
      <c r="DO56" s="451"/>
      <c r="DP56" s="451"/>
      <c r="DQ56" s="451"/>
      <c r="DR56" s="451"/>
      <c r="DS56" s="451"/>
      <c r="DT56" s="451"/>
      <c r="DU56" s="451"/>
      <c r="DV56" s="451"/>
      <c r="DW56" s="451"/>
      <c r="DX56" s="451"/>
      <c r="DY56" s="451"/>
      <c r="DZ56" s="451"/>
      <c r="EA56" s="451"/>
      <c r="EB56" s="451"/>
      <c r="EC56" s="417" t="str">
        <f>IFERROR(VLOOKUP($CI56,Skills!$H$2:$K$620,4,FALSE),"")</f>
        <v/>
      </c>
      <c r="ED56" s="417"/>
      <c r="EE56" s="417"/>
      <c r="EF56" s="417"/>
      <c r="EG56" s="417"/>
      <c r="EH56" s="452"/>
      <c r="EI56" s="452"/>
      <c r="EJ56" s="452"/>
      <c r="EK56" s="452"/>
      <c r="EL56" s="453"/>
      <c r="EM56" s="451" t="str">
        <f>IFERROR(VLOOKUP($CJ56,Skills!$H$2:$N$620,7,FALSE),"")</f>
        <v/>
      </c>
      <c r="EN56" s="451"/>
      <c r="EO56" s="451"/>
      <c r="EP56" s="451"/>
      <c r="EQ56" s="451"/>
      <c r="ER56" s="451"/>
      <c r="ES56" s="451"/>
      <c r="ET56" s="451"/>
      <c r="EU56" s="451"/>
      <c r="EV56" s="451"/>
      <c r="EW56" s="451"/>
      <c r="EX56" s="451"/>
      <c r="EY56" s="451"/>
      <c r="EZ56" s="451"/>
      <c r="FA56" s="451"/>
      <c r="FB56" s="451"/>
      <c r="FC56" s="451"/>
      <c r="FD56" s="451"/>
      <c r="FE56" s="451"/>
      <c r="FF56" s="451"/>
      <c r="FG56" s="451"/>
      <c r="FH56" s="451"/>
      <c r="FI56" s="451"/>
      <c r="FJ56" s="451"/>
      <c r="FK56" s="451"/>
      <c r="FL56" s="451"/>
      <c r="FM56" s="451"/>
      <c r="FN56" s="451"/>
      <c r="FO56" s="451"/>
      <c r="FP56" s="451"/>
      <c r="FQ56" s="451"/>
      <c r="FR56" s="451"/>
      <c r="FS56" s="451"/>
      <c r="FT56" s="451"/>
      <c r="FU56" s="451"/>
      <c r="FV56" s="451"/>
      <c r="FW56" s="451"/>
      <c r="FX56" s="451"/>
      <c r="FY56" s="451"/>
      <c r="FZ56" s="451"/>
      <c r="GA56" s="451"/>
      <c r="GB56" s="451"/>
      <c r="GC56" s="451"/>
      <c r="GD56" s="451"/>
      <c r="GE56" s="417" t="str">
        <f>IFERROR(VLOOKUP($CJ56,Skills!$H$2:$K$620,4,FALSE),"")</f>
        <v/>
      </c>
      <c r="GF56" s="417"/>
      <c r="GG56" s="417"/>
      <c r="GH56" s="417"/>
      <c r="GI56" s="417"/>
      <c r="GJ56" s="454"/>
      <c r="GK56" s="454"/>
      <c r="GL56" s="454"/>
      <c r="GM56" s="454"/>
      <c r="GN56" s="455"/>
    </row>
    <row r="57" spans="2:364" ht="15.75" thickBot="1" x14ac:dyDescent="0.3">
      <c r="B57" s="430" t="s">
        <v>837</v>
      </c>
      <c r="C57" s="430"/>
      <c r="D57" s="430"/>
      <c r="E57" s="430"/>
      <c r="F57" s="430"/>
      <c r="G57" s="430"/>
      <c r="H57" s="431" t="s">
        <v>633</v>
      </c>
      <c r="I57" s="431"/>
      <c r="J57" s="431"/>
      <c r="K57" s="431"/>
      <c r="L57" s="431"/>
      <c r="M57" s="431"/>
      <c r="N57" s="431"/>
      <c r="O57" s="431"/>
      <c r="P57" s="431"/>
      <c r="Q57" s="431"/>
      <c r="R57" s="431"/>
      <c r="S57" s="431"/>
      <c r="T57" s="431"/>
      <c r="U57" s="431"/>
      <c r="V57" s="431"/>
      <c r="W57" s="431"/>
      <c r="X57" s="431"/>
      <c r="Y57" s="431"/>
      <c r="Z57" s="431"/>
      <c r="AA57" s="431"/>
      <c r="AB57" s="431"/>
      <c r="AC57" s="431"/>
      <c r="AD57" s="431"/>
      <c r="AE57" s="431"/>
      <c r="AF57" s="431"/>
      <c r="AG57" s="431"/>
      <c r="AH57" s="431"/>
      <c r="AI57" s="431"/>
      <c r="AJ57" s="431"/>
      <c r="AK57" s="431"/>
      <c r="AL57" s="431"/>
      <c r="AM57" s="431"/>
      <c r="AN57" s="431"/>
      <c r="AO57" s="431"/>
      <c r="AP57" s="431"/>
      <c r="AQ57" s="431"/>
      <c r="AR57" s="431"/>
      <c r="AS57" s="431"/>
      <c r="AT57" s="431"/>
      <c r="AU57" s="431"/>
      <c r="AV57" s="431"/>
      <c r="AW57" s="431"/>
      <c r="AX57" s="431"/>
      <c r="AY57" s="431"/>
      <c r="AZ57" s="431"/>
      <c r="BA57" s="431"/>
      <c r="BB57" s="431"/>
      <c r="BC57" s="431"/>
      <c r="BD57" s="431"/>
      <c r="BE57" s="431"/>
      <c r="BF57" s="431"/>
      <c r="BG57" s="431"/>
      <c r="BH57" s="431"/>
      <c r="BI57" s="431"/>
      <c r="BJ57" s="431"/>
      <c r="BK57" s="431"/>
      <c r="BL57" s="431"/>
      <c r="BM57" s="431"/>
      <c r="BN57" s="431"/>
      <c r="BO57" s="431"/>
      <c r="BP57" s="431"/>
      <c r="BQ57" s="431"/>
      <c r="BR57" s="431"/>
      <c r="BS57" s="431"/>
      <c r="BT57" s="431"/>
      <c r="BU57" s="431"/>
      <c r="BV57" s="431"/>
      <c r="BW57" s="431"/>
      <c r="BX57" s="431"/>
      <c r="BY57" s="431"/>
      <c r="BZ57" s="431"/>
      <c r="CA57" s="431"/>
      <c r="CB57" s="431"/>
      <c r="CC57" s="431"/>
      <c r="CD57" s="431"/>
      <c r="CE57" s="431"/>
      <c r="CF57" s="431"/>
      <c r="CG57" s="431"/>
      <c r="CH57" s="431"/>
      <c r="CI57">
        <v>43</v>
      </c>
      <c r="CJ57">
        <v>293</v>
      </c>
      <c r="CK57" s="365" t="str">
        <f>IFERROR(VLOOKUP($CI57,Skills!$H$2:$N$620,7,FALSE),"")</f>
        <v/>
      </c>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445" t="str">
        <f>IFERROR(VLOOKUP($CI57,Skills!$H$2:$K$620,4,FALSE),"")</f>
        <v/>
      </c>
      <c r="ED57" s="445"/>
      <c r="EE57" s="445"/>
      <c r="EF57" s="445"/>
      <c r="EG57" s="445"/>
      <c r="EH57" s="446"/>
      <c r="EI57" s="446"/>
      <c r="EJ57" s="446"/>
      <c r="EK57" s="446"/>
      <c r="EL57" s="447"/>
      <c r="EM57" s="366" t="str">
        <f>IFERROR(VLOOKUP($CJ57,Skills!$H$2:$N$620,7,FALSE),"")</f>
        <v/>
      </c>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445" t="str">
        <f>IFERROR(VLOOKUP($CJ57,Skills!$H$2:$K$620,4,FALSE),"")</f>
        <v/>
      </c>
      <c r="GF57" s="445"/>
      <c r="GG57" s="445"/>
      <c r="GH57" s="445"/>
      <c r="GI57" s="445"/>
      <c r="GJ57" s="448"/>
      <c r="GK57" s="448"/>
      <c r="GL57" s="448"/>
      <c r="GM57" s="448"/>
      <c r="GN57" s="449"/>
    </row>
    <row r="58" spans="2:364" ht="15.75" thickBot="1" x14ac:dyDescent="0.3">
      <c r="B58" s="432" t="s">
        <v>838</v>
      </c>
      <c r="C58" s="432"/>
      <c r="D58" s="432"/>
      <c r="E58" s="432"/>
      <c r="F58" s="432"/>
      <c r="G58" s="432"/>
      <c r="H58" s="433" t="s">
        <v>221</v>
      </c>
      <c r="I58" s="433"/>
      <c r="J58" s="433"/>
      <c r="K58" s="433"/>
      <c r="L58" s="433"/>
      <c r="M58" s="433"/>
      <c r="N58" s="433"/>
      <c r="O58" s="433"/>
      <c r="P58" s="433"/>
      <c r="Q58" s="433"/>
      <c r="R58" s="433"/>
      <c r="S58" s="433"/>
      <c r="T58" s="433"/>
      <c r="U58" s="433"/>
      <c r="V58" s="433"/>
      <c r="W58" s="433"/>
      <c r="X58" s="433"/>
      <c r="Y58" s="433"/>
      <c r="Z58" s="433"/>
      <c r="AA58" s="433"/>
      <c r="AB58" s="433"/>
      <c r="AC58" s="433"/>
      <c r="AD58" s="433"/>
      <c r="AE58" s="433"/>
      <c r="AF58" s="433"/>
      <c r="AG58" s="433"/>
      <c r="AH58" s="433"/>
      <c r="AI58" s="433"/>
      <c r="AJ58" s="433"/>
      <c r="AK58" s="433"/>
      <c r="AL58" s="433"/>
      <c r="AM58" s="433"/>
      <c r="AN58" s="433"/>
      <c r="AO58" s="433"/>
      <c r="AP58" s="433"/>
      <c r="AQ58" s="433"/>
      <c r="AR58" s="433"/>
      <c r="AS58" s="433"/>
      <c r="AT58" s="433"/>
      <c r="AU58" s="433"/>
      <c r="AV58" s="433"/>
      <c r="AW58" s="433"/>
      <c r="AX58" s="433"/>
      <c r="AY58" s="433"/>
      <c r="AZ58" s="433"/>
      <c r="BA58" s="433"/>
      <c r="BB58" s="433"/>
      <c r="BC58" s="433"/>
      <c r="BD58" s="433"/>
      <c r="BE58" s="433"/>
      <c r="BF58" s="433"/>
      <c r="BG58" s="433"/>
      <c r="BH58" s="433"/>
      <c r="BI58" s="433"/>
      <c r="BJ58" s="433"/>
      <c r="BK58" s="433"/>
      <c r="BL58" s="433"/>
      <c r="BM58" s="433"/>
      <c r="BN58" s="433"/>
      <c r="BO58" s="433"/>
      <c r="BP58" s="433"/>
      <c r="BQ58" s="433"/>
      <c r="BR58" s="433"/>
      <c r="BS58" s="433"/>
      <c r="BT58" s="433"/>
      <c r="BU58" s="433"/>
      <c r="BV58" s="433"/>
      <c r="BW58" s="433"/>
      <c r="BX58" s="433"/>
      <c r="BY58" s="433"/>
      <c r="BZ58" s="433"/>
      <c r="CA58" s="433"/>
      <c r="CB58" s="433"/>
      <c r="CC58" s="433"/>
      <c r="CD58" s="433"/>
      <c r="CE58" s="433"/>
      <c r="CF58" s="433"/>
      <c r="CG58" s="433"/>
      <c r="CH58" s="433"/>
      <c r="CI58">
        <v>44</v>
      </c>
      <c r="CJ58">
        <v>294</v>
      </c>
      <c r="CK58" s="450" t="str">
        <f>IFERROR(VLOOKUP($CI58,Skills!$H$2:$N$620,7,FALSE),"")</f>
        <v/>
      </c>
      <c r="CL58" s="451"/>
      <c r="CM58" s="451"/>
      <c r="CN58" s="451"/>
      <c r="CO58" s="451"/>
      <c r="CP58" s="451"/>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17" t="str">
        <f>IFERROR(VLOOKUP($CI58,Skills!$H$2:$K$620,4,FALSE),"")</f>
        <v/>
      </c>
      <c r="ED58" s="417"/>
      <c r="EE58" s="417"/>
      <c r="EF58" s="417"/>
      <c r="EG58" s="417"/>
      <c r="EH58" s="452"/>
      <c r="EI58" s="452"/>
      <c r="EJ58" s="452"/>
      <c r="EK58" s="452"/>
      <c r="EL58" s="453"/>
      <c r="EM58" s="451" t="str">
        <f>IFERROR(VLOOKUP($CJ58,Skills!$H$2:$N$620,7,FALSE),"")</f>
        <v/>
      </c>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17" t="str">
        <f>IFERROR(VLOOKUP($CJ58,Skills!$H$2:$K$620,4,FALSE),"")</f>
        <v/>
      </c>
      <c r="GF58" s="417"/>
      <c r="GG58" s="417"/>
      <c r="GH58" s="417"/>
      <c r="GI58" s="417"/>
      <c r="GJ58" s="454"/>
      <c r="GK58" s="454"/>
      <c r="GL58" s="454"/>
      <c r="GM58" s="454"/>
      <c r="GN58" s="455"/>
    </row>
    <row r="59" spans="2:364" ht="15.75" thickBot="1" x14ac:dyDescent="0.3">
      <c r="B59" s="430" t="s">
        <v>839</v>
      </c>
      <c r="C59" s="430"/>
      <c r="D59" s="430"/>
      <c r="E59" s="430"/>
      <c r="F59" s="430"/>
      <c r="G59" s="430"/>
      <c r="H59" s="431" t="s">
        <v>327</v>
      </c>
      <c r="I59" s="431"/>
      <c r="J59" s="431"/>
      <c r="K59" s="431"/>
      <c r="L59" s="431"/>
      <c r="M59" s="431"/>
      <c r="N59" s="431"/>
      <c r="O59" s="431"/>
      <c r="P59" s="431"/>
      <c r="Q59" s="431"/>
      <c r="R59" s="431"/>
      <c r="S59" s="431"/>
      <c r="T59" s="431"/>
      <c r="U59" s="431"/>
      <c r="V59" s="431"/>
      <c r="W59" s="431"/>
      <c r="X59" s="431"/>
      <c r="Y59" s="431"/>
      <c r="Z59" s="431"/>
      <c r="AA59" s="431"/>
      <c r="AB59" s="431"/>
      <c r="AC59" s="431"/>
      <c r="AD59" s="431"/>
      <c r="AE59" s="431"/>
      <c r="AF59" s="431"/>
      <c r="AG59" s="431"/>
      <c r="AH59" s="431"/>
      <c r="AI59" s="431"/>
      <c r="AJ59" s="431"/>
      <c r="AK59" s="431"/>
      <c r="AL59" s="431"/>
      <c r="AM59" s="431"/>
      <c r="AN59" s="431"/>
      <c r="AO59" s="431"/>
      <c r="AP59" s="431"/>
      <c r="AQ59" s="431"/>
      <c r="AR59" s="431"/>
      <c r="AS59" s="431"/>
      <c r="AT59" s="431"/>
      <c r="AU59" s="431"/>
      <c r="AV59" s="431"/>
      <c r="AW59" s="431"/>
      <c r="AX59" s="431"/>
      <c r="AY59" s="431"/>
      <c r="AZ59" s="431"/>
      <c r="BA59" s="431"/>
      <c r="BB59" s="431"/>
      <c r="BC59" s="431"/>
      <c r="BD59" s="431"/>
      <c r="BE59" s="431"/>
      <c r="BF59" s="431"/>
      <c r="BG59" s="431"/>
      <c r="BH59" s="431"/>
      <c r="BI59" s="431"/>
      <c r="BJ59" s="431"/>
      <c r="BK59" s="431"/>
      <c r="BL59" s="431"/>
      <c r="BM59" s="431"/>
      <c r="BN59" s="431"/>
      <c r="BO59" s="431"/>
      <c r="BP59" s="431"/>
      <c r="BQ59" s="431"/>
      <c r="BR59" s="431"/>
      <c r="BS59" s="431"/>
      <c r="BT59" s="431"/>
      <c r="BU59" s="431"/>
      <c r="BV59" s="431"/>
      <c r="BW59" s="431"/>
      <c r="BX59" s="431"/>
      <c r="BY59" s="431"/>
      <c r="BZ59" s="431"/>
      <c r="CA59" s="431"/>
      <c r="CB59" s="431"/>
      <c r="CC59" s="431"/>
      <c r="CD59" s="431"/>
      <c r="CE59" s="431"/>
      <c r="CF59" s="431"/>
      <c r="CG59" s="431"/>
      <c r="CH59" s="431"/>
      <c r="CI59">
        <v>45</v>
      </c>
      <c r="CJ59">
        <v>295</v>
      </c>
      <c r="CK59" s="365" t="str">
        <f>IFERROR(VLOOKUP($CI59,Skills!$H$2:$N$620,7,FALSE),"")</f>
        <v/>
      </c>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445" t="str">
        <f>IFERROR(VLOOKUP($CI59,Skills!$H$2:$K$620,4,FALSE),"")</f>
        <v/>
      </c>
      <c r="ED59" s="445"/>
      <c r="EE59" s="445"/>
      <c r="EF59" s="445"/>
      <c r="EG59" s="445"/>
      <c r="EH59" s="446"/>
      <c r="EI59" s="446"/>
      <c r="EJ59" s="446"/>
      <c r="EK59" s="446"/>
      <c r="EL59" s="447"/>
      <c r="EM59" s="366" t="str">
        <f>IFERROR(VLOOKUP($CJ59,Skills!$H$2:$N$620,7,FALSE),"")</f>
        <v/>
      </c>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445" t="str">
        <f>IFERROR(VLOOKUP($CJ59,Skills!$H$2:$K$620,4,FALSE),"")</f>
        <v/>
      </c>
      <c r="GF59" s="445"/>
      <c r="GG59" s="445"/>
      <c r="GH59" s="445"/>
      <c r="GI59" s="445"/>
      <c r="GJ59" s="448"/>
      <c r="GK59" s="448"/>
      <c r="GL59" s="448"/>
      <c r="GM59" s="448"/>
      <c r="GN59" s="449"/>
    </row>
    <row r="60" spans="2:364" ht="15.75" thickBot="1" x14ac:dyDescent="0.3">
      <c r="B60" s="432" t="s">
        <v>841</v>
      </c>
      <c r="C60" s="432"/>
      <c r="D60" s="432"/>
      <c r="E60" s="432"/>
      <c r="F60" s="432"/>
      <c r="G60" s="432"/>
      <c r="H60" s="433" t="s">
        <v>675</v>
      </c>
      <c r="I60" s="433"/>
      <c r="J60" s="433"/>
      <c r="K60" s="433"/>
      <c r="L60" s="433"/>
      <c r="M60" s="433"/>
      <c r="N60" s="433"/>
      <c r="O60" s="433"/>
      <c r="P60" s="433"/>
      <c r="Q60" s="433"/>
      <c r="R60" s="433"/>
      <c r="S60" s="433"/>
      <c r="T60" s="433"/>
      <c r="U60" s="433"/>
      <c r="V60" s="433"/>
      <c r="W60" s="433"/>
      <c r="X60" s="433"/>
      <c r="Y60" s="433"/>
      <c r="Z60" s="433"/>
      <c r="AA60" s="433"/>
      <c r="AB60" s="433"/>
      <c r="AC60" s="433"/>
      <c r="AD60" s="433"/>
      <c r="AE60" s="433"/>
      <c r="AF60" s="433"/>
      <c r="AG60" s="433"/>
      <c r="AH60" s="433"/>
      <c r="AI60" s="433"/>
      <c r="AJ60" s="433"/>
      <c r="AK60" s="433"/>
      <c r="AL60" s="433"/>
      <c r="AM60" s="433"/>
      <c r="AN60" s="433"/>
      <c r="AO60" s="433"/>
      <c r="AP60" s="433"/>
      <c r="AQ60" s="433"/>
      <c r="AR60" s="433"/>
      <c r="AS60" s="433"/>
      <c r="AT60" s="433"/>
      <c r="AU60" s="433"/>
      <c r="AV60" s="433"/>
      <c r="AW60" s="433"/>
      <c r="AX60" s="433"/>
      <c r="AY60" s="433"/>
      <c r="AZ60" s="433"/>
      <c r="BA60" s="433"/>
      <c r="BB60" s="433"/>
      <c r="BC60" s="433"/>
      <c r="BD60" s="433"/>
      <c r="BE60" s="433"/>
      <c r="BF60" s="433"/>
      <c r="BG60" s="433"/>
      <c r="BH60" s="433"/>
      <c r="BI60" s="433"/>
      <c r="BJ60" s="433"/>
      <c r="BK60" s="433"/>
      <c r="BL60" s="433"/>
      <c r="BM60" s="433"/>
      <c r="BN60" s="433"/>
      <c r="BO60" s="433"/>
      <c r="BP60" s="433"/>
      <c r="BQ60" s="433"/>
      <c r="BR60" s="433"/>
      <c r="BS60" s="433"/>
      <c r="BT60" s="433"/>
      <c r="BU60" s="433"/>
      <c r="BV60" s="433"/>
      <c r="BW60" s="433"/>
      <c r="BX60" s="433"/>
      <c r="BY60" s="433"/>
      <c r="BZ60" s="433"/>
      <c r="CA60" s="433"/>
      <c r="CB60" s="433"/>
      <c r="CC60" s="433"/>
      <c r="CD60" s="433"/>
      <c r="CE60" s="433"/>
      <c r="CF60" s="433"/>
      <c r="CG60" s="433"/>
      <c r="CH60" s="433"/>
      <c r="CI60">
        <v>46</v>
      </c>
      <c r="CJ60">
        <v>296</v>
      </c>
      <c r="CK60" s="450" t="str">
        <f>IFERROR(VLOOKUP($CI60,Skills!$H$2:$N$620,7,FALSE),"")</f>
        <v/>
      </c>
      <c r="CL60" s="451"/>
      <c r="CM60" s="451"/>
      <c r="CN60" s="451"/>
      <c r="CO60" s="451"/>
      <c r="CP60" s="451"/>
      <c r="CQ60" s="451"/>
      <c r="CR60" s="451"/>
      <c r="CS60" s="451"/>
      <c r="CT60" s="451"/>
      <c r="CU60" s="451"/>
      <c r="CV60" s="451"/>
      <c r="CW60" s="451"/>
      <c r="CX60" s="451"/>
      <c r="CY60" s="451"/>
      <c r="CZ60" s="451"/>
      <c r="DA60" s="451"/>
      <c r="DB60" s="451"/>
      <c r="DC60" s="451"/>
      <c r="DD60" s="451"/>
      <c r="DE60" s="451"/>
      <c r="DF60" s="451"/>
      <c r="DG60" s="451"/>
      <c r="DH60" s="451"/>
      <c r="DI60" s="451"/>
      <c r="DJ60" s="451"/>
      <c r="DK60" s="451"/>
      <c r="DL60" s="451"/>
      <c r="DM60" s="451"/>
      <c r="DN60" s="451"/>
      <c r="DO60" s="451"/>
      <c r="DP60" s="451"/>
      <c r="DQ60" s="451"/>
      <c r="DR60" s="451"/>
      <c r="DS60" s="451"/>
      <c r="DT60" s="451"/>
      <c r="DU60" s="451"/>
      <c r="DV60" s="451"/>
      <c r="DW60" s="451"/>
      <c r="DX60" s="451"/>
      <c r="DY60" s="451"/>
      <c r="DZ60" s="451"/>
      <c r="EA60" s="451"/>
      <c r="EB60" s="451"/>
      <c r="EC60" s="417" t="str">
        <f>IFERROR(VLOOKUP($CI60,Skills!$H$2:$K$620,4,FALSE),"")</f>
        <v/>
      </c>
      <c r="ED60" s="417"/>
      <c r="EE60" s="417"/>
      <c r="EF60" s="417"/>
      <c r="EG60" s="417"/>
      <c r="EH60" s="452"/>
      <c r="EI60" s="452"/>
      <c r="EJ60" s="452"/>
      <c r="EK60" s="452"/>
      <c r="EL60" s="453"/>
      <c r="EM60" s="451" t="str">
        <f>IFERROR(VLOOKUP($CJ60,Skills!$H$2:$N$620,7,FALSE),"")</f>
        <v/>
      </c>
      <c r="EN60" s="451"/>
      <c r="EO60" s="451"/>
      <c r="EP60" s="451"/>
      <c r="EQ60" s="451"/>
      <c r="ER60" s="451"/>
      <c r="ES60" s="451"/>
      <c r="ET60" s="451"/>
      <c r="EU60" s="451"/>
      <c r="EV60" s="451"/>
      <c r="EW60" s="451"/>
      <c r="EX60" s="451"/>
      <c r="EY60" s="451"/>
      <c r="EZ60" s="451"/>
      <c r="FA60" s="451"/>
      <c r="FB60" s="451"/>
      <c r="FC60" s="451"/>
      <c r="FD60" s="451"/>
      <c r="FE60" s="451"/>
      <c r="FF60" s="451"/>
      <c r="FG60" s="451"/>
      <c r="FH60" s="451"/>
      <c r="FI60" s="451"/>
      <c r="FJ60" s="451"/>
      <c r="FK60" s="451"/>
      <c r="FL60" s="451"/>
      <c r="FM60" s="451"/>
      <c r="FN60" s="451"/>
      <c r="FO60" s="451"/>
      <c r="FP60" s="451"/>
      <c r="FQ60" s="451"/>
      <c r="FR60" s="451"/>
      <c r="FS60" s="451"/>
      <c r="FT60" s="451"/>
      <c r="FU60" s="451"/>
      <c r="FV60" s="451"/>
      <c r="FW60" s="451"/>
      <c r="FX60" s="451"/>
      <c r="FY60" s="451"/>
      <c r="FZ60" s="451"/>
      <c r="GA60" s="451"/>
      <c r="GB60" s="451"/>
      <c r="GC60" s="451"/>
      <c r="GD60" s="451"/>
      <c r="GE60" s="417" t="str">
        <f>IFERROR(VLOOKUP($CJ60,Skills!$H$2:$K$620,4,FALSE),"")</f>
        <v/>
      </c>
      <c r="GF60" s="417"/>
      <c r="GG60" s="417"/>
      <c r="GH60" s="417"/>
      <c r="GI60" s="417"/>
      <c r="GJ60" s="454"/>
      <c r="GK60" s="454"/>
      <c r="GL60" s="454"/>
      <c r="GM60" s="454"/>
      <c r="GN60" s="455"/>
    </row>
    <row r="61" spans="2:364" ht="15.75" thickBot="1" x14ac:dyDescent="0.3">
      <c r="B61" s="430" t="s">
        <v>842</v>
      </c>
      <c r="C61" s="430"/>
      <c r="D61" s="430"/>
      <c r="E61" s="430"/>
      <c r="F61" s="430"/>
      <c r="G61" s="430"/>
      <c r="H61" s="431" t="s">
        <v>377</v>
      </c>
      <c r="I61" s="431"/>
      <c r="J61" s="431"/>
      <c r="K61" s="431"/>
      <c r="L61" s="431"/>
      <c r="M61" s="431"/>
      <c r="N61" s="431"/>
      <c r="O61" s="431"/>
      <c r="P61" s="431"/>
      <c r="Q61" s="431"/>
      <c r="R61" s="431"/>
      <c r="S61" s="431"/>
      <c r="T61" s="431"/>
      <c r="U61" s="431"/>
      <c r="V61" s="431"/>
      <c r="W61" s="431"/>
      <c r="X61" s="431"/>
      <c r="Y61" s="431"/>
      <c r="Z61" s="431"/>
      <c r="AA61" s="431"/>
      <c r="AB61" s="431"/>
      <c r="AC61" s="431"/>
      <c r="AD61" s="431"/>
      <c r="AE61" s="431"/>
      <c r="AF61" s="431"/>
      <c r="AG61" s="431"/>
      <c r="AH61" s="431"/>
      <c r="AI61" s="431"/>
      <c r="AJ61" s="431"/>
      <c r="AK61" s="431"/>
      <c r="AL61" s="431"/>
      <c r="AM61" s="431"/>
      <c r="AN61" s="431"/>
      <c r="AO61" s="431"/>
      <c r="AP61" s="431"/>
      <c r="AQ61" s="431"/>
      <c r="AR61" s="431"/>
      <c r="AS61" s="431"/>
      <c r="AT61" s="431"/>
      <c r="AU61" s="431"/>
      <c r="AV61" s="431"/>
      <c r="AW61" s="431"/>
      <c r="AX61" s="431"/>
      <c r="AY61" s="431"/>
      <c r="AZ61" s="431"/>
      <c r="BA61" s="431"/>
      <c r="BB61" s="431"/>
      <c r="BC61" s="431"/>
      <c r="BD61" s="431"/>
      <c r="BE61" s="431"/>
      <c r="BF61" s="431"/>
      <c r="BG61" s="431"/>
      <c r="BH61" s="431"/>
      <c r="BI61" s="431"/>
      <c r="BJ61" s="431"/>
      <c r="BK61" s="431"/>
      <c r="BL61" s="431"/>
      <c r="BM61" s="431"/>
      <c r="BN61" s="431"/>
      <c r="BO61" s="431"/>
      <c r="BP61" s="431"/>
      <c r="BQ61" s="431"/>
      <c r="BR61" s="431"/>
      <c r="BS61" s="431"/>
      <c r="BT61" s="431"/>
      <c r="BU61" s="431"/>
      <c r="BV61" s="431"/>
      <c r="BW61" s="431"/>
      <c r="BX61" s="431"/>
      <c r="BY61" s="431"/>
      <c r="BZ61" s="431"/>
      <c r="CA61" s="431"/>
      <c r="CB61" s="431"/>
      <c r="CC61" s="431"/>
      <c r="CD61" s="431"/>
      <c r="CE61" s="431"/>
      <c r="CF61" s="431"/>
      <c r="CG61" s="431"/>
      <c r="CH61" s="431"/>
      <c r="CI61">
        <v>47</v>
      </c>
      <c r="CJ61">
        <v>297</v>
      </c>
      <c r="CK61" s="365" t="str">
        <f>IFERROR(VLOOKUP($CI61,Skills!$H$2:$N$620,7,FALSE),"")</f>
        <v/>
      </c>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445" t="str">
        <f>IFERROR(VLOOKUP($CI61,Skills!$H$2:$K$620,4,FALSE),"")</f>
        <v/>
      </c>
      <c r="ED61" s="445"/>
      <c r="EE61" s="445"/>
      <c r="EF61" s="445"/>
      <c r="EG61" s="445"/>
      <c r="EH61" s="446"/>
      <c r="EI61" s="446"/>
      <c r="EJ61" s="446"/>
      <c r="EK61" s="446"/>
      <c r="EL61" s="447"/>
      <c r="EM61" s="366" t="str">
        <f>IFERROR(VLOOKUP($CJ61,Skills!$H$2:$N$620,7,FALSE),"")</f>
        <v/>
      </c>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445" t="str">
        <f>IFERROR(VLOOKUP($CJ61,Skills!$H$2:$K$620,4,FALSE),"")</f>
        <v/>
      </c>
      <c r="GF61" s="445"/>
      <c r="GG61" s="445"/>
      <c r="GH61" s="445"/>
      <c r="GI61" s="445"/>
      <c r="GJ61" s="448"/>
      <c r="GK61" s="448"/>
      <c r="GL61" s="448"/>
      <c r="GM61" s="448"/>
      <c r="GN61" s="449"/>
    </row>
    <row r="62" spans="2:364" ht="15.75" thickBot="1" x14ac:dyDescent="0.3">
      <c r="B62" s="432" t="s">
        <v>843</v>
      </c>
      <c r="C62" s="432"/>
      <c r="D62" s="432"/>
      <c r="E62" s="432"/>
      <c r="F62" s="432"/>
      <c r="G62" s="432"/>
      <c r="H62" s="433" t="s">
        <v>384</v>
      </c>
      <c r="I62" s="433"/>
      <c r="J62" s="433"/>
      <c r="K62" s="433"/>
      <c r="L62" s="433"/>
      <c r="M62" s="433"/>
      <c r="N62" s="433"/>
      <c r="O62" s="433"/>
      <c r="P62" s="433"/>
      <c r="Q62" s="433"/>
      <c r="R62" s="433"/>
      <c r="S62" s="433"/>
      <c r="T62" s="433"/>
      <c r="U62" s="433"/>
      <c r="V62" s="433"/>
      <c r="W62" s="433"/>
      <c r="X62" s="433"/>
      <c r="Y62" s="433"/>
      <c r="Z62" s="433"/>
      <c r="AA62" s="433"/>
      <c r="AB62" s="433"/>
      <c r="AC62" s="433"/>
      <c r="AD62" s="433"/>
      <c r="AE62" s="433"/>
      <c r="AF62" s="433"/>
      <c r="AG62" s="433"/>
      <c r="AH62" s="433"/>
      <c r="AI62" s="433"/>
      <c r="AJ62" s="433"/>
      <c r="AK62" s="433"/>
      <c r="AL62" s="433"/>
      <c r="AM62" s="433"/>
      <c r="AN62" s="433"/>
      <c r="AO62" s="433"/>
      <c r="AP62" s="433"/>
      <c r="AQ62" s="433"/>
      <c r="AR62" s="433"/>
      <c r="AS62" s="433"/>
      <c r="AT62" s="433"/>
      <c r="AU62" s="433"/>
      <c r="AV62" s="433"/>
      <c r="AW62" s="433"/>
      <c r="AX62" s="433"/>
      <c r="AY62" s="433"/>
      <c r="AZ62" s="433"/>
      <c r="BA62" s="433"/>
      <c r="BB62" s="433"/>
      <c r="BC62" s="433"/>
      <c r="BD62" s="433"/>
      <c r="BE62" s="433"/>
      <c r="BF62" s="433"/>
      <c r="BG62" s="433"/>
      <c r="BH62" s="433"/>
      <c r="BI62" s="433"/>
      <c r="BJ62" s="433"/>
      <c r="BK62" s="433"/>
      <c r="BL62" s="433"/>
      <c r="BM62" s="433"/>
      <c r="BN62" s="433"/>
      <c r="BO62" s="433"/>
      <c r="BP62" s="433"/>
      <c r="BQ62" s="433"/>
      <c r="BR62" s="433"/>
      <c r="BS62" s="433"/>
      <c r="BT62" s="433"/>
      <c r="BU62" s="433"/>
      <c r="BV62" s="433"/>
      <c r="BW62" s="433"/>
      <c r="BX62" s="433"/>
      <c r="BY62" s="433"/>
      <c r="BZ62" s="433"/>
      <c r="CA62" s="433"/>
      <c r="CB62" s="433"/>
      <c r="CC62" s="433"/>
      <c r="CD62" s="433"/>
      <c r="CE62" s="433"/>
      <c r="CF62" s="433"/>
      <c r="CG62" s="433"/>
      <c r="CH62" s="433"/>
      <c r="CI62">
        <v>48</v>
      </c>
      <c r="CJ62">
        <v>298</v>
      </c>
      <c r="CK62" s="450" t="str">
        <f>IFERROR(VLOOKUP($CI62,Skills!$H$2:$N$620,7,FALSE),"")</f>
        <v/>
      </c>
      <c r="CL62" s="451"/>
      <c r="CM62" s="451"/>
      <c r="CN62" s="451"/>
      <c r="CO62" s="451"/>
      <c r="CP62" s="451"/>
      <c r="CQ62" s="451"/>
      <c r="CR62" s="451"/>
      <c r="CS62" s="451"/>
      <c r="CT62" s="451"/>
      <c r="CU62" s="451"/>
      <c r="CV62" s="451"/>
      <c r="CW62" s="451"/>
      <c r="CX62" s="451"/>
      <c r="CY62" s="451"/>
      <c r="CZ62" s="451"/>
      <c r="DA62" s="451"/>
      <c r="DB62" s="451"/>
      <c r="DC62" s="451"/>
      <c r="DD62" s="451"/>
      <c r="DE62" s="451"/>
      <c r="DF62" s="451"/>
      <c r="DG62" s="451"/>
      <c r="DH62" s="451"/>
      <c r="DI62" s="451"/>
      <c r="DJ62" s="451"/>
      <c r="DK62" s="451"/>
      <c r="DL62" s="451"/>
      <c r="DM62" s="451"/>
      <c r="DN62" s="451"/>
      <c r="DO62" s="451"/>
      <c r="DP62" s="451"/>
      <c r="DQ62" s="451"/>
      <c r="DR62" s="451"/>
      <c r="DS62" s="451"/>
      <c r="DT62" s="451"/>
      <c r="DU62" s="451"/>
      <c r="DV62" s="451"/>
      <c r="DW62" s="451"/>
      <c r="DX62" s="451"/>
      <c r="DY62" s="451"/>
      <c r="DZ62" s="451"/>
      <c r="EA62" s="451"/>
      <c r="EB62" s="451"/>
      <c r="EC62" s="417" t="str">
        <f>IFERROR(VLOOKUP($CI62,Skills!$H$2:$K$620,4,FALSE),"")</f>
        <v/>
      </c>
      <c r="ED62" s="417"/>
      <c r="EE62" s="417"/>
      <c r="EF62" s="417"/>
      <c r="EG62" s="417"/>
      <c r="EH62" s="452"/>
      <c r="EI62" s="452"/>
      <c r="EJ62" s="452"/>
      <c r="EK62" s="452"/>
      <c r="EL62" s="453"/>
      <c r="EM62" s="451" t="str">
        <f>IFERROR(VLOOKUP($CJ62,Skills!$H$2:$N$620,7,FALSE),"")</f>
        <v/>
      </c>
      <c r="EN62" s="451"/>
      <c r="EO62" s="451"/>
      <c r="EP62" s="451"/>
      <c r="EQ62" s="451"/>
      <c r="ER62" s="451"/>
      <c r="ES62" s="451"/>
      <c r="ET62" s="451"/>
      <c r="EU62" s="451"/>
      <c r="EV62" s="451"/>
      <c r="EW62" s="451"/>
      <c r="EX62" s="451"/>
      <c r="EY62" s="451"/>
      <c r="EZ62" s="451"/>
      <c r="FA62" s="451"/>
      <c r="FB62" s="451"/>
      <c r="FC62" s="451"/>
      <c r="FD62" s="451"/>
      <c r="FE62" s="451"/>
      <c r="FF62" s="451"/>
      <c r="FG62" s="451"/>
      <c r="FH62" s="451"/>
      <c r="FI62" s="451"/>
      <c r="FJ62" s="451"/>
      <c r="FK62" s="451"/>
      <c r="FL62" s="451"/>
      <c r="FM62" s="451"/>
      <c r="FN62" s="451"/>
      <c r="FO62" s="451"/>
      <c r="FP62" s="451"/>
      <c r="FQ62" s="451"/>
      <c r="FR62" s="451"/>
      <c r="FS62" s="451"/>
      <c r="FT62" s="451"/>
      <c r="FU62" s="451"/>
      <c r="FV62" s="451"/>
      <c r="FW62" s="451"/>
      <c r="FX62" s="451"/>
      <c r="FY62" s="451"/>
      <c r="FZ62" s="451"/>
      <c r="GA62" s="451"/>
      <c r="GB62" s="451"/>
      <c r="GC62" s="451"/>
      <c r="GD62" s="451"/>
      <c r="GE62" s="417" t="str">
        <f>IFERROR(VLOOKUP($CJ62,Skills!$H$2:$K$620,4,FALSE),"")</f>
        <v/>
      </c>
      <c r="GF62" s="417"/>
      <c r="GG62" s="417"/>
      <c r="GH62" s="417"/>
      <c r="GI62" s="417"/>
      <c r="GJ62" s="454"/>
      <c r="GK62" s="454"/>
      <c r="GL62" s="454"/>
      <c r="GM62" s="454"/>
      <c r="GN62" s="455"/>
    </row>
    <row r="63" spans="2:364" ht="15.75" thickBot="1" x14ac:dyDescent="0.3">
      <c r="B63" s="430" t="s">
        <v>844</v>
      </c>
      <c r="C63" s="430"/>
      <c r="D63" s="430"/>
      <c r="E63" s="430"/>
      <c r="F63" s="430"/>
      <c r="G63" s="430"/>
      <c r="H63" s="431" t="s">
        <v>388</v>
      </c>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1"/>
      <c r="BD63" s="431"/>
      <c r="BE63" s="431"/>
      <c r="BF63" s="431"/>
      <c r="BG63" s="431"/>
      <c r="BH63" s="431"/>
      <c r="BI63" s="431"/>
      <c r="BJ63" s="431"/>
      <c r="BK63" s="431"/>
      <c r="BL63" s="431"/>
      <c r="BM63" s="431"/>
      <c r="BN63" s="431"/>
      <c r="BO63" s="431"/>
      <c r="BP63" s="431"/>
      <c r="BQ63" s="431"/>
      <c r="BR63" s="431"/>
      <c r="BS63" s="431"/>
      <c r="BT63" s="431"/>
      <c r="BU63" s="431"/>
      <c r="BV63" s="431"/>
      <c r="BW63" s="431"/>
      <c r="BX63" s="431"/>
      <c r="BY63" s="431"/>
      <c r="BZ63" s="431"/>
      <c r="CA63" s="431"/>
      <c r="CB63" s="431"/>
      <c r="CC63" s="431"/>
      <c r="CD63" s="431"/>
      <c r="CE63" s="431"/>
      <c r="CF63" s="431"/>
      <c r="CG63" s="431"/>
      <c r="CH63" s="431"/>
      <c r="CI63">
        <v>49</v>
      </c>
      <c r="CJ63">
        <v>299</v>
      </c>
      <c r="CK63" s="365" t="str">
        <f>IFERROR(VLOOKUP($CI63,Skills!$H$2:$N$620,7,FALSE),"")</f>
        <v/>
      </c>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445" t="str">
        <f>IFERROR(VLOOKUP($CI63,Skills!$H$2:$K$620,4,FALSE),"")</f>
        <v/>
      </c>
      <c r="ED63" s="445"/>
      <c r="EE63" s="445"/>
      <c r="EF63" s="445"/>
      <c r="EG63" s="445"/>
      <c r="EH63" s="446"/>
      <c r="EI63" s="446"/>
      <c r="EJ63" s="446"/>
      <c r="EK63" s="446"/>
      <c r="EL63" s="447"/>
      <c r="EM63" s="366" t="str">
        <f>IFERROR(VLOOKUP($CJ63,Skills!$H$2:$N$620,7,FALSE),"")</f>
        <v/>
      </c>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445" t="str">
        <f>IFERROR(VLOOKUP($CJ63,Skills!$H$2:$K$620,4,FALSE),"")</f>
        <v/>
      </c>
      <c r="GF63" s="445"/>
      <c r="GG63" s="445"/>
      <c r="GH63" s="445"/>
      <c r="GI63" s="445"/>
      <c r="GJ63" s="448"/>
      <c r="GK63" s="448"/>
      <c r="GL63" s="448"/>
      <c r="GM63" s="448"/>
      <c r="GN63" s="449"/>
    </row>
    <row r="64" spans="2:364" ht="15.75" thickBot="1" x14ac:dyDescent="0.3">
      <c r="B64" s="432" t="s">
        <v>845</v>
      </c>
      <c r="C64" s="432"/>
      <c r="D64" s="432"/>
      <c r="E64" s="432"/>
      <c r="F64" s="432"/>
      <c r="G64" s="432"/>
      <c r="H64" s="433" t="s">
        <v>704</v>
      </c>
      <c r="I64" s="433"/>
      <c r="J64" s="433"/>
      <c r="K64" s="433"/>
      <c r="L64" s="433"/>
      <c r="M64" s="433"/>
      <c r="N64" s="433"/>
      <c r="O64" s="433"/>
      <c r="P64" s="433"/>
      <c r="Q64" s="433"/>
      <c r="R64" s="433"/>
      <c r="S64" s="433"/>
      <c r="T64" s="433"/>
      <c r="U64" s="433"/>
      <c r="V64" s="433"/>
      <c r="W64" s="433"/>
      <c r="X64" s="433"/>
      <c r="Y64" s="433"/>
      <c r="Z64" s="433"/>
      <c r="AA64" s="433"/>
      <c r="AB64" s="433"/>
      <c r="AC64" s="433"/>
      <c r="AD64" s="433"/>
      <c r="AE64" s="433"/>
      <c r="AF64" s="433"/>
      <c r="AG64" s="433"/>
      <c r="AH64" s="433"/>
      <c r="AI64" s="433"/>
      <c r="AJ64" s="433"/>
      <c r="AK64" s="433"/>
      <c r="AL64" s="433"/>
      <c r="AM64" s="433"/>
      <c r="AN64" s="433"/>
      <c r="AO64" s="433"/>
      <c r="AP64" s="433"/>
      <c r="AQ64" s="433"/>
      <c r="AR64" s="433"/>
      <c r="AS64" s="433"/>
      <c r="AT64" s="433"/>
      <c r="AU64" s="433"/>
      <c r="AV64" s="433"/>
      <c r="AW64" s="433"/>
      <c r="AX64" s="433"/>
      <c r="AY64" s="433"/>
      <c r="AZ64" s="433"/>
      <c r="BA64" s="433"/>
      <c r="BB64" s="433"/>
      <c r="BC64" s="433"/>
      <c r="BD64" s="433"/>
      <c r="BE64" s="433"/>
      <c r="BF64" s="433"/>
      <c r="BG64" s="433"/>
      <c r="BH64" s="433"/>
      <c r="BI64" s="433"/>
      <c r="BJ64" s="433"/>
      <c r="BK64" s="433"/>
      <c r="BL64" s="433"/>
      <c r="BM64" s="433"/>
      <c r="BN64" s="433"/>
      <c r="BO64" s="433"/>
      <c r="BP64" s="433"/>
      <c r="BQ64" s="433"/>
      <c r="BR64" s="433"/>
      <c r="BS64" s="433"/>
      <c r="BT64" s="433"/>
      <c r="BU64" s="433"/>
      <c r="BV64" s="433"/>
      <c r="BW64" s="433"/>
      <c r="BX64" s="433"/>
      <c r="BY64" s="433"/>
      <c r="BZ64" s="433"/>
      <c r="CA64" s="433"/>
      <c r="CB64" s="433"/>
      <c r="CC64" s="433"/>
      <c r="CD64" s="433"/>
      <c r="CE64" s="433"/>
      <c r="CF64" s="433"/>
      <c r="CG64" s="433"/>
      <c r="CH64" s="433"/>
      <c r="CI64">
        <v>50</v>
      </c>
      <c r="CJ64">
        <v>300</v>
      </c>
      <c r="CK64" s="450" t="str">
        <f>IFERROR(VLOOKUP($CI64,Skills!$H$2:$N$620,7,FALSE),"")</f>
        <v/>
      </c>
      <c r="CL64" s="451"/>
      <c r="CM64" s="451"/>
      <c r="CN64" s="451"/>
      <c r="CO64" s="451"/>
      <c r="CP64" s="451"/>
      <c r="CQ64" s="451"/>
      <c r="CR64" s="451"/>
      <c r="CS64" s="451"/>
      <c r="CT64" s="451"/>
      <c r="CU64" s="451"/>
      <c r="CV64" s="451"/>
      <c r="CW64" s="451"/>
      <c r="CX64" s="451"/>
      <c r="CY64" s="451"/>
      <c r="CZ64" s="451"/>
      <c r="DA64" s="451"/>
      <c r="DB64" s="451"/>
      <c r="DC64" s="451"/>
      <c r="DD64" s="451"/>
      <c r="DE64" s="451"/>
      <c r="DF64" s="451"/>
      <c r="DG64" s="451"/>
      <c r="DH64" s="451"/>
      <c r="DI64" s="451"/>
      <c r="DJ64" s="451"/>
      <c r="DK64" s="451"/>
      <c r="DL64" s="451"/>
      <c r="DM64" s="451"/>
      <c r="DN64" s="451"/>
      <c r="DO64" s="451"/>
      <c r="DP64" s="451"/>
      <c r="DQ64" s="451"/>
      <c r="DR64" s="451"/>
      <c r="DS64" s="451"/>
      <c r="DT64" s="451"/>
      <c r="DU64" s="451"/>
      <c r="DV64" s="451"/>
      <c r="DW64" s="451"/>
      <c r="DX64" s="451"/>
      <c r="DY64" s="451"/>
      <c r="DZ64" s="451"/>
      <c r="EA64" s="451"/>
      <c r="EB64" s="451"/>
      <c r="EC64" s="417" t="str">
        <f>IFERROR(VLOOKUP($CI64,Skills!$H$2:$K$620,4,FALSE),"")</f>
        <v/>
      </c>
      <c r="ED64" s="417"/>
      <c r="EE64" s="417"/>
      <c r="EF64" s="417"/>
      <c r="EG64" s="417"/>
      <c r="EH64" s="452"/>
      <c r="EI64" s="452"/>
      <c r="EJ64" s="452"/>
      <c r="EK64" s="452"/>
      <c r="EL64" s="453"/>
      <c r="EM64" s="451" t="str">
        <f>IFERROR(VLOOKUP($CJ64,Skills!$H$2:$N$620,7,FALSE),"")</f>
        <v/>
      </c>
      <c r="EN64" s="451"/>
      <c r="EO64" s="451"/>
      <c r="EP64" s="451"/>
      <c r="EQ64" s="451"/>
      <c r="ER64" s="451"/>
      <c r="ES64" s="451"/>
      <c r="ET64" s="451"/>
      <c r="EU64" s="451"/>
      <c r="EV64" s="451"/>
      <c r="EW64" s="451"/>
      <c r="EX64" s="451"/>
      <c r="EY64" s="451"/>
      <c r="EZ64" s="451"/>
      <c r="FA64" s="451"/>
      <c r="FB64" s="451"/>
      <c r="FC64" s="451"/>
      <c r="FD64" s="451"/>
      <c r="FE64" s="451"/>
      <c r="FF64" s="451"/>
      <c r="FG64" s="451"/>
      <c r="FH64" s="451"/>
      <c r="FI64" s="451"/>
      <c r="FJ64" s="451"/>
      <c r="FK64" s="451"/>
      <c r="FL64" s="451"/>
      <c r="FM64" s="451"/>
      <c r="FN64" s="451"/>
      <c r="FO64" s="451"/>
      <c r="FP64" s="451"/>
      <c r="FQ64" s="451"/>
      <c r="FR64" s="451"/>
      <c r="FS64" s="451"/>
      <c r="FT64" s="451"/>
      <c r="FU64" s="451"/>
      <c r="FV64" s="451"/>
      <c r="FW64" s="451"/>
      <c r="FX64" s="451"/>
      <c r="FY64" s="451"/>
      <c r="FZ64" s="451"/>
      <c r="GA64" s="451"/>
      <c r="GB64" s="451"/>
      <c r="GC64" s="451"/>
      <c r="GD64" s="451"/>
      <c r="GE64" s="417" t="str">
        <f>IFERROR(VLOOKUP($CJ64,Skills!$H$2:$K$620,4,FALSE),"")</f>
        <v/>
      </c>
      <c r="GF64" s="417"/>
      <c r="GG64" s="417"/>
      <c r="GH64" s="417"/>
      <c r="GI64" s="417"/>
      <c r="GJ64" s="454"/>
      <c r="GK64" s="454"/>
      <c r="GL64" s="454"/>
      <c r="GM64" s="454"/>
      <c r="GN64" s="455"/>
    </row>
    <row r="65" spans="2:196" ht="15.75" thickBot="1" x14ac:dyDescent="0.3">
      <c r="B65" s="443" t="s">
        <v>846</v>
      </c>
      <c r="C65" s="443"/>
      <c r="D65" s="443"/>
      <c r="E65" s="443"/>
      <c r="F65" s="443"/>
      <c r="G65" s="443"/>
      <c r="H65" s="431" t="s">
        <v>732</v>
      </c>
      <c r="I65" s="431"/>
      <c r="J65" s="431"/>
      <c r="K65" s="431"/>
      <c r="L65" s="431"/>
      <c r="M65" s="431"/>
      <c r="N65" s="431"/>
      <c r="O65" s="431"/>
      <c r="P65" s="431"/>
      <c r="Q65" s="431"/>
      <c r="R65" s="431"/>
      <c r="S65" s="431"/>
      <c r="T65" s="431"/>
      <c r="U65" s="431"/>
      <c r="V65" s="431"/>
      <c r="W65" s="431"/>
      <c r="X65" s="431"/>
      <c r="Y65" s="431"/>
      <c r="Z65" s="431"/>
      <c r="AA65" s="431"/>
      <c r="AB65" s="431"/>
      <c r="AC65" s="431"/>
      <c r="AD65" s="431"/>
      <c r="AE65" s="431"/>
      <c r="AF65" s="431"/>
      <c r="AG65" s="431"/>
      <c r="AH65" s="431"/>
      <c r="AI65" s="431"/>
      <c r="AJ65" s="431"/>
      <c r="AK65" s="431"/>
      <c r="AL65" s="431"/>
      <c r="AM65" s="431"/>
      <c r="AN65" s="431"/>
      <c r="AO65" s="431"/>
      <c r="AP65" s="431"/>
      <c r="AQ65" s="431"/>
      <c r="AR65" s="431"/>
      <c r="AS65" s="431"/>
      <c r="AT65" s="431"/>
      <c r="AU65" s="431"/>
      <c r="AV65" s="431"/>
      <c r="AW65" s="431"/>
      <c r="AX65" s="431"/>
      <c r="AY65" s="431"/>
      <c r="AZ65" s="431"/>
      <c r="BA65" s="431"/>
      <c r="BB65" s="431"/>
      <c r="BC65" s="431"/>
      <c r="BD65" s="431"/>
      <c r="BE65" s="431"/>
      <c r="BF65" s="431"/>
      <c r="BG65" s="431"/>
      <c r="BH65" s="431"/>
      <c r="BI65" s="431"/>
      <c r="BJ65" s="431"/>
      <c r="BK65" s="431"/>
      <c r="BL65" s="431"/>
      <c r="BM65" s="431"/>
      <c r="BN65" s="431"/>
      <c r="BO65" s="431"/>
      <c r="BP65" s="431"/>
      <c r="BQ65" s="431"/>
      <c r="BR65" s="431"/>
      <c r="BS65" s="431"/>
      <c r="BT65" s="431"/>
      <c r="BU65" s="431"/>
      <c r="BV65" s="431"/>
      <c r="BW65" s="431"/>
      <c r="BX65" s="431"/>
      <c r="BY65" s="431"/>
      <c r="BZ65" s="431"/>
      <c r="CA65" s="431"/>
      <c r="CB65" s="431"/>
      <c r="CC65" s="431"/>
      <c r="CD65" s="431"/>
      <c r="CE65" s="431"/>
      <c r="CF65" s="431"/>
      <c r="CG65" s="431"/>
      <c r="CH65" s="431"/>
      <c r="CI65">
        <v>51</v>
      </c>
      <c r="CJ65">
        <v>301</v>
      </c>
      <c r="CK65" s="365" t="str">
        <f>IFERROR(VLOOKUP($CI65,Skills!$H$2:$N$620,7,FALSE),"")</f>
        <v/>
      </c>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445" t="str">
        <f>IFERROR(VLOOKUP($CI65,Skills!$H$2:$K$620,4,FALSE),"")</f>
        <v/>
      </c>
      <c r="ED65" s="445"/>
      <c r="EE65" s="445"/>
      <c r="EF65" s="445"/>
      <c r="EG65" s="445"/>
      <c r="EH65" s="446"/>
      <c r="EI65" s="446"/>
      <c r="EJ65" s="446"/>
      <c r="EK65" s="446"/>
      <c r="EL65" s="447"/>
      <c r="EM65" s="366" t="str">
        <f>IFERROR(VLOOKUP($CJ65,Skills!$H$2:$N$620,7,FALSE),"")</f>
        <v/>
      </c>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445" t="str">
        <f>IFERROR(VLOOKUP($CJ65,Skills!$H$2:$K$620,4,FALSE),"")</f>
        <v/>
      </c>
      <c r="GF65" s="445"/>
      <c r="GG65" s="445"/>
      <c r="GH65" s="445"/>
      <c r="GI65" s="445"/>
      <c r="GJ65" s="448"/>
      <c r="GK65" s="448"/>
      <c r="GL65" s="448"/>
      <c r="GM65" s="448"/>
      <c r="GN65" s="449"/>
    </row>
    <row r="66" spans="2:196" x14ac:dyDescent="0.25">
      <c r="B66" s="3"/>
      <c r="C66" s="3"/>
      <c r="D66" s="3"/>
      <c r="E66" s="3"/>
      <c r="F66" s="3"/>
      <c r="CI66">
        <v>52</v>
      </c>
      <c r="CJ66">
        <v>302</v>
      </c>
      <c r="CK66" s="450" t="str">
        <f>IFERROR(VLOOKUP($CI66,Skills!$H$2:$N$620,7,FALSE),"")</f>
        <v/>
      </c>
      <c r="CL66" s="451"/>
      <c r="CM66" s="451"/>
      <c r="CN66" s="451"/>
      <c r="CO66" s="451"/>
      <c r="CP66" s="451"/>
      <c r="CQ66" s="451"/>
      <c r="CR66" s="451"/>
      <c r="CS66" s="451"/>
      <c r="CT66" s="451"/>
      <c r="CU66" s="451"/>
      <c r="CV66" s="451"/>
      <c r="CW66" s="451"/>
      <c r="CX66" s="451"/>
      <c r="CY66" s="451"/>
      <c r="CZ66" s="451"/>
      <c r="DA66" s="451"/>
      <c r="DB66" s="451"/>
      <c r="DC66" s="451"/>
      <c r="DD66" s="451"/>
      <c r="DE66" s="451"/>
      <c r="DF66" s="451"/>
      <c r="DG66" s="451"/>
      <c r="DH66" s="451"/>
      <c r="DI66" s="451"/>
      <c r="DJ66" s="451"/>
      <c r="DK66" s="451"/>
      <c r="DL66" s="451"/>
      <c r="DM66" s="451"/>
      <c r="DN66" s="451"/>
      <c r="DO66" s="451"/>
      <c r="DP66" s="451"/>
      <c r="DQ66" s="451"/>
      <c r="DR66" s="451"/>
      <c r="DS66" s="451"/>
      <c r="DT66" s="451"/>
      <c r="DU66" s="451"/>
      <c r="DV66" s="451"/>
      <c r="DW66" s="451"/>
      <c r="DX66" s="451"/>
      <c r="DY66" s="451"/>
      <c r="DZ66" s="451"/>
      <c r="EA66" s="451"/>
      <c r="EB66" s="451"/>
      <c r="EC66" s="417" t="str">
        <f>IFERROR(VLOOKUP($CI66,Skills!$H$2:$K$620,4,FALSE),"")</f>
        <v/>
      </c>
      <c r="ED66" s="417"/>
      <c r="EE66" s="417"/>
      <c r="EF66" s="417"/>
      <c r="EG66" s="417"/>
      <c r="EH66" s="452"/>
      <c r="EI66" s="452"/>
      <c r="EJ66" s="452"/>
      <c r="EK66" s="452"/>
      <c r="EL66" s="453"/>
      <c r="EM66" s="451" t="str">
        <f>IFERROR(VLOOKUP($CJ66,Skills!$H$2:$N$620,7,FALSE),"")</f>
        <v/>
      </c>
      <c r="EN66" s="451"/>
      <c r="EO66" s="451"/>
      <c r="EP66" s="451"/>
      <c r="EQ66" s="451"/>
      <c r="ER66" s="451"/>
      <c r="ES66" s="451"/>
      <c r="ET66" s="451"/>
      <c r="EU66" s="451"/>
      <c r="EV66" s="451"/>
      <c r="EW66" s="451"/>
      <c r="EX66" s="451"/>
      <c r="EY66" s="451"/>
      <c r="EZ66" s="451"/>
      <c r="FA66" s="451"/>
      <c r="FB66" s="451"/>
      <c r="FC66" s="451"/>
      <c r="FD66" s="451"/>
      <c r="FE66" s="451"/>
      <c r="FF66" s="451"/>
      <c r="FG66" s="451"/>
      <c r="FH66" s="451"/>
      <c r="FI66" s="451"/>
      <c r="FJ66" s="451"/>
      <c r="FK66" s="451"/>
      <c r="FL66" s="451"/>
      <c r="FM66" s="451"/>
      <c r="FN66" s="451"/>
      <c r="FO66" s="451"/>
      <c r="FP66" s="451"/>
      <c r="FQ66" s="451"/>
      <c r="FR66" s="451"/>
      <c r="FS66" s="451"/>
      <c r="FT66" s="451"/>
      <c r="FU66" s="451"/>
      <c r="FV66" s="451"/>
      <c r="FW66" s="451"/>
      <c r="FX66" s="451"/>
      <c r="FY66" s="451"/>
      <c r="FZ66" s="451"/>
      <c r="GA66" s="451"/>
      <c r="GB66" s="451"/>
      <c r="GC66" s="451"/>
      <c r="GD66" s="451"/>
      <c r="GE66" s="417" t="str">
        <f>IFERROR(VLOOKUP($CJ66,Skills!$H$2:$K$620,4,FALSE),"")</f>
        <v/>
      </c>
      <c r="GF66" s="417"/>
      <c r="GG66" s="417"/>
      <c r="GH66" s="417"/>
      <c r="GI66" s="417"/>
      <c r="GJ66" s="454"/>
      <c r="GK66" s="454"/>
      <c r="GL66" s="454"/>
      <c r="GM66" s="454"/>
      <c r="GN66" s="455"/>
    </row>
    <row r="67" spans="2:196" ht="15.75" x14ac:dyDescent="0.25">
      <c r="B67" s="356" t="s">
        <v>847</v>
      </c>
      <c r="C67" s="356"/>
      <c r="D67" s="356"/>
      <c r="E67" s="356"/>
      <c r="F67" s="356"/>
      <c r="G67" s="357" t="s">
        <v>848</v>
      </c>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57"/>
      <c r="AU67" s="357"/>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7"/>
      <c r="BU67" s="357"/>
      <c r="BV67" s="357"/>
      <c r="BW67" s="357"/>
      <c r="BX67" s="357"/>
      <c r="BY67" s="357"/>
      <c r="BZ67" s="357"/>
      <c r="CA67" s="357"/>
      <c r="CB67" s="357"/>
      <c r="CC67" s="357"/>
      <c r="CD67" s="357"/>
      <c r="CE67" s="357"/>
      <c r="CF67" s="357"/>
      <c r="CG67" s="357"/>
      <c r="CH67" s="357"/>
      <c r="CI67">
        <v>53</v>
      </c>
      <c r="CJ67">
        <v>303</v>
      </c>
      <c r="CK67" s="365" t="str">
        <f>IFERROR(VLOOKUP($CI67,Skills!$H$2:$N$620,7,FALSE),"")</f>
        <v/>
      </c>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445" t="str">
        <f>IFERROR(VLOOKUP($CI67,Skills!$H$2:$K$620,4,FALSE),"")</f>
        <v/>
      </c>
      <c r="ED67" s="445"/>
      <c r="EE67" s="445"/>
      <c r="EF67" s="445"/>
      <c r="EG67" s="445"/>
      <c r="EH67" s="446"/>
      <c r="EI67" s="446"/>
      <c r="EJ67" s="446"/>
      <c r="EK67" s="446"/>
      <c r="EL67" s="447"/>
      <c r="EM67" s="366" t="str">
        <f>IFERROR(VLOOKUP($CJ67,Skills!$H$2:$N$620,7,FALSE),"")</f>
        <v/>
      </c>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445" t="str">
        <f>IFERROR(VLOOKUP($CJ67,Skills!$H$2:$K$620,4,FALSE),"")</f>
        <v/>
      </c>
      <c r="GF67" s="445"/>
      <c r="GG67" s="445"/>
      <c r="GH67" s="445"/>
      <c r="GI67" s="445"/>
      <c r="GJ67" s="448"/>
      <c r="GK67" s="448"/>
      <c r="GL67" s="448"/>
      <c r="GM67" s="448"/>
      <c r="GN67" s="449"/>
    </row>
    <row r="68" spans="2:196" x14ac:dyDescent="0.25">
      <c r="B68" s="439" t="s">
        <v>849</v>
      </c>
      <c r="C68" s="439"/>
      <c r="D68" s="439"/>
      <c r="E68" s="439"/>
      <c r="F68" s="439"/>
      <c r="G68" s="439"/>
      <c r="H68" s="439"/>
      <c r="I68" s="439"/>
      <c r="J68" s="439"/>
      <c r="K68" s="439"/>
      <c r="L68" s="439"/>
      <c r="M68" s="439"/>
      <c r="N68" s="439"/>
      <c r="O68" s="439"/>
      <c r="P68" s="439"/>
      <c r="Q68" s="439"/>
      <c r="R68" s="439"/>
      <c r="S68" s="439"/>
      <c r="T68" s="439"/>
      <c r="U68" s="439"/>
      <c r="V68" s="439"/>
      <c r="W68" s="439"/>
      <c r="X68" s="439"/>
      <c r="Y68" s="439"/>
      <c r="Z68" s="439"/>
      <c r="AA68" s="439"/>
      <c r="AB68" s="439"/>
      <c r="AC68" s="439"/>
      <c r="AD68" s="439"/>
      <c r="AE68" s="439"/>
      <c r="AF68" s="439"/>
      <c r="AG68" s="439"/>
      <c r="AH68" s="439"/>
      <c r="AI68" s="439"/>
      <c r="AJ68" s="439"/>
      <c r="AK68" s="439"/>
      <c r="AL68" s="439"/>
      <c r="AM68" s="439"/>
      <c r="AN68" s="439"/>
      <c r="AO68" s="439"/>
      <c r="AP68" s="439"/>
      <c r="AQ68" s="439"/>
      <c r="AR68" s="439"/>
      <c r="AS68" s="439"/>
      <c r="AT68" s="439"/>
      <c r="AU68" s="439"/>
      <c r="AV68" s="439"/>
      <c r="AW68" s="439"/>
      <c r="AX68" s="439"/>
      <c r="AY68" s="439"/>
      <c r="AZ68" s="439"/>
      <c r="BA68" s="439"/>
      <c r="BB68" s="439"/>
      <c r="BC68" s="439"/>
      <c r="BD68" s="439"/>
      <c r="BE68" s="439"/>
      <c r="BF68" s="439"/>
      <c r="BG68" s="439"/>
      <c r="BH68" s="439"/>
      <c r="BI68" s="439"/>
      <c r="BJ68" s="439"/>
      <c r="BK68" s="439"/>
      <c r="BL68" s="439"/>
      <c r="BM68" s="439"/>
      <c r="BN68" s="439"/>
      <c r="BO68" s="439"/>
      <c r="BP68" s="439"/>
      <c r="BQ68" s="439"/>
      <c r="BR68" s="439"/>
      <c r="BS68" s="439"/>
      <c r="BT68" s="439"/>
      <c r="BU68" s="439"/>
      <c r="BV68" s="439"/>
      <c r="BW68" s="439"/>
      <c r="BX68" s="439"/>
      <c r="BY68" s="439"/>
      <c r="BZ68" s="439"/>
      <c r="CA68" s="439"/>
      <c r="CB68" s="439"/>
      <c r="CC68" s="439"/>
      <c r="CD68" s="439"/>
      <c r="CE68" s="439"/>
      <c r="CF68" s="439"/>
      <c r="CG68" s="439"/>
      <c r="CH68" s="439"/>
      <c r="CI68">
        <v>54</v>
      </c>
      <c r="CJ68">
        <v>304</v>
      </c>
      <c r="CK68" s="450" t="str">
        <f>IFERROR(VLOOKUP($CI68,Skills!$H$2:$N$620,7,FALSE),"")</f>
        <v/>
      </c>
      <c r="CL68" s="451"/>
      <c r="CM68" s="451"/>
      <c r="CN68" s="451"/>
      <c r="CO68" s="451"/>
      <c r="CP68" s="451"/>
      <c r="CQ68" s="451"/>
      <c r="CR68" s="451"/>
      <c r="CS68" s="451"/>
      <c r="CT68" s="451"/>
      <c r="CU68" s="451"/>
      <c r="CV68" s="451"/>
      <c r="CW68" s="451"/>
      <c r="CX68" s="451"/>
      <c r="CY68" s="451"/>
      <c r="CZ68" s="451"/>
      <c r="DA68" s="451"/>
      <c r="DB68" s="451"/>
      <c r="DC68" s="451"/>
      <c r="DD68" s="451"/>
      <c r="DE68" s="451"/>
      <c r="DF68" s="451"/>
      <c r="DG68" s="451"/>
      <c r="DH68" s="451"/>
      <c r="DI68" s="451"/>
      <c r="DJ68" s="451"/>
      <c r="DK68" s="451"/>
      <c r="DL68" s="451"/>
      <c r="DM68" s="451"/>
      <c r="DN68" s="451"/>
      <c r="DO68" s="451"/>
      <c r="DP68" s="451"/>
      <c r="DQ68" s="451"/>
      <c r="DR68" s="451"/>
      <c r="DS68" s="451"/>
      <c r="DT68" s="451"/>
      <c r="DU68" s="451"/>
      <c r="DV68" s="451"/>
      <c r="DW68" s="451"/>
      <c r="DX68" s="451"/>
      <c r="DY68" s="451"/>
      <c r="DZ68" s="451"/>
      <c r="EA68" s="451"/>
      <c r="EB68" s="451"/>
      <c r="EC68" s="417" t="str">
        <f>IFERROR(VLOOKUP($CI68,Skills!$H$2:$K$620,4,FALSE),"")</f>
        <v/>
      </c>
      <c r="ED68" s="417"/>
      <c r="EE68" s="417"/>
      <c r="EF68" s="417"/>
      <c r="EG68" s="417"/>
      <c r="EH68" s="452"/>
      <c r="EI68" s="452"/>
      <c r="EJ68" s="452"/>
      <c r="EK68" s="452"/>
      <c r="EL68" s="453"/>
      <c r="EM68" s="451" t="str">
        <f>IFERROR(VLOOKUP($CJ68,Skills!$H$2:$N$620,7,FALSE),"")</f>
        <v/>
      </c>
      <c r="EN68" s="451"/>
      <c r="EO68" s="451"/>
      <c r="EP68" s="451"/>
      <c r="EQ68" s="451"/>
      <c r="ER68" s="451"/>
      <c r="ES68" s="451"/>
      <c r="ET68" s="451"/>
      <c r="EU68" s="451"/>
      <c r="EV68" s="451"/>
      <c r="EW68" s="451"/>
      <c r="EX68" s="451"/>
      <c r="EY68" s="451"/>
      <c r="EZ68" s="451"/>
      <c r="FA68" s="451"/>
      <c r="FB68" s="451"/>
      <c r="FC68" s="451"/>
      <c r="FD68" s="451"/>
      <c r="FE68" s="451"/>
      <c r="FF68" s="451"/>
      <c r="FG68" s="451"/>
      <c r="FH68" s="451"/>
      <c r="FI68" s="451"/>
      <c r="FJ68" s="451"/>
      <c r="FK68" s="451"/>
      <c r="FL68" s="451"/>
      <c r="FM68" s="451"/>
      <c r="FN68" s="451"/>
      <c r="FO68" s="451"/>
      <c r="FP68" s="451"/>
      <c r="FQ68" s="451"/>
      <c r="FR68" s="451"/>
      <c r="FS68" s="451"/>
      <c r="FT68" s="451"/>
      <c r="FU68" s="451"/>
      <c r="FV68" s="451"/>
      <c r="FW68" s="451"/>
      <c r="FX68" s="451"/>
      <c r="FY68" s="451"/>
      <c r="FZ68" s="451"/>
      <c r="GA68" s="451"/>
      <c r="GB68" s="451"/>
      <c r="GC68" s="451"/>
      <c r="GD68" s="451"/>
      <c r="GE68" s="417" t="str">
        <f>IFERROR(VLOOKUP($CJ68,Skills!$H$2:$K$620,4,FALSE),"")</f>
        <v/>
      </c>
      <c r="GF68" s="417"/>
      <c r="GG68" s="417"/>
      <c r="GH68" s="417"/>
      <c r="GI68" s="417"/>
      <c r="GJ68" s="454"/>
      <c r="GK68" s="454"/>
      <c r="GL68" s="454"/>
      <c r="GM68" s="454"/>
      <c r="GN68" s="455"/>
    </row>
    <row r="69" spans="2:196" x14ac:dyDescent="0.25">
      <c r="B69" s="439"/>
      <c r="C69" s="439"/>
      <c r="D69" s="439"/>
      <c r="E69" s="439"/>
      <c r="F69" s="439"/>
      <c r="G69" s="439"/>
      <c r="H69" s="439"/>
      <c r="I69" s="439"/>
      <c r="J69" s="439"/>
      <c r="K69" s="439"/>
      <c r="L69" s="439"/>
      <c r="M69" s="439"/>
      <c r="N69" s="439"/>
      <c r="O69" s="439"/>
      <c r="P69" s="439"/>
      <c r="Q69" s="439"/>
      <c r="R69" s="439"/>
      <c r="S69" s="439"/>
      <c r="T69" s="439"/>
      <c r="U69" s="439"/>
      <c r="V69" s="439"/>
      <c r="W69" s="439"/>
      <c r="X69" s="439"/>
      <c r="Y69" s="439"/>
      <c r="Z69" s="439"/>
      <c r="AA69" s="439"/>
      <c r="AB69" s="439"/>
      <c r="AC69" s="439"/>
      <c r="AD69" s="439"/>
      <c r="AE69" s="439"/>
      <c r="AF69" s="439"/>
      <c r="AG69" s="439"/>
      <c r="AH69" s="439"/>
      <c r="AI69" s="439"/>
      <c r="AJ69" s="439"/>
      <c r="AK69" s="439"/>
      <c r="AL69" s="439"/>
      <c r="AM69" s="439"/>
      <c r="AN69" s="439"/>
      <c r="AO69" s="439"/>
      <c r="AP69" s="439"/>
      <c r="AQ69" s="439"/>
      <c r="AR69" s="439"/>
      <c r="AS69" s="439"/>
      <c r="AT69" s="439"/>
      <c r="AU69" s="439"/>
      <c r="AV69" s="439"/>
      <c r="AW69" s="439"/>
      <c r="AX69" s="439"/>
      <c r="AY69" s="439"/>
      <c r="AZ69" s="439"/>
      <c r="BA69" s="439"/>
      <c r="BB69" s="439"/>
      <c r="BC69" s="439"/>
      <c r="BD69" s="439"/>
      <c r="BE69" s="439"/>
      <c r="BF69" s="439"/>
      <c r="BG69" s="439"/>
      <c r="BH69" s="439"/>
      <c r="BI69" s="439"/>
      <c r="BJ69" s="439"/>
      <c r="BK69" s="439"/>
      <c r="BL69" s="439"/>
      <c r="BM69" s="439"/>
      <c r="BN69" s="439"/>
      <c r="BO69" s="439"/>
      <c r="BP69" s="439"/>
      <c r="BQ69" s="439"/>
      <c r="BR69" s="439"/>
      <c r="BS69" s="439"/>
      <c r="BT69" s="439"/>
      <c r="BU69" s="439"/>
      <c r="BV69" s="439"/>
      <c r="BW69" s="439"/>
      <c r="BX69" s="439"/>
      <c r="BY69" s="439"/>
      <c r="BZ69" s="439"/>
      <c r="CA69" s="439"/>
      <c r="CB69" s="439"/>
      <c r="CC69" s="439"/>
      <c r="CD69" s="439"/>
      <c r="CE69" s="439"/>
      <c r="CF69" s="439"/>
      <c r="CG69" s="439"/>
      <c r="CH69" s="439"/>
      <c r="CI69">
        <v>55</v>
      </c>
      <c r="CJ69">
        <v>305</v>
      </c>
      <c r="CK69" s="365" t="str">
        <f>IFERROR(VLOOKUP($CI69,Skills!$H$2:$N$620,7,FALSE),"")</f>
        <v/>
      </c>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445" t="str">
        <f>IFERROR(VLOOKUP($CI69,Skills!$H$2:$K$620,4,FALSE),"")</f>
        <v/>
      </c>
      <c r="ED69" s="445"/>
      <c r="EE69" s="445"/>
      <c r="EF69" s="445"/>
      <c r="EG69" s="445"/>
      <c r="EH69" s="446"/>
      <c r="EI69" s="446"/>
      <c r="EJ69" s="446"/>
      <c r="EK69" s="446"/>
      <c r="EL69" s="447"/>
      <c r="EM69" s="366" t="str">
        <f>IFERROR(VLOOKUP($CJ69,Skills!$H$2:$N$620,7,FALSE),"")</f>
        <v/>
      </c>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445" t="str">
        <f>IFERROR(VLOOKUP($CJ69,Skills!$H$2:$K$620,4,FALSE),"")</f>
        <v/>
      </c>
      <c r="GF69" s="445"/>
      <c r="GG69" s="445"/>
      <c r="GH69" s="445"/>
      <c r="GI69" s="445"/>
      <c r="GJ69" s="448"/>
      <c r="GK69" s="448"/>
      <c r="GL69" s="448"/>
      <c r="GM69" s="448"/>
      <c r="GN69" s="449"/>
    </row>
    <row r="70" spans="2:196" x14ac:dyDescent="0.25">
      <c r="B70" s="439"/>
      <c r="C70" s="439"/>
      <c r="D70" s="439"/>
      <c r="E70" s="439"/>
      <c r="F70" s="439"/>
      <c r="G70" s="439"/>
      <c r="H70" s="439"/>
      <c r="I70" s="439"/>
      <c r="J70" s="439"/>
      <c r="K70" s="439"/>
      <c r="L70" s="439"/>
      <c r="M70" s="439"/>
      <c r="N70" s="439"/>
      <c r="O70" s="439"/>
      <c r="P70" s="439"/>
      <c r="Q70" s="439"/>
      <c r="R70" s="439"/>
      <c r="S70" s="439"/>
      <c r="T70" s="439"/>
      <c r="U70" s="439"/>
      <c r="V70" s="439"/>
      <c r="W70" s="439"/>
      <c r="X70" s="439"/>
      <c r="Y70" s="439"/>
      <c r="Z70" s="439"/>
      <c r="AA70" s="439"/>
      <c r="AB70" s="439"/>
      <c r="AC70" s="439"/>
      <c r="AD70" s="439"/>
      <c r="AE70" s="439"/>
      <c r="AF70" s="439"/>
      <c r="AG70" s="439"/>
      <c r="AH70" s="439"/>
      <c r="AI70" s="439"/>
      <c r="AJ70" s="439"/>
      <c r="AK70" s="439"/>
      <c r="AL70" s="439"/>
      <c r="AM70" s="439"/>
      <c r="AN70" s="439"/>
      <c r="AO70" s="439"/>
      <c r="AP70" s="439"/>
      <c r="AQ70" s="439"/>
      <c r="AR70" s="439"/>
      <c r="AS70" s="439"/>
      <c r="AT70" s="439"/>
      <c r="AU70" s="439"/>
      <c r="AV70" s="439"/>
      <c r="AW70" s="439"/>
      <c r="AX70" s="439"/>
      <c r="AY70" s="439"/>
      <c r="AZ70" s="439"/>
      <c r="BA70" s="439"/>
      <c r="BB70" s="439"/>
      <c r="BC70" s="439"/>
      <c r="BD70" s="439"/>
      <c r="BE70" s="439"/>
      <c r="BF70" s="439"/>
      <c r="BG70" s="439"/>
      <c r="BH70" s="439"/>
      <c r="BI70" s="439"/>
      <c r="BJ70" s="439"/>
      <c r="BK70" s="439"/>
      <c r="BL70" s="439"/>
      <c r="BM70" s="439"/>
      <c r="BN70" s="439"/>
      <c r="BO70" s="439"/>
      <c r="BP70" s="439"/>
      <c r="BQ70" s="439"/>
      <c r="BR70" s="439"/>
      <c r="BS70" s="439"/>
      <c r="BT70" s="439"/>
      <c r="BU70" s="439"/>
      <c r="BV70" s="439"/>
      <c r="BW70" s="439"/>
      <c r="BX70" s="439"/>
      <c r="BY70" s="439"/>
      <c r="BZ70" s="439"/>
      <c r="CA70" s="439"/>
      <c r="CB70" s="439"/>
      <c r="CC70" s="439"/>
      <c r="CD70" s="439"/>
      <c r="CE70" s="439"/>
      <c r="CF70" s="439"/>
      <c r="CG70" s="439"/>
      <c r="CH70" s="439"/>
      <c r="CI70">
        <v>56</v>
      </c>
      <c r="CJ70">
        <v>306</v>
      </c>
      <c r="CK70" s="450" t="str">
        <f>IFERROR(VLOOKUP($CI70,Skills!$H$2:$N$620,7,FALSE),"")</f>
        <v/>
      </c>
      <c r="CL70" s="451"/>
      <c r="CM70" s="451"/>
      <c r="CN70" s="451"/>
      <c r="CO70" s="451"/>
      <c r="CP70" s="451"/>
      <c r="CQ70" s="451"/>
      <c r="CR70" s="451"/>
      <c r="CS70" s="451"/>
      <c r="CT70" s="451"/>
      <c r="CU70" s="451"/>
      <c r="CV70" s="451"/>
      <c r="CW70" s="451"/>
      <c r="CX70" s="451"/>
      <c r="CY70" s="451"/>
      <c r="CZ70" s="451"/>
      <c r="DA70" s="451"/>
      <c r="DB70" s="451"/>
      <c r="DC70" s="451"/>
      <c r="DD70" s="451"/>
      <c r="DE70" s="451"/>
      <c r="DF70" s="451"/>
      <c r="DG70" s="451"/>
      <c r="DH70" s="451"/>
      <c r="DI70" s="451"/>
      <c r="DJ70" s="451"/>
      <c r="DK70" s="451"/>
      <c r="DL70" s="451"/>
      <c r="DM70" s="451"/>
      <c r="DN70" s="451"/>
      <c r="DO70" s="451"/>
      <c r="DP70" s="451"/>
      <c r="DQ70" s="451"/>
      <c r="DR70" s="451"/>
      <c r="DS70" s="451"/>
      <c r="DT70" s="451"/>
      <c r="DU70" s="451"/>
      <c r="DV70" s="451"/>
      <c r="DW70" s="451"/>
      <c r="DX70" s="451"/>
      <c r="DY70" s="451"/>
      <c r="DZ70" s="451"/>
      <c r="EA70" s="451"/>
      <c r="EB70" s="451"/>
      <c r="EC70" s="417" t="str">
        <f>IFERROR(VLOOKUP($CI70,Skills!$H$2:$K$620,4,FALSE),"")</f>
        <v/>
      </c>
      <c r="ED70" s="417"/>
      <c r="EE70" s="417"/>
      <c r="EF70" s="417"/>
      <c r="EG70" s="417"/>
      <c r="EH70" s="452"/>
      <c r="EI70" s="452"/>
      <c r="EJ70" s="452"/>
      <c r="EK70" s="452"/>
      <c r="EL70" s="453"/>
      <c r="EM70" s="451" t="str">
        <f>IFERROR(VLOOKUP($CJ70,Skills!$H$2:$N$620,7,FALSE),"")</f>
        <v/>
      </c>
      <c r="EN70" s="451"/>
      <c r="EO70" s="451"/>
      <c r="EP70" s="451"/>
      <c r="EQ70" s="451"/>
      <c r="ER70" s="451"/>
      <c r="ES70" s="451"/>
      <c r="ET70" s="451"/>
      <c r="EU70" s="451"/>
      <c r="EV70" s="451"/>
      <c r="EW70" s="451"/>
      <c r="EX70" s="451"/>
      <c r="EY70" s="451"/>
      <c r="EZ70" s="451"/>
      <c r="FA70" s="451"/>
      <c r="FB70" s="451"/>
      <c r="FC70" s="451"/>
      <c r="FD70" s="451"/>
      <c r="FE70" s="451"/>
      <c r="FF70" s="451"/>
      <c r="FG70" s="451"/>
      <c r="FH70" s="451"/>
      <c r="FI70" s="451"/>
      <c r="FJ70" s="451"/>
      <c r="FK70" s="451"/>
      <c r="FL70" s="451"/>
      <c r="FM70" s="451"/>
      <c r="FN70" s="451"/>
      <c r="FO70" s="451"/>
      <c r="FP70" s="451"/>
      <c r="FQ70" s="451"/>
      <c r="FR70" s="451"/>
      <c r="FS70" s="451"/>
      <c r="FT70" s="451"/>
      <c r="FU70" s="451"/>
      <c r="FV70" s="451"/>
      <c r="FW70" s="451"/>
      <c r="FX70" s="451"/>
      <c r="FY70" s="451"/>
      <c r="FZ70" s="451"/>
      <c r="GA70" s="451"/>
      <c r="GB70" s="451"/>
      <c r="GC70" s="451"/>
      <c r="GD70" s="451"/>
      <c r="GE70" s="417" t="str">
        <f>IFERROR(VLOOKUP($CJ70,Skills!$H$2:$K$620,4,FALSE),"")</f>
        <v/>
      </c>
      <c r="GF70" s="417"/>
      <c r="GG70" s="417"/>
      <c r="GH70" s="417"/>
      <c r="GI70" s="417"/>
      <c r="GJ70" s="454"/>
      <c r="GK70" s="454"/>
      <c r="GL70" s="454"/>
      <c r="GM70" s="454"/>
      <c r="GN70" s="455"/>
    </row>
    <row r="71" spans="2:196" x14ac:dyDescent="0.25">
      <c r="B71" s="439"/>
      <c r="C71" s="439"/>
      <c r="D71" s="439"/>
      <c r="E71" s="439"/>
      <c r="F71" s="439"/>
      <c r="G71" s="439"/>
      <c r="H71" s="439"/>
      <c r="I71" s="439"/>
      <c r="J71" s="439"/>
      <c r="K71" s="439"/>
      <c r="L71" s="439"/>
      <c r="M71" s="439"/>
      <c r="N71" s="439"/>
      <c r="O71" s="439"/>
      <c r="P71" s="439"/>
      <c r="Q71" s="439"/>
      <c r="R71" s="439"/>
      <c r="S71" s="439"/>
      <c r="T71" s="439"/>
      <c r="U71" s="439"/>
      <c r="V71" s="439"/>
      <c r="W71" s="439"/>
      <c r="X71" s="439"/>
      <c r="Y71" s="439"/>
      <c r="Z71" s="439"/>
      <c r="AA71" s="439"/>
      <c r="AB71" s="439"/>
      <c r="AC71" s="439"/>
      <c r="AD71" s="439"/>
      <c r="AE71" s="439"/>
      <c r="AF71" s="439"/>
      <c r="AG71" s="439"/>
      <c r="AH71" s="439"/>
      <c r="AI71" s="439"/>
      <c r="AJ71" s="439"/>
      <c r="AK71" s="439"/>
      <c r="AL71" s="439"/>
      <c r="AM71" s="439"/>
      <c r="AN71" s="439"/>
      <c r="AO71" s="439"/>
      <c r="AP71" s="439"/>
      <c r="AQ71" s="439"/>
      <c r="AR71" s="439"/>
      <c r="AS71" s="439"/>
      <c r="AT71" s="439"/>
      <c r="AU71" s="439"/>
      <c r="AV71" s="439"/>
      <c r="AW71" s="439"/>
      <c r="AX71" s="439"/>
      <c r="AY71" s="439"/>
      <c r="AZ71" s="439"/>
      <c r="BA71" s="439"/>
      <c r="BB71" s="439"/>
      <c r="BC71" s="439"/>
      <c r="BD71" s="439"/>
      <c r="BE71" s="439"/>
      <c r="BF71" s="439"/>
      <c r="BG71" s="439"/>
      <c r="BH71" s="439"/>
      <c r="BI71" s="439"/>
      <c r="BJ71" s="439"/>
      <c r="BK71" s="439"/>
      <c r="BL71" s="439"/>
      <c r="BM71" s="439"/>
      <c r="BN71" s="439"/>
      <c r="BO71" s="439"/>
      <c r="BP71" s="439"/>
      <c r="BQ71" s="439"/>
      <c r="BR71" s="439"/>
      <c r="BS71" s="439"/>
      <c r="BT71" s="439"/>
      <c r="BU71" s="439"/>
      <c r="BV71" s="439"/>
      <c r="BW71" s="439"/>
      <c r="BX71" s="439"/>
      <c r="BY71" s="439"/>
      <c r="BZ71" s="439"/>
      <c r="CA71" s="439"/>
      <c r="CB71" s="439"/>
      <c r="CC71" s="439"/>
      <c r="CD71" s="439"/>
      <c r="CE71" s="439"/>
      <c r="CF71" s="439"/>
      <c r="CG71" s="439"/>
      <c r="CH71" s="439"/>
      <c r="CI71">
        <v>57</v>
      </c>
      <c r="CJ71">
        <v>307</v>
      </c>
      <c r="CK71" s="365" t="str">
        <f>IFERROR(VLOOKUP($CI71,Skills!$H$2:$N$620,7,FALSE),"")</f>
        <v/>
      </c>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445" t="str">
        <f>IFERROR(VLOOKUP($CI71,Skills!$H$2:$K$620,4,FALSE),"")</f>
        <v/>
      </c>
      <c r="ED71" s="445"/>
      <c r="EE71" s="445"/>
      <c r="EF71" s="445"/>
      <c r="EG71" s="445"/>
      <c r="EH71" s="446"/>
      <c r="EI71" s="446"/>
      <c r="EJ71" s="446"/>
      <c r="EK71" s="446"/>
      <c r="EL71" s="447"/>
      <c r="EM71" s="366" t="str">
        <f>IFERROR(VLOOKUP($CJ71,Skills!$H$2:$N$620,7,FALSE),"")</f>
        <v/>
      </c>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445" t="str">
        <f>IFERROR(VLOOKUP($CJ71,Skills!$H$2:$K$620,4,FALSE),"")</f>
        <v/>
      </c>
      <c r="GF71" s="445"/>
      <c r="GG71" s="445"/>
      <c r="GH71" s="445"/>
      <c r="GI71" s="445"/>
      <c r="GJ71" s="448"/>
      <c r="GK71" s="448"/>
      <c r="GL71" s="448"/>
      <c r="GM71" s="448"/>
      <c r="GN71" s="449"/>
    </row>
    <row r="72" spans="2:196" x14ac:dyDescent="0.25">
      <c r="B72" s="439"/>
      <c r="C72" s="439"/>
      <c r="D72" s="439"/>
      <c r="E72" s="439"/>
      <c r="F72" s="439"/>
      <c r="G72" s="439"/>
      <c r="H72" s="439"/>
      <c r="I72" s="439"/>
      <c r="J72" s="439"/>
      <c r="K72" s="439"/>
      <c r="L72" s="439"/>
      <c r="M72" s="439"/>
      <c r="N72" s="439"/>
      <c r="O72" s="439"/>
      <c r="P72" s="439"/>
      <c r="Q72" s="439"/>
      <c r="R72" s="439"/>
      <c r="S72" s="439"/>
      <c r="T72" s="439"/>
      <c r="U72" s="439"/>
      <c r="V72" s="439"/>
      <c r="W72" s="439"/>
      <c r="X72" s="439"/>
      <c r="Y72" s="439"/>
      <c r="Z72" s="439"/>
      <c r="AA72" s="439"/>
      <c r="AB72" s="439"/>
      <c r="AC72" s="439"/>
      <c r="AD72" s="439"/>
      <c r="AE72" s="439"/>
      <c r="AF72" s="439"/>
      <c r="AG72" s="439"/>
      <c r="AH72" s="439"/>
      <c r="AI72" s="439"/>
      <c r="AJ72" s="439"/>
      <c r="AK72" s="439"/>
      <c r="AL72" s="439"/>
      <c r="AM72" s="439"/>
      <c r="AN72" s="439"/>
      <c r="AO72" s="439"/>
      <c r="AP72" s="439"/>
      <c r="AQ72" s="439"/>
      <c r="AR72" s="439"/>
      <c r="AS72" s="439"/>
      <c r="AT72" s="439"/>
      <c r="AU72" s="439"/>
      <c r="AV72" s="439"/>
      <c r="AW72" s="439"/>
      <c r="AX72" s="439"/>
      <c r="AY72" s="439"/>
      <c r="AZ72" s="439"/>
      <c r="BA72" s="439"/>
      <c r="BB72" s="439"/>
      <c r="BC72" s="439"/>
      <c r="BD72" s="439"/>
      <c r="BE72" s="439"/>
      <c r="BF72" s="439"/>
      <c r="BG72" s="439"/>
      <c r="BH72" s="439"/>
      <c r="BI72" s="439"/>
      <c r="BJ72" s="439"/>
      <c r="BK72" s="439"/>
      <c r="BL72" s="439"/>
      <c r="BM72" s="439"/>
      <c r="BN72" s="439"/>
      <c r="BO72" s="439"/>
      <c r="BP72" s="439"/>
      <c r="BQ72" s="439"/>
      <c r="BR72" s="439"/>
      <c r="BS72" s="439"/>
      <c r="BT72" s="439"/>
      <c r="BU72" s="439"/>
      <c r="BV72" s="439"/>
      <c r="BW72" s="439"/>
      <c r="BX72" s="439"/>
      <c r="BY72" s="439"/>
      <c r="BZ72" s="439"/>
      <c r="CA72" s="439"/>
      <c r="CB72" s="439"/>
      <c r="CC72" s="439"/>
      <c r="CD72" s="439"/>
      <c r="CE72" s="439"/>
      <c r="CF72" s="439"/>
      <c r="CG72" s="439"/>
      <c r="CH72" s="439"/>
      <c r="CI72">
        <v>58</v>
      </c>
      <c r="CJ72">
        <v>308</v>
      </c>
      <c r="CK72" s="450" t="str">
        <f>IFERROR(VLOOKUP($CI72,Skills!$H$2:$N$620,7,FALSE),"")</f>
        <v/>
      </c>
      <c r="CL72" s="451"/>
      <c r="CM72" s="451"/>
      <c r="CN72" s="451"/>
      <c r="CO72" s="451"/>
      <c r="CP72" s="451"/>
      <c r="CQ72" s="451"/>
      <c r="CR72" s="451"/>
      <c r="CS72" s="451"/>
      <c r="CT72" s="451"/>
      <c r="CU72" s="451"/>
      <c r="CV72" s="451"/>
      <c r="CW72" s="451"/>
      <c r="CX72" s="451"/>
      <c r="CY72" s="451"/>
      <c r="CZ72" s="451"/>
      <c r="DA72" s="451"/>
      <c r="DB72" s="451"/>
      <c r="DC72" s="451"/>
      <c r="DD72" s="451"/>
      <c r="DE72" s="451"/>
      <c r="DF72" s="451"/>
      <c r="DG72" s="451"/>
      <c r="DH72" s="451"/>
      <c r="DI72" s="451"/>
      <c r="DJ72" s="451"/>
      <c r="DK72" s="451"/>
      <c r="DL72" s="451"/>
      <c r="DM72" s="451"/>
      <c r="DN72" s="451"/>
      <c r="DO72" s="451"/>
      <c r="DP72" s="451"/>
      <c r="DQ72" s="451"/>
      <c r="DR72" s="451"/>
      <c r="DS72" s="451"/>
      <c r="DT72" s="451"/>
      <c r="DU72" s="451"/>
      <c r="DV72" s="451"/>
      <c r="DW72" s="451"/>
      <c r="DX72" s="451"/>
      <c r="DY72" s="451"/>
      <c r="DZ72" s="451"/>
      <c r="EA72" s="451"/>
      <c r="EB72" s="451"/>
      <c r="EC72" s="417" t="str">
        <f>IFERROR(VLOOKUP($CI72,Skills!$H$2:$K$620,4,FALSE),"")</f>
        <v/>
      </c>
      <c r="ED72" s="417"/>
      <c r="EE72" s="417"/>
      <c r="EF72" s="417"/>
      <c r="EG72" s="417"/>
      <c r="EH72" s="452"/>
      <c r="EI72" s="452"/>
      <c r="EJ72" s="452"/>
      <c r="EK72" s="452"/>
      <c r="EL72" s="453"/>
      <c r="EM72" s="451" t="str">
        <f>IFERROR(VLOOKUP($CJ72,Skills!$H$2:$N$620,7,FALSE),"")</f>
        <v/>
      </c>
      <c r="EN72" s="451"/>
      <c r="EO72" s="451"/>
      <c r="EP72" s="451"/>
      <c r="EQ72" s="451"/>
      <c r="ER72" s="451"/>
      <c r="ES72" s="451"/>
      <c r="ET72" s="451"/>
      <c r="EU72" s="451"/>
      <c r="EV72" s="451"/>
      <c r="EW72" s="451"/>
      <c r="EX72" s="451"/>
      <c r="EY72" s="451"/>
      <c r="EZ72" s="451"/>
      <c r="FA72" s="451"/>
      <c r="FB72" s="451"/>
      <c r="FC72" s="451"/>
      <c r="FD72" s="451"/>
      <c r="FE72" s="451"/>
      <c r="FF72" s="451"/>
      <c r="FG72" s="451"/>
      <c r="FH72" s="451"/>
      <c r="FI72" s="451"/>
      <c r="FJ72" s="451"/>
      <c r="FK72" s="451"/>
      <c r="FL72" s="451"/>
      <c r="FM72" s="451"/>
      <c r="FN72" s="451"/>
      <c r="FO72" s="451"/>
      <c r="FP72" s="451"/>
      <c r="FQ72" s="451"/>
      <c r="FR72" s="451"/>
      <c r="FS72" s="451"/>
      <c r="FT72" s="451"/>
      <c r="FU72" s="451"/>
      <c r="FV72" s="451"/>
      <c r="FW72" s="451"/>
      <c r="FX72" s="451"/>
      <c r="FY72" s="451"/>
      <c r="FZ72" s="451"/>
      <c r="GA72" s="451"/>
      <c r="GB72" s="451"/>
      <c r="GC72" s="451"/>
      <c r="GD72" s="451"/>
      <c r="GE72" s="417" t="str">
        <f>IFERROR(VLOOKUP($CJ72,Skills!$H$2:$K$620,4,FALSE),"")</f>
        <v/>
      </c>
      <c r="GF72" s="417"/>
      <c r="GG72" s="417"/>
      <c r="GH72" s="417"/>
      <c r="GI72" s="417"/>
      <c r="GJ72" s="454"/>
      <c r="GK72" s="454"/>
      <c r="GL72" s="454"/>
      <c r="GM72" s="454"/>
      <c r="GN72" s="455"/>
    </row>
    <row r="73" spans="2:196" x14ac:dyDescent="0.25">
      <c r="B73" s="409" t="str">
        <f>"Maximum # of Knacks:  "&amp;VLOOKUP(Z6,Charts!$B$2:$C$6,2,FALSE)</f>
        <v>Maximum # of Knacks:  0</v>
      </c>
      <c r="C73" s="409"/>
      <c r="D73" s="409"/>
      <c r="E73" s="409"/>
      <c r="F73" s="409"/>
      <c r="G73" s="409"/>
      <c r="H73" s="409"/>
      <c r="I73" s="409"/>
      <c r="J73" s="409"/>
      <c r="K73" s="409"/>
      <c r="L73" s="409"/>
      <c r="M73" s="409"/>
      <c r="N73" s="409"/>
      <c r="O73" s="409"/>
      <c r="P73" s="409"/>
      <c r="Q73" s="409"/>
      <c r="R73" s="409"/>
      <c r="S73" s="409"/>
      <c r="T73" s="409"/>
      <c r="U73" s="409"/>
      <c r="V73" s="409"/>
      <c r="W73" s="409"/>
      <c r="X73" s="409"/>
      <c r="Y73" s="409"/>
      <c r="Z73" s="409"/>
      <c r="AA73" s="409"/>
      <c r="AB73" s="409"/>
      <c r="AC73" s="409"/>
      <c r="AD73" s="409"/>
      <c r="AE73" s="409"/>
      <c r="AF73" s="409"/>
      <c r="AG73" s="409"/>
      <c r="AH73" s="409"/>
      <c r="AI73" s="409"/>
      <c r="AJ73" s="409"/>
      <c r="AK73" s="409"/>
      <c r="AL73" s="409"/>
      <c r="AM73" s="409"/>
      <c r="AN73" s="409"/>
      <c r="AO73" s="409"/>
      <c r="AP73" s="409"/>
      <c r="AQ73" s="409"/>
      <c r="AR73" s="409"/>
      <c r="AS73" s="409"/>
      <c r="AT73" s="409"/>
      <c r="AU73" s="409"/>
      <c r="AV73" s="409"/>
      <c r="AW73" s="409"/>
      <c r="AX73" s="409"/>
      <c r="AY73" s="409"/>
      <c r="AZ73" s="409"/>
      <c r="BA73" s="409"/>
      <c r="BB73" s="409"/>
      <c r="BC73" s="409"/>
      <c r="BD73" s="409"/>
      <c r="BE73" s="409"/>
      <c r="BF73" s="409"/>
      <c r="BG73" s="409"/>
      <c r="BH73" s="409"/>
      <c r="BI73" s="409"/>
      <c r="BJ73" s="409"/>
      <c r="BK73" s="409"/>
      <c r="BL73" s="409"/>
      <c r="BM73" s="409"/>
      <c r="BN73" s="409"/>
      <c r="BO73" s="409"/>
      <c r="BP73" s="409"/>
      <c r="BQ73" s="409"/>
      <c r="BR73" s="409"/>
      <c r="BS73" s="409"/>
      <c r="BT73" s="409"/>
      <c r="BU73" s="409"/>
      <c r="BV73" s="409"/>
      <c r="BW73" s="409"/>
      <c r="BX73" s="409"/>
      <c r="BY73" s="409"/>
      <c r="BZ73" s="409"/>
      <c r="CA73" s="409"/>
      <c r="CB73" s="409"/>
      <c r="CC73" s="409"/>
      <c r="CD73" s="409"/>
      <c r="CE73" s="409"/>
      <c r="CF73" s="409"/>
      <c r="CG73" s="409"/>
      <c r="CH73" s="409"/>
      <c r="CI73">
        <v>59</v>
      </c>
      <c r="CJ73">
        <v>309</v>
      </c>
      <c r="CK73" s="365" t="str">
        <f>IFERROR(VLOOKUP($CI73,Skills!$H$2:$N$620,7,FALSE),"")</f>
        <v/>
      </c>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445" t="str">
        <f>IFERROR(VLOOKUP($CI73,Skills!$H$2:$K$620,4,FALSE),"")</f>
        <v/>
      </c>
      <c r="ED73" s="445"/>
      <c r="EE73" s="445"/>
      <c r="EF73" s="445"/>
      <c r="EG73" s="445"/>
      <c r="EH73" s="446"/>
      <c r="EI73" s="446"/>
      <c r="EJ73" s="446"/>
      <c r="EK73" s="446"/>
      <c r="EL73" s="447"/>
      <c r="EM73" s="366" t="str">
        <f>IFERROR(VLOOKUP($CJ73,Skills!$H$2:$N$620,7,FALSE),"")</f>
        <v/>
      </c>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445" t="str">
        <f>IFERROR(VLOOKUP($CJ73,Skills!$H$2:$K$620,4,FALSE),"")</f>
        <v/>
      </c>
      <c r="GF73" s="445"/>
      <c r="GG73" s="445"/>
      <c r="GH73" s="445"/>
      <c r="GI73" s="445"/>
      <c r="GJ73" s="448"/>
      <c r="GK73" s="448"/>
      <c r="GL73" s="448"/>
      <c r="GM73" s="448"/>
      <c r="GN73" s="449"/>
    </row>
    <row r="74" spans="2:196" x14ac:dyDescent="0.25">
      <c r="B74" s="440" t="str">
        <f>"Maximum Bonus for each Knack:  "&amp;VLOOKUP(Z6,Charts!$B$2:$D$6,3,FALSE)</f>
        <v>Maximum Bonus for each Knack:  0</v>
      </c>
      <c r="C74" s="440"/>
      <c r="D74" s="440"/>
      <c r="E74" s="440"/>
      <c r="F74" s="440"/>
      <c r="G74" s="440"/>
      <c r="H74" s="440"/>
      <c r="I74" s="440"/>
      <c r="J74" s="440"/>
      <c r="K74" s="440"/>
      <c r="L74" s="440"/>
      <c r="M74" s="440"/>
      <c r="N74" s="440"/>
      <c r="O74" s="440"/>
      <c r="P74" s="440"/>
      <c r="Q74" s="440"/>
      <c r="R74" s="440"/>
      <c r="S74" s="440"/>
      <c r="T74" s="440"/>
      <c r="U74" s="440"/>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0"/>
      <c r="AU74" s="440"/>
      <c r="AV74" s="440"/>
      <c r="AW74" s="440"/>
      <c r="AX74" s="440"/>
      <c r="AY74" s="440"/>
      <c r="AZ74" s="440"/>
      <c r="BA74" s="440"/>
      <c r="BB74" s="440"/>
      <c r="BC74" s="440"/>
      <c r="BD74" s="440"/>
      <c r="BE74" s="440"/>
      <c r="BF74" s="440"/>
      <c r="BG74" s="440"/>
      <c r="BH74" s="440"/>
      <c r="BI74" s="440"/>
      <c r="BJ74" s="440"/>
      <c r="BK74" s="440"/>
      <c r="BL74" s="440"/>
      <c r="BM74" s="440"/>
      <c r="BN74" s="440"/>
      <c r="BO74" s="440"/>
      <c r="BP74" s="440"/>
      <c r="BQ74" s="440"/>
      <c r="BR74" s="440"/>
      <c r="BS74" s="440"/>
      <c r="BT74" s="440"/>
      <c r="BU74" s="440"/>
      <c r="BV74" s="440"/>
      <c r="BW74" s="440"/>
      <c r="BX74" s="440"/>
      <c r="BY74" s="440"/>
      <c r="BZ74" s="440"/>
      <c r="CA74" s="440"/>
      <c r="CB74" s="440"/>
      <c r="CC74" s="440"/>
      <c r="CD74" s="440"/>
      <c r="CE74" s="440"/>
      <c r="CF74" s="440"/>
      <c r="CG74" s="440"/>
      <c r="CH74" s="440"/>
      <c r="CI74">
        <v>60</v>
      </c>
      <c r="CJ74">
        <v>310</v>
      </c>
      <c r="CK74" s="450" t="str">
        <f>IFERROR(VLOOKUP($CI74,Skills!$H$2:$N$620,7,FALSE),"")</f>
        <v/>
      </c>
      <c r="CL74" s="451"/>
      <c r="CM74" s="451"/>
      <c r="CN74" s="451"/>
      <c r="CO74" s="451"/>
      <c r="CP74" s="451"/>
      <c r="CQ74" s="451"/>
      <c r="CR74" s="451"/>
      <c r="CS74" s="451"/>
      <c r="CT74" s="451"/>
      <c r="CU74" s="451"/>
      <c r="CV74" s="451"/>
      <c r="CW74" s="451"/>
      <c r="CX74" s="451"/>
      <c r="CY74" s="451"/>
      <c r="CZ74" s="451"/>
      <c r="DA74" s="451"/>
      <c r="DB74" s="451"/>
      <c r="DC74" s="451"/>
      <c r="DD74" s="451"/>
      <c r="DE74" s="451"/>
      <c r="DF74" s="451"/>
      <c r="DG74" s="451"/>
      <c r="DH74" s="451"/>
      <c r="DI74" s="451"/>
      <c r="DJ74" s="451"/>
      <c r="DK74" s="451"/>
      <c r="DL74" s="451"/>
      <c r="DM74" s="451"/>
      <c r="DN74" s="451"/>
      <c r="DO74" s="451"/>
      <c r="DP74" s="451"/>
      <c r="DQ74" s="451"/>
      <c r="DR74" s="451"/>
      <c r="DS74" s="451"/>
      <c r="DT74" s="451"/>
      <c r="DU74" s="451"/>
      <c r="DV74" s="451"/>
      <c r="DW74" s="451"/>
      <c r="DX74" s="451"/>
      <c r="DY74" s="451"/>
      <c r="DZ74" s="451"/>
      <c r="EA74" s="451"/>
      <c r="EB74" s="451"/>
      <c r="EC74" s="417" t="str">
        <f>IFERROR(VLOOKUP($CI74,Skills!$H$2:$K$620,4,FALSE),"")</f>
        <v/>
      </c>
      <c r="ED74" s="417"/>
      <c r="EE74" s="417"/>
      <c r="EF74" s="417"/>
      <c r="EG74" s="417"/>
      <c r="EH74" s="452"/>
      <c r="EI74" s="452"/>
      <c r="EJ74" s="452"/>
      <c r="EK74" s="452"/>
      <c r="EL74" s="453"/>
      <c r="EM74" s="451" t="str">
        <f>IFERROR(VLOOKUP($CJ74,Skills!$H$2:$N$620,7,FALSE),"")</f>
        <v/>
      </c>
      <c r="EN74" s="451"/>
      <c r="EO74" s="451"/>
      <c r="EP74" s="451"/>
      <c r="EQ74" s="451"/>
      <c r="ER74" s="451"/>
      <c r="ES74" s="451"/>
      <c r="ET74" s="451"/>
      <c r="EU74" s="451"/>
      <c r="EV74" s="451"/>
      <c r="EW74" s="451"/>
      <c r="EX74" s="451"/>
      <c r="EY74" s="451"/>
      <c r="EZ74" s="451"/>
      <c r="FA74" s="451"/>
      <c r="FB74" s="451"/>
      <c r="FC74" s="451"/>
      <c r="FD74" s="451"/>
      <c r="FE74" s="451"/>
      <c r="FF74" s="451"/>
      <c r="FG74" s="451"/>
      <c r="FH74" s="451"/>
      <c r="FI74" s="451"/>
      <c r="FJ74" s="451"/>
      <c r="FK74" s="451"/>
      <c r="FL74" s="451"/>
      <c r="FM74" s="451"/>
      <c r="FN74" s="451"/>
      <c r="FO74" s="451"/>
      <c r="FP74" s="451"/>
      <c r="FQ74" s="451"/>
      <c r="FR74" s="451"/>
      <c r="FS74" s="451"/>
      <c r="FT74" s="451"/>
      <c r="FU74" s="451"/>
      <c r="FV74" s="451"/>
      <c r="FW74" s="451"/>
      <c r="FX74" s="451"/>
      <c r="FY74" s="451"/>
      <c r="FZ74" s="451"/>
      <c r="GA74" s="451"/>
      <c r="GB74" s="451"/>
      <c r="GC74" s="451"/>
      <c r="GD74" s="451"/>
      <c r="GE74" s="417" t="str">
        <f>IFERROR(VLOOKUP($CJ74,Skills!$H$2:$K$620,4,FALSE),"")</f>
        <v/>
      </c>
      <c r="GF74" s="417"/>
      <c r="GG74" s="417"/>
      <c r="GH74" s="417"/>
      <c r="GI74" s="417"/>
      <c r="GJ74" s="454"/>
      <c r="GK74" s="454"/>
      <c r="GL74" s="454"/>
      <c r="GM74" s="454"/>
      <c r="GN74" s="455"/>
    </row>
    <row r="75" spans="2:196" ht="15.75" thickBot="1" x14ac:dyDescent="0.3">
      <c r="B75" s="441" t="str">
        <f>"Maximum Power Level Total:  "&amp;VLOOKUP(Z6,Charts!$B$2:$E$6,4,FALSE)</f>
        <v>Maximum Power Level Total:  +0</v>
      </c>
      <c r="C75" s="441"/>
      <c r="D75" s="441"/>
      <c r="E75" s="441"/>
      <c r="F75" s="441"/>
      <c r="G75" s="441"/>
      <c r="H75" s="441"/>
      <c r="I75" s="441"/>
      <c r="J75" s="441"/>
      <c r="K75" s="441"/>
      <c r="L75" s="441"/>
      <c r="M75" s="441"/>
      <c r="N75" s="441"/>
      <c r="O75" s="441"/>
      <c r="P75" s="441"/>
      <c r="Q75" s="441"/>
      <c r="R75" s="441"/>
      <c r="S75" s="441"/>
      <c r="T75" s="441"/>
      <c r="U75" s="441"/>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441"/>
      <c r="BU75" s="441"/>
      <c r="BV75" s="441"/>
      <c r="BW75" s="441"/>
      <c r="BX75" s="441"/>
      <c r="BY75" s="441"/>
      <c r="BZ75" s="441"/>
      <c r="CA75" s="441"/>
      <c r="CB75" s="441"/>
      <c r="CC75" s="441"/>
      <c r="CD75" s="441"/>
      <c r="CE75" s="441"/>
      <c r="CF75" s="441"/>
      <c r="CG75" s="441"/>
      <c r="CH75" s="441"/>
      <c r="CI75">
        <v>61</v>
      </c>
      <c r="CJ75">
        <v>311</v>
      </c>
      <c r="CK75" s="365" t="str">
        <f>IFERROR(VLOOKUP($CI75,Skills!$H$2:$N$620,7,FALSE),"")</f>
        <v/>
      </c>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445" t="str">
        <f>IFERROR(VLOOKUP($CI75,Skills!$H$2:$K$620,4,FALSE),"")</f>
        <v/>
      </c>
      <c r="ED75" s="445"/>
      <c r="EE75" s="445"/>
      <c r="EF75" s="445"/>
      <c r="EG75" s="445"/>
      <c r="EH75" s="446"/>
      <c r="EI75" s="446"/>
      <c r="EJ75" s="446"/>
      <c r="EK75" s="446"/>
      <c r="EL75" s="447"/>
      <c r="EM75" s="366" t="str">
        <f>IFERROR(VLOOKUP($CJ75,Skills!$H$2:$N$620,7,FALSE),"")</f>
        <v/>
      </c>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445" t="str">
        <f>IFERROR(VLOOKUP($CJ75,Skills!$H$2:$K$620,4,FALSE),"")</f>
        <v/>
      </c>
      <c r="GF75" s="445"/>
      <c r="GG75" s="445"/>
      <c r="GH75" s="445"/>
      <c r="GI75" s="445"/>
      <c r="GJ75" s="448"/>
      <c r="GK75" s="448"/>
      <c r="GL75" s="448"/>
      <c r="GM75" s="448"/>
      <c r="GN75" s="449"/>
    </row>
    <row r="76" spans="2:196" ht="15.75" thickBot="1" x14ac:dyDescent="0.3">
      <c r="B76" s="434" t="str">
        <f>IF(1&lt;VLOOKUP(Z6,Charts!$B$2:$C$6,2,FALSE)+1,"1.","")</f>
        <v/>
      </c>
      <c r="C76" s="434"/>
      <c r="D76" s="434"/>
      <c r="E76" s="434"/>
      <c r="F76" s="434"/>
      <c r="G76" s="434"/>
      <c r="H76" s="433"/>
      <c r="I76" s="433"/>
      <c r="J76" s="433"/>
      <c r="K76" s="433"/>
      <c r="L76" s="433"/>
      <c r="M76" s="433"/>
      <c r="N76" s="433"/>
      <c r="O76" s="433"/>
      <c r="P76" s="433"/>
      <c r="Q76" s="433"/>
      <c r="R76" s="433"/>
      <c r="S76" s="433"/>
      <c r="T76" s="433"/>
      <c r="U76" s="433"/>
      <c r="V76" s="433"/>
      <c r="W76" s="433"/>
      <c r="X76" s="433"/>
      <c r="Y76" s="433"/>
      <c r="Z76" s="433"/>
      <c r="AA76" s="433"/>
      <c r="AB76" s="433"/>
      <c r="AC76" s="433"/>
      <c r="AD76" s="433"/>
      <c r="AE76" s="433"/>
      <c r="AF76" s="433"/>
      <c r="AG76" s="433"/>
      <c r="AH76" s="433"/>
      <c r="AI76" s="433"/>
      <c r="AJ76" s="433"/>
      <c r="AK76" s="433"/>
      <c r="AL76" s="433"/>
      <c r="AM76" s="433"/>
      <c r="AN76" s="433"/>
      <c r="AO76" s="433"/>
      <c r="AP76" s="433"/>
      <c r="AQ76" s="433"/>
      <c r="AR76" s="433"/>
      <c r="AS76" s="433"/>
      <c r="AT76" s="433"/>
      <c r="AU76" s="433"/>
      <c r="AV76" s="433"/>
      <c r="AW76" s="433"/>
      <c r="AX76" s="433"/>
      <c r="AY76" s="433"/>
      <c r="AZ76" s="433"/>
      <c r="BA76" s="433"/>
      <c r="BB76" s="433"/>
      <c r="BC76" s="433"/>
      <c r="BD76" s="433"/>
      <c r="BE76" s="433"/>
      <c r="BF76" s="433"/>
      <c r="BG76" s="442" t="s">
        <v>850</v>
      </c>
      <c r="BH76" s="442"/>
      <c r="BI76" s="442"/>
      <c r="BJ76" s="442"/>
      <c r="BK76" s="442"/>
      <c r="BL76" s="442"/>
      <c r="BM76" s="442"/>
      <c r="BN76" s="442"/>
      <c r="BO76" s="442"/>
      <c r="BP76" s="442"/>
      <c r="BQ76" s="442"/>
      <c r="BR76" s="442"/>
      <c r="BS76" s="442"/>
      <c r="BT76" s="442"/>
      <c r="BU76" s="438"/>
      <c r="BV76" s="438"/>
      <c r="BW76" s="438"/>
      <c r="BX76" s="438"/>
      <c r="BY76" s="438"/>
      <c r="BZ76" s="438"/>
      <c r="CA76" s="438"/>
      <c r="CB76" s="438"/>
      <c r="CC76" s="438"/>
      <c r="CD76" s="438"/>
      <c r="CE76" s="438"/>
      <c r="CF76" s="438"/>
      <c r="CG76" s="438"/>
      <c r="CH76" s="438"/>
      <c r="CI76">
        <v>62</v>
      </c>
      <c r="CJ76">
        <v>312</v>
      </c>
      <c r="CK76" s="450" t="str">
        <f>IFERROR(VLOOKUP($CI76,Skills!$H$2:$N$620,7,FALSE),"")</f>
        <v/>
      </c>
      <c r="CL76" s="451"/>
      <c r="CM76" s="451"/>
      <c r="CN76" s="451"/>
      <c r="CO76" s="451"/>
      <c r="CP76" s="451"/>
      <c r="CQ76" s="451"/>
      <c r="CR76" s="451"/>
      <c r="CS76" s="451"/>
      <c r="CT76" s="451"/>
      <c r="CU76" s="451"/>
      <c r="CV76" s="451"/>
      <c r="CW76" s="451"/>
      <c r="CX76" s="451"/>
      <c r="CY76" s="451"/>
      <c r="CZ76" s="451"/>
      <c r="DA76" s="451"/>
      <c r="DB76" s="451"/>
      <c r="DC76" s="451"/>
      <c r="DD76" s="451"/>
      <c r="DE76" s="451"/>
      <c r="DF76" s="451"/>
      <c r="DG76" s="451"/>
      <c r="DH76" s="451"/>
      <c r="DI76" s="451"/>
      <c r="DJ76" s="451"/>
      <c r="DK76" s="451"/>
      <c r="DL76" s="451"/>
      <c r="DM76" s="451"/>
      <c r="DN76" s="451"/>
      <c r="DO76" s="451"/>
      <c r="DP76" s="451"/>
      <c r="DQ76" s="451"/>
      <c r="DR76" s="451"/>
      <c r="DS76" s="451"/>
      <c r="DT76" s="451"/>
      <c r="DU76" s="451"/>
      <c r="DV76" s="451"/>
      <c r="DW76" s="451"/>
      <c r="DX76" s="451"/>
      <c r="DY76" s="451"/>
      <c r="DZ76" s="451"/>
      <c r="EA76" s="451"/>
      <c r="EB76" s="451"/>
      <c r="EC76" s="417" t="str">
        <f>IFERROR(VLOOKUP($CI76,Skills!$H$2:$K$620,4,FALSE),"")</f>
        <v/>
      </c>
      <c r="ED76" s="417"/>
      <c r="EE76" s="417"/>
      <c r="EF76" s="417"/>
      <c r="EG76" s="417"/>
      <c r="EH76" s="452"/>
      <c r="EI76" s="452"/>
      <c r="EJ76" s="452"/>
      <c r="EK76" s="452"/>
      <c r="EL76" s="453"/>
      <c r="EM76" s="451" t="str">
        <f>IFERROR(VLOOKUP($CJ76,Skills!$H$2:$N$620,7,FALSE),"")</f>
        <v/>
      </c>
      <c r="EN76" s="451"/>
      <c r="EO76" s="451"/>
      <c r="EP76" s="451"/>
      <c r="EQ76" s="451"/>
      <c r="ER76" s="451"/>
      <c r="ES76" s="451"/>
      <c r="ET76" s="451"/>
      <c r="EU76" s="451"/>
      <c r="EV76" s="451"/>
      <c r="EW76" s="451"/>
      <c r="EX76" s="451"/>
      <c r="EY76" s="451"/>
      <c r="EZ76" s="451"/>
      <c r="FA76" s="451"/>
      <c r="FB76" s="451"/>
      <c r="FC76" s="451"/>
      <c r="FD76" s="451"/>
      <c r="FE76" s="451"/>
      <c r="FF76" s="451"/>
      <c r="FG76" s="451"/>
      <c r="FH76" s="451"/>
      <c r="FI76" s="451"/>
      <c r="FJ76" s="451"/>
      <c r="FK76" s="451"/>
      <c r="FL76" s="451"/>
      <c r="FM76" s="451"/>
      <c r="FN76" s="451"/>
      <c r="FO76" s="451"/>
      <c r="FP76" s="451"/>
      <c r="FQ76" s="451"/>
      <c r="FR76" s="451"/>
      <c r="FS76" s="451"/>
      <c r="FT76" s="451"/>
      <c r="FU76" s="451"/>
      <c r="FV76" s="451"/>
      <c r="FW76" s="451"/>
      <c r="FX76" s="451"/>
      <c r="FY76" s="451"/>
      <c r="FZ76" s="451"/>
      <c r="GA76" s="451"/>
      <c r="GB76" s="451"/>
      <c r="GC76" s="451"/>
      <c r="GD76" s="451"/>
      <c r="GE76" s="417" t="str">
        <f>IFERROR(VLOOKUP($CJ76,Skills!$H$2:$K$620,4,FALSE),"")</f>
        <v/>
      </c>
      <c r="GF76" s="417"/>
      <c r="GG76" s="417"/>
      <c r="GH76" s="417"/>
      <c r="GI76" s="417"/>
      <c r="GJ76" s="454"/>
      <c r="GK76" s="454"/>
      <c r="GL76" s="454"/>
      <c r="GM76" s="454"/>
      <c r="GN76" s="455"/>
    </row>
    <row r="77" spans="2:196" ht="15.75" thickBot="1" x14ac:dyDescent="0.3">
      <c r="B77" s="430" t="str">
        <f>IF(2&lt;VLOOKUP(Z6,Charts!$B$2:$C$6,2,FALSE)+1,"2.","")</f>
        <v/>
      </c>
      <c r="C77" s="430"/>
      <c r="D77" s="430"/>
      <c r="E77" s="430"/>
      <c r="F77" s="430"/>
      <c r="G77" s="430"/>
      <c r="H77" s="431"/>
      <c r="I77" s="431"/>
      <c r="J77" s="431"/>
      <c r="K77" s="431"/>
      <c r="L77" s="431"/>
      <c r="M77" s="431"/>
      <c r="N77" s="431"/>
      <c r="O77" s="431"/>
      <c r="P77" s="431"/>
      <c r="Q77" s="431"/>
      <c r="R77" s="431"/>
      <c r="S77" s="431"/>
      <c r="T77" s="431"/>
      <c r="U77" s="431"/>
      <c r="V77" s="431"/>
      <c r="W77" s="431"/>
      <c r="X77" s="431"/>
      <c r="Y77" s="431"/>
      <c r="Z77" s="431"/>
      <c r="AA77" s="431"/>
      <c r="AB77" s="431"/>
      <c r="AC77" s="431"/>
      <c r="AD77" s="431"/>
      <c r="AE77" s="431"/>
      <c r="AF77" s="431"/>
      <c r="AG77" s="431"/>
      <c r="AH77" s="431"/>
      <c r="AI77" s="431"/>
      <c r="AJ77" s="431"/>
      <c r="AK77" s="431"/>
      <c r="AL77" s="431"/>
      <c r="AM77" s="431"/>
      <c r="AN77" s="431"/>
      <c r="AO77" s="431"/>
      <c r="AP77" s="431"/>
      <c r="AQ77" s="431"/>
      <c r="AR77" s="431"/>
      <c r="AS77" s="431"/>
      <c r="AT77" s="431"/>
      <c r="AU77" s="431"/>
      <c r="AV77" s="431"/>
      <c r="AW77" s="431"/>
      <c r="AX77" s="431"/>
      <c r="AY77" s="431"/>
      <c r="AZ77" s="431"/>
      <c r="BA77" s="431"/>
      <c r="BB77" s="431"/>
      <c r="BC77" s="431"/>
      <c r="BD77" s="431"/>
      <c r="BE77" s="431"/>
      <c r="BF77" s="431"/>
      <c r="BG77" s="435" t="s">
        <v>850</v>
      </c>
      <c r="BH77" s="435"/>
      <c r="BI77" s="435"/>
      <c r="BJ77" s="435"/>
      <c r="BK77" s="435"/>
      <c r="BL77" s="435"/>
      <c r="BM77" s="435"/>
      <c r="BN77" s="435"/>
      <c r="BO77" s="435"/>
      <c r="BP77" s="435"/>
      <c r="BQ77" s="435"/>
      <c r="BR77" s="435"/>
      <c r="BS77" s="435"/>
      <c r="BT77" s="435"/>
      <c r="BU77" s="436"/>
      <c r="BV77" s="436"/>
      <c r="BW77" s="436"/>
      <c r="BX77" s="436"/>
      <c r="BY77" s="436"/>
      <c r="BZ77" s="436"/>
      <c r="CA77" s="436"/>
      <c r="CB77" s="436"/>
      <c r="CC77" s="436"/>
      <c r="CD77" s="436"/>
      <c r="CE77" s="436"/>
      <c r="CF77" s="436"/>
      <c r="CG77" s="436"/>
      <c r="CH77" s="436"/>
      <c r="CI77">
        <v>63</v>
      </c>
      <c r="CJ77">
        <v>313</v>
      </c>
      <c r="CK77" s="365" t="str">
        <f>IFERROR(VLOOKUP($CI77,Skills!$H$2:$N$620,7,FALSE),"")</f>
        <v/>
      </c>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445" t="str">
        <f>IFERROR(VLOOKUP($CI77,Skills!$H$2:$K$620,4,FALSE),"")</f>
        <v/>
      </c>
      <c r="ED77" s="445"/>
      <c r="EE77" s="445"/>
      <c r="EF77" s="445"/>
      <c r="EG77" s="445"/>
      <c r="EH77" s="446"/>
      <c r="EI77" s="446"/>
      <c r="EJ77" s="446"/>
      <c r="EK77" s="446"/>
      <c r="EL77" s="447"/>
      <c r="EM77" s="366" t="str">
        <f>IFERROR(VLOOKUP($CJ77,Skills!$H$2:$N$620,7,FALSE),"")</f>
        <v/>
      </c>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445" t="str">
        <f>IFERROR(VLOOKUP($CJ77,Skills!$H$2:$K$620,4,FALSE),"")</f>
        <v/>
      </c>
      <c r="GF77" s="445"/>
      <c r="GG77" s="445"/>
      <c r="GH77" s="445"/>
      <c r="GI77" s="445"/>
      <c r="GJ77" s="448"/>
      <c r="GK77" s="448"/>
      <c r="GL77" s="448"/>
      <c r="GM77" s="448"/>
      <c r="GN77" s="449"/>
    </row>
    <row r="78" spans="2:196" ht="15.75" thickBot="1" x14ac:dyDescent="0.3">
      <c r="B78" s="432" t="str">
        <f>IF(3&lt;VLOOKUP(Z6,Charts!$B$2:$C$6,2,FALSE)+1,"3.","")</f>
        <v/>
      </c>
      <c r="C78" s="432"/>
      <c r="D78" s="432"/>
      <c r="E78" s="432"/>
      <c r="F78" s="432"/>
      <c r="G78" s="432"/>
      <c r="H78" s="433"/>
      <c r="I78" s="433"/>
      <c r="J78" s="433"/>
      <c r="K78" s="433"/>
      <c r="L78" s="433"/>
      <c r="M78" s="433"/>
      <c r="N78" s="433"/>
      <c r="O78" s="433"/>
      <c r="P78" s="433"/>
      <c r="Q78" s="433"/>
      <c r="R78" s="433"/>
      <c r="S78" s="433"/>
      <c r="T78" s="433"/>
      <c r="U78" s="433"/>
      <c r="V78" s="433"/>
      <c r="W78" s="433"/>
      <c r="X78" s="433"/>
      <c r="Y78" s="433"/>
      <c r="Z78" s="433"/>
      <c r="AA78" s="433"/>
      <c r="AB78" s="433"/>
      <c r="AC78" s="433"/>
      <c r="AD78" s="433"/>
      <c r="AE78" s="433"/>
      <c r="AF78" s="433"/>
      <c r="AG78" s="433"/>
      <c r="AH78" s="433"/>
      <c r="AI78" s="433"/>
      <c r="AJ78" s="433"/>
      <c r="AK78" s="433"/>
      <c r="AL78" s="433"/>
      <c r="AM78" s="433"/>
      <c r="AN78" s="433"/>
      <c r="AO78" s="433"/>
      <c r="AP78" s="433"/>
      <c r="AQ78" s="433"/>
      <c r="AR78" s="433"/>
      <c r="AS78" s="433"/>
      <c r="AT78" s="433"/>
      <c r="AU78" s="433"/>
      <c r="AV78" s="433"/>
      <c r="AW78" s="433"/>
      <c r="AX78" s="433"/>
      <c r="AY78" s="433"/>
      <c r="AZ78" s="433"/>
      <c r="BA78" s="433"/>
      <c r="BB78" s="433"/>
      <c r="BC78" s="433"/>
      <c r="BD78" s="433"/>
      <c r="BE78" s="433"/>
      <c r="BF78" s="433"/>
      <c r="BG78" s="437" t="s">
        <v>850</v>
      </c>
      <c r="BH78" s="437"/>
      <c r="BI78" s="437"/>
      <c r="BJ78" s="437"/>
      <c r="BK78" s="437"/>
      <c r="BL78" s="437"/>
      <c r="BM78" s="437"/>
      <c r="BN78" s="437"/>
      <c r="BO78" s="437"/>
      <c r="BP78" s="437"/>
      <c r="BQ78" s="437"/>
      <c r="BR78" s="437"/>
      <c r="BS78" s="437"/>
      <c r="BT78" s="437"/>
      <c r="BU78" s="438"/>
      <c r="BV78" s="438"/>
      <c r="BW78" s="438"/>
      <c r="BX78" s="438"/>
      <c r="BY78" s="438"/>
      <c r="BZ78" s="438"/>
      <c r="CA78" s="438"/>
      <c r="CB78" s="438"/>
      <c r="CC78" s="438"/>
      <c r="CD78" s="438"/>
      <c r="CE78" s="438"/>
      <c r="CF78" s="438"/>
      <c r="CG78" s="438"/>
      <c r="CH78" s="438"/>
      <c r="CI78">
        <v>64</v>
      </c>
      <c r="CJ78">
        <v>314</v>
      </c>
      <c r="CK78" s="450" t="str">
        <f>IFERROR(VLOOKUP($CI78,Skills!$H$2:$N$620,7,FALSE),"")</f>
        <v/>
      </c>
      <c r="CL78" s="451"/>
      <c r="CM78" s="451"/>
      <c r="CN78" s="451"/>
      <c r="CO78" s="451"/>
      <c r="CP78" s="451"/>
      <c r="CQ78" s="451"/>
      <c r="CR78" s="451"/>
      <c r="CS78" s="451"/>
      <c r="CT78" s="451"/>
      <c r="CU78" s="451"/>
      <c r="CV78" s="451"/>
      <c r="CW78" s="451"/>
      <c r="CX78" s="451"/>
      <c r="CY78" s="451"/>
      <c r="CZ78" s="451"/>
      <c r="DA78" s="451"/>
      <c r="DB78" s="451"/>
      <c r="DC78" s="451"/>
      <c r="DD78" s="451"/>
      <c r="DE78" s="451"/>
      <c r="DF78" s="451"/>
      <c r="DG78" s="451"/>
      <c r="DH78" s="451"/>
      <c r="DI78" s="451"/>
      <c r="DJ78" s="451"/>
      <c r="DK78" s="451"/>
      <c r="DL78" s="451"/>
      <c r="DM78" s="451"/>
      <c r="DN78" s="451"/>
      <c r="DO78" s="451"/>
      <c r="DP78" s="451"/>
      <c r="DQ78" s="451"/>
      <c r="DR78" s="451"/>
      <c r="DS78" s="451"/>
      <c r="DT78" s="451"/>
      <c r="DU78" s="451"/>
      <c r="DV78" s="451"/>
      <c r="DW78" s="451"/>
      <c r="DX78" s="451"/>
      <c r="DY78" s="451"/>
      <c r="DZ78" s="451"/>
      <c r="EA78" s="451"/>
      <c r="EB78" s="451"/>
      <c r="EC78" s="417" t="str">
        <f>IFERROR(VLOOKUP($CI78,Skills!$H$2:$K$620,4,FALSE),"")</f>
        <v/>
      </c>
      <c r="ED78" s="417"/>
      <c r="EE78" s="417"/>
      <c r="EF78" s="417"/>
      <c r="EG78" s="417"/>
      <c r="EH78" s="452"/>
      <c r="EI78" s="452"/>
      <c r="EJ78" s="452"/>
      <c r="EK78" s="452"/>
      <c r="EL78" s="453"/>
      <c r="EM78" s="451" t="str">
        <f>IFERROR(VLOOKUP($CJ78,Skills!$H$2:$N$620,7,FALSE),"")</f>
        <v/>
      </c>
      <c r="EN78" s="451"/>
      <c r="EO78" s="451"/>
      <c r="EP78" s="451"/>
      <c r="EQ78" s="451"/>
      <c r="ER78" s="451"/>
      <c r="ES78" s="451"/>
      <c r="ET78" s="451"/>
      <c r="EU78" s="451"/>
      <c r="EV78" s="451"/>
      <c r="EW78" s="451"/>
      <c r="EX78" s="451"/>
      <c r="EY78" s="451"/>
      <c r="EZ78" s="451"/>
      <c r="FA78" s="451"/>
      <c r="FB78" s="451"/>
      <c r="FC78" s="451"/>
      <c r="FD78" s="451"/>
      <c r="FE78" s="451"/>
      <c r="FF78" s="451"/>
      <c r="FG78" s="451"/>
      <c r="FH78" s="451"/>
      <c r="FI78" s="451"/>
      <c r="FJ78" s="451"/>
      <c r="FK78" s="451"/>
      <c r="FL78" s="451"/>
      <c r="FM78" s="451"/>
      <c r="FN78" s="451"/>
      <c r="FO78" s="451"/>
      <c r="FP78" s="451"/>
      <c r="FQ78" s="451"/>
      <c r="FR78" s="451"/>
      <c r="FS78" s="451"/>
      <c r="FT78" s="451"/>
      <c r="FU78" s="451"/>
      <c r="FV78" s="451"/>
      <c r="FW78" s="451"/>
      <c r="FX78" s="451"/>
      <c r="FY78" s="451"/>
      <c r="FZ78" s="451"/>
      <c r="GA78" s="451"/>
      <c r="GB78" s="451"/>
      <c r="GC78" s="451"/>
      <c r="GD78" s="451"/>
      <c r="GE78" s="417" t="str">
        <f>IFERROR(VLOOKUP($CJ78,Skills!$H$2:$K$620,4,FALSE),"")</f>
        <v/>
      </c>
      <c r="GF78" s="417"/>
      <c r="GG78" s="417"/>
      <c r="GH78" s="417"/>
      <c r="GI78" s="417"/>
      <c r="GJ78" s="454"/>
      <c r="GK78" s="454"/>
      <c r="GL78" s="454"/>
      <c r="GM78" s="454"/>
      <c r="GN78" s="455"/>
    </row>
    <row r="79" spans="2:196" ht="15.75" thickBot="1" x14ac:dyDescent="0.3">
      <c r="B79" s="430" t="str">
        <f>IF(4&lt;VLOOKUP(Z6,Charts!$B$2:$C$6,2,FALSE)+1,"4.","")</f>
        <v/>
      </c>
      <c r="C79" s="430"/>
      <c r="D79" s="430"/>
      <c r="E79" s="430"/>
      <c r="F79" s="430"/>
      <c r="G79" s="430"/>
      <c r="H79" s="431"/>
      <c r="I79" s="431"/>
      <c r="J79" s="431"/>
      <c r="K79" s="431"/>
      <c r="L79" s="431"/>
      <c r="M79" s="431"/>
      <c r="N79" s="431"/>
      <c r="O79" s="431"/>
      <c r="P79" s="431"/>
      <c r="Q79" s="431"/>
      <c r="R79" s="431"/>
      <c r="S79" s="431"/>
      <c r="T79" s="431"/>
      <c r="U79" s="431"/>
      <c r="V79" s="431"/>
      <c r="W79" s="431"/>
      <c r="X79" s="431"/>
      <c r="Y79" s="431"/>
      <c r="Z79" s="431"/>
      <c r="AA79" s="431"/>
      <c r="AB79" s="431"/>
      <c r="AC79" s="431"/>
      <c r="AD79" s="431"/>
      <c r="AE79" s="431"/>
      <c r="AF79" s="431"/>
      <c r="AG79" s="431"/>
      <c r="AH79" s="431"/>
      <c r="AI79" s="431"/>
      <c r="AJ79" s="431"/>
      <c r="AK79" s="431"/>
      <c r="AL79" s="431"/>
      <c r="AM79" s="431"/>
      <c r="AN79" s="431"/>
      <c r="AO79" s="431"/>
      <c r="AP79" s="431"/>
      <c r="AQ79" s="431"/>
      <c r="AR79" s="431"/>
      <c r="AS79" s="431"/>
      <c r="AT79" s="431"/>
      <c r="AU79" s="431"/>
      <c r="AV79" s="431"/>
      <c r="AW79" s="431"/>
      <c r="AX79" s="431"/>
      <c r="AY79" s="431"/>
      <c r="AZ79" s="431"/>
      <c r="BA79" s="431"/>
      <c r="BB79" s="431"/>
      <c r="BC79" s="431"/>
      <c r="BD79" s="431"/>
      <c r="BE79" s="431"/>
      <c r="BF79" s="431"/>
      <c r="BG79" s="435" t="s">
        <v>850</v>
      </c>
      <c r="BH79" s="435"/>
      <c r="BI79" s="435"/>
      <c r="BJ79" s="435"/>
      <c r="BK79" s="435"/>
      <c r="BL79" s="435"/>
      <c r="BM79" s="435"/>
      <c r="BN79" s="435"/>
      <c r="BO79" s="435"/>
      <c r="BP79" s="435"/>
      <c r="BQ79" s="435"/>
      <c r="BR79" s="435"/>
      <c r="BS79" s="435"/>
      <c r="BT79" s="435"/>
      <c r="BU79" s="431"/>
      <c r="BV79" s="431"/>
      <c r="BW79" s="431"/>
      <c r="BX79" s="431"/>
      <c r="BY79" s="431"/>
      <c r="BZ79" s="431"/>
      <c r="CA79" s="431"/>
      <c r="CB79" s="431"/>
      <c r="CC79" s="431"/>
      <c r="CD79" s="431"/>
      <c r="CE79" s="431"/>
      <c r="CF79" s="431"/>
      <c r="CG79" s="431"/>
      <c r="CH79" s="431"/>
      <c r="CI79">
        <v>65</v>
      </c>
      <c r="CJ79">
        <v>315</v>
      </c>
      <c r="CK79" s="365" t="str">
        <f>IFERROR(VLOOKUP($CI79,Skills!$H$2:$N$620,7,FALSE),"")</f>
        <v/>
      </c>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445" t="str">
        <f>IFERROR(VLOOKUP($CI79,Skills!$H$2:$K$620,4,FALSE),"")</f>
        <v/>
      </c>
      <c r="ED79" s="445"/>
      <c r="EE79" s="445"/>
      <c r="EF79" s="445"/>
      <c r="EG79" s="445"/>
      <c r="EH79" s="446"/>
      <c r="EI79" s="446"/>
      <c r="EJ79" s="446"/>
      <c r="EK79" s="446"/>
      <c r="EL79" s="447"/>
      <c r="EM79" s="366" t="str">
        <f>IFERROR(VLOOKUP($CJ79,Skills!$H$2:$N$620,7,FALSE),"")</f>
        <v/>
      </c>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445" t="str">
        <f>IFERROR(VLOOKUP($CJ79,Skills!$H$2:$K$620,4,FALSE),"")</f>
        <v/>
      </c>
      <c r="GF79" s="445"/>
      <c r="GG79" s="445"/>
      <c r="GH79" s="445"/>
      <c r="GI79" s="445"/>
      <c r="GJ79" s="448"/>
      <c r="GK79" s="448"/>
      <c r="GL79" s="448"/>
      <c r="GM79" s="448"/>
      <c r="GN79" s="449"/>
    </row>
    <row r="80" spans="2:196" ht="15.75" thickBot="1" x14ac:dyDescent="0.3">
      <c r="B80" s="432" t="str">
        <f>IF(5&lt;VLOOKUP(Z6,Charts!$B$2:$C$6,2,FALSE)+1,"5.","")</f>
        <v/>
      </c>
      <c r="C80" s="432"/>
      <c r="D80" s="432"/>
      <c r="E80" s="432"/>
      <c r="F80" s="432"/>
      <c r="G80" s="432"/>
      <c r="H80" s="433"/>
      <c r="I80" s="433"/>
      <c r="J80" s="433"/>
      <c r="K80" s="433"/>
      <c r="L80" s="433"/>
      <c r="M80" s="433"/>
      <c r="N80" s="433"/>
      <c r="O80" s="433"/>
      <c r="P80" s="433"/>
      <c r="Q80" s="433"/>
      <c r="R80" s="433"/>
      <c r="S80" s="433"/>
      <c r="T80" s="433"/>
      <c r="U80" s="433"/>
      <c r="V80" s="433"/>
      <c r="W80" s="433"/>
      <c r="X80" s="433"/>
      <c r="Y80" s="433"/>
      <c r="Z80" s="433"/>
      <c r="AA80" s="433"/>
      <c r="AB80" s="433"/>
      <c r="AC80" s="433"/>
      <c r="AD80" s="433"/>
      <c r="AE80" s="433"/>
      <c r="AF80" s="433"/>
      <c r="AG80" s="433"/>
      <c r="AH80" s="433"/>
      <c r="AI80" s="433"/>
      <c r="AJ80" s="433"/>
      <c r="AK80" s="433"/>
      <c r="AL80" s="433"/>
      <c r="AM80" s="433"/>
      <c r="AN80" s="433"/>
      <c r="AO80" s="433"/>
      <c r="AP80" s="433"/>
      <c r="AQ80" s="433"/>
      <c r="AR80" s="433"/>
      <c r="AS80" s="433"/>
      <c r="AT80" s="433"/>
      <c r="AU80" s="433"/>
      <c r="AV80" s="433"/>
      <c r="AW80" s="433"/>
      <c r="AX80" s="433"/>
      <c r="AY80" s="433"/>
      <c r="AZ80" s="433"/>
      <c r="BA80" s="433"/>
      <c r="BB80" s="433"/>
      <c r="BC80" s="433"/>
      <c r="BD80" s="433"/>
      <c r="BE80" s="433"/>
      <c r="BF80" s="433"/>
      <c r="BG80" s="437" t="s">
        <v>850</v>
      </c>
      <c r="BH80" s="437"/>
      <c r="BI80" s="437"/>
      <c r="BJ80" s="437"/>
      <c r="BK80" s="437"/>
      <c r="BL80" s="437"/>
      <c r="BM80" s="437"/>
      <c r="BN80" s="437"/>
      <c r="BO80" s="437"/>
      <c r="BP80" s="437"/>
      <c r="BQ80" s="437"/>
      <c r="BR80" s="437"/>
      <c r="BS80" s="437"/>
      <c r="BT80" s="437"/>
      <c r="BU80" s="433"/>
      <c r="BV80" s="433"/>
      <c r="BW80" s="433"/>
      <c r="BX80" s="433"/>
      <c r="BY80" s="433"/>
      <c r="BZ80" s="433"/>
      <c r="CA80" s="433"/>
      <c r="CB80" s="433"/>
      <c r="CC80" s="433"/>
      <c r="CD80" s="433"/>
      <c r="CE80" s="433"/>
      <c r="CF80" s="433"/>
      <c r="CG80" s="433"/>
      <c r="CH80" s="433"/>
      <c r="CI80">
        <v>66</v>
      </c>
      <c r="CJ80">
        <v>316</v>
      </c>
      <c r="CK80" s="450" t="str">
        <f>IFERROR(VLOOKUP($CI80,Skills!$H$2:$N$620,7,FALSE),"")</f>
        <v/>
      </c>
      <c r="CL80" s="451"/>
      <c r="CM80" s="451"/>
      <c r="CN80" s="451"/>
      <c r="CO80" s="451"/>
      <c r="CP80" s="451"/>
      <c r="CQ80" s="451"/>
      <c r="CR80" s="451"/>
      <c r="CS80" s="451"/>
      <c r="CT80" s="451"/>
      <c r="CU80" s="451"/>
      <c r="CV80" s="451"/>
      <c r="CW80" s="451"/>
      <c r="CX80" s="451"/>
      <c r="CY80" s="451"/>
      <c r="CZ80" s="451"/>
      <c r="DA80" s="451"/>
      <c r="DB80" s="451"/>
      <c r="DC80" s="451"/>
      <c r="DD80" s="451"/>
      <c r="DE80" s="451"/>
      <c r="DF80" s="451"/>
      <c r="DG80" s="451"/>
      <c r="DH80" s="451"/>
      <c r="DI80" s="451"/>
      <c r="DJ80" s="451"/>
      <c r="DK80" s="451"/>
      <c r="DL80" s="451"/>
      <c r="DM80" s="451"/>
      <c r="DN80" s="451"/>
      <c r="DO80" s="451"/>
      <c r="DP80" s="451"/>
      <c r="DQ80" s="451"/>
      <c r="DR80" s="451"/>
      <c r="DS80" s="451"/>
      <c r="DT80" s="451"/>
      <c r="DU80" s="451"/>
      <c r="DV80" s="451"/>
      <c r="DW80" s="451"/>
      <c r="DX80" s="451"/>
      <c r="DY80" s="451"/>
      <c r="DZ80" s="451"/>
      <c r="EA80" s="451"/>
      <c r="EB80" s="451"/>
      <c r="EC80" s="417" t="str">
        <f>IFERROR(VLOOKUP($CI80,Skills!$H$2:$K$620,4,FALSE),"")</f>
        <v/>
      </c>
      <c r="ED80" s="417"/>
      <c r="EE80" s="417"/>
      <c r="EF80" s="417"/>
      <c r="EG80" s="417"/>
      <c r="EH80" s="452"/>
      <c r="EI80" s="452"/>
      <c r="EJ80" s="452"/>
      <c r="EK80" s="452"/>
      <c r="EL80" s="453"/>
      <c r="EM80" s="451" t="str">
        <f>IFERROR(VLOOKUP($CJ80,Skills!$H$2:$N$620,7,FALSE),"")</f>
        <v/>
      </c>
      <c r="EN80" s="451"/>
      <c r="EO80" s="451"/>
      <c r="EP80" s="451"/>
      <c r="EQ80" s="451"/>
      <c r="ER80" s="451"/>
      <c r="ES80" s="451"/>
      <c r="ET80" s="451"/>
      <c r="EU80" s="451"/>
      <c r="EV80" s="451"/>
      <c r="EW80" s="451"/>
      <c r="EX80" s="451"/>
      <c r="EY80" s="451"/>
      <c r="EZ80" s="451"/>
      <c r="FA80" s="451"/>
      <c r="FB80" s="451"/>
      <c r="FC80" s="451"/>
      <c r="FD80" s="451"/>
      <c r="FE80" s="451"/>
      <c r="FF80" s="451"/>
      <c r="FG80" s="451"/>
      <c r="FH80" s="451"/>
      <c r="FI80" s="451"/>
      <c r="FJ80" s="451"/>
      <c r="FK80" s="451"/>
      <c r="FL80" s="451"/>
      <c r="FM80" s="451"/>
      <c r="FN80" s="451"/>
      <c r="FO80" s="451"/>
      <c r="FP80" s="451"/>
      <c r="FQ80" s="451"/>
      <c r="FR80" s="451"/>
      <c r="FS80" s="451"/>
      <c r="FT80" s="451"/>
      <c r="FU80" s="451"/>
      <c r="FV80" s="451"/>
      <c r="FW80" s="451"/>
      <c r="FX80" s="451"/>
      <c r="FY80" s="451"/>
      <c r="FZ80" s="451"/>
      <c r="GA80" s="451"/>
      <c r="GB80" s="451"/>
      <c r="GC80" s="451"/>
      <c r="GD80" s="451"/>
      <c r="GE80" s="417" t="str">
        <f>IFERROR(VLOOKUP($CJ80,Skills!$H$2:$K$620,4,FALSE),"")</f>
        <v/>
      </c>
      <c r="GF80" s="417"/>
      <c r="GG80" s="417"/>
      <c r="GH80" s="417"/>
      <c r="GI80" s="417"/>
      <c r="GJ80" s="454"/>
      <c r="GK80" s="454"/>
      <c r="GL80" s="454"/>
      <c r="GM80" s="454"/>
      <c r="GN80" s="455"/>
    </row>
    <row r="81" spans="2:196" ht="15.75" thickBot="1" x14ac:dyDescent="0.3">
      <c r="B81" s="430" t="str">
        <f>IF(6&lt;VLOOKUP(Z6,Charts!$B$2:$C$6,2,FALSE)+1,"6.","")</f>
        <v/>
      </c>
      <c r="C81" s="430"/>
      <c r="D81" s="430"/>
      <c r="E81" s="430"/>
      <c r="F81" s="430"/>
      <c r="G81" s="430"/>
      <c r="H81" s="431"/>
      <c r="I81" s="431"/>
      <c r="J81" s="431"/>
      <c r="K81" s="431"/>
      <c r="L81" s="431"/>
      <c r="M81" s="431"/>
      <c r="N81" s="431"/>
      <c r="O81" s="431"/>
      <c r="P81" s="431"/>
      <c r="Q81" s="431"/>
      <c r="R81" s="431"/>
      <c r="S81" s="431"/>
      <c r="T81" s="431"/>
      <c r="U81" s="431"/>
      <c r="V81" s="431"/>
      <c r="W81" s="431"/>
      <c r="X81" s="431"/>
      <c r="Y81" s="431"/>
      <c r="Z81" s="431"/>
      <c r="AA81" s="431"/>
      <c r="AB81" s="431"/>
      <c r="AC81" s="431"/>
      <c r="AD81" s="431"/>
      <c r="AE81" s="431"/>
      <c r="AF81" s="431"/>
      <c r="AG81" s="431"/>
      <c r="AH81" s="431"/>
      <c r="AI81" s="431"/>
      <c r="AJ81" s="431"/>
      <c r="AK81" s="431"/>
      <c r="AL81" s="431"/>
      <c r="AM81" s="431"/>
      <c r="AN81" s="431"/>
      <c r="AO81" s="431"/>
      <c r="AP81" s="431"/>
      <c r="AQ81" s="431"/>
      <c r="AR81" s="431"/>
      <c r="AS81" s="431"/>
      <c r="AT81" s="431"/>
      <c r="AU81" s="431"/>
      <c r="AV81" s="431"/>
      <c r="AW81" s="431"/>
      <c r="AX81" s="431"/>
      <c r="AY81" s="431"/>
      <c r="AZ81" s="431"/>
      <c r="BA81" s="431"/>
      <c r="BB81" s="431"/>
      <c r="BC81" s="431"/>
      <c r="BD81" s="431"/>
      <c r="BE81" s="431"/>
      <c r="BF81" s="431"/>
      <c r="BG81" s="435" t="s">
        <v>850</v>
      </c>
      <c r="BH81" s="435"/>
      <c r="BI81" s="435"/>
      <c r="BJ81" s="435"/>
      <c r="BK81" s="435"/>
      <c r="BL81" s="435"/>
      <c r="BM81" s="435"/>
      <c r="BN81" s="435"/>
      <c r="BO81" s="435"/>
      <c r="BP81" s="435"/>
      <c r="BQ81" s="435"/>
      <c r="BR81" s="435"/>
      <c r="BS81" s="435"/>
      <c r="BT81" s="435"/>
      <c r="BU81" s="431"/>
      <c r="BV81" s="431"/>
      <c r="BW81" s="431"/>
      <c r="BX81" s="431"/>
      <c r="BY81" s="431"/>
      <c r="BZ81" s="431"/>
      <c r="CA81" s="431"/>
      <c r="CB81" s="431"/>
      <c r="CC81" s="431"/>
      <c r="CD81" s="431"/>
      <c r="CE81" s="431"/>
      <c r="CF81" s="431"/>
      <c r="CG81" s="431"/>
      <c r="CH81" s="431"/>
      <c r="CI81">
        <v>67</v>
      </c>
      <c r="CJ81">
        <v>317</v>
      </c>
      <c r="CK81" s="365" t="str">
        <f>IFERROR(VLOOKUP($CI81,Skills!$H$2:$N$620,7,FALSE),"")</f>
        <v/>
      </c>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445" t="str">
        <f>IFERROR(VLOOKUP($CI81,Skills!$H$2:$K$620,4,FALSE),"")</f>
        <v/>
      </c>
      <c r="ED81" s="445"/>
      <c r="EE81" s="445"/>
      <c r="EF81" s="445"/>
      <c r="EG81" s="445"/>
      <c r="EH81" s="446"/>
      <c r="EI81" s="446"/>
      <c r="EJ81" s="446"/>
      <c r="EK81" s="446"/>
      <c r="EL81" s="447"/>
      <c r="EM81" s="366" t="str">
        <f>IFERROR(VLOOKUP($CJ81,Skills!$H$2:$N$620,7,FALSE),"")</f>
        <v/>
      </c>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445" t="str">
        <f>IFERROR(VLOOKUP($CJ81,Skills!$H$2:$K$620,4,FALSE),"")</f>
        <v/>
      </c>
      <c r="GF81" s="445"/>
      <c r="GG81" s="445"/>
      <c r="GH81" s="445"/>
      <c r="GI81" s="445"/>
      <c r="GJ81" s="448"/>
      <c r="GK81" s="448"/>
      <c r="GL81" s="448"/>
      <c r="GM81" s="448"/>
      <c r="GN81" s="449"/>
    </row>
    <row r="82" spans="2:196" ht="15.75" thickBot="1" x14ac:dyDescent="0.3">
      <c r="B82" s="432" t="str">
        <f>IF(7&lt;VLOOKUP(Z6,Charts!$B$2:$C$6,2,FALSE)+1,"7.","")</f>
        <v/>
      </c>
      <c r="C82" s="432"/>
      <c r="D82" s="432"/>
      <c r="E82" s="432"/>
      <c r="F82" s="432"/>
      <c r="G82" s="432"/>
      <c r="H82" s="433"/>
      <c r="I82" s="433"/>
      <c r="J82" s="433"/>
      <c r="K82" s="433"/>
      <c r="L82" s="433"/>
      <c r="M82" s="433"/>
      <c r="N82" s="433"/>
      <c r="O82" s="433"/>
      <c r="P82" s="433"/>
      <c r="Q82" s="433"/>
      <c r="R82" s="433"/>
      <c r="S82" s="433"/>
      <c r="T82" s="433"/>
      <c r="U82" s="433"/>
      <c r="V82" s="433"/>
      <c r="W82" s="433"/>
      <c r="X82" s="433"/>
      <c r="Y82" s="433"/>
      <c r="Z82" s="433"/>
      <c r="AA82" s="433"/>
      <c r="AB82" s="433"/>
      <c r="AC82" s="433"/>
      <c r="AD82" s="433"/>
      <c r="AE82" s="433"/>
      <c r="AF82" s="433"/>
      <c r="AG82" s="433"/>
      <c r="AH82" s="433"/>
      <c r="AI82" s="433"/>
      <c r="AJ82" s="433"/>
      <c r="AK82" s="433"/>
      <c r="AL82" s="433"/>
      <c r="AM82" s="433"/>
      <c r="AN82" s="433"/>
      <c r="AO82" s="433"/>
      <c r="AP82" s="433"/>
      <c r="AQ82" s="433"/>
      <c r="AR82" s="433"/>
      <c r="AS82" s="433"/>
      <c r="AT82" s="433"/>
      <c r="AU82" s="433"/>
      <c r="AV82" s="433"/>
      <c r="AW82" s="433"/>
      <c r="AX82" s="433"/>
      <c r="AY82" s="433"/>
      <c r="AZ82" s="433"/>
      <c r="BA82" s="433"/>
      <c r="BB82" s="433"/>
      <c r="BC82" s="433"/>
      <c r="BD82" s="433"/>
      <c r="BE82" s="433"/>
      <c r="BF82" s="433"/>
      <c r="BG82" s="437" t="s">
        <v>850</v>
      </c>
      <c r="BH82" s="437"/>
      <c r="BI82" s="437"/>
      <c r="BJ82" s="437"/>
      <c r="BK82" s="437"/>
      <c r="BL82" s="437"/>
      <c r="BM82" s="437"/>
      <c r="BN82" s="437"/>
      <c r="BO82" s="437"/>
      <c r="BP82" s="437"/>
      <c r="BQ82" s="437"/>
      <c r="BR82" s="437"/>
      <c r="BS82" s="437"/>
      <c r="BT82" s="437"/>
      <c r="BU82" s="433"/>
      <c r="BV82" s="433"/>
      <c r="BW82" s="433"/>
      <c r="BX82" s="433"/>
      <c r="BY82" s="433"/>
      <c r="BZ82" s="433"/>
      <c r="CA82" s="433"/>
      <c r="CB82" s="433"/>
      <c r="CC82" s="433"/>
      <c r="CD82" s="433"/>
      <c r="CE82" s="433"/>
      <c r="CF82" s="433"/>
      <c r="CG82" s="433"/>
      <c r="CH82" s="433"/>
      <c r="CI82">
        <v>68</v>
      </c>
      <c r="CJ82">
        <v>318</v>
      </c>
      <c r="CK82" s="450" t="str">
        <f>IFERROR(VLOOKUP($CI82,Skills!$H$2:$N$620,7,FALSE),"")</f>
        <v/>
      </c>
      <c r="CL82" s="451"/>
      <c r="CM82" s="451"/>
      <c r="CN82" s="451"/>
      <c r="CO82" s="451"/>
      <c r="CP82" s="451"/>
      <c r="CQ82" s="451"/>
      <c r="CR82" s="451"/>
      <c r="CS82" s="451"/>
      <c r="CT82" s="451"/>
      <c r="CU82" s="451"/>
      <c r="CV82" s="451"/>
      <c r="CW82" s="451"/>
      <c r="CX82" s="451"/>
      <c r="CY82" s="451"/>
      <c r="CZ82" s="451"/>
      <c r="DA82" s="451"/>
      <c r="DB82" s="451"/>
      <c r="DC82" s="451"/>
      <c r="DD82" s="451"/>
      <c r="DE82" s="451"/>
      <c r="DF82" s="451"/>
      <c r="DG82" s="451"/>
      <c r="DH82" s="451"/>
      <c r="DI82" s="451"/>
      <c r="DJ82" s="451"/>
      <c r="DK82" s="451"/>
      <c r="DL82" s="451"/>
      <c r="DM82" s="451"/>
      <c r="DN82" s="451"/>
      <c r="DO82" s="451"/>
      <c r="DP82" s="451"/>
      <c r="DQ82" s="451"/>
      <c r="DR82" s="451"/>
      <c r="DS82" s="451"/>
      <c r="DT82" s="451"/>
      <c r="DU82" s="451"/>
      <c r="DV82" s="451"/>
      <c r="DW82" s="451"/>
      <c r="DX82" s="451"/>
      <c r="DY82" s="451"/>
      <c r="DZ82" s="451"/>
      <c r="EA82" s="451"/>
      <c r="EB82" s="451"/>
      <c r="EC82" s="417" t="str">
        <f>IFERROR(VLOOKUP($CI82,Skills!$H$2:$K$620,4,FALSE),"")</f>
        <v/>
      </c>
      <c r="ED82" s="417"/>
      <c r="EE82" s="417"/>
      <c r="EF82" s="417"/>
      <c r="EG82" s="417"/>
      <c r="EH82" s="452"/>
      <c r="EI82" s="452"/>
      <c r="EJ82" s="452"/>
      <c r="EK82" s="452"/>
      <c r="EL82" s="453"/>
      <c r="EM82" s="451" t="str">
        <f>IFERROR(VLOOKUP($CJ82,Skills!$H$2:$N$620,7,FALSE),"")</f>
        <v/>
      </c>
      <c r="EN82" s="451"/>
      <c r="EO82" s="451"/>
      <c r="EP82" s="451"/>
      <c r="EQ82" s="451"/>
      <c r="ER82" s="451"/>
      <c r="ES82" s="451"/>
      <c r="ET82" s="451"/>
      <c r="EU82" s="451"/>
      <c r="EV82" s="451"/>
      <c r="EW82" s="451"/>
      <c r="EX82" s="451"/>
      <c r="EY82" s="451"/>
      <c r="EZ82" s="451"/>
      <c r="FA82" s="451"/>
      <c r="FB82" s="451"/>
      <c r="FC82" s="451"/>
      <c r="FD82" s="451"/>
      <c r="FE82" s="451"/>
      <c r="FF82" s="451"/>
      <c r="FG82" s="451"/>
      <c r="FH82" s="451"/>
      <c r="FI82" s="451"/>
      <c r="FJ82" s="451"/>
      <c r="FK82" s="451"/>
      <c r="FL82" s="451"/>
      <c r="FM82" s="451"/>
      <c r="FN82" s="451"/>
      <c r="FO82" s="451"/>
      <c r="FP82" s="451"/>
      <c r="FQ82" s="451"/>
      <c r="FR82" s="451"/>
      <c r="FS82" s="451"/>
      <c r="FT82" s="451"/>
      <c r="FU82" s="451"/>
      <c r="FV82" s="451"/>
      <c r="FW82" s="451"/>
      <c r="FX82" s="451"/>
      <c r="FY82" s="451"/>
      <c r="FZ82" s="451"/>
      <c r="GA82" s="451"/>
      <c r="GB82" s="451"/>
      <c r="GC82" s="451"/>
      <c r="GD82" s="451"/>
      <c r="GE82" s="417" t="str">
        <f>IFERROR(VLOOKUP($CJ82,Skills!$H$2:$K$620,4,FALSE),"")</f>
        <v/>
      </c>
      <c r="GF82" s="417"/>
      <c r="GG82" s="417"/>
      <c r="GH82" s="417"/>
      <c r="GI82" s="417"/>
      <c r="GJ82" s="454"/>
      <c r="GK82" s="454"/>
      <c r="GL82" s="454"/>
      <c r="GM82" s="454"/>
      <c r="GN82" s="455"/>
    </row>
    <row r="83" spans="2:196" ht="15.75" thickBot="1" x14ac:dyDescent="0.3">
      <c r="B83" s="443" t="str">
        <f>IF(8&lt;VLOOKUP(Z6,Charts!$B$2:$C$6,2,FALSE)+1,"8.","")</f>
        <v/>
      </c>
      <c r="C83" s="443"/>
      <c r="D83" s="443"/>
      <c r="E83" s="443"/>
      <c r="F83" s="443"/>
      <c r="G83" s="443"/>
      <c r="H83" s="431"/>
      <c r="I83" s="431"/>
      <c r="J83" s="431"/>
      <c r="K83" s="431"/>
      <c r="L83" s="431"/>
      <c r="M83" s="431"/>
      <c r="N83" s="431"/>
      <c r="O83" s="431"/>
      <c r="P83" s="431"/>
      <c r="Q83" s="431"/>
      <c r="R83" s="431"/>
      <c r="S83" s="431"/>
      <c r="T83" s="431"/>
      <c r="U83" s="431"/>
      <c r="V83" s="431"/>
      <c r="W83" s="431"/>
      <c r="X83" s="431"/>
      <c r="Y83" s="431"/>
      <c r="Z83" s="431"/>
      <c r="AA83" s="431"/>
      <c r="AB83" s="431"/>
      <c r="AC83" s="431"/>
      <c r="AD83" s="431"/>
      <c r="AE83" s="431"/>
      <c r="AF83" s="431"/>
      <c r="AG83" s="431"/>
      <c r="AH83" s="431"/>
      <c r="AI83" s="431"/>
      <c r="AJ83" s="431"/>
      <c r="AK83" s="431"/>
      <c r="AL83" s="431"/>
      <c r="AM83" s="431"/>
      <c r="AN83" s="431"/>
      <c r="AO83" s="431"/>
      <c r="AP83" s="431"/>
      <c r="AQ83" s="431"/>
      <c r="AR83" s="431"/>
      <c r="AS83" s="431"/>
      <c r="AT83" s="431"/>
      <c r="AU83" s="431"/>
      <c r="AV83" s="431"/>
      <c r="AW83" s="431"/>
      <c r="AX83" s="431"/>
      <c r="AY83" s="431"/>
      <c r="AZ83" s="431"/>
      <c r="BA83" s="431"/>
      <c r="BB83" s="431"/>
      <c r="BC83" s="431"/>
      <c r="BD83" s="431"/>
      <c r="BE83" s="431"/>
      <c r="BF83" s="431"/>
      <c r="BG83" s="444" t="s">
        <v>850</v>
      </c>
      <c r="BH83" s="444"/>
      <c r="BI83" s="444"/>
      <c r="BJ83" s="444"/>
      <c r="BK83" s="444"/>
      <c r="BL83" s="444"/>
      <c r="BM83" s="444"/>
      <c r="BN83" s="444"/>
      <c r="BO83" s="444"/>
      <c r="BP83" s="444"/>
      <c r="BQ83" s="444"/>
      <c r="BR83" s="444"/>
      <c r="BS83" s="444"/>
      <c r="BT83" s="444"/>
      <c r="BU83" s="431"/>
      <c r="BV83" s="431"/>
      <c r="BW83" s="431"/>
      <c r="BX83" s="431"/>
      <c r="BY83" s="431"/>
      <c r="BZ83" s="431"/>
      <c r="CA83" s="431"/>
      <c r="CB83" s="431"/>
      <c r="CC83" s="431"/>
      <c r="CD83" s="431"/>
      <c r="CE83" s="431"/>
      <c r="CF83" s="431"/>
      <c r="CG83" s="431"/>
      <c r="CH83" s="431"/>
      <c r="CI83">
        <v>69</v>
      </c>
      <c r="CJ83">
        <v>319</v>
      </c>
      <c r="CK83" s="365" t="str">
        <f>IFERROR(VLOOKUP($CI83,Skills!$H$2:$N$620,7,FALSE),"")</f>
        <v/>
      </c>
      <c r="CL83" s="366"/>
      <c r="CM83" s="366"/>
      <c r="CN83" s="366"/>
      <c r="CO83" s="366"/>
      <c r="CP83" s="366"/>
      <c r="CQ83" s="366"/>
      <c r="CR83" s="366"/>
      <c r="CS83" s="366"/>
      <c r="CT83" s="366"/>
      <c r="CU83" s="366"/>
      <c r="CV83" s="366"/>
      <c r="CW83" s="366"/>
      <c r="CX83" s="366"/>
      <c r="CY83" s="366"/>
      <c r="CZ83" s="366"/>
      <c r="DA83" s="366"/>
      <c r="DB83" s="366"/>
      <c r="DC83" s="366"/>
      <c r="DD83" s="366"/>
      <c r="DE83" s="366"/>
      <c r="DF83" s="366"/>
      <c r="DG83" s="366"/>
      <c r="DH83" s="366"/>
      <c r="DI83" s="366"/>
      <c r="DJ83" s="366"/>
      <c r="DK83" s="366"/>
      <c r="DL83" s="366"/>
      <c r="DM83" s="366"/>
      <c r="DN83" s="366"/>
      <c r="DO83" s="366"/>
      <c r="DP83" s="366"/>
      <c r="DQ83" s="366"/>
      <c r="DR83" s="366"/>
      <c r="DS83" s="366"/>
      <c r="DT83" s="366"/>
      <c r="DU83" s="366"/>
      <c r="DV83" s="366"/>
      <c r="DW83" s="366"/>
      <c r="DX83" s="366"/>
      <c r="DY83" s="366"/>
      <c r="DZ83" s="366"/>
      <c r="EA83" s="366"/>
      <c r="EB83" s="366"/>
      <c r="EC83" s="445" t="str">
        <f>IFERROR(VLOOKUP($CI83,Skills!$H$2:$K$620,4,FALSE),"")</f>
        <v/>
      </c>
      <c r="ED83" s="445"/>
      <c r="EE83" s="445"/>
      <c r="EF83" s="445"/>
      <c r="EG83" s="445"/>
      <c r="EH83" s="446"/>
      <c r="EI83" s="446"/>
      <c r="EJ83" s="446"/>
      <c r="EK83" s="446"/>
      <c r="EL83" s="447"/>
      <c r="EM83" s="366" t="str">
        <f>IFERROR(VLOOKUP($CJ83,Skills!$H$2:$N$620,7,FALSE),"")</f>
        <v/>
      </c>
      <c r="EN83" s="366"/>
      <c r="EO83" s="366"/>
      <c r="EP83" s="366"/>
      <c r="EQ83" s="366"/>
      <c r="ER83" s="366"/>
      <c r="ES83" s="366"/>
      <c r="ET83" s="366"/>
      <c r="EU83" s="366"/>
      <c r="EV83" s="366"/>
      <c r="EW83" s="366"/>
      <c r="EX83" s="366"/>
      <c r="EY83" s="366"/>
      <c r="EZ83" s="366"/>
      <c r="FA83" s="366"/>
      <c r="FB83" s="366"/>
      <c r="FC83" s="366"/>
      <c r="FD83" s="366"/>
      <c r="FE83" s="366"/>
      <c r="FF83" s="366"/>
      <c r="FG83" s="366"/>
      <c r="FH83" s="366"/>
      <c r="FI83" s="366"/>
      <c r="FJ83" s="366"/>
      <c r="FK83" s="366"/>
      <c r="FL83" s="366"/>
      <c r="FM83" s="366"/>
      <c r="FN83" s="366"/>
      <c r="FO83" s="366"/>
      <c r="FP83" s="366"/>
      <c r="FQ83" s="366"/>
      <c r="FR83" s="366"/>
      <c r="FS83" s="366"/>
      <c r="FT83" s="366"/>
      <c r="FU83" s="366"/>
      <c r="FV83" s="366"/>
      <c r="FW83" s="366"/>
      <c r="FX83" s="366"/>
      <c r="FY83" s="366"/>
      <c r="FZ83" s="366"/>
      <c r="GA83" s="366"/>
      <c r="GB83" s="366"/>
      <c r="GC83" s="366"/>
      <c r="GD83" s="366"/>
      <c r="GE83" s="445" t="str">
        <f>IFERROR(VLOOKUP($CJ83,Skills!$H$2:$K$620,4,FALSE),"")</f>
        <v/>
      </c>
      <c r="GF83" s="445"/>
      <c r="GG83" s="445"/>
      <c r="GH83" s="445"/>
      <c r="GI83" s="445"/>
      <c r="GJ83" s="448"/>
      <c r="GK83" s="448"/>
      <c r="GL83" s="448"/>
      <c r="GM83" s="448"/>
      <c r="GN83" s="449"/>
    </row>
    <row r="84" spans="2:196" x14ac:dyDescent="0.25">
      <c r="CI84">
        <v>70</v>
      </c>
      <c r="CJ84">
        <v>320</v>
      </c>
      <c r="CK84" s="450" t="str">
        <f>IFERROR(VLOOKUP($CI84,Skills!$H$2:$N$620,7,FALSE),"")</f>
        <v/>
      </c>
      <c r="CL84" s="451"/>
      <c r="CM84" s="451"/>
      <c r="CN84" s="451"/>
      <c r="CO84" s="451"/>
      <c r="CP84" s="451"/>
      <c r="CQ84" s="451"/>
      <c r="CR84" s="451"/>
      <c r="CS84" s="451"/>
      <c r="CT84" s="451"/>
      <c r="CU84" s="451"/>
      <c r="CV84" s="451"/>
      <c r="CW84" s="451"/>
      <c r="CX84" s="451"/>
      <c r="CY84" s="451"/>
      <c r="CZ84" s="451"/>
      <c r="DA84" s="451"/>
      <c r="DB84" s="451"/>
      <c r="DC84" s="451"/>
      <c r="DD84" s="451"/>
      <c r="DE84" s="451"/>
      <c r="DF84" s="451"/>
      <c r="DG84" s="451"/>
      <c r="DH84" s="451"/>
      <c r="DI84" s="451"/>
      <c r="DJ84" s="451"/>
      <c r="DK84" s="451"/>
      <c r="DL84" s="451"/>
      <c r="DM84" s="451"/>
      <c r="DN84" s="451"/>
      <c r="DO84" s="451"/>
      <c r="DP84" s="451"/>
      <c r="DQ84" s="451"/>
      <c r="DR84" s="451"/>
      <c r="DS84" s="451"/>
      <c r="DT84" s="451"/>
      <c r="DU84" s="451"/>
      <c r="DV84" s="451"/>
      <c r="DW84" s="451"/>
      <c r="DX84" s="451"/>
      <c r="DY84" s="451"/>
      <c r="DZ84" s="451"/>
      <c r="EA84" s="451"/>
      <c r="EB84" s="451"/>
      <c r="EC84" s="417" t="str">
        <f>IFERROR(VLOOKUP($CI84,Skills!$H$2:$K$620,4,FALSE),"")</f>
        <v/>
      </c>
      <c r="ED84" s="417"/>
      <c r="EE84" s="417"/>
      <c r="EF84" s="417"/>
      <c r="EG84" s="417"/>
      <c r="EH84" s="452"/>
      <c r="EI84" s="452"/>
      <c r="EJ84" s="452"/>
      <c r="EK84" s="452"/>
      <c r="EL84" s="453"/>
      <c r="EM84" s="451" t="str">
        <f>IFERROR(VLOOKUP($CJ84,Skills!$H$2:$N$620,7,FALSE),"")</f>
        <v/>
      </c>
      <c r="EN84" s="451"/>
      <c r="EO84" s="451"/>
      <c r="EP84" s="451"/>
      <c r="EQ84" s="451"/>
      <c r="ER84" s="451"/>
      <c r="ES84" s="451"/>
      <c r="ET84" s="451"/>
      <c r="EU84" s="451"/>
      <c r="EV84" s="451"/>
      <c r="EW84" s="451"/>
      <c r="EX84" s="451"/>
      <c r="EY84" s="451"/>
      <c r="EZ84" s="451"/>
      <c r="FA84" s="451"/>
      <c r="FB84" s="451"/>
      <c r="FC84" s="451"/>
      <c r="FD84" s="451"/>
      <c r="FE84" s="451"/>
      <c r="FF84" s="451"/>
      <c r="FG84" s="451"/>
      <c r="FH84" s="451"/>
      <c r="FI84" s="451"/>
      <c r="FJ84" s="451"/>
      <c r="FK84" s="451"/>
      <c r="FL84" s="451"/>
      <c r="FM84" s="451"/>
      <c r="FN84" s="451"/>
      <c r="FO84" s="451"/>
      <c r="FP84" s="451"/>
      <c r="FQ84" s="451"/>
      <c r="FR84" s="451"/>
      <c r="FS84" s="451"/>
      <c r="FT84" s="451"/>
      <c r="FU84" s="451"/>
      <c r="FV84" s="451"/>
      <c r="FW84" s="451"/>
      <c r="FX84" s="451"/>
      <c r="FY84" s="451"/>
      <c r="FZ84" s="451"/>
      <c r="GA84" s="451"/>
      <c r="GB84" s="451"/>
      <c r="GC84" s="451"/>
      <c r="GD84" s="451"/>
      <c r="GE84" s="417" t="str">
        <f>IFERROR(VLOOKUP($CJ84,Skills!$H$2:$K$620,4,FALSE),"")</f>
        <v/>
      </c>
      <c r="GF84" s="417"/>
      <c r="GG84" s="417"/>
      <c r="GH84" s="417"/>
      <c r="GI84" s="417"/>
      <c r="GJ84" s="454"/>
      <c r="GK84" s="454"/>
      <c r="GL84" s="454"/>
      <c r="GM84" s="454"/>
      <c r="GN84" s="455"/>
    </row>
    <row r="85" spans="2:196" x14ac:dyDescent="0.25">
      <c r="CI85">
        <v>71</v>
      </c>
      <c r="CJ85">
        <v>321</v>
      </c>
      <c r="CK85" s="365" t="str">
        <f>IFERROR(VLOOKUP($CI85,Skills!$H$2:$N$620,7,FALSE),"")</f>
        <v/>
      </c>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445" t="str">
        <f>IFERROR(VLOOKUP($CI85,Skills!$H$2:$K$620,4,FALSE),"")</f>
        <v/>
      </c>
      <c r="ED85" s="445"/>
      <c r="EE85" s="445"/>
      <c r="EF85" s="445"/>
      <c r="EG85" s="445"/>
      <c r="EH85" s="446"/>
      <c r="EI85" s="446"/>
      <c r="EJ85" s="446"/>
      <c r="EK85" s="446"/>
      <c r="EL85" s="447"/>
      <c r="EM85" s="366" t="str">
        <f>IFERROR(VLOOKUP($CJ85,Skills!$H$2:$N$620,7,FALSE),"")</f>
        <v/>
      </c>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445" t="str">
        <f>IFERROR(VLOOKUP($CJ85,Skills!$H$2:$K$620,4,FALSE),"")</f>
        <v/>
      </c>
      <c r="GF85" s="445"/>
      <c r="GG85" s="445"/>
      <c r="GH85" s="445"/>
      <c r="GI85" s="445"/>
      <c r="GJ85" s="448"/>
      <c r="GK85" s="448"/>
      <c r="GL85" s="448"/>
      <c r="GM85" s="448"/>
      <c r="GN85" s="449"/>
    </row>
    <row r="86" spans="2:196" x14ac:dyDescent="0.25">
      <c r="CI86">
        <v>72</v>
      </c>
      <c r="CJ86">
        <v>322</v>
      </c>
      <c r="CK86" s="450" t="str">
        <f>IFERROR(VLOOKUP($CI86,Skills!$H$2:$N$620,7,FALSE),"")</f>
        <v/>
      </c>
      <c r="CL86" s="451"/>
      <c r="CM86" s="451"/>
      <c r="CN86" s="451"/>
      <c r="CO86" s="451"/>
      <c r="CP86" s="451"/>
      <c r="CQ86" s="451"/>
      <c r="CR86" s="451"/>
      <c r="CS86" s="451"/>
      <c r="CT86" s="451"/>
      <c r="CU86" s="451"/>
      <c r="CV86" s="451"/>
      <c r="CW86" s="451"/>
      <c r="CX86" s="451"/>
      <c r="CY86" s="451"/>
      <c r="CZ86" s="451"/>
      <c r="DA86" s="451"/>
      <c r="DB86" s="451"/>
      <c r="DC86" s="451"/>
      <c r="DD86" s="451"/>
      <c r="DE86" s="451"/>
      <c r="DF86" s="451"/>
      <c r="DG86" s="451"/>
      <c r="DH86" s="451"/>
      <c r="DI86" s="451"/>
      <c r="DJ86" s="451"/>
      <c r="DK86" s="451"/>
      <c r="DL86" s="451"/>
      <c r="DM86" s="451"/>
      <c r="DN86" s="451"/>
      <c r="DO86" s="451"/>
      <c r="DP86" s="451"/>
      <c r="DQ86" s="451"/>
      <c r="DR86" s="451"/>
      <c r="DS86" s="451"/>
      <c r="DT86" s="451"/>
      <c r="DU86" s="451"/>
      <c r="DV86" s="451"/>
      <c r="DW86" s="451"/>
      <c r="DX86" s="451"/>
      <c r="DY86" s="451"/>
      <c r="DZ86" s="451"/>
      <c r="EA86" s="451"/>
      <c r="EB86" s="451"/>
      <c r="EC86" s="417" t="str">
        <f>IFERROR(VLOOKUP($CI86,Skills!$H$2:$K$620,4,FALSE),"")</f>
        <v/>
      </c>
      <c r="ED86" s="417"/>
      <c r="EE86" s="417"/>
      <c r="EF86" s="417"/>
      <c r="EG86" s="417"/>
      <c r="EH86" s="452"/>
      <c r="EI86" s="452"/>
      <c r="EJ86" s="452"/>
      <c r="EK86" s="452"/>
      <c r="EL86" s="453"/>
      <c r="EM86" s="451" t="str">
        <f>IFERROR(VLOOKUP($CJ86,Skills!$H$2:$N$620,7,FALSE),"")</f>
        <v/>
      </c>
      <c r="EN86" s="451"/>
      <c r="EO86" s="451"/>
      <c r="EP86" s="451"/>
      <c r="EQ86" s="451"/>
      <c r="ER86" s="451"/>
      <c r="ES86" s="451"/>
      <c r="ET86" s="451"/>
      <c r="EU86" s="451"/>
      <c r="EV86" s="451"/>
      <c r="EW86" s="451"/>
      <c r="EX86" s="451"/>
      <c r="EY86" s="451"/>
      <c r="EZ86" s="451"/>
      <c r="FA86" s="451"/>
      <c r="FB86" s="451"/>
      <c r="FC86" s="451"/>
      <c r="FD86" s="451"/>
      <c r="FE86" s="451"/>
      <c r="FF86" s="451"/>
      <c r="FG86" s="451"/>
      <c r="FH86" s="451"/>
      <c r="FI86" s="451"/>
      <c r="FJ86" s="451"/>
      <c r="FK86" s="451"/>
      <c r="FL86" s="451"/>
      <c r="FM86" s="451"/>
      <c r="FN86" s="451"/>
      <c r="FO86" s="451"/>
      <c r="FP86" s="451"/>
      <c r="FQ86" s="451"/>
      <c r="FR86" s="451"/>
      <c r="FS86" s="451"/>
      <c r="FT86" s="451"/>
      <c r="FU86" s="451"/>
      <c r="FV86" s="451"/>
      <c r="FW86" s="451"/>
      <c r="FX86" s="451"/>
      <c r="FY86" s="451"/>
      <c r="FZ86" s="451"/>
      <c r="GA86" s="451"/>
      <c r="GB86" s="451"/>
      <c r="GC86" s="451"/>
      <c r="GD86" s="451"/>
      <c r="GE86" s="417" t="str">
        <f>IFERROR(VLOOKUP($CJ86,Skills!$H$2:$K$620,4,FALSE),"")</f>
        <v/>
      </c>
      <c r="GF86" s="417"/>
      <c r="GG86" s="417"/>
      <c r="GH86" s="417"/>
      <c r="GI86" s="417"/>
      <c r="GJ86" s="454"/>
      <c r="GK86" s="454"/>
      <c r="GL86" s="454"/>
      <c r="GM86" s="454"/>
      <c r="GN86" s="455"/>
    </row>
    <row r="87" spans="2:196" x14ac:dyDescent="0.25">
      <c r="CI87">
        <v>73</v>
      </c>
      <c r="CJ87">
        <v>323</v>
      </c>
      <c r="CK87" s="365" t="str">
        <f>IFERROR(VLOOKUP($CI87,Skills!$H$2:$N$620,7,FALSE),"")</f>
        <v/>
      </c>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445" t="str">
        <f>IFERROR(VLOOKUP($CI87,Skills!$H$2:$K$620,4,FALSE),"")</f>
        <v/>
      </c>
      <c r="ED87" s="445"/>
      <c r="EE87" s="445"/>
      <c r="EF87" s="445"/>
      <c r="EG87" s="445"/>
      <c r="EH87" s="446"/>
      <c r="EI87" s="446"/>
      <c r="EJ87" s="446"/>
      <c r="EK87" s="446"/>
      <c r="EL87" s="447"/>
      <c r="EM87" s="366" t="str">
        <f>IFERROR(VLOOKUP($CJ87,Skills!$H$2:$N$620,7,FALSE),"")</f>
        <v/>
      </c>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445" t="str">
        <f>IFERROR(VLOOKUP($CJ87,Skills!$H$2:$K$620,4,FALSE),"")</f>
        <v/>
      </c>
      <c r="GF87" s="445"/>
      <c r="GG87" s="445"/>
      <c r="GH87" s="445"/>
      <c r="GI87" s="445"/>
      <c r="GJ87" s="448"/>
      <c r="GK87" s="448"/>
      <c r="GL87" s="448"/>
      <c r="GM87" s="448"/>
      <c r="GN87" s="449"/>
    </row>
    <row r="88" spans="2:196" x14ac:dyDescent="0.25">
      <c r="CI88">
        <v>74</v>
      </c>
      <c r="CJ88">
        <v>324</v>
      </c>
      <c r="CK88" s="450" t="str">
        <f>IFERROR(VLOOKUP($CI88,Skills!$H$2:$N$620,7,FALSE),"")</f>
        <v/>
      </c>
      <c r="CL88" s="451"/>
      <c r="CM88" s="451"/>
      <c r="CN88" s="451"/>
      <c r="CO88" s="451"/>
      <c r="CP88" s="451"/>
      <c r="CQ88" s="451"/>
      <c r="CR88" s="451"/>
      <c r="CS88" s="451"/>
      <c r="CT88" s="451"/>
      <c r="CU88" s="451"/>
      <c r="CV88" s="451"/>
      <c r="CW88" s="451"/>
      <c r="CX88" s="451"/>
      <c r="CY88" s="451"/>
      <c r="CZ88" s="451"/>
      <c r="DA88" s="451"/>
      <c r="DB88" s="451"/>
      <c r="DC88" s="451"/>
      <c r="DD88" s="451"/>
      <c r="DE88" s="451"/>
      <c r="DF88" s="451"/>
      <c r="DG88" s="451"/>
      <c r="DH88" s="451"/>
      <c r="DI88" s="451"/>
      <c r="DJ88" s="451"/>
      <c r="DK88" s="451"/>
      <c r="DL88" s="451"/>
      <c r="DM88" s="451"/>
      <c r="DN88" s="451"/>
      <c r="DO88" s="451"/>
      <c r="DP88" s="451"/>
      <c r="DQ88" s="451"/>
      <c r="DR88" s="451"/>
      <c r="DS88" s="451"/>
      <c r="DT88" s="451"/>
      <c r="DU88" s="451"/>
      <c r="DV88" s="451"/>
      <c r="DW88" s="451"/>
      <c r="DX88" s="451"/>
      <c r="DY88" s="451"/>
      <c r="DZ88" s="451"/>
      <c r="EA88" s="451"/>
      <c r="EB88" s="451"/>
      <c r="EC88" s="417" t="str">
        <f>IFERROR(VLOOKUP($CI88,Skills!$H$2:$K$620,4,FALSE),"")</f>
        <v/>
      </c>
      <c r="ED88" s="417"/>
      <c r="EE88" s="417"/>
      <c r="EF88" s="417"/>
      <c r="EG88" s="417"/>
      <c r="EH88" s="452"/>
      <c r="EI88" s="452"/>
      <c r="EJ88" s="452"/>
      <c r="EK88" s="452"/>
      <c r="EL88" s="453"/>
      <c r="EM88" s="451" t="str">
        <f>IFERROR(VLOOKUP($CJ88,Skills!$H$2:$N$620,7,FALSE),"")</f>
        <v/>
      </c>
      <c r="EN88" s="451"/>
      <c r="EO88" s="451"/>
      <c r="EP88" s="451"/>
      <c r="EQ88" s="451"/>
      <c r="ER88" s="451"/>
      <c r="ES88" s="451"/>
      <c r="ET88" s="451"/>
      <c r="EU88" s="451"/>
      <c r="EV88" s="451"/>
      <c r="EW88" s="451"/>
      <c r="EX88" s="451"/>
      <c r="EY88" s="451"/>
      <c r="EZ88" s="451"/>
      <c r="FA88" s="451"/>
      <c r="FB88" s="451"/>
      <c r="FC88" s="451"/>
      <c r="FD88" s="451"/>
      <c r="FE88" s="451"/>
      <c r="FF88" s="451"/>
      <c r="FG88" s="451"/>
      <c r="FH88" s="451"/>
      <c r="FI88" s="451"/>
      <c r="FJ88" s="451"/>
      <c r="FK88" s="451"/>
      <c r="FL88" s="451"/>
      <c r="FM88" s="451"/>
      <c r="FN88" s="451"/>
      <c r="FO88" s="451"/>
      <c r="FP88" s="451"/>
      <c r="FQ88" s="451"/>
      <c r="FR88" s="451"/>
      <c r="FS88" s="451"/>
      <c r="FT88" s="451"/>
      <c r="FU88" s="451"/>
      <c r="FV88" s="451"/>
      <c r="FW88" s="451"/>
      <c r="FX88" s="451"/>
      <c r="FY88" s="451"/>
      <c r="FZ88" s="451"/>
      <c r="GA88" s="451"/>
      <c r="GB88" s="451"/>
      <c r="GC88" s="451"/>
      <c r="GD88" s="451"/>
      <c r="GE88" s="417" t="str">
        <f>IFERROR(VLOOKUP($CJ88,Skills!$H$2:$K$620,4,FALSE),"")</f>
        <v/>
      </c>
      <c r="GF88" s="417"/>
      <c r="GG88" s="417"/>
      <c r="GH88" s="417"/>
      <c r="GI88" s="417"/>
      <c r="GJ88" s="454"/>
      <c r="GK88" s="454"/>
      <c r="GL88" s="454"/>
      <c r="GM88" s="454"/>
      <c r="GN88" s="455"/>
    </row>
    <row r="89" spans="2:196" x14ac:dyDescent="0.25">
      <c r="CI89">
        <v>75</v>
      </c>
      <c r="CJ89">
        <v>325</v>
      </c>
      <c r="CK89" s="365" t="str">
        <f>IFERROR(VLOOKUP($CI89,Skills!$H$2:$N$620,7,FALSE),"")</f>
        <v/>
      </c>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445" t="str">
        <f>IFERROR(VLOOKUP($CI89,Skills!$H$2:$K$620,4,FALSE),"")</f>
        <v/>
      </c>
      <c r="ED89" s="445"/>
      <c r="EE89" s="445"/>
      <c r="EF89" s="445"/>
      <c r="EG89" s="445"/>
      <c r="EH89" s="446">
        <v>2</v>
      </c>
      <c r="EI89" s="446"/>
      <c r="EJ89" s="446"/>
      <c r="EK89" s="446"/>
      <c r="EL89" s="447"/>
      <c r="EM89" s="366" t="str">
        <f>IFERROR(VLOOKUP($CJ89,Skills!$H$2:$N$620,7,FALSE),"")</f>
        <v/>
      </c>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445" t="str">
        <f>IFERROR(VLOOKUP($CJ89,Skills!$H$2:$K$620,4,FALSE),"")</f>
        <v/>
      </c>
      <c r="GF89" s="445"/>
      <c r="GG89" s="445"/>
      <c r="GH89" s="445"/>
      <c r="GI89" s="445"/>
      <c r="GJ89" s="448"/>
      <c r="GK89" s="448"/>
      <c r="GL89" s="448"/>
      <c r="GM89" s="448"/>
      <c r="GN89" s="449"/>
    </row>
    <row r="90" spans="2:196" x14ac:dyDescent="0.25">
      <c r="CI90">
        <v>76</v>
      </c>
      <c r="CJ90">
        <v>326</v>
      </c>
      <c r="CK90" s="450" t="str">
        <f>IFERROR(VLOOKUP($CI90,Skills!$H$2:$N$620,7,FALSE),"")</f>
        <v/>
      </c>
      <c r="CL90" s="451"/>
      <c r="CM90" s="451"/>
      <c r="CN90" s="451"/>
      <c r="CO90" s="451"/>
      <c r="CP90" s="451"/>
      <c r="CQ90" s="451"/>
      <c r="CR90" s="451"/>
      <c r="CS90" s="451"/>
      <c r="CT90" s="451"/>
      <c r="CU90" s="451"/>
      <c r="CV90" s="451"/>
      <c r="CW90" s="451"/>
      <c r="CX90" s="451"/>
      <c r="CY90" s="451"/>
      <c r="CZ90" s="451"/>
      <c r="DA90" s="451"/>
      <c r="DB90" s="451"/>
      <c r="DC90" s="451"/>
      <c r="DD90" s="451"/>
      <c r="DE90" s="451"/>
      <c r="DF90" s="451"/>
      <c r="DG90" s="451"/>
      <c r="DH90" s="451"/>
      <c r="DI90" s="451"/>
      <c r="DJ90" s="451"/>
      <c r="DK90" s="451"/>
      <c r="DL90" s="451"/>
      <c r="DM90" s="451"/>
      <c r="DN90" s="451"/>
      <c r="DO90" s="451"/>
      <c r="DP90" s="451"/>
      <c r="DQ90" s="451"/>
      <c r="DR90" s="451"/>
      <c r="DS90" s="451"/>
      <c r="DT90" s="451"/>
      <c r="DU90" s="451"/>
      <c r="DV90" s="451"/>
      <c r="DW90" s="451"/>
      <c r="DX90" s="451"/>
      <c r="DY90" s="451"/>
      <c r="DZ90" s="451"/>
      <c r="EA90" s="451"/>
      <c r="EB90" s="451"/>
      <c r="EC90" s="417" t="str">
        <f>IFERROR(VLOOKUP($CI90,Skills!$H$2:$K$620,4,FALSE),"")</f>
        <v/>
      </c>
      <c r="ED90" s="417"/>
      <c r="EE90" s="417"/>
      <c r="EF90" s="417"/>
      <c r="EG90" s="417"/>
      <c r="EH90" s="452"/>
      <c r="EI90" s="452"/>
      <c r="EJ90" s="452"/>
      <c r="EK90" s="452"/>
      <c r="EL90" s="453"/>
      <c r="EM90" s="451" t="str">
        <f>IFERROR(VLOOKUP($CJ90,Skills!$H$2:$N$620,7,FALSE),"")</f>
        <v/>
      </c>
      <c r="EN90" s="451"/>
      <c r="EO90" s="451"/>
      <c r="EP90" s="451"/>
      <c r="EQ90" s="451"/>
      <c r="ER90" s="451"/>
      <c r="ES90" s="451"/>
      <c r="ET90" s="451"/>
      <c r="EU90" s="451"/>
      <c r="EV90" s="451"/>
      <c r="EW90" s="451"/>
      <c r="EX90" s="451"/>
      <c r="EY90" s="451"/>
      <c r="EZ90" s="451"/>
      <c r="FA90" s="451"/>
      <c r="FB90" s="451"/>
      <c r="FC90" s="451"/>
      <c r="FD90" s="451"/>
      <c r="FE90" s="451"/>
      <c r="FF90" s="451"/>
      <c r="FG90" s="451"/>
      <c r="FH90" s="451"/>
      <c r="FI90" s="451"/>
      <c r="FJ90" s="451"/>
      <c r="FK90" s="451"/>
      <c r="FL90" s="451"/>
      <c r="FM90" s="451"/>
      <c r="FN90" s="451"/>
      <c r="FO90" s="451"/>
      <c r="FP90" s="451"/>
      <c r="FQ90" s="451"/>
      <c r="FR90" s="451"/>
      <c r="FS90" s="451"/>
      <c r="FT90" s="451"/>
      <c r="FU90" s="451"/>
      <c r="FV90" s="451"/>
      <c r="FW90" s="451"/>
      <c r="FX90" s="451"/>
      <c r="FY90" s="451"/>
      <c r="FZ90" s="451"/>
      <c r="GA90" s="451"/>
      <c r="GB90" s="451"/>
      <c r="GC90" s="451"/>
      <c r="GD90" s="451"/>
      <c r="GE90" s="417" t="str">
        <f>IFERROR(VLOOKUP($CJ90,Skills!$H$2:$K$620,4,FALSE),"")</f>
        <v/>
      </c>
      <c r="GF90" s="417"/>
      <c r="GG90" s="417"/>
      <c r="GH90" s="417"/>
      <c r="GI90" s="417"/>
      <c r="GJ90" s="454"/>
      <c r="GK90" s="454"/>
      <c r="GL90" s="454"/>
      <c r="GM90" s="454"/>
      <c r="GN90" s="455"/>
    </row>
    <row r="91" spans="2:196" x14ac:dyDescent="0.25">
      <c r="CI91">
        <v>77</v>
      </c>
      <c r="CJ91">
        <v>327</v>
      </c>
      <c r="CK91" s="365" t="str">
        <f>IFERROR(VLOOKUP($CI91,Skills!$H$2:$N$620,7,FALSE),"")</f>
        <v/>
      </c>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445" t="str">
        <f>IFERROR(VLOOKUP($CI91,Skills!$H$2:$K$620,4,FALSE),"")</f>
        <v/>
      </c>
      <c r="ED91" s="445"/>
      <c r="EE91" s="445"/>
      <c r="EF91" s="445"/>
      <c r="EG91" s="445"/>
      <c r="EH91" s="446"/>
      <c r="EI91" s="446"/>
      <c r="EJ91" s="446"/>
      <c r="EK91" s="446"/>
      <c r="EL91" s="447"/>
      <c r="EM91" s="366" t="str">
        <f>IFERROR(VLOOKUP($CJ91,Skills!$H$2:$N$620,7,FALSE),"")</f>
        <v/>
      </c>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445" t="str">
        <f>IFERROR(VLOOKUP($CJ91,Skills!$H$2:$K$620,4,FALSE),"")</f>
        <v/>
      </c>
      <c r="GF91" s="445"/>
      <c r="GG91" s="445"/>
      <c r="GH91" s="445"/>
      <c r="GI91" s="445"/>
      <c r="GJ91" s="448"/>
      <c r="GK91" s="448"/>
      <c r="GL91" s="448"/>
      <c r="GM91" s="448"/>
      <c r="GN91" s="449"/>
    </row>
    <row r="92" spans="2:196" x14ac:dyDescent="0.25">
      <c r="CI92">
        <v>78</v>
      </c>
      <c r="CJ92">
        <v>328</v>
      </c>
      <c r="CK92" s="450" t="str">
        <f>IFERROR(VLOOKUP($CI92,Skills!$H$2:$N$620,7,FALSE),"")</f>
        <v/>
      </c>
      <c r="CL92" s="451"/>
      <c r="CM92" s="451"/>
      <c r="CN92" s="451"/>
      <c r="CO92" s="451"/>
      <c r="CP92" s="451"/>
      <c r="CQ92" s="451"/>
      <c r="CR92" s="451"/>
      <c r="CS92" s="451"/>
      <c r="CT92" s="451"/>
      <c r="CU92" s="451"/>
      <c r="CV92" s="451"/>
      <c r="CW92" s="451"/>
      <c r="CX92" s="451"/>
      <c r="CY92" s="451"/>
      <c r="CZ92" s="451"/>
      <c r="DA92" s="451"/>
      <c r="DB92" s="451"/>
      <c r="DC92" s="451"/>
      <c r="DD92" s="451"/>
      <c r="DE92" s="451"/>
      <c r="DF92" s="451"/>
      <c r="DG92" s="451"/>
      <c r="DH92" s="451"/>
      <c r="DI92" s="451"/>
      <c r="DJ92" s="451"/>
      <c r="DK92" s="451"/>
      <c r="DL92" s="451"/>
      <c r="DM92" s="451"/>
      <c r="DN92" s="451"/>
      <c r="DO92" s="451"/>
      <c r="DP92" s="451"/>
      <c r="DQ92" s="451"/>
      <c r="DR92" s="451"/>
      <c r="DS92" s="451"/>
      <c r="DT92" s="451"/>
      <c r="DU92" s="451"/>
      <c r="DV92" s="451"/>
      <c r="DW92" s="451"/>
      <c r="DX92" s="451"/>
      <c r="DY92" s="451"/>
      <c r="DZ92" s="451"/>
      <c r="EA92" s="451"/>
      <c r="EB92" s="451"/>
      <c r="EC92" s="417" t="str">
        <f>IFERROR(VLOOKUP($CI92,Skills!$H$2:$K$620,4,FALSE),"")</f>
        <v/>
      </c>
      <c r="ED92" s="417"/>
      <c r="EE92" s="417"/>
      <c r="EF92" s="417"/>
      <c r="EG92" s="417"/>
      <c r="EH92" s="452"/>
      <c r="EI92" s="452"/>
      <c r="EJ92" s="452"/>
      <c r="EK92" s="452"/>
      <c r="EL92" s="453"/>
      <c r="EM92" s="451" t="str">
        <f>IFERROR(VLOOKUP($CJ92,Skills!$H$2:$N$620,7,FALSE),"")</f>
        <v/>
      </c>
      <c r="EN92" s="451"/>
      <c r="EO92" s="451"/>
      <c r="EP92" s="451"/>
      <c r="EQ92" s="451"/>
      <c r="ER92" s="451"/>
      <c r="ES92" s="451"/>
      <c r="ET92" s="451"/>
      <c r="EU92" s="451"/>
      <c r="EV92" s="451"/>
      <c r="EW92" s="451"/>
      <c r="EX92" s="451"/>
      <c r="EY92" s="451"/>
      <c r="EZ92" s="451"/>
      <c r="FA92" s="451"/>
      <c r="FB92" s="451"/>
      <c r="FC92" s="451"/>
      <c r="FD92" s="451"/>
      <c r="FE92" s="451"/>
      <c r="FF92" s="451"/>
      <c r="FG92" s="451"/>
      <c r="FH92" s="451"/>
      <c r="FI92" s="451"/>
      <c r="FJ92" s="451"/>
      <c r="FK92" s="451"/>
      <c r="FL92" s="451"/>
      <c r="FM92" s="451"/>
      <c r="FN92" s="451"/>
      <c r="FO92" s="451"/>
      <c r="FP92" s="451"/>
      <c r="FQ92" s="451"/>
      <c r="FR92" s="451"/>
      <c r="FS92" s="451"/>
      <c r="FT92" s="451"/>
      <c r="FU92" s="451"/>
      <c r="FV92" s="451"/>
      <c r="FW92" s="451"/>
      <c r="FX92" s="451"/>
      <c r="FY92" s="451"/>
      <c r="FZ92" s="451"/>
      <c r="GA92" s="451"/>
      <c r="GB92" s="451"/>
      <c r="GC92" s="451"/>
      <c r="GD92" s="451"/>
      <c r="GE92" s="417" t="str">
        <f>IFERROR(VLOOKUP($CJ92,Skills!$H$2:$K$620,4,FALSE),"")</f>
        <v/>
      </c>
      <c r="GF92" s="417"/>
      <c r="GG92" s="417"/>
      <c r="GH92" s="417"/>
      <c r="GI92" s="417"/>
      <c r="GJ92" s="454"/>
      <c r="GK92" s="454"/>
      <c r="GL92" s="454"/>
      <c r="GM92" s="454"/>
      <c r="GN92" s="455"/>
    </row>
    <row r="93" spans="2:196" x14ac:dyDescent="0.25">
      <c r="CI93">
        <v>79</v>
      </c>
      <c r="CJ93">
        <v>329</v>
      </c>
      <c r="CK93" s="365" t="str">
        <f>IFERROR(VLOOKUP($CI93,Skills!$H$2:$N$620,7,FALSE),"")</f>
        <v/>
      </c>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445" t="str">
        <f>IFERROR(VLOOKUP($CI93,Skills!$H$2:$K$620,4,FALSE),"")</f>
        <v/>
      </c>
      <c r="ED93" s="445"/>
      <c r="EE93" s="445"/>
      <c r="EF93" s="445"/>
      <c r="EG93" s="445"/>
      <c r="EH93" s="446"/>
      <c r="EI93" s="446"/>
      <c r="EJ93" s="446"/>
      <c r="EK93" s="446"/>
      <c r="EL93" s="447"/>
      <c r="EM93" s="366" t="str">
        <f>IFERROR(VLOOKUP($CJ93,Skills!$H$2:$N$620,7,FALSE),"")</f>
        <v/>
      </c>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445" t="str">
        <f>IFERROR(VLOOKUP($CJ93,Skills!$H$2:$K$620,4,FALSE),"")</f>
        <v/>
      </c>
      <c r="GF93" s="445"/>
      <c r="GG93" s="445"/>
      <c r="GH93" s="445"/>
      <c r="GI93" s="445"/>
      <c r="GJ93" s="448"/>
      <c r="GK93" s="448"/>
      <c r="GL93" s="448"/>
      <c r="GM93" s="448"/>
      <c r="GN93" s="449"/>
    </row>
    <row r="94" spans="2:196" x14ac:dyDescent="0.25">
      <c r="CI94">
        <v>80</v>
      </c>
      <c r="CJ94">
        <v>330</v>
      </c>
      <c r="CK94" s="450" t="str">
        <f>IFERROR(VLOOKUP($CI94,Skills!$H$2:$N$620,7,FALSE),"")</f>
        <v/>
      </c>
      <c r="CL94" s="451"/>
      <c r="CM94" s="451"/>
      <c r="CN94" s="451"/>
      <c r="CO94" s="451"/>
      <c r="CP94" s="451"/>
      <c r="CQ94" s="451"/>
      <c r="CR94" s="451"/>
      <c r="CS94" s="451"/>
      <c r="CT94" s="451"/>
      <c r="CU94" s="451"/>
      <c r="CV94" s="451"/>
      <c r="CW94" s="451"/>
      <c r="CX94" s="451"/>
      <c r="CY94" s="451"/>
      <c r="CZ94" s="451"/>
      <c r="DA94" s="451"/>
      <c r="DB94" s="451"/>
      <c r="DC94" s="451"/>
      <c r="DD94" s="451"/>
      <c r="DE94" s="451"/>
      <c r="DF94" s="451"/>
      <c r="DG94" s="451"/>
      <c r="DH94" s="451"/>
      <c r="DI94" s="451"/>
      <c r="DJ94" s="451"/>
      <c r="DK94" s="451"/>
      <c r="DL94" s="451"/>
      <c r="DM94" s="451"/>
      <c r="DN94" s="451"/>
      <c r="DO94" s="451"/>
      <c r="DP94" s="451"/>
      <c r="DQ94" s="451"/>
      <c r="DR94" s="451"/>
      <c r="DS94" s="451"/>
      <c r="DT94" s="451"/>
      <c r="DU94" s="451"/>
      <c r="DV94" s="451"/>
      <c r="DW94" s="451"/>
      <c r="DX94" s="451"/>
      <c r="DY94" s="451"/>
      <c r="DZ94" s="451"/>
      <c r="EA94" s="451"/>
      <c r="EB94" s="451"/>
      <c r="EC94" s="417" t="str">
        <f>IFERROR(VLOOKUP($CI94,Skills!$H$2:$K$620,4,FALSE),"")</f>
        <v/>
      </c>
      <c r="ED94" s="417"/>
      <c r="EE94" s="417"/>
      <c r="EF94" s="417"/>
      <c r="EG94" s="417"/>
      <c r="EH94" s="452"/>
      <c r="EI94" s="452"/>
      <c r="EJ94" s="452"/>
      <c r="EK94" s="452"/>
      <c r="EL94" s="453"/>
      <c r="EM94" s="451" t="str">
        <f>IFERROR(VLOOKUP($CJ94,Skills!$H$2:$N$620,7,FALSE),"")</f>
        <v/>
      </c>
      <c r="EN94" s="451"/>
      <c r="EO94" s="451"/>
      <c r="EP94" s="451"/>
      <c r="EQ94" s="451"/>
      <c r="ER94" s="451"/>
      <c r="ES94" s="451"/>
      <c r="ET94" s="451"/>
      <c r="EU94" s="451"/>
      <c r="EV94" s="451"/>
      <c r="EW94" s="451"/>
      <c r="EX94" s="451"/>
      <c r="EY94" s="451"/>
      <c r="EZ94" s="451"/>
      <c r="FA94" s="451"/>
      <c r="FB94" s="451"/>
      <c r="FC94" s="451"/>
      <c r="FD94" s="451"/>
      <c r="FE94" s="451"/>
      <c r="FF94" s="451"/>
      <c r="FG94" s="451"/>
      <c r="FH94" s="451"/>
      <c r="FI94" s="451"/>
      <c r="FJ94" s="451"/>
      <c r="FK94" s="451"/>
      <c r="FL94" s="451"/>
      <c r="FM94" s="451"/>
      <c r="FN94" s="451"/>
      <c r="FO94" s="451"/>
      <c r="FP94" s="451"/>
      <c r="FQ94" s="451"/>
      <c r="FR94" s="451"/>
      <c r="FS94" s="451"/>
      <c r="FT94" s="451"/>
      <c r="FU94" s="451"/>
      <c r="FV94" s="451"/>
      <c r="FW94" s="451"/>
      <c r="FX94" s="451"/>
      <c r="FY94" s="451"/>
      <c r="FZ94" s="451"/>
      <c r="GA94" s="451"/>
      <c r="GB94" s="451"/>
      <c r="GC94" s="451"/>
      <c r="GD94" s="451"/>
      <c r="GE94" s="417" t="str">
        <f>IFERROR(VLOOKUP($CJ94,Skills!$H$2:$K$620,4,FALSE),"")</f>
        <v/>
      </c>
      <c r="GF94" s="417"/>
      <c r="GG94" s="417"/>
      <c r="GH94" s="417"/>
      <c r="GI94" s="417"/>
      <c r="GJ94" s="454"/>
      <c r="GK94" s="454"/>
      <c r="GL94" s="454"/>
      <c r="GM94" s="454"/>
      <c r="GN94" s="455"/>
    </row>
    <row r="95" spans="2:196" x14ac:dyDescent="0.25">
      <c r="CI95">
        <v>81</v>
      </c>
      <c r="CJ95">
        <v>331</v>
      </c>
      <c r="CK95" s="365" t="str">
        <f>IFERROR(VLOOKUP($CI95,Skills!$H$2:$N$620,7,FALSE),"")</f>
        <v/>
      </c>
      <c r="CL95" s="366"/>
      <c r="CM95" s="366"/>
      <c r="CN95" s="366"/>
      <c r="CO95" s="366"/>
      <c r="CP95" s="366"/>
      <c r="CQ95" s="366"/>
      <c r="CR95" s="366"/>
      <c r="CS95" s="366"/>
      <c r="CT95" s="366"/>
      <c r="CU95" s="366"/>
      <c r="CV95" s="366"/>
      <c r="CW95" s="366"/>
      <c r="CX95" s="366"/>
      <c r="CY95" s="366"/>
      <c r="CZ95" s="366"/>
      <c r="DA95" s="366"/>
      <c r="DB95" s="366"/>
      <c r="DC95" s="366"/>
      <c r="DD95" s="366"/>
      <c r="DE95" s="366"/>
      <c r="DF95" s="366"/>
      <c r="DG95" s="366"/>
      <c r="DH95" s="366"/>
      <c r="DI95" s="366"/>
      <c r="DJ95" s="366"/>
      <c r="DK95" s="366"/>
      <c r="DL95" s="366"/>
      <c r="DM95" s="366"/>
      <c r="DN95" s="366"/>
      <c r="DO95" s="366"/>
      <c r="DP95" s="366"/>
      <c r="DQ95" s="366"/>
      <c r="DR95" s="366"/>
      <c r="DS95" s="366"/>
      <c r="DT95" s="366"/>
      <c r="DU95" s="366"/>
      <c r="DV95" s="366"/>
      <c r="DW95" s="366"/>
      <c r="DX95" s="366"/>
      <c r="DY95" s="366"/>
      <c r="DZ95" s="366"/>
      <c r="EA95" s="366"/>
      <c r="EB95" s="366"/>
      <c r="EC95" s="445" t="str">
        <f>IFERROR(VLOOKUP($CI95,Skills!$H$2:$K$620,4,FALSE),"")</f>
        <v/>
      </c>
      <c r="ED95" s="445"/>
      <c r="EE95" s="445"/>
      <c r="EF95" s="445"/>
      <c r="EG95" s="445"/>
      <c r="EH95" s="446"/>
      <c r="EI95" s="446"/>
      <c r="EJ95" s="446"/>
      <c r="EK95" s="446"/>
      <c r="EL95" s="447"/>
      <c r="EM95" s="366" t="str">
        <f>IFERROR(VLOOKUP($CJ95,Skills!$H$2:$N$620,7,FALSE),"")</f>
        <v/>
      </c>
      <c r="EN95" s="366"/>
      <c r="EO95" s="366"/>
      <c r="EP95" s="366"/>
      <c r="EQ95" s="366"/>
      <c r="ER95" s="366"/>
      <c r="ES95" s="366"/>
      <c r="ET95" s="366"/>
      <c r="EU95" s="366"/>
      <c r="EV95" s="366"/>
      <c r="EW95" s="366"/>
      <c r="EX95" s="366"/>
      <c r="EY95" s="366"/>
      <c r="EZ95" s="366"/>
      <c r="FA95" s="366"/>
      <c r="FB95" s="366"/>
      <c r="FC95" s="366"/>
      <c r="FD95" s="366"/>
      <c r="FE95" s="366"/>
      <c r="FF95" s="366"/>
      <c r="FG95" s="366"/>
      <c r="FH95" s="366"/>
      <c r="FI95" s="366"/>
      <c r="FJ95" s="366"/>
      <c r="FK95" s="366"/>
      <c r="FL95" s="366"/>
      <c r="FM95" s="366"/>
      <c r="FN95" s="366"/>
      <c r="FO95" s="366"/>
      <c r="FP95" s="366"/>
      <c r="FQ95" s="366"/>
      <c r="FR95" s="366"/>
      <c r="FS95" s="366"/>
      <c r="FT95" s="366"/>
      <c r="FU95" s="366"/>
      <c r="FV95" s="366"/>
      <c r="FW95" s="366"/>
      <c r="FX95" s="366"/>
      <c r="FY95" s="366"/>
      <c r="FZ95" s="366"/>
      <c r="GA95" s="366"/>
      <c r="GB95" s="366"/>
      <c r="GC95" s="366"/>
      <c r="GD95" s="366"/>
      <c r="GE95" s="445" t="str">
        <f>IFERROR(VLOOKUP($CJ95,Skills!$H$2:$K$620,4,FALSE),"")</f>
        <v/>
      </c>
      <c r="GF95" s="445"/>
      <c r="GG95" s="445"/>
      <c r="GH95" s="445"/>
      <c r="GI95" s="445"/>
      <c r="GJ95" s="448"/>
      <c r="GK95" s="448"/>
      <c r="GL95" s="448"/>
      <c r="GM95" s="448"/>
      <c r="GN95" s="449"/>
    </row>
    <row r="96" spans="2:196" x14ac:dyDescent="0.25">
      <c r="CI96">
        <v>82</v>
      </c>
      <c r="CJ96">
        <v>332</v>
      </c>
      <c r="CK96" s="450" t="str">
        <f>IFERROR(VLOOKUP($CI96,Skills!$H$2:$N$620,7,FALSE),"")</f>
        <v/>
      </c>
      <c r="CL96" s="451"/>
      <c r="CM96" s="451"/>
      <c r="CN96" s="451"/>
      <c r="CO96" s="451"/>
      <c r="CP96" s="451"/>
      <c r="CQ96" s="451"/>
      <c r="CR96" s="451"/>
      <c r="CS96" s="451"/>
      <c r="CT96" s="451"/>
      <c r="CU96" s="451"/>
      <c r="CV96" s="451"/>
      <c r="CW96" s="451"/>
      <c r="CX96" s="451"/>
      <c r="CY96" s="451"/>
      <c r="CZ96" s="451"/>
      <c r="DA96" s="451"/>
      <c r="DB96" s="451"/>
      <c r="DC96" s="451"/>
      <c r="DD96" s="451"/>
      <c r="DE96" s="451"/>
      <c r="DF96" s="451"/>
      <c r="DG96" s="451"/>
      <c r="DH96" s="451"/>
      <c r="DI96" s="451"/>
      <c r="DJ96" s="451"/>
      <c r="DK96" s="451"/>
      <c r="DL96" s="451"/>
      <c r="DM96" s="451"/>
      <c r="DN96" s="451"/>
      <c r="DO96" s="451"/>
      <c r="DP96" s="451"/>
      <c r="DQ96" s="451"/>
      <c r="DR96" s="451"/>
      <c r="DS96" s="451"/>
      <c r="DT96" s="451"/>
      <c r="DU96" s="451"/>
      <c r="DV96" s="451"/>
      <c r="DW96" s="451"/>
      <c r="DX96" s="451"/>
      <c r="DY96" s="451"/>
      <c r="DZ96" s="451"/>
      <c r="EA96" s="451"/>
      <c r="EB96" s="451"/>
      <c r="EC96" s="417" t="str">
        <f>IFERROR(VLOOKUP($CI96,Skills!$H$2:$K$620,4,FALSE),"")</f>
        <v/>
      </c>
      <c r="ED96" s="417"/>
      <c r="EE96" s="417"/>
      <c r="EF96" s="417"/>
      <c r="EG96" s="417"/>
      <c r="EH96" s="452">
        <v>2</v>
      </c>
      <c r="EI96" s="452"/>
      <c r="EJ96" s="452"/>
      <c r="EK96" s="452"/>
      <c r="EL96" s="453"/>
      <c r="EM96" s="451" t="str">
        <f>IFERROR(VLOOKUP($CJ96,Skills!$H$2:$N$620,7,FALSE),"")</f>
        <v/>
      </c>
      <c r="EN96" s="451"/>
      <c r="EO96" s="451"/>
      <c r="EP96" s="451"/>
      <c r="EQ96" s="451"/>
      <c r="ER96" s="451"/>
      <c r="ES96" s="451"/>
      <c r="ET96" s="451"/>
      <c r="EU96" s="451"/>
      <c r="EV96" s="451"/>
      <c r="EW96" s="451"/>
      <c r="EX96" s="451"/>
      <c r="EY96" s="451"/>
      <c r="EZ96" s="451"/>
      <c r="FA96" s="451"/>
      <c r="FB96" s="451"/>
      <c r="FC96" s="451"/>
      <c r="FD96" s="451"/>
      <c r="FE96" s="451"/>
      <c r="FF96" s="451"/>
      <c r="FG96" s="451"/>
      <c r="FH96" s="451"/>
      <c r="FI96" s="451"/>
      <c r="FJ96" s="451"/>
      <c r="FK96" s="451"/>
      <c r="FL96" s="451"/>
      <c r="FM96" s="451"/>
      <c r="FN96" s="451"/>
      <c r="FO96" s="451"/>
      <c r="FP96" s="451"/>
      <c r="FQ96" s="451"/>
      <c r="FR96" s="451"/>
      <c r="FS96" s="451"/>
      <c r="FT96" s="451"/>
      <c r="FU96" s="451"/>
      <c r="FV96" s="451"/>
      <c r="FW96" s="451"/>
      <c r="FX96" s="451"/>
      <c r="FY96" s="451"/>
      <c r="FZ96" s="451"/>
      <c r="GA96" s="451"/>
      <c r="GB96" s="451"/>
      <c r="GC96" s="451"/>
      <c r="GD96" s="451"/>
      <c r="GE96" s="417" t="str">
        <f>IFERROR(VLOOKUP($CJ96,Skills!$H$2:$K$620,4,FALSE),"")</f>
        <v/>
      </c>
      <c r="GF96" s="417"/>
      <c r="GG96" s="417"/>
      <c r="GH96" s="417"/>
      <c r="GI96" s="417"/>
      <c r="GJ96" s="454"/>
      <c r="GK96" s="454"/>
      <c r="GL96" s="454"/>
      <c r="GM96" s="454"/>
      <c r="GN96" s="455"/>
    </row>
    <row r="97" spans="87:196" x14ac:dyDescent="0.25">
      <c r="CI97">
        <v>83</v>
      </c>
      <c r="CJ97">
        <v>333</v>
      </c>
      <c r="CK97" s="365" t="str">
        <f>IFERROR(VLOOKUP($CI97,Skills!$H$2:$N$620,7,FALSE),"")</f>
        <v/>
      </c>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445" t="str">
        <f>IFERROR(VLOOKUP($CI97,Skills!$H$2:$K$620,4,FALSE),"")</f>
        <v/>
      </c>
      <c r="ED97" s="445"/>
      <c r="EE97" s="445"/>
      <c r="EF97" s="445"/>
      <c r="EG97" s="445"/>
      <c r="EH97" s="446">
        <v>1</v>
      </c>
      <c r="EI97" s="446"/>
      <c r="EJ97" s="446"/>
      <c r="EK97" s="446"/>
      <c r="EL97" s="447"/>
      <c r="EM97" s="366" t="str">
        <f>IFERROR(VLOOKUP($CJ97,Skills!$H$2:$N$620,7,FALSE),"")</f>
        <v/>
      </c>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445" t="str">
        <f>IFERROR(VLOOKUP($CJ97,Skills!$H$2:$K$620,4,FALSE),"")</f>
        <v/>
      </c>
      <c r="GF97" s="445"/>
      <c r="GG97" s="445"/>
      <c r="GH97" s="445"/>
      <c r="GI97" s="445"/>
      <c r="GJ97" s="448"/>
      <c r="GK97" s="448"/>
      <c r="GL97" s="448"/>
      <c r="GM97" s="448"/>
      <c r="GN97" s="449"/>
    </row>
    <row r="98" spans="87:196" x14ac:dyDescent="0.25">
      <c r="CI98">
        <v>84</v>
      </c>
      <c r="CJ98">
        <v>334</v>
      </c>
      <c r="CK98" s="450" t="str">
        <f>IFERROR(VLOOKUP($CI98,Skills!$H$2:$N$620,7,FALSE),"")</f>
        <v/>
      </c>
      <c r="CL98" s="451"/>
      <c r="CM98" s="451"/>
      <c r="CN98" s="451"/>
      <c r="CO98" s="451"/>
      <c r="CP98" s="451"/>
      <c r="CQ98" s="451"/>
      <c r="CR98" s="451"/>
      <c r="CS98" s="451"/>
      <c r="CT98" s="451"/>
      <c r="CU98" s="451"/>
      <c r="CV98" s="451"/>
      <c r="CW98" s="451"/>
      <c r="CX98" s="451"/>
      <c r="CY98" s="451"/>
      <c r="CZ98" s="451"/>
      <c r="DA98" s="451"/>
      <c r="DB98" s="451"/>
      <c r="DC98" s="451"/>
      <c r="DD98" s="451"/>
      <c r="DE98" s="451"/>
      <c r="DF98" s="451"/>
      <c r="DG98" s="451"/>
      <c r="DH98" s="451"/>
      <c r="DI98" s="451"/>
      <c r="DJ98" s="451"/>
      <c r="DK98" s="451"/>
      <c r="DL98" s="451"/>
      <c r="DM98" s="451"/>
      <c r="DN98" s="451"/>
      <c r="DO98" s="451"/>
      <c r="DP98" s="451"/>
      <c r="DQ98" s="451"/>
      <c r="DR98" s="451"/>
      <c r="DS98" s="451"/>
      <c r="DT98" s="451"/>
      <c r="DU98" s="451"/>
      <c r="DV98" s="451"/>
      <c r="DW98" s="451"/>
      <c r="DX98" s="451"/>
      <c r="DY98" s="451"/>
      <c r="DZ98" s="451"/>
      <c r="EA98" s="451"/>
      <c r="EB98" s="451"/>
      <c r="EC98" s="417" t="str">
        <f>IFERROR(VLOOKUP($CI98,Skills!$H$2:$K$620,4,FALSE),"")</f>
        <v/>
      </c>
      <c r="ED98" s="417"/>
      <c r="EE98" s="417"/>
      <c r="EF98" s="417"/>
      <c r="EG98" s="417"/>
      <c r="EH98" s="452"/>
      <c r="EI98" s="452"/>
      <c r="EJ98" s="452"/>
      <c r="EK98" s="452"/>
      <c r="EL98" s="453"/>
      <c r="EM98" s="451" t="str">
        <f>IFERROR(VLOOKUP($CJ98,Skills!$H$2:$N$620,7,FALSE),"")</f>
        <v/>
      </c>
      <c r="EN98" s="451"/>
      <c r="EO98" s="451"/>
      <c r="EP98" s="451"/>
      <c r="EQ98" s="451"/>
      <c r="ER98" s="451"/>
      <c r="ES98" s="451"/>
      <c r="ET98" s="451"/>
      <c r="EU98" s="451"/>
      <c r="EV98" s="451"/>
      <c r="EW98" s="451"/>
      <c r="EX98" s="451"/>
      <c r="EY98" s="451"/>
      <c r="EZ98" s="451"/>
      <c r="FA98" s="451"/>
      <c r="FB98" s="451"/>
      <c r="FC98" s="451"/>
      <c r="FD98" s="451"/>
      <c r="FE98" s="451"/>
      <c r="FF98" s="451"/>
      <c r="FG98" s="451"/>
      <c r="FH98" s="451"/>
      <c r="FI98" s="451"/>
      <c r="FJ98" s="451"/>
      <c r="FK98" s="451"/>
      <c r="FL98" s="451"/>
      <c r="FM98" s="451"/>
      <c r="FN98" s="451"/>
      <c r="FO98" s="451"/>
      <c r="FP98" s="451"/>
      <c r="FQ98" s="451"/>
      <c r="FR98" s="451"/>
      <c r="FS98" s="451"/>
      <c r="FT98" s="451"/>
      <c r="FU98" s="451"/>
      <c r="FV98" s="451"/>
      <c r="FW98" s="451"/>
      <c r="FX98" s="451"/>
      <c r="FY98" s="451"/>
      <c r="FZ98" s="451"/>
      <c r="GA98" s="451"/>
      <c r="GB98" s="451"/>
      <c r="GC98" s="451"/>
      <c r="GD98" s="451"/>
      <c r="GE98" s="417" t="str">
        <f>IFERROR(VLOOKUP($CJ98,Skills!$H$2:$K$620,4,FALSE),"")</f>
        <v/>
      </c>
      <c r="GF98" s="417"/>
      <c r="GG98" s="417"/>
      <c r="GH98" s="417"/>
      <c r="GI98" s="417"/>
      <c r="GJ98" s="454"/>
      <c r="GK98" s="454"/>
      <c r="GL98" s="454"/>
      <c r="GM98" s="454"/>
      <c r="GN98" s="455"/>
    </row>
    <row r="99" spans="87:196" x14ac:dyDescent="0.25">
      <c r="CI99">
        <v>85</v>
      </c>
      <c r="CJ99">
        <v>335</v>
      </c>
      <c r="CK99" s="365" t="str">
        <f>IFERROR(VLOOKUP($CI99,Skills!$H$2:$N$620,7,FALSE),"")</f>
        <v/>
      </c>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445" t="str">
        <f>IFERROR(VLOOKUP($CI99,Skills!$H$2:$K$620,4,FALSE),"")</f>
        <v/>
      </c>
      <c r="ED99" s="445"/>
      <c r="EE99" s="445"/>
      <c r="EF99" s="445"/>
      <c r="EG99" s="445"/>
      <c r="EH99" s="446"/>
      <c r="EI99" s="446"/>
      <c r="EJ99" s="446"/>
      <c r="EK99" s="446"/>
      <c r="EL99" s="447"/>
      <c r="EM99" s="366" t="str">
        <f>IFERROR(VLOOKUP($CJ99,Skills!$H$2:$N$620,7,FALSE),"")</f>
        <v/>
      </c>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445" t="str">
        <f>IFERROR(VLOOKUP($CJ99,Skills!$H$2:$K$620,4,FALSE),"")</f>
        <v/>
      </c>
      <c r="GF99" s="445"/>
      <c r="GG99" s="445"/>
      <c r="GH99" s="445"/>
      <c r="GI99" s="445"/>
      <c r="GJ99" s="448"/>
      <c r="GK99" s="448"/>
      <c r="GL99" s="448"/>
      <c r="GM99" s="448"/>
      <c r="GN99" s="449"/>
    </row>
    <row r="100" spans="87:196" x14ac:dyDescent="0.25">
      <c r="CI100">
        <v>86</v>
      </c>
      <c r="CJ100">
        <v>336</v>
      </c>
      <c r="CK100" s="450" t="str">
        <f>IFERROR(VLOOKUP($CI100,Skills!$H$2:$N$620,7,FALSE),"")</f>
        <v/>
      </c>
      <c r="CL100" s="451"/>
      <c r="CM100" s="451"/>
      <c r="CN100" s="451"/>
      <c r="CO100" s="451"/>
      <c r="CP100" s="451"/>
      <c r="CQ100" s="451"/>
      <c r="CR100" s="451"/>
      <c r="CS100" s="451"/>
      <c r="CT100" s="451"/>
      <c r="CU100" s="451"/>
      <c r="CV100" s="451"/>
      <c r="CW100" s="451"/>
      <c r="CX100" s="451"/>
      <c r="CY100" s="451"/>
      <c r="CZ100" s="451"/>
      <c r="DA100" s="451"/>
      <c r="DB100" s="451"/>
      <c r="DC100" s="451"/>
      <c r="DD100" s="451"/>
      <c r="DE100" s="451"/>
      <c r="DF100" s="451"/>
      <c r="DG100" s="451"/>
      <c r="DH100" s="451"/>
      <c r="DI100" s="451"/>
      <c r="DJ100" s="451"/>
      <c r="DK100" s="451"/>
      <c r="DL100" s="451"/>
      <c r="DM100" s="451"/>
      <c r="DN100" s="451"/>
      <c r="DO100" s="451"/>
      <c r="DP100" s="451"/>
      <c r="DQ100" s="451"/>
      <c r="DR100" s="451"/>
      <c r="DS100" s="451"/>
      <c r="DT100" s="451"/>
      <c r="DU100" s="451"/>
      <c r="DV100" s="451"/>
      <c r="DW100" s="451"/>
      <c r="DX100" s="451"/>
      <c r="DY100" s="451"/>
      <c r="DZ100" s="451"/>
      <c r="EA100" s="451"/>
      <c r="EB100" s="451"/>
      <c r="EC100" s="417" t="str">
        <f>IFERROR(VLOOKUP($CI100,Skills!$H$2:$K$620,4,FALSE),"")</f>
        <v/>
      </c>
      <c r="ED100" s="417"/>
      <c r="EE100" s="417"/>
      <c r="EF100" s="417"/>
      <c r="EG100" s="417"/>
      <c r="EH100" s="452"/>
      <c r="EI100" s="452"/>
      <c r="EJ100" s="452"/>
      <c r="EK100" s="452"/>
      <c r="EL100" s="453"/>
      <c r="EM100" s="451" t="str">
        <f>IFERROR(VLOOKUP($CJ100,Skills!$H$2:$N$620,7,FALSE),"")</f>
        <v/>
      </c>
      <c r="EN100" s="451"/>
      <c r="EO100" s="451"/>
      <c r="EP100" s="451"/>
      <c r="EQ100" s="451"/>
      <c r="ER100" s="451"/>
      <c r="ES100" s="451"/>
      <c r="ET100" s="451"/>
      <c r="EU100" s="451"/>
      <c r="EV100" s="451"/>
      <c r="EW100" s="451"/>
      <c r="EX100" s="451"/>
      <c r="EY100" s="451"/>
      <c r="EZ100" s="451"/>
      <c r="FA100" s="451"/>
      <c r="FB100" s="451"/>
      <c r="FC100" s="451"/>
      <c r="FD100" s="451"/>
      <c r="FE100" s="451"/>
      <c r="FF100" s="451"/>
      <c r="FG100" s="451"/>
      <c r="FH100" s="451"/>
      <c r="FI100" s="451"/>
      <c r="FJ100" s="451"/>
      <c r="FK100" s="451"/>
      <c r="FL100" s="451"/>
      <c r="FM100" s="451"/>
      <c r="FN100" s="451"/>
      <c r="FO100" s="451"/>
      <c r="FP100" s="451"/>
      <c r="FQ100" s="451"/>
      <c r="FR100" s="451"/>
      <c r="FS100" s="451"/>
      <c r="FT100" s="451"/>
      <c r="FU100" s="451"/>
      <c r="FV100" s="451"/>
      <c r="FW100" s="451"/>
      <c r="FX100" s="451"/>
      <c r="FY100" s="451"/>
      <c r="FZ100" s="451"/>
      <c r="GA100" s="451"/>
      <c r="GB100" s="451"/>
      <c r="GC100" s="451"/>
      <c r="GD100" s="451"/>
      <c r="GE100" s="417" t="str">
        <f>IFERROR(VLOOKUP($CJ100,Skills!$H$2:$K$620,4,FALSE),"")</f>
        <v/>
      </c>
      <c r="GF100" s="417"/>
      <c r="GG100" s="417"/>
      <c r="GH100" s="417"/>
      <c r="GI100" s="417"/>
      <c r="GJ100" s="454"/>
      <c r="GK100" s="454"/>
      <c r="GL100" s="454"/>
      <c r="GM100" s="454"/>
      <c r="GN100" s="455"/>
    </row>
    <row r="101" spans="87:196" x14ac:dyDescent="0.25">
      <c r="CI101">
        <v>87</v>
      </c>
      <c r="CJ101">
        <v>337</v>
      </c>
      <c r="CK101" s="365" t="str">
        <f>IFERROR(VLOOKUP($CI101,Skills!$H$2:$N$620,7,FALSE),"")</f>
        <v/>
      </c>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445" t="str">
        <f>IFERROR(VLOOKUP($CI101,Skills!$H$2:$K$620,4,FALSE),"")</f>
        <v/>
      </c>
      <c r="ED101" s="445"/>
      <c r="EE101" s="445"/>
      <c r="EF101" s="445"/>
      <c r="EG101" s="445"/>
      <c r="EH101" s="446"/>
      <c r="EI101" s="446"/>
      <c r="EJ101" s="446"/>
      <c r="EK101" s="446"/>
      <c r="EL101" s="447"/>
      <c r="EM101" s="366" t="str">
        <f>IFERROR(VLOOKUP($CJ101,Skills!$H$2:$N$620,7,FALSE),"")</f>
        <v/>
      </c>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445" t="str">
        <f>IFERROR(VLOOKUP($CJ101,Skills!$H$2:$K$620,4,FALSE),"")</f>
        <v/>
      </c>
      <c r="GF101" s="445"/>
      <c r="GG101" s="445"/>
      <c r="GH101" s="445"/>
      <c r="GI101" s="445"/>
      <c r="GJ101" s="448"/>
      <c r="GK101" s="448"/>
      <c r="GL101" s="448"/>
      <c r="GM101" s="448"/>
      <c r="GN101" s="449"/>
    </row>
    <row r="102" spans="87:196" x14ac:dyDescent="0.25">
      <c r="CI102">
        <v>88</v>
      </c>
      <c r="CJ102">
        <v>338</v>
      </c>
      <c r="CK102" s="450" t="str">
        <f>IFERROR(VLOOKUP($CI102,Skills!$H$2:$N$620,7,FALSE),"")</f>
        <v/>
      </c>
      <c r="CL102" s="451"/>
      <c r="CM102" s="451"/>
      <c r="CN102" s="451"/>
      <c r="CO102" s="451"/>
      <c r="CP102" s="451"/>
      <c r="CQ102" s="451"/>
      <c r="CR102" s="451"/>
      <c r="CS102" s="451"/>
      <c r="CT102" s="451"/>
      <c r="CU102" s="451"/>
      <c r="CV102" s="451"/>
      <c r="CW102" s="451"/>
      <c r="CX102" s="451"/>
      <c r="CY102" s="451"/>
      <c r="CZ102" s="451"/>
      <c r="DA102" s="451"/>
      <c r="DB102" s="451"/>
      <c r="DC102" s="451"/>
      <c r="DD102" s="451"/>
      <c r="DE102" s="451"/>
      <c r="DF102" s="451"/>
      <c r="DG102" s="451"/>
      <c r="DH102" s="451"/>
      <c r="DI102" s="451"/>
      <c r="DJ102" s="451"/>
      <c r="DK102" s="451"/>
      <c r="DL102" s="451"/>
      <c r="DM102" s="451"/>
      <c r="DN102" s="451"/>
      <c r="DO102" s="451"/>
      <c r="DP102" s="451"/>
      <c r="DQ102" s="451"/>
      <c r="DR102" s="451"/>
      <c r="DS102" s="451"/>
      <c r="DT102" s="451"/>
      <c r="DU102" s="451"/>
      <c r="DV102" s="451"/>
      <c r="DW102" s="451"/>
      <c r="DX102" s="451"/>
      <c r="DY102" s="451"/>
      <c r="DZ102" s="451"/>
      <c r="EA102" s="451"/>
      <c r="EB102" s="451"/>
      <c r="EC102" s="417" t="str">
        <f>IFERROR(VLOOKUP($CI102,Skills!$H$2:$K$620,4,FALSE),"")</f>
        <v/>
      </c>
      <c r="ED102" s="417"/>
      <c r="EE102" s="417"/>
      <c r="EF102" s="417"/>
      <c r="EG102" s="417"/>
      <c r="EH102" s="452"/>
      <c r="EI102" s="452"/>
      <c r="EJ102" s="452"/>
      <c r="EK102" s="452"/>
      <c r="EL102" s="453"/>
      <c r="EM102" s="451" t="str">
        <f>IFERROR(VLOOKUP($CJ102,Skills!$H$2:$N$620,7,FALSE),"")</f>
        <v/>
      </c>
      <c r="EN102" s="451"/>
      <c r="EO102" s="451"/>
      <c r="EP102" s="451"/>
      <c r="EQ102" s="451"/>
      <c r="ER102" s="451"/>
      <c r="ES102" s="451"/>
      <c r="ET102" s="451"/>
      <c r="EU102" s="451"/>
      <c r="EV102" s="451"/>
      <c r="EW102" s="451"/>
      <c r="EX102" s="451"/>
      <c r="EY102" s="451"/>
      <c r="EZ102" s="451"/>
      <c r="FA102" s="451"/>
      <c r="FB102" s="451"/>
      <c r="FC102" s="451"/>
      <c r="FD102" s="451"/>
      <c r="FE102" s="451"/>
      <c r="FF102" s="451"/>
      <c r="FG102" s="451"/>
      <c r="FH102" s="451"/>
      <c r="FI102" s="451"/>
      <c r="FJ102" s="451"/>
      <c r="FK102" s="451"/>
      <c r="FL102" s="451"/>
      <c r="FM102" s="451"/>
      <c r="FN102" s="451"/>
      <c r="FO102" s="451"/>
      <c r="FP102" s="451"/>
      <c r="FQ102" s="451"/>
      <c r="FR102" s="451"/>
      <c r="FS102" s="451"/>
      <c r="FT102" s="451"/>
      <c r="FU102" s="451"/>
      <c r="FV102" s="451"/>
      <c r="FW102" s="451"/>
      <c r="FX102" s="451"/>
      <c r="FY102" s="451"/>
      <c r="FZ102" s="451"/>
      <c r="GA102" s="451"/>
      <c r="GB102" s="451"/>
      <c r="GC102" s="451"/>
      <c r="GD102" s="451"/>
      <c r="GE102" s="417" t="str">
        <f>IFERROR(VLOOKUP($CJ102,Skills!$H$2:$K$620,4,FALSE),"")</f>
        <v/>
      </c>
      <c r="GF102" s="417"/>
      <c r="GG102" s="417"/>
      <c r="GH102" s="417"/>
      <c r="GI102" s="417"/>
      <c r="GJ102" s="454"/>
      <c r="GK102" s="454"/>
      <c r="GL102" s="454"/>
      <c r="GM102" s="454"/>
      <c r="GN102" s="455"/>
    </row>
    <row r="103" spans="87:196" x14ac:dyDescent="0.25">
      <c r="CI103">
        <v>89</v>
      </c>
      <c r="CJ103">
        <v>339</v>
      </c>
      <c r="CK103" s="365" t="str">
        <f>IFERROR(VLOOKUP($CI103,Skills!$H$2:$N$620,7,FALSE),"")</f>
        <v/>
      </c>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445" t="str">
        <f>IFERROR(VLOOKUP($CI103,Skills!$H$2:$K$620,4,FALSE),"")</f>
        <v/>
      </c>
      <c r="ED103" s="445"/>
      <c r="EE103" s="445"/>
      <c r="EF103" s="445"/>
      <c r="EG103" s="445"/>
      <c r="EH103" s="446"/>
      <c r="EI103" s="446"/>
      <c r="EJ103" s="446"/>
      <c r="EK103" s="446"/>
      <c r="EL103" s="447"/>
      <c r="EM103" s="366" t="str">
        <f>IFERROR(VLOOKUP($CJ103,Skills!$H$2:$N$620,7,FALSE),"")</f>
        <v/>
      </c>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445" t="str">
        <f>IFERROR(VLOOKUP($CJ103,Skills!$H$2:$K$620,4,FALSE),"")</f>
        <v/>
      </c>
      <c r="GF103" s="445"/>
      <c r="GG103" s="445"/>
      <c r="GH103" s="445"/>
      <c r="GI103" s="445"/>
      <c r="GJ103" s="448"/>
      <c r="GK103" s="448"/>
      <c r="GL103" s="448"/>
      <c r="GM103" s="448"/>
      <c r="GN103" s="449"/>
    </row>
    <row r="104" spans="87:196" x14ac:dyDescent="0.25">
      <c r="CI104">
        <v>90</v>
      </c>
      <c r="CJ104">
        <v>340</v>
      </c>
      <c r="CK104" s="450" t="str">
        <f>IFERROR(VLOOKUP($CI104,Skills!$H$2:$N$620,7,FALSE),"")</f>
        <v/>
      </c>
      <c r="CL104" s="451"/>
      <c r="CM104" s="451"/>
      <c r="CN104" s="451"/>
      <c r="CO104" s="451"/>
      <c r="CP104" s="451"/>
      <c r="CQ104" s="451"/>
      <c r="CR104" s="451"/>
      <c r="CS104" s="451"/>
      <c r="CT104" s="451"/>
      <c r="CU104" s="451"/>
      <c r="CV104" s="451"/>
      <c r="CW104" s="451"/>
      <c r="CX104" s="451"/>
      <c r="CY104" s="451"/>
      <c r="CZ104" s="451"/>
      <c r="DA104" s="451"/>
      <c r="DB104" s="451"/>
      <c r="DC104" s="451"/>
      <c r="DD104" s="451"/>
      <c r="DE104" s="451"/>
      <c r="DF104" s="451"/>
      <c r="DG104" s="451"/>
      <c r="DH104" s="451"/>
      <c r="DI104" s="451"/>
      <c r="DJ104" s="451"/>
      <c r="DK104" s="451"/>
      <c r="DL104" s="451"/>
      <c r="DM104" s="451"/>
      <c r="DN104" s="451"/>
      <c r="DO104" s="451"/>
      <c r="DP104" s="451"/>
      <c r="DQ104" s="451"/>
      <c r="DR104" s="451"/>
      <c r="DS104" s="451"/>
      <c r="DT104" s="451"/>
      <c r="DU104" s="451"/>
      <c r="DV104" s="451"/>
      <c r="DW104" s="451"/>
      <c r="DX104" s="451"/>
      <c r="DY104" s="451"/>
      <c r="DZ104" s="451"/>
      <c r="EA104" s="451"/>
      <c r="EB104" s="451"/>
      <c r="EC104" s="417" t="str">
        <f>IFERROR(VLOOKUP($CI104,Skills!$H$2:$K$620,4,FALSE),"")</f>
        <v/>
      </c>
      <c r="ED104" s="417"/>
      <c r="EE104" s="417"/>
      <c r="EF104" s="417"/>
      <c r="EG104" s="417"/>
      <c r="EH104" s="452"/>
      <c r="EI104" s="452"/>
      <c r="EJ104" s="452"/>
      <c r="EK104" s="452"/>
      <c r="EL104" s="453"/>
      <c r="EM104" s="451" t="str">
        <f>IFERROR(VLOOKUP($CJ104,Skills!$H$2:$N$620,7,FALSE),"")</f>
        <v/>
      </c>
      <c r="EN104" s="451"/>
      <c r="EO104" s="451"/>
      <c r="EP104" s="451"/>
      <c r="EQ104" s="451"/>
      <c r="ER104" s="451"/>
      <c r="ES104" s="451"/>
      <c r="ET104" s="451"/>
      <c r="EU104" s="451"/>
      <c r="EV104" s="451"/>
      <c r="EW104" s="451"/>
      <c r="EX104" s="451"/>
      <c r="EY104" s="451"/>
      <c r="EZ104" s="451"/>
      <c r="FA104" s="451"/>
      <c r="FB104" s="451"/>
      <c r="FC104" s="451"/>
      <c r="FD104" s="451"/>
      <c r="FE104" s="451"/>
      <c r="FF104" s="451"/>
      <c r="FG104" s="451"/>
      <c r="FH104" s="451"/>
      <c r="FI104" s="451"/>
      <c r="FJ104" s="451"/>
      <c r="FK104" s="451"/>
      <c r="FL104" s="451"/>
      <c r="FM104" s="451"/>
      <c r="FN104" s="451"/>
      <c r="FO104" s="451"/>
      <c r="FP104" s="451"/>
      <c r="FQ104" s="451"/>
      <c r="FR104" s="451"/>
      <c r="FS104" s="451"/>
      <c r="FT104" s="451"/>
      <c r="FU104" s="451"/>
      <c r="FV104" s="451"/>
      <c r="FW104" s="451"/>
      <c r="FX104" s="451"/>
      <c r="FY104" s="451"/>
      <c r="FZ104" s="451"/>
      <c r="GA104" s="451"/>
      <c r="GB104" s="451"/>
      <c r="GC104" s="451"/>
      <c r="GD104" s="451"/>
      <c r="GE104" s="417" t="str">
        <f>IFERROR(VLOOKUP($CJ104,Skills!$H$2:$K$620,4,FALSE),"")</f>
        <v/>
      </c>
      <c r="GF104" s="417"/>
      <c r="GG104" s="417"/>
      <c r="GH104" s="417"/>
      <c r="GI104" s="417"/>
      <c r="GJ104" s="454"/>
      <c r="GK104" s="454"/>
      <c r="GL104" s="454"/>
      <c r="GM104" s="454"/>
      <c r="GN104" s="455"/>
    </row>
    <row r="105" spans="87:196" x14ac:dyDescent="0.25">
      <c r="CI105">
        <v>91</v>
      </c>
      <c r="CJ105">
        <v>341</v>
      </c>
      <c r="CK105" s="365" t="str">
        <f>IFERROR(VLOOKUP($CI105,Skills!$H$2:$N$620,7,FALSE),"")</f>
        <v/>
      </c>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445" t="str">
        <f>IFERROR(VLOOKUP($CI105,Skills!$H$2:$K$620,4,FALSE),"")</f>
        <v/>
      </c>
      <c r="ED105" s="445"/>
      <c r="EE105" s="445"/>
      <c r="EF105" s="445"/>
      <c r="EG105" s="445"/>
      <c r="EH105" s="446"/>
      <c r="EI105" s="446"/>
      <c r="EJ105" s="446"/>
      <c r="EK105" s="446"/>
      <c r="EL105" s="447"/>
      <c r="EM105" s="366" t="str">
        <f>IFERROR(VLOOKUP($CJ105,Skills!$H$2:$N$620,7,FALSE),"")</f>
        <v/>
      </c>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445" t="str">
        <f>IFERROR(VLOOKUP($CJ105,Skills!$H$2:$K$620,4,FALSE),"")</f>
        <v/>
      </c>
      <c r="GF105" s="445"/>
      <c r="GG105" s="445"/>
      <c r="GH105" s="445"/>
      <c r="GI105" s="445"/>
      <c r="GJ105" s="448"/>
      <c r="GK105" s="448"/>
      <c r="GL105" s="448"/>
      <c r="GM105" s="448"/>
      <c r="GN105" s="449"/>
    </row>
    <row r="106" spans="87:196" x14ac:dyDescent="0.25">
      <c r="CI106">
        <v>92</v>
      </c>
      <c r="CJ106">
        <v>342</v>
      </c>
      <c r="CK106" s="450" t="str">
        <f>IFERROR(VLOOKUP($CI106,Skills!$H$2:$N$620,7,FALSE),"")</f>
        <v/>
      </c>
      <c r="CL106" s="451"/>
      <c r="CM106" s="451"/>
      <c r="CN106" s="451"/>
      <c r="CO106" s="451"/>
      <c r="CP106" s="451"/>
      <c r="CQ106" s="451"/>
      <c r="CR106" s="451"/>
      <c r="CS106" s="451"/>
      <c r="CT106" s="451"/>
      <c r="CU106" s="451"/>
      <c r="CV106" s="451"/>
      <c r="CW106" s="451"/>
      <c r="CX106" s="451"/>
      <c r="CY106" s="451"/>
      <c r="CZ106" s="451"/>
      <c r="DA106" s="451"/>
      <c r="DB106" s="451"/>
      <c r="DC106" s="451"/>
      <c r="DD106" s="451"/>
      <c r="DE106" s="451"/>
      <c r="DF106" s="451"/>
      <c r="DG106" s="451"/>
      <c r="DH106" s="451"/>
      <c r="DI106" s="451"/>
      <c r="DJ106" s="451"/>
      <c r="DK106" s="451"/>
      <c r="DL106" s="451"/>
      <c r="DM106" s="451"/>
      <c r="DN106" s="451"/>
      <c r="DO106" s="451"/>
      <c r="DP106" s="451"/>
      <c r="DQ106" s="451"/>
      <c r="DR106" s="451"/>
      <c r="DS106" s="451"/>
      <c r="DT106" s="451"/>
      <c r="DU106" s="451"/>
      <c r="DV106" s="451"/>
      <c r="DW106" s="451"/>
      <c r="DX106" s="451"/>
      <c r="DY106" s="451"/>
      <c r="DZ106" s="451"/>
      <c r="EA106" s="451"/>
      <c r="EB106" s="451"/>
      <c r="EC106" s="417" t="str">
        <f>IFERROR(VLOOKUP($CI106,Skills!$H$2:$K$620,4,FALSE),"")</f>
        <v/>
      </c>
      <c r="ED106" s="417"/>
      <c r="EE106" s="417"/>
      <c r="EF106" s="417"/>
      <c r="EG106" s="417"/>
      <c r="EH106" s="452"/>
      <c r="EI106" s="452"/>
      <c r="EJ106" s="452"/>
      <c r="EK106" s="452"/>
      <c r="EL106" s="453"/>
      <c r="EM106" s="451" t="str">
        <f>IFERROR(VLOOKUP($CJ106,Skills!$H$2:$N$620,7,FALSE),"")</f>
        <v/>
      </c>
      <c r="EN106" s="451"/>
      <c r="EO106" s="451"/>
      <c r="EP106" s="451"/>
      <c r="EQ106" s="451"/>
      <c r="ER106" s="451"/>
      <c r="ES106" s="451"/>
      <c r="ET106" s="451"/>
      <c r="EU106" s="451"/>
      <c r="EV106" s="451"/>
      <c r="EW106" s="451"/>
      <c r="EX106" s="451"/>
      <c r="EY106" s="451"/>
      <c r="EZ106" s="451"/>
      <c r="FA106" s="451"/>
      <c r="FB106" s="451"/>
      <c r="FC106" s="451"/>
      <c r="FD106" s="451"/>
      <c r="FE106" s="451"/>
      <c r="FF106" s="451"/>
      <c r="FG106" s="451"/>
      <c r="FH106" s="451"/>
      <c r="FI106" s="451"/>
      <c r="FJ106" s="451"/>
      <c r="FK106" s="451"/>
      <c r="FL106" s="451"/>
      <c r="FM106" s="451"/>
      <c r="FN106" s="451"/>
      <c r="FO106" s="451"/>
      <c r="FP106" s="451"/>
      <c r="FQ106" s="451"/>
      <c r="FR106" s="451"/>
      <c r="FS106" s="451"/>
      <c r="FT106" s="451"/>
      <c r="FU106" s="451"/>
      <c r="FV106" s="451"/>
      <c r="FW106" s="451"/>
      <c r="FX106" s="451"/>
      <c r="FY106" s="451"/>
      <c r="FZ106" s="451"/>
      <c r="GA106" s="451"/>
      <c r="GB106" s="451"/>
      <c r="GC106" s="451"/>
      <c r="GD106" s="451"/>
      <c r="GE106" s="417" t="str">
        <f>IFERROR(VLOOKUP($CJ106,Skills!$H$2:$K$620,4,FALSE),"")</f>
        <v/>
      </c>
      <c r="GF106" s="417"/>
      <c r="GG106" s="417"/>
      <c r="GH106" s="417"/>
      <c r="GI106" s="417"/>
      <c r="GJ106" s="454"/>
      <c r="GK106" s="454"/>
      <c r="GL106" s="454"/>
      <c r="GM106" s="454"/>
      <c r="GN106" s="455"/>
    </row>
    <row r="107" spans="87:196" x14ac:dyDescent="0.25">
      <c r="CI107">
        <v>93</v>
      </c>
      <c r="CJ107">
        <v>343</v>
      </c>
      <c r="CK107" s="365" t="str">
        <f>IFERROR(VLOOKUP($CI107,Skills!$H$2:$N$620,7,FALSE),"")</f>
        <v/>
      </c>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445" t="str">
        <f>IFERROR(VLOOKUP($CI107,Skills!$H$2:$K$620,4,FALSE),"")</f>
        <v/>
      </c>
      <c r="ED107" s="445"/>
      <c r="EE107" s="445"/>
      <c r="EF107" s="445"/>
      <c r="EG107" s="445"/>
      <c r="EH107" s="446"/>
      <c r="EI107" s="446"/>
      <c r="EJ107" s="446"/>
      <c r="EK107" s="446"/>
      <c r="EL107" s="447"/>
      <c r="EM107" s="366" t="str">
        <f>IFERROR(VLOOKUP($CJ107,Skills!$H$2:$N$620,7,FALSE),"")</f>
        <v/>
      </c>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445" t="str">
        <f>IFERROR(VLOOKUP($CJ107,Skills!$H$2:$K$620,4,FALSE),"")</f>
        <v/>
      </c>
      <c r="GF107" s="445"/>
      <c r="GG107" s="445"/>
      <c r="GH107" s="445"/>
      <c r="GI107" s="445"/>
      <c r="GJ107" s="448"/>
      <c r="GK107" s="448"/>
      <c r="GL107" s="448"/>
      <c r="GM107" s="448"/>
      <c r="GN107" s="449"/>
    </row>
    <row r="108" spans="87:196" x14ac:dyDescent="0.25">
      <c r="CI108">
        <v>94</v>
      </c>
      <c r="CJ108">
        <v>344</v>
      </c>
      <c r="CK108" s="450" t="str">
        <f>IFERROR(VLOOKUP($CI108,Skills!$H$2:$N$620,7,FALSE),"")</f>
        <v/>
      </c>
      <c r="CL108" s="451"/>
      <c r="CM108" s="451"/>
      <c r="CN108" s="451"/>
      <c r="CO108" s="451"/>
      <c r="CP108" s="451"/>
      <c r="CQ108" s="451"/>
      <c r="CR108" s="451"/>
      <c r="CS108" s="451"/>
      <c r="CT108" s="451"/>
      <c r="CU108" s="451"/>
      <c r="CV108" s="451"/>
      <c r="CW108" s="451"/>
      <c r="CX108" s="451"/>
      <c r="CY108" s="451"/>
      <c r="CZ108" s="451"/>
      <c r="DA108" s="451"/>
      <c r="DB108" s="451"/>
      <c r="DC108" s="451"/>
      <c r="DD108" s="451"/>
      <c r="DE108" s="451"/>
      <c r="DF108" s="451"/>
      <c r="DG108" s="451"/>
      <c r="DH108" s="451"/>
      <c r="DI108" s="451"/>
      <c r="DJ108" s="451"/>
      <c r="DK108" s="451"/>
      <c r="DL108" s="451"/>
      <c r="DM108" s="451"/>
      <c r="DN108" s="451"/>
      <c r="DO108" s="451"/>
      <c r="DP108" s="451"/>
      <c r="DQ108" s="451"/>
      <c r="DR108" s="451"/>
      <c r="DS108" s="451"/>
      <c r="DT108" s="451"/>
      <c r="DU108" s="451"/>
      <c r="DV108" s="451"/>
      <c r="DW108" s="451"/>
      <c r="DX108" s="451"/>
      <c r="DY108" s="451"/>
      <c r="DZ108" s="451"/>
      <c r="EA108" s="451"/>
      <c r="EB108" s="451"/>
      <c r="EC108" s="417" t="str">
        <f>IFERROR(VLOOKUP($CI108,Skills!$H$2:$K$620,4,FALSE),"")</f>
        <v/>
      </c>
      <c r="ED108" s="417"/>
      <c r="EE108" s="417"/>
      <c r="EF108" s="417"/>
      <c r="EG108" s="417"/>
      <c r="EH108" s="452">
        <v>4</v>
      </c>
      <c r="EI108" s="452"/>
      <c r="EJ108" s="452"/>
      <c r="EK108" s="452"/>
      <c r="EL108" s="453"/>
      <c r="EM108" s="451" t="str">
        <f>IFERROR(VLOOKUP($CJ108,Skills!$H$2:$N$620,7,FALSE),"")</f>
        <v/>
      </c>
      <c r="EN108" s="451"/>
      <c r="EO108" s="451"/>
      <c r="EP108" s="451"/>
      <c r="EQ108" s="451"/>
      <c r="ER108" s="451"/>
      <c r="ES108" s="451"/>
      <c r="ET108" s="451"/>
      <c r="EU108" s="451"/>
      <c r="EV108" s="451"/>
      <c r="EW108" s="451"/>
      <c r="EX108" s="451"/>
      <c r="EY108" s="451"/>
      <c r="EZ108" s="451"/>
      <c r="FA108" s="451"/>
      <c r="FB108" s="451"/>
      <c r="FC108" s="451"/>
      <c r="FD108" s="451"/>
      <c r="FE108" s="451"/>
      <c r="FF108" s="451"/>
      <c r="FG108" s="451"/>
      <c r="FH108" s="451"/>
      <c r="FI108" s="451"/>
      <c r="FJ108" s="451"/>
      <c r="FK108" s="451"/>
      <c r="FL108" s="451"/>
      <c r="FM108" s="451"/>
      <c r="FN108" s="451"/>
      <c r="FO108" s="451"/>
      <c r="FP108" s="451"/>
      <c r="FQ108" s="451"/>
      <c r="FR108" s="451"/>
      <c r="FS108" s="451"/>
      <c r="FT108" s="451"/>
      <c r="FU108" s="451"/>
      <c r="FV108" s="451"/>
      <c r="FW108" s="451"/>
      <c r="FX108" s="451"/>
      <c r="FY108" s="451"/>
      <c r="FZ108" s="451"/>
      <c r="GA108" s="451"/>
      <c r="GB108" s="451"/>
      <c r="GC108" s="451"/>
      <c r="GD108" s="451"/>
      <c r="GE108" s="417" t="str">
        <f>IFERROR(VLOOKUP($CJ108,Skills!$H$2:$K$620,4,FALSE),"")</f>
        <v/>
      </c>
      <c r="GF108" s="417"/>
      <c r="GG108" s="417"/>
      <c r="GH108" s="417"/>
      <c r="GI108" s="417"/>
      <c r="GJ108" s="454"/>
      <c r="GK108" s="454"/>
      <c r="GL108" s="454"/>
      <c r="GM108" s="454"/>
      <c r="GN108" s="455"/>
    </row>
    <row r="109" spans="87:196" x14ac:dyDescent="0.25">
      <c r="CI109">
        <v>95</v>
      </c>
      <c r="CJ109">
        <v>345</v>
      </c>
      <c r="CK109" s="365" t="str">
        <f>IFERROR(VLOOKUP($CI109,Skills!$H$2:$N$620,7,FALSE),"")</f>
        <v/>
      </c>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445" t="str">
        <f>IFERROR(VLOOKUP($CI109,Skills!$H$2:$K$620,4,FALSE),"")</f>
        <v/>
      </c>
      <c r="ED109" s="445"/>
      <c r="EE109" s="445"/>
      <c r="EF109" s="445"/>
      <c r="EG109" s="445"/>
      <c r="EH109" s="446"/>
      <c r="EI109" s="446"/>
      <c r="EJ109" s="446"/>
      <c r="EK109" s="446"/>
      <c r="EL109" s="447"/>
      <c r="EM109" s="366" t="str">
        <f>IFERROR(VLOOKUP($CJ109,Skills!$H$2:$N$620,7,FALSE),"")</f>
        <v/>
      </c>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445" t="str">
        <f>IFERROR(VLOOKUP($CJ109,Skills!$H$2:$K$620,4,FALSE),"")</f>
        <v/>
      </c>
      <c r="GF109" s="445"/>
      <c r="GG109" s="445"/>
      <c r="GH109" s="445"/>
      <c r="GI109" s="445"/>
      <c r="GJ109" s="448"/>
      <c r="GK109" s="448"/>
      <c r="GL109" s="448"/>
      <c r="GM109" s="448"/>
      <c r="GN109" s="449"/>
    </row>
    <row r="110" spans="87:196" x14ac:dyDescent="0.25">
      <c r="CI110">
        <v>96</v>
      </c>
      <c r="CJ110">
        <v>346</v>
      </c>
      <c r="CK110" s="450" t="str">
        <f>IFERROR(VLOOKUP($CI110,Skills!$H$2:$N$620,7,FALSE),"")</f>
        <v/>
      </c>
      <c r="CL110" s="451"/>
      <c r="CM110" s="451"/>
      <c r="CN110" s="451"/>
      <c r="CO110" s="451"/>
      <c r="CP110" s="451"/>
      <c r="CQ110" s="451"/>
      <c r="CR110" s="451"/>
      <c r="CS110" s="451"/>
      <c r="CT110" s="451"/>
      <c r="CU110" s="451"/>
      <c r="CV110" s="451"/>
      <c r="CW110" s="451"/>
      <c r="CX110" s="451"/>
      <c r="CY110" s="451"/>
      <c r="CZ110" s="451"/>
      <c r="DA110" s="451"/>
      <c r="DB110" s="451"/>
      <c r="DC110" s="451"/>
      <c r="DD110" s="451"/>
      <c r="DE110" s="451"/>
      <c r="DF110" s="451"/>
      <c r="DG110" s="451"/>
      <c r="DH110" s="451"/>
      <c r="DI110" s="451"/>
      <c r="DJ110" s="451"/>
      <c r="DK110" s="451"/>
      <c r="DL110" s="451"/>
      <c r="DM110" s="451"/>
      <c r="DN110" s="451"/>
      <c r="DO110" s="451"/>
      <c r="DP110" s="451"/>
      <c r="DQ110" s="451"/>
      <c r="DR110" s="451"/>
      <c r="DS110" s="451"/>
      <c r="DT110" s="451"/>
      <c r="DU110" s="451"/>
      <c r="DV110" s="451"/>
      <c r="DW110" s="451"/>
      <c r="DX110" s="451"/>
      <c r="DY110" s="451"/>
      <c r="DZ110" s="451"/>
      <c r="EA110" s="451"/>
      <c r="EB110" s="451"/>
      <c r="EC110" s="417" t="str">
        <f>IFERROR(VLOOKUP($CI110,Skills!$H$2:$K$620,4,FALSE),"")</f>
        <v/>
      </c>
      <c r="ED110" s="417"/>
      <c r="EE110" s="417"/>
      <c r="EF110" s="417"/>
      <c r="EG110" s="417"/>
      <c r="EH110" s="452"/>
      <c r="EI110" s="452"/>
      <c r="EJ110" s="452"/>
      <c r="EK110" s="452"/>
      <c r="EL110" s="453"/>
      <c r="EM110" s="451" t="str">
        <f>IFERROR(VLOOKUP($CJ110,Skills!$H$2:$N$620,7,FALSE),"")</f>
        <v/>
      </c>
      <c r="EN110" s="451"/>
      <c r="EO110" s="451"/>
      <c r="EP110" s="451"/>
      <c r="EQ110" s="451"/>
      <c r="ER110" s="451"/>
      <c r="ES110" s="451"/>
      <c r="ET110" s="451"/>
      <c r="EU110" s="451"/>
      <c r="EV110" s="451"/>
      <c r="EW110" s="451"/>
      <c r="EX110" s="451"/>
      <c r="EY110" s="451"/>
      <c r="EZ110" s="451"/>
      <c r="FA110" s="451"/>
      <c r="FB110" s="451"/>
      <c r="FC110" s="451"/>
      <c r="FD110" s="451"/>
      <c r="FE110" s="451"/>
      <c r="FF110" s="451"/>
      <c r="FG110" s="451"/>
      <c r="FH110" s="451"/>
      <c r="FI110" s="451"/>
      <c r="FJ110" s="451"/>
      <c r="FK110" s="451"/>
      <c r="FL110" s="451"/>
      <c r="FM110" s="451"/>
      <c r="FN110" s="451"/>
      <c r="FO110" s="451"/>
      <c r="FP110" s="451"/>
      <c r="FQ110" s="451"/>
      <c r="FR110" s="451"/>
      <c r="FS110" s="451"/>
      <c r="FT110" s="451"/>
      <c r="FU110" s="451"/>
      <c r="FV110" s="451"/>
      <c r="FW110" s="451"/>
      <c r="FX110" s="451"/>
      <c r="FY110" s="451"/>
      <c r="FZ110" s="451"/>
      <c r="GA110" s="451"/>
      <c r="GB110" s="451"/>
      <c r="GC110" s="451"/>
      <c r="GD110" s="451"/>
      <c r="GE110" s="417" t="str">
        <f>IFERROR(VLOOKUP($CJ110,Skills!$H$2:$K$620,4,FALSE),"")</f>
        <v/>
      </c>
      <c r="GF110" s="417"/>
      <c r="GG110" s="417"/>
      <c r="GH110" s="417"/>
      <c r="GI110" s="417"/>
      <c r="GJ110" s="454"/>
      <c r="GK110" s="454"/>
      <c r="GL110" s="454"/>
      <c r="GM110" s="454"/>
      <c r="GN110" s="455"/>
    </row>
    <row r="111" spans="87:196" x14ac:dyDescent="0.25">
      <c r="CI111">
        <v>97</v>
      </c>
      <c r="CJ111">
        <v>347</v>
      </c>
      <c r="CK111" s="365" t="str">
        <f>IFERROR(VLOOKUP($CI111,Skills!$H$2:$N$620,7,FALSE),"")</f>
        <v/>
      </c>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445" t="str">
        <f>IFERROR(VLOOKUP($CI111,Skills!$H$2:$K$620,4,FALSE),"")</f>
        <v/>
      </c>
      <c r="ED111" s="445"/>
      <c r="EE111" s="445"/>
      <c r="EF111" s="445"/>
      <c r="EG111" s="445"/>
      <c r="EH111" s="446"/>
      <c r="EI111" s="446"/>
      <c r="EJ111" s="446"/>
      <c r="EK111" s="446"/>
      <c r="EL111" s="447"/>
      <c r="EM111" s="366" t="str">
        <f>IFERROR(VLOOKUP($CJ111,Skills!$H$2:$N$620,7,FALSE),"")</f>
        <v/>
      </c>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445" t="str">
        <f>IFERROR(VLOOKUP($CJ111,Skills!$H$2:$K$620,4,FALSE),"")</f>
        <v/>
      </c>
      <c r="GF111" s="445"/>
      <c r="GG111" s="445"/>
      <c r="GH111" s="445"/>
      <c r="GI111" s="445"/>
      <c r="GJ111" s="448"/>
      <c r="GK111" s="448"/>
      <c r="GL111" s="448"/>
      <c r="GM111" s="448"/>
      <c r="GN111" s="449"/>
    </row>
    <row r="112" spans="87:196" x14ac:dyDescent="0.25">
      <c r="CI112">
        <v>98</v>
      </c>
      <c r="CJ112">
        <v>348</v>
      </c>
      <c r="CK112" s="450" t="str">
        <f>IFERROR(VLOOKUP($CI112,Skills!$H$2:$N$620,7,FALSE),"")</f>
        <v/>
      </c>
      <c r="CL112" s="451"/>
      <c r="CM112" s="451"/>
      <c r="CN112" s="451"/>
      <c r="CO112" s="451"/>
      <c r="CP112" s="451"/>
      <c r="CQ112" s="451"/>
      <c r="CR112" s="451"/>
      <c r="CS112" s="451"/>
      <c r="CT112" s="451"/>
      <c r="CU112" s="451"/>
      <c r="CV112" s="451"/>
      <c r="CW112" s="451"/>
      <c r="CX112" s="451"/>
      <c r="CY112" s="451"/>
      <c r="CZ112" s="451"/>
      <c r="DA112" s="451"/>
      <c r="DB112" s="451"/>
      <c r="DC112" s="451"/>
      <c r="DD112" s="451"/>
      <c r="DE112" s="451"/>
      <c r="DF112" s="451"/>
      <c r="DG112" s="451"/>
      <c r="DH112" s="451"/>
      <c r="DI112" s="451"/>
      <c r="DJ112" s="451"/>
      <c r="DK112" s="451"/>
      <c r="DL112" s="451"/>
      <c r="DM112" s="451"/>
      <c r="DN112" s="451"/>
      <c r="DO112" s="451"/>
      <c r="DP112" s="451"/>
      <c r="DQ112" s="451"/>
      <c r="DR112" s="451"/>
      <c r="DS112" s="451"/>
      <c r="DT112" s="451"/>
      <c r="DU112" s="451"/>
      <c r="DV112" s="451"/>
      <c r="DW112" s="451"/>
      <c r="DX112" s="451"/>
      <c r="DY112" s="451"/>
      <c r="DZ112" s="451"/>
      <c r="EA112" s="451"/>
      <c r="EB112" s="451"/>
      <c r="EC112" s="417" t="str">
        <f>IFERROR(VLOOKUP($CI112,Skills!$H$2:$K$620,4,FALSE),"")</f>
        <v/>
      </c>
      <c r="ED112" s="417"/>
      <c r="EE112" s="417"/>
      <c r="EF112" s="417"/>
      <c r="EG112" s="417"/>
      <c r="EH112" s="452">
        <v>3</v>
      </c>
      <c r="EI112" s="452"/>
      <c r="EJ112" s="452"/>
      <c r="EK112" s="452"/>
      <c r="EL112" s="453"/>
      <c r="EM112" s="451" t="str">
        <f>IFERROR(VLOOKUP($CJ112,Skills!$H$2:$N$620,7,FALSE),"")</f>
        <v/>
      </c>
      <c r="EN112" s="451"/>
      <c r="EO112" s="451"/>
      <c r="EP112" s="451"/>
      <c r="EQ112" s="451"/>
      <c r="ER112" s="451"/>
      <c r="ES112" s="451"/>
      <c r="ET112" s="451"/>
      <c r="EU112" s="451"/>
      <c r="EV112" s="451"/>
      <c r="EW112" s="451"/>
      <c r="EX112" s="451"/>
      <c r="EY112" s="451"/>
      <c r="EZ112" s="451"/>
      <c r="FA112" s="451"/>
      <c r="FB112" s="451"/>
      <c r="FC112" s="451"/>
      <c r="FD112" s="451"/>
      <c r="FE112" s="451"/>
      <c r="FF112" s="451"/>
      <c r="FG112" s="451"/>
      <c r="FH112" s="451"/>
      <c r="FI112" s="451"/>
      <c r="FJ112" s="451"/>
      <c r="FK112" s="451"/>
      <c r="FL112" s="451"/>
      <c r="FM112" s="451"/>
      <c r="FN112" s="451"/>
      <c r="FO112" s="451"/>
      <c r="FP112" s="451"/>
      <c r="FQ112" s="451"/>
      <c r="FR112" s="451"/>
      <c r="FS112" s="451"/>
      <c r="FT112" s="451"/>
      <c r="FU112" s="451"/>
      <c r="FV112" s="451"/>
      <c r="FW112" s="451"/>
      <c r="FX112" s="451"/>
      <c r="FY112" s="451"/>
      <c r="FZ112" s="451"/>
      <c r="GA112" s="451"/>
      <c r="GB112" s="451"/>
      <c r="GC112" s="451"/>
      <c r="GD112" s="451"/>
      <c r="GE112" s="417" t="str">
        <f>IFERROR(VLOOKUP($CJ112,Skills!$H$2:$K$620,4,FALSE),"")</f>
        <v/>
      </c>
      <c r="GF112" s="417"/>
      <c r="GG112" s="417"/>
      <c r="GH112" s="417"/>
      <c r="GI112" s="417"/>
      <c r="GJ112" s="454"/>
      <c r="GK112" s="454"/>
      <c r="GL112" s="454"/>
      <c r="GM112" s="454"/>
      <c r="GN112" s="455"/>
    </row>
    <row r="113" spans="87:196" x14ac:dyDescent="0.25">
      <c r="CI113">
        <v>99</v>
      </c>
      <c r="CJ113">
        <v>349</v>
      </c>
      <c r="CK113" s="365" t="str">
        <f>IFERROR(VLOOKUP($CI113,Skills!$H$2:$N$620,7,FALSE),"")</f>
        <v/>
      </c>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445" t="str">
        <f>IFERROR(VLOOKUP($CI113,Skills!$H$2:$K$620,4,FALSE),"")</f>
        <v/>
      </c>
      <c r="ED113" s="445"/>
      <c r="EE113" s="445"/>
      <c r="EF113" s="445"/>
      <c r="EG113" s="445"/>
      <c r="EH113" s="446"/>
      <c r="EI113" s="446"/>
      <c r="EJ113" s="446"/>
      <c r="EK113" s="446"/>
      <c r="EL113" s="447"/>
      <c r="EM113" s="366" t="str">
        <f>IFERROR(VLOOKUP($CJ113,Skills!$H$2:$N$620,7,FALSE),"")</f>
        <v/>
      </c>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445" t="str">
        <f>IFERROR(VLOOKUP($CJ113,Skills!$H$2:$K$620,4,FALSE),"")</f>
        <v/>
      </c>
      <c r="GF113" s="445"/>
      <c r="GG113" s="445"/>
      <c r="GH113" s="445"/>
      <c r="GI113" s="445"/>
      <c r="GJ113" s="448"/>
      <c r="GK113" s="448"/>
      <c r="GL113" s="448"/>
      <c r="GM113" s="448"/>
      <c r="GN113" s="449"/>
    </row>
    <row r="114" spans="87:196" x14ac:dyDescent="0.25">
      <c r="CI114">
        <v>100</v>
      </c>
      <c r="CJ114">
        <v>350</v>
      </c>
      <c r="CK114" s="450" t="str">
        <f>IFERROR(VLOOKUP($CI114,Skills!$H$2:$N$620,7,FALSE),"")</f>
        <v/>
      </c>
      <c r="CL114" s="451"/>
      <c r="CM114" s="451"/>
      <c r="CN114" s="451"/>
      <c r="CO114" s="451"/>
      <c r="CP114" s="451"/>
      <c r="CQ114" s="451"/>
      <c r="CR114" s="451"/>
      <c r="CS114" s="451"/>
      <c r="CT114" s="451"/>
      <c r="CU114" s="451"/>
      <c r="CV114" s="451"/>
      <c r="CW114" s="451"/>
      <c r="CX114" s="451"/>
      <c r="CY114" s="451"/>
      <c r="CZ114" s="451"/>
      <c r="DA114" s="451"/>
      <c r="DB114" s="451"/>
      <c r="DC114" s="451"/>
      <c r="DD114" s="451"/>
      <c r="DE114" s="451"/>
      <c r="DF114" s="451"/>
      <c r="DG114" s="451"/>
      <c r="DH114" s="451"/>
      <c r="DI114" s="451"/>
      <c r="DJ114" s="451"/>
      <c r="DK114" s="451"/>
      <c r="DL114" s="451"/>
      <c r="DM114" s="451"/>
      <c r="DN114" s="451"/>
      <c r="DO114" s="451"/>
      <c r="DP114" s="451"/>
      <c r="DQ114" s="451"/>
      <c r="DR114" s="451"/>
      <c r="DS114" s="451"/>
      <c r="DT114" s="451"/>
      <c r="DU114" s="451"/>
      <c r="DV114" s="451"/>
      <c r="DW114" s="451"/>
      <c r="DX114" s="451"/>
      <c r="DY114" s="451"/>
      <c r="DZ114" s="451"/>
      <c r="EA114" s="451"/>
      <c r="EB114" s="451"/>
      <c r="EC114" s="417" t="str">
        <f>IFERROR(VLOOKUP($CI114,Skills!$H$2:$K$620,4,FALSE),"")</f>
        <v/>
      </c>
      <c r="ED114" s="417"/>
      <c r="EE114" s="417"/>
      <c r="EF114" s="417"/>
      <c r="EG114" s="417"/>
      <c r="EH114" s="452"/>
      <c r="EI114" s="452"/>
      <c r="EJ114" s="452"/>
      <c r="EK114" s="452"/>
      <c r="EL114" s="453"/>
      <c r="EM114" s="451" t="str">
        <f>IFERROR(VLOOKUP($CJ114,Skills!$H$2:$N$620,7,FALSE),"")</f>
        <v/>
      </c>
      <c r="EN114" s="451"/>
      <c r="EO114" s="451"/>
      <c r="EP114" s="451"/>
      <c r="EQ114" s="451"/>
      <c r="ER114" s="451"/>
      <c r="ES114" s="451"/>
      <c r="ET114" s="451"/>
      <c r="EU114" s="451"/>
      <c r="EV114" s="451"/>
      <c r="EW114" s="451"/>
      <c r="EX114" s="451"/>
      <c r="EY114" s="451"/>
      <c r="EZ114" s="451"/>
      <c r="FA114" s="451"/>
      <c r="FB114" s="451"/>
      <c r="FC114" s="451"/>
      <c r="FD114" s="451"/>
      <c r="FE114" s="451"/>
      <c r="FF114" s="451"/>
      <c r="FG114" s="451"/>
      <c r="FH114" s="451"/>
      <c r="FI114" s="451"/>
      <c r="FJ114" s="451"/>
      <c r="FK114" s="451"/>
      <c r="FL114" s="451"/>
      <c r="FM114" s="451"/>
      <c r="FN114" s="451"/>
      <c r="FO114" s="451"/>
      <c r="FP114" s="451"/>
      <c r="FQ114" s="451"/>
      <c r="FR114" s="451"/>
      <c r="FS114" s="451"/>
      <c r="FT114" s="451"/>
      <c r="FU114" s="451"/>
      <c r="FV114" s="451"/>
      <c r="FW114" s="451"/>
      <c r="FX114" s="451"/>
      <c r="FY114" s="451"/>
      <c r="FZ114" s="451"/>
      <c r="GA114" s="451"/>
      <c r="GB114" s="451"/>
      <c r="GC114" s="451"/>
      <c r="GD114" s="451"/>
      <c r="GE114" s="417" t="str">
        <f>IFERROR(VLOOKUP($CJ114,Skills!$H$2:$K$620,4,FALSE),"")</f>
        <v/>
      </c>
      <c r="GF114" s="417"/>
      <c r="GG114" s="417"/>
      <c r="GH114" s="417"/>
      <c r="GI114" s="417"/>
      <c r="GJ114" s="454"/>
      <c r="GK114" s="454"/>
      <c r="GL114" s="454"/>
      <c r="GM114" s="454"/>
      <c r="GN114" s="455"/>
    </row>
    <row r="115" spans="87:196" x14ac:dyDescent="0.25">
      <c r="CI115">
        <v>101</v>
      </c>
      <c r="CJ115">
        <v>351</v>
      </c>
      <c r="CK115" s="365" t="str">
        <f>IFERROR(VLOOKUP($CI115,Skills!$H$2:$N$620,7,FALSE),"")</f>
        <v/>
      </c>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445" t="str">
        <f>IFERROR(VLOOKUP($CI115,Skills!$H$2:$K$620,4,FALSE),"")</f>
        <v/>
      </c>
      <c r="ED115" s="445"/>
      <c r="EE115" s="445"/>
      <c r="EF115" s="445"/>
      <c r="EG115" s="445"/>
      <c r="EH115" s="446"/>
      <c r="EI115" s="446"/>
      <c r="EJ115" s="446"/>
      <c r="EK115" s="446"/>
      <c r="EL115" s="447"/>
      <c r="EM115" s="366" t="str">
        <f>IFERROR(VLOOKUP($CJ115,Skills!$H$2:$N$620,7,FALSE),"")</f>
        <v/>
      </c>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445" t="str">
        <f>IFERROR(VLOOKUP($CJ115,Skills!$H$2:$K$620,4,FALSE),"")</f>
        <v/>
      </c>
      <c r="GF115" s="445"/>
      <c r="GG115" s="445"/>
      <c r="GH115" s="445"/>
      <c r="GI115" s="445"/>
      <c r="GJ115" s="448"/>
      <c r="GK115" s="448"/>
      <c r="GL115" s="448"/>
      <c r="GM115" s="448"/>
      <c r="GN115" s="449"/>
    </row>
    <row r="116" spans="87:196" x14ac:dyDescent="0.25">
      <c r="CI116">
        <v>102</v>
      </c>
      <c r="CJ116">
        <v>352</v>
      </c>
      <c r="CK116" s="450" t="str">
        <f>IFERROR(VLOOKUP($CI116,Skills!$H$2:$N$620,7,FALSE),"")</f>
        <v/>
      </c>
      <c r="CL116" s="451"/>
      <c r="CM116" s="451"/>
      <c r="CN116" s="451"/>
      <c r="CO116" s="451"/>
      <c r="CP116" s="451"/>
      <c r="CQ116" s="451"/>
      <c r="CR116" s="451"/>
      <c r="CS116" s="451"/>
      <c r="CT116" s="451"/>
      <c r="CU116" s="451"/>
      <c r="CV116" s="451"/>
      <c r="CW116" s="451"/>
      <c r="CX116" s="451"/>
      <c r="CY116" s="451"/>
      <c r="CZ116" s="451"/>
      <c r="DA116" s="451"/>
      <c r="DB116" s="451"/>
      <c r="DC116" s="451"/>
      <c r="DD116" s="451"/>
      <c r="DE116" s="451"/>
      <c r="DF116" s="451"/>
      <c r="DG116" s="451"/>
      <c r="DH116" s="451"/>
      <c r="DI116" s="451"/>
      <c r="DJ116" s="451"/>
      <c r="DK116" s="451"/>
      <c r="DL116" s="451"/>
      <c r="DM116" s="451"/>
      <c r="DN116" s="451"/>
      <c r="DO116" s="451"/>
      <c r="DP116" s="451"/>
      <c r="DQ116" s="451"/>
      <c r="DR116" s="451"/>
      <c r="DS116" s="451"/>
      <c r="DT116" s="451"/>
      <c r="DU116" s="451"/>
      <c r="DV116" s="451"/>
      <c r="DW116" s="451"/>
      <c r="DX116" s="451"/>
      <c r="DY116" s="451"/>
      <c r="DZ116" s="451"/>
      <c r="EA116" s="451"/>
      <c r="EB116" s="451"/>
      <c r="EC116" s="417" t="str">
        <f>IFERROR(VLOOKUP($CI116,Skills!$H$2:$K$620,4,FALSE),"")</f>
        <v/>
      </c>
      <c r="ED116" s="417"/>
      <c r="EE116" s="417"/>
      <c r="EF116" s="417"/>
      <c r="EG116" s="417"/>
      <c r="EH116" s="452"/>
      <c r="EI116" s="452"/>
      <c r="EJ116" s="452"/>
      <c r="EK116" s="452"/>
      <c r="EL116" s="453"/>
      <c r="EM116" s="451" t="str">
        <f>IFERROR(VLOOKUP($CJ116,Skills!$H$2:$N$620,7,FALSE),"")</f>
        <v/>
      </c>
      <c r="EN116" s="451"/>
      <c r="EO116" s="451"/>
      <c r="EP116" s="451"/>
      <c r="EQ116" s="451"/>
      <c r="ER116" s="451"/>
      <c r="ES116" s="451"/>
      <c r="ET116" s="451"/>
      <c r="EU116" s="451"/>
      <c r="EV116" s="451"/>
      <c r="EW116" s="451"/>
      <c r="EX116" s="451"/>
      <c r="EY116" s="451"/>
      <c r="EZ116" s="451"/>
      <c r="FA116" s="451"/>
      <c r="FB116" s="451"/>
      <c r="FC116" s="451"/>
      <c r="FD116" s="451"/>
      <c r="FE116" s="451"/>
      <c r="FF116" s="451"/>
      <c r="FG116" s="451"/>
      <c r="FH116" s="451"/>
      <c r="FI116" s="451"/>
      <c r="FJ116" s="451"/>
      <c r="FK116" s="451"/>
      <c r="FL116" s="451"/>
      <c r="FM116" s="451"/>
      <c r="FN116" s="451"/>
      <c r="FO116" s="451"/>
      <c r="FP116" s="451"/>
      <c r="FQ116" s="451"/>
      <c r="FR116" s="451"/>
      <c r="FS116" s="451"/>
      <c r="FT116" s="451"/>
      <c r="FU116" s="451"/>
      <c r="FV116" s="451"/>
      <c r="FW116" s="451"/>
      <c r="FX116" s="451"/>
      <c r="FY116" s="451"/>
      <c r="FZ116" s="451"/>
      <c r="GA116" s="451"/>
      <c r="GB116" s="451"/>
      <c r="GC116" s="451"/>
      <c r="GD116" s="451"/>
      <c r="GE116" s="417" t="str">
        <f>IFERROR(VLOOKUP($CJ116,Skills!$H$2:$K$620,4,FALSE),"")</f>
        <v/>
      </c>
      <c r="GF116" s="417"/>
      <c r="GG116" s="417"/>
      <c r="GH116" s="417"/>
      <c r="GI116" s="417"/>
      <c r="GJ116" s="454"/>
      <c r="GK116" s="454"/>
      <c r="GL116" s="454"/>
      <c r="GM116" s="454"/>
      <c r="GN116" s="455"/>
    </row>
    <row r="117" spans="87:196" x14ac:dyDescent="0.25">
      <c r="CI117">
        <v>103</v>
      </c>
      <c r="CJ117">
        <v>353</v>
      </c>
      <c r="CK117" s="365" t="str">
        <f>IFERROR(VLOOKUP($CI117,Skills!$H$2:$N$620,7,FALSE),"")</f>
        <v/>
      </c>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445" t="str">
        <f>IFERROR(VLOOKUP($CI117,Skills!$H$2:$K$620,4,FALSE),"")</f>
        <v/>
      </c>
      <c r="ED117" s="445"/>
      <c r="EE117" s="445"/>
      <c r="EF117" s="445"/>
      <c r="EG117" s="445"/>
      <c r="EH117" s="446"/>
      <c r="EI117" s="446"/>
      <c r="EJ117" s="446"/>
      <c r="EK117" s="446"/>
      <c r="EL117" s="447"/>
      <c r="EM117" s="366" t="str">
        <f>IFERROR(VLOOKUP($CJ117,Skills!$H$2:$N$620,7,FALSE),"")</f>
        <v/>
      </c>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445" t="str">
        <f>IFERROR(VLOOKUP($CJ117,Skills!$H$2:$K$620,4,FALSE),"")</f>
        <v/>
      </c>
      <c r="GF117" s="445"/>
      <c r="GG117" s="445"/>
      <c r="GH117" s="445"/>
      <c r="GI117" s="445"/>
      <c r="GJ117" s="448"/>
      <c r="GK117" s="448"/>
      <c r="GL117" s="448"/>
      <c r="GM117" s="448"/>
      <c r="GN117" s="449"/>
    </row>
    <row r="118" spans="87:196" x14ac:dyDescent="0.25">
      <c r="CI118">
        <v>104</v>
      </c>
      <c r="CJ118">
        <v>354</v>
      </c>
      <c r="CK118" s="450" t="str">
        <f>IFERROR(VLOOKUP($CI118,Skills!$H$2:$N$620,7,FALSE),"")</f>
        <v/>
      </c>
      <c r="CL118" s="451"/>
      <c r="CM118" s="451"/>
      <c r="CN118" s="451"/>
      <c r="CO118" s="451"/>
      <c r="CP118" s="451"/>
      <c r="CQ118" s="451"/>
      <c r="CR118" s="451"/>
      <c r="CS118" s="451"/>
      <c r="CT118" s="451"/>
      <c r="CU118" s="451"/>
      <c r="CV118" s="451"/>
      <c r="CW118" s="451"/>
      <c r="CX118" s="451"/>
      <c r="CY118" s="451"/>
      <c r="CZ118" s="451"/>
      <c r="DA118" s="451"/>
      <c r="DB118" s="451"/>
      <c r="DC118" s="451"/>
      <c r="DD118" s="451"/>
      <c r="DE118" s="451"/>
      <c r="DF118" s="451"/>
      <c r="DG118" s="451"/>
      <c r="DH118" s="451"/>
      <c r="DI118" s="451"/>
      <c r="DJ118" s="451"/>
      <c r="DK118" s="451"/>
      <c r="DL118" s="451"/>
      <c r="DM118" s="451"/>
      <c r="DN118" s="451"/>
      <c r="DO118" s="451"/>
      <c r="DP118" s="451"/>
      <c r="DQ118" s="451"/>
      <c r="DR118" s="451"/>
      <c r="DS118" s="451"/>
      <c r="DT118" s="451"/>
      <c r="DU118" s="451"/>
      <c r="DV118" s="451"/>
      <c r="DW118" s="451"/>
      <c r="DX118" s="451"/>
      <c r="DY118" s="451"/>
      <c r="DZ118" s="451"/>
      <c r="EA118" s="451"/>
      <c r="EB118" s="451"/>
      <c r="EC118" s="417" t="str">
        <f>IFERROR(VLOOKUP($CI118,Skills!$H$2:$K$620,4,FALSE),"")</f>
        <v/>
      </c>
      <c r="ED118" s="417"/>
      <c r="EE118" s="417"/>
      <c r="EF118" s="417"/>
      <c r="EG118" s="417"/>
      <c r="EH118" s="452"/>
      <c r="EI118" s="452"/>
      <c r="EJ118" s="452"/>
      <c r="EK118" s="452"/>
      <c r="EL118" s="453"/>
      <c r="EM118" s="451" t="str">
        <f>IFERROR(VLOOKUP($CJ118,Skills!$H$2:$N$620,7,FALSE),"")</f>
        <v/>
      </c>
      <c r="EN118" s="451"/>
      <c r="EO118" s="451"/>
      <c r="EP118" s="451"/>
      <c r="EQ118" s="451"/>
      <c r="ER118" s="451"/>
      <c r="ES118" s="451"/>
      <c r="ET118" s="451"/>
      <c r="EU118" s="451"/>
      <c r="EV118" s="451"/>
      <c r="EW118" s="451"/>
      <c r="EX118" s="451"/>
      <c r="EY118" s="451"/>
      <c r="EZ118" s="451"/>
      <c r="FA118" s="451"/>
      <c r="FB118" s="451"/>
      <c r="FC118" s="451"/>
      <c r="FD118" s="451"/>
      <c r="FE118" s="451"/>
      <c r="FF118" s="451"/>
      <c r="FG118" s="451"/>
      <c r="FH118" s="451"/>
      <c r="FI118" s="451"/>
      <c r="FJ118" s="451"/>
      <c r="FK118" s="451"/>
      <c r="FL118" s="451"/>
      <c r="FM118" s="451"/>
      <c r="FN118" s="451"/>
      <c r="FO118" s="451"/>
      <c r="FP118" s="451"/>
      <c r="FQ118" s="451"/>
      <c r="FR118" s="451"/>
      <c r="FS118" s="451"/>
      <c r="FT118" s="451"/>
      <c r="FU118" s="451"/>
      <c r="FV118" s="451"/>
      <c r="FW118" s="451"/>
      <c r="FX118" s="451"/>
      <c r="FY118" s="451"/>
      <c r="FZ118" s="451"/>
      <c r="GA118" s="451"/>
      <c r="GB118" s="451"/>
      <c r="GC118" s="451"/>
      <c r="GD118" s="451"/>
      <c r="GE118" s="417" t="str">
        <f>IFERROR(VLOOKUP($CJ118,Skills!$H$2:$K$620,4,FALSE),"")</f>
        <v/>
      </c>
      <c r="GF118" s="417"/>
      <c r="GG118" s="417"/>
      <c r="GH118" s="417"/>
      <c r="GI118" s="417"/>
      <c r="GJ118" s="454"/>
      <c r="GK118" s="454"/>
      <c r="GL118" s="454"/>
      <c r="GM118" s="454"/>
      <c r="GN118" s="455"/>
    </row>
    <row r="119" spans="87:196" x14ac:dyDescent="0.25">
      <c r="CI119">
        <v>105</v>
      </c>
      <c r="CJ119">
        <v>355</v>
      </c>
      <c r="CK119" s="365" t="str">
        <f>IFERROR(VLOOKUP($CI119,Skills!$H$2:$N$620,7,FALSE),"")</f>
        <v/>
      </c>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445" t="str">
        <f>IFERROR(VLOOKUP($CI119,Skills!$H$2:$K$620,4,FALSE),"")</f>
        <v/>
      </c>
      <c r="ED119" s="445"/>
      <c r="EE119" s="445"/>
      <c r="EF119" s="445"/>
      <c r="EG119" s="445"/>
      <c r="EH119" s="446"/>
      <c r="EI119" s="446"/>
      <c r="EJ119" s="446"/>
      <c r="EK119" s="446"/>
      <c r="EL119" s="447"/>
      <c r="EM119" s="366" t="str">
        <f>IFERROR(VLOOKUP($CJ119,Skills!$H$2:$N$620,7,FALSE),"")</f>
        <v/>
      </c>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445" t="str">
        <f>IFERROR(VLOOKUP($CJ119,Skills!$H$2:$K$620,4,FALSE),"")</f>
        <v/>
      </c>
      <c r="GF119" s="445"/>
      <c r="GG119" s="445"/>
      <c r="GH119" s="445"/>
      <c r="GI119" s="445"/>
      <c r="GJ119" s="448"/>
      <c r="GK119" s="448"/>
      <c r="GL119" s="448"/>
      <c r="GM119" s="448"/>
      <c r="GN119" s="449"/>
    </row>
    <row r="120" spans="87:196" x14ac:dyDescent="0.25">
      <c r="CI120">
        <v>106</v>
      </c>
      <c r="CJ120">
        <v>356</v>
      </c>
      <c r="CK120" s="450" t="str">
        <f>IFERROR(VLOOKUP($CI120,Skills!$H$2:$N$620,7,FALSE),"")</f>
        <v/>
      </c>
      <c r="CL120" s="451"/>
      <c r="CM120" s="451"/>
      <c r="CN120" s="451"/>
      <c r="CO120" s="451"/>
      <c r="CP120" s="451"/>
      <c r="CQ120" s="451"/>
      <c r="CR120" s="451"/>
      <c r="CS120" s="451"/>
      <c r="CT120" s="451"/>
      <c r="CU120" s="451"/>
      <c r="CV120" s="451"/>
      <c r="CW120" s="451"/>
      <c r="CX120" s="451"/>
      <c r="CY120" s="451"/>
      <c r="CZ120" s="451"/>
      <c r="DA120" s="451"/>
      <c r="DB120" s="451"/>
      <c r="DC120" s="451"/>
      <c r="DD120" s="451"/>
      <c r="DE120" s="451"/>
      <c r="DF120" s="451"/>
      <c r="DG120" s="451"/>
      <c r="DH120" s="451"/>
      <c r="DI120" s="451"/>
      <c r="DJ120" s="451"/>
      <c r="DK120" s="451"/>
      <c r="DL120" s="451"/>
      <c r="DM120" s="451"/>
      <c r="DN120" s="451"/>
      <c r="DO120" s="451"/>
      <c r="DP120" s="451"/>
      <c r="DQ120" s="451"/>
      <c r="DR120" s="451"/>
      <c r="DS120" s="451"/>
      <c r="DT120" s="451"/>
      <c r="DU120" s="451"/>
      <c r="DV120" s="451"/>
      <c r="DW120" s="451"/>
      <c r="DX120" s="451"/>
      <c r="DY120" s="451"/>
      <c r="DZ120" s="451"/>
      <c r="EA120" s="451"/>
      <c r="EB120" s="451"/>
      <c r="EC120" s="417" t="str">
        <f>IFERROR(VLOOKUP($CI120,Skills!$H$2:$K$620,4,FALSE),"")</f>
        <v/>
      </c>
      <c r="ED120" s="417"/>
      <c r="EE120" s="417"/>
      <c r="EF120" s="417"/>
      <c r="EG120" s="417"/>
      <c r="EH120" s="452"/>
      <c r="EI120" s="452"/>
      <c r="EJ120" s="452"/>
      <c r="EK120" s="452"/>
      <c r="EL120" s="453"/>
      <c r="EM120" s="451" t="str">
        <f>IFERROR(VLOOKUP($CJ120,Skills!$H$2:$N$620,7,FALSE),"")</f>
        <v/>
      </c>
      <c r="EN120" s="451"/>
      <c r="EO120" s="451"/>
      <c r="EP120" s="451"/>
      <c r="EQ120" s="451"/>
      <c r="ER120" s="451"/>
      <c r="ES120" s="451"/>
      <c r="ET120" s="451"/>
      <c r="EU120" s="451"/>
      <c r="EV120" s="451"/>
      <c r="EW120" s="451"/>
      <c r="EX120" s="451"/>
      <c r="EY120" s="451"/>
      <c r="EZ120" s="451"/>
      <c r="FA120" s="451"/>
      <c r="FB120" s="451"/>
      <c r="FC120" s="451"/>
      <c r="FD120" s="451"/>
      <c r="FE120" s="451"/>
      <c r="FF120" s="451"/>
      <c r="FG120" s="451"/>
      <c r="FH120" s="451"/>
      <c r="FI120" s="451"/>
      <c r="FJ120" s="451"/>
      <c r="FK120" s="451"/>
      <c r="FL120" s="451"/>
      <c r="FM120" s="451"/>
      <c r="FN120" s="451"/>
      <c r="FO120" s="451"/>
      <c r="FP120" s="451"/>
      <c r="FQ120" s="451"/>
      <c r="FR120" s="451"/>
      <c r="FS120" s="451"/>
      <c r="FT120" s="451"/>
      <c r="FU120" s="451"/>
      <c r="FV120" s="451"/>
      <c r="FW120" s="451"/>
      <c r="FX120" s="451"/>
      <c r="FY120" s="451"/>
      <c r="FZ120" s="451"/>
      <c r="GA120" s="451"/>
      <c r="GB120" s="451"/>
      <c r="GC120" s="451"/>
      <c r="GD120" s="451"/>
      <c r="GE120" s="417" t="str">
        <f>IFERROR(VLOOKUP($CJ120,Skills!$H$2:$K$620,4,FALSE),"")</f>
        <v/>
      </c>
      <c r="GF120" s="417"/>
      <c r="GG120" s="417"/>
      <c r="GH120" s="417"/>
      <c r="GI120" s="417"/>
      <c r="GJ120" s="454"/>
      <c r="GK120" s="454"/>
      <c r="GL120" s="454"/>
      <c r="GM120" s="454"/>
      <c r="GN120" s="455"/>
    </row>
    <row r="121" spans="87:196" x14ac:dyDescent="0.25">
      <c r="CI121">
        <v>107</v>
      </c>
      <c r="CJ121">
        <v>357</v>
      </c>
      <c r="CK121" s="365" t="str">
        <f>IFERROR(VLOOKUP($CI121,Skills!$H$2:$N$620,7,FALSE),"")</f>
        <v/>
      </c>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445" t="str">
        <f>IFERROR(VLOOKUP($CI121,Skills!$H$2:$K$620,4,FALSE),"")</f>
        <v/>
      </c>
      <c r="ED121" s="445"/>
      <c r="EE121" s="445"/>
      <c r="EF121" s="445"/>
      <c r="EG121" s="445"/>
      <c r="EH121" s="446"/>
      <c r="EI121" s="446"/>
      <c r="EJ121" s="446"/>
      <c r="EK121" s="446"/>
      <c r="EL121" s="447"/>
      <c r="EM121" s="366" t="str">
        <f>IFERROR(VLOOKUP($CJ121,Skills!$H$2:$N$620,7,FALSE),"")</f>
        <v/>
      </c>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445" t="str">
        <f>IFERROR(VLOOKUP($CJ121,Skills!$H$2:$K$620,4,FALSE),"")</f>
        <v/>
      </c>
      <c r="GF121" s="445"/>
      <c r="GG121" s="445"/>
      <c r="GH121" s="445"/>
      <c r="GI121" s="445"/>
      <c r="GJ121" s="448"/>
      <c r="GK121" s="448"/>
      <c r="GL121" s="448"/>
      <c r="GM121" s="448"/>
      <c r="GN121" s="449"/>
    </row>
    <row r="122" spans="87:196" x14ac:dyDescent="0.25">
      <c r="CI122">
        <v>108</v>
      </c>
      <c r="CJ122">
        <v>358</v>
      </c>
      <c r="CK122" s="450" t="str">
        <f>IFERROR(VLOOKUP($CI122,Skills!$H$2:$N$620,7,FALSE),"")</f>
        <v/>
      </c>
      <c r="CL122" s="451"/>
      <c r="CM122" s="451"/>
      <c r="CN122" s="451"/>
      <c r="CO122" s="451"/>
      <c r="CP122" s="451"/>
      <c r="CQ122" s="451"/>
      <c r="CR122" s="451"/>
      <c r="CS122" s="451"/>
      <c r="CT122" s="451"/>
      <c r="CU122" s="451"/>
      <c r="CV122" s="451"/>
      <c r="CW122" s="451"/>
      <c r="CX122" s="451"/>
      <c r="CY122" s="451"/>
      <c r="CZ122" s="451"/>
      <c r="DA122" s="451"/>
      <c r="DB122" s="451"/>
      <c r="DC122" s="451"/>
      <c r="DD122" s="451"/>
      <c r="DE122" s="451"/>
      <c r="DF122" s="451"/>
      <c r="DG122" s="451"/>
      <c r="DH122" s="451"/>
      <c r="DI122" s="451"/>
      <c r="DJ122" s="451"/>
      <c r="DK122" s="451"/>
      <c r="DL122" s="451"/>
      <c r="DM122" s="451"/>
      <c r="DN122" s="451"/>
      <c r="DO122" s="451"/>
      <c r="DP122" s="451"/>
      <c r="DQ122" s="451"/>
      <c r="DR122" s="451"/>
      <c r="DS122" s="451"/>
      <c r="DT122" s="451"/>
      <c r="DU122" s="451"/>
      <c r="DV122" s="451"/>
      <c r="DW122" s="451"/>
      <c r="DX122" s="451"/>
      <c r="DY122" s="451"/>
      <c r="DZ122" s="451"/>
      <c r="EA122" s="451"/>
      <c r="EB122" s="451"/>
      <c r="EC122" s="417" t="str">
        <f>IFERROR(VLOOKUP($CI122,Skills!$H$2:$K$620,4,FALSE),"")</f>
        <v/>
      </c>
      <c r="ED122" s="417"/>
      <c r="EE122" s="417"/>
      <c r="EF122" s="417"/>
      <c r="EG122" s="417"/>
      <c r="EH122" s="452"/>
      <c r="EI122" s="452"/>
      <c r="EJ122" s="452"/>
      <c r="EK122" s="452"/>
      <c r="EL122" s="453"/>
      <c r="EM122" s="451" t="str">
        <f>IFERROR(VLOOKUP($CJ122,Skills!$H$2:$N$620,7,FALSE),"")</f>
        <v/>
      </c>
      <c r="EN122" s="451"/>
      <c r="EO122" s="451"/>
      <c r="EP122" s="451"/>
      <c r="EQ122" s="451"/>
      <c r="ER122" s="451"/>
      <c r="ES122" s="451"/>
      <c r="ET122" s="451"/>
      <c r="EU122" s="451"/>
      <c r="EV122" s="451"/>
      <c r="EW122" s="451"/>
      <c r="EX122" s="451"/>
      <c r="EY122" s="451"/>
      <c r="EZ122" s="451"/>
      <c r="FA122" s="451"/>
      <c r="FB122" s="451"/>
      <c r="FC122" s="451"/>
      <c r="FD122" s="451"/>
      <c r="FE122" s="451"/>
      <c r="FF122" s="451"/>
      <c r="FG122" s="451"/>
      <c r="FH122" s="451"/>
      <c r="FI122" s="451"/>
      <c r="FJ122" s="451"/>
      <c r="FK122" s="451"/>
      <c r="FL122" s="451"/>
      <c r="FM122" s="451"/>
      <c r="FN122" s="451"/>
      <c r="FO122" s="451"/>
      <c r="FP122" s="451"/>
      <c r="FQ122" s="451"/>
      <c r="FR122" s="451"/>
      <c r="FS122" s="451"/>
      <c r="FT122" s="451"/>
      <c r="FU122" s="451"/>
      <c r="FV122" s="451"/>
      <c r="FW122" s="451"/>
      <c r="FX122" s="451"/>
      <c r="FY122" s="451"/>
      <c r="FZ122" s="451"/>
      <c r="GA122" s="451"/>
      <c r="GB122" s="451"/>
      <c r="GC122" s="451"/>
      <c r="GD122" s="451"/>
      <c r="GE122" s="417" t="str">
        <f>IFERROR(VLOOKUP($CJ122,Skills!$H$2:$K$620,4,FALSE),"")</f>
        <v/>
      </c>
      <c r="GF122" s="417"/>
      <c r="GG122" s="417"/>
      <c r="GH122" s="417"/>
      <c r="GI122" s="417"/>
      <c r="GJ122" s="454"/>
      <c r="GK122" s="454"/>
      <c r="GL122" s="454"/>
      <c r="GM122" s="454"/>
      <c r="GN122" s="455"/>
    </row>
    <row r="123" spans="87:196" x14ac:dyDescent="0.25">
      <c r="CI123">
        <v>109</v>
      </c>
      <c r="CJ123">
        <v>359</v>
      </c>
      <c r="CK123" s="365" t="str">
        <f>IFERROR(VLOOKUP($CI123,Skills!$H$2:$N$620,7,FALSE),"")</f>
        <v/>
      </c>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445" t="str">
        <f>IFERROR(VLOOKUP($CI123,Skills!$H$2:$K$620,4,FALSE),"")</f>
        <v/>
      </c>
      <c r="ED123" s="445"/>
      <c r="EE123" s="445"/>
      <c r="EF123" s="445"/>
      <c r="EG123" s="445"/>
      <c r="EH123" s="446"/>
      <c r="EI123" s="446"/>
      <c r="EJ123" s="446"/>
      <c r="EK123" s="446"/>
      <c r="EL123" s="447"/>
      <c r="EM123" s="366" t="str">
        <f>IFERROR(VLOOKUP($CJ123,Skills!$H$2:$N$620,7,FALSE),"")</f>
        <v/>
      </c>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445" t="str">
        <f>IFERROR(VLOOKUP($CJ123,Skills!$H$2:$K$620,4,FALSE),"")</f>
        <v/>
      </c>
      <c r="GF123" s="445"/>
      <c r="GG123" s="445"/>
      <c r="GH123" s="445"/>
      <c r="GI123" s="445"/>
      <c r="GJ123" s="448"/>
      <c r="GK123" s="448"/>
      <c r="GL123" s="448"/>
      <c r="GM123" s="448"/>
      <c r="GN123" s="449"/>
    </row>
    <row r="124" spans="87:196" x14ac:dyDescent="0.25">
      <c r="CI124">
        <v>110</v>
      </c>
      <c r="CJ124">
        <v>360</v>
      </c>
      <c r="CK124" s="450" t="str">
        <f>IFERROR(VLOOKUP($CI124,Skills!$H$2:$N$620,7,FALSE),"")</f>
        <v/>
      </c>
      <c r="CL124" s="451"/>
      <c r="CM124" s="451"/>
      <c r="CN124" s="451"/>
      <c r="CO124" s="451"/>
      <c r="CP124" s="451"/>
      <c r="CQ124" s="451"/>
      <c r="CR124" s="451"/>
      <c r="CS124" s="451"/>
      <c r="CT124" s="451"/>
      <c r="CU124" s="451"/>
      <c r="CV124" s="451"/>
      <c r="CW124" s="451"/>
      <c r="CX124" s="451"/>
      <c r="CY124" s="451"/>
      <c r="CZ124" s="451"/>
      <c r="DA124" s="451"/>
      <c r="DB124" s="451"/>
      <c r="DC124" s="451"/>
      <c r="DD124" s="451"/>
      <c r="DE124" s="451"/>
      <c r="DF124" s="451"/>
      <c r="DG124" s="451"/>
      <c r="DH124" s="451"/>
      <c r="DI124" s="451"/>
      <c r="DJ124" s="451"/>
      <c r="DK124" s="451"/>
      <c r="DL124" s="451"/>
      <c r="DM124" s="451"/>
      <c r="DN124" s="451"/>
      <c r="DO124" s="451"/>
      <c r="DP124" s="451"/>
      <c r="DQ124" s="451"/>
      <c r="DR124" s="451"/>
      <c r="DS124" s="451"/>
      <c r="DT124" s="451"/>
      <c r="DU124" s="451"/>
      <c r="DV124" s="451"/>
      <c r="DW124" s="451"/>
      <c r="DX124" s="451"/>
      <c r="DY124" s="451"/>
      <c r="DZ124" s="451"/>
      <c r="EA124" s="451"/>
      <c r="EB124" s="451"/>
      <c r="EC124" s="417" t="str">
        <f>IFERROR(VLOOKUP($CI124,Skills!$H$2:$K$620,4,FALSE),"")</f>
        <v/>
      </c>
      <c r="ED124" s="417"/>
      <c r="EE124" s="417"/>
      <c r="EF124" s="417"/>
      <c r="EG124" s="417"/>
      <c r="EH124" s="452"/>
      <c r="EI124" s="452"/>
      <c r="EJ124" s="452"/>
      <c r="EK124" s="452"/>
      <c r="EL124" s="453"/>
      <c r="EM124" s="451" t="str">
        <f>IFERROR(VLOOKUP($CJ124,Skills!$H$2:$N$620,7,FALSE),"")</f>
        <v/>
      </c>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17" t="str">
        <f>IFERROR(VLOOKUP($CJ124,Skills!$H$2:$K$620,4,FALSE),"")</f>
        <v/>
      </c>
      <c r="GF124" s="417"/>
      <c r="GG124" s="417"/>
      <c r="GH124" s="417"/>
      <c r="GI124" s="417"/>
      <c r="GJ124" s="454"/>
      <c r="GK124" s="454"/>
      <c r="GL124" s="454"/>
      <c r="GM124" s="454"/>
      <c r="GN124" s="455"/>
    </row>
    <row r="125" spans="87:196" x14ac:dyDescent="0.25">
      <c r="CI125">
        <v>111</v>
      </c>
      <c r="CJ125">
        <v>361</v>
      </c>
      <c r="CK125" s="365" t="str">
        <f>IFERROR(VLOOKUP($CI125,Skills!$H$2:$N$620,7,FALSE),"")</f>
        <v/>
      </c>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445" t="str">
        <f>IFERROR(VLOOKUP($CI125,Skills!$H$2:$K$620,4,FALSE),"")</f>
        <v/>
      </c>
      <c r="ED125" s="445"/>
      <c r="EE125" s="445"/>
      <c r="EF125" s="445"/>
      <c r="EG125" s="445"/>
      <c r="EH125" s="446"/>
      <c r="EI125" s="446"/>
      <c r="EJ125" s="446"/>
      <c r="EK125" s="446"/>
      <c r="EL125" s="447"/>
      <c r="EM125" s="366" t="str">
        <f>IFERROR(VLOOKUP($CJ125,Skills!$H$2:$N$620,7,FALSE),"")</f>
        <v/>
      </c>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445" t="str">
        <f>IFERROR(VLOOKUP($CJ125,Skills!$H$2:$K$620,4,FALSE),"")</f>
        <v/>
      </c>
      <c r="GF125" s="445"/>
      <c r="GG125" s="445"/>
      <c r="GH125" s="445"/>
      <c r="GI125" s="445"/>
      <c r="GJ125" s="448"/>
      <c r="GK125" s="448"/>
      <c r="GL125" s="448"/>
      <c r="GM125" s="448"/>
      <c r="GN125" s="449"/>
    </row>
    <row r="126" spans="87:196" x14ac:dyDescent="0.25">
      <c r="CI126">
        <v>112</v>
      </c>
      <c r="CJ126">
        <v>362</v>
      </c>
      <c r="CK126" s="450" t="str">
        <f>IFERROR(VLOOKUP($CI126,Skills!$H$2:$N$620,7,FALSE),"")</f>
        <v/>
      </c>
      <c r="CL126" s="451"/>
      <c r="CM126" s="451"/>
      <c r="CN126" s="451"/>
      <c r="CO126" s="451"/>
      <c r="CP126" s="451"/>
      <c r="CQ126" s="451"/>
      <c r="CR126" s="451"/>
      <c r="CS126" s="451"/>
      <c r="CT126" s="451"/>
      <c r="CU126" s="451"/>
      <c r="CV126" s="451"/>
      <c r="CW126" s="451"/>
      <c r="CX126" s="451"/>
      <c r="CY126" s="451"/>
      <c r="CZ126" s="451"/>
      <c r="DA126" s="451"/>
      <c r="DB126" s="451"/>
      <c r="DC126" s="451"/>
      <c r="DD126" s="451"/>
      <c r="DE126" s="451"/>
      <c r="DF126" s="451"/>
      <c r="DG126" s="451"/>
      <c r="DH126" s="451"/>
      <c r="DI126" s="451"/>
      <c r="DJ126" s="451"/>
      <c r="DK126" s="451"/>
      <c r="DL126" s="451"/>
      <c r="DM126" s="451"/>
      <c r="DN126" s="451"/>
      <c r="DO126" s="451"/>
      <c r="DP126" s="451"/>
      <c r="DQ126" s="451"/>
      <c r="DR126" s="451"/>
      <c r="DS126" s="451"/>
      <c r="DT126" s="451"/>
      <c r="DU126" s="451"/>
      <c r="DV126" s="451"/>
      <c r="DW126" s="451"/>
      <c r="DX126" s="451"/>
      <c r="DY126" s="451"/>
      <c r="DZ126" s="451"/>
      <c r="EA126" s="451"/>
      <c r="EB126" s="451"/>
      <c r="EC126" s="417" t="str">
        <f>IFERROR(VLOOKUP($CI126,Skills!$H$2:$K$620,4,FALSE),"")</f>
        <v/>
      </c>
      <c r="ED126" s="417"/>
      <c r="EE126" s="417"/>
      <c r="EF126" s="417"/>
      <c r="EG126" s="417"/>
      <c r="EH126" s="452"/>
      <c r="EI126" s="452"/>
      <c r="EJ126" s="452"/>
      <c r="EK126" s="452"/>
      <c r="EL126" s="453"/>
      <c r="EM126" s="451" t="str">
        <f>IFERROR(VLOOKUP($CJ126,Skills!$H$2:$N$620,7,FALSE),"")</f>
        <v/>
      </c>
      <c r="EN126" s="451"/>
      <c r="EO126" s="451"/>
      <c r="EP126" s="451"/>
      <c r="EQ126" s="451"/>
      <c r="ER126" s="451"/>
      <c r="ES126" s="451"/>
      <c r="ET126" s="451"/>
      <c r="EU126" s="451"/>
      <c r="EV126" s="451"/>
      <c r="EW126" s="451"/>
      <c r="EX126" s="451"/>
      <c r="EY126" s="451"/>
      <c r="EZ126" s="451"/>
      <c r="FA126" s="451"/>
      <c r="FB126" s="451"/>
      <c r="FC126" s="451"/>
      <c r="FD126" s="451"/>
      <c r="FE126" s="451"/>
      <c r="FF126" s="451"/>
      <c r="FG126" s="451"/>
      <c r="FH126" s="451"/>
      <c r="FI126" s="451"/>
      <c r="FJ126" s="451"/>
      <c r="FK126" s="451"/>
      <c r="FL126" s="451"/>
      <c r="FM126" s="451"/>
      <c r="FN126" s="451"/>
      <c r="FO126" s="451"/>
      <c r="FP126" s="451"/>
      <c r="FQ126" s="451"/>
      <c r="FR126" s="451"/>
      <c r="FS126" s="451"/>
      <c r="FT126" s="451"/>
      <c r="FU126" s="451"/>
      <c r="FV126" s="451"/>
      <c r="FW126" s="451"/>
      <c r="FX126" s="451"/>
      <c r="FY126" s="451"/>
      <c r="FZ126" s="451"/>
      <c r="GA126" s="451"/>
      <c r="GB126" s="451"/>
      <c r="GC126" s="451"/>
      <c r="GD126" s="451"/>
      <c r="GE126" s="417" t="str">
        <f>IFERROR(VLOOKUP($CJ126,Skills!$H$2:$K$620,4,FALSE),"")</f>
        <v/>
      </c>
      <c r="GF126" s="417"/>
      <c r="GG126" s="417"/>
      <c r="GH126" s="417"/>
      <c r="GI126" s="417"/>
      <c r="GJ126" s="454"/>
      <c r="GK126" s="454"/>
      <c r="GL126" s="454"/>
      <c r="GM126" s="454"/>
      <c r="GN126" s="455"/>
    </row>
    <row r="127" spans="87:196" x14ac:dyDescent="0.25">
      <c r="CI127">
        <v>113</v>
      </c>
      <c r="CJ127">
        <v>363</v>
      </c>
      <c r="CK127" s="365" t="str">
        <f>IFERROR(VLOOKUP($CI127,Skills!$H$2:$N$620,7,FALSE),"")</f>
        <v/>
      </c>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445" t="str">
        <f>IFERROR(VLOOKUP($CI127,Skills!$H$2:$K$620,4,FALSE),"")</f>
        <v/>
      </c>
      <c r="ED127" s="445"/>
      <c r="EE127" s="445"/>
      <c r="EF127" s="445"/>
      <c r="EG127" s="445"/>
      <c r="EH127" s="446"/>
      <c r="EI127" s="446"/>
      <c r="EJ127" s="446"/>
      <c r="EK127" s="446"/>
      <c r="EL127" s="447"/>
      <c r="EM127" s="366" t="str">
        <f>IFERROR(VLOOKUP($CJ127,Skills!$H$2:$N$620,7,FALSE),"")</f>
        <v/>
      </c>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445" t="str">
        <f>IFERROR(VLOOKUP($CJ127,Skills!$H$2:$K$620,4,FALSE),"")</f>
        <v/>
      </c>
      <c r="GF127" s="445"/>
      <c r="GG127" s="445"/>
      <c r="GH127" s="445"/>
      <c r="GI127" s="445"/>
      <c r="GJ127" s="448"/>
      <c r="GK127" s="448"/>
      <c r="GL127" s="448"/>
      <c r="GM127" s="448"/>
      <c r="GN127" s="449"/>
    </row>
    <row r="128" spans="87:196" x14ac:dyDescent="0.25">
      <c r="CI128">
        <v>114</v>
      </c>
      <c r="CJ128">
        <v>364</v>
      </c>
      <c r="CK128" s="450" t="str">
        <f>IFERROR(VLOOKUP($CI128,Skills!$H$2:$N$620,7,FALSE),"")</f>
        <v/>
      </c>
      <c r="CL128" s="451"/>
      <c r="CM128" s="451"/>
      <c r="CN128" s="451"/>
      <c r="CO128" s="451"/>
      <c r="CP128" s="451"/>
      <c r="CQ128" s="451"/>
      <c r="CR128" s="451"/>
      <c r="CS128" s="451"/>
      <c r="CT128" s="451"/>
      <c r="CU128" s="451"/>
      <c r="CV128" s="451"/>
      <c r="CW128" s="451"/>
      <c r="CX128" s="451"/>
      <c r="CY128" s="451"/>
      <c r="CZ128" s="451"/>
      <c r="DA128" s="451"/>
      <c r="DB128" s="451"/>
      <c r="DC128" s="451"/>
      <c r="DD128" s="451"/>
      <c r="DE128" s="451"/>
      <c r="DF128" s="451"/>
      <c r="DG128" s="451"/>
      <c r="DH128" s="451"/>
      <c r="DI128" s="451"/>
      <c r="DJ128" s="451"/>
      <c r="DK128" s="451"/>
      <c r="DL128" s="451"/>
      <c r="DM128" s="451"/>
      <c r="DN128" s="451"/>
      <c r="DO128" s="451"/>
      <c r="DP128" s="451"/>
      <c r="DQ128" s="451"/>
      <c r="DR128" s="451"/>
      <c r="DS128" s="451"/>
      <c r="DT128" s="451"/>
      <c r="DU128" s="451"/>
      <c r="DV128" s="451"/>
      <c r="DW128" s="451"/>
      <c r="DX128" s="451"/>
      <c r="DY128" s="451"/>
      <c r="DZ128" s="451"/>
      <c r="EA128" s="451"/>
      <c r="EB128" s="451"/>
      <c r="EC128" s="417" t="str">
        <f>IFERROR(VLOOKUP($CI128,Skills!$H$2:$K$620,4,FALSE),"")</f>
        <v/>
      </c>
      <c r="ED128" s="417"/>
      <c r="EE128" s="417"/>
      <c r="EF128" s="417"/>
      <c r="EG128" s="417"/>
      <c r="EH128" s="452"/>
      <c r="EI128" s="452"/>
      <c r="EJ128" s="452"/>
      <c r="EK128" s="452"/>
      <c r="EL128" s="453"/>
      <c r="EM128" s="451" t="str">
        <f>IFERROR(VLOOKUP($CJ128,Skills!$H$2:$N$620,7,FALSE),"")</f>
        <v/>
      </c>
      <c r="EN128" s="451"/>
      <c r="EO128" s="451"/>
      <c r="EP128" s="451"/>
      <c r="EQ128" s="451"/>
      <c r="ER128" s="451"/>
      <c r="ES128" s="451"/>
      <c r="ET128" s="451"/>
      <c r="EU128" s="451"/>
      <c r="EV128" s="451"/>
      <c r="EW128" s="451"/>
      <c r="EX128" s="451"/>
      <c r="EY128" s="451"/>
      <c r="EZ128" s="451"/>
      <c r="FA128" s="451"/>
      <c r="FB128" s="451"/>
      <c r="FC128" s="451"/>
      <c r="FD128" s="451"/>
      <c r="FE128" s="451"/>
      <c r="FF128" s="451"/>
      <c r="FG128" s="451"/>
      <c r="FH128" s="451"/>
      <c r="FI128" s="451"/>
      <c r="FJ128" s="451"/>
      <c r="FK128" s="451"/>
      <c r="FL128" s="451"/>
      <c r="FM128" s="451"/>
      <c r="FN128" s="451"/>
      <c r="FO128" s="451"/>
      <c r="FP128" s="451"/>
      <c r="FQ128" s="451"/>
      <c r="FR128" s="451"/>
      <c r="FS128" s="451"/>
      <c r="FT128" s="451"/>
      <c r="FU128" s="451"/>
      <c r="FV128" s="451"/>
      <c r="FW128" s="451"/>
      <c r="FX128" s="451"/>
      <c r="FY128" s="451"/>
      <c r="FZ128" s="451"/>
      <c r="GA128" s="451"/>
      <c r="GB128" s="451"/>
      <c r="GC128" s="451"/>
      <c r="GD128" s="451"/>
      <c r="GE128" s="417" t="str">
        <f>IFERROR(VLOOKUP($CJ128,Skills!$H$2:$K$620,4,FALSE),"")</f>
        <v/>
      </c>
      <c r="GF128" s="417"/>
      <c r="GG128" s="417"/>
      <c r="GH128" s="417"/>
      <c r="GI128" s="417"/>
      <c r="GJ128" s="454"/>
      <c r="GK128" s="454"/>
      <c r="GL128" s="454"/>
      <c r="GM128" s="454"/>
      <c r="GN128" s="455"/>
    </row>
    <row r="129" spans="87:196" x14ac:dyDescent="0.25">
      <c r="CI129">
        <v>115</v>
      </c>
      <c r="CJ129">
        <v>365</v>
      </c>
      <c r="CK129" s="365" t="str">
        <f>IFERROR(VLOOKUP($CI129,Skills!$H$2:$N$620,7,FALSE),"")</f>
        <v/>
      </c>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445" t="str">
        <f>IFERROR(VLOOKUP($CI129,Skills!$H$2:$K$620,4,FALSE),"")</f>
        <v/>
      </c>
      <c r="ED129" s="445"/>
      <c r="EE129" s="445"/>
      <c r="EF129" s="445"/>
      <c r="EG129" s="445"/>
      <c r="EH129" s="446"/>
      <c r="EI129" s="446"/>
      <c r="EJ129" s="446"/>
      <c r="EK129" s="446"/>
      <c r="EL129" s="447"/>
      <c r="EM129" s="366" t="str">
        <f>IFERROR(VLOOKUP($CJ129,Skills!$H$2:$N$620,7,FALSE),"")</f>
        <v/>
      </c>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445" t="str">
        <f>IFERROR(VLOOKUP($CJ129,Skills!$H$2:$K$620,4,FALSE),"")</f>
        <v/>
      </c>
      <c r="GF129" s="445"/>
      <c r="GG129" s="445"/>
      <c r="GH129" s="445"/>
      <c r="GI129" s="445"/>
      <c r="GJ129" s="448"/>
      <c r="GK129" s="448"/>
      <c r="GL129" s="448"/>
      <c r="GM129" s="448"/>
      <c r="GN129" s="449"/>
    </row>
    <row r="130" spans="87:196" x14ac:dyDescent="0.25">
      <c r="CI130">
        <v>116</v>
      </c>
      <c r="CJ130">
        <v>366</v>
      </c>
      <c r="CK130" s="450" t="str">
        <f>IFERROR(VLOOKUP($CI130,Skills!$H$2:$N$620,7,FALSE),"")</f>
        <v/>
      </c>
      <c r="CL130" s="451"/>
      <c r="CM130" s="451"/>
      <c r="CN130" s="451"/>
      <c r="CO130" s="451"/>
      <c r="CP130" s="451"/>
      <c r="CQ130" s="451"/>
      <c r="CR130" s="451"/>
      <c r="CS130" s="451"/>
      <c r="CT130" s="451"/>
      <c r="CU130" s="451"/>
      <c r="CV130" s="451"/>
      <c r="CW130" s="451"/>
      <c r="CX130" s="451"/>
      <c r="CY130" s="451"/>
      <c r="CZ130" s="451"/>
      <c r="DA130" s="451"/>
      <c r="DB130" s="451"/>
      <c r="DC130" s="451"/>
      <c r="DD130" s="451"/>
      <c r="DE130" s="451"/>
      <c r="DF130" s="451"/>
      <c r="DG130" s="451"/>
      <c r="DH130" s="451"/>
      <c r="DI130" s="451"/>
      <c r="DJ130" s="451"/>
      <c r="DK130" s="451"/>
      <c r="DL130" s="451"/>
      <c r="DM130" s="451"/>
      <c r="DN130" s="451"/>
      <c r="DO130" s="451"/>
      <c r="DP130" s="451"/>
      <c r="DQ130" s="451"/>
      <c r="DR130" s="451"/>
      <c r="DS130" s="451"/>
      <c r="DT130" s="451"/>
      <c r="DU130" s="451"/>
      <c r="DV130" s="451"/>
      <c r="DW130" s="451"/>
      <c r="DX130" s="451"/>
      <c r="DY130" s="451"/>
      <c r="DZ130" s="451"/>
      <c r="EA130" s="451"/>
      <c r="EB130" s="451"/>
      <c r="EC130" s="417" t="str">
        <f>IFERROR(VLOOKUP($CI130,Skills!$H$2:$K$620,4,FALSE),"")</f>
        <v/>
      </c>
      <c r="ED130" s="417"/>
      <c r="EE130" s="417"/>
      <c r="EF130" s="417"/>
      <c r="EG130" s="417"/>
      <c r="EH130" s="452"/>
      <c r="EI130" s="452"/>
      <c r="EJ130" s="452"/>
      <c r="EK130" s="452"/>
      <c r="EL130" s="453"/>
      <c r="EM130" s="451" t="str">
        <f>IFERROR(VLOOKUP($CJ130,Skills!$H$2:$N$620,7,FALSE),"")</f>
        <v/>
      </c>
      <c r="EN130" s="451"/>
      <c r="EO130" s="451"/>
      <c r="EP130" s="451"/>
      <c r="EQ130" s="451"/>
      <c r="ER130" s="451"/>
      <c r="ES130" s="451"/>
      <c r="ET130" s="451"/>
      <c r="EU130" s="451"/>
      <c r="EV130" s="451"/>
      <c r="EW130" s="451"/>
      <c r="EX130" s="451"/>
      <c r="EY130" s="451"/>
      <c r="EZ130" s="451"/>
      <c r="FA130" s="451"/>
      <c r="FB130" s="451"/>
      <c r="FC130" s="451"/>
      <c r="FD130" s="451"/>
      <c r="FE130" s="451"/>
      <c r="FF130" s="451"/>
      <c r="FG130" s="451"/>
      <c r="FH130" s="451"/>
      <c r="FI130" s="451"/>
      <c r="FJ130" s="451"/>
      <c r="FK130" s="451"/>
      <c r="FL130" s="451"/>
      <c r="FM130" s="451"/>
      <c r="FN130" s="451"/>
      <c r="FO130" s="451"/>
      <c r="FP130" s="451"/>
      <c r="FQ130" s="451"/>
      <c r="FR130" s="451"/>
      <c r="FS130" s="451"/>
      <c r="FT130" s="451"/>
      <c r="FU130" s="451"/>
      <c r="FV130" s="451"/>
      <c r="FW130" s="451"/>
      <c r="FX130" s="451"/>
      <c r="FY130" s="451"/>
      <c r="FZ130" s="451"/>
      <c r="GA130" s="451"/>
      <c r="GB130" s="451"/>
      <c r="GC130" s="451"/>
      <c r="GD130" s="451"/>
      <c r="GE130" s="417" t="str">
        <f>IFERROR(VLOOKUP($CJ130,Skills!$H$2:$K$620,4,FALSE),"")</f>
        <v/>
      </c>
      <c r="GF130" s="417"/>
      <c r="GG130" s="417"/>
      <c r="GH130" s="417"/>
      <c r="GI130" s="417"/>
      <c r="GJ130" s="454"/>
      <c r="GK130" s="454"/>
      <c r="GL130" s="454"/>
      <c r="GM130" s="454"/>
      <c r="GN130" s="455"/>
    </row>
    <row r="131" spans="87:196" x14ac:dyDescent="0.25">
      <c r="CI131">
        <v>117</v>
      </c>
      <c r="CJ131">
        <v>367</v>
      </c>
      <c r="CK131" s="365" t="str">
        <f>IFERROR(VLOOKUP($CI131,Skills!$H$2:$N$620,7,FALSE),"")</f>
        <v/>
      </c>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445" t="str">
        <f>IFERROR(VLOOKUP($CI131,Skills!$H$2:$K$620,4,FALSE),"")</f>
        <v/>
      </c>
      <c r="ED131" s="445"/>
      <c r="EE131" s="445"/>
      <c r="EF131" s="445"/>
      <c r="EG131" s="445"/>
      <c r="EH131" s="446"/>
      <c r="EI131" s="446"/>
      <c r="EJ131" s="446"/>
      <c r="EK131" s="446"/>
      <c r="EL131" s="447"/>
      <c r="EM131" s="366" t="str">
        <f>IFERROR(VLOOKUP($CJ131,Skills!$H$2:$N$620,7,FALSE),"")</f>
        <v/>
      </c>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445" t="str">
        <f>IFERROR(VLOOKUP($CJ131,Skills!$H$2:$K$620,4,FALSE),"")</f>
        <v/>
      </c>
      <c r="GF131" s="445"/>
      <c r="GG131" s="445"/>
      <c r="GH131" s="445"/>
      <c r="GI131" s="445"/>
      <c r="GJ131" s="448"/>
      <c r="GK131" s="448"/>
      <c r="GL131" s="448"/>
      <c r="GM131" s="448"/>
      <c r="GN131" s="449"/>
    </row>
    <row r="132" spans="87:196" x14ac:dyDescent="0.25">
      <c r="CI132">
        <v>118</v>
      </c>
      <c r="CJ132">
        <v>368</v>
      </c>
      <c r="CK132" s="450" t="str">
        <f>IFERROR(VLOOKUP($CI132,Skills!$H$2:$N$620,7,FALSE),"")</f>
        <v/>
      </c>
      <c r="CL132" s="451"/>
      <c r="CM132" s="451"/>
      <c r="CN132" s="451"/>
      <c r="CO132" s="451"/>
      <c r="CP132" s="451"/>
      <c r="CQ132" s="451"/>
      <c r="CR132" s="451"/>
      <c r="CS132" s="451"/>
      <c r="CT132" s="451"/>
      <c r="CU132" s="451"/>
      <c r="CV132" s="451"/>
      <c r="CW132" s="451"/>
      <c r="CX132" s="451"/>
      <c r="CY132" s="451"/>
      <c r="CZ132" s="451"/>
      <c r="DA132" s="451"/>
      <c r="DB132" s="451"/>
      <c r="DC132" s="451"/>
      <c r="DD132" s="451"/>
      <c r="DE132" s="451"/>
      <c r="DF132" s="451"/>
      <c r="DG132" s="451"/>
      <c r="DH132" s="451"/>
      <c r="DI132" s="451"/>
      <c r="DJ132" s="451"/>
      <c r="DK132" s="451"/>
      <c r="DL132" s="451"/>
      <c r="DM132" s="451"/>
      <c r="DN132" s="451"/>
      <c r="DO132" s="451"/>
      <c r="DP132" s="451"/>
      <c r="DQ132" s="451"/>
      <c r="DR132" s="451"/>
      <c r="DS132" s="451"/>
      <c r="DT132" s="451"/>
      <c r="DU132" s="451"/>
      <c r="DV132" s="451"/>
      <c r="DW132" s="451"/>
      <c r="DX132" s="451"/>
      <c r="DY132" s="451"/>
      <c r="DZ132" s="451"/>
      <c r="EA132" s="451"/>
      <c r="EB132" s="451"/>
      <c r="EC132" s="417" t="str">
        <f>IFERROR(VLOOKUP($CI132,Skills!$H$2:$K$620,4,FALSE),"")</f>
        <v/>
      </c>
      <c r="ED132" s="417"/>
      <c r="EE132" s="417"/>
      <c r="EF132" s="417"/>
      <c r="EG132" s="417"/>
      <c r="EH132" s="452"/>
      <c r="EI132" s="452"/>
      <c r="EJ132" s="452"/>
      <c r="EK132" s="452"/>
      <c r="EL132" s="453"/>
      <c r="EM132" s="451" t="str">
        <f>IFERROR(VLOOKUP($CJ132,Skills!$H$2:$N$620,7,FALSE),"")</f>
        <v/>
      </c>
      <c r="EN132" s="451"/>
      <c r="EO132" s="451"/>
      <c r="EP132" s="451"/>
      <c r="EQ132" s="451"/>
      <c r="ER132" s="451"/>
      <c r="ES132" s="451"/>
      <c r="ET132" s="451"/>
      <c r="EU132" s="451"/>
      <c r="EV132" s="451"/>
      <c r="EW132" s="451"/>
      <c r="EX132" s="451"/>
      <c r="EY132" s="451"/>
      <c r="EZ132" s="451"/>
      <c r="FA132" s="451"/>
      <c r="FB132" s="451"/>
      <c r="FC132" s="451"/>
      <c r="FD132" s="451"/>
      <c r="FE132" s="451"/>
      <c r="FF132" s="451"/>
      <c r="FG132" s="451"/>
      <c r="FH132" s="451"/>
      <c r="FI132" s="451"/>
      <c r="FJ132" s="451"/>
      <c r="FK132" s="451"/>
      <c r="FL132" s="451"/>
      <c r="FM132" s="451"/>
      <c r="FN132" s="451"/>
      <c r="FO132" s="451"/>
      <c r="FP132" s="451"/>
      <c r="FQ132" s="451"/>
      <c r="FR132" s="451"/>
      <c r="FS132" s="451"/>
      <c r="FT132" s="451"/>
      <c r="FU132" s="451"/>
      <c r="FV132" s="451"/>
      <c r="FW132" s="451"/>
      <c r="FX132" s="451"/>
      <c r="FY132" s="451"/>
      <c r="FZ132" s="451"/>
      <c r="GA132" s="451"/>
      <c r="GB132" s="451"/>
      <c r="GC132" s="451"/>
      <c r="GD132" s="451"/>
      <c r="GE132" s="417" t="str">
        <f>IFERROR(VLOOKUP($CJ132,Skills!$H$2:$K$620,4,FALSE),"")</f>
        <v/>
      </c>
      <c r="GF132" s="417"/>
      <c r="GG132" s="417"/>
      <c r="GH132" s="417"/>
      <c r="GI132" s="417"/>
      <c r="GJ132" s="454"/>
      <c r="GK132" s="454"/>
      <c r="GL132" s="454"/>
      <c r="GM132" s="454"/>
      <c r="GN132" s="455"/>
    </row>
    <row r="133" spans="87:196" x14ac:dyDescent="0.25">
      <c r="CI133">
        <v>119</v>
      </c>
      <c r="CJ133">
        <v>369</v>
      </c>
      <c r="CK133" s="365" t="str">
        <f>IFERROR(VLOOKUP($CI133,Skills!$H$2:$N$620,7,FALSE),"")</f>
        <v/>
      </c>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445" t="str">
        <f>IFERROR(VLOOKUP($CI133,Skills!$H$2:$K$620,4,FALSE),"")</f>
        <v/>
      </c>
      <c r="ED133" s="445"/>
      <c r="EE133" s="445"/>
      <c r="EF133" s="445"/>
      <c r="EG133" s="445"/>
      <c r="EH133" s="446"/>
      <c r="EI133" s="446"/>
      <c r="EJ133" s="446"/>
      <c r="EK133" s="446"/>
      <c r="EL133" s="447"/>
      <c r="EM133" s="366" t="str">
        <f>IFERROR(VLOOKUP($CJ133,Skills!$H$2:$N$620,7,FALSE),"")</f>
        <v/>
      </c>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445" t="str">
        <f>IFERROR(VLOOKUP($CJ133,Skills!$H$2:$K$620,4,FALSE),"")</f>
        <v/>
      </c>
      <c r="GF133" s="445"/>
      <c r="GG133" s="445"/>
      <c r="GH133" s="445"/>
      <c r="GI133" s="445"/>
      <c r="GJ133" s="448"/>
      <c r="GK133" s="448"/>
      <c r="GL133" s="448"/>
      <c r="GM133" s="448"/>
      <c r="GN133" s="449"/>
    </row>
    <row r="134" spans="87:196" x14ac:dyDescent="0.25">
      <c r="CI134">
        <v>120</v>
      </c>
      <c r="CJ134">
        <v>370</v>
      </c>
      <c r="CK134" s="450" t="str">
        <f>IFERROR(VLOOKUP($CI134,Skills!$H$2:$N$620,7,FALSE),"")</f>
        <v/>
      </c>
      <c r="CL134" s="451"/>
      <c r="CM134" s="451"/>
      <c r="CN134" s="451"/>
      <c r="CO134" s="451"/>
      <c r="CP134" s="451"/>
      <c r="CQ134" s="451"/>
      <c r="CR134" s="451"/>
      <c r="CS134" s="451"/>
      <c r="CT134" s="451"/>
      <c r="CU134" s="451"/>
      <c r="CV134" s="451"/>
      <c r="CW134" s="451"/>
      <c r="CX134" s="451"/>
      <c r="CY134" s="451"/>
      <c r="CZ134" s="451"/>
      <c r="DA134" s="451"/>
      <c r="DB134" s="451"/>
      <c r="DC134" s="451"/>
      <c r="DD134" s="451"/>
      <c r="DE134" s="451"/>
      <c r="DF134" s="451"/>
      <c r="DG134" s="451"/>
      <c r="DH134" s="451"/>
      <c r="DI134" s="451"/>
      <c r="DJ134" s="451"/>
      <c r="DK134" s="451"/>
      <c r="DL134" s="451"/>
      <c r="DM134" s="451"/>
      <c r="DN134" s="451"/>
      <c r="DO134" s="451"/>
      <c r="DP134" s="451"/>
      <c r="DQ134" s="451"/>
      <c r="DR134" s="451"/>
      <c r="DS134" s="451"/>
      <c r="DT134" s="451"/>
      <c r="DU134" s="451"/>
      <c r="DV134" s="451"/>
      <c r="DW134" s="451"/>
      <c r="DX134" s="451"/>
      <c r="DY134" s="451"/>
      <c r="DZ134" s="451"/>
      <c r="EA134" s="451"/>
      <c r="EB134" s="451"/>
      <c r="EC134" s="417" t="str">
        <f>IFERROR(VLOOKUP($CI134,Skills!$H$2:$K$620,4,FALSE),"")</f>
        <v/>
      </c>
      <c r="ED134" s="417"/>
      <c r="EE134" s="417"/>
      <c r="EF134" s="417"/>
      <c r="EG134" s="417"/>
      <c r="EH134" s="452"/>
      <c r="EI134" s="452"/>
      <c r="EJ134" s="452"/>
      <c r="EK134" s="452"/>
      <c r="EL134" s="453"/>
      <c r="EM134" s="451" t="str">
        <f>IFERROR(VLOOKUP($CJ134,Skills!$H$2:$N$620,7,FALSE),"")</f>
        <v/>
      </c>
      <c r="EN134" s="451"/>
      <c r="EO134" s="451"/>
      <c r="EP134" s="451"/>
      <c r="EQ134" s="451"/>
      <c r="ER134" s="451"/>
      <c r="ES134" s="451"/>
      <c r="ET134" s="451"/>
      <c r="EU134" s="451"/>
      <c r="EV134" s="451"/>
      <c r="EW134" s="451"/>
      <c r="EX134" s="451"/>
      <c r="EY134" s="451"/>
      <c r="EZ134" s="451"/>
      <c r="FA134" s="451"/>
      <c r="FB134" s="451"/>
      <c r="FC134" s="451"/>
      <c r="FD134" s="451"/>
      <c r="FE134" s="451"/>
      <c r="FF134" s="451"/>
      <c r="FG134" s="451"/>
      <c r="FH134" s="451"/>
      <c r="FI134" s="451"/>
      <c r="FJ134" s="451"/>
      <c r="FK134" s="451"/>
      <c r="FL134" s="451"/>
      <c r="FM134" s="451"/>
      <c r="FN134" s="451"/>
      <c r="FO134" s="451"/>
      <c r="FP134" s="451"/>
      <c r="FQ134" s="451"/>
      <c r="FR134" s="451"/>
      <c r="FS134" s="451"/>
      <c r="FT134" s="451"/>
      <c r="FU134" s="451"/>
      <c r="FV134" s="451"/>
      <c r="FW134" s="451"/>
      <c r="FX134" s="451"/>
      <c r="FY134" s="451"/>
      <c r="FZ134" s="451"/>
      <c r="GA134" s="451"/>
      <c r="GB134" s="451"/>
      <c r="GC134" s="451"/>
      <c r="GD134" s="451"/>
      <c r="GE134" s="417" t="str">
        <f>IFERROR(VLOOKUP($CJ134,Skills!$H$2:$K$620,4,FALSE),"")</f>
        <v/>
      </c>
      <c r="GF134" s="417"/>
      <c r="GG134" s="417"/>
      <c r="GH134" s="417"/>
      <c r="GI134" s="417"/>
      <c r="GJ134" s="454"/>
      <c r="GK134" s="454"/>
      <c r="GL134" s="454"/>
      <c r="GM134" s="454"/>
      <c r="GN134" s="455"/>
    </row>
    <row r="135" spans="87:196" x14ac:dyDescent="0.25">
      <c r="CI135">
        <v>121</v>
      </c>
      <c r="CJ135">
        <v>371</v>
      </c>
      <c r="CK135" s="365" t="str">
        <f>IFERROR(VLOOKUP($CI135,Skills!$H$2:$N$620,7,FALSE),"")</f>
        <v/>
      </c>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445" t="str">
        <f>IFERROR(VLOOKUP($CI135,Skills!$H$2:$K$620,4,FALSE),"")</f>
        <v/>
      </c>
      <c r="ED135" s="445"/>
      <c r="EE135" s="445"/>
      <c r="EF135" s="445"/>
      <c r="EG135" s="445"/>
      <c r="EH135" s="446"/>
      <c r="EI135" s="446"/>
      <c r="EJ135" s="446"/>
      <c r="EK135" s="446"/>
      <c r="EL135" s="447"/>
      <c r="EM135" s="366" t="str">
        <f>IFERROR(VLOOKUP($CJ135,Skills!$H$2:$N$620,7,FALSE),"")</f>
        <v/>
      </c>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445" t="str">
        <f>IFERROR(VLOOKUP($CJ135,Skills!$H$2:$K$620,4,FALSE),"")</f>
        <v/>
      </c>
      <c r="GF135" s="445"/>
      <c r="GG135" s="445"/>
      <c r="GH135" s="445"/>
      <c r="GI135" s="445"/>
      <c r="GJ135" s="448"/>
      <c r="GK135" s="448"/>
      <c r="GL135" s="448"/>
      <c r="GM135" s="448"/>
      <c r="GN135" s="449"/>
    </row>
    <row r="136" spans="87:196" x14ac:dyDescent="0.25">
      <c r="CI136">
        <v>122</v>
      </c>
      <c r="CJ136">
        <v>372</v>
      </c>
      <c r="CK136" s="450" t="str">
        <f>IFERROR(VLOOKUP($CI136,Skills!$H$2:$N$620,7,FALSE),"")</f>
        <v/>
      </c>
      <c r="CL136" s="451"/>
      <c r="CM136" s="451"/>
      <c r="CN136" s="451"/>
      <c r="CO136" s="451"/>
      <c r="CP136" s="451"/>
      <c r="CQ136" s="451"/>
      <c r="CR136" s="451"/>
      <c r="CS136" s="451"/>
      <c r="CT136" s="451"/>
      <c r="CU136" s="451"/>
      <c r="CV136" s="451"/>
      <c r="CW136" s="451"/>
      <c r="CX136" s="451"/>
      <c r="CY136" s="451"/>
      <c r="CZ136" s="451"/>
      <c r="DA136" s="451"/>
      <c r="DB136" s="451"/>
      <c r="DC136" s="451"/>
      <c r="DD136" s="451"/>
      <c r="DE136" s="451"/>
      <c r="DF136" s="451"/>
      <c r="DG136" s="451"/>
      <c r="DH136" s="451"/>
      <c r="DI136" s="451"/>
      <c r="DJ136" s="451"/>
      <c r="DK136" s="451"/>
      <c r="DL136" s="451"/>
      <c r="DM136" s="451"/>
      <c r="DN136" s="451"/>
      <c r="DO136" s="451"/>
      <c r="DP136" s="451"/>
      <c r="DQ136" s="451"/>
      <c r="DR136" s="451"/>
      <c r="DS136" s="451"/>
      <c r="DT136" s="451"/>
      <c r="DU136" s="451"/>
      <c r="DV136" s="451"/>
      <c r="DW136" s="451"/>
      <c r="DX136" s="451"/>
      <c r="DY136" s="451"/>
      <c r="DZ136" s="451"/>
      <c r="EA136" s="451"/>
      <c r="EB136" s="451"/>
      <c r="EC136" s="417" t="str">
        <f>IFERROR(VLOOKUP($CI136,Skills!$H$2:$K$620,4,FALSE),"")</f>
        <v/>
      </c>
      <c r="ED136" s="417"/>
      <c r="EE136" s="417"/>
      <c r="EF136" s="417"/>
      <c r="EG136" s="417"/>
      <c r="EH136" s="452"/>
      <c r="EI136" s="452"/>
      <c r="EJ136" s="452"/>
      <c r="EK136" s="452"/>
      <c r="EL136" s="453"/>
      <c r="EM136" s="451" t="str">
        <f>IFERROR(VLOOKUP($CJ136,Skills!$H$2:$N$620,7,FALSE),"")</f>
        <v/>
      </c>
      <c r="EN136" s="451"/>
      <c r="EO136" s="451"/>
      <c r="EP136" s="451"/>
      <c r="EQ136" s="451"/>
      <c r="ER136" s="451"/>
      <c r="ES136" s="451"/>
      <c r="ET136" s="451"/>
      <c r="EU136" s="451"/>
      <c r="EV136" s="451"/>
      <c r="EW136" s="451"/>
      <c r="EX136" s="451"/>
      <c r="EY136" s="451"/>
      <c r="EZ136" s="451"/>
      <c r="FA136" s="451"/>
      <c r="FB136" s="451"/>
      <c r="FC136" s="451"/>
      <c r="FD136" s="451"/>
      <c r="FE136" s="451"/>
      <c r="FF136" s="451"/>
      <c r="FG136" s="451"/>
      <c r="FH136" s="451"/>
      <c r="FI136" s="451"/>
      <c r="FJ136" s="451"/>
      <c r="FK136" s="451"/>
      <c r="FL136" s="451"/>
      <c r="FM136" s="451"/>
      <c r="FN136" s="451"/>
      <c r="FO136" s="451"/>
      <c r="FP136" s="451"/>
      <c r="FQ136" s="451"/>
      <c r="FR136" s="451"/>
      <c r="FS136" s="451"/>
      <c r="FT136" s="451"/>
      <c r="FU136" s="451"/>
      <c r="FV136" s="451"/>
      <c r="FW136" s="451"/>
      <c r="FX136" s="451"/>
      <c r="FY136" s="451"/>
      <c r="FZ136" s="451"/>
      <c r="GA136" s="451"/>
      <c r="GB136" s="451"/>
      <c r="GC136" s="451"/>
      <c r="GD136" s="451"/>
      <c r="GE136" s="417" t="str">
        <f>IFERROR(VLOOKUP($CJ136,Skills!$H$2:$K$620,4,FALSE),"")</f>
        <v/>
      </c>
      <c r="GF136" s="417"/>
      <c r="GG136" s="417"/>
      <c r="GH136" s="417"/>
      <c r="GI136" s="417"/>
      <c r="GJ136" s="454"/>
      <c r="GK136" s="454"/>
      <c r="GL136" s="454"/>
      <c r="GM136" s="454"/>
      <c r="GN136" s="455"/>
    </row>
    <row r="137" spans="87:196" x14ac:dyDescent="0.25">
      <c r="CI137">
        <v>123</v>
      </c>
      <c r="CJ137">
        <v>373</v>
      </c>
      <c r="CK137" s="365" t="str">
        <f>IFERROR(VLOOKUP($CI137,Skills!$H$2:$N$620,7,FALSE),"")</f>
        <v/>
      </c>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445" t="str">
        <f>IFERROR(VLOOKUP($CI137,Skills!$H$2:$K$620,4,FALSE),"")</f>
        <v/>
      </c>
      <c r="ED137" s="445"/>
      <c r="EE137" s="445"/>
      <c r="EF137" s="445"/>
      <c r="EG137" s="445"/>
      <c r="EH137" s="446"/>
      <c r="EI137" s="446"/>
      <c r="EJ137" s="446"/>
      <c r="EK137" s="446"/>
      <c r="EL137" s="447"/>
      <c r="EM137" s="366" t="str">
        <f>IFERROR(VLOOKUP($CJ137,Skills!$H$2:$N$620,7,FALSE),"")</f>
        <v/>
      </c>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445" t="str">
        <f>IFERROR(VLOOKUP($CJ137,Skills!$H$2:$K$620,4,FALSE),"")</f>
        <v/>
      </c>
      <c r="GF137" s="445"/>
      <c r="GG137" s="445"/>
      <c r="GH137" s="445"/>
      <c r="GI137" s="445"/>
      <c r="GJ137" s="448"/>
      <c r="GK137" s="448"/>
      <c r="GL137" s="448"/>
      <c r="GM137" s="448"/>
      <c r="GN137" s="449"/>
    </row>
    <row r="138" spans="87:196" x14ac:dyDescent="0.25">
      <c r="CI138">
        <v>124</v>
      </c>
      <c r="CJ138">
        <v>374</v>
      </c>
      <c r="CK138" s="450" t="str">
        <f>IFERROR(VLOOKUP($CI138,Skills!$H$2:$N$620,7,FALSE),"")</f>
        <v/>
      </c>
      <c r="CL138" s="451"/>
      <c r="CM138" s="451"/>
      <c r="CN138" s="451"/>
      <c r="CO138" s="451"/>
      <c r="CP138" s="451"/>
      <c r="CQ138" s="451"/>
      <c r="CR138" s="451"/>
      <c r="CS138" s="451"/>
      <c r="CT138" s="451"/>
      <c r="CU138" s="451"/>
      <c r="CV138" s="451"/>
      <c r="CW138" s="451"/>
      <c r="CX138" s="451"/>
      <c r="CY138" s="451"/>
      <c r="CZ138" s="451"/>
      <c r="DA138" s="451"/>
      <c r="DB138" s="451"/>
      <c r="DC138" s="451"/>
      <c r="DD138" s="451"/>
      <c r="DE138" s="451"/>
      <c r="DF138" s="451"/>
      <c r="DG138" s="451"/>
      <c r="DH138" s="451"/>
      <c r="DI138" s="451"/>
      <c r="DJ138" s="451"/>
      <c r="DK138" s="451"/>
      <c r="DL138" s="451"/>
      <c r="DM138" s="451"/>
      <c r="DN138" s="451"/>
      <c r="DO138" s="451"/>
      <c r="DP138" s="451"/>
      <c r="DQ138" s="451"/>
      <c r="DR138" s="451"/>
      <c r="DS138" s="451"/>
      <c r="DT138" s="451"/>
      <c r="DU138" s="451"/>
      <c r="DV138" s="451"/>
      <c r="DW138" s="451"/>
      <c r="DX138" s="451"/>
      <c r="DY138" s="451"/>
      <c r="DZ138" s="451"/>
      <c r="EA138" s="451"/>
      <c r="EB138" s="451"/>
      <c r="EC138" s="417" t="str">
        <f>IFERROR(VLOOKUP($CI138,Skills!$H$2:$K$620,4,FALSE),"")</f>
        <v/>
      </c>
      <c r="ED138" s="417"/>
      <c r="EE138" s="417"/>
      <c r="EF138" s="417"/>
      <c r="EG138" s="417"/>
      <c r="EH138" s="452"/>
      <c r="EI138" s="452"/>
      <c r="EJ138" s="452"/>
      <c r="EK138" s="452"/>
      <c r="EL138" s="453"/>
      <c r="EM138" s="451" t="str">
        <f>IFERROR(VLOOKUP($CJ138,Skills!$H$2:$N$620,7,FALSE),"")</f>
        <v/>
      </c>
      <c r="EN138" s="451"/>
      <c r="EO138" s="451"/>
      <c r="EP138" s="451"/>
      <c r="EQ138" s="451"/>
      <c r="ER138" s="451"/>
      <c r="ES138" s="451"/>
      <c r="ET138" s="451"/>
      <c r="EU138" s="451"/>
      <c r="EV138" s="451"/>
      <c r="EW138" s="451"/>
      <c r="EX138" s="451"/>
      <c r="EY138" s="451"/>
      <c r="EZ138" s="451"/>
      <c r="FA138" s="451"/>
      <c r="FB138" s="451"/>
      <c r="FC138" s="451"/>
      <c r="FD138" s="451"/>
      <c r="FE138" s="451"/>
      <c r="FF138" s="451"/>
      <c r="FG138" s="451"/>
      <c r="FH138" s="451"/>
      <c r="FI138" s="451"/>
      <c r="FJ138" s="451"/>
      <c r="FK138" s="451"/>
      <c r="FL138" s="451"/>
      <c r="FM138" s="451"/>
      <c r="FN138" s="451"/>
      <c r="FO138" s="451"/>
      <c r="FP138" s="451"/>
      <c r="FQ138" s="451"/>
      <c r="FR138" s="451"/>
      <c r="FS138" s="451"/>
      <c r="FT138" s="451"/>
      <c r="FU138" s="451"/>
      <c r="FV138" s="451"/>
      <c r="FW138" s="451"/>
      <c r="FX138" s="451"/>
      <c r="FY138" s="451"/>
      <c r="FZ138" s="451"/>
      <c r="GA138" s="451"/>
      <c r="GB138" s="451"/>
      <c r="GC138" s="451"/>
      <c r="GD138" s="451"/>
      <c r="GE138" s="417" t="str">
        <f>IFERROR(VLOOKUP($CJ138,Skills!$H$2:$K$620,4,FALSE),"")</f>
        <v/>
      </c>
      <c r="GF138" s="417"/>
      <c r="GG138" s="417"/>
      <c r="GH138" s="417"/>
      <c r="GI138" s="417"/>
      <c r="GJ138" s="454"/>
      <c r="GK138" s="454"/>
      <c r="GL138" s="454"/>
      <c r="GM138" s="454"/>
      <c r="GN138" s="455"/>
    </row>
    <row r="139" spans="87:196" x14ac:dyDescent="0.25">
      <c r="CI139">
        <v>125</v>
      </c>
      <c r="CJ139">
        <v>375</v>
      </c>
      <c r="CK139" s="365" t="str">
        <f>IFERROR(VLOOKUP($CI139,Skills!$H$2:$N$620,7,FALSE),"")</f>
        <v/>
      </c>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445" t="str">
        <f>IFERROR(VLOOKUP($CI139,Skills!$H$2:$K$620,4,FALSE),"")</f>
        <v/>
      </c>
      <c r="ED139" s="445"/>
      <c r="EE139" s="445"/>
      <c r="EF139" s="445"/>
      <c r="EG139" s="445"/>
      <c r="EH139" s="446"/>
      <c r="EI139" s="446"/>
      <c r="EJ139" s="446"/>
      <c r="EK139" s="446"/>
      <c r="EL139" s="447"/>
      <c r="EM139" s="366" t="str">
        <f>IFERROR(VLOOKUP($CJ139,Skills!$H$2:$N$620,7,FALSE),"")</f>
        <v/>
      </c>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445" t="str">
        <f>IFERROR(VLOOKUP($CJ139,Skills!$H$2:$K$620,4,FALSE),"")</f>
        <v/>
      </c>
      <c r="GF139" s="445"/>
      <c r="GG139" s="445"/>
      <c r="GH139" s="445"/>
      <c r="GI139" s="445"/>
      <c r="GJ139" s="448"/>
      <c r="GK139" s="448"/>
      <c r="GL139" s="448"/>
      <c r="GM139" s="448"/>
      <c r="GN139" s="449"/>
    </row>
    <row r="140" spans="87:196" x14ac:dyDescent="0.25">
      <c r="CI140">
        <v>126</v>
      </c>
      <c r="CJ140">
        <v>376</v>
      </c>
      <c r="CK140" s="450" t="str">
        <f>IFERROR(VLOOKUP($CI140,Skills!$H$2:$N$620,7,FALSE),"")</f>
        <v/>
      </c>
      <c r="CL140" s="451"/>
      <c r="CM140" s="451"/>
      <c r="CN140" s="451"/>
      <c r="CO140" s="451"/>
      <c r="CP140" s="451"/>
      <c r="CQ140" s="451"/>
      <c r="CR140" s="451"/>
      <c r="CS140" s="451"/>
      <c r="CT140" s="451"/>
      <c r="CU140" s="451"/>
      <c r="CV140" s="451"/>
      <c r="CW140" s="451"/>
      <c r="CX140" s="451"/>
      <c r="CY140" s="451"/>
      <c r="CZ140" s="451"/>
      <c r="DA140" s="451"/>
      <c r="DB140" s="451"/>
      <c r="DC140" s="451"/>
      <c r="DD140" s="451"/>
      <c r="DE140" s="451"/>
      <c r="DF140" s="451"/>
      <c r="DG140" s="451"/>
      <c r="DH140" s="451"/>
      <c r="DI140" s="451"/>
      <c r="DJ140" s="451"/>
      <c r="DK140" s="451"/>
      <c r="DL140" s="451"/>
      <c r="DM140" s="451"/>
      <c r="DN140" s="451"/>
      <c r="DO140" s="451"/>
      <c r="DP140" s="451"/>
      <c r="DQ140" s="451"/>
      <c r="DR140" s="451"/>
      <c r="DS140" s="451"/>
      <c r="DT140" s="451"/>
      <c r="DU140" s="451"/>
      <c r="DV140" s="451"/>
      <c r="DW140" s="451"/>
      <c r="DX140" s="451"/>
      <c r="DY140" s="451"/>
      <c r="DZ140" s="451"/>
      <c r="EA140" s="451"/>
      <c r="EB140" s="451"/>
      <c r="EC140" s="417" t="str">
        <f>IFERROR(VLOOKUP($CI140,Skills!$H$2:$K$620,4,FALSE),"")</f>
        <v/>
      </c>
      <c r="ED140" s="417"/>
      <c r="EE140" s="417"/>
      <c r="EF140" s="417"/>
      <c r="EG140" s="417"/>
      <c r="EH140" s="452">
        <v>1</v>
      </c>
      <c r="EI140" s="452"/>
      <c r="EJ140" s="452"/>
      <c r="EK140" s="452"/>
      <c r="EL140" s="453"/>
      <c r="EM140" s="451" t="str">
        <f>IFERROR(VLOOKUP($CJ140,Skills!$H$2:$N$620,7,FALSE),"")</f>
        <v/>
      </c>
      <c r="EN140" s="451"/>
      <c r="EO140" s="451"/>
      <c r="EP140" s="451"/>
      <c r="EQ140" s="451"/>
      <c r="ER140" s="451"/>
      <c r="ES140" s="451"/>
      <c r="ET140" s="451"/>
      <c r="EU140" s="451"/>
      <c r="EV140" s="451"/>
      <c r="EW140" s="451"/>
      <c r="EX140" s="451"/>
      <c r="EY140" s="451"/>
      <c r="EZ140" s="451"/>
      <c r="FA140" s="451"/>
      <c r="FB140" s="451"/>
      <c r="FC140" s="451"/>
      <c r="FD140" s="451"/>
      <c r="FE140" s="451"/>
      <c r="FF140" s="451"/>
      <c r="FG140" s="451"/>
      <c r="FH140" s="451"/>
      <c r="FI140" s="451"/>
      <c r="FJ140" s="451"/>
      <c r="FK140" s="451"/>
      <c r="FL140" s="451"/>
      <c r="FM140" s="451"/>
      <c r="FN140" s="451"/>
      <c r="FO140" s="451"/>
      <c r="FP140" s="451"/>
      <c r="FQ140" s="451"/>
      <c r="FR140" s="451"/>
      <c r="FS140" s="451"/>
      <c r="FT140" s="451"/>
      <c r="FU140" s="451"/>
      <c r="FV140" s="451"/>
      <c r="FW140" s="451"/>
      <c r="FX140" s="451"/>
      <c r="FY140" s="451"/>
      <c r="FZ140" s="451"/>
      <c r="GA140" s="451"/>
      <c r="GB140" s="451"/>
      <c r="GC140" s="451"/>
      <c r="GD140" s="451"/>
      <c r="GE140" s="417" t="str">
        <f>IFERROR(VLOOKUP($CJ140,Skills!$H$2:$K$620,4,FALSE),"")</f>
        <v/>
      </c>
      <c r="GF140" s="417"/>
      <c r="GG140" s="417"/>
      <c r="GH140" s="417"/>
      <c r="GI140" s="417"/>
      <c r="GJ140" s="454"/>
      <c r="GK140" s="454"/>
      <c r="GL140" s="454"/>
      <c r="GM140" s="454"/>
      <c r="GN140" s="455"/>
    </row>
    <row r="141" spans="87:196" x14ac:dyDescent="0.25">
      <c r="CI141">
        <v>127</v>
      </c>
      <c r="CJ141">
        <v>377</v>
      </c>
      <c r="CK141" s="365" t="str">
        <f>IFERROR(VLOOKUP($CI141,Skills!$H$2:$N$620,7,FALSE),"")</f>
        <v/>
      </c>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445" t="str">
        <f>IFERROR(VLOOKUP($CI141,Skills!$H$2:$K$620,4,FALSE),"")</f>
        <v/>
      </c>
      <c r="ED141" s="445"/>
      <c r="EE141" s="445"/>
      <c r="EF141" s="445"/>
      <c r="EG141" s="445"/>
      <c r="EH141" s="446"/>
      <c r="EI141" s="446"/>
      <c r="EJ141" s="446"/>
      <c r="EK141" s="446"/>
      <c r="EL141" s="447"/>
      <c r="EM141" s="366" t="str">
        <f>IFERROR(VLOOKUP($CJ141,Skills!$H$2:$N$620,7,FALSE),"")</f>
        <v/>
      </c>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445" t="str">
        <f>IFERROR(VLOOKUP($CJ141,Skills!$H$2:$K$620,4,FALSE),"")</f>
        <v/>
      </c>
      <c r="GF141" s="445"/>
      <c r="GG141" s="445"/>
      <c r="GH141" s="445"/>
      <c r="GI141" s="445"/>
      <c r="GJ141" s="448"/>
      <c r="GK141" s="448"/>
      <c r="GL141" s="448"/>
      <c r="GM141" s="448"/>
      <c r="GN141" s="449"/>
    </row>
    <row r="142" spans="87:196" x14ac:dyDescent="0.25">
      <c r="CI142">
        <v>128</v>
      </c>
      <c r="CJ142">
        <v>378</v>
      </c>
      <c r="CK142" s="450" t="str">
        <f>IFERROR(VLOOKUP($CI142,Skills!$H$2:$N$620,7,FALSE),"")</f>
        <v/>
      </c>
      <c r="CL142" s="451"/>
      <c r="CM142" s="451"/>
      <c r="CN142" s="451"/>
      <c r="CO142" s="451"/>
      <c r="CP142" s="451"/>
      <c r="CQ142" s="451"/>
      <c r="CR142" s="451"/>
      <c r="CS142" s="451"/>
      <c r="CT142" s="451"/>
      <c r="CU142" s="451"/>
      <c r="CV142" s="451"/>
      <c r="CW142" s="451"/>
      <c r="CX142" s="451"/>
      <c r="CY142" s="451"/>
      <c r="CZ142" s="451"/>
      <c r="DA142" s="451"/>
      <c r="DB142" s="451"/>
      <c r="DC142" s="451"/>
      <c r="DD142" s="451"/>
      <c r="DE142" s="451"/>
      <c r="DF142" s="451"/>
      <c r="DG142" s="451"/>
      <c r="DH142" s="451"/>
      <c r="DI142" s="451"/>
      <c r="DJ142" s="451"/>
      <c r="DK142" s="451"/>
      <c r="DL142" s="451"/>
      <c r="DM142" s="451"/>
      <c r="DN142" s="451"/>
      <c r="DO142" s="451"/>
      <c r="DP142" s="451"/>
      <c r="DQ142" s="451"/>
      <c r="DR142" s="451"/>
      <c r="DS142" s="451"/>
      <c r="DT142" s="451"/>
      <c r="DU142" s="451"/>
      <c r="DV142" s="451"/>
      <c r="DW142" s="451"/>
      <c r="DX142" s="451"/>
      <c r="DY142" s="451"/>
      <c r="DZ142" s="451"/>
      <c r="EA142" s="451"/>
      <c r="EB142" s="451"/>
      <c r="EC142" s="417" t="str">
        <f>IFERROR(VLOOKUP($CI142,Skills!$H$2:$K$620,4,FALSE),"")</f>
        <v/>
      </c>
      <c r="ED142" s="417"/>
      <c r="EE142" s="417"/>
      <c r="EF142" s="417"/>
      <c r="EG142" s="417"/>
      <c r="EH142" s="452"/>
      <c r="EI142" s="452"/>
      <c r="EJ142" s="452"/>
      <c r="EK142" s="452"/>
      <c r="EL142" s="453"/>
      <c r="EM142" s="451" t="str">
        <f>IFERROR(VLOOKUP($CJ142,Skills!$H$2:$N$620,7,FALSE),"")</f>
        <v/>
      </c>
      <c r="EN142" s="451"/>
      <c r="EO142" s="451"/>
      <c r="EP142" s="451"/>
      <c r="EQ142" s="451"/>
      <c r="ER142" s="451"/>
      <c r="ES142" s="451"/>
      <c r="ET142" s="451"/>
      <c r="EU142" s="451"/>
      <c r="EV142" s="451"/>
      <c r="EW142" s="451"/>
      <c r="EX142" s="451"/>
      <c r="EY142" s="451"/>
      <c r="EZ142" s="451"/>
      <c r="FA142" s="451"/>
      <c r="FB142" s="451"/>
      <c r="FC142" s="451"/>
      <c r="FD142" s="451"/>
      <c r="FE142" s="451"/>
      <c r="FF142" s="451"/>
      <c r="FG142" s="451"/>
      <c r="FH142" s="451"/>
      <c r="FI142" s="451"/>
      <c r="FJ142" s="451"/>
      <c r="FK142" s="451"/>
      <c r="FL142" s="451"/>
      <c r="FM142" s="451"/>
      <c r="FN142" s="451"/>
      <c r="FO142" s="451"/>
      <c r="FP142" s="451"/>
      <c r="FQ142" s="451"/>
      <c r="FR142" s="451"/>
      <c r="FS142" s="451"/>
      <c r="FT142" s="451"/>
      <c r="FU142" s="451"/>
      <c r="FV142" s="451"/>
      <c r="FW142" s="451"/>
      <c r="FX142" s="451"/>
      <c r="FY142" s="451"/>
      <c r="FZ142" s="451"/>
      <c r="GA142" s="451"/>
      <c r="GB142" s="451"/>
      <c r="GC142" s="451"/>
      <c r="GD142" s="451"/>
      <c r="GE142" s="417" t="str">
        <f>IFERROR(VLOOKUP($CJ142,Skills!$H$2:$K$620,4,FALSE),"")</f>
        <v/>
      </c>
      <c r="GF142" s="417"/>
      <c r="GG142" s="417"/>
      <c r="GH142" s="417"/>
      <c r="GI142" s="417"/>
      <c r="GJ142" s="454"/>
      <c r="GK142" s="454"/>
      <c r="GL142" s="454"/>
      <c r="GM142" s="454"/>
      <c r="GN142" s="455"/>
    </row>
    <row r="143" spans="87:196" x14ac:dyDescent="0.25">
      <c r="CI143">
        <v>129</v>
      </c>
      <c r="CJ143">
        <v>379</v>
      </c>
      <c r="CK143" s="365" t="str">
        <f>IFERROR(VLOOKUP($CI143,Skills!$H$2:$N$620,7,FALSE),"")</f>
        <v/>
      </c>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445" t="str">
        <f>IFERROR(VLOOKUP($CI143,Skills!$H$2:$K$620,4,FALSE),"")</f>
        <v/>
      </c>
      <c r="ED143" s="445"/>
      <c r="EE143" s="445"/>
      <c r="EF143" s="445"/>
      <c r="EG143" s="445"/>
      <c r="EH143" s="446"/>
      <c r="EI143" s="446"/>
      <c r="EJ143" s="446"/>
      <c r="EK143" s="446"/>
      <c r="EL143" s="447"/>
      <c r="EM143" s="366" t="str">
        <f>IFERROR(VLOOKUP($CJ143,Skills!$H$2:$N$620,7,FALSE),"")</f>
        <v/>
      </c>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445" t="str">
        <f>IFERROR(VLOOKUP($CJ143,Skills!$H$2:$K$620,4,FALSE),"")</f>
        <v/>
      </c>
      <c r="GF143" s="445"/>
      <c r="GG143" s="445"/>
      <c r="GH143" s="445"/>
      <c r="GI143" s="445"/>
      <c r="GJ143" s="448"/>
      <c r="GK143" s="448"/>
      <c r="GL143" s="448"/>
      <c r="GM143" s="448"/>
      <c r="GN143" s="449"/>
    </row>
    <row r="144" spans="87:196" x14ac:dyDescent="0.25">
      <c r="CI144">
        <v>130</v>
      </c>
      <c r="CJ144">
        <v>380</v>
      </c>
      <c r="CK144" s="450" t="str">
        <f>IFERROR(VLOOKUP($CI144,Skills!$H$2:$N$620,7,FALSE),"")</f>
        <v/>
      </c>
      <c r="CL144" s="451"/>
      <c r="CM144" s="451"/>
      <c r="CN144" s="451"/>
      <c r="CO144" s="451"/>
      <c r="CP144" s="451"/>
      <c r="CQ144" s="451"/>
      <c r="CR144" s="451"/>
      <c r="CS144" s="451"/>
      <c r="CT144" s="451"/>
      <c r="CU144" s="451"/>
      <c r="CV144" s="451"/>
      <c r="CW144" s="451"/>
      <c r="CX144" s="451"/>
      <c r="CY144" s="451"/>
      <c r="CZ144" s="451"/>
      <c r="DA144" s="451"/>
      <c r="DB144" s="451"/>
      <c r="DC144" s="451"/>
      <c r="DD144" s="451"/>
      <c r="DE144" s="451"/>
      <c r="DF144" s="451"/>
      <c r="DG144" s="451"/>
      <c r="DH144" s="451"/>
      <c r="DI144" s="451"/>
      <c r="DJ144" s="451"/>
      <c r="DK144" s="451"/>
      <c r="DL144" s="451"/>
      <c r="DM144" s="451"/>
      <c r="DN144" s="451"/>
      <c r="DO144" s="451"/>
      <c r="DP144" s="451"/>
      <c r="DQ144" s="451"/>
      <c r="DR144" s="451"/>
      <c r="DS144" s="451"/>
      <c r="DT144" s="451"/>
      <c r="DU144" s="451"/>
      <c r="DV144" s="451"/>
      <c r="DW144" s="451"/>
      <c r="DX144" s="451"/>
      <c r="DY144" s="451"/>
      <c r="DZ144" s="451"/>
      <c r="EA144" s="451"/>
      <c r="EB144" s="451"/>
      <c r="EC144" s="417" t="str">
        <f>IFERROR(VLOOKUP($CI144,Skills!$H$2:$K$620,4,FALSE),"")</f>
        <v/>
      </c>
      <c r="ED144" s="417"/>
      <c r="EE144" s="417"/>
      <c r="EF144" s="417"/>
      <c r="EG144" s="417"/>
      <c r="EH144" s="452"/>
      <c r="EI144" s="452"/>
      <c r="EJ144" s="452"/>
      <c r="EK144" s="452"/>
      <c r="EL144" s="453"/>
      <c r="EM144" s="451" t="str">
        <f>IFERROR(VLOOKUP($CJ144,Skills!$H$2:$N$620,7,FALSE),"")</f>
        <v/>
      </c>
      <c r="EN144" s="451"/>
      <c r="EO144" s="451"/>
      <c r="EP144" s="451"/>
      <c r="EQ144" s="451"/>
      <c r="ER144" s="451"/>
      <c r="ES144" s="451"/>
      <c r="ET144" s="451"/>
      <c r="EU144" s="451"/>
      <c r="EV144" s="451"/>
      <c r="EW144" s="451"/>
      <c r="EX144" s="451"/>
      <c r="EY144" s="451"/>
      <c r="EZ144" s="451"/>
      <c r="FA144" s="451"/>
      <c r="FB144" s="451"/>
      <c r="FC144" s="451"/>
      <c r="FD144" s="451"/>
      <c r="FE144" s="451"/>
      <c r="FF144" s="451"/>
      <c r="FG144" s="451"/>
      <c r="FH144" s="451"/>
      <c r="FI144" s="451"/>
      <c r="FJ144" s="451"/>
      <c r="FK144" s="451"/>
      <c r="FL144" s="451"/>
      <c r="FM144" s="451"/>
      <c r="FN144" s="451"/>
      <c r="FO144" s="451"/>
      <c r="FP144" s="451"/>
      <c r="FQ144" s="451"/>
      <c r="FR144" s="451"/>
      <c r="FS144" s="451"/>
      <c r="FT144" s="451"/>
      <c r="FU144" s="451"/>
      <c r="FV144" s="451"/>
      <c r="FW144" s="451"/>
      <c r="FX144" s="451"/>
      <c r="FY144" s="451"/>
      <c r="FZ144" s="451"/>
      <c r="GA144" s="451"/>
      <c r="GB144" s="451"/>
      <c r="GC144" s="451"/>
      <c r="GD144" s="451"/>
      <c r="GE144" s="417" t="str">
        <f>IFERROR(VLOOKUP($CJ144,Skills!$H$2:$K$620,4,FALSE),"")</f>
        <v/>
      </c>
      <c r="GF144" s="417"/>
      <c r="GG144" s="417"/>
      <c r="GH144" s="417"/>
      <c r="GI144" s="417"/>
      <c r="GJ144" s="454"/>
      <c r="GK144" s="454"/>
      <c r="GL144" s="454"/>
      <c r="GM144" s="454"/>
      <c r="GN144" s="455"/>
    </row>
    <row r="145" spans="87:196" x14ac:dyDescent="0.25">
      <c r="CI145">
        <v>131</v>
      </c>
      <c r="CJ145">
        <v>381</v>
      </c>
      <c r="CK145" s="365" t="str">
        <f>IFERROR(VLOOKUP($CI145,Skills!$H$2:$N$620,7,FALSE),"")</f>
        <v/>
      </c>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445" t="str">
        <f>IFERROR(VLOOKUP($CI145,Skills!$H$2:$K$620,4,FALSE),"")</f>
        <v/>
      </c>
      <c r="ED145" s="445"/>
      <c r="EE145" s="445"/>
      <c r="EF145" s="445"/>
      <c r="EG145" s="445"/>
      <c r="EH145" s="446"/>
      <c r="EI145" s="446"/>
      <c r="EJ145" s="446"/>
      <c r="EK145" s="446"/>
      <c r="EL145" s="447"/>
      <c r="EM145" s="366" t="str">
        <f>IFERROR(VLOOKUP($CJ145,Skills!$H$2:$N$620,7,FALSE),"")</f>
        <v/>
      </c>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445" t="str">
        <f>IFERROR(VLOOKUP($CJ145,Skills!$H$2:$K$620,4,FALSE),"")</f>
        <v/>
      </c>
      <c r="GF145" s="445"/>
      <c r="GG145" s="445"/>
      <c r="GH145" s="445"/>
      <c r="GI145" s="445"/>
      <c r="GJ145" s="448"/>
      <c r="GK145" s="448"/>
      <c r="GL145" s="448"/>
      <c r="GM145" s="448"/>
      <c r="GN145" s="449"/>
    </row>
    <row r="146" spans="87:196" x14ac:dyDescent="0.25">
      <c r="CI146">
        <v>132</v>
      </c>
      <c r="CJ146">
        <v>382</v>
      </c>
      <c r="CK146" s="450" t="str">
        <f>IFERROR(VLOOKUP($CI146,Skills!$H$2:$N$620,7,FALSE),"")</f>
        <v/>
      </c>
      <c r="CL146" s="451"/>
      <c r="CM146" s="451"/>
      <c r="CN146" s="451"/>
      <c r="CO146" s="451"/>
      <c r="CP146" s="451"/>
      <c r="CQ146" s="451"/>
      <c r="CR146" s="451"/>
      <c r="CS146" s="451"/>
      <c r="CT146" s="451"/>
      <c r="CU146" s="451"/>
      <c r="CV146" s="451"/>
      <c r="CW146" s="451"/>
      <c r="CX146" s="451"/>
      <c r="CY146" s="451"/>
      <c r="CZ146" s="451"/>
      <c r="DA146" s="451"/>
      <c r="DB146" s="451"/>
      <c r="DC146" s="451"/>
      <c r="DD146" s="451"/>
      <c r="DE146" s="451"/>
      <c r="DF146" s="451"/>
      <c r="DG146" s="451"/>
      <c r="DH146" s="451"/>
      <c r="DI146" s="451"/>
      <c r="DJ146" s="451"/>
      <c r="DK146" s="451"/>
      <c r="DL146" s="451"/>
      <c r="DM146" s="451"/>
      <c r="DN146" s="451"/>
      <c r="DO146" s="451"/>
      <c r="DP146" s="451"/>
      <c r="DQ146" s="451"/>
      <c r="DR146" s="451"/>
      <c r="DS146" s="451"/>
      <c r="DT146" s="451"/>
      <c r="DU146" s="451"/>
      <c r="DV146" s="451"/>
      <c r="DW146" s="451"/>
      <c r="DX146" s="451"/>
      <c r="DY146" s="451"/>
      <c r="DZ146" s="451"/>
      <c r="EA146" s="451"/>
      <c r="EB146" s="451"/>
      <c r="EC146" s="417" t="str">
        <f>IFERROR(VLOOKUP($CI146,Skills!$H$2:$K$620,4,FALSE),"")</f>
        <v/>
      </c>
      <c r="ED146" s="417"/>
      <c r="EE146" s="417"/>
      <c r="EF146" s="417"/>
      <c r="EG146" s="417"/>
      <c r="EH146" s="452"/>
      <c r="EI146" s="452"/>
      <c r="EJ146" s="452"/>
      <c r="EK146" s="452"/>
      <c r="EL146" s="453"/>
      <c r="EM146" s="451" t="str">
        <f>IFERROR(VLOOKUP($CJ146,Skills!$H$2:$N$620,7,FALSE),"")</f>
        <v/>
      </c>
      <c r="EN146" s="451"/>
      <c r="EO146" s="451"/>
      <c r="EP146" s="451"/>
      <c r="EQ146" s="451"/>
      <c r="ER146" s="451"/>
      <c r="ES146" s="451"/>
      <c r="ET146" s="451"/>
      <c r="EU146" s="451"/>
      <c r="EV146" s="451"/>
      <c r="EW146" s="451"/>
      <c r="EX146" s="451"/>
      <c r="EY146" s="451"/>
      <c r="EZ146" s="451"/>
      <c r="FA146" s="451"/>
      <c r="FB146" s="451"/>
      <c r="FC146" s="451"/>
      <c r="FD146" s="451"/>
      <c r="FE146" s="451"/>
      <c r="FF146" s="451"/>
      <c r="FG146" s="451"/>
      <c r="FH146" s="451"/>
      <c r="FI146" s="451"/>
      <c r="FJ146" s="451"/>
      <c r="FK146" s="451"/>
      <c r="FL146" s="451"/>
      <c r="FM146" s="451"/>
      <c r="FN146" s="451"/>
      <c r="FO146" s="451"/>
      <c r="FP146" s="451"/>
      <c r="FQ146" s="451"/>
      <c r="FR146" s="451"/>
      <c r="FS146" s="451"/>
      <c r="FT146" s="451"/>
      <c r="FU146" s="451"/>
      <c r="FV146" s="451"/>
      <c r="FW146" s="451"/>
      <c r="FX146" s="451"/>
      <c r="FY146" s="451"/>
      <c r="FZ146" s="451"/>
      <c r="GA146" s="451"/>
      <c r="GB146" s="451"/>
      <c r="GC146" s="451"/>
      <c r="GD146" s="451"/>
      <c r="GE146" s="417" t="str">
        <f>IFERROR(VLOOKUP($CJ146,Skills!$H$2:$K$620,4,FALSE),"")</f>
        <v/>
      </c>
      <c r="GF146" s="417"/>
      <c r="GG146" s="417"/>
      <c r="GH146" s="417"/>
      <c r="GI146" s="417"/>
      <c r="GJ146" s="454"/>
      <c r="GK146" s="454"/>
      <c r="GL146" s="454"/>
      <c r="GM146" s="454"/>
      <c r="GN146" s="455"/>
    </row>
    <row r="147" spans="87:196" x14ac:dyDescent="0.25">
      <c r="CI147">
        <v>133</v>
      </c>
      <c r="CJ147">
        <v>383</v>
      </c>
      <c r="CK147" s="365" t="str">
        <f>IFERROR(VLOOKUP($CI147,Skills!$H$2:$N$620,7,FALSE),"")</f>
        <v/>
      </c>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445" t="str">
        <f>IFERROR(VLOOKUP($CI147,Skills!$H$2:$K$620,4,FALSE),"")</f>
        <v/>
      </c>
      <c r="ED147" s="445"/>
      <c r="EE147" s="445"/>
      <c r="EF147" s="445"/>
      <c r="EG147" s="445"/>
      <c r="EH147" s="446"/>
      <c r="EI147" s="446"/>
      <c r="EJ147" s="446"/>
      <c r="EK147" s="446"/>
      <c r="EL147" s="447"/>
      <c r="EM147" s="366" t="str">
        <f>IFERROR(VLOOKUP($CJ147,Skills!$H$2:$N$620,7,FALSE),"")</f>
        <v/>
      </c>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445" t="str">
        <f>IFERROR(VLOOKUP($CJ147,Skills!$H$2:$K$620,4,FALSE),"")</f>
        <v/>
      </c>
      <c r="GF147" s="445"/>
      <c r="GG147" s="445"/>
      <c r="GH147" s="445"/>
      <c r="GI147" s="445"/>
      <c r="GJ147" s="448"/>
      <c r="GK147" s="448"/>
      <c r="GL147" s="448"/>
      <c r="GM147" s="448"/>
      <c r="GN147" s="449"/>
    </row>
    <row r="148" spans="87:196" x14ac:dyDescent="0.25">
      <c r="CI148">
        <v>134</v>
      </c>
      <c r="CJ148">
        <v>384</v>
      </c>
      <c r="CK148" s="450" t="str">
        <f>IFERROR(VLOOKUP($CI148,Skills!$H$2:$N$620,7,FALSE),"")</f>
        <v/>
      </c>
      <c r="CL148" s="451"/>
      <c r="CM148" s="451"/>
      <c r="CN148" s="451"/>
      <c r="CO148" s="451"/>
      <c r="CP148" s="451"/>
      <c r="CQ148" s="451"/>
      <c r="CR148" s="451"/>
      <c r="CS148" s="451"/>
      <c r="CT148" s="451"/>
      <c r="CU148" s="451"/>
      <c r="CV148" s="451"/>
      <c r="CW148" s="451"/>
      <c r="CX148" s="451"/>
      <c r="CY148" s="451"/>
      <c r="CZ148" s="451"/>
      <c r="DA148" s="451"/>
      <c r="DB148" s="451"/>
      <c r="DC148" s="451"/>
      <c r="DD148" s="451"/>
      <c r="DE148" s="451"/>
      <c r="DF148" s="451"/>
      <c r="DG148" s="451"/>
      <c r="DH148" s="451"/>
      <c r="DI148" s="451"/>
      <c r="DJ148" s="451"/>
      <c r="DK148" s="451"/>
      <c r="DL148" s="451"/>
      <c r="DM148" s="451"/>
      <c r="DN148" s="451"/>
      <c r="DO148" s="451"/>
      <c r="DP148" s="451"/>
      <c r="DQ148" s="451"/>
      <c r="DR148" s="451"/>
      <c r="DS148" s="451"/>
      <c r="DT148" s="451"/>
      <c r="DU148" s="451"/>
      <c r="DV148" s="451"/>
      <c r="DW148" s="451"/>
      <c r="DX148" s="451"/>
      <c r="DY148" s="451"/>
      <c r="DZ148" s="451"/>
      <c r="EA148" s="451"/>
      <c r="EB148" s="451"/>
      <c r="EC148" s="417" t="str">
        <f>IFERROR(VLOOKUP($CI148,Skills!$H$2:$K$620,4,FALSE),"")</f>
        <v/>
      </c>
      <c r="ED148" s="417"/>
      <c r="EE148" s="417"/>
      <c r="EF148" s="417"/>
      <c r="EG148" s="417"/>
      <c r="EH148" s="452"/>
      <c r="EI148" s="452"/>
      <c r="EJ148" s="452"/>
      <c r="EK148" s="452"/>
      <c r="EL148" s="453"/>
      <c r="EM148" s="451" t="str">
        <f>IFERROR(VLOOKUP($CJ148,Skills!$H$2:$N$620,7,FALSE),"")</f>
        <v/>
      </c>
      <c r="EN148" s="451"/>
      <c r="EO148" s="451"/>
      <c r="EP148" s="451"/>
      <c r="EQ148" s="451"/>
      <c r="ER148" s="451"/>
      <c r="ES148" s="451"/>
      <c r="ET148" s="451"/>
      <c r="EU148" s="451"/>
      <c r="EV148" s="451"/>
      <c r="EW148" s="451"/>
      <c r="EX148" s="451"/>
      <c r="EY148" s="451"/>
      <c r="EZ148" s="451"/>
      <c r="FA148" s="451"/>
      <c r="FB148" s="451"/>
      <c r="FC148" s="451"/>
      <c r="FD148" s="451"/>
      <c r="FE148" s="451"/>
      <c r="FF148" s="451"/>
      <c r="FG148" s="451"/>
      <c r="FH148" s="451"/>
      <c r="FI148" s="451"/>
      <c r="FJ148" s="451"/>
      <c r="FK148" s="451"/>
      <c r="FL148" s="451"/>
      <c r="FM148" s="451"/>
      <c r="FN148" s="451"/>
      <c r="FO148" s="451"/>
      <c r="FP148" s="451"/>
      <c r="FQ148" s="451"/>
      <c r="FR148" s="451"/>
      <c r="FS148" s="451"/>
      <c r="FT148" s="451"/>
      <c r="FU148" s="451"/>
      <c r="FV148" s="451"/>
      <c r="FW148" s="451"/>
      <c r="FX148" s="451"/>
      <c r="FY148" s="451"/>
      <c r="FZ148" s="451"/>
      <c r="GA148" s="451"/>
      <c r="GB148" s="451"/>
      <c r="GC148" s="451"/>
      <c r="GD148" s="451"/>
      <c r="GE148" s="417" t="str">
        <f>IFERROR(VLOOKUP($CJ148,Skills!$H$2:$K$620,4,FALSE),"")</f>
        <v/>
      </c>
      <c r="GF148" s="417"/>
      <c r="GG148" s="417"/>
      <c r="GH148" s="417"/>
      <c r="GI148" s="417"/>
      <c r="GJ148" s="454"/>
      <c r="GK148" s="454"/>
      <c r="GL148" s="454"/>
      <c r="GM148" s="454"/>
      <c r="GN148" s="455"/>
    </row>
    <row r="149" spans="87:196" x14ac:dyDescent="0.25">
      <c r="CI149">
        <v>135</v>
      </c>
      <c r="CJ149">
        <v>385</v>
      </c>
      <c r="CK149" s="365" t="str">
        <f>IFERROR(VLOOKUP($CI149,Skills!$H$2:$N$620,7,FALSE),"")</f>
        <v/>
      </c>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445" t="str">
        <f>IFERROR(VLOOKUP($CI149,Skills!$H$2:$K$620,4,FALSE),"")</f>
        <v/>
      </c>
      <c r="ED149" s="445"/>
      <c r="EE149" s="445"/>
      <c r="EF149" s="445"/>
      <c r="EG149" s="445"/>
      <c r="EH149" s="446"/>
      <c r="EI149" s="446"/>
      <c r="EJ149" s="446"/>
      <c r="EK149" s="446"/>
      <c r="EL149" s="447"/>
      <c r="EM149" s="366" t="str">
        <f>IFERROR(VLOOKUP($CJ149,Skills!$H$2:$N$620,7,FALSE),"")</f>
        <v/>
      </c>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445" t="str">
        <f>IFERROR(VLOOKUP($CJ149,Skills!$H$2:$K$620,4,FALSE),"")</f>
        <v/>
      </c>
      <c r="GF149" s="445"/>
      <c r="GG149" s="445"/>
      <c r="GH149" s="445"/>
      <c r="GI149" s="445"/>
      <c r="GJ149" s="448"/>
      <c r="GK149" s="448"/>
      <c r="GL149" s="448"/>
      <c r="GM149" s="448"/>
      <c r="GN149" s="449"/>
    </row>
    <row r="150" spans="87:196" x14ac:dyDescent="0.25">
      <c r="CI150">
        <v>136</v>
      </c>
      <c r="CJ150">
        <v>386</v>
      </c>
      <c r="CK150" s="450" t="str">
        <f>IFERROR(VLOOKUP($CI150,Skills!$H$2:$N$620,7,FALSE),"")</f>
        <v/>
      </c>
      <c r="CL150" s="451"/>
      <c r="CM150" s="451"/>
      <c r="CN150" s="451"/>
      <c r="CO150" s="451"/>
      <c r="CP150" s="451"/>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17" t="str">
        <f>IFERROR(VLOOKUP($CI150,Skills!$H$2:$K$620,4,FALSE),"")</f>
        <v/>
      </c>
      <c r="ED150" s="417"/>
      <c r="EE150" s="417"/>
      <c r="EF150" s="417"/>
      <c r="EG150" s="417"/>
      <c r="EH150" s="452"/>
      <c r="EI150" s="452"/>
      <c r="EJ150" s="452"/>
      <c r="EK150" s="452"/>
      <c r="EL150" s="453"/>
      <c r="EM150" s="451" t="str">
        <f>IFERROR(VLOOKUP($CJ150,Skills!$H$2:$N$620,7,FALSE),"")</f>
        <v/>
      </c>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17" t="str">
        <f>IFERROR(VLOOKUP($CJ150,Skills!$H$2:$K$620,4,FALSE),"")</f>
        <v/>
      </c>
      <c r="GF150" s="417"/>
      <c r="GG150" s="417"/>
      <c r="GH150" s="417"/>
      <c r="GI150" s="417"/>
      <c r="GJ150" s="454"/>
      <c r="GK150" s="454"/>
      <c r="GL150" s="454"/>
      <c r="GM150" s="454"/>
      <c r="GN150" s="455"/>
    </row>
    <row r="151" spans="87:196" x14ac:dyDescent="0.25">
      <c r="CI151">
        <v>137</v>
      </c>
      <c r="CJ151">
        <v>387</v>
      </c>
      <c r="CK151" s="365" t="str">
        <f>IFERROR(VLOOKUP($CI151,Skills!$H$2:$N$620,7,FALSE),"")</f>
        <v/>
      </c>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445" t="str">
        <f>IFERROR(VLOOKUP($CI151,Skills!$H$2:$K$620,4,FALSE),"")</f>
        <v/>
      </c>
      <c r="ED151" s="445"/>
      <c r="EE151" s="445"/>
      <c r="EF151" s="445"/>
      <c r="EG151" s="445"/>
      <c r="EH151" s="446"/>
      <c r="EI151" s="446"/>
      <c r="EJ151" s="446"/>
      <c r="EK151" s="446"/>
      <c r="EL151" s="447"/>
      <c r="EM151" s="366" t="str">
        <f>IFERROR(VLOOKUP($CJ151,Skills!$H$2:$N$620,7,FALSE),"")</f>
        <v/>
      </c>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445" t="str">
        <f>IFERROR(VLOOKUP($CJ151,Skills!$H$2:$K$620,4,FALSE),"")</f>
        <v/>
      </c>
      <c r="GF151" s="445"/>
      <c r="GG151" s="445"/>
      <c r="GH151" s="445"/>
      <c r="GI151" s="445"/>
      <c r="GJ151" s="448"/>
      <c r="GK151" s="448"/>
      <c r="GL151" s="448"/>
      <c r="GM151" s="448"/>
      <c r="GN151" s="449"/>
    </row>
    <row r="152" spans="87:196" x14ac:dyDescent="0.25">
      <c r="CI152">
        <v>138</v>
      </c>
      <c r="CJ152">
        <v>388</v>
      </c>
      <c r="CK152" s="450" t="str">
        <f>IFERROR(VLOOKUP($CI152,Skills!$H$2:$N$620,7,FALSE),"")</f>
        <v/>
      </c>
      <c r="CL152" s="451"/>
      <c r="CM152" s="451"/>
      <c r="CN152" s="451"/>
      <c r="CO152" s="451"/>
      <c r="CP152" s="451"/>
      <c r="CQ152" s="451"/>
      <c r="CR152" s="451"/>
      <c r="CS152" s="451"/>
      <c r="CT152" s="451"/>
      <c r="CU152" s="451"/>
      <c r="CV152" s="451"/>
      <c r="CW152" s="451"/>
      <c r="CX152" s="451"/>
      <c r="CY152" s="451"/>
      <c r="CZ152" s="451"/>
      <c r="DA152" s="451"/>
      <c r="DB152" s="451"/>
      <c r="DC152" s="451"/>
      <c r="DD152" s="451"/>
      <c r="DE152" s="451"/>
      <c r="DF152" s="451"/>
      <c r="DG152" s="451"/>
      <c r="DH152" s="451"/>
      <c r="DI152" s="451"/>
      <c r="DJ152" s="451"/>
      <c r="DK152" s="451"/>
      <c r="DL152" s="451"/>
      <c r="DM152" s="451"/>
      <c r="DN152" s="451"/>
      <c r="DO152" s="451"/>
      <c r="DP152" s="451"/>
      <c r="DQ152" s="451"/>
      <c r="DR152" s="451"/>
      <c r="DS152" s="451"/>
      <c r="DT152" s="451"/>
      <c r="DU152" s="451"/>
      <c r="DV152" s="451"/>
      <c r="DW152" s="451"/>
      <c r="DX152" s="451"/>
      <c r="DY152" s="451"/>
      <c r="DZ152" s="451"/>
      <c r="EA152" s="451"/>
      <c r="EB152" s="451"/>
      <c r="EC152" s="417" t="str">
        <f>IFERROR(VLOOKUP($CI152,Skills!$H$2:$K$620,4,FALSE),"")</f>
        <v/>
      </c>
      <c r="ED152" s="417"/>
      <c r="EE152" s="417"/>
      <c r="EF152" s="417"/>
      <c r="EG152" s="417"/>
      <c r="EH152" s="452"/>
      <c r="EI152" s="452"/>
      <c r="EJ152" s="452"/>
      <c r="EK152" s="452"/>
      <c r="EL152" s="453"/>
      <c r="EM152" s="451" t="str">
        <f>IFERROR(VLOOKUP($CJ152,Skills!$H$2:$N$620,7,FALSE),"")</f>
        <v/>
      </c>
      <c r="EN152" s="451"/>
      <c r="EO152" s="451"/>
      <c r="EP152" s="451"/>
      <c r="EQ152" s="451"/>
      <c r="ER152" s="451"/>
      <c r="ES152" s="451"/>
      <c r="ET152" s="451"/>
      <c r="EU152" s="451"/>
      <c r="EV152" s="451"/>
      <c r="EW152" s="451"/>
      <c r="EX152" s="451"/>
      <c r="EY152" s="451"/>
      <c r="EZ152" s="451"/>
      <c r="FA152" s="451"/>
      <c r="FB152" s="451"/>
      <c r="FC152" s="451"/>
      <c r="FD152" s="451"/>
      <c r="FE152" s="451"/>
      <c r="FF152" s="451"/>
      <c r="FG152" s="451"/>
      <c r="FH152" s="451"/>
      <c r="FI152" s="451"/>
      <c r="FJ152" s="451"/>
      <c r="FK152" s="451"/>
      <c r="FL152" s="451"/>
      <c r="FM152" s="451"/>
      <c r="FN152" s="451"/>
      <c r="FO152" s="451"/>
      <c r="FP152" s="451"/>
      <c r="FQ152" s="451"/>
      <c r="FR152" s="451"/>
      <c r="FS152" s="451"/>
      <c r="FT152" s="451"/>
      <c r="FU152" s="451"/>
      <c r="FV152" s="451"/>
      <c r="FW152" s="451"/>
      <c r="FX152" s="451"/>
      <c r="FY152" s="451"/>
      <c r="FZ152" s="451"/>
      <c r="GA152" s="451"/>
      <c r="GB152" s="451"/>
      <c r="GC152" s="451"/>
      <c r="GD152" s="451"/>
      <c r="GE152" s="417" t="str">
        <f>IFERROR(VLOOKUP($CJ152,Skills!$H$2:$K$620,4,FALSE),"")</f>
        <v/>
      </c>
      <c r="GF152" s="417"/>
      <c r="GG152" s="417"/>
      <c r="GH152" s="417"/>
      <c r="GI152" s="417"/>
      <c r="GJ152" s="454"/>
      <c r="GK152" s="454"/>
      <c r="GL152" s="454"/>
      <c r="GM152" s="454"/>
      <c r="GN152" s="455"/>
    </row>
    <row r="153" spans="87:196" x14ac:dyDescent="0.25">
      <c r="CI153">
        <v>139</v>
      </c>
      <c r="CJ153">
        <v>389</v>
      </c>
      <c r="CK153" s="365" t="str">
        <f>IFERROR(VLOOKUP($CI153,Skills!$H$2:$N$620,7,FALSE),"")</f>
        <v/>
      </c>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445" t="str">
        <f>IFERROR(VLOOKUP($CI153,Skills!$H$2:$K$620,4,FALSE),"")</f>
        <v/>
      </c>
      <c r="ED153" s="445"/>
      <c r="EE153" s="445"/>
      <c r="EF153" s="445"/>
      <c r="EG153" s="445"/>
      <c r="EH153" s="446"/>
      <c r="EI153" s="446"/>
      <c r="EJ153" s="446"/>
      <c r="EK153" s="446"/>
      <c r="EL153" s="447"/>
      <c r="EM153" s="366" t="str">
        <f>IFERROR(VLOOKUP($CJ153,Skills!$H$2:$N$620,7,FALSE),"")</f>
        <v/>
      </c>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445" t="str">
        <f>IFERROR(VLOOKUP($CJ153,Skills!$H$2:$K$620,4,FALSE),"")</f>
        <v/>
      </c>
      <c r="GF153" s="445"/>
      <c r="GG153" s="445"/>
      <c r="GH153" s="445"/>
      <c r="GI153" s="445"/>
      <c r="GJ153" s="448"/>
      <c r="GK153" s="448"/>
      <c r="GL153" s="448"/>
      <c r="GM153" s="448"/>
      <c r="GN153" s="449"/>
    </row>
    <row r="154" spans="87:196" x14ac:dyDescent="0.25">
      <c r="CI154">
        <v>140</v>
      </c>
      <c r="CJ154">
        <v>390</v>
      </c>
      <c r="CK154" s="450" t="str">
        <f>IFERROR(VLOOKUP($CI154,Skills!$H$2:$N$620,7,FALSE),"")</f>
        <v/>
      </c>
      <c r="CL154" s="451"/>
      <c r="CM154" s="451"/>
      <c r="CN154" s="451"/>
      <c r="CO154" s="451"/>
      <c r="CP154" s="451"/>
      <c r="CQ154" s="451"/>
      <c r="CR154" s="451"/>
      <c r="CS154" s="451"/>
      <c r="CT154" s="451"/>
      <c r="CU154" s="451"/>
      <c r="CV154" s="451"/>
      <c r="CW154" s="451"/>
      <c r="CX154" s="451"/>
      <c r="CY154" s="451"/>
      <c r="CZ154" s="451"/>
      <c r="DA154" s="451"/>
      <c r="DB154" s="451"/>
      <c r="DC154" s="451"/>
      <c r="DD154" s="451"/>
      <c r="DE154" s="451"/>
      <c r="DF154" s="451"/>
      <c r="DG154" s="451"/>
      <c r="DH154" s="451"/>
      <c r="DI154" s="451"/>
      <c r="DJ154" s="451"/>
      <c r="DK154" s="451"/>
      <c r="DL154" s="451"/>
      <c r="DM154" s="451"/>
      <c r="DN154" s="451"/>
      <c r="DO154" s="451"/>
      <c r="DP154" s="451"/>
      <c r="DQ154" s="451"/>
      <c r="DR154" s="451"/>
      <c r="DS154" s="451"/>
      <c r="DT154" s="451"/>
      <c r="DU154" s="451"/>
      <c r="DV154" s="451"/>
      <c r="DW154" s="451"/>
      <c r="DX154" s="451"/>
      <c r="DY154" s="451"/>
      <c r="DZ154" s="451"/>
      <c r="EA154" s="451"/>
      <c r="EB154" s="451"/>
      <c r="EC154" s="417" t="str">
        <f>IFERROR(VLOOKUP($CI154,Skills!$H$2:$K$620,4,FALSE),"")</f>
        <v/>
      </c>
      <c r="ED154" s="417"/>
      <c r="EE154" s="417"/>
      <c r="EF154" s="417"/>
      <c r="EG154" s="417"/>
      <c r="EH154" s="452"/>
      <c r="EI154" s="452"/>
      <c r="EJ154" s="452"/>
      <c r="EK154" s="452"/>
      <c r="EL154" s="453"/>
      <c r="EM154" s="451" t="str">
        <f>IFERROR(VLOOKUP($CJ154,Skills!$H$2:$N$620,7,FALSE),"")</f>
        <v/>
      </c>
      <c r="EN154" s="451"/>
      <c r="EO154" s="451"/>
      <c r="EP154" s="451"/>
      <c r="EQ154" s="451"/>
      <c r="ER154" s="451"/>
      <c r="ES154" s="451"/>
      <c r="ET154" s="451"/>
      <c r="EU154" s="451"/>
      <c r="EV154" s="451"/>
      <c r="EW154" s="451"/>
      <c r="EX154" s="451"/>
      <c r="EY154" s="451"/>
      <c r="EZ154" s="451"/>
      <c r="FA154" s="451"/>
      <c r="FB154" s="451"/>
      <c r="FC154" s="451"/>
      <c r="FD154" s="451"/>
      <c r="FE154" s="451"/>
      <c r="FF154" s="451"/>
      <c r="FG154" s="451"/>
      <c r="FH154" s="451"/>
      <c r="FI154" s="451"/>
      <c r="FJ154" s="451"/>
      <c r="FK154" s="451"/>
      <c r="FL154" s="451"/>
      <c r="FM154" s="451"/>
      <c r="FN154" s="451"/>
      <c r="FO154" s="451"/>
      <c r="FP154" s="451"/>
      <c r="FQ154" s="451"/>
      <c r="FR154" s="451"/>
      <c r="FS154" s="451"/>
      <c r="FT154" s="451"/>
      <c r="FU154" s="451"/>
      <c r="FV154" s="451"/>
      <c r="FW154" s="451"/>
      <c r="FX154" s="451"/>
      <c r="FY154" s="451"/>
      <c r="FZ154" s="451"/>
      <c r="GA154" s="451"/>
      <c r="GB154" s="451"/>
      <c r="GC154" s="451"/>
      <c r="GD154" s="451"/>
      <c r="GE154" s="417" t="str">
        <f>IFERROR(VLOOKUP($CJ154,Skills!$H$2:$K$620,4,FALSE),"")</f>
        <v/>
      </c>
      <c r="GF154" s="417"/>
      <c r="GG154" s="417"/>
      <c r="GH154" s="417"/>
      <c r="GI154" s="417"/>
      <c r="GJ154" s="454"/>
      <c r="GK154" s="454"/>
      <c r="GL154" s="454"/>
      <c r="GM154" s="454"/>
      <c r="GN154" s="455"/>
    </row>
    <row r="155" spans="87:196" x14ac:dyDescent="0.25">
      <c r="CI155">
        <v>141</v>
      </c>
      <c r="CJ155">
        <v>391</v>
      </c>
      <c r="CK155" s="365" t="str">
        <f>IFERROR(VLOOKUP($CI155,Skills!$H$2:$N$620,7,FALSE),"")</f>
        <v/>
      </c>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445" t="str">
        <f>IFERROR(VLOOKUP($CI155,Skills!$H$2:$K$620,4,FALSE),"")</f>
        <v/>
      </c>
      <c r="ED155" s="445"/>
      <c r="EE155" s="445"/>
      <c r="EF155" s="445"/>
      <c r="EG155" s="445"/>
      <c r="EH155" s="446"/>
      <c r="EI155" s="446"/>
      <c r="EJ155" s="446"/>
      <c r="EK155" s="446"/>
      <c r="EL155" s="447"/>
      <c r="EM155" s="366" t="str">
        <f>IFERROR(VLOOKUP($CJ155,Skills!$H$2:$N$620,7,FALSE),"")</f>
        <v/>
      </c>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445" t="str">
        <f>IFERROR(VLOOKUP($CJ155,Skills!$H$2:$K$620,4,FALSE),"")</f>
        <v/>
      </c>
      <c r="GF155" s="445"/>
      <c r="GG155" s="445"/>
      <c r="GH155" s="445"/>
      <c r="GI155" s="445"/>
      <c r="GJ155" s="448"/>
      <c r="GK155" s="448"/>
      <c r="GL155" s="448"/>
      <c r="GM155" s="448"/>
      <c r="GN155" s="449"/>
    </row>
    <row r="156" spans="87:196" x14ac:dyDescent="0.25">
      <c r="CI156">
        <v>142</v>
      </c>
      <c r="CJ156">
        <v>392</v>
      </c>
      <c r="CK156" s="450" t="str">
        <f>IFERROR(VLOOKUP($CI156,Skills!$H$2:$N$620,7,FALSE),"")</f>
        <v/>
      </c>
      <c r="CL156" s="451"/>
      <c r="CM156" s="451"/>
      <c r="CN156" s="451"/>
      <c r="CO156" s="451"/>
      <c r="CP156" s="451"/>
      <c r="CQ156" s="451"/>
      <c r="CR156" s="451"/>
      <c r="CS156" s="451"/>
      <c r="CT156" s="451"/>
      <c r="CU156" s="451"/>
      <c r="CV156" s="451"/>
      <c r="CW156" s="451"/>
      <c r="CX156" s="451"/>
      <c r="CY156" s="451"/>
      <c r="CZ156" s="451"/>
      <c r="DA156" s="451"/>
      <c r="DB156" s="451"/>
      <c r="DC156" s="451"/>
      <c r="DD156" s="451"/>
      <c r="DE156" s="451"/>
      <c r="DF156" s="451"/>
      <c r="DG156" s="451"/>
      <c r="DH156" s="451"/>
      <c r="DI156" s="451"/>
      <c r="DJ156" s="451"/>
      <c r="DK156" s="451"/>
      <c r="DL156" s="451"/>
      <c r="DM156" s="451"/>
      <c r="DN156" s="451"/>
      <c r="DO156" s="451"/>
      <c r="DP156" s="451"/>
      <c r="DQ156" s="451"/>
      <c r="DR156" s="451"/>
      <c r="DS156" s="451"/>
      <c r="DT156" s="451"/>
      <c r="DU156" s="451"/>
      <c r="DV156" s="451"/>
      <c r="DW156" s="451"/>
      <c r="DX156" s="451"/>
      <c r="DY156" s="451"/>
      <c r="DZ156" s="451"/>
      <c r="EA156" s="451"/>
      <c r="EB156" s="451"/>
      <c r="EC156" s="417" t="str">
        <f>IFERROR(VLOOKUP($CI156,Skills!$H$2:$K$620,4,FALSE),"")</f>
        <v/>
      </c>
      <c r="ED156" s="417"/>
      <c r="EE156" s="417"/>
      <c r="EF156" s="417"/>
      <c r="EG156" s="417"/>
      <c r="EH156" s="452"/>
      <c r="EI156" s="452"/>
      <c r="EJ156" s="452"/>
      <c r="EK156" s="452"/>
      <c r="EL156" s="453"/>
      <c r="EM156" s="451" t="str">
        <f>IFERROR(VLOOKUP($CJ156,Skills!$H$2:$N$620,7,FALSE),"")</f>
        <v/>
      </c>
      <c r="EN156" s="451"/>
      <c r="EO156" s="451"/>
      <c r="EP156" s="451"/>
      <c r="EQ156" s="451"/>
      <c r="ER156" s="451"/>
      <c r="ES156" s="451"/>
      <c r="ET156" s="451"/>
      <c r="EU156" s="451"/>
      <c r="EV156" s="451"/>
      <c r="EW156" s="451"/>
      <c r="EX156" s="451"/>
      <c r="EY156" s="451"/>
      <c r="EZ156" s="451"/>
      <c r="FA156" s="451"/>
      <c r="FB156" s="451"/>
      <c r="FC156" s="451"/>
      <c r="FD156" s="451"/>
      <c r="FE156" s="451"/>
      <c r="FF156" s="451"/>
      <c r="FG156" s="451"/>
      <c r="FH156" s="451"/>
      <c r="FI156" s="451"/>
      <c r="FJ156" s="451"/>
      <c r="FK156" s="451"/>
      <c r="FL156" s="451"/>
      <c r="FM156" s="451"/>
      <c r="FN156" s="451"/>
      <c r="FO156" s="451"/>
      <c r="FP156" s="451"/>
      <c r="FQ156" s="451"/>
      <c r="FR156" s="451"/>
      <c r="FS156" s="451"/>
      <c r="FT156" s="451"/>
      <c r="FU156" s="451"/>
      <c r="FV156" s="451"/>
      <c r="FW156" s="451"/>
      <c r="FX156" s="451"/>
      <c r="FY156" s="451"/>
      <c r="FZ156" s="451"/>
      <c r="GA156" s="451"/>
      <c r="GB156" s="451"/>
      <c r="GC156" s="451"/>
      <c r="GD156" s="451"/>
      <c r="GE156" s="417" t="str">
        <f>IFERROR(VLOOKUP($CJ156,Skills!$H$2:$K$620,4,FALSE),"")</f>
        <v/>
      </c>
      <c r="GF156" s="417"/>
      <c r="GG156" s="417"/>
      <c r="GH156" s="417"/>
      <c r="GI156" s="417"/>
      <c r="GJ156" s="454"/>
      <c r="GK156" s="454"/>
      <c r="GL156" s="454"/>
      <c r="GM156" s="454"/>
      <c r="GN156" s="455"/>
    </row>
    <row r="157" spans="87:196" x14ac:dyDescent="0.25">
      <c r="CI157">
        <v>143</v>
      </c>
      <c r="CJ157">
        <v>393</v>
      </c>
      <c r="CK157" s="365" t="str">
        <f>IFERROR(VLOOKUP($CI157,Skills!$H$2:$N$620,7,FALSE),"")</f>
        <v/>
      </c>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445" t="str">
        <f>IFERROR(VLOOKUP($CI157,Skills!$H$2:$K$620,4,FALSE),"")</f>
        <v/>
      </c>
      <c r="ED157" s="445"/>
      <c r="EE157" s="445"/>
      <c r="EF157" s="445"/>
      <c r="EG157" s="445"/>
      <c r="EH157" s="446"/>
      <c r="EI157" s="446"/>
      <c r="EJ157" s="446"/>
      <c r="EK157" s="446"/>
      <c r="EL157" s="447"/>
      <c r="EM157" s="366" t="str">
        <f>IFERROR(VLOOKUP($CJ157,Skills!$H$2:$N$620,7,FALSE),"")</f>
        <v/>
      </c>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445" t="str">
        <f>IFERROR(VLOOKUP($CJ157,Skills!$H$2:$K$620,4,FALSE),"")</f>
        <v/>
      </c>
      <c r="GF157" s="445"/>
      <c r="GG157" s="445"/>
      <c r="GH157" s="445"/>
      <c r="GI157" s="445"/>
      <c r="GJ157" s="448"/>
      <c r="GK157" s="448"/>
      <c r="GL157" s="448"/>
      <c r="GM157" s="448"/>
      <c r="GN157" s="449"/>
    </row>
    <row r="158" spans="87:196" x14ac:dyDescent="0.25">
      <c r="CI158">
        <v>144</v>
      </c>
      <c r="CJ158">
        <v>394</v>
      </c>
      <c r="CK158" s="450" t="str">
        <f>IFERROR(VLOOKUP($CI158,Skills!$H$2:$N$620,7,FALSE),"")</f>
        <v/>
      </c>
      <c r="CL158" s="451"/>
      <c r="CM158" s="451"/>
      <c r="CN158" s="451"/>
      <c r="CO158" s="451"/>
      <c r="CP158" s="451"/>
      <c r="CQ158" s="451"/>
      <c r="CR158" s="451"/>
      <c r="CS158" s="451"/>
      <c r="CT158" s="451"/>
      <c r="CU158" s="451"/>
      <c r="CV158" s="451"/>
      <c r="CW158" s="451"/>
      <c r="CX158" s="451"/>
      <c r="CY158" s="451"/>
      <c r="CZ158" s="451"/>
      <c r="DA158" s="451"/>
      <c r="DB158" s="451"/>
      <c r="DC158" s="451"/>
      <c r="DD158" s="451"/>
      <c r="DE158" s="451"/>
      <c r="DF158" s="451"/>
      <c r="DG158" s="451"/>
      <c r="DH158" s="451"/>
      <c r="DI158" s="451"/>
      <c r="DJ158" s="451"/>
      <c r="DK158" s="451"/>
      <c r="DL158" s="451"/>
      <c r="DM158" s="451"/>
      <c r="DN158" s="451"/>
      <c r="DO158" s="451"/>
      <c r="DP158" s="451"/>
      <c r="DQ158" s="451"/>
      <c r="DR158" s="451"/>
      <c r="DS158" s="451"/>
      <c r="DT158" s="451"/>
      <c r="DU158" s="451"/>
      <c r="DV158" s="451"/>
      <c r="DW158" s="451"/>
      <c r="DX158" s="451"/>
      <c r="DY158" s="451"/>
      <c r="DZ158" s="451"/>
      <c r="EA158" s="451"/>
      <c r="EB158" s="451"/>
      <c r="EC158" s="417" t="str">
        <f>IFERROR(VLOOKUP($CI158,Skills!$H$2:$K$620,4,FALSE),"")</f>
        <v/>
      </c>
      <c r="ED158" s="417"/>
      <c r="EE158" s="417"/>
      <c r="EF158" s="417"/>
      <c r="EG158" s="417"/>
      <c r="EH158" s="452"/>
      <c r="EI158" s="452"/>
      <c r="EJ158" s="452"/>
      <c r="EK158" s="452"/>
      <c r="EL158" s="453"/>
      <c r="EM158" s="451" t="str">
        <f>IFERROR(VLOOKUP($CJ158,Skills!$H$2:$N$620,7,FALSE),"")</f>
        <v/>
      </c>
      <c r="EN158" s="451"/>
      <c r="EO158" s="451"/>
      <c r="EP158" s="451"/>
      <c r="EQ158" s="451"/>
      <c r="ER158" s="451"/>
      <c r="ES158" s="451"/>
      <c r="ET158" s="451"/>
      <c r="EU158" s="451"/>
      <c r="EV158" s="451"/>
      <c r="EW158" s="451"/>
      <c r="EX158" s="451"/>
      <c r="EY158" s="451"/>
      <c r="EZ158" s="451"/>
      <c r="FA158" s="451"/>
      <c r="FB158" s="451"/>
      <c r="FC158" s="451"/>
      <c r="FD158" s="451"/>
      <c r="FE158" s="451"/>
      <c r="FF158" s="451"/>
      <c r="FG158" s="451"/>
      <c r="FH158" s="451"/>
      <c r="FI158" s="451"/>
      <c r="FJ158" s="451"/>
      <c r="FK158" s="451"/>
      <c r="FL158" s="451"/>
      <c r="FM158" s="451"/>
      <c r="FN158" s="451"/>
      <c r="FO158" s="451"/>
      <c r="FP158" s="451"/>
      <c r="FQ158" s="451"/>
      <c r="FR158" s="451"/>
      <c r="FS158" s="451"/>
      <c r="FT158" s="451"/>
      <c r="FU158" s="451"/>
      <c r="FV158" s="451"/>
      <c r="FW158" s="451"/>
      <c r="FX158" s="451"/>
      <c r="FY158" s="451"/>
      <c r="FZ158" s="451"/>
      <c r="GA158" s="451"/>
      <c r="GB158" s="451"/>
      <c r="GC158" s="451"/>
      <c r="GD158" s="451"/>
      <c r="GE158" s="417" t="str">
        <f>IFERROR(VLOOKUP($CJ158,Skills!$H$2:$K$620,4,FALSE),"")</f>
        <v/>
      </c>
      <c r="GF158" s="417"/>
      <c r="GG158" s="417"/>
      <c r="GH158" s="417"/>
      <c r="GI158" s="417"/>
      <c r="GJ158" s="454"/>
      <c r="GK158" s="454"/>
      <c r="GL158" s="454"/>
      <c r="GM158" s="454"/>
      <c r="GN158" s="455"/>
    </row>
    <row r="159" spans="87:196" x14ac:dyDescent="0.25">
      <c r="CI159">
        <v>145</v>
      </c>
      <c r="CJ159">
        <v>395</v>
      </c>
      <c r="CK159" s="365" t="str">
        <f>IFERROR(VLOOKUP($CI159,Skills!$H$2:$N$620,7,FALSE),"")</f>
        <v/>
      </c>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445" t="str">
        <f>IFERROR(VLOOKUP($CI159,Skills!$H$2:$K$620,4,FALSE),"")</f>
        <v/>
      </c>
      <c r="ED159" s="445"/>
      <c r="EE159" s="445"/>
      <c r="EF159" s="445"/>
      <c r="EG159" s="445"/>
      <c r="EH159" s="446"/>
      <c r="EI159" s="446"/>
      <c r="EJ159" s="446"/>
      <c r="EK159" s="446"/>
      <c r="EL159" s="447"/>
      <c r="EM159" s="366" t="str">
        <f>IFERROR(VLOOKUP($CJ159,Skills!$H$2:$N$620,7,FALSE),"")</f>
        <v/>
      </c>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445" t="str">
        <f>IFERROR(VLOOKUP($CJ159,Skills!$H$2:$K$620,4,FALSE),"")</f>
        <v/>
      </c>
      <c r="GF159" s="445"/>
      <c r="GG159" s="445"/>
      <c r="GH159" s="445"/>
      <c r="GI159" s="445"/>
      <c r="GJ159" s="448"/>
      <c r="GK159" s="448"/>
      <c r="GL159" s="448"/>
      <c r="GM159" s="448"/>
      <c r="GN159" s="449"/>
    </row>
    <row r="160" spans="87:196" x14ac:dyDescent="0.25">
      <c r="CI160">
        <v>146</v>
      </c>
      <c r="CJ160">
        <v>396</v>
      </c>
      <c r="CK160" s="450" t="str">
        <f>IFERROR(VLOOKUP($CI160,Skills!$H$2:$N$620,7,FALSE),"")</f>
        <v/>
      </c>
      <c r="CL160" s="451"/>
      <c r="CM160" s="451"/>
      <c r="CN160" s="451"/>
      <c r="CO160" s="451"/>
      <c r="CP160" s="451"/>
      <c r="CQ160" s="451"/>
      <c r="CR160" s="451"/>
      <c r="CS160" s="451"/>
      <c r="CT160" s="451"/>
      <c r="CU160" s="451"/>
      <c r="CV160" s="451"/>
      <c r="CW160" s="451"/>
      <c r="CX160" s="451"/>
      <c r="CY160" s="451"/>
      <c r="CZ160" s="451"/>
      <c r="DA160" s="451"/>
      <c r="DB160" s="451"/>
      <c r="DC160" s="451"/>
      <c r="DD160" s="451"/>
      <c r="DE160" s="451"/>
      <c r="DF160" s="451"/>
      <c r="DG160" s="451"/>
      <c r="DH160" s="451"/>
      <c r="DI160" s="451"/>
      <c r="DJ160" s="451"/>
      <c r="DK160" s="451"/>
      <c r="DL160" s="451"/>
      <c r="DM160" s="451"/>
      <c r="DN160" s="451"/>
      <c r="DO160" s="451"/>
      <c r="DP160" s="451"/>
      <c r="DQ160" s="451"/>
      <c r="DR160" s="451"/>
      <c r="DS160" s="451"/>
      <c r="DT160" s="451"/>
      <c r="DU160" s="451"/>
      <c r="DV160" s="451"/>
      <c r="DW160" s="451"/>
      <c r="DX160" s="451"/>
      <c r="DY160" s="451"/>
      <c r="DZ160" s="451"/>
      <c r="EA160" s="451"/>
      <c r="EB160" s="451"/>
      <c r="EC160" s="417" t="str">
        <f>IFERROR(VLOOKUP($CI160,Skills!$H$2:$K$620,4,FALSE),"")</f>
        <v/>
      </c>
      <c r="ED160" s="417"/>
      <c r="EE160" s="417"/>
      <c r="EF160" s="417"/>
      <c r="EG160" s="417"/>
      <c r="EH160" s="452"/>
      <c r="EI160" s="452"/>
      <c r="EJ160" s="452"/>
      <c r="EK160" s="452"/>
      <c r="EL160" s="453"/>
      <c r="EM160" s="451" t="str">
        <f>IFERROR(VLOOKUP($CJ160,Skills!$H$2:$N$620,7,FALSE),"")</f>
        <v/>
      </c>
      <c r="EN160" s="451"/>
      <c r="EO160" s="451"/>
      <c r="EP160" s="451"/>
      <c r="EQ160" s="451"/>
      <c r="ER160" s="451"/>
      <c r="ES160" s="451"/>
      <c r="ET160" s="451"/>
      <c r="EU160" s="451"/>
      <c r="EV160" s="451"/>
      <c r="EW160" s="451"/>
      <c r="EX160" s="451"/>
      <c r="EY160" s="451"/>
      <c r="EZ160" s="451"/>
      <c r="FA160" s="451"/>
      <c r="FB160" s="451"/>
      <c r="FC160" s="451"/>
      <c r="FD160" s="451"/>
      <c r="FE160" s="451"/>
      <c r="FF160" s="451"/>
      <c r="FG160" s="451"/>
      <c r="FH160" s="451"/>
      <c r="FI160" s="451"/>
      <c r="FJ160" s="451"/>
      <c r="FK160" s="451"/>
      <c r="FL160" s="451"/>
      <c r="FM160" s="451"/>
      <c r="FN160" s="451"/>
      <c r="FO160" s="451"/>
      <c r="FP160" s="451"/>
      <c r="FQ160" s="451"/>
      <c r="FR160" s="451"/>
      <c r="FS160" s="451"/>
      <c r="FT160" s="451"/>
      <c r="FU160" s="451"/>
      <c r="FV160" s="451"/>
      <c r="FW160" s="451"/>
      <c r="FX160" s="451"/>
      <c r="FY160" s="451"/>
      <c r="FZ160" s="451"/>
      <c r="GA160" s="451"/>
      <c r="GB160" s="451"/>
      <c r="GC160" s="451"/>
      <c r="GD160" s="451"/>
      <c r="GE160" s="417" t="str">
        <f>IFERROR(VLOOKUP($CJ160,Skills!$H$2:$K$620,4,FALSE),"")</f>
        <v/>
      </c>
      <c r="GF160" s="417"/>
      <c r="GG160" s="417"/>
      <c r="GH160" s="417"/>
      <c r="GI160" s="417"/>
      <c r="GJ160" s="454"/>
      <c r="GK160" s="454"/>
      <c r="GL160" s="454"/>
      <c r="GM160" s="454"/>
      <c r="GN160" s="455"/>
    </row>
    <row r="161" spans="87:196" x14ac:dyDescent="0.25">
      <c r="CI161">
        <v>147</v>
      </c>
      <c r="CJ161">
        <v>397</v>
      </c>
      <c r="CK161" s="365" t="str">
        <f>IFERROR(VLOOKUP($CI161,Skills!$H$2:$N$620,7,FALSE),"")</f>
        <v/>
      </c>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445" t="str">
        <f>IFERROR(VLOOKUP($CI161,Skills!$H$2:$K$620,4,FALSE),"")</f>
        <v/>
      </c>
      <c r="ED161" s="445"/>
      <c r="EE161" s="445"/>
      <c r="EF161" s="445"/>
      <c r="EG161" s="445"/>
      <c r="EH161" s="446"/>
      <c r="EI161" s="446"/>
      <c r="EJ161" s="446"/>
      <c r="EK161" s="446"/>
      <c r="EL161" s="447"/>
      <c r="EM161" s="366" t="str">
        <f>IFERROR(VLOOKUP($CJ161,Skills!$H$2:$N$620,7,FALSE),"")</f>
        <v/>
      </c>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445" t="str">
        <f>IFERROR(VLOOKUP($CJ161,Skills!$H$2:$K$620,4,FALSE),"")</f>
        <v/>
      </c>
      <c r="GF161" s="445"/>
      <c r="GG161" s="445"/>
      <c r="GH161" s="445"/>
      <c r="GI161" s="445"/>
      <c r="GJ161" s="448"/>
      <c r="GK161" s="448"/>
      <c r="GL161" s="448"/>
      <c r="GM161" s="448"/>
      <c r="GN161" s="449"/>
    </row>
    <row r="162" spans="87:196" x14ac:dyDescent="0.25">
      <c r="CI162">
        <v>148</v>
      </c>
      <c r="CJ162">
        <v>398</v>
      </c>
      <c r="CK162" s="450" t="str">
        <f>IFERROR(VLOOKUP($CI162,Skills!$H$2:$N$620,7,FALSE),"")</f>
        <v/>
      </c>
      <c r="CL162" s="451"/>
      <c r="CM162" s="451"/>
      <c r="CN162" s="451"/>
      <c r="CO162" s="451"/>
      <c r="CP162" s="451"/>
      <c r="CQ162" s="451"/>
      <c r="CR162" s="451"/>
      <c r="CS162" s="451"/>
      <c r="CT162" s="451"/>
      <c r="CU162" s="451"/>
      <c r="CV162" s="451"/>
      <c r="CW162" s="451"/>
      <c r="CX162" s="451"/>
      <c r="CY162" s="451"/>
      <c r="CZ162" s="451"/>
      <c r="DA162" s="451"/>
      <c r="DB162" s="451"/>
      <c r="DC162" s="451"/>
      <c r="DD162" s="451"/>
      <c r="DE162" s="451"/>
      <c r="DF162" s="451"/>
      <c r="DG162" s="451"/>
      <c r="DH162" s="451"/>
      <c r="DI162" s="451"/>
      <c r="DJ162" s="451"/>
      <c r="DK162" s="451"/>
      <c r="DL162" s="451"/>
      <c r="DM162" s="451"/>
      <c r="DN162" s="451"/>
      <c r="DO162" s="451"/>
      <c r="DP162" s="451"/>
      <c r="DQ162" s="451"/>
      <c r="DR162" s="451"/>
      <c r="DS162" s="451"/>
      <c r="DT162" s="451"/>
      <c r="DU162" s="451"/>
      <c r="DV162" s="451"/>
      <c r="DW162" s="451"/>
      <c r="DX162" s="451"/>
      <c r="DY162" s="451"/>
      <c r="DZ162" s="451"/>
      <c r="EA162" s="451"/>
      <c r="EB162" s="451"/>
      <c r="EC162" s="417" t="str">
        <f>IFERROR(VLOOKUP($CI162,Skills!$H$2:$K$620,4,FALSE),"")</f>
        <v/>
      </c>
      <c r="ED162" s="417"/>
      <c r="EE162" s="417"/>
      <c r="EF162" s="417"/>
      <c r="EG162" s="417"/>
      <c r="EH162" s="452"/>
      <c r="EI162" s="452"/>
      <c r="EJ162" s="452"/>
      <c r="EK162" s="452"/>
      <c r="EL162" s="453"/>
      <c r="EM162" s="451" t="str">
        <f>IFERROR(VLOOKUP($CJ162,Skills!$H$2:$N$620,7,FALSE),"")</f>
        <v/>
      </c>
      <c r="EN162" s="451"/>
      <c r="EO162" s="451"/>
      <c r="EP162" s="451"/>
      <c r="EQ162" s="451"/>
      <c r="ER162" s="451"/>
      <c r="ES162" s="451"/>
      <c r="ET162" s="451"/>
      <c r="EU162" s="451"/>
      <c r="EV162" s="451"/>
      <c r="EW162" s="451"/>
      <c r="EX162" s="451"/>
      <c r="EY162" s="451"/>
      <c r="EZ162" s="451"/>
      <c r="FA162" s="451"/>
      <c r="FB162" s="451"/>
      <c r="FC162" s="451"/>
      <c r="FD162" s="451"/>
      <c r="FE162" s="451"/>
      <c r="FF162" s="451"/>
      <c r="FG162" s="451"/>
      <c r="FH162" s="451"/>
      <c r="FI162" s="451"/>
      <c r="FJ162" s="451"/>
      <c r="FK162" s="451"/>
      <c r="FL162" s="451"/>
      <c r="FM162" s="451"/>
      <c r="FN162" s="451"/>
      <c r="FO162" s="451"/>
      <c r="FP162" s="451"/>
      <c r="FQ162" s="451"/>
      <c r="FR162" s="451"/>
      <c r="FS162" s="451"/>
      <c r="FT162" s="451"/>
      <c r="FU162" s="451"/>
      <c r="FV162" s="451"/>
      <c r="FW162" s="451"/>
      <c r="FX162" s="451"/>
      <c r="FY162" s="451"/>
      <c r="FZ162" s="451"/>
      <c r="GA162" s="451"/>
      <c r="GB162" s="451"/>
      <c r="GC162" s="451"/>
      <c r="GD162" s="451"/>
      <c r="GE162" s="417" t="str">
        <f>IFERROR(VLOOKUP($CJ162,Skills!$H$2:$K$620,4,FALSE),"")</f>
        <v/>
      </c>
      <c r="GF162" s="417"/>
      <c r="GG162" s="417"/>
      <c r="GH162" s="417"/>
      <c r="GI162" s="417"/>
      <c r="GJ162" s="454"/>
      <c r="GK162" s="454"/>
      <c r="GL162" s="454"/>
      <c r="GM162" s="454"/>
      <c r="GN162" s="455"/>
    </row>
    <row r="163" spans="87:196" x14ac:dyDescent="0.25">
      <c r="CI163">
        <v>149</v>
      </c>
      <c r="CJ163">
        <v>399</v>
      </c>
      <c r="CK163" s="365" t="str">
        <f>IFERROR(VLOOKUP($CI163,Skills!$H$2:$N$620,7,FALSE),"")</f>
        <v/>
      </c>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445" t="str">
        <f>IFERROR(VLOOKUP($CI163,Skills!$H$2:$K$620,4,FALSE),"")</f>
        <v/>
      </c>
      <c r="ED163" s="445"/>
      <c r="EE163" s="445"/>
      <c r="EF163" s="445"/>
      <c r="EG163" s="445"/>
      <c r="EH163" s="446"/>
      <c r="EI163" s="446"/>
      <c r="EJ163" s="446"/>
      <c r="EK163" s="446"/>
      <c r="EL163" s="447"/>
      <c r="EM163" s="366" t="str">
        <f>IFERROR(VLOOKUP($CJ163,Skills!$H$2:$N$620,7,FALSE),"")</f>
        <v/>
      </c>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445" t="str">
        <f>IFERROR(VLOOKUP($CJ163,Skills!$H$2:$K$620,4,FALSE),"")</f>
        <v/>
      </c>
      <c r="GF163" s="445"/>
      <c r="GG163" s="445"/>
      <c r="GH163" s="445"/>
      <c r="GI163" s="445"/>
      <c r="GJ163" s="448"/>
      <c r="GK163" s="448"/>
      <c r="GL163" s="448"/>
      <c r="GM163" s="448"/>
      <c r="GN163" s="449"/>
    </row>
    <row r="164" spans="87:196" x14ac:dyDescent="0.25">
      <c r="CI164">
        <v>150</v>
      </c>
      <c r="CJ164">
        <v>400</v>
      </c>
      <c r="CK164" s="450" t="str">
        <f>IFERROR(VLOOKUP($CI164,Skills!$H$2:$N$620,7,FALSE),"")</f>
        <v/>
      </c>
      <c r="CL164" s="451"/>
      <c r="CM164" s="451"/>
      <c r="CN164" s="451"/>
      <c r="CO164" s="451"/>
      <c r="CP164" s="451"/>
      <c r="CQ164" s="451"/>
      <c r="CR164" s="451"/>
      <c r="CS164" s="451"/>
      <c r="CT164" s="451"/>
      <c r="CU164" s="451"/>
      <c r="CV164" s="451"/>
      <c r="CW164" s="451"/>
      <c r="CX164" s="451"/>
      <c r="CY164" s="451"/>
      <c r="CZ164" s="451"/>
      <c r="DA164" s="451"/>
      <c r="DB164" s="451"/>
      <c r="DC164" s="451"/>
      <c r="DD164" s="451"/>
      <c r="DE164" s="451"/>
      <c r="DF164" s="451"/>
      <c r="DG164" s="451"/>
      <c r="DH164" s="451"/>
      <c r="DI164" s="451"/>
      <c r="DJ164" s="451"/>
      <c r="DK164" s="451"/>
      <c r="DL164" s="451"/>
      <c r="DM164" s="451"/>
      <c r="DN164" s="451"/>
      <c r="DO164" s="451"/>
      <c r="DP164" s="451"/>
      <c r="DQ164" s="451"/>
      <c r="DR164" s="451"/>
      <c r="DS164" s="451"/>
      <c r="DT164" s="451"/>
      <c r="DU164" s="451"/>
      <c r="DV164" s="451"/>
      <c r="DW164" s="451"/>
      <c r="DX164" s="451"/>
      <c r="DY164" s="451"/>
      <c r="DZ164" s="451"/>
      <c r="EA164" s="451"/>
      <c r="EB164" s="451"/>
      <c r="EC164" s="417" t="str">
        <f>IFERROR(VLOOKUP($CI164,Skills!$H$2:$K$620,4,FALSE),"")</f>
        <v/>
      </c>
      <c r="ED164" s="417"/>
      <c r="EE164" s="417"/>
      <c r="EF164" s="417"/>
      <c r="EG164" s="417"/>
      <c r="EH164" s="452"/>
      <c r="EI164" s="452"/>
      <c r="EJ164" s="452"/>
      <c r="EK164" s="452"/>
      <c r="EL164" s="453"/>
      <c r="EM164" s="451" t="str">
        <f>IFERROR(VLOOKUP($CJ164,Skills!$H$2:$N$620,7,FALSE),"")</f>
        <v/>
      </c>
      <c r="EN164" s="451"/>
      <c r="EO164" s="451"/>
      <c r="EP164" s="451"/>
      <c r="EQ164" s="451"/>
      <c r="ER164" s="451"/>
      <c r="ES164" s="451"/>
      <c r="ET164" s="451"/>
      <c r="EU164" s="451"/>
      <c r="EV164" s="451"/>
      <c r="EW164" s="451"/>
      <c r="EX164" s="451"/>
      <c r="EY164" s="451"/>
      <c r="EZ164" s="451"/>
      <c r="FA164" s="451"/>
      <c r="FB164" s="451"/>
      <c r="FC164" s="451"/>
      <c r="FD164" s="451"/>
      <c r="FE164" s="451"/>
      <c r="FF164" s="451"/>
      <c r="FG164" s="451"/>
      <c r="FH164" s="451"/>
      <c r="FI164" s="451"/>
      <c r="FJ164" s="451"/>
      <c r="FK164" s="451"/>
      <c r="FL164" s="451"/>
      <c r="FM164" s="451"/>
      <c r="FN164" s="451"/>
      <c r="FO164" s="451"/>
      <c r="FP164" s="451"/>
      <c r="FQ164" s="451"/>
      <c r="FR164" s="451"/>
      <c r="FS164" s="451"/>
      <c r="FT164" s="451"/>
      <c r="FU164" s="451"/>
      <c r="FV164" s="451"/>
      <c r="FW164" s="451"/>
      <c r="FX164" s="451"/>
      <c r="FY164" s="451"/>
      <c r="FZ164" s="451"/>
      <c r="GA164" s="451"/>
      <c r="GB164" s="451"/>
      <c r="GC164" s="451"/>
      <c r="GD164" s="451"/>
      <c r="GE164" s="417" t="str">
        <f>IFERROR(VLOOKUP($CJ164,Skills!$H$2:$K$620,4,FALSE),"")</f>
        <v/>
      </c>
      <c r="GF164" s="417"/>
      <c r="GG164" s="417"/>
      <c r="GH164" s="417"/>
      <c r="GI164" s="417"/>
      <c r="GJ164" s="454"/>
      <c r="GK164" s="454"/>
      <c r="GL164" s="454"/>
      <c r="GM164" s="454"/>
      <c r="GN164" s="455"/>
    </row>
    <row r="165" spans="87:196" x14ac:dyDescent="0.25">
      <c r="CI165">
        <v>151</v>
      </c>
      <c r="CJ165">
        <v>401</v>
      </c>
      <c r="CK165" s="365" t="str">
        <f>IFERROR(VLOOKUP($CI165,Skills!$H$2:$N$620,7,FALSE),"")</f>
        <v/>
      </c>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445" t="str">
        <f>IFERROR(VLOOKUP($CI165,Skills!$H$2:$K$620,4,FALSE),"")</f>
        <v/>
      </c>
      <c r="ED165" s="445"/>
      <c r="EE165" s="445"/>
      <c r="EF165" s="445"/>
      <c r="EG165" s="445"/>
      <c r="EH165" s="446"/>
      <c r="EI165" s="446"/>
      <c r="EJ165" s="446"/>
      <c r="EK165" s="446"/>
      <c r="EL165" s="447"/>
      <c r="EM165" s="366" t="str">
        <f>IFERROR(VLOOKUP($CJ165,Skills!$H$2:$N$620,7,FALSE),"")</f>
        <v/>
      </c>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445" t="str">
        <f>IFERROR(VLOOKUP($CJ165,Skills!$H$2:$K$620,4,FALSE),"")</f>
        <v/>
      </c>
      <c r="GF165" s="445"/>
      <c r="GG165" s="445"/>
      <c r="GH165" s="445"/>
      <c r="GI165" s="445"/>
      <c r="GJ165" s="448"/>
      <c r="GK165" s="448"/>
      <c r="GL165" s="448"/>
      <c r="GM165" s="448"/>
      <c r="GN165" s="449"/>
    </row>
    <row r="166" spans="87:196" x14ac:dyDescent="0.25">
      <c r="CI166">
        <v>152</v>
      </c>
      <c r="CJ166">
        <v>402</v>
      </c>
      <c r="CK166" s="450" t="str">
        <f>IFERROR(VLOOKUP($CI166,Skills!$H$2:$N$620,7,FALSE),"")</f>
        <v/>
      </c>
      <c r="CL166" s="451"/>
      <c r="CM166" s="451"/>
      <c r="CN166" s="451"/>
      <c r="CO166" s="451"/>
      <c r="CP166" s="451"/>
      <c r="CQ166" s="451"/>
      <c r="CR166" s="451"/>
      <c r="CS166" s="451"/>
      <c r="CT166" s="451"/>
      <c r="CU166" s="451"/>
      <c r="CV166" s="451"/>
      <c r="CW166" s="451"/>
      <c r="CX166" s="451"/>
      <c r="CY166" s="451"/>
      <c r="CZ166" s="451"/>
      <c r="DA166" s="451"/>
      <c r="DB166" s="451"/>
      <c r="DC166" s="451"/>
      <c r="DD166" s="451"/>
      <c r="DE166" s="451"/>
      <c r="DF166" s="451"/>
      <c r="DG166" s="451"/>
      <c r="DH166" s="451"/>
      <c r="DI166" s="451"/>
      <c r="DJ166" s="451"/>
      <c r="DK166" s="451"/>
      <c r="DL166" s="451"/>
      <c r="DM166" s="451"/>
      <c r="DN166" s="451"/>
      <c r="DO166" s="451"/>
      <c r="DP166" s="451"/>
      <c r="DQ166" s="451"/>
      <c r="DR166" s="451"/>
      <c r="DS166" s="451"/>
      <c r="DT166" s="451"/>
      <c r="DU166" s="451"/>
      <c r="DV166" s="451"/>
      <c r="DW166" s="451"/>
      <c r="DX166" s="451"/>
      <c r="DY166" s="451"/>
      <c r="DZ166" s="451"/>
      <c r="EA166" s="451"/>
      <c r="EB166" s="451"/>
      <c r="EC166" s="417" t="str">
        <f>IFERROR(VLOOKUP($CI166,Skills!$H$2:$K$620,4,FALSE),"")</f>
        <v/>
      </c>
      <c r="ED166" s="417"/>
      <c r="EE166" s="417"/>
      <c r="EF166" s="417"/>
      <c r="EG166" s="417"/>
      <c r="EH166" s="452"/>
      <c r="EI166" s="452"/>
      <c r="EJ166" s="452"/>
      <c r="EK166" s="452"/>
      <c r="EL166" s="453"/>
      <c r="EM166" s="451" t="str">
        <f>IFERROR(VLOOKUP($CJ166,Skills!$H$2:$N$620,7,FALSE),"")</f>
        <v/>
      </c>
      <c r="EN166" s="451"/>
      <c r="EO166" s="451"/>
      <c r="EP166" s="451"/>
      <c r="EQ166" s="451"/>
      <c r="ER166" s="451"/>
      <c r="ES166" s="451"/>
      <c r="ET166" s="451"/>
      <c r="EU166" s="451"/>
      <c r="EV166" s="451"/>
      <c r="EW166" s="451"/>
      <c r="EX166" s="451"/>
      <c r="EY166" s="451"/>
      <c r="EZ166" s="451"/>
      <c r="FA166" s="451"/>
      <c r="FB166" s="451"/>
      <c r="FC166" s="451"/>
      <c r="FD166" s="451"/>
      <c r="FE166" s="451"/>
      <c r="FF166" s="451"/>
      <c r="FG166" s="451"/>
      <c r="FH166" s="451"/>
      <c r="FI166" s="451"/>
      <c r="FJ166" s="451"/>
      <c r="FK166" s="451"/>
      <c r="FL166" s="451"/>
      <c r="FM166" s="451"/>
      <c r="FN166" s="451"/>
      <c r="FO166" s="451"/>
      <c r="FP166" s="451"/>
      <c r="FQ166" s="451"/>
      <c r="FR166" s="451"/>
      <c r="FS166" s="451"/>
      <c r="FT166" s="451"/>
      <c r="FU166" s="451"/>
      <c r="FV166" s="451"/>
      <c r="FW166" s="451"/>
      <c r="FX166" s="451"/>
      <c r="FY166" s="451"/>
      <c r="FZ166" s="451"/>
      <c r="GA166" s="451"/>
      <c r="GB166" s="451"/>
      <c r="GC166" s="451"/>
      <c r="GD166" s="451"/>
      <c r="GE166" s="417" t="str">
        <f>IFERROR(VLOOKUP($CJ166,Skills!$H$2:$K$620,4,FALSE),"")</f>
        <v/>
      </c>
      <c r="GF166" s="417"/>
      <c r="GG166" s="417"/>
      <c r="GH166" s="417"/>
      <c r="GI166" s="417"/>
      <c r="GJ166" s="454"/>
      <c r="GK166" s="454"/>
      <c r="GL166" s="454"/>
      <c r="GM166" s="454"/>
      <c r="GN166" s="455"/>
    </row>
    <row r="167" spans="87:196" x14ac:dyDescent="0.25">
      <c r="CI167">
        <v>153</v>
      </c>
      <c r="CJ167">
        <v>403</v>
      </c>
      <c r="CK167" s="365" t="str">
        <f>IFERROR(VLOOKUP($CI167,Skills!$H$2:$N$620,7,FALSE),"")</f>
        <v/>
      </c>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445" t="str">
        <f>IFERROR(VLOOKUP($CI167,Skills!$H$2:$K$620,4,FALSE),"")</f>
        <v/>
      </c>
      <c r="ED167" s="445"/>
      <c r="EE167" s="445"/>
      <c r="EF167" s="445"/>
      <c r="EG167" s="445"/>
      <c r="EH167" s="446"/>
      <c r="EI167" s="446"/>
      <c r="EJ167" s="446"/>
      <c r="EK167" s="446"/>
      <c r="EL167" s="447"/>
      <c r="EM167" s="366" t="str">
        <f>IFERROR(VLOOKUP($CJ167,Skills!$H$2:$N$620,7,FALSE),"")</f>
        <v/>
      </c>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445" t="str">
        <f>IFERROR(VLOOKUP($CJ167,Skills!$H$2:$K$620,4,FALSE),"")</f>
        <v/>
      </c>
      <c r="GF167" s="445"/>
      <c r="GG167" s="445"/>
      <c r="GH167" s="445"/>
      <c r="GI167" s="445"/>
      <c r="GJ167" s="448"/>
      <c r="GK167" s="448"/>
      <c r="GL167" s="448"/>
      <c r="GM167" s="448"/>
      <c r="GN167" s="449"/>
    </row>
    <row r="168" spans="87:196" x14ac:dyDescent="0.25">
      <c r="CI168">
        <v>154</v>
      </c>
      <c r="CJ168">
        <v>404</v>
      </c>
      <c r="CK168" s="450" t="str">
        <f>IFERROR(VLOOKUP($CI168,Skills!$H$2:$N$620,7,FALSE),"")</f>
        <v/>
      </c>
      <c r="CL168" s="451"/>
      <c r="CM168" s="451"/>
      <c r="CN168" s="451"/>
      <c r="CO168" s="451"/>
      <c r="CP168" s="451"/>
      <c r="CQ168" s="451"/>
      <c r="CR168" s="451"/>
      <c r="CS168" s="451"/>
      <c r="CT168" s="451"/>
      <c r="CU168" s="451"/>
      <c r="CV168" s="451"/>
      <c r="CW168" s="451"/>
      <c r="CX168" s="451"/>
      <c r="CY168" s="451"/>
      <c r="CZ168" s="451"/>
      <c r="DA168" s="451"/>
      <c r="DB168" s="451"/>
      <c r="DC168" s="451"/>
      <c r="DD168" s="451"/>
      <c r="DE168" s="451"/>
      <c r="DF168" s="451"/>
      <c r="DG168" s="451"/>
      <c r="DH168" s="451"/>
      <c r="DI168" s="451"/>
      <c r="DJ168" s="451"/>
      <c r="DK168" s="451"/>
      <c r="DL168" s="451"/>
      <c r="DM168" s="451"/>
      <c r="DN168" s="451"/>
      <c r="DO168" s="451"/>
      <c r="DP168" s="451"/>
      <c r="DQ168" s="451"/>
      <c r="DR168" s="451"/>
      <c r="DS168" s="451"/>
      <c r="DT168" s="451"/>
      <c r="DU168" s="451"/>
      <c r="DV168" s="451"/>
      <c r="DW168" s="451"/>
      <c r="DX168" s="451"/>
      <c r="DY168" s="451"/>
      <c r="DZ168" s="451"/>
      <c r="EA168" s="451"/>
      <c r="EB168" s="451"/>
      <c r="EC168" s="417" t="str">
        <f>IFERROR(VLOOKUP($CI168,Skills!$H$2:$K$620,4,FALSE),"")</f>
        <v/>
      </c>
      <c r="ED168" s="417"/>
      <c r="EE168" s="417"/>
      <c r="EF168" s="417"/>
      <c r="EG168" s="417"/>
      <c r="EH168" s="452"/>
      <c r="EI168" s="452"/>
      <c r="EJ168" s="452"/>
      <c r="EK168" s="452"/>
      <c r="EL168" s="453"/>
      <c r="EM168" s="451" t="str">
        <f>IFERROR(VLOOKUP($CJ168,Skills!$H$2:$N$620,7,FALSE),"")</f>
        <v/>
      </c>
      <c r="EN168" s="451"/>
      <c r="EO168" s="451"/>
      <c r="EP168" s="451"/>
      <c r="EQ168" s="451"/>
      <c r="ER168" s="451"/>
      <c r="ES168" s="451"/>
      <c r="ET168" s="451"/>
      <c r="EU168" s="451"/>
      <c r="EV168" s="451"/>
      <c r="EW168" s="451"/>
      <c r="EX168" s="451"/>
      <c r="EY168" s="451"/>
      <c r="EZ168" s="451"/>
      <c r="FA168" s="451"/>
      <c r="FB168" s="451"/>
      <c r="FC168" s="451"/>
      <c r="FD168" s="451"/>
      <c r="FE168" s="451"/>
      <c r="FF168" s="451"/>
      <c r="FG168" s="451"/>
      <c r="FH168" s="451"/>
      <c r="FI168" s="451"/>
      <c r="FJ168" s="451"/>
      <c r="FK168" s="451"/>
      <c r="FL168" s="451"/>
      <c r="FM168" s="451"/>
      <c r="FN168" s="451"/>
      <c r="FO168" s="451"/>
      <c r="FP168" s="451"/>
      <c r="FQ168" s="451"/>
      <c r="FR168" s="451"/>
      <c r="FS168" s="451"/>
      <c r="FT168" s="451"/>
      <c r="FU168" s="451"/>
      <c r="FV168" s="451"/>
      <c r="FW168" s="451"/>
      <c r="FX168" s="451"/>
      <c r="FY168" s="451"/>
      <c r="FZ168" s="451"/>
      <c r="GA168" s="451"/>
      <c r="GB168" s="451"/>
      <c r="GC168" s="451"/>
      <c r="GD168" s="451"/>
      <c r="GE168" s="417" t="str">
        <f>IFERROR(VLOOKUP($CJ168,Skills!$H$2:$K$620,4,FALSE),"")</f>
        <v/>
      </c>
      <c r="GF168" s="417"/>
      <c r="GG168" s="417"/>
      <c r="GH168" s="417"/>
      <c r="GI168" s="417"/>
      <c r="GJ168" s="454"/>
      <c r="GK168" s="454"/>
      <c r="GL168" s="454"/>
      <c r="GM168" s="454"/>
      <c r="GN168" s="455"/>
    </row>
    <row r="169" spans="87:196" x14ac:dyDescent="0.25">
      <c r="CI169">
        <v>155</v>
      </c>
      <c r="CJ169">
        <v>405</v>
      </c>
      <c r="CK169" s="365" t="str">
        <f>IFERROR(VLOOKUP($CI169,Skills!$H$2:$N$620,7,FALSE),"")</f>
        <v/>
      </c>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445" t="str">
        <f>IFERROR(VLOOKUP($CI169,Skills!$H$2:$K$620,4,FALSE),"")</f>
        <v/>
      </c>
      <c r="ED169" s="445"/>
      <c r="EE169" s="445"/>
      <c r="EF169" s="445"/>
      <c r="EG169" s="445"/>
      <c r="EH169" s="446"/>
      <c r="EI169" s="446"/>
      <c r="EJ169" s="446"/>
      <c r="EK169" s="446"/>
      <c r="EL169" s="447"/>
      <c r="EM169" s="366" t="str">
        <f>IFERROR(VLOOKUP($CJ169,Skills!$H$2:$N$620,7,FALSE),"")</f>
        <v/>
      </c>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445" t="str">
        <f>IFERROR(VLOOKUP($CJ169,Skills!$H$2:$K$620,4,FALSE),"")</f>
        <v/>
      </c>
      <c r="GF169" s="445"/>
      <c r="GG169" s="445"/>
      <c r="GH169" s="445"/>
      <c r="GI169" s="445"/>
      <c r="GJ169" s="448"/>
      <c r="GK169" s="448"/>
      <c r="GL169" s="448"/>
      <c r="GM169" s="448"/>
      <c r="GN169" s="449"/>
    </row>
    <row r="170" spans="87:196" x14ac:dyDescent="0.25">
      <c r="CI170">
        <v>156</v>
      </c>
      <c r="CJ170">
        <v>406</v>
      </c>
      <c r="CK170" s="450" t="str">
        <f>IFERROR(VLOOKUP($CI170,Skills!$H$2:$N$620,7,FALSE),"")</f>
        <v/>
      </c>
      <c r="CL170" s="451"/>
      <c r="CM170" s="451"/>
      <c r="CN170" s="451"/>
      <c r="CO170" s="451"/>
      <c r="CP170" s="451"/>
      <c r="CQ170" s="451"/>
      <c r="CR170" s="451"/>
      <c r="CS170" s="451"/>
      <c r="CT170" s="451"/>
      <c r="CU170" s="451"/>
      <c r="CV170" s="451"/>
      <c r="CW170" s="451"/>
      <c r="CX170" s="451"/>
      <c r="CY170" s="451"/>
      <c r="CZ170" s="451"/>
      <c r="DA170" s="451"/>
      <c r="DB170" s="451"/>
      <c r="DC170" s="451"/>
      <c r="DD170" s="451"/>
      <c r="DE170" s="451"/>
      <c r="DF170" s="451"/>
      <c r="DG170" s="451"/>
      <c r="DH170" s="451"/>
      <c r="DI170" s="451"/>
      <c r="DJ170" s="451"/>
      <c r="DK170" s="451"/>
      <c r="DL170" s="451"/>
      <c r="DM170" s="451"/>
      <c r="DN170" s="451"/>
      <c r="DO170" s="451"/>
      <c r="DP170" s="451"/>
      <c r="DQ170" s="451"/>
      <c r="DR170" s="451"/>
      <c r="DS170" s="451"/>
      <c r="DT170" s="451"/>
      <c r="DU170" s="451"/>
      <c r="DV170" s="451"/>
      <c r="DW170" s="451"/>
      <c r="DX170" s="451"/>
      <c r="DY170" s="451"/>
      <c r="DZ170" s="451"/>
      <c r="EA170" s="451"/>
      <c r="EB170" s="451"/>
      <c r="EC170" s="417" t="str">
        <f>IFERROR(VLOOKUP($CI170,Skills!$H$2:$K$620,4,FALSE),"")</f>
        <v/>
      </c>
      <c r="ED170" s="417"/>
      <c r="EE170" s="417"/>
      <c r="EF170" s="417"/>
      <c r="EG170" s="417"/>
      <c r="EH170" s="452"/>
      <c r="EI170" s="452"/>
      <c r="EJ170" s="452"/>
      <c r="EK170" s="452"/>
      <c r="EL170" s="453"/>
      <c r="EM170" s="451" t="str">
        <f>IFERROR(VLOOKUP($CJ170,Skills!$H$2:$N$620,7,FALSE),"")</f>
        <v/>
      </c>
      <c r="EN170" s="451"/>
      <c r="EO170" s="451"/>
      <c r="EP170" s="451"/>
      <c r="EQ170" s="451"/>
      <c r="ER170" s="451"/>
      <c r="ES170" s="451"/>
      <c r="ET170" s="451"/>
      <c r="EU170" s="451"/>
      <c r="EV170" s="451"/>
      <c r="EW170" s="451"/>
      <c r="EX170" s="451"/>
      <c r="EY170" s="451"/>
      <c r="EZ170" s="451"/>
      <c r="FA170" s="451"/>
      <c r="FB170" s="451"/>
      <c r="FC170" s="451"/>
      <c r="FD170" s="451"/>
      <c r="FE170" s="451"/>
      <c r="FF170" s="451"/>
      <c r="FG170" s="451"/>
      <c r="FH170" s="451"/>
      <c r="FI170" s="451"/>
      <c r="FJ170" s="451"/>
      <c r="FK170" s="451"/>
      <c r="FL170" s="451"/>
      <c r="FM170" s="451"/>
      <c r="FN170" s="451"/>
      <c r="FO170" s="451"/>
      <c r="FP170" s="451"/>
      <c r="FQ170" s="451"/>
      <c r="FR170" s="451"/>
      <c r="FS170" s="451"/>
      <c r="FT170" s="451"/>
      <c r="FU170" s="451"/>
      <c r="FV170" s="451"/>
      <c r="FW170" s="451"/>
      <c r="FX170" s="451"/>
      <c r="FY170" s="451"/>
      <c r="FZ170" s="451"/>
      <c r="GA170" s="451"/>
      <c r="GB170" s="451"/>
      <c r="GC170" s="451"/>
      <c r="GD170" s="451"/>
      <c r="GE170" s="417" t="str">
        <f>IFERROR(VLOOKUP($CJ170,Skills!$H$2:$K$620,4,FALSE),"")</f>
        <v/>
      </c>
      <c r="GF170" s="417"/>
      <c r="GG170" s="417"/>
      <c r="GH170" s="417"/>
      <c r="GI170" s="417"/>
      <c r="GJ170" s="454"/>
      <c r="GK170" s="454"/>
      <c r="GL170" s="454"/>
      <c r="GM170" s="454"/>
      <c r="GN170" s="455"/>
    </row>
    <row r="171" spans="87:196" x14ac:dyDescent="0.25">
      <c r="CI171">
        <v>157</v>
      </c>
      <c r="CJ171">
        <v>407</v>
      </c>
      <c r="CK171" s="365" t="str">
        <f>IFERROR(VLOOKUP($CI171,Skills!$H$2:$N$620,7,FALSE),"")</f>
        <v/>
      </c>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445" t="str">
        <f>IFERROR(VLOOKUP($CI171,Skills!$H$2:$K$620,4,FALSE),"")</f>
        <v/>
      </c>
      <c r="ED171" s="445"/>
      <c r="EE171" s="445"/>
      <c r="EF171" s="445"/>
      <c r="EG171" s="445"/>
      <c r="EH171" s="446"/>
      <c r="EI171" s="446"/>
      <c r="EJ171" s="446"/>
      <c r="EK171" s="446"/>
      <c r="EL171" s="447"/>
      <c r="EM171" s="366" t="str">
        <f>IFERROR(VLOOKUP($CJ171,Skills!$H$2:$N$620,7,FALSE),"")</f>
        <v/>
      </c>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445" t="str">
        <f>IFERROR(VLOOKUP($CJ171,Skills!$H$2:$K$620,4,FALSE),"")</f>
        <v/>
      </c>
      <c r="GF171" s="445"/>
      <c r="GG171" s="445"/>
      <c r="GH171" s="445"/>
      <c r="GI171" s="445"/>
      <c r="GJ171" s="448"/>
      <c r="GK171" s="448"/>
      <c r="GL171" s="448"/>
      <c r="GM171" s="448"/>
      <c r="GN171" s="449"/>
    </row>
    <row r="172" spans="87:196" x14ac:dyDescent="0.25">
      <c r="CI172">
        <v>158</v>
      </c>
      <c r="CJ172">
        <v>408</v>
      </c>
      <c r="CK172" s="450" t="str">
        <f>IFERROR(VLOOKUP($CI172,Skills!$H$2:$N$620,7,FALSE),"")</f>
        <v/>
      </c>
      <c r="CL172" s="451"/>
      <c r="CM172" s="451"/>
      <c r="CN172" s="451"/>
      <c r="CO172" s="451"/>
      <c r="CP172" s="451"/>
      <c r="CQ172" s="451"/>
      <c r="CR172" s="451"/>
      <c r="CS172" s="451"/>
      <c r="CT172" s="451"/>
      <c r="CU172" s="451"/>
      <c r="CV172" s="451"/>
      <c r="CW172" s="451"/>
      <c r="CX172" s="451"/>
      <c r="CY172" s="451"/>
      <c r="CZ172" s="451"/>
      <c r="DA172" s="451"/>
      <c r="DB172" s="451"/>
      <c r="DC172" s="451"/>
      <c r="DD172" s="451"/>
      <c r="DE172" s="451"/>
      <c r="DF172" s="451"/>
      <c r="DG172" s="451"/>
      <c r="DH172" s="451"/>
      <c r="DI172" s="451"/>
      <c r="DJ172" s="451"/>
      <c r="DK172" s="451"/>
      <c r="DL172" s="451"/>
      <c r="DM172" s="451"/>
      <c r="DN172" s="451"/>
      <c r="DO172" s="451"/>
      <c r="DP172" s="451"/>
      <c r="DQ172" s="451"/>
      <c r="DR172" s="451"/>
      <c r="DS172" s="451"/>
      <c r="DT172" s="451"/>
      <c r="DU172" s="451"/>
      <c r="DV172" s="451"/>
      <c r="DW172" s="451"/>
      <c r="DX172" s="451"/>
      <c r="DY172" s="451"/>
      <c r="DZ172" s="451"/>
      <c r="EA172" s="451"/>
      <c r="EB172" s="451"/>
      <c r="EC172" s="417" t="str">
        <f>IFERROR(VLOOKUP($CI172,Skills!$H$2:$K$620,4,FALSE),"")</f>
        <v/>
      </c>
      <c r="ED172" s="417"/>
      <c r="EE172" s="417"/>
      <c r="EF172" s="417"/>
      <c r="EG172" s="417"/>
      <c r="EH172" s="452"/>
      <c r="EI172" s="452"/>
      <c r="EJ172" s="452"/>
      <c r="EK172" s="452"/>
      <c r="EL172" s="453"/>
      <c r="EM172" s="451" t="str">
        <f>IFERROR(VLOOKUP($CJ172,Skills!$H$2:$N$620,7,FALSE),"")</f>
        <v/>
      </c>
      <c r="EN172" s="451"/>
      <c r="EO172" s="451"/>
      <c r="EP172" s="451"/>
      <c r="EQ172" s="451"/>
      <c r="ER172" s="451"/>
      <c r="ES172" s="451"/>
      <c r="ET172" s="451"/>
      <c r="EU172" s="451"/>
      <c r="EV172" s="451"/>
      <c r="EW172" s="451"/>
      <c r="EX172" s="451"/>
      <c r="EY172" s="451"/>
      <c r="EZ172" s="451"/>
      <c r="FA172" s="451"/>
      <c r="FB172" s="451"/>
      <c r="FC172" s="451"/>
      <c r="FD172" s="451"/>
      <c r="FE172" s="451"/>
      <c r="FF172" s="451"/>
      <c r="FG172" s="451"/>
      <c r="FH172" s="451"/>
      <c r="FI172" s="451"/>
      <c r="FJ172" s="451"/>
      <c r="FK172" s="451"/>
      <c r="FL172" s="451"/>
      <c r="FM172" s="451"/>
      <c r="FN172" s="451"/>
      <c r="FO172" s="451"/>
      <c r="FP172" s="451"/>
      <c r="FQ172" s="451"/>
      <c r="FR172" s="451"/>
      <c r="FS172" s="451"/>
      <c r="FT172" s="451"/>
      <c r="FU172" s="451"/>
      <c r="FV172" s="451"/>
      <c r="FW172" s="451"/>
      <c r="FX172" s="451"/>
      <c r="FY172" s="451"/>
      <c r="FZ172" s="451"/>
      <c r="GA172" s="451"/>
      <c r="GB172" s="451"/>
      <c r="GC172" s="451"/>
      <c r="GD172" s="451"/>
      <c r="GE172" s="417" t="str">
        <f>IFERROR(VLOOKUP($CJ172,Skills!$H$2:$K$620,4,FALSE),"")</f>
        <v/>
      </c>
      <c r="GF172" s="417"/>
      <c r="GG172" s="417"/>
      <c r="GH172" s="417"/>
      <c r="GI172" s="417"/>
      <c r="GJ172" s="454"/>
      <c r="GK172" s="454"/>
      <c r="GL172" s="454"/>
      <c r="GM172" s="454"/>
      <c r="GN172" s="455"/>
    </row>
    <row r="173" spans="87:196" x14ac:dyDescent="0.25">
      <c r="CI173">
        <v>159</v>
      </c>
      <c r="CJ173">
        <v>409</v>
      </c>
      <c r="CK173" s="365" t="str">
        <f>IFERROR(VLOOKUP($CI173,Skills!$H$2:$N$620,7,FALSE),"")</f>
        <v/>
      </c>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445" t="str">
        <f>IFERROR(VLOOKUP($CI173,Skills!$H$2:$K$620,4,FALSE),"")</f>
        <v/>
      </c>
      <c r="ED173" s="445"/>
      <c r="EE173" s="445"/>
      <c r="EF173" s="445"/>
      <c r="EG173" s="445"/>
      <c r="EH173" s="446"/>
      <c r="EI173" s="446"/>
      <c r="EJ173" s="446"/>
      <c r="EK173" s="446"/>
      <c r="EL173" s="447"/>
      <c r="EM173" s="366" t="str">
        <f>IFERROR(VLOOKUP($CJ173,Skills!$H$2:$N$620,7,FALSE),"")</f>
        <v/>
      </c>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445" t="str">
        <f>IFERROR(VLOOKUP($CJ173,Skills!$H$2:$K$620,4,FALSE),"")</f>
        <v/>
      </c>
      <c r="GF173" s="445"/>
      <c r="GG173" s="445"/>
      <c r="GH173" s="445"/>
      <c r="GI173" s="445"/>
      <c r="GJ173" s="448"/>
      <c r="GK173" s="448"/>
      <c r="GL173" s="448"/>
      <c r="GM173" s="448"/>
      <c r="GN173" s="449"/>
    </row>
    <row r="174" spans="87:196" x14ac:dyDescent="0.25">
      <c r="CI174">
        <v>160</v>
      </c>
      <c r="CJ174">
        <v>410</v>
      </c>
      <c r="CK174" s="450" t="str">
        <f>IFERROR(VLOOKUP($CI174,Skills!$H$2:$N$620,7,FALSE),"")</f>
        <v/>
      </c>
      <c r="CL174" s="451"/>
      <c r="CM174" s="451"/>
      <c r="CN174" s="451"/>
      <c r="CO174" s="451"/>
      <c r="CP174" s="451"/>
      <c r="CQ174" s="451"/>
      <c r="CR174" s="451"/>
      <c r="CS174" s="451"/>
      <c r="CT174" s="451"/>
      <c r="CU174" s="451"/>
      <c r="CV174" s="451"/>
      <c r="CW174" s="451"/>
      <c r="CX174" s="451"/>
      <c r="CY174" s="451"/>
      <c r="CZ174" s="451"/>
      <c r="DA174" s="451"/>
      <c r="DB174" s="451"/>
      <c r="DC174" s="451"/>
      <c r="DD174" s="451"/>
      <c r="DE174" s="451"/>
      <c r="DF174" s="451"/>
      <c r="DG174" s="451"/>
      <c r="DH174" s="451"/>
      <c r="DI174" s="451"/>
      <c r="DJ174" s="451"/>
      <c r="DK174" s="451"/>
      <c r="DL174" s="451"/>
      <c r="DM174" s="451"/>
      <c r="DN174" s="451"/>
      <c r="DO174" s="451"/>
      <c r="DP174" s="451"/>
      <c r="DQ174" s="451"/>
      <c r="DR174" s="451"/>
      <c r="DS174" s="451"/>
      <c r="DT174" s="451"/>
      <c r="DU174" s="451"/>
      <c r="DV174" s="451"/>
      <c r="DW174" s="451"/>
      <c r="DX174" s="451"/>
      <c r="DY174" s="451"/>
      <c r="DZ174" s="451"/>
      <c r="EA174" s="451"/>
      <c r="EB174" s="451"/>
      <c r="EC174" s="417" t="str">
        <f>IFERROR(VLOOKUP($CI174,Skills!$H$2:$K$620,4,FALSE),"")</f>
        <v/>
      </c>
      <c r="ED174" s="417"/>
      <c r="EE174" s="417"/>
      <c r="EF174" s="417"/>
      <c r="EG174" s="417"/>
      <c r="EH174" s="452"/>
      <c r="EI174" s="452"/>
      <c r="EJ174" s="452"/>
      <c r="EK174" s="452"/>
      <c r="EL174" s="453"/>
      <c r="EM174" s="451" t="str">
        <f>IFERROR(VLOOKUP($CJ174,Skills!$H$2:$N$620,7,FALSE),"")</f>
        <v/>
      </c>
      <c r="EN174" s="451"/>
      <c r="EO174" s="451"/>
      <c r="EP174" s="451"/>
      <c r="EQ174" s="451"/>
      <c r="ER174" s="451"/>
      <c r="ES174" s="451"/>
      <c r="ET174" s="451"/>
      <c r="EU174" s="451"/>
      <c r="EV174" s="451"/>
      <c r="EW174" s="451"/>
      <c r="EX174" s="451"/>
      <c r="EY174" s="451"/>
      <c r="EZ174" s="451"/>
      <c r="FA174" s="451"/>
      <c r="FB174" s="451"/>
      <c r="FC174" s="451"/>
      <c r="FD174" s="451"/>
      <c r="FE174" s="451"/>
      <c r="FF174" s="451"/>
      <c r="FG174" s="451"/>
      <c r="FH174" s="451"/>
      <c r="FI174" s="451"/>
      <c r="FJ174" s="451"/>
      <c r="FK174" s="451"/>
      <c r="FL174" s="451"/>
      <c r="FM174" s="451"/>
      <c r="FN174" s="451"/>
      <c r="FO174" s="451"/>
      <c r="FP174" s="451"/>
      <c r="FQ174" s="451"/>
      <c r="FR174" s="451"/>
      <c r="FS174" s="451"/>
      <c r="FT174" s="451"/>
      <c r="FU174" s="451"/>
      <c r="FV174" s="451"/>
      <c r="FW174" s="451"/>
      <c r="FX174" s="451"/>
      <c r="FY174" s="451"/>
      <c r="FZ174" s="451"/>
      <c r="GA174" s="451"/>
      <c r="GB174" s="451"/>
      <c r="GC174" s="451"/>
      <c r="GD174" s="451"/>
      <c r="GE174" s="417" t="str">
        <f>IFERROR(VLOOKUP($CJ174,Skills!$H$2:$K$620,4,FALSE),"")</f>
        <v/>
      </c>
      <c r="GF174" s="417"/>
      <c r="GG174" s="417"/>
      <c r="GH174" s="417"/>
      <c r="GI174" s="417"/>
      <c r="GJ174" s="454"/>
      <c r="GK174" s="454"/>
      <c r="GL174" s="454"/>
      <c r="GM174" s="454"/>
      <c r="GN174" s="455"/>
    </row>
    <row r="175" spans="87:196" x14ac:dyDescent="0.25">
      <c r="CI175">
        <v>161</v>
      </c>
      <c r="CJ175">
        <v>411</v>
      </c>
      <c r="CK175" s="365" t="str">
        <f>IFERROR(VLOOKUP($CI175,Skills!$H$2:$N$620,7,FALSE),"")</f>
        <v/>
      </c>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445" t="str">
        <f>IFERROR(VLOOKUP($CI175,Skills!$H$2:$K$620,4,FALSE),"")</f>
        <v/>
      </c>
      <c r="ED175" s="445"/>
      <c r="EE175" s="445"/>
      <c r="EF175" s="445"/>
      <c r="EG175" s="445"/>
      <c r="EH175" s="446"/>
      <c r="EI175" s="446"/>
      <c r="EJ175" s="446"/>
      <c r="EK175" s="446"/>
      <c r="EL175" s="447"/>
      <c r="EM175" s="366" t="str">
        <f>IFERROR(VLOOKUP($CJ175,Skills!$H$2:$N$620,7,FALSE),"")</f>
        <v/>
      </c>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445" t="str">
        <f>IFERROR(VLOOKUP($CJ175,Skills!$H$2:$K$620,4,FALSE),"")</f>
        <v/>
      </c>
      <c r="GF175" s="445"/>
      <c r="GG175" s="445"/>
      <c r="GH175" s="445"/>
      <c r="GI175" s="445"/>
      <c r="GJ175" s="448"/>
      <c r="GK175" s="448"/>
      <c r="GL175" s="448"/>
      <c r="GM175" s="448"/>
      <c r="GN175" s="449"/>
    </row>
    <row r="176" spans="87:196" x14ac:dyDescent="0.25">
      <c r="CI176">
        <v>162</v>
      </c>
      <c r="CJ176">
        <v>412</v>
      </c>
      <c r="CK176" s="450" t="str">
        <f>IFERROR(VLOOKUP($CI176,Skills!$H$2:$N$620,7,FALSE),"")</f>
        <v/>
      </c>
      <c r="CL176" s="451"/>
      <c r="CM176" s="451"/>
      <c r="CN176" s="451"/>
      <c r="CO176" s="451"/>
      <c r="CP176" s="451"/>
      <c r="CQ176" s="451"/>
      <c r="CR176" s="451"/>
      <c r="CS176" s="451"/>
      <c r="CT176" s="451"/>
      <c r="CU176" s="451"/>
      <c r="CV176" s="451"/>
      <c r="CW176" s="451"/>
      <c r="CX176" s="451"/>
      <c r="CY176" s="451"/>
      <c r="CZ176" s="451"/>
      <c r="DA176" s="451"/>
      <c r="DB176" s="451"/>
      <c r="DC176" s="451"/>
      <c r="DD176" s="451"/>
      <c r="DE176" s="451"/>
      <c r="DF176" s="451"/>
      <c r="DG176" s="451"/>
      <c r="DH176" s="451"/>
      <c r="DI176" s="451"/>
      <c r="DJ176" s="451"/>
      <c r="DK176" s="451"/>
      <c r="DL176" s="451"/>
      <c r="DM176" s="451"/>
      <c r="DN176" s="451"/>
      <c r="DO176" s="451"/>
      <c r="DP176" s="451"/>
      <c r="DQ176" s="451"/>
      <c r="DR176" s="451"/>
      <c r="DS176" s="451"/>
      <c r="DT176" s="451"/>
      <c r="DU176" s="451"/>
      <c r="DV176" s="451"/>
      <c r="DW176" s="451"/>
      <c r="DX176" s="451"/>
      <c r="DY176" s="451"/>
      <c r="DZ176" s="451"/>
      <c r="EA176" s="451"/>
      <c r="EB176" s="451"/>
      <c r="EC176" s="417" t="str">
        <f>IFERROR(VLOOKUP($CI176,Skills!$H$2:$K$620,4,FALSE),"")</f>
        <v/>
      </c>
      <c r="ED176" s="417"/>
      <c r="EE176" s="417"/>
      <c r="EF176" s="417"/>
      <c r="EG176" s="417"/>
      <c r="EH176" s="452"/>
      <c r="EI176" s="452"/>
      <c r="EJ176" s="452"/>
      <c r="EK176" s="452"/>
      <c r="EL176" s="453"/>
      <c r="EM176" s="451" t="str">
        <f>IFERROR(VLOOKUP($CJ176,Skills!$H$2:$N$620,7,FALSE),"")</f>
        <v/>
      </c>
      <c r="EN176" s="451"/>
      <c r="EO176" s="451"/>
      <c r="EP176" s="451"/>
      <c r="EQ176" s="451"/>
      <c r="ER176" s="451"/>
      <c r="ES176" s="451"/>
      <c r="ET176" s="451"/>
      <c r="EU176" s="451"/>
      <c r="EV176" s="451"/>
      <c r="EW176" s="451"/>
      <c r="EX176" s="451"/>
      <c r="EY176" s="451"/>
      <c r="EZ176" s="451"/>
      <c r="FA176" s="451"/>
      <c r="FB176" s="451"/>
      <c r="FC176" s="451"/>
      <c r="FD176" s="451"/>
      <c r="FE176" s="451"/>
      <c r="FF176" s="451"/>
      <c r="FG176" s="451"/>
      <c r="FH176" s="451"/>
      <c r="FI176" s="451"/>
      <c r="FJ176" s="451"/>
      <c r="FK176" s="451"/>
      <c r="FL176" s="451"/>
      <c r="FM176" s="451"/>
      <c r="FN176" s="451"/>
      <c r="FO176" s="451"/>
      <c r="FP176" s="451"/>
      <c r="FQ176" s="451"/>
      <c r="FR176" s="451"/>
      <c r="FS176" s="451"/>
      <c r="FT176" s="451"/>
      <c r="FU176" s="451"/>
      <c r="FV176" s="451"/>
      <c r="FW176" s="451"/>
      <c r="FX176" s="451"/>
      <c r="FY176" s="451"/>
      <c r="FZ176" s="451"/>
      <c r="GA176" s="451"/>
      <c r="GB176" s="451"/>
      <c r="GC176" s="451"/>
      <c r="GD176" s="451"/>
      <c r="GE176" s="417" t="str">
        <f>IFERROR(VLOOKUP($CJ176,Skills!$H$2:$K$620,4,FALSE),"")</f>
        <v/>
      </c>
      <c r="GF176" s="417"/>
      <c r="GG176" s="417"/>
      <c r="GH176" s="417"/>
      <c r="GI176" s="417"/>
      <c r="GJ176" s="454"/>
      <c r="GK176" s="454"/>
      <c r="GL176" s="454"/>
      <c r="GM176" s="454"/>
      <c r="GN176" s="455"/>
    </row>
    <row r="177" spans="87:196" x14ac:dyDescent="0.25">
      <c r="CI177">
        <v>163</v>
      </c>
      <c r="CJ177">
        <v>413</v>
      </c>
      <c r="CK177" s="365" t="str">
        <f>IFERROR(VLOOKUP($CI177,Skills!$H$2:$N$620,7,FALSE),"")</f>
        <v/>
      </c>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445" t="str">
        <f>IFERROR(VLOOKUP($CI177,Skills!$H$2:$K$620,4,FALSE),"")</f>
        <v/>
      </c>
      <c r="ED177" s="445"/>
      <c r="EE177" s="445"/>
      <c r="EF177" s="445"/>
      <c r="EG177" s="445"/>
      <c r="EH177" s="446"/>
      <c r="EI177" s="446"/>
      <c r="EJ177" s="446"/>
      <c r="EK177" s="446"/>
      <c r="EL177" s="447"/>
      <c r="EM177" s="366" t="str">
        <f>IFERROR(VLOOKUP($CJ177,Skills!$H$2:$N$620,7,FALSE),"")</f>
        <v/>
      </c>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445" t="str">
        <f>IFERROR(VLOOKUP($CJ177,Skills!$H$2:$K$620,4,FALSE),"")</f>
        <v/>
      </c>
      <c r="GF177" s="445"/>
      <c r="GG177" s="445"/>
      <c r="GH177" s="445"/>
      <c r="GI177" s="445"/>
      <c r="GJ177" s="448"/>
      <c r="GK177" s="448"/>
      <c r="GL177" s="448"/>
      <c r="GM177" s="448"/>
      <c r="GN177" s="449"/>
    </row>
    <row r="178" spans="87:196" x14ac:dyDescent="0.25">
      <c r="CI178">
        <v>164</v>
      </c>
      <c r="CJ178">
        <v>414</v>
      </c>
      <c r="CK178" s="450" t="str">
        <f>IFERROR(VLOOKUP($CI178,Skills!$H$2:$N$620,7,FALSE),"")</f>
        <v/>
      </c>
      <c r="CL178" s="451"/>
      <c r="CM178" s="451"/>
      <c r="CN178" s="451"/>
      <c r="CO178" s="451"/>
      <c r="CP178" s="451"/>
      <c r="CQ178" s="451"/>
      <c r="CR178" s="451"/>
      <c r="CS178" s="451"/>
      <c r="CT178" s="451"/>
      <c r="CU178" s="451"/>
      <c r="CV178" s="451"/>
      <c r="CW178" s="451"/>
      <c r="CX178" s="451"/>
      <c r="CY178" s="451"/>
      <c r="CZ178" s="451"/>
      <c r="DA178" s="451"/>
      <c r="DB178" s="451"/>
      <c r="DC178" s="451"/>
      <c r="DD178" s="451"/>
      <c r="DE178" s="451"/>
      <c r="DF178" s="451"/>
      <c r="DG178" s="451"/>
      <c r="DH178" s="451"/>
      <c r="DI178" s="451"/>
      <c r="DJ178" s="451"/>
      <c r="DK178" s="451"/>
      <c r="DL178" s="451"/>
      <c r="DM178" s="451"/>
      <c r="DN178" s="451"/>
      <c r="DO178" s="451"/>
      <c r="DP178" s="451"/>
      <c r="DQ178" s="451"/>
      <c r="DR178" s="451"/>
      <c r="DS178" s="451"/>
      <c r="DT178" s="451"/>
      <c r="DU178" s="451"/>
      <c r="DV178" s="451"/>
      <c r="DW178" s="451"/>
      <c r="DX178" s="451"/>
      <c r="DY178" s="451"/>
      <c r="DZ178" s="451"/>
      <c r="EA178" s="451"/>
      <c r="EB178" s="451"/>
      <c r="EC178" s="417" t="str">
        <f>IFERROR(VLOOKUP($CI178,Skills!$H$2:$K$620,4,FALSE),"")</f>
        <v/>
      </c>
      <c r="ED178" s="417"/>
      <c r="EE178" s="417"/>
      <c r="EF178" s="417"/>
      <c r="EG178" s="417"/>
      <c r="EH178" s="452"/>
      <c r="EI178" s="452"/>
      <c r="EJ178" s="452"/>
      <c r="EK178" s="452"/>
      <c r="EL178" s="453"/>
      <c r="EM178" s="451" t="str">
        <f>IFERROR(VLOOKUP($CJ178,Skills!$H$2:$N$620,7,FALSE),"")</f>
        <v/>
      </c>
      <c r="EN178" s="451"/>
      <c r="EO178" s="451"/>
      <c r="EP178" s="451"/>
      <c r="EQ178" s="451"/>
      <c r="ER178" s="451"/>
      <c r="ES178" s="451"/>
      <c r="ET178" s="451"/>
      <c r="EU178" s="451"/>
      <c r="EV178" s="451"/>
      <c r="EW178" s="451"/>
      <c r="EX178" s="451"/>
      <c r="EY178" s="451"/>
      <c r="EZ178" s="451"/>
      <c r="FA178" s="451"/>
      <c r="FB178" s="451"/>
      <c r="FC178" s="451"/>
      <c r="FD178" s="451"/>
      <c r="FE178" s="451"/>
      <c r="FF178" s="451"/>
      <c r="FG178" s="451"/>
      <c r="FH178" s="451"/>
      <c r="FI178" s="451"/>
      <c r="FJ178" s="451"/>
      <c r="FK178" s="451"/>
      <c r="FL178" s="451"/>
      <c r="FM178" s="451"/>
      <c r="FN178" s="451"/>
      <c r="FO178" s="451"/>
      <c r="FP178" s="451"/>
      <c r="FQ178" s="451"/>
      <c r="FR178" s="451"/>
      <c r="FS178" s="451"/>
      <c r="FT178" s="451"/>
      <c r="FU178" s="451"/>
      <c r="FV178" s="451"/>
      <c r="FW178" s="451"/>
      <c r="FX178" s="451"/>
      <c r="FY178" s="451"/>
      <c r="FZ178" s="451"/>
      <c r="GA178" s="451"/>
      <c r="GB178" s="451"/>
      <c r="GC178" s="451"/>
      <c r="GD178" s="451"/>
      <c r="GE178" s="417" t="str">
        <f>IFERROR(VLOOKUP($CJ178,Skills!$H$2:$K$620,4,FALSE),"")</f>
        <v/>
      </c>
      <c r="GF178" s="417"/>
      <c r="GG178" s="417"/>
      <c r="GH178" s="417"/>
      <c r="GI178" s="417"/>
      <c r="GJ178" s="454"/>
      <c r="GK178" s="454"/>
      <c r="GL178" s="454"/>
      <c r="GM178" s="454"/>
      <c r="GN178" s="455"/>
    </row>
    <row r="179" spans="87:196" x14ac:dyDescent="0.25">
      <c r="CI179">
        <v>165</v>
      </c>
      <c r="CJ179">
        <v>415</v>
      </c>
      <c r="CK179" s="365" t="str">
        <f>IFERROR(VLOOKUP($CI179,Skills!$H$2:$N$620,7,FALSE),"")</f>
        <v/>
      </c>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445" t="str">
        <f>IFERROR(VLOOKUP($CI179,Skills!$H$2:$K$620,4,FALSE),"")</f>
        <v/>
      </c>
      <c r="ED179" s="445"/>
      <c r="EE179" s="445"/>
      <c r="EF179" s="445"/>
      <c r="EG179" s="445"/>
      <c r="EH179" s="446"/>
      <c r="EI179" s="446"/>
      <c r="EJ179" s="446"/>
      <c r="EK179" s="446"/>
      <c r="EL179" s="447"/>
      <c r="EM179" s="366" t="str">
        <f>IFERROR(VLOOKUP($CJ179,Skills!$H$2:$N$620,7,FALSE),"")</f>
        <v/>
      </c>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445" t="str">
        <f>IFERROR(VLOOKUP($CJ179,Skills!$H$2:$K$620,4,FALSE),"")</f>
        <v/>
      </c>
      <c r="GF179" s="445"/>
      <c r="GG179" s="445"/>
      <c r="GH179" s="445"/>
      <c r="GI179" s="445"/>
      <c r="GJ179" s="448"/>
      <c r="GK179" s="448"/>
      <c r="GL179" s="448"/>
      <c r="GM179" s="448"/>
      <c r="GN179" s="449"/>
    </row>
    <row r="180" spans="87:196" x14ac:dyDescent="0.25">
      <c r="CI180">
        <v>166</v>
      </c>
      <c r="CJ180">
        <v>416</v>
      </c>
      <c r="CK180" s="450" t="str">
        <f>IFERROR(VLOOKUP($CI180,Skills!$H$2:$N$620,7,FALSE),"")</f>
        <v/>
      </c>
      <c r="CL180" s="451"/>
      <c r="CM180" s="451"/>
      <c r="CN180" s="451"/>
      <c r="CO180" s="451"/>
      <c r="CP180" s="451"/>
      <c r="CQ180" s="451"/>
      <c r="CR180" s="451"/>
      <c r="CS180" s="451"/>
      <c r="CT180" s="451"/>
      <c r="CU180" s="451"/>
      <c r="CV180" s="451"/>
      <c r="CW180" s="451"/>
      <c r="CX180" s="451"/>
      <c r="CY180" s="451"/>
      <c r="CZ180" s="451"/>
      <c r="DA180" s="451"/>
      <c r="DB180" s="451"/>
      <c r="DC180" s="451"/>
      <c r="DD180" s="451"/>
      <c r="DE180" s="451"/>
      <c r="DF180" s="451"/>
      <c r="DG180" s="451"/>
      <c r="DH180" s="451"/>
      <c r="DI180" s="451"/>
      <c r="DJ180" s="451"/>
      <c r="DK180" s="451"/>
      <c r="DL180" s="451"/>
      <c r="DM180" s="451"/>
      <c r="DN180" s="451"/>
      <c r="DO180" s="451"/>
      <c r="DP180" s="451"/>
      <c r="DQ180" s="451"/>
      <c r="DR180" s="451"/>
      <c r="DS180" s="451"/>
      <c r="DT180" s="451"/>
      <c r="DU180" s="451"/>
      <c r="DV180" s="451"/>
      <c r="DW180" s="451"/>
      <c r="DX180" s="451"/>
      <c r="DY180" s="451"/>
      <c r="DZ180" s="451"/>
      <c r="EA180" s="451"/>
      <c r="EB180" s="451"/>
      <c r="EC180" s="417" t="str">
        <f>IFERROR(VLOOKUP($CI180,Skills!$H$2:$K$620,4,FALSE),"")</f>
        <v/>
      </c>
      <c r="ED180" s="417"/>
      <c r="EE180" s="417"/>
      <c r="EF180" s="417"/>
      <c r="EG180" s="417"/>
      <c r="EH180" s="452"/>
      <c r="EI180" s="452"/>
      <c r="EJ180" s="452"/>
      <c r="EK180" s="452"/>
      <c r="EL180" s="453"/>
      <c r="EM180" s="451" t="str">
        <f>IFERROR(VLOOKUP($CJ180,Skills!$H$2:$N$620,7,FALSE),"")</f>
        <v/>
      </c>
      <c r="EN180" s="451"/>
      <c r="EO180" s="451"/>
      <c r="EP180" s="451"/>
      <c r="EQ180" s="451"/>
      <c r="ER180" s="451"/>
      <c r="ES180" s="451"/>
      <c r="ET180" s="451"/>
      <c r="EU180" s="451"/>
      <c r="EV180" s="451"/>
      <c r="EW180" s="451"/>
      <c r="EX180" s="451"/>
      <c r="EY180" s="451"/>
      <c r="EZ180" s="451"/>
      <c r="FA180" s="451"/>
      <c r="FB180" s="451"/>
      <c r="FC180" s="451"/>
      <c r="FD180" s="451"/>
      <c r="FE180" s="451"/>
      <c r="FF180" s="451"/>
      <c r="FG180" s="451"/>
      <c r="FH180" s="451"/>
      <c r="FI180" s="451"/>
      <c r="FJ180" s="451"/>
      <c r="FK180" s="451"/>
      <c r="FL180" s="451"/>
      <c r="FM180" s="451"/>
      <c r="FN180" s="451"/>
      <c r="FO180" s="451"/>
      <c r="FP180" s="451"/>
      <c r="FQ180" s="451"/>
      <c r="FR180" s="451"/>
      <c r="FS180" s="451"/>
      <c r="FT180" s="451"/>
      <c r="FU180" s="451"/>
      <c r="FV180" s="451"/>
      <c r="FW180" s="451"/>
      <c r="FX180" s="451"/>
      <c r="FY180" s="451"/>
      <c r="FZ180" s="451"/>
      <c r="GA180" s="451"/>
      <c r="GB180" s="451"/>
      <c r="GC180" s="451"/>
      <c r="GD180" s="451"/>
      <c r="GE180" s="417" t="str">
        <f>IFERROR(VLOOKUP($CJ180,Skills!$H$2:$K$620,4,FALSE),"")</f>
        <v/>
      </c>
      <c r="GF180" s="417"/>
      <c r="GG180" s="417"/>
      <c r="GH180" s="417"/>
      <c r="GI180" s="417"/>
      <c r="GJ180" s="454"/>
      <c r="GK180" s="454"/>
      <c r="GL180" s="454"/>
      <c r="GM180" s="454"/>
      <c r="GN180" s="455"/>
    </row>
    <row r="181" spans="87:196" x14ac:dyDescent="0.25">
      <c r="CI181">
        <v>167</v>
      </c>
      <c r="CJ181">
        <v>417</v>
      </c>
      <c r="CK181" s="365" t="str">
        <f>IFERROR(VLOOKUP($CI181,Skills!$H$2:$N$620,7,FALSE),"")</f>
        <v/>
      </c>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445" t="str">
        <f>IFERROR(VLOOKUP($CI181,Skills!$H$2:$K$620,4,FALSE),"")</f>
        <v/>
      </c>
      <c r="ED181" s="445"/>
      <c r="EE181" s="445"/>
      <c r="EF181" s="445"/>
      <c r="EG181" s="445"/>
      <c r="EH181" s="446"/>
      <c r="EI181" s="446"/>
      <c r="EJ181" s="446"/>
      <c r="EK181" s="446"/>
      <c r="EL181" s="447"/>
      <c r="EM181" s="366" t="str">
        <f>IFERROR(VLOOKUP($CJ181,Skills!$H$2:$N$620,7,FALSE),"")</f>
        <v/>
      </c>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445" t="str">
        <f>IFERROR(VLOOKUP($CJ181,Skills!$H$2:$K$620,4,FALSE),"")</f>
        <v/>
      </c>
      <c r="GF181" s="445"/>
      <c r="GG181" s="445"/>
      <c r="GH181" s="445"/>
      <c r="GI181" s="445"/>
      <c r="GJ181" s="448"/>
      <c r="GK181" s="448"/>
      <c r="GL181" s="448"/>
      <c r="GM181" s="448"/>
      <c r="GN181" s="449"/>
    </row>
    <row r="182" spans="87:196" x14ac:dyDescent="0.25">
      <c r="CI182">
        <v>168</v>
      </c>
      <c r="CJ182">
        <v>418</v>
      </c>
      <c r="CK182" s="450" t="str">
        <f>IFERROR(VLOOKUP($CI182,Skills!$H$2:$N$620,7,FALSE),"")</f>
        <v/>
      </c>
      <c r="CL182" s="451"/>
      <c r="CM182" s="451"/>
      <c r="CN182" s="451"/>
      <c r="CO182" s="451"/>
      <c r="CP182" s="451"/>
      <c r="CQ182" s="451"/>
      <c r="CR182" s="451"/>
      <c r="CS182" s="451"/>
      <c r="CT182" s="451"/>
      <c r="CU182" s="451"/>
      <c r="CV182" s="451"/>
      <c r="CW182" s="451"/>
      <c r="CX182" s="451"/>
      <c r="CY182" s="451"/>
      <c r="CZ182" s="451"/>
      <c r="DA182" s="451"/>
      <c r="DB182" s="451"/>
      <c r="DC182" s="451"/>
      <c r="DD182" s="451"/>
      <c r="DE182" s="451"/>
      <c r="DF182" s="451"/>
      <c r="DG182" s="451"/>
      <c r="DH182" s="451"/>
      <c r="DI182" s="451"/>
      <c r="DJ182" s="451"/>
      <c r="DK182" s="451"/>
      <c r="DL182" s="451"/>
      <c r="DM182" s="451"/>
      <c r="DN182" s="451"/>
      <c r="DO182" s="451"/>
      <c r="DP182" s="451"/>
      <c r="DQ182" s="451"/>
      <c r="DR182" s="451"/>
      <c r="DS182" s="451"/>
      <c r="DT182" s="451"/>
      <c r="DU182" s="451"/>
      <c r="DV182" s="451"/>
      <c r="DW182" s="451"/>
      <c r="DX182" s="451"/>
      <c r="DY182" s="451"/>
      <c r="DZ182" s="451"/>
      <c r="EA182" s="451"/>
      <c r="EB182" s="451"/>
      <c r="EC182" s="417" t="str">
        <f>IFERROR(VLOOKUP($CI182,Skills!$H$2:$K$620,4,FALSE),"")</f>
        <v/>
      </c>
      <c r="ED182" s="417"/>
      <c r="EE182" s="417"/>
      <c r="EF182" s="417"/>
      <c r="EG182" s="417"/>
      <c r="EH182" s="452"/>
      <c r="EI182" s="452"/>
      <c r="EJ182" s="452"/>
      <c r="EK182" s="452"/>
      <c r="EL182" s="453"/>
      <c r="EM182" s="451" t="str">
        <f>IFERROR(VLOOKUP($CJ182,Skills!$H$2:$N$620,7,FALSE),"")</f>
        <v/>
      </c>
      <c r="EN182" s="451"/>
      <c r="EO182" s="451"/>
      <c r="EP182" s="451"/>
      <c r="EQ182" s="451"/>
      <c r="ER182" s="451"/>
      <c r="ES182" s="451"/>
      <c r="ET182" s="451"/>
      <c r="EU182" s="451"/>
      <c r="EV182" s="451"/>
      <c r="EW182" s="451"/>
      <c r="EX182" s="451"/>
      <c r="EY182" s="451"/>
      <c r="EZ182" s="451"/>
      <c r="FA182" s="451"/>
      <c r="FB182" s="451"/>
      <c r="FC182" s="451"/>
      <c r="FD182" s="451"/>
      <c r="FE182" s="451"/>
      <c r="FF182" s="451"/>
      <c r="FG182" s="451"/>
      <c r="FH182" s="451"/>
      <c r="FI182" s="451"/>
      <c r="FJ182" s="451"/>
      <c r="FK182" s="451"/>
      <c r="FL182" s="451"/>
      <c r="FM182" s="451"/>
      <c r="FN182" s="451"/>
      <c r="FO182" s="451"/>
      <c r="FP182" s="451"/>
      <c r="FQ182" s="451"/>
      <c r="FR182" s="451"/>
      <c r="FS182" s="451"/>
      <c r="FT182" s="451"/>
      <c r="FU182" s="451"/>
      <c r="FV182" s="451"/>
      <c r="FW182" s="451"/>
      <c r="FX182" s="451"/>
      <c r="FY182" s="451"/>
      <c r="FZ182" s="451"/>
      <c r="GA182" s="451"/>
      <c r="GB182" s="451"/>
      <c r="GC182" s="451"/>
      <c r="GD182" s="451"/>
      <c r="GE182" s="417" t="str">
        <f>IFERROR(VLOOKUP($CJ182,Skills!$H$2:$K$620,4,FALSE),"")</f>
        <v/>
      </c>
      <c r="GF182" s="417"/>
      <c r="GG182" s="417"/>
      <c r="GH182" s="417"/>
      <c r="GI182" s="417"/>
      <c r="GJ182" s="454"/>
      <c r="GK182" s="454"/>
      <c r="GL182" s="454"/>
      <c r="GM182" s="454"/>
      <c r="GN182" s="455"/>
    </row>
    <row r="183" spans="87:196" x14ac:dyDescent="0.25">
      <c r="CI183">
        <v>169</v>
      </c>
      <c r="CJ183">
        <v>419</v>
      </c>
      <c r="CK183" s="365" t="str">
        <f>IFERROR(VLOOKUP($CI183,Skills!$H$2:$N$620,7,FALSE),"")</f>
        <v/>
      </c>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445" t="str">
        <f>IFERROR(VLOOKUP($CI183,Skills!$H$2:$K$620,4,FALSE),"")</f>
        <v/>
      </c>
      <c r="ED183" s="445"/>
      <c r="EE183" s="445"/>
      <c r="EF183" s="445"/>
      <c r="EG183" s="445"/>
      <c r="EH183" s="446"/>
      <c r="EI183" s="446"/>
      <c r="EJ183" s="446"/>
      <c r="EK183" s="446"/>
      <c r="EL183" s="447"/>
      <c r="EM183" s="366" t="str">
        <f>IFERROR(VLOOKUP($CJ183,Skills!$H$2:$N$620,7,FALSE),"")</f>
        <v/>
      </c>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445" t="str">
        <f>IFERROR(VLOOKUP($CJ183,Skills!$H$2:$K$620,4,FALSE),"")</f>
        <v/>
      </c>
      <c r="GF183" s="445"/>
      <c r="GG183" s="445"/>
      <c r="GH183" s="445"/>
      <c r="GI183" s="445"/>
      <c r="GJ183" s="448"/>
      <c r="GK183" s="448"/>
      <c r="GL183" s="448"/>
      <c r="GM183" s="448"/>
      <c r="GN183" s="449"/>
    </row>
    <row r="184" spans="87:196" x14ac:dyDescent="0.25">
      <c r="CI184">
        <v>170</v>
      </c>
      <c r="CJ184">
        <v>420</v>
      </c>
      <c r="CK184" s="450" t="str">
        <f>IFERROR(VLOOKUP($CI184,Skills!$H$2:$N$620,7,FALSE),"")</f>
        <v/>
      </c>
      <c r="CL184" s="451"/>
      <c r="CM184" s="451"/>
      <c r="CN184" s="451"/>
      <c r="CO184" s="451"/>
      <c r="CP184" s="451"/>
      <c r="CQ184" s="451"/>
      <c r="CR184" s="451"/>
      <c r="CS184" s="451"/>
      <c r="CT184" s="451"/>
      <c r="CU184" s="451"/>
      <c r="CV184" s="451"/>
      <c r="CW184" s="451"/>
      <c r="CX184" s="451"/>
      <c r="CY184" s="451"/>
      <c r="CZ184" s="451"/>
      <c r="DA184" s="451"/>
      <c r="DB184" s="451"/>
      <c r="DC184" s="451"/>
      <c r="DD184" s="451"/>
      <c r="DE184" s="451"/>
      <c r="DF184" s="451"/>
      <c r="DG184" s="451"/>
      <c r="DH184" s="451"/>
      <c r="DI184" s="451"/>
      <c r="DJ184" s="451"/>
      <c r="DK184" s="451"/>
      <c r="DL184" s="451"/>
      <c r="DM184" s="451"/>
      <c r="DN184" s="451"/>
      <c r="DO184" s="451"/>
      <c r="DP184" s="451"/>
      <c r="DQ184" s="451"/>
      <c r="DR184" s="451"/>
      <c r="DS184" s="451"/>
      <c r="DT184" s="451"/>
      <c r="DU184" s="451"/>
      <c r="DV184" s="451"/>
      <c r="DW184" s="451"/>
      <c r="DX184" s="451"/>
      <c r="DY184" s="451"/>
      <c r="DZ184" s="451"/>
      <c r="EA184" s="451"/>
      <c r="EB184" s="451"/>
      <c r="EC184" s="417" t="str">
        <f>IFERROR(VLOOKUP($CI184,Skills!$H$2:$K$620,4,FALSE),"")</f>
        <v/>
      </c>
      <c r="ED184" s="417"/>
      <c r="EE184" s="417"/>
      <c r="EF184" s="417"/>
      <c r="EG184" s="417"/>
      <c r="EH184" s="452"/>
      <c r="EI184" s="452"/>
      <c r="EJ184" s="452"/>
      <c r="EK184" s="452"/>
      <c r="EL184" s="453"/>
      <c r="EM184" s="451" t="str">
        <f>IFERROR(VLOOKUP($CJ184,Skills!$H$2:$N$620,7,FALSE),"")</f>
        <v/>
      </c>
      <c r="EN184" s="451"/>
      <c r="EO184" s="451"/>
      <c r="EP184" s="451"/>
      <c r="EQ184" s="451"/>
      <c r="ER184" s="451"/>
      <c r="ES184" s="451"/>
      <c r="ET184" s="451"/>
      <c r="EU184" s="451"/>
      <c r="EV184" s="451"/>
      <c r="EW184" s="451"/>
      <c r="EX184" s="451"/>
      <c r="EY184" s="451"/>
      <c r="EZ184" s="451"/>
      <c r="FA184" s="451"/>
      <c r="FB184" s="451"/>
      <c r="FC184" s="451"/>
      <c r="FD184" s="451"/>
      <c r="FE184" s="451"/>
      <c r="FF184" s="451"/>
      <c r="FG184" s="451"/>
      <c r="FH184" s="451"/>
      <c r="FI184" s="451"/>
      <c r="FJ184" s="451"/>
      <c r="FK184" s="451"/>
      <c r="FL184" s="451"/>
      <c r="FM184" s="451"/>
      <c r="FN184" s="451"/>
      <c r="FO184" s="451"/>
      <c r="FP184" s="451"/>
      <c r="FQ184" s="451"/>
      <c r="FR184" s="451"/>
      <c r="FS184" s="451"/>
      <c r="FT184" s="451"/>
      <c r="FU184" s="451"/>
      <c r="FV184" s="451"/>
      <c r="FW184" s="451"/>
      <c r="FX184" s="451"/>
      <c r="FY184" s="451"/>
      <c r="FZ184" s="451"/>
      <c r="GA184" s="451"/>
      <c r="GB184" s="451"/>
      <c r="GC184" s="451"/>
      <c r="GD184" s="451"/>
      <c r="GE184" s="417" t="str">
        <f>IFERROR(VLOOKUP($CJ184,Skills!$H$2:$K$620,4,FALSE),"")</f>
        <v/>
      </c>
      <c r="GF184" s="417"/>
      <c r="GG184" s="417"/>
      <c r="GH184" s="417"/>
      <c r="GI184" s="417"/>
      <c r="GJ184" s="454"/>
      <c r="GK184" s="454"/>
      <c r="GL184" s="454"/>
      <c r="GM184" s="454"/>
      <c r="GN184" s="455"/>
    </row>
    <row r="185" spans="87:196" x14ac:dyDescent="0.25">
      <c r="CI185">
        <v>171</v>
      </c>
      <c r="CJ185">
        <v>421</v>
      </c>
      <c r="CK185" s="365" t="str">
        <f>IFERROR(VLOOKUP($CI185,Skills!$H$2:$N$620,7,FALSE),"")</f>
        <v/>
      </c>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445" t="str">
        <f>IFERROR(VLOOKUP($CI185,Skills!$H$2:$K$620,4,FALSE),"")</f>
        <v/>
      </c>
      <c r="ED185" s="445"/>
      <c r="EE185" s="445"/>
      <c r="EF185" s="445"/>
      <c r="EG185" s="445"/>
      <c r="EH185" s="446"/>
      <c r="EI185" s="446"/>
      <c r="EJ185" s="446"/>
      <c r="EK185" s="446"/>
      <c r="EL185" s="447"/>
      <c r="EM185" s="366" t="str">
        <f>IFERROR(VLOOKUP($CJ185,Skills!$H$2:$N$620,7,FALSE),"")</f>
        <v/>
      </c>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445" t="str">
        <f>IFERROR(VLOOKUP($CJ185,Skills!$H$2:$K$620,4,FALSE),"")</f>
        <v/>
      </c>
      <c r="GF185" s="445"/>
      <c r="GG185" s="445"/>
      <c r="GH185" s="445"/>
      <c r="GI185" s="445"/>
      <c r="GJ185" s="448"/>
      <c r="GK185" s="448"/>
      <c r="GL185" s="448"/>
      <c r="GM185" s="448"/>
      <c r="GN185" s="449"/>
    </row>
    <row r="186" spans="87:196" x14ac:dyDescent="0.25">
      <c r="CI186">
        <v>172</v>
      </c>
      <c r="CJ186">
        <v>422</v>
      </c>
      <c r="CK186" s="450" t="str">
        <f>IFERROR(VLOOKUP($CI186,Skills!$H$2:$N$620,7,FALSE),"")</f>
        <v/>
      </c>
      <c r="CL186" s="451"/>
      <c r="CM186" s="451"/>
      <c r="CN186" s="451"/>
      <c r="CO186" s="451"/>
      <c r="CP186" s="451"/>
      <c r="CQ186" s="451"/>
      <c r="CR186" s="451"/>
      <c r="CS186" s="451"/>
      <c r="CT186" s="451"/>
      <c r="CU186" s="451"/>
      <c r="CV186" s="451"/>
      <c r="CW186" s="451"/>
      <c r="CX186" s="451"/>
      <c r="CY186" s="451"/>
      <c r="CZ186" s="451"/>
      <c r="DA186" s="451"/>
      <c r="DB186" s="451"/>
      <c r="DC186" s="451"/>
      <c r="DD186" s="451"/>
      <c r="DE186" s="451"/>
      <c r="DF186" s="451"/>
      <c r="DG186" s="451"/>
      <c r="DH186" s="451"/>
      <c r="DI186" s="451"/>
      <c r="DJ186" s="451"/>
      <c r="DK186" s="451"/>
      <c r="DL186" s="451"/>
      <c r="DM186" s="451"/>
      <c r="DN186" s="451"/>
      <c r="DO186" s="451"/>
      <c r="DP186" s="451"/>
      <c r="DQ186" s="451"/>
      <c r="DR186" s="451"/>
      <c r="DS186" s="451"/>
      <c r="DT186" s="451"/>
      <c r="DU186" s="451"/>
      <c r="DV186" s="451"/>
      <c r="DW186" s="451"/>
      <c r="DX186" s="451"/>
      <c r="DY186" s="451"/>
      <c r="DZ186" s="451"/>
      <c r="EA186" s="451"/>
      <c r="EB186" s="451"/>
      <c r="EC186" s="417" t="str">
        <f>IFERROR(VLOOKUP($CI186,Skills!$H$2:$K$620,4,FALSE),"")</f>
        <v/>
      </c>
      <c r="ED186" s="417"/>
      <c r="EE186" s="417"/>
      <c r="EF186" s="417"/>
      <c r="EG186" s="417"/>
      <c r="EH186" s="452"/>
      <c r="EI186" s="452"/>
      <c r="EJ186" s="452"/>
      <c r="EK186" s="452"/>
      <c r="EL186" s="453"/>
      <c r="EM186" s="451" t="str">
        <f>IFERROR(VLOOKUP($CJ186,Skills!$H$2:$N$620,7,FALSE),"")</f>
        <v/>
      </c>
      <c r="EN186" s="451"/>
      <c r="EO186" s="451"/>
      <c r="EP186" s="451"/>
      <c r="EQ186" s="451"/>
      <c r="ER186" s="451"/>
      <c r="ES186" s="451"/>
      <c r="ET186" s="451"/>
      <c r="EU186" s="451"/>
      <c r="EV186" s="451"/>
      <c r="EW186" s="451"/>
      <c r="EX186" s="451"/>
      <c r="EY186" s="451"/>
      <c r="EZ186" s="451"/>
      <c r="FA186" s="451"/>
      <c r="FB186" s="451"/>
      <c r="FC186" s="451"/>
      <c r="FD186" s="451"/>
      <c r="FE186" s="451"/>
      <c r="FF186" s="451"/>
      <c r="FG186" s="451"/>
      <c r="FH186" s="451"/>
      <c r="FI186" s="451"/>
      <c r="FJ186" s="451"/>
      <c r="FK186" s="451"/>
      <c r="FL186" s="451"/>
      <c r="FM186" s="451"/>
      <c r="FN186" s="451"/>
      <c r="FO186" s="451"/>
      <c r="FP186" s="451"/>
      <c r="FQ186" s="451"/>
      <c r="FR186" s="451"/>
      <c r="FS186" s="451"/>
      <c r="FT186" s="451"/>
      <c r="FU186" s="451"/>
      <c r="FV186" s="451"/>
      <c r="FW186" s="451"/>
      <c r="FX186" s="451"/>
      <c r="FY186" s="451"/>
      <c r="FZ186" s="451"/>
      <c r="GA186" s="451"/>
      <c r="GB186" s="451"/>
      <c r="GC186" s="451"/>
      <c r="GD186" s="451"/>
      <c r="GE186" s="417" t="str">
        <f>IFERROR(VLOOKUP($CJ186,Skills!$H$2:$K$620,4,FALSE),"")</f>
        <v/>
      </c>
      <c r="GF186" s="417"/>
      <c r="GG186" s="417"/>
      <c r="GH186" s="417"/>
      <c r="GI186" s="417"/>
      <c r="GJ186" s="454"/>
      <c r="GK186" s="454"/>
      <c r="GL186" s="454"/>
      <c r="GM186" s="454"/>
      <c r="GN186" s="455"/>
    </row>
    <row r="187" spans="87:196" x14ac:dyDescent="0.25">
      <c r="CI187">
        <v>173</v>
      </c>
      <c r="CJ187">
        <v>423</v>
      </c>
      <c r="CK187" s="365" t="str">
        <f>IFERROR(VLOOKUP($CI187,Skills!$H$2:$N$620,7,FALSE),"")</f>
        <v/>
      </c>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445" t="str">
        <f>IFERROR(VLOOKUP($CI187,Skills!$H$2:$K$620,4,FALSE),"")</f>
        <v/>
      </c>
      <c r="ED187" s="445"/>
      <c r="EE187" s="445"/>
      <c r="EF187" s="445"/>
      <c r="EG187" s="445"/>
      <c r="EH187" s="446"/>
      <c r="EI187" s="446"/>
      <c r="EJ187" s="446"/>
      <c r="EK187" s="446"/>
      <c r="EL187" s="447"/>
      <c r="EM187" s="366" t="str">
        <f>IFERROR(VLOOKUP($CJ187,Skills!$H$2:$N$620,7,FALSE),"")</f>
        <v/>
      </c>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445" t="str">
        <f>IFERROR(VLOOKUP($CJ187,Skills!$H$2:$K$620,4,FALSE),"")</f>
        <v/>
      </c>
      <c r="GF187" s="445"/>
      <c r="GG187" s="445"/>
      <c r="GH187" s="445"/>
      <c r="GI187" s="445"/>
      <c r="GJ187" s="448"/>
      <c r="GK187" s="448"/>
      <c r="GL187" s="448"/>
      <c r="GM187" s="448"/>
      <c r="GN187" s="449"/>
    </row>
    <row r="188" spans="87:196" x14ac:dyDescent="0.25">
      <c r="CI188">
        <v>174</v>
      </c>
      <c r="CJ188">
        <v>424</v>
      </c>
      <c r="CK188" s="450" t="str">
        <f>IFERROR(VLOOKUP($CI188,Skills!$H$2:$N$620,7,FALSE),"")</f>
        <v/>
      </c>
      <c r="CL188" s="451"/>
      <c r="CM188" s="451"/>
      <c r="CN188" s="451"/>
      <c r="CO188" s="451"/>
      <c r="CP188" s="451"/>
      <c r="CQ188" s="451"/>
      <c r="CR188" s="451"/>
      <c r="CS188" s="451"/>
      <c r="CT188" s="451"/>
      <c r="CU188" s="451"/>
      <c r="CV188" s="451"/>
      <c r="CW188" s="451"/>
      <c r="CX188" s="451"/>
      <c r="CY188" s="451"/>
      <c r="CZ188" s="451"/>
      <c r="DA188" s="451"/>
      <c r="DB188" s="451"/>
      <c r="DC188" s="451"/>
      <c r="DD188" s="451"/>
      <c r="DE188" s="451"/>
      <c r="DF188" s="451"/>
      <c r="DG188" s="451"/>
      <c r="DH188" s="451"/>
      <c r="DI188" s="451"/>
      <c r="DJ188" s="451"/>
      <c r="DK188" s="451"/>
      <c r="DL188" s="451"/>
      <c r="DM188" s="451"/>
      <c r="DN188" s="451"/>
      <c r="DO188" s="451"/>
      <c r="DP188" s="451"/>
      <c r="DQ188" s="451"/>
      <c r="DR188" s="451"/>
      <c r="DS188" s="451"/>
      <c r="DT188" s="451"/>
      <c r="DU188" s="451"/>
      <c r="DV188" s="451"/>
      <c r="DW188" s="451"/>
      <c r="DX188" s="451"/>
      <c r="DY188" s="451"/>
      <c r="DZ188" s="451"/>
      <c r="EA188" s="451"/>
      <c r="EB188" s="451"/>
      <c r="EC188" s="417" t="str">
        <f>IFERROR(VLOOKUP($CI188,Skills!$H$2:$K$620,4,FALSE),"")</f>
        <v/>
      </c>
      <c r="ED188" s="417"/>
      <c r="EE188" s="417"/>
      <c r="EF188" s="417"/>
      <c r="EG188" s="417"/>
      <c r="EH188" s="452"/>
      <c r="EI188" s="452"/>
      <c r="EJ188" s="452"/>
      <c r="EK188" s="452"/>
      <c r="EL188" s="453"/>
      <c r="EM188" s="451" t="str">
        <f>IFERROR(VLOOKUP($CJ188,Skills!$H$2:$N$620,7,FALSE),"")</f>
        <v/>
      </c>
      <c r="EN188" s="451"/>
      <c r="EO188" s="451"/>
      <c r="EP188" s="451"/>
      <c r="EQ188" s="451"/>
      <c r="ER188" s="451"/>
      <c r="ES188" s="451"/>
      <c r="ET188" s="451"/>
      <c r="EU188" s="451"/>
      <c r="EV188" s="451"/>
      <c r="EW188" s="451"/>
      <c r="EX188" s="451"/>
      <c r="EY188" s="451"/>
      <c r="EZ188" s="451"/>
      <c r="FA188" s="451"/>
      <c r="FB188" s="451"/>
      <c r="FC188" s="451"/>
      <c r="FD188" s="451"/>
      <c r="FE188" s="451"/>
      <c r="FF188" s="451"/>
      <c r="FG188" s="451"/>
      <c r="FH188" s="451"/>
      <c r="FI188" s="451"/>
      <c r="FJ188" s="451"/>
      <c r="FK188" s="451"/>
      <c r="FL188" s="451"/>
      <c r="FM188" s="451"/>
      <c r="FN188" s="451"/>
      <c r="FO188" s="451"/>
      <c r="FP188" s="451"/>
      <c r="FQ188" s="451"/>
      <c r="FR188" s="451"/>
      <c r="FS188" s="451"/>
      <c r="FT188" s="451"/>
      <c r="FU188" s="451"/>
      <c r="FV188" s="451"/>
      <c r="FW188" s="451"/>
      <c r="FX188" s="451"/>
      <c r="FY188" s="451"/>
      <c r="FZ188" s="451"/>
      <c r="GA188" s="451"/>
      <c r="GB188" s="451"/>
      <c r="GC188" s="451"/>
      <c r="GD188" s="451"/>
      <c r="GE188" s="417" t="str">
        <f>IFERROR(VLOOKUP($CJ188,Skills!$H$2:$K$620,4,FALSE),"")</f>
        <v/>
      </c>
      <c r="GF188" s="417"/>
      <c r="GG188" s="417"/>
      <c r="GH188" s="417"/>
      <c r="GI188" s="417"/>
      <c r="GJ188" s="454"/>
      <c r="GK188" s="454"/>
      <c r="GL188" s="454"/>
      <c r="GM188" s="454"/>
      <c r="GN188" s="455"/>
    </row>
    <row r="189" spans="87:196" x14ac:dyDescent="0.25">
      <c r="CI189">
        <v>175</v>
      </c>
      <c r="CJ189">
        <v>425</v>
      </c>
      <c r="CK189" s="365" t="str">
        <f>IFERROR(VLOOKUP($CI189,Skills!$H$2:$N$620,7,FALSE),"")</f>
        <v/>
      </c>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445" t="str">
        <f>IFERROR(VLOOKUP($CI189,Skills!$H$2:$K$620,4,FALSE),"")</f>
        <v/>
      </c>
      <c r="ED189" s="445"/>
      <c r="EE189" s="445"/>
      <c r="EF189" s="445"/>
      <c r="EG189" s="445"/>
      <c r="EH189" s="446"/>
      <c r="EI189" s="446"/>
      <c r="EJ189" s="446"/>
      <c r="EK189" s="446"/>
      <c r="EL189" s="447"/>
      <c r="EM189" s="366" t="str">
        <f>IFERROR(VLOOKUP($CJ189,Skills!$H$2:$N$620,7,FALSE),"")</f>
        <v/>
      </c>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445" t="str">
        <f>IFERROR(VLOOKUP($CJ189,Skills!$H$2:$K$620,4,FALSE),"")</f>
        <v/>
      </c>
      <c r="GF189" s="445"/>
      <c r="GG189" s="445"/>
      <c r="GH189" s="445"/>
      <c r="GI189" s="445"/>
      <c r="GJ189" s="448"/>
      <c r="GK189" s="448"/>
      <c r="GL189" s="448"/>
      <c r="GM189" s="448"/>
      <c r="GN189" s="449"/>
    </row>
    <row r="190" spans="87:196" x14ac:dyDescent="0.25">
      <c r="CI190">
        <v>176</v>
      </c>
      <c r="CJ190">
        <v>426</v>
      </c>
      <c r="CK190" s="450" t="str">
        <f>IFERROR(VLOOKUP($CI190,Skills!$H$2:$N$620,7,FALSE),"")</f>
        <v/>
      </c>
      <c r="CL190" s="451"/>
      <c r="CM190" s="451"/>
      <c r="CN190" s="451"/>
      <c r="CO190" s="451"/>
      <c r="CP190" s="451"/>
      <c r="CQ190" s="451"/>
      <c r="CR190" s="451"/>
      <c r="CS190" s="451"/>
      <c r="CT190" s="451"/>
      <c r="CU190" s="451"/>
      <c r="CV190" s="451"/>
      <c r="CW190" s="451"/>
      <c r="CX190" s="451"/>
      <c r="CY190" s="451"/>
      <c r="CZ190" s="451"/>
      <c r="DA190" s="451"/>
      <c r="DB190" s="451"/>
      <c r="DC190" s="451"/>
      <c r="DD190" s="451"/>
      <c r="DE190" s="451"/>
      <c r="DF190" s="451"/>
      <c r="DG190" s="451"/>
      <c r="DH190" s="451"/>
      <c r="DI190" s="451"/>
      <c r="DJ190" s="451"/>
      <c r="DK190" s="451"/>
      <c r="DL190" s="451"/>
      <c r="DM190" s="451"/>
      <c r="DN190" s="451"/>
      <c r="DO190" s="451"/>
      <c r="DP190" s="451"/>
      <c r="DQ190" s="451"/>
      <c r="DR190" s="451"/>
      <c r="DS190" s="451"/>
      <c r="DT190" s="451"/>
      <c r="DU190" s="451"/>
      <c r="DV190" s="451"/>
      <c r="DW190" s="451"/>
      <c r="DX190" s="451"/>
      <c r="DY190" s="451"/>
      <c r="DZ190" s="451"/>
      <c r="EA190" s="451"/>
      <c r="EB190" s="451"/>
      <c r="EC190" s="417" t="str">
        <f>IFERROR(VLOOKUP($CI190,Skills!$H$2:$K$620,4,FALSE),"")</f>
        <v/>
      </c>
      <c r="ED190" s="417"/>
      <c r="EE190" s="417"/>
      <c r="EF190" s="417"/>
      <c r="EG190" s="417"/>
      <c r="EH190" s="452"/>
      <c r="EI190" s="452"/>
      <c r="EJ190" s="452"/>
      <c r="EK190" s="452"/>
      <c r="EL190" s="453"/>
      <c r="EM190" s="451" t="str">
        <f>IFERROR(VLOOKUP($CJ190,Skills!$H$2:$N$620,7,FALSE),"")</f>
        <v/>
      </c>
      <c r="EN190" s="451"/>
      <c r="EO190" s="451"/>
      <c r="EP190" s="451"/>
      <c r="EQ190" s="451"/>
      <c r="ER190" s="451"/>
      <c r="ES190" s="451"/>
      <c r="ET190" s="451"/>
      <c r="EU190" s="451"/>
      <c r="EV190" s="451"/>
      <c r="EW190" s="451"/>
      <c r="EX190" s="451"/>
      <c r="EY190" s="451"/>
      <c r="EZ190" s="451"/>
      <c r="FA190" s="451"/>
      <c r="FB190" s="451"/>
      <c r="FC190" s="451"/>
      <c r="FD190" s="451"/>
      <c r="FE190" s="451"/>
      <c r="FF190" s="451"/>
      <c r="FG190" s="451"/>
      <c r="FH190" s="451"/>
      <c r="FI190" s="451"/>
      <c r="FJ190" s="451"/>
      <c r="FK190" s="451"/>
      <c r="FL190" s="451"/>
      <c r="FM190" s="451"/>
      <c r="FN190" s="451"/>
      <c r="FO190" s="451"/>
      <c r="FP190" s="451"/>
      <c r="FQ190" s="451"/>
      <c r="FR190" s="451"/>
      <c r="FS190" s="451"/>
      <c r="FT190" s="451"/>
      <c r="FU190" s="451"/>
      <c r="FV190" s="451"/>
      <c r="FW190" s="451"/>
      <c r="FX190" s="451"/>
      <c r="FY190" s="451"/>
      <c r="FZ190" s="451"/>
      <c r="GA190" s="451"/>
      <c r="GB190" s="451"/>
      <c r="GC190" s="451"/>
      <c r="GD190" s="451"/>
      <c r="GE190" s="417" t="str">
        <f>IFERROR(VLOOKUP($CJ190,Skills!$H$2:$K$620,4,FALSE),"")</f>
        <v/>
      </c>
      <c r="GF190" s="417"/>
      <c r="GG190" s="417"/>
      <c r="GH190" s="417"/>
      <c r="GI190" s="417"/>
      <c r="GJ190" s="454"/>
      <c r="GK190" s="454"/>
      <c r="GL190" s="454"/>
      <c r="GM190" s="454"/>
      <c r="GN190" s="455"/>
    </row>
    <row r="191" spans="87:196" x14ac:dyDescent="0.25">
      <c r="CI191">
        <v>177</v>
      </c>
      <c r="CJ191">
        <v>427</v>
      </c>
      <c r="CK191" s="365" t="str">
        <f>IFERROR(VLOOKUP($CI191,Skills!$H$2:$N$620,7,FALSE),"")</f>
        <v/>
      </c>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445" t="str">
        <f>IFERROR(VLOOKUP($CI191,Skills!$H$2:$K$620,4,FALSE),"")</f>
        <v/>
      </c>
      <c r="ED191" s="445"/>
      <c r="EE191" s="445"/>
      <c r="EF191" s="445"/>
      <c r="EG191" s="445"/>
      <c r="EH191" s="446"/>
      <c r="EI191" s="446"/>
      <c r="EJ191" s="446"/>
      <c r="EK191" s="446"/>
      <c r="EL191" s="447"/>
      <c r="EM191" s="366" t="str">
        <f>IFERROR(VLOOKUP($CJ191,Skills!$H$2:$N$620,7,FALSE),"")</f>
        <v/>
      </c>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445" t="str">
        <f>IFERROR(VLOOKUP($CJ191,Skills!$H$2:$K$620,4,FALSE),"")</f>
        <v/>
      </c>
      <c r="GF191" s="445"/>
      <c r="GG191" s="445"/>
      <c r="GH191" s="445"/>
      <c r="GI191" s="445"/>
      <c r="GJ191" s="448"/>
      <c r="GK191" s="448"/>
      <c r="GL191" s="448"/>
      <c r="GM191" s="448"/>
      <c r="GN191" s="449"/>
    </row>
    <row r="192" spans="87:196" x14ac:dyDescent="0.25">
      <c r="CI192">
        <v>178</v>
      </c>
      <c r="CJ192">
        <v>428</v>
      </c>
      <c r="CK192" s="450" t="str">
        <f>IFERROR(VLOOKUP($CI192,Skills!$H$2:$N$620,7,FALSE),"")</f>
        <v/>
      </c>
      <c r="CL192" s="451"/>
      <c r="CM192" s="451"/>
      <c r="CN192" s="451"/>
      <c r="CO192" s="451"/>
      <c r="CP192" s="451"/>
      <c r="CQ192" s="451"/>
      <c r="CR192" s="451"/>
      <c r="CS192" s="451"/>
      <c r="CT192" s="451"/>
      <c r="CU192" s="451"/>
      <c r="CV192" s="451"/>
      <c r="CW192" s="451"/>
      <c r="CX192" s="451"/>
      <c r="CY192" s="451"/>
      <c r="CZ192" s="451"/>
      <c r="DA192" s="451"/>
      <c r="DB192" s="451"/>
      <c r="DC192" s="451"/>
      <c r="DD192" s="451"/>
      <c r="DE192" s="451"/>
      <c r="DF192" s="451"/>
      <c r="DG192" s="451"/>
      <c r="DH192" s="451"/>
      <c r="DI192" s="451"/>
      <c r="DJ192" s="451"/>
      <c r="DK192" s="451"/>
      <c r="DL192" s="451"/>
      <c r="DM192" s="451"/>
      <c r="DN192" s="451"/>
      <c r="DO192" s="451"/>
      <c r="DP192" s="451"/>
      <c r="DQ192" s="451"/>
      <c r="DR192" s="451"/>
      <c r="DS192" s="451"/>
      <c r="DT192" s="451"/>
      <c r="DU192" s="451"/>
      <c r="DV192" s="451"/>
      <c r="DW192" s="451"/>
      <c r="DX192" s="451"/>
      <c r="DY192" s="451"/>
      <c r="DZ192" s="451"/>
      <c r="EA192" s="451"/>
      <c r="EB192" s="451"/>
      <c r="EC192" s="417" t="str">
        <f>IFERROR(VLOOKUP($CI192,Skills!$H$2:$K$620,4,FALSE),"")</f>
        <v/>
      </c>
      <c r="ED192" s="417"/>
      <c r="EE192" s="417"/>
      <c r="EF192" s="417"/>
      <c r="EG192" s="417"/>
      <c r="EH192" s="452"/>
      <c r="EI192" s="452"/>
      <c r="EJ192" s="452"/>
      <c r="EK192" s="452"/>
      <c r="EL192" s="453"/>
      <c r="EM192" s="451" t="str">
        <f>IFERROR(VLOOKUP($CJ192,Skills!$H$2:$N$620,7,FALSE),"")</f>
        <v/>
      </c>
      <c r="EN192" s="451"/>
      <c r="EO192" s="451"/>
      <c r="EP192" s="451"/>
      <c r="EQ192" s="451"/>
      <c r="ER192" s="451"/>
      <c r="ES192" s="451"/>
      <c r="ET192" s="451"/>
      <c r="EU192" s="451"/>
      <c r="EV192" s="451"/>
      <c r="EW192" s="451"/>
      <c r="EX192" s="451"/>
      <c r="EY192" s="451"/>
      <c r="EZ192" s="451"/>
      <c r="FA192" s="451"/>
      <c r="FB192" s="451"/>
      <c r="FC192" s="451"/>
      <c r="FD192" s="451"/>
      <c r="FE192" s="451"/>
      <c r="FF192" s="451"/>
      <c r="FG192" s="451"/>
      <c r="FH192" s="451"/>
      <c r="FI192" s="451"/>
      <c r="FJ192" s="451"/>
      <c r="FK192" s="451"/>
      <c r="FL192" s="451"/>
      <c r="FM192" s="451"/>
      <c r="FN192" s="451"/>
      <c r="FO192" s="451"/>
      <c r="FP192" s="451"/>
      <c r="FQ192" s="451"/>
      <c r="FR192" s="451"/>
      <c r="FS192" s="451"/>
      <c r="FT192" s="451"/>
      <c r="FU192" s="451"/>
      <c r="FV192" s="451"/>
      <c r="FW192" s="451"/>
      <c r="FX192" s="451"/>
      <c r="FY192" s="451"/>
      <c r="FZ192" s="451"/>
      <c r="GA192" s="451"/>
      <c r="GB192" s="451"/>
      <c r="GC192" s="451"/>
      <c r="GD192" s="451"/>
      <c r="GE192" s="417" t="str">
        <f>IFERROR(VLOOKUP($CJ192,Skills!$H$2:$K$620,4,FALSE),"")</f>
        <v/>
      </c>
      <c r="GF192" s="417"/>
      <c r="GG192" s="417"/>
      <c r="GH192" s="417"/>
      <c r="GI192" s="417"/>
      <c r="GJ192" s="454"/>
      <c r="GK192" s="454"/>
      <c r="GL192" s="454"/>
      <c r="GM192" s="454"/>
      <c r="GN192" s="455"/>
    </row>
    <row r="193" spans="87:196" x14ac:dyDescent="0.25">
      <c r="CI193">
        <v>179</v>
      </c>
      <c r="CJ193">
        <v>429</v>
      </c>
      <c r="CK193" s="365" t="str">
        <f>IFERROR(VLOOKUP($CI193,Skills!$H$2:$N$620,7,FALSE),"")</f>
        <v/>
      </c>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445" t="str">
        <f>IFERROR(VLOOKUP($CI193,Skills!$H$2:$K$620,4,FALSE),"")</f>
        <v/>
      </c>
      <c r="ED193" s="445"/>
      <c r="EE193" s="445"/>
      <c r="EF193" s="445"/>
      <c r="EG193" s="445"/>
      <c r="EH193" s="446"/>
      <c r="EI193" s="446"/>
      <c r="EJ193" s="446"/>
      <c r="EK193" s="446"/>
      <c r="EL193" s="447"/>
      <c r="EM193" s="366" t="str">
        <f>IFERROR(VLOOKUP($CJ193,Skills!$H$2:$N$620,7,FALSE),"")</f>
        <v/>
      </c>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445" t="str">
        <f>IFERROR(VLOOKUP($CJ193,Skills!$H$2:$K$620,4,FALSE),"")</f>
        <v/>
      </c>
      <c r="GF193" s="445"/>
      <c r="GG193" s="445"/>
      <c r="GH193" s="445"/>
      <c r="GI193" s="445"/>
      <c r="GJ193" s="448"/>
      <c r="GK193" s="448"/>
      <c r="GL193" s="448"/>
      <c r="GM193" s="448"/>
      <c r="GN193" s="449"/>
    </row>
    <row r="194" spans="87:196" x14ac:dyDescent="0.25">
      <c r="CI194">
        <v>180</v>
      </c>
      <c r="CJ194">
        <v>430</v>
      </c>
      <c r="CK194" s="450" t="str">
        <f>IFERROR(VLOOKUP($CI194,Skills!$H$2:$N$620,7,FALSE),"")</f>
        <v/>
      </c>
      <c r="CL194" s="451"/>
      <c r="CM194" s="451"/>
      <c r="CN194" s="451"/>
      <c r="CO194" s="451"/>
      <c r="CP194" s="451"/>
      <c r="CQ194" s="451"/>
      <c r="CR194" s="451"/>
      <c r="CS194" s="451"/>
      <c r="CT194" s="451"/>
      <c r="CU194" s="451"/>
      <c r="CV194" s="451"/>
      <c r="CW194" s="451"/>
      <c r="CX194" s="451"/>
      <c r="CY194" s="451"/>
      <c r="CZ194" s="451"/>
      <c r="DA194" s="451"/>
      <c r="DB194" s="451"/>
      <c r="DC194" s="451"/>
      <c r="DD194" s="451"/>
      <c r="DE194" s="451"/>
      <c r="DF194" s="451"/>
      <c r="DG194" s="451"/>
      <c r="DH194" s="451"/>
      <c r="DI194" s="451"/>
      <c r="DJ194" s="451"/>
      <c r="DK194" s="451"/>
      <c r="DL194" s="451"/>
      <c r="DM194" s="451"/>
      <c r="DN194" s="451"/>
      <c r="DO194" s="451"/>
      <c r="DP194" s="451"/>
      <c r="DQ194" s="451"/>
      <c r="DR194" s="451"/>
      <c r="DS194" s="451"/>
      <c r="DT194" s="451"/>
      <c r="DU194" s="451"/>
      <c r="DV194" s="451"/>
      <c r="DW194" s="451"/>
      <c r="DX194" s="451"/>
      <c r="DY194" s="451"/>
      <c r="DZ194" s="451"/>
      <c r="EA194" s="451"/>
      <c r="EB194" s="451"/>
      <c r="EC194" s="417" t="str">
        <f>IFERROR(VLOOKUP($CI194,Skills!$H$2:$K$620,4,FALSE),"")</f>
        <v/>
      </c>
      <c r="ED194" s="417"/>
      <c r="EE194" s="417"/>
      <c r="EF194" s="417"/>
      <c r="EG194" s="417"/>
      <c r="EH194" s="452"/>
      <c r="EI194" s="452"/>
      <c r="EJ194" s="452"/>
      <c r="EK194" s="452"/>
      <c r="EL194" s="453"/>
      <c r="EM194" s="451" t="str">
        <f>IFERROR(VLOOKUP($CJ194,Skills!$H$2:$N$620,7,FALSE),"")</f>
        <v/>
      </c>
      <c r="EN194" s="451"/>
      <c r="EO194" s="451"/>
      <c r="EP194" s="451"/>
      <c r="EQ194" s="451"/>
      <c r="ER194" s="451"/>
      <c r="ES194" s="451"/>
      <c r="ET194" s="451"/>
      <c r="EU194" s="451"/>
      <c r="EV194" s="451"/>
      <c r="EW194" s="451"/>
      <c r="EX194" s="451"/>
      <c r="EY194" s="451"/>
      <c r="EZ194" s="451"/>
      <c r="FA194" s="451"/>
      <c r="FB194" s="451"/>
      <c r="FC194" s="451"/>
      <c r="FD194" s="451"/>
      <c r="FE194" s="451"/>
      <c r="FF194" s="451"/>
      <c r="FG194" s="451"/>
      <c r="FH194" s="451"/>
      <c r="FI194" s="451"/>
      <c r="FJ194" s="451"/>
      <c r="FK194" s="451"/>
      <c r="FL194" s="451"/>
      <c r="FM194" s="451"/>
      <c r="FN194" s="451"/>
      <c r="FO194" s="451"/>
      <c r="FP194" s="451"/>
      <c r="FQ194" s="451"/>
      <c r="FR194" s="451"/>
      <c r="FS194" s="451"/>
      <c r="FT194" s="451"/>
      <c r="FU194" s="451"/>
      <c r="FV194" s="451"/>
      <c r="FW194" s="451"/>
      <c r="FX194" s="451"/>
      <c r="FY194" s="451"/>
      <c r="FZ194" s="451"/>
      <c r="GA194" s="451"/>
      <c r="GB194" s="451"/>
      <c r="GC194" s="451"/>
      <c r="GD194" s="451"/>
      <c r="GE194" s="417" t="str">
        <f>IFERROR(VLOOKUP($CJ194,Skills!$H$2:$K$620,4,FALSE),"")</f>
        <v/>
      </c>
      <c r="GF194" s="417"/>
      <c r="GG194" s="417"/>
      <c r="GH194" s="417"/>
      <c r="GI194" s="417"/>
      <c r="GJ194" s="454"/>
      <c r="GK194" s="454"/>
      <c r="GL194" s="454"/>
      <c r="GM194" s="454"/>
      <c r="GN194" s="455"/>
    </row>
    <row r="195" spans="87:196" x14ac:dyDescent="0.25">
      <c r="CI195">
        <v>181</v>
      </c>
      <c r="CJ195">
        <v>431</v>
      </c>
      <c r="CK195" s="365" t="str">
        <f>IFERROR(VLOOKUP($CI195,Skills!$H$2:$N$620,7,FALSE),"")</f>
        <v/>
      </c>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445" t="str">
        <f>IFERROR(VLOOKUP($CI195,Skills!$H$2:$K$620,4,FALSE),"")</f>
        <v/>
      </c>
      <c r="ED195" s="445"/>
      <c r="EE195" s="445"/>
      <c r="EF195" s="445"/>
      <c r="EG195" s="445"/>
      <c r="EH195" s="446"/>
      <c r="EI195" s="446"/>
      <c r="EJ195" s="446"/>
      <c r="EK195" s="446"/>
      <c r="EL195" s="447"/>
      <c r="EM195" s="366" t="str">
        <f>IFERROR(VLOOKUP($CJ195,Skills!$H$2:$N$620,7,FALSE),"")</f>
        <v/>
      </c>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445" t="str">
        <f>IFERROR(VLOOKUP($CJ195,Skills!$H$2:$K$620,4,FALSE),"")</f>
        <v/>
      </c>
      <c r="GF195" s="445"/>
      <c r="GG195" s="445"/>
      <c r="GH195" s="445"/>
      <c r="GI195" s="445"/>
      <c r="GJ195" s="448"/>
      <c r="GK195" s="448"/>
      <c r="GL195" s="448"/>
      <c r="GM195" s="448"/>
      <c r="GN195" s="449"/>
    </row>
    <row r="196" spans="87:196" x14ac:dyDescent="0.25">
      <c r="CI196">
        <v>182</v>
      </c>
      <c r="CJ196">
        <v>432</v>
      </c>
      <c r="CK196" s="450" t="str">
        <f>IFERROR(VLOOKUP($CI196,Skills!$H$2:$N$620,7,FALSE),"")</f>
        <v/>
      </c>
      <c r="CL196" s="451"/>
      <c r="CM196" s="451"/>
      <c r="CN196" s="451"/>
      <c r="CO196" s="451"/>
      <c r="CP196" s="451"/>
      <c r="CQ196" s="451"/>
      <c r="CR196" s="451"/>
      <c r="CS196" s="451"/>
      <c r="CT196" s="451"/>
      <c r="CU196" s="451"/>
      <c r="CV196" s="451"/>
      <c r="CW196" s="451"/>
      <c r="CX196" s="451"/>
      <c r="CY196" s="451"/>
      <c r="CZ196" s="451"/>
      <c r="DA196" s="451"/>
      <c r="DB196" s="451"/>
      <c r="DC196" s="451"/>
      <c r="DD196" s="451"/>
      <c r="DE196" s="451"/>
      <c r="DF196" s="451"/>
      <c r="DG196" s="451"/>
      <c r="DH196" s="451"/>
      <c r="DI196" s="451"/>
      <c r="DJ196" s="451"/>
      <c r="DK196" s="451"/>
      <c r="DL196" s="451"/>
      <c r="DM196" s="451"/>
      <c r="DN196" s="451"/>
      <c r="DO196" s="451"/>
      <c r="DP196" s="451"/>
      <c r="DQ196" s="451"/>
      <c r="DR196" s="451"/>
      <c r="DS196" s="451"/>
      <c r="DT196" s="451"/>
      <c r="DU196" s="451"/>
      <c r="DV196" s="451"/>
      <c r="DW196" s="451"/>
      <c r="DX196" s="451"/>
      <c r="DY196" s="451"/>
      <c r="DZ196" s="451"/>
      <c r="EA196" s="451"/>
      <c r="EB196" s="451"/>
      <c r="EC196" s="417" t="str">
        <f>IFERROR(VLOOKUP($CI196,Skills!$H$2:$K$620,4,FALSE),"")</f>
        <v/>
      </c>
      <c r="ED196" s="417"/>
      <c r="EE196" s="417"/>
      <c r="EF196" s="417"/>
      <c r="EG196" s="417"/>
      <c r="EH196" s="452"/>
      <c r="EI196" s="452"/>
      <c r="EJ196" s="452"/>
      <c r="EK196" s="452"/>
      <c r="EL196" s="453"/>
      <c r="EM196" s="451" t="str">
        <f>IFERROR(VLOOKUP($CJ196,Skills!$H$2:$N$620,7,FALSE),"")</f>
        <v/>
      </c>
      <c r="EN196" s="451"/>
      <c r="EO196" s="451"/>
      <c r="EP196" s="451"/>
      <c r="EQ196" s="451"/>
      <c r="ER196" s="451"/>
      <c r="ES196" s="451"/>
      <c r="ET196" s="451"/>
      <c r="EU196" s="451"/>
      <c r="EV196" s="451"/>
      <c r="EW196" s="451"/>
      <c r="EX196" s="451"/>
      <c r="EY196" s="451"/>
      <c r="EZ196" s="451"/>
      <c r="FA196" s="451"/>
      <c r="FB196" s="451"/>
      <c r="FC196" s="451"/>
      <c r="FD196" s="451"/>
      <c r="FE196" s="451"/>
      <c r="FF196" s="451"/>
      <c r="FG196" s="451"/>
      <c r="FH196" s="451"/>
      <c r="FI196" s="451"/>
      <c r="FJ196" s="451"/>
      <c r="FK196" s="451"/>
      <c r="FL196" s="451"/>
      <c r="FM196" s="451"/>
      <c r="FN196" s="451"/>
      <c r="FO196" s="451"/>
      <c r="FP196" s="451"/>
      <c r="FQ196" s="451"/>
      <c r="FR196" s="451"/>
      <c r="FS196" s="451"/>
      <c r="FT196" s="451"/>
      <c r="FU196" s="451"/>
      <c r="FV196" s="451"/>
      <c r="FW196" s="451"/>
      <c r="FX196" s="451"/>
      <c r="FY196" s="451"/>
      <c r="FZ196" s="451"/>
      <c r="GA196" s="451"/>
      <c r="GB196" s="451"/>
      <c r="GC196" s="451"/>
      <c r="GD196" s="451"/>
      <c r="GE196" s="417" t="str">
        <f>IFERROR(VLOOKUP($CJ196,Skills!$H$2:$K$620,4,FALSE),"")</f>
        <v/>
      </c>
      <c r="GF196" s="417"/>
      <c r="GG196" s="417"/>
      <c r="GH196" s="417"/>
      <c r="GI196" s="417"/>
      <c r="GJ196" s="454"/>
      <c r="GK196" s="454"/>
      <c r="GL196" s="454"/>
      <c r="GM196" s="454"/>
      <c r="GN196" s="455"/>
    </row>
    <row r="197" spans="87:196" x14ac:dyDescent="0.25">
      <c r="CI197">
        <v>183</v>
      </c>
      <c r="CJ197">
        <v>433</v>
      </c>
      <c r="CK197" s="365" t="str">
        <f>IFERROR(VLOOKUP($CI197,Skills!$H$2:$N$620,7,FALSE),"")</f>
        <v/>
      </c>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445" t="str">
        <f>IFERROR(VLOOKUP($CI197,Skills!$H$2:$K$620,4,FALSE),"")</f>
        <v/>
      </c>
      <c r="ED197" s="445"/>
      <c r="EE197" s="445"/>
      <c r="EF197" s="445"/>
      <c r="EG197" s="445"/>
      <c r="EH197" s="446"/>
      <c r="EI197" s="446"/>
      <c r="EJ197" s="446"/>
      <c r="EK197" s="446"/>
      <c r="EL197" s="447"/>
      <c r="EM197" s="366" t="str">
        <f>IFERROR(VLOOKUP($CJ197,Skills!$H$2:$N$620,7,FALSE),"")</f>
        <v/>
      </c>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445" t="str">
        <f>IFERROR(VLOOKUP($CJ197,Skills!$H$2:$K$620,4,FALSE),"")</f>
        <v/>
      </c>
      <c r="GF197" s="445"/>
      <c r="GG197" s="445"/>
      <c r="GH197" s="445"/>
      <c r="GI197" s="445"/>
      <c r="GJ197" s="448"/>
      <c r="GK197" s="448"/>
      <c r="GL197" s="448"/>
      <c r="GM197" s="448"/>
      <c r="GN197" s="449"/>
    </row>
    <row r="198" spans="87:196" x14ac:dyDescent="0.25">
      <c r="CI198">
        <v>184</v>
      </c>
      <c r="CJ198">
        <v>434</v>
      </c>
      <c r="CK198" s="450" t="str">
        <f>IFERROR(VLOOKUP($CI198,Skills!$H$2:$N$620,7,FALSE),"")</f>
        <v/>
      </c>
      <c r="CL198" s="451"/>
      <c r="CM198" s="451"/>
      <c r="CN198" s="451"/>
      <c r="CO198" s="451"/>
      <c r="CP198" s="451"/>
      <c r="CQ198" s="451"/>
      <c r="CR198" s="451"/>
      <c r="CS198" s="451"/>
      <c r="CT198" s="451"/>
      <c r="CU198" s="451"/>
      <c r="CV198" s="451"/>
      <c r="CW198" s="451"/>
      <c r="CX198" s="451"/>
      <c r="CY198" s="451"/>
      <c r="CZ198" s="451"/>
      <c r="DA198" s="451"/>
      <c r="DB198" s="451"/>
      <c r="DC198" s="451"/>
      <c r="DD198" s="451"/>
      <c r="DE198" s="451"/>
      <c r="DF198" s="451"/>
      <c r="DG198" s="451"/>
      <c r="DH198" s="451"/>
      <c r="DI198" s="451"/>
      <c r="DJ198" s="451"/>
      <c r="DK198" s="451"/>
      <c r="DL198" s="451"/>
      <c r="DM198" s="451"/>
      <c r="DN198" s="451"/>
      <c r="DO198" s="451"/>
      <c r="DP198" s="451"/>
      <c r="DQ198" s="451"/>
      <c r="DR198" s="451"/>
      <c r="DS198" s="451"/>
      <c r="DT198" s="451"/>
      <c r="DU198" s="451"/>
      <c r="DV198" s="451"/>
      <c r="DW198" s="451"/>
      <c r="DX198" s="451"/>
      <c r="DY198" s="451"/>
      <c r="DZ198" s="451"/>
      <c r="EA198" s="451"/>
      <c r="EB198" s="451"/>
      <c r="EC198" s="417" t="str">
        <f>IFERROR(VLOOKUP($CI198,Skills!$H$2:$K$620,4,FALSE),"")</f>
        <v/>
      </c>
      <c r="ED198" s="417"/>
      <c r="EE198" s="417"/>
      <c r="EF198" s="417"/>
      <c r="EG198" s="417"/>
      <c r="EH198" s="452"/>
      <c r="EI198" s="452"/>
      <c r="EJ198" s="452"/>
      <c r="EK198" s="452"/>
      <c r="EL198" s="453"/>
      <c r="EM198" s="451" t="str">
        <f>IFERROR(VLOOKUP($CJ198,Skills!$H$2:$N$620,7,FALSE),"")</f>
        <v/>
      </c>
      <c r="EN198" s="451"/>
      <c r="EO198" s="451"/>
      <c r="EP198" s="451"/>
      <c r="EQ198" s="451"/>
      <c r="ER198" s="451"/>
      <c r="ES198" s="451"/>
      <c r="ET198" s="451"/>
      <c r="EU198" s="451"/>
      <c r="EV198" s="451"/>
      <c r="EW198" s="451"/>
      <c r="EX198" s="451"/>
      <c r="EY198" s="451"/>
      <c r="EZ198" s="451"/>
      <c r="FA198" s="451"/>
      <c r="FB198" s="451"/>
      <c r="FC198" s="451"/>
      <c r="FD198" s="451"/>
      <c r="FE198" s="451"/>
      <c r="FF198" s="451"/>
      <c r="FG198" s="451"/>
      <c r="FH198" s="451"/>
      <c r="FI198" s="451"/>
      <c r="FJ198" s="451"/>
      <c r="FK198" s="451"/>
      <c r="FL198" s="451"/>
      <c r="FM198" s="451"/>
      <c r="FN198" s="451"/>
      <c r="FO198" s="451"/>
      <c r="FP198" s="451"/>
      <c r="FQ198" s="451"/>
      <c r="FR198" s="451"/>
      <c r="FS198" s="451"/>
      <c r="FT198" s="451"/>
      <c r="FU198" s="451"/>
      <c r="FV198" s="451"/>
      <c r="FW198" s="451"/>
      <c r="FX198" s="451"/>
      <c r="FY198" s="451"/>
      <c r="FZ198" s="451"/>
      <c r="GA198" s="451"/>
      <c r="GB198" s="451"/>
      <c r="GC198" s="451"/>
      <c r="GD198" s="451"/>
      <c r="GE198" s="417" t="str">
        <f>IFERROR(VLOOKUP($CJ198,Skills!$H$2:$K$620,4,FALSE),"")</f>
        <v/>
      </c>
      <c r="GF198" s="417"/>
      <c r="GG198" s="417"/>
      <c r="GH198" s="417"/>
      <c r="GI198" s="417"/>
      <c r="GJ198" s="454"/>
      <c r="GK198" s="454"/>
      <c r="GL198" s="454"/>
      <c r="GM198" s="454"/>
      <c r="GN198" s="455"/>
    </row>
    <row r="199" spans="87:196" x14ac:dyDescent="0.25">
      <c r="CI199">
        <v>185</v>
      </c>
      <c r="CJ199">
        <v>435</v>
      </c>
      <c r="CK199" s="365" t="str">
        <f>IFERROR(VLOOKUP($CI199,Skills!$H$2:$N$620,7,FALSE),"")</f>
        <v/>
      </c>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445" t="str">
        <f>IFERROR(VLOOKUP($CI199,Skills!$H$2:$K$620,4,FALSE),"")</f>
        <v/>
      </c>
      <c r="ED199" s="445"/>
      <c r="EE199" s="445"/>
      <c r="EF199" s="445"/>
      <c r="EG199" s="445"/>
      <c r="EH199" s="446"/>
      <c r="EI199" s="446"/>
      <c r="EJ199" s="446"/>
      <c r="EK199" s="446"/>
      <c r="EL199" s="447"/>
      <c r="EM199" s="366" t="str">
        <f>IFERROR(VLOOKUP($CJ199,Skills!$H$2:$N$620,7,FALSE),"")</f>
        <v/>
      </c>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445" t="str">
        <f>IFERROR(VLOOKUP($CJ199,Skills!$H$2:$K$620,4,FALSE),"")</f>
        <v/>
      </c>
      <c r="GF199" s="445"/>
      <c r="GG199" s="445"/>
      <c r="GH199" s="445"/>
      <c r="GI199" s="445"/>
      <c r="GJ199" s="448"/>
      <c r="GK199" s="448"/>
      <c r="GL199" s="448"/>
      <c r="GM199" s="448"/>
      <c r="GN199" s="449"/>
    </row>
    <row r="200" spans="87:196" x14ac:dyDescent="0.25">
      <c r="CI200">
        <v>186</v>
      </c>
      <c r="CJ200">
        <v>436</v>
      </c>
      <c r="CK200" s="450" t="str">
        <f>IFERROR(VLOOKUP($CI200,Skills!$H$2:$N$620,7,FALSE),"")</f>
        <v/>
      </c>
      <c r="CL200" s="451"/>
      <c r="CM200" s="451"/>
      <c r="CN200" s="451"/>
      <c r="CO200" s="451"/>
      <c r="CP200" s="451"/>
      <c r="CQ200" s="451"/>
      <c r="CR200" s="451"/>
      <c r="CS200" s="451"/>
      <c r="CT200" s="451"/>
      <c r="CU200" s="451"/>
      <c r="CV200" s="451"/>
      <c r="CW200" s="451"/>
      <c r="CX200" s="451"/>
      <c r="CY200" s="451"/>
      <c r="CZ200" s="451"/>
      <c r="DA200" s="451"/>
      <c r="DB200" s="451"/>
      <c r="DC200" s="451"/>
      <c r="DD200" s="451"/>
      <c r="DE200" s="451"/>
      <c r="DF200" s="451"/>
      <c r="DG200" s="451"/>
      <c r="DH200" s="451"/>
      <c r="DI200" s="451"/>
      <c r="DJ200" s="451"/>
      <c r="DK200" s="451"/>
      <c r="DL200" s="451"/>
      <c r="DM200" s="451"/>
      <c r="DN200" s="451"/>
      <c r="DO200" s="451"/>
      <c r="DP200" s="451"/>
      <c r="DQ200" s="451"/>
      <c r="DR200" s="451"/>
      <c r="DS200" s="451"/>
      <c r="DT200" s="451"/>
      <c r="DU200" s="451"/>
      <c r="DV200" s="451"/>
      <c r="DW200" s="451"/>
      <c r="DX200" s="451"/>
      <c r="DY200" s="451"/>
      <c r="DZ200" s="451"/>
      <c r="EA200" s="451"/>
      <c r="EB200" s="451"/>
      <c r="EC200" s="417" t="str">
        <f>IFERROR(VLOOKUP($CI200,Skills!$H$2:$K$620,4,FALSE),"")</f>
        <v/>
      </c>
      <c r="ED200" s="417"/>
      <c r="EE200" s="417"/>
      <c r="EF200" s="417"/>
      <c r="EG200" s="417"/>
      <c r="EH200" s="452"/>
      <c r="EI200" s="452"/>
      <c r="EJ200" s="452"/>
      <c r="EK200" s="452"/>
      <c r="EL200" s="453"/>
      <c r="EM200" s="451" t="str">
        <f>IFERROR(VLOOKUP($CJ200,Skills!$H$2:$N$620,7,FALSE),"")</f>
        <v/>
      </c>
      <c r="EN200" s="451"/>
      <c r="EO200" s="451"/>
      <c r="EP200" s="451"/>
      <c r="EQ200" s="451"/>
      <c r="ER200" s="451"/>
      <c r="ES200" s="451"/>
      <c r="ET200" s="451"/>
      <c r="EU200" s="451"/>
      <c r="EV200" s="451"/>
      <c r="EW200" s="451"/>
      <c r="EX200" s="451"/>
      <c r="EY200" s="451"/>
      <c r="EZ200" s="451"/>
      <c r="FA200" s="451"/>
      <c r="FB200" s="451"/>
      <c r="FC200" s="451"/>
      <c r="FD200" s="451"/>
      <c r="FE200" s="451"/>
      <c r="FF200" s="451"/>
      <c r="FG200" s="451"/>
      <c r="FH200" s="451"/>
      <c r="FI200" s="451"/>
      <c r="FJ200" s="451"/>
      <c r="FK200" s="451"/>
      <c r="FL200" s="451"/>
      <c r="FM200" s="451"/>
      <c r="FN200" s="451"/>
      <c r="FO200" s="451"/>
      <c r="FP200" s="451"/>
      <c r="FQ200" s="451"/>
      <c r="FR200" s="451"/>
      <c r="FS200" s="451"/>
      <c r="FT200" s="451"/>
      <c r="FU200" s="451"/>
      <c r="FV200" s="451"/>
      <c r="FW200" s="451"/>
      <c r="FX200" s="451"/>
      <c r="FY200" s="451"/>
      <c r="FZ200" s="451"/>
      <c r="GA200" s="451"/>
      <c r="GB200" s="451"/>
      <c r="GC200" s="451"/>
      <c r="GD200" s="451"/>
      <c r="GE200" s="417" t="str">
        <f>IFERROR(VLOOKUP($CJ200,Skills!$H$2:$K$620,4,FALSE),"")</f>
        <v/>
      </c>
      <c r="GF200" s="417"/>
      <c r="GG200" s="417"/>
      <c r="GH200" s="417"/>
      <c r="GI200" s="417"/>
      <c r="GJ200" s="454"/>
      <c r="GK200" s="454"/>
      <c r="GL200" s="454"/>
      <c r="GM200" s="454"/>
      <c r="GN200" s="455"/>
    </row>
    <row r="201" spans="87:196" x14ac:dyDescent="0.25">
      <c r="CI201">
        <v>187</v>
      </c>
      <c r="CJ201">
        <v>437</v>
      </c>
      <c r="CK201" s="365" t="str">
        <f>IFERROR(VLOOKUP($CI201,Skills!$H$2:$N$620,7,FALSE),"")</f>
        <v/>
      </c>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445" t="str">
        <f>IFERROR(VLOOKUP($CI201,Skills!$H$2:$K$620,4,FALSE),"")</f>
        <v/>
      </c>
      <c r="ED201" s="445"/>
      <c r="EE201" s="445"/>
      <c r="EF201" s="445"/>
      <c r="EG201" s="445"/>
      <c r="EH201" s="446"/>
      <c r="EI201" s="446"/>
      <c r="EJ201" s="446"/>
      <c r="EK201" s="446"/>
      <c r="EL201" s="447"/>
      <c r="EM201" s="366" t="str">
        <f>IFERROR(VLOOKUP($CJ201,Skills!$H$2:$N$620,7,FALSE),"")</f>
        <v/>
      </c>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445" t="str">
        <f>IFERROR(VLOOKUP($CJ201,Skills!$H$2:$K$620,4,FALSE),"")</f>
        <v/>
      </c>
      <c r="GF201" s="445"/>
      <c r="GG201" s="445"/>
      <c r="GH201" s="445"/>
      <c r="GI201" s="445"/>
      <c r="GJ201" s="448"/>
      <c r="GK201" s="448"/>
      <c r="GL201" s="448"/>
      <c r="GM201" s="448"/>
      <c r="GN201" s="449"/>
    </row>
    <row r="202" spans="87:196" x14ac:dyDescent="0.25">
      <c r="CI202">
        <v>188</v>
      </c>
      <c r="CJ202">
        <v>438</v>
      </c>
      <c r="CK202" s="450" t="str">
        <f>IFERROR(VLOOKUP($CI202,Skills!$H$2:$N$620,7,FALSE),"")</f>
        <v/>
      </c>
      <c r="CL202" s="451"/>
      <c r="CM202" s="451"/>
      <c r="CN202" s="451"/>
      <c r="CO202" s="451"/>
      <c r="CP202" s="451"/>
      <c r="CQ202" s="451"/>
      <c r="CR202" s="451"/>
      <c r="CS202" s="451"/>
      <c r="CT202" s="451"/>
      <c r="CU202" s="451"/>
      <c r="CV202" s="451"/>
      <c r="CW202" s="451"/>
      <c r="CX202" s="451"/>
      <c r="CY202" s="451"/>
      <c r="CZ202" s="451"/>
      <c r="DA202" s="451"/>
      <c r="DB202" s="451"/>
      <c r="DC202" s="451"/>
      <c r="DD202" s="451"/>
      <c r="DE202" s="451"/>
      <c r="DF202" s="451"/>
      <c r="DG202" s="451"/>
      <c r="DH202" s="451"/>
      <c r="DI202" s="451"/>
      <c r="DJ202" s="451"/>
      <c r="DK202" s="451"/>
      <c r="DL202" s="451"/>
      <c r="DM202" s="451"/>
      <c r="DN202" s="451"/>
      <c r="DO202" s="451"/>
      <c r="DP202" s="451"/>
      <c r="DQ202" s="451"/>
      <c r="DR202" s="451"/>
      <c r="DS202" s="451"/>
      <c r="DT202" s="451"/>
      <c r="DU202" s="451"/>
      <c r="DV202" s="451"/>
      <c r="DW202" s="451"/>
      <c r="DX202" s="451"/>
      <c r="DY202" s="451"/>
      <c r="DZ202" s="451"/>
      <c r="EA202" s="451"/>
      <c r="EB202" s="451"/>
      <c r="EC202" s="417" t="str">
        <f>IFERROR(VLOOKUP($CI202,Skills!$H$2:$K$620,4,FALSE),"")</f>
        <v/>
      </c>
      <c r="ED202" s="417"/>
      <c r="EE202" s="417"/>
      <c r="EF202" s="417"/>
      <c r="EG202" s="417"/>
      <c r="EH202" s="452"/>
      <c r="EI202" s="452"/>
      <c r="EJ202" s="452"/>
      <c r="EK202" s="452"/>
      <c r="EL202" s="453"/>
      <c r="EM202" s="451" t="str">
        <f>IFERROR(VLOOKUP($CJ202,Skills!$H$2:$N$620,7,FALSE),"")</f>
        <v/>
      </c>
      <c r="EN202" s="451"/>
      <c r="EO202" s="451"/>
      <c r="EP202" s="451"/>
      <c r="EQ202" s="451"/>
      <c r="ER202" s="451"/>
      <c r="ES202" s="451"/>
      <c r="ET202" s="451"/>
      <c r="EU202" s="451"/>
      <c r="EV202" s="451"/>
      <c r="EW202" s="451"/>
      <c r="EX202" s="451"/>
      <c r="EY202" s="451"/>
      <c r="EZ202" s="451"/>
      <c r="FA202" s="451"/>
      <c r="FB202" s="451"/>
      <c r="FC202" s="451"/>
      <c r="FD202" s="451"/>
      <c r="FE202" s="451"/>
      <c r="FF202" s="451"/>
      <c r="FG202" s="451"/>
      <c r="FH202" s="451"/>
      <c r="FI202" s="451"/>
      <c r="FJ202" s="451"/>
      <c r="FK202" s="451"/>
      <c r="FL202" s="451"/>
      <c r="FM202" s="451"/>
      <c r="FN202" s="451"/>
      <c r="FO202" s="451"/>
      <c r="FP202" s="451"/>
      <c r="FQ202" s="451"/>
      <c r="FR202" s="451"/>
      <c r="FS202" s="451"/>
      <c r="FT202" s="451"/>
      <c r="FU202" s="451"/>
      <c r="FV202" s="451"/>
      <c r="FW202" s="451"/>
      <c r="FX202" s="451"/>
      <c r="FY202" s="451"/>
      <c r="FZ202" s="451"/>
      <c r="GA202" s="451"/>
      <c r="GB202" s="451"/>
      <c r="GC202" s="451"/>
      <c r="GD202" s="451"/>
      <c r="GE202" s="417" t="str">
        <f>IFERROR(VLOOKUP($CJ202,Skills!$H$2:$K$620,4,FALSE),"")</f>
        <v/>
      </c>
      <c r="GF202" s="417"/>
      <c r="GG202" s="417"/>
      <c r="GH202" s="417"/>
      <c r="GI202" s="417"/>
      <c r="GJ202" s="454"/>
      <c r="GK202" s="454"/>
      <c r="GL202" s="454"/>
      <c r="GM202" s="454"/>
      <c r="GN202" s="455"/>
    </row>
    <row r="203" spans="87:196" x14ac:dyDescent="0.25">
      <c r="CI203">
        <v>189</v>
      </c>
      <c r="CJ203">
        <v>439</v>
      </c>
      <c r="CK203" s="365" t="str">
        <f>IFERROR(VLOOKUP($CI203,Skills!$H$2:$N$620,7,FALSE),"")</f>
        <v/>
      </c>
      <c r="CL203" s="366"/>
      <c r="CM203" s="366"/>
      <c r="CN203" s="366"/>
      <c r="CO203" s="366"/>
      <c r="CP203" s="366"/>
      <c r="CQ203" s="366"/>
      <c r="CR203" s="366"/>
      <c r="CS203" s="366"/>
      <c r="CT203" s="366"/>
      <c r="CU203" s="366"/>
      <c r="CV203" s="366"/>
      <c r="CW203" s="366"/>
      <c r="CX203" s="366"/>
      <c r="CY203" s="366"/>
      <c r="CZ203" s="366"/>
      <c r="DA203" s="366"/>
      <c r="DB203" s="366"/>
      <c r="DC203" s="366"/>
      <c r="DD203" s="366"/>
      <c r="DE203" s="366"/>
      <c r="DF203" s="366"/>
      <c r="DG203" s="366"/>
      <c r="DH203" s="366"/>
      <c r="DI203" s="366"/>
      <c r="DJ203" s="366"/>
      <c r="DK203" s="366"/>
      <c r="DL203" s="366"/>
      <c r="DM203" s="366"/>
      <c r="DN203" s="366"/>
      <c r="DO203" s="366"/>
      <c r="DP203" s="366"/>
      <c r="DQ203" s="366"/>
      <c r="DR203" s="366"/>
      <c r="DS203" s="366"/>
      <c r="DT203" s="366"/>
      <c r="DU203" s="366"/>
      <c r="DV203" s="366"/>
      <c r="DW203" s="366"/>
      <c r="DX203" s="366"/>
      <c r="DY203" s="366"/>
      <c r="DZ203" s="366"/>
      <c r="EA203" s="366"/>
      <c r="EB203" s="366"/>
      <c r="EC203" s="445" t="str">
        <f>IFERROR(VLOOKUP($CI203,Skills!$H$2:$K$620,4,FALSE),"")</f>
        <v/>
      </c>
      <c r="ED203" s="445"/>
      <c r="EE203" s="445"/>
      <c r="EF203" s="445"/>
      <c r="EG203" s="445"/>
      <c r="EH203" s="446"/>
      <c r="EI203" s="446"/>
      <c r="EJ203" s="446"/>
      <c r="EK203" s="446"/>
      <c r="EL203" s="447"/>
      <c r="EM203" s="366" t="str">
        <f>IFERROR(VLOOKUP($CJ203,Skills!$H$2:$N$620,7,FALSE),"")</f>
        <v/>
      </c>
      <c r="EN203" s="366"/>
      <c r="EO203" s="366"/>
      <c r="EP203" s="366"/>
      <c r="EQ203" s="366"/>
      <c r="ER203" s="366"/>
      <c r="ES203" s="366"/>
      <c r="ET203" s="366"/>
      <c r="EU203" s="366"/>
      <c r="EV203" s="366"/>
      <c r="EW203" s="366"/>
      <c r="EX203" s="366"/>
      <c r="EY203" s="366"/>
      <c r="EZ203" s="366"/>
      <c r="FA203" s="366"/>
      <c r="FB203" s="366"/>
      <c r="FC203" s="366"/>
      <c r="FD203" s="366"/>
      <c r="FE203" s="366"/>
      <c r="FF203" s="366"/>
      <c r="FG203" s="366"/>
      <c r="FH203" s="366"/>
      <c r="FI203" s="366"/>
      <c r="FJ203" s="366"/>
      <c r="FK203" s="366"/>
      <c r="FL203" s="366"/>
      <c r="FM203" s="366"/>
      <c r="FN203" s="366"/>
      <c r="FO203" s="366"/>
      <c r="FP203" s="366"/>
      <c r="FQ203" s="366"/>
      <c r="FR203" s="366"/>
      <c r="FS203" s="366"/>
      <c r="FT203" s="366"/>
      <c r="FU203" s="366"/>
      <c r="FV203" s="366"/>
      <c r="FW203" s="366"/>
      <c r="FX203" s="366"/>
      <c r="FY203" s="366"/>
      <c r="FZ203" s="366"/>
      <c r="GA203" s="366"/>
      <c r="GB203" s="366"/>
      <c r="GC203" s="366"/>
      <c r="GD203" s="366"/>
      <c r="GE203" s="445" t="str">
        <f>IFERROR(VLOOKUP($CJ203,Skills!$H$2:$K$620,4,FALSE),"")</f>
        <v/>
      </c>
      <c r="GF203" s="445"/>
      <c r="GG203" s="445"/>
      <c r="GH203" s="445"/>
      <c r="GI203" s="445"/>
      <c r="GJ203" s="448"/>
      <c r="GK203" s="448"/>
      <c r="GL203" s="448"/>
      <c r="GM203" s="448"/>
      <c r="GN203" s="449"/>
    </row>
    <row r="204" spans="87:196" x14ac:dyDescent="0.25">
      <c r="CI204">
        <v>190</v>
      </c>
      <c r="CJ204">
        <v>440</v>
      </c>
      <c r="CK204" s="450" t="str">
        <f>IFERROR(VLOOKUP($CI204,Skills!$H$2:$N$620,7,FALSE),"")</f>
        <v/>
      </c>
      <c r="CL204" s="451"/>
      <c r="CM204" s="451"/>
      <c r="CN204" s="451"/>
      <c r="CO204" s="451"/>
      <c r="CP204" s="451"/>
      <c r="CQ204" s="451"/>
      <c r="CR204" s="451"/>
      <c r="CS204" s="451"/>
      <c r="CT204" s="451"/>
      <c r="CU204" s="451"/>
      <c r="CV204" s="451"/>
      <c r="CW204" s="451"/>
      <c r="CX204" s="451"/>
      <c r="CY204" s="451"/>
      <c r="CZ204" s="451"/>
      <c r="DA204" s="451"/>
      <c r="DB204" s="451"/>
      <c r="DC204" s="451"/>
      <c r="DD204" s="451"/>
      <c r="DE204" s="451"/>
      <c r="DF204" s="451"/>
      <c r="DG204" s="451"/>
      <c r="DH204" s="451"/>
      <c r="DI204" s="451"/>
      <c r="DJ204" s="451"/>
      <c r="DK204" s="451"/>
      <c r="DL204" s="451"/>
      <c r="DM204" s="451"/>
      <c r="DN204" s="451"/>
      <c r="DO204" s="451"/>
      <c r="DP204" s="451"/>
      <c r="DQ204" s="451"/>
      <c r="DR204" s="451"/>
      <c r="DS204" s="451"/>
      <c r="DT204" s="451"/>
      <c r="DU204" s="451"/>
      <c r="DV204" s="451"/>
      <c r="DW204" s="451"/>
      <c r="DX204" s="451"/>
      <c r="DY204" s="451"/>
      <c r="DZ204" s="451"/>
      <c r="EA204" s="451"/>
      <c r="EB204" s="451"/>
      <c r="EC204" s="417" t="str">
        <f>IFERROR(VLOOKUP($CI204,Skills!$H$2:$K$620,4,FALSE),"")</f>
        <v/>
      </c>
      <c r="ED204" s="417"/>
      <c r="EE204" s="417"/>
      <c r="EF204" s="417"/>
      <c r="EG204" s="417"/>
      <c r="EH204" s="452"/>
      <c r="EI204" s="452"/>
      <c r="EJ204" s="452"/>
      <c r="EK204" s="452"/>
      <c r="EL204" s="453"/>
      <c r="EM204" s="451" t="str">
        <f>IFERROR(VLOOKUP($CJ204,Skills!$H$2:$N$620,7,FALSE),"")</f>
        <v/>
      </c>
      <c r="EN204" s="451"/>
      <c r="EO204" s="451"/>
      <c r="EP204" s="451"/>
      <c r="EQ204" s="451"/>
      <c r="ER204" s="451"/>
      <c r="ES204" s="451"/>
      <c r="ET204" s="451"/>
      <c r="EU204" s="451"/>
      <c r="EV204" s="451"/>
      <c r="EW204" s="451"/>
      <c r="EX204" s="451"/>
      <c r="EY204" s="451"/>
      <c r="EZ204" s="451"/>
      <c r="FA204" s="451"/>
      <c r="FB204" s="451"/>
      <c r="FC204" s="451"/>
      <c r="FD204" s="451"/>
      <c r="FE204" s="451"/>
      <c r="FF204" s="451"/>
      <c r="FG204" s="451"/>
      <c r="FH204" s="451"/>
      <c r="FI204" s="451"/>
      <c r="FJ204" s="451"/>
      <c r="FK204" s="451"/>
      <c r="FL204" s="451"/>
      <c r="FM204" s="451"/>
      <c r="FN204" s="451"/>
      <c r="FO204" s="451"/>
      <c r="FP204" s="451"/>
      <c r="FQ204" s="451"/>
      <c r="FR204" s="451"/>
      <c r="FS204" s="451"/>
      <c r="FT204" s="451"/>
      <c r="FU204" s="451"/>
      <c r="FV204" s="451"/>
      <c r="FW204" s="451"/>
      <c r="FX204" s="451"/>
      <c r="FY204" s="451"/>
      <c r="FZ204" s="451"/>
      <c r="GA204" s="451"/>
      <c r="GB204" s="451"/>
      <c r="GC204" s="451"/>
      <c r="GD204" s="451"/>
      <c r="GE204" s="417" t="str">
        <f>IFERROR(VLOOKUP($CJ204,Skills!$H$2:$K$620,4,FALSE),"")</f>
        <v/>
      </c>
      <c r="GF204" s="417"/>
      <c r="GG204" s="417"/>
      <c r="GH204" s="417"/>
      <c r="GI204" s="417"/>
      <c r="GJ204" s="454"/>
      <c r="GK204" s="454"/>
      <c r="GL204" s="454"/>
      <c r="GM204" s="454"/>
      <c r="GN204" s="455"/>
    </row>
    <row r="205" spans="87:196" x14ac:dyDescent="0.25">
      <c r="CI205">
        <v>191</v>
      </c>
      <c r="CJ205">
        <v>441</v>
      </c>
      <c r="CK205" s="365" t="str">
        <f>IFERROR(VLOOKUP($CI205,Skills!$H$2:$N$620,7,FALSE),"")</f>
        <v/>
      </c>
      <c r="CL205" s="366"/>
      <c r="CM205" s="366"/>
      <c r="CN205" s="366"/>
      <c r="CO205" s="366"/>
      <c r="CP205" s="366"/>
      <c r="CQ205" s="366"/>
      <c r="CR205" s="366"/>
      <c r="CS205" s="366"/>
      <c r="CT205" s="366"/>
      <c r="CU205" s="366"/>
      <c r="CV205" s="366"/>
      <c r="CW205" s="366"/>
      <c r="CX205" s="366"/>
      <c r="CY205" s="366"/>
      <c r="CZ205" s="366"/>
      <c r="DA205" s="366"/>
      <c r="DB205" s="366"/>
      <c r="DC205" s="366"/>
      <c r="DD205" s="366"/>
      <c r="DE205" s="366"/>
      <c r="DF205" s="366"/>
      <c r="DG205" s="366"/>
      <c r="DH205" s="366"/>
      <c r="DI205" s="366"/>
      <c r="DJ205" s="366"/>
      <c r="DK205" s="366"/>
      <c r="DL205" s="366"/>
      <c r="DM205" s="366"/>
      <c r="DN205" s="366"/>
      <c r="DO205" s="366"/>
      <c r="DP205" s="366"/>
      <c r="DQ205" s="366"/>
      <c r="DR205" s="366"/>
      <c r="DS205" s="366"/>
      <c r="DT205" s="366"/>
      <c r="DU205" s="366"/>
      <c r="DV205" s="366"/>
      <c r="DW205" s="366"/>
      <c r="DX205" s="366"/>
      <c r="DY205" s="366"/>
      <c r="DZ205" s="366"/>
      <c r="EA205" s="366"/>
      <c r="EB205" s="366"/>
      <c r="EC205" s="445" t="str">
        <f>IFERROR(VLOOKUP($CI205,Skills!$H$2:$K$620,4,FALSE),"")</f>
        <v/>
      </c>
      <c r="ED205" s="445"/>
      <c r="EE205" s="445"/>
      <c r="EF205" s="445"/>
      <c r="EG205" s="445"/>
      <c r="EH205" s="446"/>
      <c r="EI205" s="446"/>
      <c r="EJ205" s="446"/>
      <c r="EK205" s="446"/>
      <c r="EL205" s="447"/>
      <c r="EM205" s="366" t="str">
        <f>IFERROR(VLOOKUP($CJ205,Skills!$H$2:$N$620,7,FALSE),"")</f>
        <v/>
      </c>
      <c r="EN205" s="366"/>
      <c r="EO205" s="366"/>
      <c r="EP205" s="366"/>
      <c r="EQ205" s="366"/>
      <c r="ER205" s="366"/>
      <c r="ES205" s="366"/>
      <c r="ET205" s="366"/>
      <c r="EU205" s="366"/>
      <c r="EV205" s="366"/>
      <c r="EW205" s="366"/>
      <c r="EX205" s="366"/>
      <c r="EY205" s="366"/>
      <c r="EZ205" s="366"/>
      <c r="FA205" s="366"/>
      <c r="FB205" s="366"/>
      <c r="FC205" s="366"/>
      <c r="FD205" s="366"/>
      <c r="FE205" s="366"/>
      <c r="FF205" s="366"/>
      <c r="FG205" s="366"/>
      <c r="FH205" s="366"/>
      <c r="FI205" s="366"/>
      <c r="FJ205" s="366"/>
      <c r="FK205" s="366"/>
      <c r="FL205" s="366"/>
      <c r="FM205" s="366"/>
      <c r="FN205" s="366"/>
      <c r="FO205" s="366"/>
      <c r="FP205" s="366"/>
      <c r="FQ205" s="366"/>
      <c r="FR205" s="366"/>
      <c r="FS205" s="366"/>
      <c r="FT205" s="366"/>
      <c r="FU205" s="366"/>
      <c r="FV205" s="366"/>
      <c r="FW205" s="366"/>
      <c r="FX205" s="366"/>
      <c r="FY205" s="366"/>
      <c r="FZ205" s="366"/>
      <c r="GA205" s="366"/>
      <c r="GB205" s="366"/>
      <c r="GC205" s="366"/>
      <c r="GD205" s="366"/>
      <c r="GE205" s="445" t="str">
        <f>IFERROR(VLOOKUP($CJ205,Skills!$H$2:$K$620,4,FALSE),"")</f>
        <v/>
      </c>
      <c r="GF205" s="445"/>
      <c r="GG205" s="445"/>
      <c r="GH205" s="445"/>
      <c r="GI205" s="445"/>
      <c r="GJ205" s="448"/>
      <c r="GK205" s="448"/>
      <c r="GL205" s="448"/>
      <c r="GM205" s="448"/>
      <c r="GN205" s="449"/>
    </row>
    <row r="206" spans="87:196" x14ac:dyDescent="0.25">
      <c r="CI206">
        <v>192</v>
      </c>
      <c r="CJ206">
        <v>442</v>
      </c>
      <c r="CK206" s="450" t="str">
        <f>IFERROR(VLOOKUP($CI206,Skills!$H$2:$N$620,7,FALSE),"")</f>
        <v/>
      </c>
      <c r="CL206" s="451"/>
      <c r="CM206" s="451"/>
      <c r="CN206" s="451"/>
      <c r="CO206" s="451"/>
      <c r="CP206" s="451"/>
      <c r="CQ206" s="451"/>
      <c r="CR206" s="451"/>
      <c r="CS206" s="451"/>
      <c r="CT206" s="451"/>
      <c r="CU206" s="451"/>
      <c r="CV206" s="451"/>
      <c r="CW206" s="451"/>
      <c r="CX206" s="451"/>
      <c r="CY206" s="451"/>
      <c r="CZ206" s="451"/>
      <c r="DA206" s="451"/>
      <c r="DB206" s="451"/>
      <c r="DC206" s="451"/>
      <c r="DD206" s="451"/>
      <c r="DE206" s="451"/>
      <c r="DF206" s="451"/>
      <c r="DG206" s="451"/>
      <c r="DH206" s="451"/>
      <c r="DI206" s="451"/>
      <c r="DJ206" s="451"/>
      <c r="DK206" s="451"/>
      <c r="DL206" s="451"/>
      <c r="DM206" s="451"/>
      <c r="DN206" s="451"/>
      <c r="DO206" s="451"/>
      <c r="DP206" s="451"/>
      <c r="DQ206" s="451"/>
      <c r="DR206" s="451"/>
      <c r="DS206" s="451"/>
      <c r="DT206" s="451"/>
      <c r="DU206" s="451"/>
      <c r="DV206" s="451"/>
      <c r="DW206" s="451"/>
      <c r="DX206" s="451"/>
      <c r="DY206" s="451"/>
      <c r="DZ206" s="451"/>
      <c r="EA206" s="451"/>
      <c r="EB206" s="451"/>
      <c r="EC206" s="417" t="str">
        <f>IFERROR(VLOOKUP($CI206,Skills!$H$2:$K$620,4,FALSE),"")</f>
        <v/>
      </c>
      <c r="ED206" s="417"/>
      <c r="EE206" s="417"/>
      <c r="EF206" s="417"/>
      <c r="EG206" s="417"/>
      <c r="EH206" s="452"/>
      <c r="EI206" s="452"/>
      <c r="EJ206" s="452"/>
      <c r="EK206" s="452"/>
      <c r="EL206" s="453"/>
      <c r="EM206" s="451" t="str">
        <f>IFERROR(VLOOKUP($CJ206,Skills!$H$2:$N$620,7,FALSE),"")</f>
        <v/>
      </c>
      <c r="EN206" s="451"/>
      <c r="EO206" s="451"/>
      <c r="EP206" s="451"/>
      <c r="EQ206" s="451"/>
      <c r="ER206" s="451"/>
      <c r="ES206" s="451"/>
      <c r="ET206" s="451"/>
      <c r="EU206" s="451"/>
      <c r="EV206" s="451"/>
      <c r="EW206" s="451"/>
      <c r="EX206" s="451"/>
      <c r="EY206" s="451"/>
      <c r="EZ206" s="451"/>
      <c r="FA206" s="451"/>
      <c r="FB206" s="451"/>
      <c r="FC206" s="451"/>
      <c r="FD206" s="451"/>
      <c r="FE206" s="451"/>
      <c r="FF206" s="451"/>
      <c r="FG206" s="451"/>
      <c r="FH206" s="451"/>
      <c r="FI206" s="451"/>
      <c r="FJ206" s="451"/>
      <c r="FK206" s="451"/>
      <c r="FL206" s="451"/>
      <c r="FM206" s="451"/>
      <c r="FN206" s="451"/>
      <c r="FO206" s="451"/>
      <c r="FP206" s="451"/>
      <c r="FQ206" s="451"/>
      <c r="FR206" s="451"/>
      <c r="FS206" s="451"/>
      <c r="FT206" s="451"/>
      <c r="FU206" s="451"/>
      <c r="FV206" s="451"/>
      <c r="FW206" s="451"/>
      <c r="FX206" s="451"/>
      <c r="FY206" s="451"/>
      <c r="FZ206" s="451"/>
      <c r="GA206" s="451"/>
      <c r="GB206" s="451"/>
      <c r="GC206" s="451"/>
      <c r="GD206" s="451"/>
      <c r="GE206" s="417" t="str">
        <f>IFERROR(VLOOKUP($CJ206,Skills!$H$2:$K$620,4,FALSE),"")</f>
        <v/>
      </c>
      <c r="GF206" s="417"/>
      <c r="GG206" s="417"/>
      <c r="GH206" s="417"/>
      <c r="GI206" s="417"/>
      <c r="GJ206" s="454"/>
      <c r="GK206" s="454"/>
      <c r="GL206" s="454"/>
      <c r="GM206" s="454"/>
      <c r="GN206" s="455"/>
    </row>
    <row r="207" spans="87:196" x14ac:dyDescent="0.25">
      <c r="CI207">
        <v>193</v>
      </c>
      <c r="CJ207">
        <v>443</v>
      </c>
      <c r="CK207" s="365" t="str">
        <f>IFERROR(VLOOKUP($CI207,Skills!$H$2:$N$620,7,FALSE),"")</f>
        <v/>
      </c>
      <c r="CL207" s="366"/>
      <c r="CM207" s="366"/>
      <c r="CN207" s="366"/>
      <c r="CO207" s="366"/>
      <c r="CP207" s="366"/>
      <c r="CQ207" s="366"/>
      <c r="CR207" s="366"/>
      <c r="CS207" s="366"/>
      <c r="CT207" s="366"/>
      <c r="CU207" s="366"/>
      <c r="CV207" s="366"/>
      <c r="CW207" s="366"/>
      <c r="CX207" s="366"/>
      <c r="CY207" s="366"/>
      <c r="CZ207" s="366"/>
      <c r="DA207" s="366"/>
      <c r="DB207" s="366"/>
      <c r="DC207" s="366"/>
      <c r="DD207" s="366"/>
      <c r="DE207" s="366"/>
      <c r="DF207" s="366"/>
      <c r="DG207" s="366"/>
      <c r="DH207" s="366"/>
      <c r="DI207" s="366"/>
      <c r="DJ207" s="366"/>
      <c r="DK207" s="366"/>
      <c r="DL207" s="366"/>
      <c r="DM207" s="366"/>
      <c r="DN207" s="366"/>
      <c r="DO207" s="366"/>
      <c r="DP207" s="366"/>
      <c r="DQ207" s="366"/>
      <c r="DR207" s="366"/>
      <c r="DS207" s="366"/>
      <c r="DT207" s="366"/>
      <c r="DU207" s="366"/>
      <c r="DV207" s="366"/>
      <c r="DW207" s="366"/>
      <c r="DX207" s="366"/>
      <c r="DY207" s="366"/>
      <c r="DZ207" s="366"/>
      <c r="EA207" s="366"/>
      <c r="EB207" s="366"/>
      <c r="EC207" s="445" t="str">
        <f>IFERROR(VLOOKUP($CI207,Skills!$H$2:$K$620,4,FALSE),"")</f>
        <v/>
      </c>
      <c r="ED207" s="445"/>
      <c r="EE207" s="445"/>
      <c r="EF207" s="445"/>
      <c r="EG207" s="445"/>
      <c r="EH207" s="446"/>
      <c r="EI207" s="446"/>
      <c r="EJ207" s="446"/>
      <c r="EK207" s="446"/>
      <c r="EL207" s="447"/>
      <c r="EM207" s="366" t="str">
        <f>IFERROR(VLOOKUP($CJ207,Skills!$H$2:$N$620,7,FALSE),"")</f>
        <v/>
      </c>
      <c r="EN207" s="366"/>
      <c r="EO207" s="366"/>
      <c r="EP207" s="366"/>
      <c r="EQ207" s="366"/>
      <c r="ER207" s="366"/>
      <c r="ES207" s="366"/>
      <c r="ET207" s="366"/>
      <c r="EU207" s="366"/>
      <c r="EV207" s="366"/>
      <c r="EW207" s="366"/>
      <c r="EX207" s="366"/>
      <c r="EY207" s="366"/>
      <c r="EZ207" s="366"/>
      <c r="FA207" s="366"/>
      <c r="FB207" s="366"/>
      <c r="FC207" s="366"/>
      <c r="FD207" s="366"/>
      <c r="FE207" s="366"/>
      <c r="FF207" s="366"/>
      <c r="FG207" s="366"/>
      <c r="FH207" s="366"/>
      <c r="FI207" s="366"/>
      <c r="FJ207" s="366"/>
      <c r="FK207" s="366"/>
      <c r="FL207" s="366"/>
      <c r="FM207" s="366"/>
      <c r="FN207" s="366"/>
      <c r="FO207" s="366"/>
      <c r="FP207" s="366"/>
      <c r="FQ207" s="366"/>
      <c r="FR207" s="366"/>
      <c r="FS207" s="366"/>
      <c r="FT207" s="366"/>
      <c r="FU207" s="366"/>
      <c r="FV207" s="366"/>
      <c r="FW207" s="366"/>
      <c r="FX207" s="366"/>
      <c r="FY207" s="366"/>
      <c r="FZ207" s="366"/>
      <c r="GA207" s="366"/>
      <c r="GB207" s="366"/>
      <c r="GC207" s="366"/>
      <c r="GD207" s="366"/>
      <c r="GE207" s="445" t="str">
        <f>IFERROR(VLOOKUP($CJ207,Skills!$H$2:$K$620,4,FALSE),"")</f>
        <v/>
      </c>
      <c r="GF207" s="445"/>
      <c r="GG207" s="445"/>
      <c r="GH207" s="445"/>
      <c r="GI207" s="445"/>
      <c r="GJ207" s="448"/>
      <c r="GK207" s="448"/>
      <c r="GL207" s="448"/>
      <c r="GM207" s="448"/>
      <c r="GN207" s="449"/>
    </row>
    <row r="208" spans="87:196" x14ac:dyDescent="0.25">
      <c r="CI208">
        <v>194</v>
      </c>
      <c r="CJ208">
        <v>444</v>
      </c>
      <c r="CK208" s="450" t="str">
        <f>IFERROR(VLOOKUP($CI208,Skills!$H$2:$N$620,7,FALSE),"")</f>
        <v/>
      </c>
      <c r="CL208" s="451"/>
      <c r="CM208" s="451"/>
      <c r="CN208" s="451"/>
      <c r="CO208" s="451"/>
      <c r="CP208" s="451"/>
      <c r="CQ208" s="451"/>
      <c r="CR208" s="451"/>
      <c r="CS208" s="451"/>
      <c r="CT208" s="451"/>
      <c r="CU208" s="451"/>
      <c r="CV208" s="451"/>
      <c r="CW208" s="451"/>
      <c r="CX208" s="451"/>
      <c r="CY208" s="451"/>
      <c r="CZ208" s="451"/>
      <c r="DA208" s="451"/>
      <c r="DB208" s="451"/>
      <c r="DC208" s="451"/>
      <c r="DD208" s="451"/>
      <c r="DE208" s="451"/>
      <c r="DF208" s="451"/>
      <c r="DG208" s="451"/>
      <c r="DH208" s="451"/>
      <c r="DI208" s="451"/>
      <c r="DJ208" s="451"/>
      <c r="DK208" s="451"/>
      <c r="DL208" s="451"/>
      <c r="DM208" s="451"/>
      <c r="DN208" s="451"/>
      <c r="DO208" s="451"/>
      <c r="DP208" s="451"/>
      <c r="DQ208" s="451"/>
      <c r="DR208" s="451"/>
      <c r="DS208" s="451"/>
      <c r="DT208" s="451"/>
      <c r="DU208" s="451"/>
      <c r="DV208" s="451"/>
      <c r="DW208" s="451"/>
      <c r="DX208" s="451"/>
      <c r="DY208" s="451"/>
      <c r="DZ208" s="451"/>
      <c r="EA208" s="451"/>
      <c r="EB208" s="451"/>
      <c r="EC208" s="417" t="str">
        <f>IFERROR(VLOOKUP($CI208,Skills!$H$2:$K$620,4,FALSE),"")</f>
        <v/>
      </c>
      <c r="ED208" s="417"/>
      <c r="EE208" s="417"/>
      <c r="EF208" s="417"/>
      <c r="EG208" s="417"/>
      <c r="EH208" s="452"/>
      <c r="EI208" s="452"/>
      <c r="EJ208" s="452"/>
      <c r="EK208" s="452"/>
      <c r="EL208" s="453"/>
      <c r="EM208" s="451" t="str">
        <f>IFERROR(VLOOKUP($CJ208,Skills!$H$2:$N$620,7,FALSE),"")</f>
        <v/>
      </c>
      <c r="EN208" s="451"/>
      <c r="EO208" s="451"/>
      <c r="EP208" s="451"/>
      <c r="EQ208" s="451"/>
      <c r="ER208" s="451"/>
      <c r="ES208" s="451"/>
      <c r="ET208" s="451"/>
      <c r="EU208" s="451"/>
      <c r="EV208" s="451"/>
      <c r="EW208" s="451"/>
      <c r="EX208" s="451"/>
      <c r="EY208" s="451"/>
      <c r="EZ208" s="451"/>
      <c r="FA208" s="451"/>
      <c r="FB208" s="451"/>
      <c r="FC208" s="451"/>
      <c r="FD208" s="451"/>
      <c r="FE208" s="451"/>
      <c r="FF208" s="451"/>
      <c r="FG208" s="451"/>
      <c r="FH208" s="451"/>
      <c r="FI208" s="451"/>
      <c r="FJ208" s="451"/>
      <c r="FK208" s="451"/>
      <c r="FL208" s="451"/>
      <c r="FM208" s="451"/>
      <c r="FN208" s="451"/>
      <c r="FO208" s="451"/>
      <c r="FP208" s="451"/>
      <c r="FQ208" s="451"/>
      <c r="FR208" s="451"/>
      <c r="FS208" s="451"/>
      <c r="FT208" s="451"/>
      <c r="FU208" s="451"/>
      <c r="FV208" s="451"/>
      <c r="FW208" s="451"/>
      <c r="FX208" s="451"/>
      <c r="FY208" s="451"/>
      <c r="FZ208" s="451"/>
      <c r="GA208" s="451"/>
      <c r="GB208" s="451"/>
      <c r="GC208" s="451"/>
      <c r="GD208" s="451"/>
      <c r="GE208" s="417" t="str">
        <f>IFERROR(VLOOKUP($CJ208,Skills!$H$2:$K$620,4,FALSE),"")</f>
        <v/>
      </c>
      <c r="GF208" s="417"/>
      <c r="GG208" s="417"/>
      <c r="GH208" s="417"/>
      <c r="GI208" s="417"/>
      <c r="GJ208" s="454"/>
      <c r="GK208" s="454"/>
      <c r="GL208" s="454"/>
      <c r="GM208" s="454"/>
      <c r="GN208" s="455"/>
    </row>
    <row r="209" spans="87:196" x14ac:dyDescent="0.25">
      <c r="CI209">
        <v>195</v>
      </c>
      <c r="CJ209">
        <v>445</v>
      </c>
      <c r="CK209" s="365" t="str">
        <f>IFERROR(VLOOKUP($CI209,Skills!$H$2:$N$620,7,FALSE),"")</f>
        <v/>
      </c>
      <c r="CL209" s="366"/>
      <c r="CM209" s="366"/>
      <c r="CN209" s="366"/>
      <c r="CO209" s="366"/>
      <c r="CP209" s="366"/>
      <c r="CQ209" s="366"/>
      <c r="CR209" s="366"/>
      <c r="CS209" s="366"/>
      <c r="CT209" s="366"/>
      <c r="CU209" s="366"/>
      <c r="CV209" s="366"/>
      <c r="CW209" s="366"/>
      <c r="CX209" s="366"/>
      <c r="CY209" s="366"/>
      <c r="CZ209" s="366"/>
      <c r="DA209" s="366"/>
      <c r="DB209" s="366"/>
      <c r="DC209" s="366"/>
      <c r="DD209" s="366"/>
      <c r="DE209" s="366"/>
      <c r="DF209" s="366"/>
      <c r="DG209" s="366"/>
      <c r="DH209" s="366"/>
      <c r="DI209" s="366"/>
      <c r="DJ209" s="366"/>
      <c r="DK209" s="366"/>
      <c r="DL209" s="366"/>
      <c r="DM209" s="366"/>
      <c r="DN209" s="366"/>
      <c r="DO209" s="366"/>
      <c r="DP209" s="366"/>
      <c r="DQ209" s="366"/>
      <c r="DR209" s="366"/>
      <c r="DS209" s="366"/>
      <c r="DT209" s="366"/>
      <c r="DU209" s="366"/>
      <c r="DV209" s="366"/>
      <c r="DW209" s="366"/>
      <c r="DX209" s="366"/>
      <c r="DY209" s="366"/>
      <c r="DZ209" s="366"/>
      <c r="EA209" s="366"/>
      <c r="EB209" s="366"/>
      <c r="EC209" s="445" t="str">
        <f>IFERROR(VLOOKUP($CI209,Skills!$H$2:$K$620,4,FALSE),"")</f>
        <v/>
      </c>
      <c r="ED209" s="445"/>
      <c r="EE209" s="445"/>
      <c r="EF209" s="445"/>
      <c r="EG209" s="445"/>
      <c r="EH209" s="446"/>
      <c r="EI209" s="446"/>
      <c r="EJ209" s="446"/>
      <c r="EK209" s="446"/>
      <c r="EL209" s="447"/>
      <c r="EM209" s="366" t="str">
        <f>IFERROR(VLOOKUP($CJ209,Skills!$H$2:$N$620,7,FALSE),"")</f>
        <v/>
      </c>
      <c r="EN209" s="366"/>
      <c r="EO209" s="366"/>
      <c r="EP209" s="366"/>
      <c r="EQ209" s="366"/>
      <c r="ER209" s="366"/>
      <c r="ES209" s="366"/>
      <c r="ET209" s="366"/>
      <c r="EU209" s="366"/>
      <c r="EV209" s="366"/>
      <c r="EW209" s="366"/>
      <c r="EX209" s="366"/>
      <c r="EY209" s="366"/>
      <c r="EZ209" s="366"/>
      <c r="FA209" s="366"/>
      <c r="FB209" s="366"/>
      <c r="FC209" s="366"/>
      <c r="FD209" s="366"/>
      <c r="FE209" s="366"/>
      <c r="FF209" s="366"/>
      <c r="FG209" s="366"/>
      <c r="FH209" s="366"/>
      <c r="FI209" s="366"/>
      <c r="FJ209" s="366"/>
      <c r="FK209" s="366"/>
      <c r="FL209" s="366"/>
      <c r="FM209" s="366"/>
      <c r="FN209" s="366"/>
      <c r="FO209" s="366"/>
      <c r="FP209" s="366"/>
      <c r="FQ209" s="366"/>
      <c r="FR209" s="366"/>
      <c r="FS209" s="366"/>
      <c r="FT209" s="366"/>
      <c r="FU209" s="366"/>
      <c r="FV209" s="366"/>
      <c r="FW209" s="366"/>
      <c r="FX209" s="366"/>
      <c r="FY209" s="366"/>
      <c r="FZ209" s="366"/>
      <c r="GA209" s="366"/>
      <c r="GB209" s="366"/>
      <c r="GC209" s="366"/>
      <c r="GD209" s="366"/>
      <c r="GE209" s="445" t="str">
        <f>IFERROR(VLOOKUP($CJ209,Skills!$H$2:$K$620,4,FALSE),"")</f>
        <v/>
      </c>
      <c r="GF209" s="445"/>
      <c r="GG209" s="445"/>
      <c r="GH209" s="445"/>
      <c r="GI209" s="445"/>
      <c r="GJ209" s="448"/>
      <c r="GK209" s="448"/>
      <c r="GL209" s="448"/>
      <c r="GM209" s="448"/>
      <c r="GN209" s="449"/>
    </row>
    <row r="210" spans="87:196" x14ac:dyDescent="0.25">
      <c r="CI210">
        <v>196</v>
      </c>
      <c r="CJ210">
        <v>446</v>
      </c>
      <c r="CK210" s="450" t="str">
        <f>IFERROR(VLOOKUP($CI210,Skills!$H$2:$N$620,7,FALSE),"")</f>
        <v/>
      </c>
      <c r="CL210" s="451"/>
      <c r="CM210" s="451"/>
      <c r="CN210" s="451"/>
      <c r="CO210" s="451"/>
      <c r="CP210" s="451"/>
      <c r="CQ210" s="451"/>
      <c r="CR210" s="451"/>
      <c r="CS210" s="451"/>
      <c r="CT210" s="451"/>
      <c r="CU210" s="451"/>
      <c r="CV210" s="451"/>
      <c r="CW210" s="451"/>
      <c r="CX210" s="451"/>
      <c r="CY210" s="451"/>
      <c r="CZ210" s="451"/>
      <c r="DA210" s="451"/>
      <c r="DB210" s="451"/>
      <c r="DC210" s="451"/>
      <c r="DD210" s="451"/>
      <c r="DE210" s="451"/>
      <c r="DF210" s="451"/>
      <c r="DG210" s="451"/>
      <c r="DH210" s="451"/>
      <c r="DI210" s="451"/>
      <c r="DJ210" s="451"/>
      <c r="DK210" s="451"/>
      <c r="DL210" s="451"/>
      <c r="DM210" s="451"/>
      <c r="DN210" s="451"/>
      <c r="DO210" s="451"/>
      <c r="DP210" s="451"/>
      <c r="DQ210" s="451"/>
      <c r="DR210" s="451"/>
      <c r="DS210" s="451"/>
      <c r="DT210" s="451"/>
      <c r="DU210" s="451"/>
      <c r="DV210" s="451"/>
      <c r="DW210" s="451"/>
      <c r="DX210" s="451"/>
      <c r="DY210" s="451"/>
      <c r="DZ210" s="451"/>
      <c r="EA210" s="451"/>
      <c r="EB210" s="451"/>
      <c r="EC210" s="417" t="str">
        <f>IFERROR(VLOOKUP($CI210,Skills!$H$2:$K$620,4,FALSE),"")</f>
        <v/>
      </c>
      <c r="ED210" s="417"/>
      <c r="EE210" s="417"/>
      <c r="EF210" s="417"/>
      <c r="EG210" s="417"/>
      <c r="EH210" s="452"/>
      <c r="EI210" s="452"/>
      <c r="EJ210" s="452"/>
      <c r="EK210" s="452"/>
      <c r="EL210" s="453"/>
      <c r="EM210" s="451" t="str">
        <f>IFERROR(VLOOKUP($CJ210,Skills!$H$2:$N$620,7,FALSE),"")</f>
        <v/>
      </c>
      <c r="EN210" s="451"/>
      <c r="EO210" s="451"/>
      <c r="EP210" s="451"/>
      <c r="EQ210" s="451"/>
      <c r="ER210" s="451"/>
      <c r="ES210" s="451"/>
      <c r="ET210" s="451"/>
      <c r="EU210" s="451"/>
      <c r="EV210" s="451"/>
      <c r="EW210" s="451"/>
      <c r="EX210" s="451"/>
      <c r="EY210" s="451"/>
      <c r="EZ210" s="451"/>
      <c r="FA210" s="451"/>
      <c r="FB210" s="451"/>
      <c r="FC210" s="451"/>
      <c r="FD210" s="451"/>
      <c r="FE210" s="451"/>
      <c r="FF210" s="451"/>
      <c r="FG210" s="451"/>
      <c r="FH210" s="451"/>
      <c r="FI210" s="451"/>
      <c r="FJ210" s="451"/>
      <c r="FK210" s="451"/>
      <c r="FL210" s="451"/>
      <c r="FM210" s="451"/>
      <c r="FN210" s="451"/>
      <c r="FO210" s="451"/>
      <c r="FP210" s="451"/>
      <c r="FQ210" s="451"/>
      <c r="FR210" s="451"/>
      <c r="FS210" s="451"/>
      <c r="FT210" s="451"/>
      <c r="FU210" s="451"/>
      <c r="FV210" s="451"/>
      <c r="FW210" s="451"/>
      <c r="FX210" s="451"/>
      <c r="FY210" s="451"/>
      <c r="FZ210" s="451"/>
      <c r="GA210" s="451"/>
      <c r="GB210" s="451"/>
      <c r="GC210" s="451"/>
      <c r="GD210" s="451"/>
      <c r="GE210" s="417" t="str">
        <f>IFERROR(VLOOKUP($CJ210,Skills!$H$2:$K$620,4,FALSE),"")</f>
        <v/>
      </c>
      <c r="GF210" s="417"/>
      <c r="GG210" s="417"/>
      <c r="GH210" s="417"/>
      <c r="GI210" s="417"/>
      <c r="GJ210" s="454"/>
      <c r="GK210" s="454"/>
      <c r="GL210" s="454"/>
      <c r="GM210" s="454"/>
      <c r="GN210" s="455"/>
    </row>
    <row r="211" spans="87:196" x14ac:dyDescent="0.25">
      <c r="CI211">
        <v>197</v>
      </c>
      <c r="CJ211">
        <v>447</v>
      </c>
      <c r="CK211" s="365" t="str">
        <f>IFERROR(VLOOKUP($CI211,Skills!$H$2:$N$620,7,FALSE),"")</f>
        <v/>
      </c>
      <c r="CL211" s="366"/>
      <c r="CM211" s="366"/>
      <c r="CN211" s="366"/>
      <c r="CO211" s="366"/>
      <c r="CP211" s="366"/>
      <c r="CQ211" s="366"/>
      <c r="CR211" s="366"/>
      <c r="CS211" s="366"/>
      <c r="CT211" s="366"/>
      <c r="CU211" s="366"/>
      <c r="CV211" s="366"/>
      <c r="CW211" s="366"/>
      <c r="CX211" s="366"/>
      <c r="CY211" s="366"/>
      <c r="CZ211" s="366"/>
      <c r="DA211" s="366"/>
      <c r="DB211" s="366"/>
      <c r="DC211" s="366"/>
      <c r="DD211" s="366"/>
      <c r="DE211" s="366"/>
      <c r="DF211" s="366"/>
      <c r="DG211" s="366"/>
      <c r="DH211" s="366"/>
      <c r="DI211" s="366"/>
      <c r="DJ211" s="366"/>
      <c r="DK211" s="366"/>
      <c r="DL211" s="366"/>
      <c r="DM211" s="366"/>
      <c r="DN211" s="366"/>
      <c r="DO211" s="366"/>
      <c r="DP211" s="366"/>
      <c r="DQ211" s="366"/>
      <c r="DR211" s="366"/>
      <c r="DS211" s="366"/>
      <c r="DT211" s="366"/>
      <c r="DU211" s="366"/>
      <c r="DV211" s="366"/>
      <c r="DW211" s="366"/>
      <c r="DX211" s="366"/>
      <c r="DY211" s="366"/>
      <c r="DZ211" s="366"/>
      <c r="EA211" s="366"/>
      <c r="EB211" s="366"/>
      <c r="EC211" s="445" t="str">
        <f>IFERROR(VLOOKUP($CI211,Skills!$H$2:$K$620,4,FALSE),"")</f>
        <v/>
      </c>
      <c r="ED211" s="445"/>
      <c r="EE211" s="445"/>
      <c r="EF211" s="445"/>
      <c r="EG211" s="445"/>
      <c r="EH211" s="446"/>
      <c r="EI211" s="446"/>
      <c r="EJ211" s="446"/>
      <c r="EK211" s="446"/>
      <c r="EL211" s="447"/>
      <c r="EM211" s="366" t="str">
        <f>IFERROR(VLOOKUP($CJ211,Skills!$H$2:$N$620,7,FALSE),"")</f>
        <v/>
      </c>
      <c r="EN211" s="366"/>
      <c r="EO211" s="366"/>
      <c r="EP211" s="366"/>
      <c r="EQ211" s="366"/>
      <c r="ER211" s="366"/>
      <c r="ES211" s="366"/>
      <c r="ET211" s="366"/>
      <c r="EU211" s="366"/>
      <c r="EV211" s="366"/>
      <c r="EW211" s="366"/>
      <c r="EX211" s="366"/>
      <c r="EY211" s="366"/>
      <c r="EZ211" s="366"/>
      <c r="FA211" s="366"/>
      <c r="FB211" s="366"/>
      <c r="FC211" s="366"/>
      <c r="FD211" s="366"/>
      <c r="FE211" s="366"/>
      <c r="FF211" s="366"/>
      <c r="FG211" s="366"/>
      <c r="FH211" s="366"/>
      <c r="FI211" s="366"/>
      <c r="FJ211" s="366"/>
      <c r="FK211" s="366"/>
      <c r="FL211" s="366"/>
      <c r="FM211" s="366"/>
      <c r="FN211" s="366"/>
      <c r="FO211" s="366"/>
      <c r="FP211" s="366"/>
      <c r="FQ211" s="366"/>
      <c r="FR211" s="366"/>
      <c r="FS211" s="366"/>
      <c r="FT211" s="366"/>
      <c r="FU211" s="366"/>
      <c r="FV211" s="366"/>
      <c r="FW211" s="366"/>
      <c r="FX211" s="366"/>
      <c r="FY211" s="366"/>
      <c r="FZ211" s="366"/>
      <c r="GA211" s="366"/>
      <c r="GB211" s="366"/>
      <c r="GC211" s="366"/>
      <c r="GD211" s="366"/>
      <c r="GE211" s="445" t="str">
        <f>IFERROR(VLOOKUP($CJ211,Skills!$H$2:$K$620,4,FALSE),"")</f>
        <v/>
      </c>
      <c r="GF211" s="445"/>
      <c r="GG211" s="445"/>
      <c r="GH211" s="445"/>
      <c r="GI211" s="445"/>
      <c r="GJ211" s="448"/>
      <c r="GK211" s="448"/>
      <c r="GL211" s="448"/>
      <c r="GM211" s="448"/>
      <c r="GN211" s="449"/>
    </row>
    <row r="212" spans="87:196" x14ac:dyDescent="0.25">
      <c r="CI212">
        <v>198</v>
      </c>
      <c r="CJ212">
        <v>448</v>
      </c>
      <c r="CK212" s="450" t="str">
        <f>IFERROR(VLOOKUP($CI212,Skills!$H$2:$N$620,7,FALSE),"")</f>
        <v/>
      </c>
      <c r="CL212" s="451"/>
      <c r="CM212" s="451"/>
      <c r="CN212" s="451"/>
      <c r="CO212" s="451"/>
      <c r="CP212" s="451"/>
      <c r="CQ212" s="451"/>
      <c r="CR212" s="451"/>
      <c r="CS212" s="451"/>
      <c r="CT212" s="451"/>
      <c r="CU212" s="451"/>
      <c r="CV212" s="451"/>
      <c r="CW212" s="451"/>
      <c r="CX212" s="451"/>
      <c r="CY212" s="451"/>
      <c r="CZ212" s="451"/>
      <c r="DA212" s="451"/>
      <c r="DB212" s="451"/>
      <c r="DC212" s="451"/>
      <c r="DD212" s="451"/>
      <c r="DE212" s="451"/>
      <c r="DF212" s="451"/>
      <c r="DG212" s="451"/>
      <c r="DH212" s="451"/>
      <c r="DI212" s="451"/>
      <c r="DJ212" s="451"/>
      <c r="DK212" s="451"/>
      <c r="DL212" s="451"/>
      <c r="DM212" s="451"/>
      <c r="DN212" s="451"/>
      <c r="DO212" s="451"/>
      <c r="DP212" s="451"/>
      <c r="DQ212" s="451"/>
      <c r="DR212" s="451"/>
      <c r="DS212" s="451"/>
      <c r="DT212" s="451"/>
      <c r="DU212" s="451"/>
      <c r="DV212" s="451"/>
      <c r="DW212" s="451"/>
      <c r="DX212" s="451"/>
      <c r="DY212" s="451"/>
      <c r="DZ212" s="451"/>
      <c r="EA212" s="451"/>
      <c r="EB212" s="451"/>
      <c r="EC212" s="417" t="str">
        <f>IFERROR(VLOOKUP($CI212,Skills!$H$2:$K$620,4,FALSE),"")</f>
        <v/>
      </c>
      <c r="ED212" s="417"/>
      <c r="EE212" s="417"/>
      <c r="EF212" s="417"/>
      <c r="EG212" s="417"/>
      <c r="EH212" s="452"/>
      <c r="EI212" s="452"/>
      <c r="EJ212" s="452"/>
      <c r="EK212" s="452"/>
      <c r="EL212" s="453"/>
      <c r="EM212" s="451" t="str">
        <f>IFERROR(VLOOKUP($CJ212,Skills!$H$2:$N$620,7,FALSE),"")</f>
        <v/>
      </c>
      <c r="EN212" s="451"/>
      <c r="EO212" s="451"/>
      <c r="EP212" s="451"/>
      <c r="EQ212" s="451"/>
      <c r="ER212" s="451"/>
      <c r="ES212" s="451"/>
      <c r="ET212" s="451"/>
      <c r="EU212" s="451"/>
      <c r="EV212" s="451"/>
      <c r="EW212" s="451"/>
      <c r="EX212" s="451"/>
      <c r="EY212" s="451"/>
      <c r="EZ212" s="451"/>
      <c r="FA212" s="451"/>
      <c r="FB212" s="451"/>
      <c r="FC212" s="451"/>
      <c r="FD212" s="451"/>
      <c r="FE212" s="451"/>
      <c r="FF212" s="451"/>
      <c r="FG212" s="451"/>
      <c r="FH212" s="451"/>
      <c r="FI212" s="451"/>
      <c r="FJ212" s="451"/>
      <c r="FK212" s="451"/>
      <c r="FL212" s="451"/>
      <c r="FM212" s="451"/>
      <c r="FN212" s="451"/>
      <c r="FO212" s="451"/>
      <c r="FP212" s="451"/>
      <c r="FQ212" s="451"/>
      <c r="FR212" s="451"/>
      <c r="FS212" s="451"/>
      <c r="FT212" s="451"/>
      <c r="FU212" s="451"/>
      <c r="FV212" s="451"/>
      <c r="FW212" s="451"/>
      <c r="FX212" s="451"/>
      <c r="FY212" s="451"/>
      <c r="FZ212" s="451"/>
      <c r="GA212" s="451"/>
      <c r="GB212" s="451"/>
      <c r="GC212" s="451"/>
      <c r="GD212" s="451"/>
      <c r="GE212" s="417" t="str">
        <f>IFERROR(VLOOKUP($CJ212,Skills!$H$2:$K$620,4,FALSE),"")</f>
        <v/>
      </c>
      <c r="GF212" s="417"/>
      <c r="GG212" s="417"/>
      <c r="GH212" s="417"/>
      <c r="GI212" s="417"/>
      <c r="GJ212" s="454"/>
      <c r="GK212" s="454"/>
      <c r="GL212" s="454"/>
      <c r="GM212" s="454"/>
      <c r="GN212" s="455"/>
    </row>
    <row r="213" spans="87:196" x14ac:dyDescent="0.25">
      <c r="CI213">
        <v>199</v>
      </c>
      <c r="CJ213">
        <v>449</v>
      </c>
      <c r="CK213" s="365" t="str">
        <f>IFERROR(VLOOKUP($CI213,Skills!$H$2:$N$620,7,FALSE),"")</f>
        <v/>
      </c>
      <c r="CL213" s="366"/>
      <c r="CM213" s="366"/>
      <c r="CN213" s="366"/>
      <c r="CO213" s="366"/>
      <c r="CP213" s="366"/>
      <c r="CQ213" s="366"/>
      <c r="CR213" s="366"/>
      <c r="CS213" s="366"/>
      <c r="CT213" s="366"/>
      <c r="CU213" s="366"/>
      <c r="CV213" s="366"/>
      <c r="CW213" s="366"/>
      <c r="CX213" s="366"/>
      <c r="CY213" s="366"/>
      <c r="CZ213" s="366"/>
      <c r="DA213" s="366"/>
      <c r="DB213" s="366"/>
      <c r="DC213" s="366"/>
      <c r="DD213" s="366"/>
      <c r="DE213" s="366"/>
      <c r="DF213" s="366"/>
      <c r="DG213" s="366"/>
      <c r="DH213" s="366"/>
      <c r="DI213" s="366"/>
      <c r="DJ213" s="366"/>
      <c r="DK213" s="366"/>
      <c r="DL213" s="366"/>
      <c r="DM213" s="366"/>
      <c r="DN213" s="366"/>
      <c r="DO213" s="366"/>
      <c r="DP213" s="366"/>
      <c r="DQ213" s="366"/>
      <c r="DR213" s="366"/>
      <c r="DS213" s="366"/>
      <c r="DT213" s="366"/>
      <c r="DU213" s="366"/>
      <c r="DV213" s="366"/>
      <c r="DW213" s="366"/>
      <c r="DX213" s="366"/>
      <c r="DY213" s="366"/>
      <c r="DZ213" s="366"/>
      <c r="EA213" s="366"/>
      <c r="EB213" s="366"/>
      <c r="EC213" s="445" t="str">
        <f>IFERROR(VLOOKUP($CI213,Skills!$H$2:$K$620,4,FALSE),"")</f>
        <v/>
      </c>
      <c r="ED213" s="445"/>
      <c r="EE213" s="445"/>
      <c r="EF213" s="445"/>
      <c r="EG213" s="445"/>
      <c r="EH213" s="446"/>
      <c r="EI213" s="446"/>
      <c r="EJ213" s="446"/>
      <c r="EK213" s="446"/>
      <c r="EL213" s="447"/>
      <c r="EM213" s="366" t="str">
        <f>IFERROR(VLOOKUP($CJ213,Skills!$H$2:$N$620,7,FALSE),"")</f>
        <v/>
      </c>
      <c r="EN213" s="366"/>
      <c r="EO213" s="366"/>
      <c r="EP213" s="366"/>
      <c r="EQ213" s="366"/>
      <c r="ER213" s="366"/>
      <c r="ES213" s="366"/>
      <c r="ET213" s="366"/>
      <c r="EU213" s="366"/>
      <c r="EV213" s="366"/>
      <c r="EW213" s="366"/>
      <c r="EX213" s="366"/>
      <c r="EY213" s="366"/>
      <c r="EZ213" s="366"/>
      <c r="FA213" s="366"/>
      <c r="FB213" s="366"/>
      <c r="FC213" s="366"/>
      <c r="FD213" s="366"/>
      <c r="FE213" s="366"/>
      <c r="FF213" s="366"/>
      <c r="FG213" s="366"/>
      <c r="FH213" s="366"/>
      <c r="FI213" s="366"/>
      <c r="FJ213" s="366"/>
      <c r="FK213" s="366"/>
      <c r="FL213" s="366"/>
      <c r="FM213" s="366"/>
      <c r="FN213" s="366"/>
      <c r="FO213" s="366"/>
      <c r="FP213" s="366"/>
      <c r="FQ213" s="366"/>
      <c r="FR213" s="366"/>
      <c r="FS213" s="366"/>
      <c r="FT213" s="366"/>
      <c r="FU213" s="366"/>
      <c r="FV213" s="366"/>
      <c r="FW213" s="366"/>
      <c r="FX213" s="366"/>
      <c r="FY213" s="366"/>
      <c r="FZ213" s="366"/>
      <c r="GA213" s="366"/>
      <c r="GB213" s="366"/>
      <c r="GC213" s="366"/>
      <c r="GD213" s="366"/>
      <c r="GE213" s="445" t="str">
        <f>IFERROR(VLOOKUP($CJ213,Skills!$H$2:$K$620,4,FALSE),"")</f>
        <v/>
      </c>
      <c r="GF213" s="445"/>
      <c r="GG213" s="445"/>
      <c r="GH213" s="445"/>
      <c r="GI213" s="445"/>
      <c r="GJ213" s="448"/>
      <c r="GK213" s="448"/>
      <c r="GL213" s="448"/>
      <c r="GM213" s="448"/>
      <c r="GN213" s="449"/>
    </row>
    <row r="214" spans="87:196" x14ac:dyDescent="0.25">
      <c r="CI214">
        <v>200</v>
      </c>
      <c r="CJ214">
        <v>450</v>
      </c>
      <c r="CK214" s="450" t="str">
        <f>IFERROR(VLOOKUP($CI214,Skills!$H$2:$N$620,7,FALSE),"")</f>
        <v/>
      </c>
      <c r="CL214" s="451"/>
      <c r="CM214" s="451"/>
      <c r="CN214" s="451"/>
      <c r="CO214" s="451"/>
      <c r="CP214" s="451"/>
      <c r="CQ214" s="451"/>
      <c r="CR214" s="451"/>
      <c r="CS214" s="451"/>
      <c r="CT214" s="451"/>
      <c r="CU214" s="451"/>
      <c r="CV214" s="451"/>
      <c r="CW214" s="451"/>
      <c r="CX214" s="451"/>
      <c r="CY214" s="451"/>
      <c r="CZ214" s="451"/>
      <c r="DA214" s="451"/>
      <c r="DB214" s="451"/>
      <c r="DC214" s="451"/>
      <c r="DD214" s="451"/>
      <c r="DE214" s="451"/>
      <c r="DF214" s="451"/>
      <c r="DG214" s="451"/>
      <c r="DH214" s="451"/>
      <c r="DI214" s="451"/>
      <c r="DJ214" s="451"/>
      <c r="DK214" s="451"/>
      <c r="DL214" s="451"/>
      <c r="DM214" s="451"/>
      <c r="DN214" s="451"/>
      <c r="DO214" s="451"/>
      <c r="DP214" s="451"/>
      <c r="DQ214" s="451"/>
      <c r="DR214" s="451"/>
      <c r="DS214" s="451"/>
      <c r="DT214" s="451"/>
      <c r="DU214" s="451"/>
      <c r="DV214" s="451"/>
      <c r="DW214" s="451"/>
      <c r="DX214" s="451"/>
      <c r="DY214" s="451"/>
      <c r="DZ214" s="451"/>
      <c r="EA214" s="451"/>
      <c r="EB214" s="451"/>
      <c r="EC214" s="417" t="str">
        <f>IFERROR(VLOOKUP($CI214,Skills!$H$2:$K$620,4,FALSE),"")</f>
        <v/>
      </c>
      <c r="ED214" s="417"/>
      <c r="EE214" s="417"/>
      <c r="EF214" s="417"/>
      <c r="EG214" s="417"/>
      <c r="EH214" s="452"/>
      <c r="EI214" s="452"/>
      <c r="EJ214" s="452"/>
      <c r="EK214" s="452"/>
      <c r="EL214" s="453"/>
      <c r="EM214" s="451" t="str">
        <f>IFERROR(VLOOKUP($CJ214,Skills!$H$2:$N$620,7,FALSE),"")</f>
        <v/>
      </c>
      <c r="EN214" s="451"/>
      <c r="EO214" s="451"/>
      <c r="EP214" s="451"/>
      <c r="EQ214" s="451"/>
      <c r="ER214" s="451"/>
      <c r="ES214" s="451"/>
      <c r="ET214" s="451"/>
      <c r="EU214" s="451"/>
      <c r="EV214" s="451"/>
      <c r="EW214" s="451"/>
      <c r="EX214" s="451"/>
      <c r="EY214" s="451"/>
      <c r="EZ214" s="451"/>
      <c r="FA214" s="451"/>
      <c r="FB214" s="451"/>
      <c r="FC214" s="451"/>
      <c r="FD214" s="451"/>
      <c r="FE214" s="451"/>
      <c r="FF214" s="451"/>
      <c r="FG214" s="451"/>
      <c r="FH214" s="451"/>
      <c r="FI214" s="451"/>
      <c r="FJ214" s="451"/>
      <c r="FK214" s="451"/>
      <c r="FL214" s="451"/>
      <c r="FM214" s="451"/>
      <c r="FN214" s="451"/>
      <c r="FO214" s="451"/>
      <c r="FP214" s="451"/>
      <c r="FQ214" s="451"/>
      <c r="FR214" s="451"/>
      <c r="FS214" s="451"/>
      <c r="FT214" s="451"/>
      <c r="FU214" s="451"/>
      <c r="FV214" s="451"/>
      <c r="FW214" s="451"/>
      <c r="FX214" s="451"/>
      <c r="FY214" s="451"/>
      <c r="FZ214" s="451"/>
      <c r="GA214" s="451"/>
      <c r="GB214" s="451"/>
      <c r="GC214" s="451"/>
      <c r="GD214" s="451"/>
      <c r="GE214" s="417" t="str">
        <f>IFERROR(VLOOKUP($CJ214,Skills!$H$2:$K$620,4,FALSE),"")</f>
        <v/>
      </c>
      <c r="GF214" s="417"/>
      <c r="GG214" s="417"/>
      <c r="GH214" s="417"/>
      <c r="GI214" s="417"/>
      <c r="GJ214" s="454"/>
      <c r="GK214" s="454"/>
      <c r="GL214" s="454"/>
      <c r="GM214" s="454"/>
      <c r="GN214" s="455"/>
    </row>
    <row r="215" spans="87:196" x14ac:dyDescent="0.25">
      <c r="CI215">
        <v>201</v>
      </c>
      <c r="CJ215">
        <v>451</v>
      </c>
      <c r="CK215" s="365" t="str">
        <f>IFERROR(VLOOKUP($CI215,Skills!$H$2:$N$620,7,FALSE),"")</f>
        <v/>
      </c>
      <c r="CL215" s="366"/>
      <c r="CM215" s="366"/>
      <c r="CN215" s="366"/>
      <c r="CO215" s="366"/>
      <c r="CP215" s="366"/>
      <c r="CQ215" s="366"/>
      <c r="CR215" s="366"/>
      <c r="CS215" s="366"/>
      <c r="CT215" s="366"/>
      <c r="CU215" s="366"/>
      <c r="CV215" s="366"/>
      <c r="CW215" s="366"/>
      <c r="CX215" s="366"/>
      <c r="CY215" s="366"/>
      <c r="CZ215" s="366"/>
      <c r="DA215" s="366"/>
      <c r="DB215" s="366"/>
      <c r="DC215" s="366"/>
      <c r="DD215" s="366"/>
      <c r="DE215" s="366"/>
      <c r="DF215" s="366"/>
      <c r="DG215" s="366"/>
      <c r="DH215" s="366"/>
      <c r="DI215" s="366"/>
      <c r="DJ215" s="366"/>
      <c r="DK215" s="366"/>
      <c r="DL215" s="366"/>
      <c r="DM215" s="366"/>
      <c r="DN215" s="366"/>
      <c r="DO215" s="366"/>
      <c r="DP215" s="366"/>
      <c r="DQ215" s="366"/>
      <c r="DR215" s="366"/>
      <c r="DS215" s="366"/>
      <c r="DT215" s="366"/>
      <c r="DU215" s="366"/>
      <c r="DV215" s="366"/>
      <c r="DW215" s="366"/>
      <c r="DX215" s="366"/>
      <c r="DY215" s="366"/>
      <c r="DZ215" s="366"/>
      <c r="EA215" s="366"/>
      <c r="EB215" s="366"/>
      <c r="EC215" s="445" t="str">
        <f>IFERROR(VLOOKUP($CI215,Skills!$H$2:$K$620,4,FALSE),"")</f>
        <v/>
      </c>
      <c r="ED215" s="445"/>
      <c r="EE215" s="445"/>
      <c r="EF215" s="445"/>
      <c r="EG215" s="445"/>
      <c r="EH215" s="446"/>
      <c r="EI215" s="446"/>
      <c r="EJ215" s="446"/>
      <c r="EK215" s="446"/>
      <c r="EL215" s="447"/>
      <c r="EM215" s="366" t="str">
        <f>IFERROR(VLOOKUP($CJ215,Skills!$H$2:$N$620,7,FALSE),"")</f>
        <v/>
      </c>
      <c r="EN215" s="366"/>
      <c r="EO215" s="366"/>
      <c r="EP215" s="366"/>
      <c r="EQ215" s="366"/>
      <c r="ER215" s="366"/>
      <c r="ES215" s="366"/>
      <c r="ET215" s="366"/>
      <c r="EU215" s="366"/>
      <c r="EV215" s="366"/>
      <c r="EW215" s="366"/>
      <c r="EX215" s="366"/>
      <c r="EY215" s="366"/>
      <c r="EZ215" s="366"/>
      <c r="FA215" s="366"/>
      <c r="FB215" s="366"/>
      <c r="FC215" s="366"/>
      <c r="FD215" s="366"/>
      <c r="FE215" s="366"/>
      <c r="FF215" s="366"/>
      <c r="FG215" s="366"/>
      <c r="FH215" s="366"/>
      <c r="FI215" s="366"/>
      <c r="FJ215" s="366"/>
      <c r="FK215" s="366"/>
      <c r="FL215" s="366"/>
      <c r="FM215" s="366"/>
      <c r="FN215" s="366"/>
      <c r="FO215" s="366"/>
      <c r="FP215" s="366"/>
      <c r="FQ215" s="366"/>
      <c r="FR215" s="366"/>
      <c r="FS215" s="366"/>
      <c r="FT215" s="366"/>
      <c r="FU215" s="366"/>
      <c r="FV215" s="366"/>
      <c r="FW215" s="366"/>
      <c r="FX215" s="366"/>
      <c r="FY215" s="366"/>
      <c r="FZ215" s="366"/>
      <c r="GA215" s="366"/>
      <c r="GB215" s="366"/>
      <c r="GC215" s="366"/>
      <c r="GD215" s="366"/>
      <c r="GE215" s="445" t="str">
        <f>IFERROR(VLOOKUP($CJ215,Skills!$H$2:$K$620,4,FALSE),"")</f>
        <v/>
      </c>
      <c r="GF215" s="445"/>
      <c r="GG215" s="445"/>
      <c r="GH215" s="445"/>
      <c r="GI215" s="445"/>
      <c r="GJ215" s="448"/>
      <c r="GK215" s="448"/>
      <c r="GL215" s="448"/>
      <c r="GM215" s="448"/>
      <c r="GN215" s="449"/>
    </row>
    <row r="216" spans="87:196" x14ac:dyDescent="0.25">
      <c r="CI216">
        <v>202</v>
      </c>
      <c r="CJ216">
        <v>452</v>
      </c>
      <c r="CK216" s="450" t="str">
        <f>IFERROR(VLOOKUP($CI216,Skills!$H$2:$N$620,7,FALSE),"")</f>
        <v/>
      </c>
      <c r="CL216" s="451"/>
      <c r="CM216" s="451"/>
      <c r="CN216" s="451"/>
      <c r="CO216" s="451"/>
      <c r="CP216" s="451"/>
      <c r="CQ216" s="451"/>
      <c r="CR216" s="451"/>
      <c r="CS216" s="451"/>
      <c r="CT216" s="451"/>
      <c r="CU216" s="451"/>
      <c r="CV216" s="451"/>
      <c r="CW216" s="451"/>
      <c r="CX216" s="451"/>
      <c r="CY216" s="451"/>
      <c r="CZ216" s="451"/>
      <c r="DA216" s="451"/>
      <c r="DB216" s="451"/>
      <c r="DC216" s="451"/>
      <c r="DD216" s="451"/>
      <c r="DE216" s="451"/>
      <c r="DF216" s="451"/>
      <c r="DG216" s="451"/>
      <c r="DH216" s="451"/>
      <c r="DI216" s="451"/>
      <c r="DJ216" s="451"/>
      <c r="DK216" s="451"/>
      <c r="DL216" s="451"/>
      <c r="DM216" s="451"/>
      <c r="DN216" s="451"/>
      <c r="DO216" s="451"/>
      <c r="DP216" s="451"/>
      <c r="DQ216" s="451"/>
      <c r="DR216" s="451"/>
      <c r="DS216" s="451"/>
      <c r="DT216" s="451"/>
      <c r="DU216" s="451"/>
      <c r="DV216" s="451"/>
      <c r="DW216" s="451"/>
      <c r="DX216" s="451"/>
      <c r="DY216" s="451"/>
      <c r="DZ216" s="451"/>
      <c r="EA216" s="451"/>
      <c r="EB216" s="451"/>
      <c r="EC216" s="417" t="str">
        <f>IFERROR(VLOOKUP($CI216,Skills!$H$2:$K$620,4,FALSE),"")</f>
        <v/>
      </c>
      <c r="ED216" s="417"/>
      <c r="EE216" s="417"/>
      <c r="EF216" s="417"/>
      <c r="EG216" s="417"/>
      <c r="EH216" s="452"/>
      <c r="EI216" s="452"/>
      <c r="EJ216" s="452"/>
      <c r="EK216" s="452"/>
      <c r="EL216" s="453"/>
      <c r="EM216" s="451" t="str">
        <f>IFERROR(VLOOKUP($CJ216,Skills!$H$2:$N$620,7,FALSE),"")</f>
        <v/>
      </c>
      <c r="EN216" s="451"/>
      <c r="EO216" s="451"/>
      <c r="EP216" s="451"/>
      <c r="EQ216" s="451"/>
      <c r="ER216" s="451"/>
      <c r="ES216" s="451"/>
      <c r="ET216" s="451"/>
      <c r="EU216" s="451"/>
      <c r="EV216" s="451"/>
      <c r="EW216" s="451"/>
      <c r="EX216" s="451"/>
      <c r="EY216" s="451"/>
      <c r="EZ216" s="451"/>
      <c r="FA216" s="451"/>
      <c r="FB216" s="451"/>
      <c r="FC216" s="451"/>
      <c r="FD216" s="451"/>
      <c r="FE216" s="451"/>
      <c r="FF216" s="451"/>
      <c r="FG216" s="451"/>
      <c r="FH216" s="451"/>
      <c r="FI216" s="451"/>
      <c r="FJ216" s="451"/>
      <c r="FK216" s="451"/>
      <c r="FL216" s="451"/>
      <c r="FM216" s="451"/>
      <c r="FN216" s="451"/>
      <c r="FO216" s="451"/>
      <c r="FP216" s="451"/>
      <c r="FQ216" s="451"/>
      <c r="FR216" s="451"/>
      <c r="FS216" s="451"/>
      <c r="FT216" s="451"/>
      <c r="FU216" s="451"/>
      <c r="FV216" s="451"/>
      <c r="FW216" s="451"/>
      <c r="FX216" s="451"/>
      <c r="FY216" s="451"/>
      <c r="FZ216" s="451"/>
      <c r="GA216" s="451"/>
      <c r="GB216" s="451"/>
      <c r="GC216" s="451"/>
      <c r="GD216" s="451"/>
      <c r="GE216" s="417" t="str">
        <f>IFERROR(VLOOKUP($CJ216,Skills!$H$2:$K$620,4,FALSE),"")</f>
        <v/>
      </c>
      <c r="GF216" s="417"/>
      <c r="GG216" s="417"/>
      <c r="GH216" s="417"/>
      <c r="GI216" s="417"/>
      <c r="GJ216" s="454"/>
      <c r="GK216" s="454"/>
      <c r="GL216" s="454"/>
      <c r="GM216" s="454"/>
      <c r="GN216" s="455"/>
    </row>
    <row r="217" spans="87:196" x14ac:dyDescent="0.25">
      <c r="CI217">
        <v>203</v>
      </c>
      <c r="CJ217">
        <v>453</v>
      </c>
      <c r="CK217" s="365" t="str">
        <f>IFERROR(VLOOKUP($CI217,Skills!$H$2:$N$620,7,FALSE),"")</f>
        <v/>
      </c>
      <c r="CL217" s="366"/>
      <c r="CM217" s="366"/>
      <c r="CN217" s="366"/>
      <c r="CO217" s="366"/>
      <c r="CP217" s="366"/>
      <c r="CQ217" s="366"/>
      <c r="CR217" s="366"/>
      <c r="CS217" s="366"/>
      <c r="CT217" s="366"/>
      <c r="CU217" s="366"/>
      <c r="CV217" s="366"/>
      <c r="CW217" s="366"/>
      <c r="CX217" s="366"/>
      <c r="CY217" s="366"/>
      <c r="CZ217" s="366"/>
      <c r="DA217" s="366"/>
      <c r="DB217" s="366"/>
      <c r="DC217" s="366"/>
      <c r="DD217" s="366"/>
      <c r="DE217" s="366"/>
      <c r="DF217" s="366"/>
      <c r="DG217" s="366"/>
      <c r="DH217" s="366"/>
      <c r="DI217" s="366"/>
      <c r="DJ217" s="366"/>
      <c r="DK217" s="366"/>
      <c r="DL217" s="366"/>
      <c r="DM217" s="366"/>
      <c r="DN217" s="366"/>
      <c r="DO217" s="366"/>
      <c r="DP217" s="366"/>
      <c r="DQ217" s="366"/>
      <c r="DR217" s="366"/>
      <c r="DS217" s="366"/>
      <c r="DT217" s="366"/>
      <c r="DU217" s="366"/>
      <c r="DV217" s="366"/>
      <c r="DW217" s="366"/>
      <c r="DX217" s="366"/>
      <c r="DY217" s="366"/>
      <c r="DZ217" s="366"/>
      <c r="EA217" s="366"/>
      <c r="EB217" s="366"/>
      <c r="EC217" s="445" t="str">
        <f>IFERROR(VLOOKUP($CI217,Skills!$H$2:$K$620,4,FALSE),"")</f>
        <v/>
      </c>
      <c r="ED217" s="445"/>
      <c r="EE217" s="445"/>
      <c r="EF217" s="445"/>
      <c r="EG217" s="445"/>
      <c r="EH217" s="446"/>
      <c r="EI217" s="446"/>
      <c r="EJ217" s="446"/>
      <c r="EK217" s="446"/>
      <c r="EL217" s="447"/>
      <c r="EM217" s="366" t="str">
        <f>IFERROR(VLOOKUP($CJ217,Skills!$H$2:$N$620,7,FALSE),"")</f>
        <v/>
      </c>
      <c r="EN217" s="366"/>
      <c r="EO217" s="366"/>
      <c r="EP217" s="366"/>
      <c r="EQ217" s="366"/>
      <c r="ER217" s="366"/>
      <c r="ES217" s="366"/>
      <c r="ET217" s="366"/>
      <c r="EU217" s="366"/>
      <c r="EV217" s="366"/>
      <c r="EW217" s="366"/>
      <c r="EX217" s="366"/>
      <c r="EY217" s="366"/>
      <c r="EZ217" s="366"/>
      <c r="FA217" s="366"/>
      <c r="FB217" s="366"/>
      <c r="FC217" s="366"/>
      <c r="FD217" s="366"/>
      <c r="FE217" s="366"/>
      <c r="FF217" s="366"/>
      <c r="FG217" s="366"/>
      <c r="FH217" s="366"/>
      <c r="FI217" s="366"/>
      <c r="FJ217" s="366"/>
      <c r="FK217" s="366"/>
      <c r="FL217" s="366"/>
      <c r="FM217" s="366"/>
      <c r="FN217" s="366"/>
      <c r="FO217" s="366"/>
      <c r="FP217" s="366"/>
      <c r="FQ217" s="366"/>
      <c r="FR217" s="366"/>
      <c r="FS217" s="366"/>
      <c r="FT217" s="366"/>
      <c r="FU217" s="366"/>
      <c r="FV217" s="366"/>
      <c r="FW217" s="366"/>
      <c r="FX217" s="366"/>
      <c r="FY217" s="366"/>
      <c r="FZ217" s="366"/>
      <c r="GA217" s="366"/>
      <c r="GB217" s="366"/>
      <c r="GC217" s="366"/>
      <c r="GD217" s="366"/>
      <c r="GE217" s="445" t="str">
        <f>IFERROR(VLOOKUP($CJ217,Skills!$H$2:$K$620,4,FALSE),"")</f>
        <v/>
      </c>
      <c r="GF217" s="445"/>
      <c r="GG217" s="445"/>
      <c r="GH217" s="445"/>
      <c r="GI217" s="445"/>
      <c r="GJ217" s="448"/>
      <c r="GK217" s="448"/>
      <c r="GL217" s="448"/>
      <c r="GM217" s="448"/>
      <c r="GN217" s="449"/>
    </row>
    <row r="218" spans="87:196" x14ac:dyDescent="0.25">
      <c r="CI218">
        <v>204</v>
      </c>
      <c r="CJ218">
        <v>454</v>
      </c>
      <c r="CK218" s="450" t="str">
        <f>IFERROR(VLOOKUP($CI218,Skills!$H$2:$N$620,7,FALSE),"")</f>
        <v/>
      </c>
      <c r="CL218" s="451"/>
      <c r="CM218" s="451"/>
      <c r="CN218" s="451"/>
      <c r="CO218" s="451"/>
      <c r="CP218" s="451"/>
      <c r="CQ218" s="451"/>
      <c r="CR218" s="451"/>
      <c r="CS218" s="451"/>
      <c r="CT218" s="451"/>
      <c r="CU218" s="451"/>
      <c r="CV218" s="451"/>
      <c r="CW218" s="451"/>
      <c r="CX218" s="451"/>
      <c r="CY218" s="451"/>
      <c r="CZ218" s="451"/>
      <c r="DA218" s="451"/>
      <c r="DB218" s="451"/>
      <c r="DC218" s="451"/>
      <c r="DD218" s="451"/>
      <c r="DE218" s="451"/>
      <c r="DF218" s="451"/>
      <c r="DG218" s="451"/>
      <c r="DH218" s="451"/>
      <c r="DI218" s="451"/>
      <c r="DJ218" s="451"/>
      <c r="DK218" s="451"/>
      <c r="DL218" s="451"/>
      <c r="DM218" s="451"/>
      <c r="DN218" s="451"/>
      <c r="DO218" s="451"/>
      <c r="DP218" s="451"/>
      <c r="DQ218" s="451"/>
      <c r="DR218" s="451"/>
      <c r="DS218" s="451"/>
      <c r="DT218" s="451"/>
      <c r="DU218" s="451"/>
      <c r="DV218" s="451"/>
      <c r="DW218" s="451"/>
      <c r="DX218" s="451"/>
      <c r="DY218" s="451"/>
      <c r="DZ218" s="451"/>
      <c r="EA218" s="451"/>
      <c r="EB218" s="451"/>
      <c r="EC218" s="417" t="str">
        <f>IFERROR(VLOOKUP($CI218,Skills!$H$2:$K$620,4,FALSE),"")</f>
        <v/>
      </c>
      <c r="ED218" s="417"/>
      <c r="EE218" s="417"/>
      <c r="EF218" s="417"/>
      <c r="EG218" s="417"/>
      <c r="EH218" s="452"/>
      <c r="EI218" s="452"/>
      <c r="EJ218" s="452"/>
      <c r="EK218" s="452"/>
      <c r="EL218" s="453"/>
      <c r="EM218" s="451" t="str">
        <f>IFERROR(VLOOKUP($CJ218,Skills!$H$2:$N$620,7,FALSE),"")</f>
        <v/>
      </c>
      <c r="EN218" s="451"/>
      <c r="EO218" s="451"/>
      <c r="EP218" s="451"/>
      <c r="EQ218" s="451"/>
      <c r="ER218" s="451"/>
      <c r="ES218" s="451"/>
      <c r="ET218" s="451"/>
      <c r="EU218" s="451"/>
      <c r="EV218" s="451"/>
      <c r="EW218" s="451"/>
      <c r="EX218" s="451"/>
      <c r="EY218" s="451"/>
      <c r="EZ218" s="451"/>
      <c r="FA218" s="451"/>
      <c r="FB218" s="451"/>
      <c r="FC218" s="451"/>
      <c r="FD218" s="451"/>
      <c r="FE218" s="451"/>
      <c r="FF218" s="451"/>
      <c r="FG218" s="451"/>
      <c r="FH218" s="451"/>
      <c r="FI218" s="451"/>
      <c r="FJ218" s="451"/>
      <c r="FK218" s="451"/>
      <c r="FL218" s="451"/>
      <c r="FM218" s="451"/>
      <c r="FN218" s="451"/>
      <c r="FO218" s="451"/>
      <c r="FP218" s="451"/>
      <c r="FQ218" s="451"/>
      <c r="FR218" s="451"/>
      <c r="FS218" s="451"/>
      <c r="FT218" s="451"/>
      <c r="FU218" s="451"/>
      <c r="FV218" s="451"/>
      <c r="FW218" s="451"/>
      <c r="FX218" s="451"/>
      <c r="FY218" s="451"/>
      <c r="FZ218" s="451"/>
      <c r="GA218" s="451"/>
      <c r="GB218" s="451"/>
      <c r="GC218" s="451"/>
      <c r="GD218" s="451"/>
      <c r="GE218" s="417" t="str">
        <f>IFERROR(VLOOKUP($CJ218,Skills!$H$2:$K$620,4,FALSE),"")</f>
        <v/>
      </c>
      <c r="GF218" s="417"/>
      <c r="GG218" s="417"/>
      <c r="GH218" s="417"/>
      <c r="GI218" s="417"/>
      <c r="GJ218" s="454"/>
      <c r="GK218" s="454"/>
      <c r="GL218" s="454"/>
      <c r="GM218" s="454"/>
      <c r="GN218" s="455"/>
    </row>
    <row r="219" spans="87:196" x14ac:dyDescent="0.25">
      <c r="CI219">
        <v>205</v>
      </c>
      <c r="CJ219">
        <v>455</v>
      </c>
      <c r="CK219" s="365" t="str">
        <f>IFERROR(VLOOKUP($CI219,Skills!$H$2:$N$620,7,FALSE),"")</f>
        <v/>
      </c>
      <c r="CL219" s="366"/>
      <c r="CM219" s="366"/>
      <c r="CN219" s="366"/>
      <c r="CO219" s="366"/>
      <c r="CP219" s="366"/>
      <c r="CQ219" s="366"/>
      <c r="CR219" s="366"/>
      <c r="CS219" s="366"/>
      <c r="CT219" s="366"/>
      <c r="CU219" s="366"/>
      <c r="CV219" s="366"/>
      <c r="CW219" s="366"/>
      <c r="CX219" s="366"/>
      <c r="CY219" s="366"/>
      <c r="CZ219" s="366"/>
      <c r="DA219" s="366"/>
      <c r="DB219" s="366"/>
      <c r="DC219" s="366"/>
      <c r="DD219" s="366"/>
      <c r="DE219" s="366"/>
      <c r="DF219" s="366"/>
      <c r="DG219" s="366"/>
      <c r="DH219" s="366"/>
      <c r="DI219" s="366"/>
      <c r="DJ219" s="366"/>
      <c r="DK219" s="366"/>
      <c r="DL219" s="366"/>
      <c r="DM219" s="366"/>
      <c r="DN219" s="366"/>
      <c r="DO219" s="366"/>
      <c r="DP219" s="366"/>
      <c r="DQ219" s="366"/>
      <c r="DR219" s="366"/>
      <c r="DS219" s="366"/>
      <c r="DT219" s="366"/>
      <c r="DU219" s="366"/>
      <c r="DV219" s="366"/>
      <c r="DW219" s="366"/>
      <c r="DX219" s="366"/>
      <c r="DY219" s="366"/>
      <c r="DZ219" s="366"/>
      <c r="EA219" s="366"/>
      <c r="EB219" s="366"/>
      <c r="EC219" s="445" t="str">
        <f>IFERROR(VLOOKUP($CI219,Skills!$H$2:$K$620,4,FALSE),"")</f>
        <v/>
      </c>
      <c r="ED219" s="445"/>
      <c r="EE219" s="445"/>
      <c r="EF219" s="445"/>
      <c r="EG219" s="445"/>
      <c r="EH219" s="446"/>
      <c r="EI219" s="446"/>
      <c r="EJ219" s="446"/>
      <c r="EK219" s="446"/>
      <c r="EL219" s="447"/>
      <c r="EM219" s="366" t="str">
        <f>IFERROR(VLOOKUP($CJ219,Skills!$H$2:$N$620,7,FALSE),"")</f>
        <v/>
      </c>
      <c r="EN219" s="366"/>
      <c r="EO219" s="366"/>
      <c r="EP219" s="366"/>
      <c r="EQ219" s="366"/>
      <c r="ER219" s="366"/>
      <c r="ES219" s="366"/>
      <c r="ET219" s="366"/>
      <c r="EU219" s="366"/>
      <c r="EV219" s="366"/>
      <c r="EW219" s="366"/>
      <c r="EX219" s="366"/>
      <c r="EY219" s="366"/>
      <c r="EZ219" s="366"/>
      <c r="FA219" s="366"/>
      <c r="FB219" s="366"/>
      <c r="FC219" s="366"/>
      <c r="FD219" s="366"/>
      <c r="FE219" s="366"/>
      <c r="FF219" s="366"/>
      <c r="FG219" s="366"/>
      <c r="FH219" s="366"/>
      <c r="FI219" s="366"/>
      <c r="FJ219" s="366"/>
      <c r="FK219" s="366"/>
      <c r="FL219" s="366"/>
      <c r="FM219" s="366"/>
      <c r="FN219" s="366"/>
      <c r="FO219" s="366"/>
      <c r="FP219" s="366"/>
      <c r="FQ219" s="366"/>
      <c r="FR219" s="366"/>
      <c r="FS219" s="366"/>
      <c r="FT219" s="366"/>
      <c r="FU219" s="366"/>
      <c r="FV219" s="366"/>
      <c r="FW219" s="366"/>
      <c r="FX219" s="366"/>
      <c r="FY219" s="366"/>
      <c r="FZ219" s="366"/>
      <c r="GA219" s="366"/>
      <c r="GB219" s="366"/>
      <c r="GC219" s="366"/>
      <c r="GD219" s="366"/>
      <c r="GE219" s="445" t="str">
        <f>IFERROR(VLOOKUP($CJ219,Skills!$H$2:$K$620,4,FALSE),"")</f>
        <v/>
      </c>
      <c r="GF219" s="445"/>
      <c r="GG219" s="445"/>
      <c r="GH219" s="445"/>
      <c r="GI219" s="445"/>
      <c r="GJ219" s="448"/>
      <c r="GK219" s="448"/>
      <c r="GL219" s="448"/>
      <c r="GM219" s="448"/>
      <c r="GN219" s="449"/>
    </row>
    <row r="220" spans="87:196" x14ac:dyDescent="0.25">
      <c r="CI220">
        <v>206</v>
      </c>
      <c r="CJ220">
        <v>456</v>
      </c>
      <c r="CK220" s="450" t="str">
        <f>IFERROR(VLOOKUP($CI220,Skills!$H$2:$N$620,7,FALSE),"")</f>
        <v/>
      </c>
      <c r="CL220" s="451"/>
      <c r="CM220" s="451"/>
      <c r="CN220" s="451"/>
      <c r="CO220" s="451"/>
      <c r="CP220" s="451"/>
      <c r="CQ220" s="451"/>
      <c r="CR220" s="451"/>
      <c r="CS220" s="451"/>
      <c r="CT220" s="451"/>
      <c r="CU220" s="451"/>
      <c r="CV220" s="451"/>
      <c r="CW220" s="451"/>
      <c r="CX220" s="451"/>
      <c r="CY220" s="451"/>
      <c r="CZ220" s="451"/>
      <c r="DA220" s="451"/>
      <c r="DB220" s="451"/>
      <c r="DC220" s="451"/>
      <c r="DD220" s="451"/>
      <c r="DE220" s="451"/>
      <c r="DF220" s="451"/>
      <c r="DG220" s="451"/>
      <c r="DH220" s="451"/>
      <c r="DI220" s="451"/>
      <c r="DJ220" s="451"/>
      <c r="DK220" s="451"/>
      <c r="DL220" s="451"/>
      <c r="DM220" s="451"/>
      <c r="DN220" s="451"/>
      <c r="DO220" s="451"/>
      <c r="DP220" s="451"/>
      <c r="DQ220" s="451"/>
      <c r="DR220" s="451"/>
      <c r="DS220" s="451"/>
      <c r="DT220" s="451"/>
      <c r="DU220" s="451"/>
      <c r="DV220" s="451"/>
      <c r="DW220" s="451"/>
      <c r="DX220" s="451"/>
      <c r="DY220" s="451"/>
      <c r="DZ220" s="451"/>
      <c r="EA220" s="451"/>
      <c r="EB220" s="451"/>
      <c r="EC220" s="417" t="str">
        <f>IFERROR(VLOOKUP($CI220,Skills!$H$2:$K$620,4,FALSE),"")</f>
        <v/>
      </c>
      <c r="ED220" s="417"/>
      <c r="EE220" s="417"/>
      <c r="EF220" s="417"/>
      <c r="EG220" s="417"/>
      <c r="EH220" s="452"/>
      <c r="EI220" s="452"/>
      <c r="EJ220" s="452"/>
      <c r="EK220" s="452"/>
      <c r="EL220" s="453"/>
      <c r="EM220" s="451" t="str">
        <f>IFERROR(VLOOKUP($CJ220,Skills!$H$2:$N$620,7,FALSE),"")</f>
        <v/>
      </c>
      <c r="EN220" s="451"/>
      <c r="EO220" s="451"/>
      <c r="EP220" s="451"/>
      <c r="EQ220" s="451"/>
      <c r="ER220" s="451"/>
      <c r="ES220" s="451"/>
      <c r="ET220" s="451"/>
      <c r="EU220" s="451"/>
      <c r="EV220" s="451"/>
      <c r="EW220" s="451"/>
      <c r="EX220" s="451"/>
      <c r="EY220" s="451"/>
      <c r="EZ220" s="451"/>
      <c r="FA220" s="451"/>
      <c r="FB220" s="451"/>
      <c r="FC220" s="451"/>
      <c r="FD220" s="451"/>
      <c r="FE220" s="451"/>
      <c r="FF220" s="451"/>
      <c r="FG220" s="451"/>
      <c r="FH220" s="451"/>
      <c r="FI220" s="451"/>
      <c r="FJ220" s="451"/>
      <c r="FK220" s="451"/>
      <c r="FL220" s="451"/>
      <c r="FM220" s="451"/>
      <c r="FN220" s="451"/>
      <c r="FO220" s="451"/>
      <c r="FP220" s="451"/>
      <c r="FQ220" s="451"/>
      <c r="FR220" s="451"/>
      <c r="FS220" s="451"/>
      <c r="FT220" s="451"/>
      <c r="FU220" s="451"/>
      <c r="FV220" s="451"/>
      <c r="FW220" s="451"/>
      <c r="FX220" s="451"/>
      <c r="FY220" s="451"/>
      <c r="FZ220" s="451"/>
      <c r="GA220" s="451"/>
      <c r="GB220" s="451"/>
      <c r="GC220" s="451"/>
      <c r="GD220" s="451"/>
      <c r="GE220" s="417" t="str">
        <f>IFERROR(VLOOKUP($CJ220,Skills!$H$2:$K$620,4,FALSE),"")</f>
        <v/>
      </c>
      <c r="GF220" s="417"/>
      <c r="GG220" s="417"/>
      <c r="GH220" s="417"/>
      <c r="GI220" s="417"/>
      <c r="GJ220" s="454"/>
      <c r="GK220" s="454"/>
      <c r="GL220" s="454"/>
      <c r="GM220" s="454"/>
      <c r="GN220" s="455"/>
    </row>
    <row r="221" spans="87:196" x14ac:dyDescent="0.25">
      <c r="CI221">
        <v>207</v>
      </c>
      <c r="CJ221">
        <v>457</v>
      </c>
      <c r="CK221" s="365" t="str">
        <f>IFERROR(VLOOKUP($CI221,Skills!$H$2:$N$620,7,FALSE),"")</f>
        <v/>
      </c>
      <c r="CL221" s="366"/>
      <c r="CM221" s="366"/>
      <c r="CN221" s="366"/>
      <c r="CO221" s="366"/>
      <c r="CP221" s="366"/>
      <c r="CQ221" s="366"/>
      <c r="CR221" s="366"/>
      <c r="CS221" s="366"/>
      <c r="CT221" s="366"/>
      <c r="CU221" s="366"/>
      <c r="CV221" s="366"/>
      <c r="CW221" s="366"/>
      <c r="CX221" s="366"/>
      <c r="CY221" s="366"/>
      <c r="CZ221" s="366"/>
      <c r="DA221" s="366"/>
      <c r="DB221" s="366"/>
      <c r="DC221" s="366"/>
      <c r="DD221" s="366"/>
      <c r="DE221" s="366"/>
      <c r="DF221" s="366"/>
      <c r="DG221" s="366"/>
      <c r="DH221" s="366"/>
      <c r="DI221" s="366"/>
      <c r="DJ221" s="366"/>
      <c r="DK221" s="366"/>
      <c r="DL221" s="366"/>
      <c r="DM221" s="366"/>
      <c r="DN221" s="366"/>
      <c r="DO221" s="366"/>
      <c r="DP221" s="366"/>
      <c r="DQ221" s="366"/>
      <c r="DR221" s="366"/>
      <c r="DS221" s="366"/>
      <c r="DT221" s="366"/>
      <c r="DU221" s="366"/>
      <c r="DV221" s="366"/>
      <c r="DW221" s="366"/>
      <c r="DX221" s="366"/>
      <c r="DY221" s="366"/>
      <c r="DZ221" s="366"/>
      <c r="EA221" s="366"/>
      <c r="EB221" s="366"/>
      <c r="EC221" s="445" t="str">
        <f>IFERROR(VLOOKUP($CI221,Skills!$H$2:$K$620,4,FALSE),"")</f>
        <v/>
      </c>
      <c r="ED221" s="445"/>
      <c r="EE221" s="445"/>
      <c r="EF221" s="445"/>
      <c r="EG221" s="445"/>
      <c r="EH221" s="446"/>
      <c r="EI221" s="446"/>
      <c r="EJ221" s="446"/>
      <c r="EK221" s="446"/>
      <c r="EL221" s="447"/>
      <c r="EM221" s="366" t="str">
        <f>IFERROR(VLOOKUP($CJ221,Skills!$H$2:$N$620,7,FALSE),"")</f>
        <v/>
      </c>
      <c r="EN221" s="366"/>
      <c r="EO221" s="366"/>
      <c r="EP221" s="366"/>
      <c r="EQ221" s="366"/>
      <c r="ER221" s="366"/>
      <c r="ES221" s="366"/>
      <c r="ET221" s="366"/>
      <c r="EU221" s="366"/>
      <c r="EV221" s="366"/>
      <c r="EW221" s="366"/>
      <c r="EX221" s="366"/>
      <c r="EY221" s="366"/>
      <c r="EZ221" s="366"/>
      <c r="FA221" s="366"/>
      <c r="FB221" s="366"/>
      <c r="FC221" s="366"/>
      <c r="FD221" s="366"/>
      <c r="FE221" s="366"/>
      <c r="FF221" s="366"/>
      <c r="FG221" s="366"/>
      <c r="FH221" s="366"/>
      <c r="FI221" s="366"/>
      <c r="FJ221" s="366"/>
      <c r="FK221" s="366"/>
      <c r="FL221" s="366"/>
      <c r="FM221" s="366"/>
      <c r="FN221" s="366"/>
      <c r="FO221" s="366"/>
      <c r="FP221" s="366"/>
      <c r="FQ221" s="366"/>
      <c r="FR221" s="366"/>
      <c r="FS221" s="366"/>
      <c r="FT221" s="366"/>
      <c r="FU221" s="366"/>
      <c r="FV221" s="366"/>
      <c r="FW221" s="366"/>
      <c r="FX221" s="366"/>
      <c r="FY221" s="366"/>
      <c r="FZ221" s="366"/>
      <c r="GA221" s="366"/>
      <c r="GB221" s="366"/>
      <c r="GC221" s="366"/>
      <c r="GD221" s="366"/>
      <c r="GE221" s="445" t="str">
        <f>IFERROR(VLOOKUP($CJ221,Skills!$H$2:$K$620,4,FALSE),"")</f>
        <v/>
      </c>
      <c r="GF221" s="445"/>
      <c r="GG221" s="445"/>
      <c r="GH221" s="445"/>
      <c r="GI221" s="445"/>
      <c r="GJ221" s="448"/>
      <c r="GK221" s="448"/>
      <c r="GL221" s="448"/>
      <c r="GM221" s="448"/>
      <c r="GN221" s="449"/>
    </row>
    <row r="222" spans="87:196" x14ac:dyDescent="0.25">
      <c r="CI222">
        <v>208</v>
      </c>
      <c r="CJ222">
        <v>458</v>
      </c>
      <c r="CK222" s="450" t="str">
        <f>IFERROR(VLOOKUP($CI222,Skills!$H$2:$N$620,7,FALSE),"")</f>
        <v/>
      </c>
      <c r="CL222" s="451"/>
      <c r="CM222" s="451"/>
      <c r="CN222" s="451"/>
      <c r="CO222" s="451"/>
      <c r="CP222" s="451"/>
      <c r="CQ222" s="451"/>
      <c r="CR222" s="451"/>
      <c r="CS222" s="451"/>
      <c r="CT222" s="451"/>
      <c r="CU222" s="451"/>
      <c r="CV222" s="451"/>
      <c r="CW222" s="451"/>
      <c r="CX222" s="451"/>
      <c r="CY222" s="451"/>
      <c r="CZ222" s="451"/>
      <c r="DA222" s="451"/>
      <c r="DB222" s="451"/>
      <c r="DC222" s="451"/>
      <c r="DD222" s="451"/>
      <c r="DE222" s="451"/>
      <c r="DF222" s="451"/>
      <c r="DG222" s="451"/>
      <c r="DH222" s="451"/>
      <c r="DI222" s="451"/>
      <c r="DJ222" s="451"/>
      <c r="DK222" s="451"/>
      <c r="DL222" s="451"/>
      <c r="DM222" s="451"/>
      <c r="DN222" s="451"/>
      <c r="DO222" s="451"/>
      <c r="DP222" s="451"/>
      <c r="DQ222" s="451"/>
      <c r="DR222" s="451"/>
      <c r="DS222" s="451"/>
      <c r="DT222" s="451"/>
      <c r="DU222" s="451"/>
      <c r="DV222" s="451"/>
      <c r="DW222" s="451"/>
      <c r="DX222" s="451"/>
      <c r="DY222" s="451"/>
      <c r="DZ222" s="451"/>
      <c r="EA222" s="451"/>
      <c r="EB222" s="451"/>
      <c r="EC222" s="417" t="str">
        <f>IFERROR(VLOOKUP($CI222,Skills!$H$2:$K$620,4,FALSE),"")</f>
        <v/>
      </c>
      <c r="ED222" s="417"/>
      <c r="EE222" s="417"/>
      <c r="EF222" s="417"/>
      <c r="EG222" s="417"/>
      <c r="EH222" s="452"/>
      <c r="EI222" s="452"/>
      <c r="EJ222" s="452"/>
      <c r="EK222" s="452"/>
      <c r="EL222" s="453"/>
      <c r="EM222" s="451" t="str">
        <f>IFERROR(VLOOKUP($CJ222,Skills!$H$2:$N$620,7,FALSE),"")</f>
        <v/>
      </c>
      <c r="EN222" s="451"/>
      <c r="EO222" s="451"/>
      <c r="EP222" s="451"/>
      <c r="EQ222" s="451"/>
      <c r="ER222" s="451"/>
      <c r="ES222" s="451"/>
      <c r="ET222" s="451"/>
      <c r="EU222" s="451"/>
      <c r="EV222" s="451"/>
      <c r="EW222" s="451"/>
      <c r="EX222" s="451"/>
      <c r="EY222" s="451"/>
      <c r="EZ222" s="451"/>
      <c r="FA222" s="451"/>
      <c r="FB222" s="451"/>
      <c r="FC222" s="451"/>
      <c r="FD222" s="451"/>
      <c r="FE222" s="451"/>
      <c r="FF222" s="451"/>
      <c r="FG222" s="451"/>
      <c r="FH222" s="451"/>
      <c r="FI222" s="451"/>
      <c r="FJ222" s="451"/>
      <c r="FK222" s="451"/>
      <c r="FL222" s="451"/>
      <c r="FM222" s="451"/>
      <c r="FN222" s="451"/>
      <c r="FO222" s="451"/>
      <c r="FP222" s="451"/>
      <c r="FQ222" s="451"/>
      <c r="FR222" s="451"/>
      <c r="FS222" s="451"/>
      <c r="FT222" s="451"/>
      <c r="FU222" s="451"/>
      <c r="FV222" s="451"/>
      <c r="FW222" s="451"/>
      <c r="FX222" s="451"/>
      <c r="FY222" s="451"/>
      <c r="FZ222" s="451"/>
      <c r="GA222" s="451"/>
      <c r="GB222" s="451"/>
      <c r="GC222" s="451"/>
      <c r="GD222" s="451"/>
      <c r="GE222" s="417" t="str">
        <f>IFERROR(VLOOKUP($CJ222,Skills!$H$2:$K$620,4,FALSE),"")</f>
        <v/>
      </c>
      <c r="GF222" s="417"/>
      <c r="GG222" s="417"/>
      <c r="GH222" s="417"/>
      <c r="GI222" s="417"/>
      <c r="GJ222" s="454"/>
      <c r="GK222" s="454"/>
      <c r="GL222" s="454"/>
      <c r="GM222" s="454"/>
      <c r="GN222" s="455"/>
    </row>
    <row r="223" spans="87:196" x14ac:dyDescent="0.25">
      <c r="CI223">
        <v>209</v>
      </c>
      <c r="CJ223">
        <v>459</v>
      </c>
      <c r="CK223" s="365" t="str">
        <f>IFERROR(VLOOKUP($CI223,Skills!$H$2:$N$620,7,FALSE),"")</f>
        <v/>
      </c>
      <c r="CL223" s="366"/>
      <c r="CM223" s="366"/>
      <c r="CN223" s="366"/>
      <c r="CO223" s="366"/>
      <c r="CP223" s="366"/>
      <c r="CQ223" s="366"/>
      <c r="CR223" s="366"/>
      <c r="CS223" s="366"/>
      <c r="CT223" s="366"/>
      <c r="CU223" s="366"/>
      <c r="CV223" s="366"/>
      <c r="CW223" s="366"/>
      <c r="CX223" s="366"/>
      <c r="CY223" s="366"/>
      <c r="CZ223" s="366"/>
      <c r="DA223" s="366"/>
      <c r="DB223" s="366"/>
      <c r="DC223" s="366"/>
      <c r="DD223" s="366"/>
      <c r="DE223" s="366"/>
      <c r="DF223" s="366"/>
      <c r="DG223" s="366"/>
      <c r="DH223" s="366"/>
      <c r="DI223" s="366"/>
      <c r="DJ223" s="366"/>
      <c r="DK223" s="366"/>
      <c r="DL223" s="366"/>
      <c r="DM223" s="366"/>
      <c r="DN223" s="366"/>
      <c r="DO223" s="366"/>
      <c r="DP223" s="366"/>
      <c r="DQ223" s="366"/>
      <c r="DR223" s="366"/>
      <c r="DS223" s="366"/>
      <c r="DT223" s="366"/>
      <c r="DU223" s="366"/>
      <c r="DV223" s="366"/>
      <c r="DW223" s="366"/>
      <c r="DX223" s="366"/>
      <c r="DY223" s="366"/>
      <c r="DZ223" s="366"/>
      <c r="EA223" s="366"/>
      <c r="EB223" s="366"/>
      <c r="EC223" s="445" t="str">
        <f>IFERROR(VLOOKUP($CI223,Skills!$H$2:$K$620,4,FALSE),"")</f>
        <v/>
      </c>
      <c r="ED223" s="445"/>
      <c r="EE223" s="445"/>
      <c r="EF223" s="445"/>
      <c r="EG223" s="445"/>
      <c r="EH223" s="446"/>
      <c r="EI223" s="446"/>
      <c r="EJ223" s="446"/>
      <c r="EK223" s="446"/>
      <c r="EL223" s="447"/>
      <c r="EM223" s="366" t="str">
        <f>IFERROR(VLOOKUP($CJ223,Skills!$H$2:$N$620,7,FALSE),"")</f>
        <v/>
      </c>
      <c r="EN223" s="366"/>
      <c r="EO223" s="366"/>
      <c r="EP223" s="366"/>
      <c r="EQ223" s="366"/>
      <c r="ER223" s="366"/>
      <c r="ES223" s="366"/>
      <c r="ET223" s="366"/>
      <c r="EU223" s="366"/>
      <c r="EV223" s="366"/>
      <c r="EW223" s="366"/>
      <c r="EX223" s="366"/>
      <c r="EY223" s="366"/>
      <c r="EZ223" s="366"/>
      <c r="FA223" s="366"/>
      <c r="FB223" s="366"/>
      <c r="FC223" s="366"/>
      <c r="FD223" s="366"/>
      <c r="FE223" s="366"/>
      <c r="FF223" s="366"/>
      <c r="FG223" s="366"/>
      <c r="FH223" s="366"/>
      <c r="FI223" s="366"/>
      <c r="FJ223" s="366"/>
      <c r="FK223" s="366"/>
      <c r="FL223" s="366"/>
      <c r="FM223" s="366"/>
      <c r="FN223" s="366"/>
      <c r="FO223" s="366"/>
      <c r="FP223" s="366"/>
      <c r="FQ223" s="366"/>
      <c r="FR223" s="366"/>
      <c r="FS223" s="366"/>
      <c r="FT223" s="366"/>
      <c r="FU223" s="366"/>
      <c r="FV223" s="366"/>
      <c r="FW223" s="366"/>
      <c r="FX223" s="366"/>
      <c r="FY223" s="366"/>
      <c r="FZ223" s="366"/>
      <c r="GA223" s="366"/>
      <c r="GB223" s="366"/>
      <c r="GC223" s="366"/>
      <c r="GD223" s="366"/>
      <c r="GE223" s="445" t="str">
        <f>IFERROR(VLOOKUP($CJ223,Skills!$H$2:$K$620,4,FALSE),"")</f>
        <v/>
      </c>
      <c r="GF223" s="445"/>
      <c r="GG223" s="445"/>
      <c r="GH223" s="445"/>
      <c r="GI223" s="445"/>
      <c r="GJ223" s="448"/>
      <c r="GK223" s="448"/>
      <c r="GL223" s="448"/>
      <c r="GM223" s="448"/>
      <c r="GN223" s="449"/>
    </row>
    <row r="224" spans="87:196" x14ac:dyDescent="0.25">
      <c r="CI224">
        <v>210</v>
      </c>
      <c r="CJ224">
        <v>460</v>
      </c>
      <c r="CK224" s="450" t="str">
        <f>IFERROR(VLOOKUP($CI224,Skills!$H$2:$N$620,7,FALSE),"")</f>
        <v/>
      </c>
      <c r="CL224" s="451"/>
      <c r="CM224" s="451"/>
      <c r="CN224" s="451"/>
      <c r="CO224" s="451"/>
      <c r="CP224" s="451"/>
      <c r="CQ224" s="451"/>
      <c r="CR224" s="451"/>
      <c r="CS224" s="451"/>
      <c r="CT224" s="451"/>
      <c r="CU224" s="451"/>
      <c r="CV224" s="451"/>
      <c r="CW224" s="451"/>
      <c r="CX224" s="451"/>
      <c r="CY224" s="451"/>
      <c r="CZ224" s="451"/>
      <c r="DA224" s="451"/>
      <c r="DB224" s="451"/>
      <c r="DC224" s="451"/>
      <c r="DD224" s="451"/>
      <c r="DE224" s="451"/>
      <c r="DF224" s="451"/>
      <c r="DG224" s="451"/>
      <c r="DH224" s="451"/>
      <c r="DI224" s="451"/>
      <c r="DJ224" s="451"/>
      <c r="DK224" s="451"/>
      <c r="DL224" s="451"/>
      <c r="DM224" s="451"/>
      <c r="DN224" s="451"/>
      <c r="DO224" s="451"/>
      <c r="DP224" s="451"/>
      <c r="DQ224" s="451"/>
      <c r="DR224" s="451"/>
      <c r="DS224" s="451"/>
      <c r="DT224" s="451"/>
      <c r="DU224" s="451"/>
      <c r="DV224" s="451"/>
      <c r="DW224" s="451"/>
      <c r="DX224" s="451"/>
      <c r="DY224" s="451"/>
      <c r="DZ224" s="451"/>
      <c r="EA224" s="451"/>
      <c r="EB224" s="451"/>
      <c r="EC224" s="417" t="str">
        <f>IFERROR(VLOOKUP($CI224,Skills!$H$2:$K$620,4,FALSE),"")</f>
        <v/>
      </c>
      <c r="ED224" s="417"/>
      <c r="EE224" s="417"/>
      <c r="EF224" s="417"/>
      <c r="EG224" s="417"/>
      <c r="EH224" s="452"/>
      <c r="EI224" s="452"/>
      <c r="EJ224" s="452"/>
      <c r="EK224" s="452"/>
      <c r="EL224" s="453"/>
      <c r="EM224" s="451" t="str">
        <f>IFERROR(VLOOKUP($CJ224,Skills!$H$2:$N$620,7,FALSE),"")</f>
        <v/>
      </c>
      <c r="EN224" s="451"/>
      <c r="EO224" s="451"/>
      <c r="EP224" s="451"/>
      <c r="EQ224" s="451"/>
      <c r="ER224" s="451"/>
      <c r="ES224" s="451"/>
      <c r="ET224" s="451"/>
      <c r="EU224" s="451"/>
      <c r="EV224" s="451"/>
      <c r="EW224" s="451"/>
      <c r="EX224" s="451"/>
      <c r="EY224" s="451"/>
      <c r="EZ224" s="451"/>
      <c r="FA224" s="451"/>
      <c r="FB224" s="451"/>
      <c r="FC224" s="451"/>
      <c r="FD224" s="451"/>
      <c r="FE224" s="451"/>
      <c r="FF224" s="451"/>
      <c r="FG224" s="451"/>
      <c r="FH224" s="451"/>
      <c r="FI224" s="451"/>
      <c r="FJ224" s="451"/>
      <c r="FK224" s="451"/>
      <c r="FL224" s="451"/>
      <c r="FM224" s="451"/>
      <c r="FN224" s="451"/>
      <c r="FO224" s="451"/>
      <c r="FP224" s="451"/>
      <c r="FQ224" s="451"/>
      <c r="FR224" s="451"/>
      <c r="FS224" s="451"/>
      <c r="FT224" s="451"/>
      <c r="FU224" s="451"/>
      <c r="FV224" s="451"/>
      <c r="FW224" s="451"/>
      <c r="FX224" s="451"/>
      <c r="FY224" s="451"/>
      <c r="FZ224" s="451"/>
      <c r="GA224" s="451"/>
      <c r="GB224" s="451"/>
      <c r="GC224" s="451"/>
      <c r="GD224" s="451"/>
      <c r="GE224" s="417" t="str">
        <f>IFERROR(VLOOKUP($CJ224,Skills!$H$2:$K$620,4,FALSE),"")</f>
        <v/>
      </c>
      <c r="GF224" s="417"/>
      <c r="GG224" s="417"/>
      <c r="GH224" s="417"/>
      <c r="GI224" s="417"/>
      <c r="GJ224" s="454"/>
      <c r="GK224" s="454"/>
      <c r="GL224" s="454"/>
      <c r="GM224" s="454"/>
      <c r="GN224" s="455"/>
    </row>
    <row r="225" spans="87:196" x14ac:dyDescent="0.25">
      <c r="CI225">
        <v>211</v>
      </c>
      <c r="CJ225">
        <v>461</v>
      </c>
      <c r="CK225" s="365" t="str">
        <f>IFERROR(VLOOKUP($CI225,Skills!$H$2:$N$620,7,FALSE),"")</f>
        <v/>
      </c>
      <c r="CL225" s="366"/>
      <c r="CM225" s="366"/>
      <c r="CN225" s="366"/>
      <c r="CO225" s="366"/>
      <c r="CP225" s="366"/>
      <c r="CQ225" s="366"/>
      <c r="CR225" s="366"/>
      <c r="CS225" s="366"/>
      <c r="CT225" s="366"/>
      <c r="CU225" s="366"/>
      <c r="CV225" s="366"/>
      <c r="CW225" s="366"/>
      <c r="CX225" s="366"/>
      <c r="CY225" s="366"/>
      <c r="CZ225" s="366"/>
      <c r="DA225" s="366"/>
      <c r="DB225" s="366"/>
      <c r="DC225" s="366"/>
      <c r="DD225" s="366"/>
      <c r="DE225" s="366"/>
      <c r="DF225" s="366"/>
      <c r="DG225" s="366"/>
      <c r="DH225" s="366"/>
      <c r="DI225" s="366"/>
      <c r="DJ225" s="366"/>
      <c r="DK225" s="366"/>
      <c r="DL225" s="366"/>
      <c r="DM225" s="366"/>
      <c r="DN225" s="366"/>
      <c r="DO225" s="366"/>
      <c r="DP225" s="366"/>
      <c r="DQ225" s="366"/>
      <c r="DR225" s="366"/>
      <c r="DS225" s="366"/>
      <c r="DT225" s="366"/>
      <c r="DU225" s="366"/>
      <c r="DV225" s="366"/>
      <c r="DW225" s="366"/>
      <c r="DX225" s="366"/>
      <c r="DY225" s="366"/>
      <c r="DZ225" s="366"/>
      <c r="EA225" s="366"/>
      <c r="EB225" s="366"/>
      <c r="EC225" s="445" t="str">
        <f>IFERROR(VLOOKUP($CI225,Skills!$H$2:$K$620,4,FALSE),"")</f>
        <v/>
      </c>
      <c r="ED225" s="445"/>
      <c r="EE225" s="445"/>
      <c r="EF225" s="445"/>
      <c r="EG225" s="445"/>
      <c r="EH225" s="446"/>
      <c r="EI225" s="446"/>
      <c r="EJ225" s="446"/>
      <c r="EK225" s="446"/>
      <c r="EL225" s="447"/>
      <c r="EM225" s="366" t="str">
        <f>IFERROR(VLOOKUP($CJ225,Skills!$H$2:$N$620,7,FALSE),"")</f>
        <v/>
      </c>
      <c r="EN225" s="366"/>
      <c r="EO225" s="366"/>
      <c r="EP225" s="366"/>
      <c r="EQ225" s="366"/>
      <c r="ER225" s="366"/>
      <c r="ES225" s="366"/>
      <c r="ET225" s="366"/>
      <c r="EU225" s="366"/>
      <c r="EV225" s="366"/>
      <c r="EW225" s="366"/>
      <c r="EX225" s="366"/>
      <c r="EY225" s="366"/>
      <c r="EZ225" s="366"/>
      <c r="FA225" s="366"/>
      <c r="FB225" s="366"/>
      <c r="FC225" s="366"/>
      <c r="FD225" s="366"/>
      <c r="FE225" s="366"/>
      <c r="FF225" s="366"/>
      <c r="FG225" s="366"/>
      <c r="FH225" s="366"/>
      <c r="FI225" s="366"/>
      <c r="FJ225" s="366"/>
      <c r="FK225" s="366"/>
      <c r="FL225" s="366"/>
      <c r="FM225" s="366"/>
      <c r="FN225" s="366"/>
      <c r="FO225" s="366"/>
      <c r="FP225" s="366"/>
      <c r="FQ225" s="366"/>
      <c r="FR225" s="366"/>
      <c r="FS225" s="366"/>
      <c r="FT225" s="366"/>
      <c r="FU225" s="366"/>
      <c r="FV225" s="366"/>
      <c r="FW225" s="366"/>
      <c r="FX225" s="366"/>
      <c r="FY225" s="366"/>
      <c r="FZ225" s="366"/>
      <c r="GA225" s="366"/>
      <c r="GB225" s="366"/>
      <c r="GC225" s="366"/>
      <c r="GD225" s="366"/>
      <c r="GE225" s="445" t="str">
        <f>IFERROR(VLOOKUP($CJ225,Skills!$H$2:$K$620,4,FALSE),"")</f>
        <v/>
      </c>
      <c r="GF225" s="445"/>
      <c r="GG225" s="445"/>
      <c r="GH225" s="445"/>
      <c r="GI225" s="445"/>
      <c r="GJ225" s="448"/>
      <c r="GK225" s="448"/>
      <c r="GL225" s="448"/>
      <c r="GM225" s="448"/>
      <c r="GN225" s="449"/>
    </row>
    <row r="226" spans="87:196" x14ac:dyDescent="0.25">
      <c r="CI226">
        <v>212</v>
      </c>
      <c r="CJ226">
        <v>462</v>
      </c>
      <c r="CK226" s="450" t="str">
        <f>IFERROR(VLOOKUP($CI226,Skills!$H$2:$N$620,7,FALSE),"")</f>
        <v/>
      </c>
      <c r="CL226" s="451"/>
      <c r="CM226" s="451"/>
      <c r="CN226" s="451"/>
      <c r="CO226" s="451"/>
      <c r="CP226" s="451"/>
      <c r="CQ226" s="451"/>
      <c r="CR226" s="451"/>
      <c r="CS226" s="451"/>
      <c r="CT226" s="451"/>
      <c r="CU226" s="451"/>
      <c r="CV226" s="451"/>
      <c r="CW226" s="451"/>
      <c r="CX226" s="451"/>
      <c r="CY226" s="451"/>
      <c r="CZ226" s="451"/>
      <c r="DA226" s="451"/>
      <c r="DB226" s="451"/>
      <c r="DC226" s="451"/>
      <c r="DD226" s="451"/>
      <c r="DE226" s="451"/>
      <c r="DF226" s="451"/>
      <c r="DG226" s="451"/>
      <c r="DH226" s="451"/>
      <c r="DI226" s="451"/>
      <c r="DJ226" s="451"/>
      <c r="DK226" s="451"/>
      <c r="DL226" s="451"/>
      <c r="DM226" s="451"/>
      <c r="DN226" s="451"/>
      <c r="DO226" s="451"/>
      <c r="DP226" s="451"/>
      <c r="DQ226" s="451"/>
      <c r="DR226" s="451"/>
      <c r="DS226" s="451"/>
      <c r="DT226" s="451"/>
      <c r="DU226" s="451"/>
      <c r="DV226" s="451"/>
      <c r="DW226" s="451"/>
      <c r="DX226" s="451"/>
      <c r="DY226" s="451"/>
      <c r="DZ226" s="451"/>
      <c r="EA226" s="451"/>
      <c r="EB226" s="451"/>
      <c r="EC226" s="417" t="str">
        <f>IFERROR(VLOOKUP($CI226,Skills!$H$2:$K$620,4,FALSE),"")</f>
        <v/>
      </c>
      <c r="ED226" s="417"/>
      <c r="EE226" s="417"/>
      <c r="EF226" s="417"/>
      <c r="EG226" s="417"/>
      <c r="EH226" s="452"/>
      <c r="EI226" s="452"/>
      <c r="EJ226" s="452"/>
      <c r="EK226" s="452"/>
      <c r="EL226" s="453"/>
      <c r="EM226" s="451" t="str">
        <f>IFERROR(VLOOKUP($CJ226,Skills!$H$2:$N$620,7,FALSE),"")</f>
        <v/>
      </c>
      <c r="EN226" s="451"/>
      <c r="EO226" s="451"/>
      <c r="EP226" s="451"/>
      <c r="EQ226" s="451"/>
      <c r="ER226" s="451"/>
      <c r="ES226" s="451"/>
      <c r="ET226" s="451"/>
      <c r="EU226" s="451"/>
      <c r="EV226" s="451"/>
      <c r="EW226" s="451"/>
      <c r="EX226" s="451"/>
      <c r="EY226" s="451"/>
      <c r="EZ226" s="451"/>
      <c r="FA226" s="451"/>
      <c r="FB226" s="451"/>
      <c r="FC226" s="451"/>
      <c r="FD226" s="451"/>
      <c r="FE226" s="451"/>
      <c r="FF226" s="451"/>
      <c r="FG226" s="451"/>
      <c r="FH226" s="451"/>
      <c r="FI226" s="451"/>
      <c r="FJ226" s="451"/>
      <c r="FK226" s="451"/>
      <c r="FL226" s="451"/>
      <c r="FM226" s="451"/>
      <c r="FN226" s="451"/>
      <c r="FO226" s="451"/>
      <c r="FP226" s="451"/>
      <c r="FQ226" s="451"/>
      <c r="FR226" s="451"/>
      <c r="FS226" s="451"/>
      <c r="FT226" s="451"/>
      <c r="FU226" s="451"/>
      <c r="FV226" s="451"/>
      <c r="FW226" s="451"/>
      <c r="FX226" s="451"/>
      <c r="FY226" s="451"/>
      <c r="FZ226" s="451"/>
      <c r="GA226" s="451"/>
      <c r="GB226" s="451"/>
      <c r="GC226" s="451"/>
      <c r="GD226" s="451"/>
      <c r="GE226" s="417" t="str">
        <f>IFERROR(VLOOKUP($CJ226,Skills!$H$2:$K$620,4,FALSE),"")</f>
        <v/>
      </c>
      <c r="GF226" s="417"/>
      <c r="GG226" s="417"/>
      <c r="GH226" s="417"/>
      <c r="GI226" s="417"/>
      <c r="GJ226" s="454"/>
      <c r="GK226" s="454"/>
      <c r="GL226" s="454"/>
      <c r="GM226" s="454"/>
      <c r="GN226" s="455"/>
    </row>
    <row r="227" spans="87:196" x14ac:dyDescent="0.25">
      <c r="CI227">
        <v>213</v>
      </c>
      <c r="CJ227">
        <v>463</v>
      </c>
      <c r="CK227" s="365" t="str">
        <f>IFERROR(VLOOKUP($CI227,Skills!$H$2:$N$620,7,FALSE),"")</f>
        <v/>
      </c>
      <c r="CL227" s="366"/>
      <c r="CM227" s="366"/>
      <c r="CN227" s="366"/>
      <c r="CO227" s="366"/>
      <c r="CP227" s="366"/>
      <c r="CQ227" s="366"/>
      <c r="CR227" s="366"/>
      <c r="CS227" s="366"/>
      <c r="CT227" s="366"/>
      <c r="CU227" s="366"/>
      <c r="CV227" s="366"/>
      <c r="CW227" s="366"/>
      <c r="CX227" s="366"/>
      <c r="CY227" s="366"/>
      <c r="CZ227" s="366"/>
      <c r="DA227" s="366"/>
      <c r="DB227" s="366"/>
      <c r="DC227" s="366"/>
      <c r="DD227" s="366"/>
      <c r="DE227" s="366"/>
      <c r="DF227" s="366"/>
      <c r="DG227" s="366"/>
      <c r="DH227" s="366"/>
      <c r="DI227" s="366"/>
      <c r="DJ227" s="366"/>
      <c r="DK227" s="366"/>
      <c r="DL227" s="366"/>
      <c r="DM227" s="366"/>
      <c r="DN227" s="366"/>
      <c r="DO227" s="366"/>
      <c r="DP227" s="366"/>
      <c r="DQ227" s="366"/>
      <c r="DR227" s="366"/>
      <c r="DS227" s="366"/>
      <c r="DT227" s="366"/>
      <c r="DU227" s="366"/>
      <c r="DV227" s="366"/>
      <c r="DW227" s="366"/>
      <c r="DX227" s="366"/>
      <c r="DY227" s="366"/>
      <c r="DZ227" s="366"/>
      <c r="EA227" s="366"/>
      <c r="EB227" s="366"/>
      <c r="EC227" s="445" t="str">
        <f>IFERROR(VLOOKUP($CI227,Skills!$H$2:$K$620,4,FALSE),"")</f>
        <v/>
      </c>
      <c r="ED227" s="445"/>
      <c r="EE227" s="445"/>
      <c r="EF227" s="445"/>
      <c r="EG227" s="445"/>
      <c r="EH227" s="446"/>
      <c r="EI227" s="446"/>
      <c r="EJ227" s="446"/>
      <c r="EK227" s="446"/>
      <c r="EL227" s="447"/>
      <c r="EM227" s="366" t="str">
        <f>IFERROR(VLOOKUP($CJ227,Skills!$H$2:$N$620,7,FALSE),"")</f>
        <v/>
      </c>
      <c r="EN227" s="366"/>
      <c r="EO227" s="366"/>
      <c r="EP227" s="366"/>
      <c r="EQ227" s="366"/>
      <c r="ER227" s="366"/>
      <c r="ES227" s="366"/>
      <c r="ET227" s="366"/>
      <c r="EU227" s="366"/>
      <c r="EV227" s="366"/>
      <c r="EW227" s="366"/>
      <c r="EX227" s="366"/>
      <c r="EY227" s="366"/>
      <c r="EZ227" s="366"/>
      <c r="FA227" s="366"/>
      <c r="FB227" s="366"/>
      <c r="FC227" s="366"/>
      <c r="FD227" s="366"/>
      <c r="FE227" s="366"/>
      <c r="FF227" s="366"/>
      <c r="FG227" s="366"/>
      <c r="FH227" s="366"/>
      <c r="FI227" s="366"/>
      <c r="FJ227" s="366"/>
      <c r="FK227" s="366"/>
      <c r="FL227" s="366"/>
      <c r="FM227" s="366"/>
      <c r="FN227" s="366"/>
      <c r="FO227" s="366"/>
      <c r="FP227" s="366"/>
      <c r="FQ227" s="366"/>
      <c r="FR227" s="366"/>
      <c r="FS227" s="366"/>
      <c r="FT227" s="366"/>
      <c r="FU227" s="366"/>
      <c r="FV227" s="366"/>
      <c r="FW227" s="366"/>
      <c r="FX227" s="366"/>
      <c r="FY227" s="366"/>
      <c r="FZ227" s="366"/>
      <c r="GA227" s="366"/>
      <c r="GB227" s="366"/>
      <c r="GC227" s="366"/>
      <c r="GD227" s="366"/>
      <c r="GE227" s="445" t="str">
        <f>IFERROR(VLOOKUP($CJ227,Skills!$H$2:$K$620,4,FALSE),"")</f>
        <v/>
      </c>
      <c r="GF227" s="445"/>
      <c r="GG227" s="445"/>
      <c r="GH227" s="445"/>
      <c r="GI227" s="445"/>
      <c r="GJ227" s="448"/>
      <c r="GK227" s="448"/>
      <c r="GL227" s="448"/>
      <c r="GM227" s="448"/>
      <c r="GN227" s="449"/>
    </row>
    <row r="228" spans="87:196" x14ac:dyDescent="0.25">
      <c r="CI228">
        <v>214</v>
      </c>
      <c r="CJ228">
        <v>464</v>
      </c>
      <c r="CK228" s="450" t="str">
        <f>IFERROR(VLOOKUP($CI228,Skills!$H$2:$N$620,7,FALSE),"")</f>
        <v/>
      </c>
      <c r="CL228" s="451"/>
      <c r="CM228" s="451"/>
      <c r="CN228" s="451"/>
      <c r="CO228" s="451"/>
      <c r="CP228" s="451"/>
      <c r="CQ228" s="451"/>
      <c r="CR228" s="451"/>
      <c r="CS228" s="451"/>
      <c r="CT228" s="451"/>
      <c r="CU228" s="451"/>
      <c r="CV228" s="451"/>
      <c r="CW228" s="451"/>
      <c r="CX228" s="451"/>
      <c r="CY228" s="451"/>
      <c r="CZ228" s="451"/>
      <c r="DA228" s="451"/>
      <c r="DB228" s="451"/>
      <c r="DC228" s="451"/>
      <c r="DD228" s="451"/>
      <c r="DE228" s="451"/>
      <c r="DF228" s="451"/>
      <c r="DG228" s="451"/>
      <c r="DH228" s="451"/>
      <c r="DI228" s="451"/>
      <c r="DJ228" s="451"/>
      <c r="DK228" s="451"/>
      <c r="DL228" s="451"/>
      <c r="DM228" s="451"/>
      <c r="DN228" s="451"/>
      <c r="DO228" s="451"/>
      <c r="DP228" s="451"/>
      <c r="DQ228" s="451"/>
      <c r="DR228" s="451"/>
      <c r="DS228" s="451"/>
      <c r="DT228" s="451"/>
      <c r="DU228" s="451"/>
      <c r="DV228" s="451"/>
      <c r="DW228" s="451"/>
      <c r="DX228" s="451"/>
      <c r="DY228" s="451"/>
      <c r="DZ228" s="451"/>
      <c r="EA228" s="451"/>
      <c r="EB228" s="451"/>
      <c r="EC228" s="417" t="str">
        <f>IFERROR(VLOOKUP($CI228,Skills!$H$2:$K$620,4,FALSE),"")</f>
        <v/>
      </c>
      <c r="ED228" s="417"/>
      <c r="EE228" s="417"/>
      <c r="EF228" s="417"/>
      <c r="EG228" s="417"/>
      <c r="EH228" s="452"/>
      <c r="EI228" s="452"/>
      <c r="EJ228" s="452"/>
      <c r="EK228" s="452"/>
      <c r="EL228" s="453"/>
      <c r="EM228" s="451" t="str">
        <f>IFERROR(VLOOKUP($CJ228,Skills!$H$2:$N$620,7,FALSE),"")</f>
        <v/>
      </c>
      <c r="EN228" s="451"/>
      <c r="EO228" s="451"/>
      <c r="EP228" s="451"/>
      <c r="EQ228" s="451"/>
      <c r="ER228" s="451"/>
      <c r="ES228" s="451"/>
      <c r="ET228" s="451"/>
      <c r="EU228" s="451"/>
      <c r="EV228" s="451"/>
      <c r="EW228" s="451"/>
      <c r="EX228" s="451"/>
      <c r="EY228" s="451"/>
      <c r="EZ228" s="451"/>
      <c r="FA228" s="451"/>
      <c r="FB228" s="451"/>
      <c r="FC228" s="451"/>
      <c r="FD228" s="451"/>
      <c r="FE228" s="451"/>
      <c r="FF228" s="451"/>
      <c r="FG228" s="451"/>
      <c r="FH228" s="451"/>
      <c r="FI228" s="451"/>
      <c r="FJ228" s="451"/>
      <c r="FK228" s="451"/>
      <c r="FL228" s="451"/>
      <c r="FM228" s="451"/>
      <c r="FN228" s="451"/>
      <c r="FO228" s="451"/>
      <c r="FP228" s="451"/>
      <c r="FQ228" s="451"/>
      <c r="FR228" s="451"/>
      <c r="FS228" s="451"/>
      <c r="FT228" s="451"/>
      <c r="FU228" s="451"/>
      <c r="FV228" s="451"/>
      <c r="FW228" s="451"/>
      <c r="FX228" s="451"/>
      <c r="FY228" s="451"/>
      <c r="FZ228" s="451"/>
      <c r="GA228" s="451"/>
      <c r="GB228" s="451"/>
      <c r="GC228" s="451"/>
      <c r="GD228" s="451"/>
      <c r="GE228" s="417" t="str">
        <f>IFERROR(VLOOKUP($CJ228,Skills!$H$2:$K$620,4,FALSE),"")</f>
        <v/>
      </c>
      <c r="GF228" s="417"/>
      <c r="GG228" s="417"/>
      <c r="GH228" s="417"/>
      <c r="GI228" s="417"/>
      <c r="GJ228" s="454"/>
      <c r="GK228" s="454"/>
      <c r="GL228" s="454"/>
      <c r="GM228" s="454"/>
      <c r="GN228" s="455"/>
    </row>
    <row r="229" spans="87:196" x14ac:dyDescent="0.25">
      <c r="CI229">
        <v>215</v>
      </c>
      <c r="CJ229">
        <v>465</v>
      </c>
      <c r="CK229" s="365" t="str">
        <f>IFERROR(VLOOKUP($CI229,Skills!$H$2:$N$620,7,FALSE),"")</f>
        <v/>
      </c>
      <c r="CL229" s="366"/>
      <c r="CM229" s="366"/>
      <c r="CN229" s="366"/>
      <c r="CO229" s="366"/>
      <c r="CP229" s="366"/>
      <c r="CQ229" s="366"/>
      <c r="CR229" s="366"/>
      <c r="CS229" s="366"/>
      <c r="CT229" s="366"/>
      <c r="CU229" s="366"/>
      <c r="CV229" s="366"/>
      <c r="CW229" s="366"/>
      <c r="CX229" s="366"/>
      <c r="CY229" s="366"/>
      <c r="CZ229" s="366"/>
      <c r="DA229" s="366"/>
      <c r="DB229" s="366"/>
      <c r="DC229" s="366"/>
      <c r="DD229" s="366"/>
      <c r="DE229" s="366"/>
      <c r="DF229" s="366"/>
      <c r="DG229" s="366"/>
      <c r="DH229" s="366"/>
      <c r="DI229" s="366"/>
      <c r="DJ229" s="366"/>
      <c r="DK229" s="366"/>
      <c r="DL229" s="366"/>
      <c r="DM229" s="366"/>
      <c r="DN229" s="366"/>
      <c r="DO229" s="366"/>
      <c r="DP229" s="366"/>
      <c r="DQ229" s="366"/>
      <c r="DR229" s="366"/>
      <c r="DS229" s="366"/>
      <c r="DT229" s="366"/>
      <c r="DU229" s="366"/>
      <c r="DV229" s="366"/>
      <c r="DW229" s="366"/>
      <c r="DX229" s="366"/>
      <c r="DY229" s="366"/>
      <c r="DZ229" s="366"/>
      <c r="EA229" s="366"/>
      <c r="EB229" s="366"/>
      <c r="EC229" s="445" t="str">
        <f>IFERROR(VLOOKUP($CI229,Skills!$H$2:$K$620,4,FALSE),"")</f>
        <v/>
      </c>
      <c r="ED229" s="445"/>
      <c r="EE229" s="445"/>
      <c r="EF229" s="445"/>
      <c r="EG229" s="445"/>
      <c r="EH229" s="446"/>
      <c r="EI229" s="446"/>
      <c r="EJ229" s="446"/>
      <c r="EK229" s="446"/>
      <c r="EL229" s="447"/>
      <c r="EM229" s="366" t="str">
        <f>IFERROR(VLOOKUP($CJ229,Skills!$H$2:$N$620,7,FALSE),"")</f>
        <v/>
      </c>
      <c r="EN229" s="366"/>
      <c r="EO229" s="366"/>
      <c r="EP229" s="366"/>
      <c r="EQ229" s="366"/>
      <c r="ER229" s="366"/>
      <c r="ES229" s="366"/>
      <c r="ET229" s="366"/>
      <c r="EU229" s="366"/>
      <c r="EV229" s="366"/>
      <c r="EW229" s="366"/>
      <c r="EX229" s="366"/>
      <c r="EY229" s="366"/>
      <c r="EZ229" s="366"/>
      <c r="FA229" s="366"/>
      <c r="FB229" s="366"/>
      <c r="FC229" s="366"/>
      <c r="FD229" s="366"/>
      <c r="FE229" s="366"/>
      <c r="FF229" s="366"/>
      <c r="FG229" s="366"/>
      <c r="FH229" s="366"/>
      <c r="FI229" s="366"/>
      <c r="FJ229" s="366"/>
      <c r="FK229" s="366"/>
      <c r="FL229" s="366"/>
      <c r="FM229" s="366"/>
      <c r="FN229" s="366"/>
      <c r="FO229" s="366"/>
      <c r="FP229" s="366"/>
      <c r="FQ229" s="366"/>
      <c r="FR229" s="366"/>
      <c r="FS229" s="366"/>
      <c r="FT229" s="366"/>
      <c r="FU229" s="366"/>
      <c r="FV229" s="366"/>
      <c r="FW229" s="366"/>
      <c r="FX229" s="366"/>
      <c r="FY229" s="366"/>
      <c r="FZ229" s="366"/>
      <c r="GA229" s="366"/>
      <c r="GB229" s="366"/>
      <c r="GC229" s="366"/>
      <c r="GD229" s="366"/>
      <c r="GE229" s="445" t="str">
        <f>IFERROR(VLOOKUP($CJ229,Skills!$H$2:$K$620,4,FALSE),"")</f>
        <v/>
      </c>
      <c r="GF229" s="445"/>
      <c r="GG229" s="445"/>
      <c r="GH229" s="445"/>
      <c r="GI229" s="445"/>
      <c r="GJ229" s="448"/>
      <c r="GK229" s="448"/>
      <c r="GL229" s="448"/>
      <c r="GM229" s="448"/>
      <c r="GN229" s="449"/>
    </row>
    <row r="230" spans="87:196" x14ac:dyDescent="0.25">
      <c r="CI230">
        <v>216</v>
      </c>
      <c r="CJ230">
        <v>466</v>
      </c>
      <c r="CK230" s="450" t="str">
        <f>IFERROR(VLOOKUP($CI230,Skills!$H$2:$N$620,7,FALSE),"")</f>
        <v/>
      </c>
      <c r="CL230" s="451"/>
      <c r="CM230" s="451"/>
      <c r="CN230" s="451"/>
      <c r="CO230" s="451"/>
      <c r="CP230" s="451"/>
      <c r="CQ230" s="451"/>
      <c r="CR230" s="451"/>
      <c r="CS230" s="451"/>
      <c r="CT230" s="451"/>
      <c r="CU230" s="451"/>
      <c r="CV230" s="451"/>
      <c r="CW230" s="451"/>
      <c r="CX230" s="451"/>
      <c r="CY230" s="451"/>
      <c r="CZ230" s="451"/>
      <c r="DA230" s="451"/>
      <c r="DB230" s="451"/>
      <c r="DC230" s="451"/>
      <c r="DD230" s="451"/>
      <c r="DE230" s="451"/>
      <c r="DF230" s="451"/>
      <c r="DG230" s="451"/>
      <c r="DH230" s="451"/>
      <c r="DI230" s="451"/>
      <c r="DJ230" s="451"/>
      <c r="DK230" s="451"/>
      <c r="DL230" s="451"/>
      <c r="DM230" s="451"/>
      <c r="DN230" s="451"/>
      <c r="DO230" s="451"/>
      <c r="DP230" s="451"/>
      <c r="DQ230" s="451"/>
      <c r="DR230" s="451"/>
      <c r="DS230" s="451"/>
      <c r="DT230" s="451"/>
      <c r="DU230" s="451"/>
      <c r="DV230" s="451"/>
      <c r="DW230" s="451"/>
      <c r="DX230" s="451"/>
      <c r="DY230" s="451"/>
      <c r="DZ230" s="451"/>
      <c r="EA230" s="451"/>
      <c r="EB230" s="451"/>
      <c r="EC230" s="417" t="str">
        <f>IFERROR(VLOOKUP($CI230,Skills!$H$2:$K$620,4,FALSE),"")</f>
        <v/>
      </c>
      <c r="ED230" s="417"/>
      <c r="EE230" s="417"/>
      <c r="EF230" s="417"/>
      <c r="EG230" s="417"/>
      <c r="EH230" s="452"/>
      <c r="EI230" s="452"/>
      <c r="EJ230" s="452"/>
      <c r="EK230" s="452"/>
      <c r="EL230" s="453"/>
      <c r="EM230" s="451" t="str">
        <f>IFERROR(VLOOKUP($CJ230,Skills!$H$2:$N$620,7,FALSE),"")</f>
        <v/>
      </c>
      <c r="EN230" s="451"/>
      <c r="EO230" s="451"/>
      <c r="EP230" s="451"/>
      <c r="EQ230" s="451"/>
      <c r="ER230" s="451"/>
      <c r="ES230" s="451"/>
      <c r="ET230" s="451"/>
      <c r="EU230" s="451"/>
      <c r="EV230" s="451"/>
      <c r="EW230" s="451"/>
      <c r="EX230" s="451"/>
      <c r="EY230" s="451"/>
      <c r="EZ230" s="451"/>
      <c r="FA230" s="451"/>
      <c r="FB230" s="451"/>
      <c r="FC230" s="451"/>
      <c r="FD230" s="451"/>
      <c r="FE230" s="451"/>
      <c r="FF230" s="451"/>
      <c r="FG230" s="451"/>
      <c r="FH230" s="451"/>
      <c r="FI230" s="451"/>
      <c r="FJ230" s="451"/>
      <c r="FK230" s="451"/>
      <c r="FL230" s="451"/>
      <c r="FM230" s="451"/>
      <c r="FN230" s="451"/>
      <c r="FO230" s="451"/>
      <c r="FP230" s="451"/>
      <c r="FQ230" s="451"/>
      <c r="FR230" s="451"/>
      <c r="FS230" s="451"/>
      <c r="FT230" s="451"/>
      <c r="FU230" s="451"/>
      <c r="FV230" s="451"/>
      <c r="FW230" s="451"/>
      <c r="FX230" s="451"/>
      <c r="FY230" s="451"/>
      <c r="FZ230" s="451"/>
      <c r="GA230" s="451"/>
      <c r="GB230" s="451"/>
      <c r="GC230" s="451"/>
      <c r="GD230" s="451"/>
      <c r="GE230" s="417" t="str">
        <f>IFERROR(VLOOKUP($CJ230,Skills!$H$2:$K$620,4,FALSE),"")</f>
        <v/>
      </c>
      <c r="GF230" s="417"/>
      <c r="GG230" s="417"/>
      <c r="GH230" s="417"/>
      <c r="GI230" s="417"/>
      <c r="GJ230" s="454"/>
      <c r="GK230" s="454"/>
      <c r="GL230" s="454"/>
      <c r="GM230" s="454"/>
      <c r="GN230" s="455"/>
    </row>
    <row r="231" spans="87:196" x14ac:dyDescent="0.25">
      <c r="CI231">
        <v>217</v>
      </c>
      <c r="CJ231">
        <v>467</v>
      </c>
      <c r="CK231" s="365" t="str">
        <f>IFERROR(VLOOKUP($CI231,Skills!$H$2:$N$620,7,FALSE),"")</f>
        <v/>
      </c>
      <c r="CL231" s="366"/>
      <c r="CM231" s="366"/>
      <c r="CN231" s="366"/>
      <c r="CO231" s="366"/>
      <c r="CP231" s="366"/>
      <c r="CQ231" s="366"/>
      <c r="CR231" s="366"/>
      <c r="CS231" s="366"/>
      <c r="CT231" s="366"/>
      <c r="CU231" s="366"/>
      <c r="CV231" s="366"/>
      <c r="CW231" s="366"/>
      <c r="CX231" s="366"/>
      <c r="CY231" s="366"/>
      <c r="CZ231" s="366"/>
      <c r="DA231" s="366"/>
      <c r="DB231" s="366"/>
      <c r="DC231" s="366"/>
      <c r="DD231" s="366"/>
      <c r="DE231" s="366"/>
      <c r="DF231" s="366"/>
      <c r="DG231" s="366"/>
      <c r="DH231" s="366"/>
      <c r="DI231" s="366"/>
      <c r="DJ231" s="366"/>
      <c r="DK231" s="366"/>
      <c r="DL231" s="366"/>
      <c r="DM231" s="366"/>
      <c r="DN231" s="366"/>
      <c r="DO231" s="366"/>
      <c r="DP231" s="366"/>
      <c r="DQ231" s="366"/>
      <c r="DR231" s="366"/>
      <c r="DS231" s="366"/>
      <c r="DT231" s="366"/>
      <c r="DU231" s="366"/>
      <c r="DV231" s="366"/>
      <c r="DW231" s="366"/>
      <c r="DX231" s="366"/>
      <c r="DY231" s="366"/>
      <c r="DZ231" s="366"/>
      <c r="EA231" s="366"/>
      <c r="EB231" s="366"/>
      <c r="EC231" s="445" t="str">
        <f>IFERROR(VLOOKUP($CI231,Skills!$H$2:$K$620,4,FALSE),"")</f>
        <v/>
      </c>
      <c r="ED231" s="445"/>
      <c r="EE231" s="445"/>
      <c r="EF231" s="445"/>
      <c r="EG231" s="445"/>
      <c r="EH231" s="446"/>
      <c r="EI231" s="446"/>
      <c r="EJ231" s="446"/>
      <c r="EK231" s="446"/>
      <c r="EL231" s="447"/>
      <c r="EM231" s="366" t="str">
        <f>IFERROR(VLOOKUP($CJ231,Skills!$H$2:$N$620,7,FALSE),"")</f>
        <v/>
      </c>
      <c r="EN231" s="366"/>
      <c r="EO231" s="366"/>
      <c r="EP231" s="366"/>
      <c r="EQ231" s="366"/>
      <c r="ER231" s="366"/>
      <c r="ES231" s="366"/>
      <c r="ET231" s="366"/>
      <c r="EU231" s="366"/>
      <c r="EV231" s="366"/>
      <c r="EW231" s="366"/>
      <c r="EX231" s="366"/>
      <c r="EY231" s="366"/>
      <c r="EZ231" s="366"/>
      <c r="FA231" s="366"/>
      <c r="FB231" s="366"/>
      <c r="FC231" s="366"/>
      <c r="FD231" s="366"/>
      <c r="FE231" s="366"/>
      <c r="FF231" s="366"/>
      <c r="FG231" s="366"/>
      <c r="FH231" s="366"/>
      <c r="FI231" s="366"/>
      <c r="FJ231" s="366"/>
      <c r="FK231" s="366"/>
      <c r="FL231" s="366"/>
      <c r="FM231" s="366"/>
      <c r="FN231" s="366"/>
      <c r="FO231" s="366"/>
      <c r="FP231" s="366"/>
      <c r="FQ231" s="366"/>
      <c r="FR231" s="366"/>
      <c r="FS231" s="366"/>
      <c r="FT231" s="366"/>
      <c r="FU231" s="366"/>
      <c r="FV231" s="366"/>
      <c r="FW231" s="366"/>
      <c r="FX231" s="366"/>
      <c r="FY231" s="366"/>
      <c r="FZ231" s="366"/>
      <c r="GA231" s="366"/>
      <c r="GB231" s="366"/>
      <c r="GC231" s="366"/>
      <c r="GD231" s="366"/>
      <c r="GE231" s="445" t="str">
        <f>IFERROR(VLOOKUP($CJ231,Skills!$H$2:$K$620,4,FALSE),"")</f>
        <v/>
      </c>
      <c r="GF231" s="445"/>
      <c r="GG231" s="445"/>
      <c r="GH231" s="445"/>
      <c r="GI231" s="445"/>
      <c r="GJ231" s="448"/>
      <c r="GK231" s="448"/>
      <c r="GL231" s="448"/>
      <c r="GM231" s="448"/>
      <c r="GN231" s="449"/>
    </row>
    <row r="232" spans="87:196" x14ac:dyDescent="0.25">
      <c r="CI232">
        <v>218</v>
      </c>
      <c r="CJ232">
        <v>468</v>
      </c>
      <c r="CK232" s="450" t="str">
        <f>IFERROR(VLOOKUP($CI232,Skills!$H$2:$N$620,7,FALSE),"")</f>
        <v/>
      </c>
      <c r="CL232" s="451"/>
      <c r="CM232" s="451"/>
      <c r="CN232" s="451"/>
      <c r="CO232" s="451"/>
      <c r="CP232" s="451"/>
      <c r="CQ232" s="451"/>
      <c r="CR232" s="451"/>
      <c r="CS232" s="451"/>
      <c r="CT232" s="451"/>
      <c r="CU232" s="451"/>
      <c r="CV232" s="451"/>
      <c r="CW232" s="451"/>
      <c r="CX232" s="451"/>
      <c r="CY232" s="451"/>
      <c r="CZ232" s="451"/>
      <c r="DA232" s="451"/>
      <c r="DB232" s="451"/>
      <c r="DC232" s="451"/>
      <c r="DD232" s="451"/>
      <c r="DE232" s="451"/>
      <c r="DF232" s="451"/>
      <c r="DG232" s="451"/>
      <c r="DH232" s="451"/>
      <c r="DI232" s="451"/>
      <c r="DJ232" s="451"/>
      <c r="DK232" s="451"/>
      <c r="DL232" s="451"/>
      <c r="DM232" s="451"/>
      <c r="DN232" s="451"/>
      <c r="DO232" s="451"/>
      <c r="DP232" s="451"/>
      <c r="DQ232" s="451"/>
      <c r="DR232" s="451"/>
      <c r="DS232" s="451"/>
      <c r="DT232" s="451"/>
      <c r="DU232" s="451"/>
      <c r="DV232" s="451"/>
      <c r="DW232" s="451"/>
      <c r="DX232" s="451"/>
      <c r="DY232" s="451"/>
      <c r="DZ232" s="451"/>
      <c r="EA232" s="451"/>
      <c r="EB232" s="451"/>
      <c r="EC232" s="417" t="str">
        <f>IFERROR(VLOOKUP($CI232,Skills!$H$2:$K$620,4,FALSE),"")</f>
        <v/>
      </c>
      <c r="ED232" s="417"/>
      <c r="EE232" s="417"/>
      <c r="EF232" s="417"/>
      <c r="EG232" s="417"/>
      <c r="EH232" s="452"/>
      <c r="EI232" s="452"/>
      <c r="EJ232" s="452"/>
      <c r="EK232" s="452"/>
      <c r="EL232" s="453"/>
      <c r="EM232" s="451" t="str">
        <f>IFERROR(VLOOKUP($CJ232,Skills!$H$2:$N$620,7,FALSE),"")</f>
        <v/>
      </c>
      <c r="EN232" s="451"/>
      <c r="EO232" s="451"/>
      <c r="EP232" s="451"/>
      <c r="EQ232" s="451"/>
      <c r="ER232" s="451"/>
      <c r="ES232" s="451"/>
      <c r="ET232" s="451"/>
      <c r="EU232" s="451"/>
      <c r="EV232" s="451"/>
      <c r="EW232" s="451"/>
      <c r="EX232" s="451"/>
      <c r="EY232" s="451"/>
      <c r="EZ232" s="451"/>
      <c r="FA232" s="451"/>
      <c r="FB232" s="451"/>
      <c r="FC232" s="451"/>
      <c r="FD232" s="451"/>
      <c r="FE232" s="451"/>
      <c r="FF232" s="451"/>
      <c r="FG232" s="451"/>
      <c r="FH232" s="451"/>
      <c r="FI232" s="451"/>
      <c r="FJ232" s="451"/>
      <c r="FK232" s="451"/>
      <c r="FL232" s="451"/>
      <c r="FM232" s="451"/>
      <c r="FN232" s="451"/>
      <c r="FO232" s="451"/>
      <c r="FP232" s="451"/>
      <c r="FQ232" s="451"/>
      <c r="FR232" s="451"/>
      <c r="FS232" s="451"/>
      <c r="FT232" s="451"/>
      <c r="FU232" s="451"/>
      <c r="FV232" s="451"/>
      <c r="FW232" s="451"/>
      <c r="FX232" s="451"/>
      <c r="FY232" s="451"/>
      <c r="FZ232" s="451"/>
      <c r="GA232" s="451"/>
      <c r="GB232" s="451"/>
      <c r="GC232" s="451"/>
      <c r="GD232" s="451"/>
      <c r="GE232" s="417" t="str">
        <f>IFERROR(VLOOKUP($CJ232,Skills!$H$2:$K$620,4,FALSE),"")</f>
        <v/>
      </c>
      <c r="GF232" s="417"/>
      <c r="GG232" s="417"/>
      <c r="GH232" s="417"/>
      <c r="GI232" s="417"/>
      <c r="GJ232" s="454"/>
      <c r="GK232" s="454"/>
      <c r="GL232" s="454"/>
      <c r="GM232" s="454"/>
      <c r="GN232" s="455"/>
    </row>
    <row r="233" spans="87:196" x14ac:dyDescent="0.25">
      <c r="CI233">
        <v>219</v>
      </c>
      <c r="CJ233">
        <v>469</v>
      </c>
      <c r="CK233" s="365" t="str">
        <f>IFERROR(VLOOKUP($CI233,Skills!$H$2:$N$620,7,FALSE),"")</f>
        <v/>
      </c>
      <c r="CL233" s="366"/>
      <c r="CM233" s="366"/>
      <c r="CN233" s="366"/>
      <c r="CO233" s="366"/>
      <c r="CP233" s="366"/>
      <c r="CQ233" s="366"/>
      <c r="CR233" s="366"/>
      <c r="CS233" s="366"/>
      <c r="CT233" s="366"/>
      <c r="CU233" s="366"/>
      <c r="CV233" s="366"/>
      <c r="CW233" s="366"/>
      <c r="CX233" s="366"/>
      <c r="CY233" s="366"/>
      <c r="CZ233" s="366"/>
      <c r="DA233" s="366"/>
      <c r="DB233" s="366"/>
      <c r="DC233" s="366"/>
      <c r="DD233" s="366"/>
      <c r="DE233" s="366"/>
      <c r="DF233" s="366"/>
      <c r="DG233" s="366"/>
      <c r="DH233" s="366"/>
      <c r="DI233" s="366"/>
      <c r="DJ233" s="366"/>
      <c r="DK233" s="366"/>
      <c r="DL233" s="366"/>
      <c r="DM233" s="366"/>
      <c r="DN233" s="366"/>
      <c r="DO233" s="366"/>
      <c r="DP233" s="366"/>
      <c r="DQ233" s="366"/>
      <c r="DR233" s="366"/>
      <c r="DS233" s="366"/>
      <c r="DT233" s="366"/>
      <c r="DU233" s="366"/>
      <c r="DV233" s="366"/>
      <c r="DW233" s="366"/>
      <c r="DX233" s="366"/>
      <c r="DY233" s="366"/>
      <c r="DZ233" s="366"/>
      <c r="EA233" s="366"/>
      <c r="EB233" s="366"/>
      <c r="EC233" s="445" t="str">
        <f>IFERROR(VLOOKUP($CI233,Skills!$H$2:$K$620,4,FALSE),"")</f>
        <v/>
      </c>
      <c r="ED233" s="445"/>
      <c r="EE233" s="445"/>
      <c r="EF233" s="445"/>
      <c r="EG233" s="445"/>
      <c r="EH233" s="446"/>
      <c r="EI233" s="446"/>
      <c r="EJ233" s="446"/>
      <c r="EK233" s="446"/>
      <c r="EL233" s="447"/>
      <c r="EM233" s="366" t="str">
        <f>IFERROR(VLOOKUP($CJ233,Skills!$H$2:$N$620,7,FALSE),"")</f>
        <v/>
      </c>
      <c r="EN233" s="366"/>
      <c r="EO233" s="366"/>
      <c r="EP233" s="366"/>
      <c r="EQ233" s="366"/>
      <c r="ER233" s="366"/>
      <c r="ES233" s="366"/>
      <c r="ET233" s="366"/>
      <c r="EU233" s="366"/>
      <c r="EV233" s="366"/>
      <c r="EW233" s="366"/>
      <c r="EX233" s="366"/>
      <c r="EY233" s="366"/>
      <c r="EZ233" s="366"/>
      <c r="FA233" s="366"/>
      <c r="FB233" s="366"/>
      <c r="FC233" s="366"/>
      <c r="FD233" s="366"/>
      <c r="FE233" s="366"/>
      <c r="FF233" s="366"/>
      <c r="FG233" s="366"/>
      <c r="FH233" s="366"/>
      <c r="FI233" s="366"/>
      <c r="FJ233" s="366"/>
      <c r="FK233" s="366"/>
      <c r="FL233" s="366"/>
      <c r="FM233" s="366"/>
      <c r="FN233" s="366"/>
      <c r="FO233" s="366"/>
      <c r="FP233" s="366"/>
      <c r="FQ233" s="366"/>
      <c r="FR233" s="366"/>
      <c r="FS233" s="366"/>
      <c r="FT233" s="366"/>
      <c r="FU233" s="366"/>
      <c r="FV233" s="366"/>
      <c r="FW233" s="366"/>
      <c r="FX233" s="366"/>
      <c r="FY233" s="366"/>
      <c r="FZ233" s="366"/>
      <c r="GA233" s="366"/>
      <c r="GB233" s="366"/>
      <c r="GC233" s="366"/>
      <c r="GD233" s="366"/>
      <c r="GE233" s="445" t="str">
        <f>IFERROR(VLOOKUP($CJ233,Skills!$H$2:$K$620,4,FALSE),"")</f>
        <v/>
      </c>
      <c r="GF233" s="445"/>
      <c r="GG233" s="445"/>
      <c r="GH233" s="445"/>
      <c r="GI233" s="445"/>
      <c r="GJ233" s="448"/>
      <c r="GK233" s="448"/>
      <c r="GL233" s="448"/>
      <c r="GM233" s="448"/>
      <c r="GN233" s="449"/>
    </row>
    <row r="234" spans="87:196" x14ac:dyDescent="0.25">
      <c r="CI234">
        <v>220</v>
      </c>
      <c r="CJ234">
        <v>470</v>
      </c>
      <c r="CK234" s="450" t="str">
        <f>IFERROR(VLOOKUP($CI234,Skills!$H$2:$N$620,7,FALSE),"")</f>
        <v/>
      </c>
      <c r="CL234" s="451"/>
      <c r="CM234" s="451"/>
      <c r="CN234" s="451"/>
      <c r="CO234" s="451"/>
      <c r="CP234" s="451"/>
      <c r="CQ234" s="451"/>
      <c r="CR234" s="451"/>
      <c r="CS234" s="451"/>
      <c r="CT234" s="451"/>
      <c r="CU234" s="451"/>
      <c r="CV234" s="451"/>
      <c r="CW234" s="451"/>
      <c r="CX234" s="451"/>
      <c r="CY234" s="451"/>
      <c r="CZ234" s="451"/>
      <c r="DA234" s="451"/>
      <c r="DB234" s="451"/>
      <c r="DC234" s="451"/>
      <c r="DD234" s="451"/>
      <c r="DE234" s="451"/>
      <c r="DF234" s="451"/>
      <c r="DG234" s="451"/>
      <c r="DH234" s="451"/>
      <c r="DI234" s="451"/>
      <c r="DJ234" s="451"/>
      <c r="DK234" s="451"/>
      <c r="DL234" s="451"/>
      <c r="DM234" s="451"/>
      <c r="DN234" s="451"/>
      <c r="DO234" s="451"/>
      <c r="DP234" s="451"/>
      <c r="DQ234" s="451"/>
      <c r="DR234" s="451"/>
      <c r="DS234" s="451"/>
      <c r="DT234" s="451"/>
      <c r="DU234" s="451"/>
      <c r="DV234" s="451"/>
      <c r="DW234" s="451"/>
      <c r="DX234" s="451"/>
      <c r="DY234" s="451"/>
      <c r="DZ234" s="451"/>
      <c r="EA234" s="451"/>
      <c r="EB234" s="451"/>
      <c r="EC234" s="417" t="str">
        <f>IFERROR(VLOOKUP($CI234,Skills!$H$2:$K$620,4,FALSE),"")</f>
        <v/>
      </c>
      <c r="ED234" s="417"/>
      <c r="EE234" s="417"/>
      <c r="EF234" s="417"/>
      <c r="EG234" s="417"/>
      <c r="EH234" s="452"/>
      <c r="EI234" s="452"/>
      <c r="EJ234" s="452"/>
      <c r="EK234" s="452"/>
      <c r="EL234" s="453"/>
      <c r="EM234" s="451" t="str">
        <f>IFERROR(VLOOKUP($CJ234,Skills!$H$2:$N$620,7,FALSE),"")</f>
        <v/>
      </c>
      <c r="EN234" s="451"/>
      <c r="EO234" s="451"/>
      <c r="EP234" s="451"/>
      <c r="EQ234" s="451"/>
      <c r="ER234" s="451"/>
      <c r="ES234" s="451"/>
      <c r="ET234" s="451"/>
      <c r="EU234" s="451"/>
      <c r="EV234" s="451"/>
      <c r="EW234" s="451"/>
      <c r="EX234" s="451"/>
      <c r="EY234" s="451"/>
      <c r="EZ234" s="451"/>
      <c r="FA234" s="451"/>
      <c r="FB234" s="451"/>
      <c r="FC234" s="451"/>
      <c r="FD234" s="451"/>
      <c r="FE234" s="451"/>
      <c r="FF234" s="451"/>
      <c r="FG234" s="451"/>
      <c r="FH234" s="451"/>
      <c r="FI234" s="451"/>
      <c r="FJ234" s="451"/>
      <c r="FK234" s="451"/>
      <c r="FL234" s="451"/>
      <c r="FM234" s="451"/>
      <c r="FN234" s="451"/>
      <c r="FO234" s="451"/>
      <c r="FP234" s="451"/>
      <c r="FQ234" s="451"/>
      <c r="FR234" s="451"/>
      <c r="FS234" s="451"/>
      <c r="FT234" s="451"/>
      <c r="FU234" s="451"/>
      <c r="FV234" s="451"/>
      <c r="FW234" s="451"/>
      <c r="FX234" s="451"/>
      <c r="FY234" s="451"/>
      <c r="FZ234" s="451"/>
      <c r="GA234" s="451"/>
      <c r="GB234" s="451"/>
      <c r="GC234" s="451"/>
      <c r="GD234" s="451"/>
      <c r="GE234" s="417" t="str">
        <f>IFERROR(VLOOKUP($CJ234,Skills!$H$2:$K$620,4,FALSE),"")</f>
        <v/>
      </c>
      <c r="GF234" s="417"/>
      <c r="GG234" s="417"/>
      <c r="GH234" s="417"/>
      <c r="GI234" s="417"/>
      <c r="GJ234" s="454"/>
      <c r="GK234" s="454"/>
      <c r="GL234" s="454"/>
      <c r="GM234" s="454"/>
      <c r="GN234" s="455"/>
    </row>
    <row r="235" spans="87:196" x14ac:dyDescent="0.25">
      <c r="CI235">
        <v>221</v>
      </c>
      <c r="CJ235">
        <v>471</v>
      </c>
      <c r="CK235" s="365" t="str">
        <f>IFERROR(VLOOKUP($CI235,Skills!$H$2:$N$620,7,FALSE),"")</f>
        <v/>
      </c>
      <c r="CL235" s="366"/>
      <c r="CM235" s="366"/>
      <c r="CN235" s="366"/>
      <c r="CO235" s="366"/>
      <c r="CP235" s="366"/>
      <c r="CQ235" s="366"/>
      <c r="CR235" s="366"/>
      <c r="CS235" s="366"/>
      <c r="CT235" s="366"/>
      <c r="CU235" s="366"/>
      <c r="CV235" s="366"/>
      <c r="CW235" s="366"/>
      <c r="CX235" s="366"/>
      <c r="CY235" s="366"/>
      <c r="CZ235" s="366"/>
      <c r="DA235" s="366"/>
      <c r="DB235" s="366"/>
      <c r="DC235" s="366"/>
      <c r="DD235" s="366"/>
      <c r="DE235" s="366"/>
      <c r="DF235" s="366"/>
      <c r="DG235" s="366"/>
      <c r="DH235" s="366"/>
      <c r="DI235" s="366"/>
      <c r="DJ235" s="366"/>
      <c r="DK235" s="366"/>
      <c r="DL235" s="366"/>
      <c r="DM235" s="366"/>
      <c r="DN235" s="366"/>
      <c r="DO235" s="366"/>
      <c r="DP235" s="366"/>
      <c r="DQ235" s="366"/>
      <c r="DR235" s="366"/>
      <c r="DS235" s="366"/>
      <c r="DT235" s="366"/>
      <c r="DU235" s="366"/>
      <c r="DV235" s="366"/>
      <c r="DW235" s="366"/>
      <c r="DX235" s="366"/>
      <c r="DY235" s="366"/>
      <c r="DZ235" s="366"/>
      <c r="EA235" s="366"/>
      <c r="EB235" s="366"/>
      <c r="EC235" s="445" t="str">
        <f>IFERROR(VLOOKUP($CI235,Skills!$H$2:$K$620,4,FALSE),"")</f>
        <v/>
      </c>
      <c r="ED235" s="445"/>
      <c r="EE235" s="445"/>
      <c r="EF235" s="445"/>
      <c r="EG235" s="445"/>
      <c r="EH235" s="446"/>
      <c r="EI235" s="446"/>
      <c r="EJ235" s="446"/>
      <c r="EK235" s="446"/>
      <c r="EL235" s="447"/>
      <c r="EM235" s="366" t="str">
        <f>IFERROR(VLOOKUP($CJ235,Skills!$H$2:$N$620,7,FALSE),"")</f>
        <v/>
      </c>
      <c r="EN235" s="366"/>
      <c r="EO235" s="366"/>
      <c r="EP235" s="366"/>
      <c r="EQ235" s="366"/>
      <c r="ER235" s="366"/>
      <c r="ES235" s="366"/>
      <c r="ET235" s="366"/>
      <c r="EU235" s="366"/>
      <c r="EV235" s="366"/>
      <c r="EW235" s="366"/>
      <c r="EX235" s="366"/>
      <c r="EY235" s="366"/>
      <c r="EZ235" s="366"/>
      <c r="FA235" s="366"/>
      <c r="FB235" s="366"/>
      <c r="FC235" s="366"/>
      <c r="FD235" s="366"/>
      <c r="FE235" s="366"/>
      <c r="FF235" s="366"/>
      <c r="FG235" s="366"/>
      <c r="FH235" s="366"/>
      <c r="FI235" s="366"/>
      <c r="FJ235" s="366"/>
      <c r="FK235" s="366"/>
      <c r="FL235" s="366"/>
      <c r="FM235" s="366"/>
      <c r="FN235" s="366"/>
      <c r="FO235" s="366"/>
      <c r="FP235" s="366"/>
      <c r="FQ235" s="366"/>
      <c r="FR235" s="366"/>
      <c r="FS235" s="366"/>
      <c r="FT235" s="366"/>
      <c r="FU235" s="366"/>
      <c r="FV235" s="366"/>
      <c r="FW235" s="366"/>
      <c r="FX235" s="366"/>
      <c r="FY235" s="366"/>
      <c r="FZ235" s="366"/>
      <c r="GA235" s="366"/>
      <c r="GB235" s="366"/>
      <c r="GC235" s="366"/>
      <c r="GD235" s="366"/>
      <c r="GE235" s="445" t="str">
        <f>IFERROR(VLOOKUP($CJ235,Skills!$H$2:$K$620,4,FALSE),"")</f>
        <v/>
      </c>
      <c r="GF235" s="445"/>
      <c r="GG235" s="445"/>
      <c r="GH235" s="445"/>
      <c r="GI235" s="445"/>
      <c r="GJ235" s="448"/>
      <c r="GK235" s="448"/>
      <c r="GL235" s="448"/>
      <c r="GM235" s="448"/>
      <c r="GN235" s="449"/>
    </row>
    <row r="236" spans="87:196" x14ac:dyDescent="0.25">
      <c r="CI236">
        <v>222</v>
      </c>
      <c r="CJ236">
        <v>472</v>
      </c>
      <c r="CK236" s="450" t="str">
        <f>IFERROR(VLOOKUP($CI236,Skills!$H$2:$N$620,7,FALSE),"")</f>
        <v/>
      </c>
      <c r="CL236" s="451"/>
      <c r="CM236" s="451"/>
      <c r="CN236" s="451"/>
      <c r="CO236" s="451"/>
      <c r="CP236" s="451"/>
      <c r="CQ236" s="451"/>
      <c r="CR236" s="451"/>
      <c r="CS236" s="451"/>
      <c r="CT236" s="451"/>
      <c r="CU236" s="451"/>
      <c r="CV236" s="451"/>
      <c r="CW236" s="451"/>
      <c r="CX236" s="451"/>
      <c r="CY236" s="451"/>
      <c r="CZ236" s="451"/>
      <c r="DA236" s="451"/>
      <c r="DB236" s="451"/>
      <c r="DC236" s="451"/>
      <c r="DD236" s="451"/>
      <c r="DE236" s="451"/>
      <c r="DF236" s="451"/>
      <c r="DG236" s="451"/>
      <c r="DH236" s="451"/>
      <c r="DI236" s="451"/>
      <c r="DJ236" s="451"/>
      <c r="DK236" s="451"/>
      <c r="DL236" s="451"/>
      <c r="DM236" s="451"/>
      <c r="DN236" s="451"/>
      <c r="DO236" s="451"/>
      <c r="DP236" s="451"/>
      <c r="DQ236" s="451"/>
      <c r="DR236" s="451"/>
      <c r="DS236" s="451"/>
      <c r="DT236" s="451"/>
      <c r="DU236" s="451"/>
      <c r="DV236" s="451"/>
      <c r="DW236" s="451"/>
      <c r="DX236" s="451"/>
      <c r="DY236" s="451"/>
      <c r="DZ236" s="451"/>
      <c r="EA236" s="451"/>
      <c r="EB236" s="451"/>
      <c r="EC236" s="417" t="str">
        <f>IFERROR(VLOOKUP($CI236,Skills!$H$2:$K$620,4,FALSE),"")</f>
        <v/>
      </c>
      <c r="ED236" s="417"/>
      <c r="EE236" s="417"/>
      <c r="EF236" s="417"/>
      <c r="EG236" s="417"/>
      <c r="EH236" s="452"/>
      <c r="EI236" s="452"/>
      <c r="EJ236" s="452"/>
      <c r="EK236" s="452"/>
      <c r="EL236" s="453"/>
      <c r="EM236" s="451" t="str">
        <f>IFERROR(VLOOKUP($CJ236,Skills!$H$2:$N$620,7,FALSE),"")</f>
        <v/>
      </c>
      <c r="EN236" s="451"/>
      <c r="EO236" s="451"/>
      <c r="EP236" s="451"/>
      <c r="EQ236" s="451"/>
      <c r="ER236" s="451"/>
      <c r="ES236" s="451"/>
      <c r="ET236" s="451"/>
      <c r="EU236" s="451"/>
      <c r="EV236" s="451"/>
      <c r="EW236" s="451"/>
      <c r="EX236" s="451"/>
      <c r="EY236" s="451"/>
      <c r="EZ236" s="451"/>
      <c r="FA236" s="451"/>
      <c r="FB236" s="451"/>
      <c r="FC236" s="451"/>
      <c r="FD236" s="451"/>
      <c r="FE236" s="451"/>
      <c r="FF236" s="451"/>
      <c r="FG236" s="451"/>
      <c r="FH236" s="451"/>
      <c r="FI236" s="451"/>
      <c r="FJ236" s="451"/>
      <c r="FK236" s="451"/>
      <c r="FL236" s="451"/>
      <c r="FM236" s="451"/>
      <c r="FN236" s="451"/>
      <c r="FO236" s="451"/>
      <c r="FP236" s="451"/>
      <c r="FQ236" s="451"/>
      <c r="FR236" s="451"/>
      <c r="FS236" s="451"/>
      <c r="FT236" s="451"/>
      <c r="FU236" s="451"/>
      <c r="FV236" s="451"/>
      <c r="FW236" s="451"/>
      <c r="FX236" s="451"/>
      <c r="FY236" s="451"/>
      <c r="FZ236" s="451"/>
      <c r="GA236" s="451"/>
      <c r="GB236" s="451"/>
      <c r="GC236" s="451"/>
      <c r="GD236" s="451"/>
      <c r="GE236" s="417" t="str">
        <f>IFERROR(VLOOKUP($CJ236,Skills!$H$2:$K$620,4,FALSE),"")</f>
        <v/>
      </c>
      <c r="GF236" s="417"/>
      <c r="GG236" s="417"/>
      <c r="GH236" s="417"/>
      <c r="GI236" s="417"/>
      <c r="GJ236" s="454"/>
      <c r="GK236" s="454"/>
      <c r="GL236" s="454"/>
      <c r="GM236" s="454"/>
      <c r="GN236" s="455"/>
    </row>
    <row r="237" spans="87:196" x14ac:dyDescent="0.25">
      <c r="CI237">
        <v>223</v>
      </c>
      <c r="CJ237">
        <v>473</v>
      </c>
      <c r="CK237" s="365" t="str">
        <f>IFERROR(VLOOKUP($CI237,Skills!$H$2:$N$620,7,FALSE),"")</f>
        <v/>
      </c>
      <c r="CL237" s="366"/>
      <c r="CM237" s="366"/>
      <c r="CN237" s="366"/>
      <c r="CO237" s="366"/>
      <c r="CP237" s="366"/>
      <c r="CQ237" s="366"/>
      <c r="CR237" s="366"/>
      <c r="CS237" s="366"/>
      <c r="CT237" s="366"/>
      <c r="CU237" s="366"/>
      <c r="CV237" s="366"/>
      <c r="CW237" s="366"/>
      <c r="CX237" s="366"/>
      <c r="CY237" s="366"/>
      <c r="CZ237" s="366"/>
      <c r="DA237" s="366"/>
      <c r="DB237" s="366"/>
      <c r="DC237" s="366"/>
      <c r="DD237" s="366"/>
      <c r="DE237" s="366"/>
      <c r="DF237" s="366"/>
      <c r="DG237" s="366"/>
      <c r="DH237" s="366"/>
      <c r="DI237" s="366"/>
      <c r="DJ237" s="366"/>
      <c r="DK237" s="366"/>
      <c r="DL237" s="366"/>
      <c r="DM237" s="366"/>
      <c r="DN237" s="366"/>
      <c r="DO237" s="366"/>
      <c r="DP237" s="366"/>
      <c r="DQ237" s="366"/>
      <c r="DR237" s="366"/>
      <c r="DS237" s="366"/>
      <c r="DT237" s="366"/>
      <c r="DU237" s="366"/>
      <c r="DV237" s="366"/>
      <c r="DW237" s="366"/>
      <c r="DX237" s="366"/>
      <c r="DY237" s="366"/>
      <c r="DZ237" s="366"/>
      <c r="EA237" s="366"/>
      <c r="EB237" s="366"/>
      <c r="EC237" s="445" t="str">
        <f>IFERROR(VLOOKUP($CI237,Skills!$H$2:$K$620,4,FALSE),"")</f>
        <v/>
      </c>
      <c r="ED237" s="445"/>
      <c r="EE237" s="445"/>
      <c r="EF237" s="445"/>
      <c r="EG237" s="445"/>
      <c r="EH237" s="446"/>
      <c r="EI237" s="446"/>
      <c r="EJ237" s="446"/>
      <c r="EK237" s="446"/>
      <c r="EL237" s="447"/>
      <c r="EM237" s="366" t="str">
        <f>IFERROR(VLOOKUP($CJ237,Skills!$H$2:$N$620,7,FALSE),"")</f>
        <v/>
      </c>
      <c r="EN237" s="366"/>
      <c r="EO237" s="366"/>
      <c r="EP237" s="366"/>
      <c r="EQ237" s="366"/>
      <c r="ER237" s="366"/>
      <c r="ES237" s="366"/>
      <c r="ET237" s="366"/>
      <c r="EU237" s="366"/>
      <c r="EV237" s="366"/>
      <c r="EW237" s="366"/>
      <c r="EX237" s="366"/>
      <c r="EY237" s="366"/>
      <c r="EZ237" s="366"/>
      <c r="FA237" s="366"/>
      <c r="FB237" s="366"/>
      <c r="FC237" s="366"/>
      <c r="FD237" s="366"/>
      <c r="FE237" s="366"/>
      <c r="FF237" s="366"/>
      <c r="FG237" s="366"/>
      <c r="FH237" s="366"/>
      <c r="FI237" s="366"/>
      <c r="FJ237" s="366"/>
      <c r="FK237" s="366"/>
      <c r="FL237" s="366"/>
      <c r="FM237" s="366"/>
      <c r="FN237" s="366"/>
      <c r="FO237" s="366"/>
      <c r="FP237" s="366"/>
      <c r="FQ237" s="366"/>
      <c r="FR237" s="366"/>
      <c r="FS237" s="366"/>
      <c r="FT237" s="366"/>
      <c r="FU237" s="366"/>
      <c r="FV237" s="366"/>
      <c r="FW237" s="366"/>
      <c r="FX237" s="366"/>
      <c r="FY237" s="366"/>
      <c r="FZ237" s="366"/>
      <c r="GA237" s="366"/>
      <c r="GB237" s="366"/>
      <c r="GC237" s="366"/>
      <c r="GD237" s="366"/>
      <c r="GE237" s="445" t="str">
        <f>IFERROR(VLOOKUP($CJ237,Skills!$H$2:$K$620,4,FALSE),"")</f>
        <v/>
      </c>
      <c r="GF237" s="445"/>
      <c r="GG237" s="445"/>
      <c r="GH237" s="445"/>
      <c r="GI237" s="445"/>
      <c r="GJ237" s="448"/>
      <c r="GK237" s="448"/>
      <c r="GL237" s="448"/>
      <c r="GM237" s="448"/>
      <c r="GN237" s="449"/>
    </row>
    <row r="238" spans="87:196" x14ac:dyDescent="0.25">
      <c r="CI238">
        <v>224</v>
      </c>
      <c r="CJ238">
        <v>474</v>
      </c>
      <c r="CK238" s="450" t="str">
        <f>IFERROR(VLOOKUP($CI238,Skills!$H$2:$N$620,7,FALSE),"")</f>
        <v/>
      </c>
      <c r="CL238" s="451"/>
      <c r="CM238" s="451"/>
      <c r="CN238" s="451"/>
      <c r="CO238" s="451"/>
      <c r="CP238" s="451"/>
      <c r="CQ238" s="451"/>
      <c r="CR238" s="451"/>
      <c r="CS238" s="451"/>
      <c r="CT238" s="451"/>
      <c r="CU238" s="451"/>
      <c r="CV238" s="451"/>
      <c r="CW238" s="451"/>
      <c r="CX238" s="451"/>
      <c r="CY238" s="451"/>
      <c r="CZ238" s="451"/>
      <c r="DA238" s="451"/>
      <c r="DB238" s="451"/>
      <c r="DC238" s="451"/>
      <c r="DD238" s="451"/>
      <c r="DE238" s="451"/>
      <c r="DF238" s="451"/>
      <c r="DG238" s="451"/>
      <c r="DH238" s="451"/>
      <c r="DI238" s="451"/>
      <c r="DJ238" s="451"/>
      <c r="DK238" s="451"/>
      <c r="DL238" s="451"/>
      <c r="DM238" s="451"/>
      <c r="DN238" s="451"/>
      <c r="DO238" s="451"/>
      <c r="DP238" s="451"/>
      <c r="DQ238" s="451"/>
      <c r="DR238" s="451"/>
      <c r="DS238" s="451"/>
      <c r="DT238" s="451"/>
      <c r="DU238" s="451"/>
      <c r="DV238" s="451"/>
      <c r="DW238" s="451"/>
      <c r="DX238" s="451"/>
      <c r="DY238" s="451"/>
      <c r="DZ238" s="451"/>
      <c r="EA238" s="451"/>
      <c r="EB238" s="451"/>
      <c r="EC238" s="417" t="str">
        <f>IFERROR(VLOOKUP($CI238,Skills!$H$2:$K$620,4,FALSE),"")</f>
        <v/>
      </c>
      <c r="ED238" s="417"/>
      <c r="EE238" s="417"/>
      <c r="EF238" s="417"/>
      <c r="EG238" s="417"/>
      <c r="EH238" s="452"/>
      <c r="EI238" s="452"/>
      <c r="EJ238" s="452"/>
      <c r="EK238" s="452"/>
      <c r="EL238" s="453"/>
      <c r="EM238" s="451" t="str">
        <f>IFERROR(VLOOKUP($CJ238,Skills!$H$2:$N$620,7,FALSE),"")</f>
        <v/>
      </c>
      <c r="EN238" s="451"/>
      <c r="EO238" s="451"/>
      <c r="EP238" s="451"/>
      <c r="EQ238" s="451"/>
      <c r="ER238" s="451"/>
      <c r="ES238" s="451"/>
      <c r="ET238" s="451"/>
      <c r="EU238" s="451"/>
      <c r="EV238" s="451"/>
      <c r="EW238" s="451"/>
      <c r="EX238" s="451"/>
      <c r="EY238" s="451"/>
      <c r="EZ238" s="451"/>
      <c r="FA238" s="451"/>
      <c r="FB238" s="451"/>
      <c r="FC238" s="451"/>
      <c r="FD238" s="451"/>
      <c r="FE238" s="451"/>
      <c r="FF238" s="451"/>
      <c r="FG238" s="451"/>
      <c r="FH238" s="451"/>
      <c r="FI238" s="451"/>
      <c r="FJ238" s="451"/>
      <c r="FK238" s="451"/>
      <c r="FL238" s="451"/>
      <c r="FM238" s="451"/>
      <c r="FN238" s="451"/>
      <c r="FO238" s="451"/>
      <c r="FP238" s="451"/>
      <c r="FQ238" s="451"/>
      <c r="FR238" s="451"/>
      <c r="FS238" s="451"/>
      <c r="FT238" s="451"/>
      <c r="FU238" s="451"/>
      <c r="FV238" s="451"/>
      <c r="FW238" s="451"/>
      <c r="FX238" s="451"/>
      <c r="FY238" s="451"/>
      <c r="FZ238" s="451"/>
      <c r="GA238" s="451"/>
      <c r="GB238" s="451"/>
      <c r="GC238" s="451"/>
      <c r="GD238" s="451"/>
      <c r="GE238" s="417" t="str">
        <f>IFERROR(VLOOKUP($CJ238,Skills!$H$2:$K$620,4,FALSE),"")</f>
        <v/>
      </c>
      <c r="GF238" s="417"/>
      <c r="GG238" s="417"/>
      <c r="GH238" s="417"/>
      <c r="GI238" s="417"/>
      <c r="GJ238" s="454"/>
      <c r="GK238" s="454"/>
      <c r="GL238" s="454"/>
      <c r="GM238" s="454"/>
      <c r="GN238" s="455"/>
    </row>
    <row r="239" spans="87:196" x14ac:dyDescent="0.25">
      <c r="CI239">
        <v>225</v>
      </c>
      <c r="CJ239">
        <v>475</v>
      </c>
      <c r="CK239" s="365" t="str">
        <f>IFERROR(VLOOKUP($CI239,Skills!$H$2:$N$620,7,FALSE),"")</f>
        <v/>
      </c>
      <c r="CL239" s="366"/>
      <c r="CM239" s="366"/>
      <c r="CN239" s="366"/>
      <c r="CO239" s="366"/>
      <c r="CP239" s="366"/>
      <c r="CQ239" s="366"/>
      <c r="CR239" s="366"/>
      <c r="CS239" s="366"/>
      <c r="CT239" s="366"/>
      <c r="CU239" s="366"/>
      <c r="CV239" s="366"/>
      <c r="CW239" s="366"/>
      <c r="CX239" s="366"/>
      <c r="CY239" s="366"/>
      <c r="CZ239" s="366"/>
      <c r="DA239" s="366"/>
      <c r="DB239" s="366"/>
      <c r="DC239" s="366"/>
      <c r="DD239" s="366"/>
      <c r="DE239" s="366"/>
      <c r="DF239" s="366"/>
      <c r="DG239" s="366"/>
      <c r="DH239" s="366"/>
      <c r="DI239" s="366"/>
      <c r="DJ239" s="366"/>
      <c r="DK239" s="366"/>
      <c r="DL239" s="366"/>
      <c r="DM239" s="366"/>
      <c r="DN239" s="366"/>
      <c r="DO239" s="366"/>
      <c r="DP239" s="366"/>
      <c r="DQ239" s="366"/>
      <c r="DR239" s="366"/>
      <c r="DS239" s="366"/>
      <c r="DT239" s="366"/>
      <c r="DU239" s="366"/>
      <c r="DV239" s="366"/>
      <c r="DW239" s="366"/>
      <c r="DX239" s="366"/>
      <c r="DY239" s="366"/>
      <c r="DZ239" s="366"/>
      <c r="EA239" s="366"/>
      <c r="EB239" s="366"/>
      <c r="EC239" s="445" t="str">
        <f>IFERROR(VLOOKUP($CI239,Skills!$H$2:$K$620,4,FALSE),"")</f>
        <v/>
      </c>
      <c r="ED239" s="445"/>
      <c r="EE239" s="445"/>
      <c r="EF239" s="445"/>
      <c r="EG239" s="445"/>
      <c r="EH239" s="446"/>
      <c r="EI239" s="446"/>
      <c r="EJ239" s="446"/>
      <c r="EK239" s="446"/>
      <c r="EL239" s="447"/>
      <c r="EM239" s="366" t="str">
        <f>IFERROR(VLOOKUP($CJ239,Skills!$H$2:$N$620,7,FALSE),"")</f>
        <v/>
      </c>
      <c r="EN239" s="366"/>
      <c r="EO239" s="366"/>
      <c r="EP239" s="366"/>
      <c r="EQ239" s="366"/>
      <c r="ER239" s="366"/>
      <c r="ES239" s="366"/>
      <c r="ET239" s="366"/>
      <c r="EU239" s="366"/>
      <c r="EV239" s="366"/>
      <c r="EW239" s="366"/>
      <c r="EX239" s="366"/>
      <c r="EY239" s="366"/>
      <c r="EZ239" s="366"/>
      <c r="FA239" s="366"/>
      <c r="FB239" s="366"/>
      <c r="FC239" s="366"/>
      <c r="FD239" s="366"/>
      <c r="FE239" s="366"/>
      <c r="FF239" s="366"/>
      <c r="FG239" s="366"/>
      <c r="FH239" s="366"/>
      <c r="FI239" s="366"/>
      <c r="FJ239" s="366"/>
      <c r="FK239" s="366"/>
      <c r="FL239" s="366"/>
      <c r="FM239" s="366"/>
      <c r="FN239" s="366"/>
      <c r="FO239" s="366"/>
      <c r="FP239" s="366"/>
      <c r="FQ239" s="366"/>
      <c r="FR239" s="366"/>
      <c r="FS239" s="366"/>
      <c r="FT239" s="366"/>
      <c r="FU239" s="366"/>
      <c r="FV239" s="366"/>
      <c r="FW239" s="366"/>
      <c r="FX239" s="366"/>
      <c r="FY239" s="366"/>
      <c r="FZ239" s="366"/>
      <c r="GA239" s="366"/>
      <c r="GB239" s="366"/>
      <c r="GC239" s="366"/>
      <c r="GD239" s="366"/>
      <c r="GE239" s="445" t="str">
        <f>IFERROR(VLOOKUP($CJ239,Skills!$H$2:$K$620,4,FALSE),"")</f>
        <v/>
      </c>
      <c r="GF239" s="445"/>
      <c r="GG239" s="445"/>
      <c r="GH239" s="445"/>
      <c r="GI239" s="445"/>
      <c r="GJ239" s="448"/>
      <c r="GK239" s="448"/>
      <c r="GL239" s="448"/>
      <c r="GM239" s="448"/>
      <c r="GN239" s="449"/>
    </row>
    <row r="240" spans="87:196" x14ac:dyDescent="0.25">
      <c r="CI240">
        <v>226</v>
      </c>
      <c r="CJ240">
        <v>476</v>
      </c>
      <c r="CK240" s="450" t="str">
        <f>IFERROR(VLOOKUP($CI240,Skills!$H$2:$N$620,7,FALSE),"")</f>
        <v/>
      </c>
      <c r="CL240" s="451"/>
      <c r="CM240" s="451"/>
      <c r="CN240" s="451"/>
      <c r="CO240" s="451"/>
      <c r="CP240" s="451"/>
      <c r="CQ240" s="451"/>
      <c r="CR240" s="451"/>
      <c r="CS240" s="451"/>
      <c r="CT240" s="451"/>
      <c r="CU240" s="451"/>
      <c r="CV240" s="451"/>
      <c r="CW240" s="451"/>
      <c r="CX240" s="451"/>
      <c r="CY240" s="451"/>
      <c r="CZ240" s="451"/>
      <c r="DA240" s="451"/>
      <c r="DB240" s="451"/>
      <c r="DC240" s="451"/>
      <c r="DD240" s="451"/>
      <c r="DE240" s="451"/>
      <c r="DF240" s="451"/>
      <c r="DG240" s="451"/>
      <c r="DH240" s="451"/>
      <c r="DI240" s="451"/>
      <c r="DJ240" s="451"/>
      <c r="DK240" s="451"/>
      <c r="DL240" s="451"/>
      <c r="DM240" s="451"/>
      <c r="DN240" s="451"/>
      <c r="DO240" s="451"/>
      <c r="DP240" s="451"/>
      <c r="DQ240" s="451"/>
      <c r="DR240" s="451"/>
      <c r="DS240" s="451"/>
      <c r="DT240" s="451"/>
      <c r="DU240" s="451"/>
      <c r="DV240" s="451"/>
      <c r="DW240" s="451"/>
      <c r="DX240" s="451"/>
      <c r="DY240" s="451"/>
      <c r="DZ240" s="451"/>
      <c r="EA240" s="451"/>
      <c r="EB240" s="451"/>
      <c r="EC240" s="417" t="str">
        <f>IFERROR(VLOOKUP($CI240,Skills!$H$2:$K$620,4,FALSE),"")</f>
        <v/>
      </c>
      <c r="ED240" s="417"/>
      <c r="EE240" s="417"/>
      <c r="EF240" s="417"/>
      <c r="EG240" s="417"/>
      <c r="EH240" s="452"/>
      <c r="EI240" s="452"/>
      <c r="EJ240" s="452"/>
      <c r="EK240" s="452"/>
      <c r="EL240" s="453"/>
      <c r="EM240" s="451" t="str">
        <f>IFERROR(VLOOKUP($CJ240,Skills!$H$2:$N$620,7,FALSE),"")</f>
        <v/>
      </c>
      <c r="EN240" s="451"/>
      <c r="EO240" s="451"/>
      <c r="EP240" s="451"/>
      <c r="EQ240" s="451"/>
      <c r="ER240" s="451"/>
      <c r="ES240" s="451"/>
      <c r="ET240" s="451"/>
      <c r="EU240" s="451"/>
      <c r="EV240" s="451"/>
      <c r="EW240" s="451"/>
      <c r="EX240" s="451"/>
      <c r="EY240" s="451"/>
      <c r="EZ240" s="451"/>
      <c r="FA240" s="451"/>
      <c r="FB240" s="451"/>
      <c r="FC240" s="451"/>
      <c r="FD240" s="451"/>
      <c r="FE240" s="451"/>
      <c r="FF240" s="451"/>
      <c r="FG240" s="451"/>
      <c r="FH240" s="451"/>
      <c r="FI240" s="451"/>
      <c r="FJ240" s="451"/>
      <c r="FK240" s="451"/>
      <c r="FL240" s="451"/>
      <c r="FM240" s="451"/>
      <c r="FN240" s="451"/>
      <c r="FO240" s="451"/>
      <c r="FP240" s="451"/>
      <c r="FQ240" s="451"/>
      <c r="FR240" s="451"/>
      <c r="FS240" s="451"/>
      <c r="FT240" s="451"/>
      <c r="FU240" s="451"/>
      <c r="FV240" s="451"/>
      <c r="FW240" s="451"/>
      <c r="FX240" s="451"/>
      <c r="FY240" s="451"/>
      <c r="FZ240" s="451"/>
      <c r="GA240" s="451"/>
      <c r="GB240" s="451"/>
      <c r="GC240" s="451"/>
      <c r="GD240" s="451"/>
      <c r="GE240" s="417" t="str">
        <f>IFERROR(VLOOKUP($CJ240,Skills!$H$2:$K$620,4,FALSE),"")</f>
        <v/>
      </c>
      <c r="GF240" s="417"/>
      <c r="GG240" s="417"/>
      <c r="GH240" s="417"/>
      <c r="GI240" s="417"/>
      <c r="GJ240" s="454"/>
      <c r="GK240" s="454"/>
      <c r="GL240" s="454"/>
      <c r="GM240" s="454"/>
      <c r="GN240" s="455"/>
    </row>
    <row r="241" spans="87:196" x14ac:dyDescent="0.25">
      <c r="CI241">
        <v>227</v>
      </c>
      <c r="CJ241">
        <v>477</v>
      </c>
      <c r="CK241" s="365" t="str">
        <f>IFERROR(VLOOKUP($CI241,Skills!$H$2:$N$620,7,FALSE),"")</f>
        <v/>
      </c>
      <c r="CL241" s="366"/>
      <c r="CM241" s="366"/>
      <c r="CN241" s="366"/>
      <c r="CO241" s="366"/>
      <c r="CP241" s="366"/>
      <c r="CQ241" s="366"/>
      <c r="CR241" s="366"/>
      <c r="CS241" s="366"/>
      <c r="CT241" s="366"/>
      <c r="CU241" s="366"/>
      <c r="CV241" s="366"/>
      <c r="CW241" s="366"/>
      <c r="CX241" s="366"/>
      <c r="CY241" s="366"/>
      <c r="CZ241" s="366"/>
      <c r="DA241" s="366"/>
      <c r="DB241" s="366"/>
      <c r="DC241" s="366"/>
      <c r="DD241" s="366"/>
      <c r="DE241" s="366"/>
      <c r="DF241" s="366"/>
      <c r="DG241" s="366"/>
      <c r="DH241" s="366"/>
      <c r="DI241" s="366"/>
      <c r="DJ241" s="366"/>
      <c r="DK241" s="366"/>
      <c r="DL241" s="366"/>
      <c r="DM241" s="366"/>
      <c r="DN241" s="366"/>
      <c r="DO241" s="366"/>
      <c r="DP241" s="366"/>
      <c r="DQ241" s="366"/>
      <c r="DR241" s="366"/>
      <c r="DS241" s="366"/>
      <c r="DT241" s="366"/>
      <c r="DU241" s="366"/>
      <c r="DV241" s="366"/>
      <c r="DW241" s="366"/>
      <c r="DX241" s="366"/>
      <c r="DY241" s="366"/>
      <c r="DZ241" s="366"/>
      <c r="EA241" s="366"/>
      <c r="EB241" s="366"/>
      <c r="EC241" s="445" t="str">
        <f>IFERROR(VLOOKUP($CI241,Skills!$H$2:$K$620,4,FALSE),"")</f>
        <v/>
      </c>
      <c r="ED241" s="445"/>
      <c r="EE241" s="445"/>
      <c r="EF241" s="445"/>
      <c r="EG241" s="445"/>
      <c r="EH241" s="446"/>
      <c r="EI241" s="446"/>
      <c r="EJ241" s="446"/>
      <c r="EK241" s="446"/>
      <c r="EL241" s="447"/>
      <c r="EM241" s="366" t="str">
        <f>IFERROR(VLOOKUP($CJ241,Skills!$H$2:$N$620,7,FALSE),"")</f>
        <v/>
      </c>
      <c r="EN241" s="366"/>
      <c r="EO241" s="366"/>
      <c r="EP241" s="366"/>
      <c r="EQ241" s="366"/>
      <c r="ER241" s="366"/>
      <c r="ES241" s="366"/>
      <c r="ET241" s="366"/>
      <c r="EU241" s="366"/>
      <c r="EV241" s="366"/>
      <c r="EW241" s="366"/>
      <c r="EX241" s="366"/>
      <c r="EY241" s="366"/>
      <c r="EZ241" s="366"/>
      <c r="FA241" s="366"/>
      <c r="FB241" s="366"/>
      <c r="FC241" s="366"/>
      <c r="FD241" s="366"/>
      <c r="FE241" s="366"/>
      <c r="FF241" s="366"/>
      <c r="FG241" s="366"/>
      <c r="FH241" s="366"/>
      <c r="FI241" s="366"/>
      <c r="FJ241" s="366"/>
      <c r="FK241" s="366"/>
      <c r="FL241" s="366"/>
      <c r="FM241" s="366"/>
      <c r="FN241" s="366"/>
      <c r="FO241" s="366"/>
      <c r="FP241" s="366"/>
      <c r="FQ241" s="366"/>
      <c r="FR241" s="366"/>
      <c r="FS241" s="366"/>
      <c r="FT241" s="366"/>
      <c r="FU241" s="366"/>
      <c r="FV241" s="366"/>
      <c r="FW241" s="366"/>
      <c r="FX241" s="366"/>
      <c r="FY241" s="366"/>
      <c r="FZ241" s="366"/>
      <c r="GA241" s="366"/>
      <c r="GB241" s="366"/>
      <c r="GC241" s="366"/>
      <c r="GD241" s="366"/>
      <c r="GE241" s="445" t="str">
        <f>IFERROR(VLOOKUP($CJ241,Skills!$H$2:$K$620,4,FALSE),"")</f>
        <v/>
      </c>
      <c r="GF241" s="445"/>
      <c r="GG241" s="445"/>
      <c r="GH241" s="445"/>
      <c r="GI241" s="445"/>
      <c r="GJ241" s="448"/>
      <c r="GK241" s="448"/>
      <c r="GL241" s="448"/>
      <c r="GM241" s="448"/>
      <c r="GN241" s="449"/>
    </row>
    <row r="242" spans="87:196" x14ac:dyDescent="0.25">
      <c r="CI242">
        <v>228</v>
      </c>
      <c r="CJ242">
        <v>478</v>
      </c>
      <c r="CK242" s="450" t="str">
        <f>IFERROR(VLOOKUP($CI242,Skills!$H$2:$N$620,7,FALSE),"")</f>
        <v/>
      </c>
      <c r="CL242" s="451"/>
      <c r="CM242" s="451"/>
      <c r="CN242" s="451"/>
      <c r="CO242" s="451"/>
      <c r="CP242" s="451"/>
      <c r="CQ242" s="451"/>
      <c r="CR242" s="451"/>
      <c r="CS242" s="451"/>
      <c r="CT242" s="451"/>
      <c r="CU242" s="451"/>
      <c r="CV242" s="451"/>
      <c r="CW242" s="451"/>
      <c r="CX242" s="451"/>
      <c r="CY242" s="451"/>
      <c r="CZ242" s="451"/>
      <c r="DA242" s="451"/>
      <c r="DB242" s="451"/>
      <c r="DC242" s="451"/>
      <c r="DD242" s="451"/>
      <c r="DE242" s="451"/>
      <c r="DF242" s="451"/>
      <c r="DG242" s="451"/>
      <c r="DH242" s="451"/>
      <c r="DI242" s="451"/>
      <c r="DJ242" s="451"/>
      <c r="DK242" s="451"/>
      <c r="DL242" s="451"/>
      <c r="DM242" s="451"/>
      <c r="DN242" s="451"/>
      <c r="DO242" s="451"/>
      <c r="DP242" s="451"/>
      <c r="DQ242" s="451"/>
      <c r="DR242" s="451"/>
      <c r="DS242" s="451"/>
      <c r="DT242" s="451"/>
      <c r="DU242" s="451"/>
      <c r="DV242" s="451"/>
      <c r="DW242" s="451"/>
      <c r="DX242" s="451"/>
      <c r="DY242" s="451"/>
      <c r="DZ242" s="451"/>
      <c r="EA242" s="451"/>
      <c r="EB242" s="451"/>
      <c r="EC242" s="417" t="str">
        <f>IFERROR(VLOOKUP($CI242,Skills!$H$2:$K$620,4,FALSE),"")</f>
        <v/>
      </c>
      <c r="ED242" s="417"/>
      <c r="EE242" s="417"/>
      <c r="EF242" s="417"/>
      <c r="EG242" s="417"/>
      <c r="EH242" s="452"/>
      <c r="EI242" s="452"/>
      <c r="EJ242" s="452"/>
      <c r="EK242" s="452"/>
      <c r="EL242" s="453"/>
      <c r="EM242" s="451" t="str">
        <f>IFERROR(VLOOKUP($CJ242,Skills!$H$2:$N$620,7,FALSE),"")</f>
        <v/>
      </c>
      <c r="EN242" s="451"/>
      <c r="EO242" s="451"/>
      <c r="EP242" s="451"/>
      <c r="EQ242" s="451"/>
      <c r="ER242" s="451"/>
      <c r="ES242" s="451"/>
      <c r="ET242" s="451"/>
      <c r="EU242" s="451"/>
      <c r="EV242" s="451"/>
      <c r="EW242" s="451"/>
      <c r="EX242" s="451"/>
      <c r="EY242" s="451"/>
      <c r="EZ242" s="451"/>
      <c r="FA242" s="451"/>
      <c r="FB242" s="451"/>
      <c r="FC242" s="451"/>
      <c r="FD242" s="451"/>
      <c r="FE242" s="451"/>
      <c r="FF242" s="451"/>
      <c r="FG242" s="451"/>
      <c r="FH242" s="451"/>
      <c r="FI242" s="451"/>
      <c r="FJ242" s="451"/>
      <c r="FK242" s="451"/>
      <c r="FL242" s="451"/>
      <c r="FM242" s="451"/>
      <c r="FN242" s="451"/>
      <c r="FO242" s="451"/>
      <c r="FP242" s="451"/>
      <c r="FQ242" s="451"/>
      <c r="FR242" s="451"/>
      <c r="FS242" s="451"/>
      <c r="FT242" s="451"/>
      <c r="FU242" s="451"/>
      <c r="FV242" s="451"/>
      <c r="FW242" s="451"/>
      <c r="FX242" s="451"/>
      <c r="FY242" s="451"/>
      <c r="FZ242" s="451"/>
      <c r="GA242" s="451"/>
      <c r="GB242" s="451"/>
      <c r="GC242" s="451"/>
      <c r="GD242" s="451"/>
      <c r="GE242" s="417" t="str">
        <f>IFERROR(VLOOKUP($CJ242,Skills!$H$2:$K$620,4,FALSE),"")</f>
        <v/>
      </c>
      <c r="GF242" s="417"/>
      <c r="GG242" s="417"/>
      <c r="GH242" s="417"/>
      <c r="GI242" s="417"/>
      <c r="GJ242" s="454"/>
      <c r="GK242" s="454"/>
      <c r="GL242" s="454"/>
      <c r="GM242" s="454"/>
      <c r="GN242" s="455"/>
    </row>
    <row r="243" spans="87:196" x14ac:dyDescent="0.25">
      <c r="CI243">
        <v>229</v>
      </c>
      <c r="CJ243">
        <v>479</v>
      </c>
      <c r="CK243" s="365" t="str">
        <f>IFERROR(VLOOKUP($CI243,Skills!$H$2:$N$620,7,FALSE),"")</f>
        <v/>
      </c>
      <c r="CL243" s="366"/>
      <c r="CM243" s="366"/>
      <c r="CN243" s="366"/>
      <c r="CO243" s="366"/>
      <c r="CP243" s="366"/>
      <c r="CQ243" s="366"/>
      <c r="CR243" s="366"/>
      <c r="CS243" s="366"/>
      <c r="CT243" s="366"/>
      <c r="CU243" s="366"/>
      <c r="CV243" s="366"/>
      <c r="CW243" s="366"/>
      <c r="CX243" s="366"/>
      <c r="CY243" s="366"/>
      <c r="CZ243" s="366"/>
      <c r="DA243" s="366"/>
      <c r="DB243" s="366"/>
      <c r="DC243" s="366"/>
      <c r="DD243" s="366"/>
      <c r="DE243" s="366"/>
      <c r="DF243" s="366"/>
      <c r="DG243" s="366"/>
      <c r="DH243" s="366"/>
      <c r="DI243" s="366"/>
      <c r="DJ243" s="366"/>
      <c r="DK243" s="366"/>
      <c r="DL243" s="366"/>
      <c r="DM243" s="366"/>
      <c r="DN243" s="366"/>
      <c r="DO243" s="366"/>
      <c r="DP243" s="366"/>
      <c r="DQ243" s="366"/>
      <c r="DR243" s="366"/>
      <c r="DS243" s="366"/>
      <c r="DT243" s="366"/>
      <c r="DU243" s="366"/>
      <c r="DV243" s="366"/>
      <c r="DW243" s="366"/>
      <c r="DX243" s="366"/>
      <c r="DY243" s="366"/>
      <c r="DZ243" s="366"/>
      <c r="EA243" s="366"/>
      <c r="EB243" s="366"/>
      <c r="EC243" s="445" t="str">
        <f>IFERROR(VLOOKUP($CI243,Skills!$H$2:$K$620,4,FALSE),"")</f>
        <v/>
      </c>
      <c r="ED243" s="445"/>
      <c r="EE243" s="445"/>
      <c r="EF243" s="445"/>
      <c r="EG243" s="445"/>
      <c r="EH243" s="446"/>
      <c r="EI243" s="446"/>
      <c r="EJ243" s="446"/>
      <c r="EK243" s="446"/>
      <c r="EL243" s="447"/>
      <c r="EM243" s="366" t="str">
        <f>IFERROR(VLOOKUP($CJ243,Skills!$H$2:$N$620,7,FALSE),"")</f>
        <v/>
      </c>
      <c r="EN243" s="366"/>
      <c r="EO243" s="366"/>
      <c r="EP243" s="366"/>
      <c r="EQ243" s="366"/>
      <c r="ER243" s="366"/>
      <c r="ES243" s="366"/>
      <c r="ET243" s="366"/>
      <c r="EU243" s="366"/>
      <c r="EV243" s="366"/>
      <c r="EW243" s="366"/>
      <c r="EX243" s="366"/>
      <c r="EY243" s="366"/>
      <c r="EZ243" s="366"/>
      <c r="FA243" s="366"/>
      <c r="FB243" s="366"/>
      <c r="FC243" s="366"/>
      <c r="FD243" s="366"/>
      <c r="FE243" s="366"/>
      <c r="FF243" s="366"/>
      <c r="FG243" s="366"/>
      <c r="FH243" s="366"/>
      <c r="FI243" s="366"/>
      <c r="FJ243" s="366"/>
      <c r="FK243" s="366"/>
      <c r="FL243" s="366"/>
      <c r="FM243" s="366"/>
      <c r="FN243" s="366"/>
      <c r="FO243" s="366"/>
      <c r="FP243" s="366"/>
      <c r="FQ243" s="366"/>
      <c r="FR243" s="366"/>
      <c r="FS243" s="366"/>
      <c r="FT243" s="366"/>
      <c r="FU243" s="366"/>
      <c r="FV243" s="366"/>
      <c r="FW243" s="366"/>
      <c r="FX243" s="366"/>
      <c r="FY243" s="366"/>
      <c r="FZ243" s="366"/>
      <c r="GA243" s="366"/>
      <c r="GB243" s="366"/>
      <c r="GC243" s="366"/>
      <c r="GD243" s="366"/>
      <c r="GE243" s="445" t="str">
        <f>IFERROR(VLOOKUP($CJ243,Skills!$H$2:$K$620,4,FALSE),"")</f>
        <v/>
      </c>
      <c r="GF243" s="445"/>
      <c r="GG243" s="445"/>
      <c r="GH243" s="445"/>
      <c r="GI243" s="445"/>
      <c r="GJ243" s="448"/>
      <c r="GK243" s="448"/>
      <c r="GL243" s="448"/>
      <c r="GM243" s="448"/>
      <c r="GN243" s="449"/>
    </row>
    <row r="244" spans="87:196" x14ac:dyDescent="0.25">
      <c r="CI244">
        <v>230</v>
      </c>
      <c r="CJ244">
        <v>480</v>
      </c>
      <c r="CK244" s="450" t="str">
        <f>IFERROR(VLOOKUP($CI244,Skills!$H$2:$N$620,7,FALSE),"")</f>
        <v/>
      </c>
      <c r="CL244" s="451"/>
      <c r="CM244" s="451"/>
      <c r="CN244" s="451"/>
      <c r="CO244" s="451"/>
      <c r="CP244" s="451"/>
      <c r="CQ244" s="451"/>
      <c r="CR244" s="451"/>
      <c r="CS244" s="451"/>
      <c r="CT244" s="451"/>
      <c r="CU244" s="451"/>
      <c r="CV244" s="451"/>
      <c r="CW244" s="451"/>
      <c r="CX244" s="451"/>
      <c r="CY244" s="451"/>
      <c r="CZ244" s="451"/>
      <c r="DA244" s="451"/>
      <c r="DB244" s="451"/>
      <c r="DC244" s="451"/>
      <c r="DD244" s="451"/>
      <c r="DE244" s="451"/>
      <c r="DF244" s="451"/>
      <c r="DG244" s="451"/>
      <c r="DH244" s="451"/>
      <c r="DI244" s="451"/>
      <c r="DJ244" s="451"/>
      <c r="DK244" s="451"/>
      <c r="DL244" s="451"/>
      <c r="DM244" s="451"/>
      <c r="DN244" s="451"/>
      <c r="DO244" s="451"/>
      <c r="DP244" s="451"/>
      <c r="DQ244" s="451"/>
      <c r="DR244" s="451"/>
      <c r="DS244" s="451"/>
      <c r="DT244" s="451"/>
      <c r="DU244" s="451"/>
      <c r="DV244" s="451"/>
      <c r="DW244" s="451"/>
      <c r="DX244" s="451"/>
      <c r="DY244" s="451"/>
      <c r="DZ244" s="451"/>
      <c r="EA244" s="451"/>
      <c r="EB244" s="451"/>
      <c r="EC244" s="417" t="str">
        <f>IFERROR(VLOOKUP($CI244,Skills!$H$2:$K$620,4,FALSE),"")</f>
        <v/>
      </c>
      <c r="ED244" s="417"/>
      <c r="EE244" s="417"/>
      <c r="EF244" s="417"/>
      <c r="EG244" s="417"/>
      <c r="EH244" s="452"/>
      <c r="EI244" s="452"/>
      <c r="EJ244" s="452"/>
      <c r="EK244" s="452"/>
      <c r="EL244" s="453"/>
      <c r="EM244" s="451" t="str">
        <f>IFERROR(VLOOKUP($CJ244,Skills!$H$2:$N$620,7,FALSE),"")</f>
        <v/>
      </c>
      <c r="EN244" s="451"/>
      <c r="EO244" s="451"/>
      <c r="EP244" s="451"/>
      <c r="EQ244" s="451"/>
      <c r="ER244" s="451"/>
      <c r="ES244" s="451"/>
      <c r="ET244" s="451"/>
      <c r="EU244" s="451"/>
      <c r="EV244" s="451"/>
      <c r="EW244" s="451"/>
      <c r="EX244" s="451"/>
      <c r="EY244" s="451"/>
      <c r="EZ244" s="451"/>
      <c r="FA244" s="451"/>
      <c r="FB244" s="451"/>
      <c r="FC244" s="451"/>
      <c r="FD244" s="451"/>
      <c r="FE244" s="451"/>
      <c r="FF244" s="451"/>
      <c r="FG244" s="451"/>
      <c r="FH244" s="451"/>
      <c r="FI244" s="451"/>
      <c r="FJ244" s="451"/>
      <c r="FK244" s="451"/>
      <c r="FL244" s="451"/>
      <c r="FM244" s="451"/>
      <c r="FN244" s="451"/>
      <c r="FO244" s="451"/>
      <c r="FP244" s="451"/>
      <c r="FQ244" s="451"/>
      <c r="FR244" s="451"/>
      <c r="FS244" s="451"/>
      <c r="FT244" s="451"/>
      <c r="FU244" s="451"/>
      <c r="FV244" s="451"/>
      <c r="FW244" s="451"/>
      <c r="FX244" s="451"/>
      <c r="FY244" s="451"/>
      <c r="FZ244" s="451"/>
      <c r="GA244" s="451"/>
      <c r="GB244" s="451"/>
      <c r="GC244" s="451"/>
      <c r="GD244" s="451"/>
      <c r="GE244" s="417" t="str">
        <f>IFERROR(VLOOKUP($CJ244,Skills!$H$2:$K$620,4,FALSE),"")</f>
        <v/>
      </c>
      <c r="GF244" s="417"/>
      <c r="GG244" s="417"/>
      <c r="GH244" s="417"/>
      <c r="GI244" s="417"/>
      <c r="GJ244" s="454"/>
      <c r="GK244" s="454"/>
      <c r="GL244" s="454"/>
      <c r="GM244" s="454"/>
      <c r="GN244" s="455"/>
    </row>
    <row r="245" spans="87:196" x14ac:dyDescent="0.25">
      <c r="CI245">
        <v>231</v>
      </c>
      <c r="CJ245">
        <v>481</v>
      </c>
      <c r="CK245" s="365" t="str">
        <f>IFERROR(VLOOKUP($CI245,Skills!$H$2:$N$620,7,FALSE),"")</f>
        <v/>
      </c>
      <c r="CL245" s="366"/>
      <c r="CM245" s="366"/>
      <c r="CN245" s="366"/>
      <c r="CO245" s="366"/>
      <c r="CP245" s="366"/>
      <c r="CQ245" s="366"/>
      <c r="CR245" s="366"/>
      <c r="CS245" s="366"/>
      <c r="CT245" s="366"/>
      <c r="CU245" s="366"/>
      <c r="CV245" s="366"/>
      <c r="CW245" s="366"/>
      <c r="CX245" s="366"/>
      <c r="CY245" s="366"/>
      <c r="CZ245" s="366"/>
      <c r="DA245" s="366"/>
      <c r="DB245" s="366"/>
      <c r="DC245" s="366"/>
      <c r="DD245" s="366"/>
      <c r="DE245" s="366"/>
      <c r="DF245" s="366"/>
      <c r="DG245" s="366"/>
      <c r="DH245" s="366"/>
      <c r="DI245" s="366"/>
      <c r="DJ245" s="366"/>
      <c r="DK245" s="366"/>
      <c r="DL245" s="366"/>
      <c r="DM245" s="366"/>
      <c r="DN245" s="366"/>
      <c r="DO245" s="366"/>
      <c r="DP245" s="366"/>
      <c r="DQ245" s="366"/>
      <c r="DR245" s="366"/>
      <c r="DS245" s="366"/>
      <c r="DT245" s="366"/>
      <c r="DU245" s="366"/>
      <c r="DV245" s="366"/>
      <c r="DW245" s="366"/>
      <c r="DX245" s="366"/>
      <c r="DY245" s="366"/>
      <c r="DZ245" s="366"/>
      <c r="EA245" s="366"/>
      <c r="EB245" s="366"/>
      <c r="EC245" s="445" t="str">
        <f>IFERROR(VLOOKUP($CI245,Skills!$H$2:$K$620,4,FALSE),"")</f>
        <v/>
      </c>
      <c r="ED245" s="445"/>
      <c r="EE245" s="445"/>
      <c r="EF245" s="445"/>
      <c r="EG245" s="445"/>
      <c r="EH245" s="446"/>
      <c r="EI245" s="446"/>
      <c r="EJ245" s="446"/>
      <c r="EK245" s="446"/>
      <c r="EL245" s="447"/>
      <c r="EM245" s="366" t="str">
        <f>IFERROR(VLOOKUP($CJ245,Skills!$H$2:$N$620,7,FALSE),"")</f>
        <v/>
      </c>
      <c r="EN245" s="366"/>
      <c r="EO245" s="366"/>
      <c r="EP245" s="366"/>
      <c r="EQ245" s="366"/>
      <c r="ER245" s="366"/>
      <c r="ES245" s="366"/>
      <c r="ET245" s="366"/>
      <c r="EU245" s="366"/>
      <c r="EV245" s="366"/>
      <c r="EW245" s="366"/>
      <c r="EX245" s="366"/>
      <c r="EY245" s="366"/>
      <c r="EZ245" s="366"/>
      <c r="FA245" s="366"/>
      <c r="FB245" s="366"/>
      <c r="FC245" s="366"/>
      <c r="FD245" s="366"/>
      <c r="FE245" s="366"/>
      <c r="FF245" s="366"/>
      <c r="FG245" s="366"/>
      <c r="FH245" s="366"/>
      <c r="FI245" s="366"/>
      <c r="FJ245" s="366"/>
      <c r="FK245" s="366"/>
      <c r="FL245" s="366"/>
      <c r="FM245" s="366"/>
      <c r="FN245" s="366"/>
      <c r="FO245" s="366"/>
      <c r="FP245" s="366"/>
      <c r="FQ245" s="366"/>
      <c r="FR245" s="366"/>
      <c r="FS245" s="366"/>
      <c r="FT245" s="366"/>
      <c r="FU245" s="366"/>
      <c r="FV245" s="366"/>
      <c r="FW245" s="366"/>
      <c r="FX245" s="366"/>
      <c r="FY245" s="366"/>
      <c r="FZ245" s="366"/>
      <c r="GA245" s="366"/>
      <c r="GB245" s="366"/>
      <c r="GC245" s="366"/>
      <c r="GD245" s="366"/>
      <c r="GE245" s="445" t="str">
        <f>IFERROR(VLOOKUP($CJ245,Skills!$H$2:$K$620,4,FALSE),"")</f>
        <v/>
      </c>
      <c r="GF245" s="445"/>
      <c r="GG245" s="445"/>
      <c r="GH245" s="445"/>
      <c r="GI245" s="445"/>
      <c r="GJ245" s="448"/>
      <c r="GK245" s="448"/>
      <c r="GL245" s="448"/>
      <c r="GM245" s="448"/>
      <c r="GN245" s="449"/>
    </row>
    <row r="246" spans="87:196" x14ac:dyDescent="0.25">
      <c r="CI246">
        <v>232</v>
      </c>
      <c r="CJ246">
        <v>482</v>
      </c>
      <c r="CK246" s="450" t="str">
        <f>IFERROR(VLOOKUP($CI246,Skills!$H$2:$N$620,7,FALSE),"")</f>
        <v/>
      </c>
      <c r="CL246" s="451"/>
      <c r="CM246" s="451"/>
      <c r="CN246" s="451"/>
      <c r="CO246" s="451"/>
      <c r="CP246" s="451"/>
      <c r="CQ246" s="451"/>
      <c r="CR246" s="451"/>
      <c r="CS246" s="451"/>
      <c r="CT246" s="451"/>
      <c r="CU246" s="451"/>
      <c r="CV246" s="451"/>
      <c r="CW246" s="451"/>
      <c r="CX246" s="451"/>
      <c r="CY246" s="451"/>
      <c r="CZ246" s="451"/>
      <c r="DA246" s="451"/>
      <c r="DB246" s="451"/>
      <c r="DC246" s="451"/>
      <c r="DD246" s="451"/>
      <c r="DE246" s="451"/>
      <c r="DF246" s="451"/>
      <c r="DG246" s="451"/>
      <c r="DH246" s="451"/>
      <c r="DI246" s="451"/>
      <c r="DJ246" s="451"/>
      <c r="DK246" s="451"/>
      <c r="DL246" s="451"/>
      <c r="DM246" s="451"/>
      <c r="DN246" s="451"/>
      <c r="DO246" s="451"/>
      <c r="DP246" s="451"/>
      <c r="DQ246" s="451"/>
      <c r="DR246" s="451"/>
      <c r="DS246" s="451"/>
      <c r="DT246" s="451"/>
      <c r="DU246" s="451"/>
      <c r="DV246" s="451"/>
      <c r="DW246" s="451"/>
      <c r="DX246" s="451"/>
      <c r="DY246" s="451"/>
      <c r="DZ246" s="451"/>
      <c r="EA246" s="451"/>
      <c r="EB246" s="451"/>
      <c r="EC246" s="417" t="str">
        <f>IFERROR(VLOOKUP($CI246,Skills!$H$2:$K$620,4,FALSE),"")</f>
        <v/>
      </c>
      <c r="ED246" s="417"/>
      <c r="EE246" s="417"/>
      <c r="EF246" s="417"/>
      <c r="EG246" s="417"/>
      <c r="EH246" s="452"/>
      <c r="EI246" s="452"/>
      <c r="EJ246" s="452"/>
      <c r="EK246" s="452"/>
      <c r="EL246" s="453"/>
      <c r="EM246" s="451" t="str">
        <f>IFERROR(VLOOKUP($CJ246,Skills!$H$2:$N$620,7,FALSE),"")</f>
        <v/>
      </c>
      <c r="EN246" s="451"/>
      <c r="EO246" s="451"/>
      <c r="EP246" s="451"/>
      <c r="EQ246" s="451"/>
      <c r="ER246" s="451"/>
      <c r="ES246" s="451"/>
      <c r="ET246" s="451"/>
      <c r="EU246" s="451"/>
      <c r="EV246" s="451"/>
      <c r="EW246" s="451"/>
      <c r="EX246" s="451"/>
      <c r="EY246" s="451"/>
      <c r="EZ246" s="451"/>
      <c r="FA246" s="451"/>
      <c r="FB246" s="451"/>
      <c r="FC246" s="451"/>
      <c r="FD246" s="451"/>
      <c r="FE246" s="451"/>
      <c r="FF246" s="451"/>
      <c r="FG246" s="451"/>
      <c r="FH246" s="451"/>
      <c r="FI246" s="451"/>
      <c r="FJ246" s="451"/>
      <c r="FK246" s="451"/>
      <c r="FL246" s="451"/>
      <c r="FM246" s="451"/>
      <c r="FN246" s="451"/>
      <c r="FO246" s="451"/>
      <c r="FP246" s="451"/>
      <c r="FQ246" s="451"/>
      <c r="FR246" s="451"/>
      <c r="FS246" s="451"/>
      <c r="FT246" s="451"/>
      <c r="FU246" s="451"/>
      <c r="FV246" s="451"/>
      <c r="FW246" s="451"/>
      <c r="FX246" s="451"/>
      <c r="FY246" s="451"/>
      <c r="FZ246" s="451"/>
      <c r="GA246" s="451"/>
      <c r="GB246" s="451"/>
      <c r="GC246" s="451"/>
      <c r="GD246" s="451"/>
      <c r="GE246" s="417" t="str">
        <f>IFERROR(VLOOKUP($CJ246,Skills!$H$2:$K$620,4,FALSE),"")</f>
        <v/>
      </c>
      <c r="GF246" s="417"/>
      <c r="GG246" s="417"/>
      <c r="GH246" s="417"/>
      <c r="GI246" s="417"/>
      <c r="GJ246" s="454"/>
      <c r="GK246" s="454"/>
      <c r="GL246" s="454"/>
      <c r="GM246" s="454"/>
      <c r="GN246" s="455"/>
    </row>
    <row r="247" spans="87:196" x14ac:dyDescent="0.25">
      <c r="CI247">
        <v>233</v>
      </c>
      <c r="CJ247">
        <v>483</v>
      </c>
      <c r="CK247" s="365" t="str">
        <f>IFERROR(VLOOKUP($CI247,Skills!$H$2:$N$620,7,FALSE),"")</f>
        <v/>
      </c>
      <c r="CL247" s="366"/>
      <c r="CM247" s="366"/>
      <c r="CN247" s="366"/>
      <c r="CO247" s="366"/>
      <c r="CP247" s="366"/>
      <c r="CQ247" s="366"/>
      <c r="CR247" s="366"/>
      <c r="CS247" s="366"/>
      <c r="CT247" s="366"/>
      <c r="CU247" s="366"/>
      <c r="CV247" s="366"/>
      <c r="CW247" s="366"/>
      <c r="CX247" s="366"/>
      <c r="CY247" s="366"/>
      <c r="CZ247" s="366"/>
      <c r="DA247" s="366"/>
      <c r="DB247" s="366"/>
      <c r="DC247" s="366"/>
      <c r="DD247" s="366"/>
      <c r="DE247" s="366"/>
      <c r="DF247" s="366"/>
      <c r="DG247" s="366"/>
      <c r="DH247" s="366"/>
      <c r="DI247" s="366"/>
      <c r="DJ247" s="366"/>
      <c r="DK247" s="366"/>
      <c r="DL247" s="366"/>
      <c r="DM247" s="366"/>
      <c r="DN247" s="366"/>
      <c r="DO247" s="366"/>
      <c r="DP247" s="366"/>
      <c r="DQ247" s="366"/>
      <c r="DR247" s="366"/>
      <c r="DS247" s="366"/>
      <c r="DT247" s="366"/>
      <c r="DU247" s="366"/>
      <c r="DV247" s="366"/>
      <c r="DW247" s="366"/>
      <c r="DX247" s="366"/>
      <c r="DY247" s="366"/>
      <c r="DZ247" s="366"/>
      <c r="EA247" s="366"/>
      <c r="EB247" s="366"/>
      <c r="EC247" s="445" t="str">
        <f>IFERROR(VLOOKUP($CI247,Skills!$H$2:$K$620,4,FALSE),"")</f>
        <v/>
      </c>
      <c r="ED247" s="445"/>
      <c r="EE247" s="445"/>
      <c r="EF247" s="445"/>
      <c r="EG247" s="445"/>
      <c r="EH247" s="446"/>
      <c r="EI247" s="446"/>
      <c r="EJ247" s="446"/>
      <c r="EK247" s="446"/>
      <c r="EL247" s="447"/>
      <c r="EM247" s="366" t="str">
        <f>IFERROR(VLOOKUP($CJ247,Skills!$H$2:$N$620,7,FALSE),"")</f>
        <v/>
      </c>
      <c r="EN247" s="366"/>
      <c r="EO247" s="366"/>
      <c r="EP247" s="366"/>
      <c r="EQ247" s="366"/>
      <c r="ER247" s="366"/>
      <c r="ES247" s="366"/>
      <c r="ET247" s="366"/>
      <c r="EU247" s="366"/>
      <c r="EV247" s="366"/>
      <c r="EW247" s="366"/>
      <c r="EX247" s="366"/>
      <c r="EY247" s="366"/>
      <c r="EZ247" s="366"/>
      <c r="FA247" s="366"/>
      <c r="FB247" s="366"/>
      <c r="FC247" s="366"/>
      <c r="FD247" s="366"/>
      <c r="FE247" s="366"/>
      <c r="FF247" s="366"/>
      <c r="FG247" s="366"/>
      <c r="FH247" s="366"/>
      <c r="FI247" s="366"/>
      <c r="FJ247" s="366"/>
      <c r="FK247" s="366"/>
      <c r="FL247" s="366"/>
      <c r="FM247" s="366"/>
      <c r="FN247" s="366"/>
      <c r="FO247" s="366"/>
      <c r="FP247" s="366"/>
      <c r="FQ247" s="366"/>
      <c r="FR247" s="366"/>
      <c r="FS247" s="366"/>
      <c r="FT247" s="366"/>
      <c r="FU247" s="366"/>
      <c r="FV247" s="366"/>
      <c r="FW247" s="366"/>
      <c r="FX247" s="366"/>
      <c r="FY247" s="366"/>
      <c r="FZ247" s="366"/>
      <c r="GA247" s="366"/>
      <c r="GB247" s="366"/>
      <c r="GC247" s="366"/>
      <c r="GD247" s="366"/>
      <c r="GE247" s="445" t="str">
        <f>IFERROR(VLOOKUP($CJ247,Skills!$H$2:$K$620,4,FALSE),"")</f>
        <v/>
      </c>
      <c r="GF247" s="445"/>
      <c r="GG247" s="445"/>
      <c r="GH247" s="445"/>
      <c r="GI247" s="445"/>
      <c r="GJ247" s="448"/>
      <c r="GK247" s="448"/>
      <c r="GL247" s="448"/>
      <c r="GM247" s="448"/>
      <c r="GN247" s="449"/>
    </row>
    <row r="248" spans="87:196" x14ac:dyDescent="0.25">
      <c r="CI248">
        <v>234</v>
      </c>
      <c r="CJ248">
        <v>484</v>
      </c>
      <c r="CK248" s="450" t="str">
        <f>IFERROR(VLOOKUP($CI248,Skills!$H$2:$N$620,7,FALSE),"")</f>
        <v/>
      </c>
      <c r="CL248" s="451"/>
      <c r="CM248" s="451"/>
      <c r="CN248" s="451"/>
      <c r="CO248" s="451"/>
      <c r="CP248" s="451"/>
      <c r="CQ248" s="451"/>
      <c r="CR248" s="451"/>
      <c r="CS248" s="451"/>
      <c r="CT248" s="451"/>
      <c r="CU248" s="451"/>
      <c r="CV248" s="451"/>
      <c r="CW248" s="451"/>
      <c r="CX248" s="451"/>
      <c r="CY248" s="451"/>
      <c r="CZ248" s="451"/>
      <c r="DA248" s="451"/>
      <c r="DB248" s="451"/>
      <c r="DC248" s="451"/>
      <c r="DD248" s="451"/>
      <c r="DE248" s="451"/>
      <c r="DF248" s="451"/>
      <c r="DG248" s="451"/>
      <c r="DH248" s="451"/>
      <c r="DI248" s="451"/>
      <c r="DJ248" s="451"/>
      <c r="DK248" s="451"/>
      <c r="DL248" s="451"/>
      <c r="DM248" s="451"/>
      <c r="DN248" s="451"/>
      <c r="DO248" s="451"/>
      <c r="DP248" s="451"/>
      <c r="DQ248" s="451"/>
      <c r="DR248" s="451"/>
      <c r="DS248" s="451"/>
      <c r="DT248" s="451"/>
      <c r="DU248" s="451"/>
      <c r="DV248" s="451"/>
      <c r="DW248" s="451"/>
      <c r="DX248" s="451"/>
      <c r="DY248" s="451"/>
      <c r="DZ248" s="451"/>
      <c r="EA248" s="451"/>
      <c r="EB248" s="451"/>
      <c r="EC248" s="417" t="str">
        <f>IFERROR(VLOOKUP($CI248,Skills!$H$2:$K$620,4,FALSE),"")</f>
        <v/>
      </c>
      <c r="ED248" s="417"/>
      <c r="EE248" s="417"/>
      <c r="EF248" s="417"/>
      <c r="EG248" s="417"/>
      <c r="EH248" s="452"/>
      <c r="EI248" s="452"/>
      <c r="EJ248" s="452"/>
      <c r="EK248" s="452"/>
      <c r="EL248" s="453"/>
      <c r="EM248" s="451" t="str">
        <f>IFERROR(VLOOKUP($CJ248,Skills!$H$2:$N$620,7,FALSE),"")</f>
        <v/>
      </c>
      <c r="EN248" s="451"/>
      <c r="EO248" s="451"/>
      <c r="EP248" s="451"/>
      <c r="EQ248" s="451"/>
      <c r="ER248" s="451"/>
      <c r="ES248" s="451"/>
      <c r="ET248" s="451"/>
      <c r="EU248" s="451"/>
      <c r="EV248" s="451"/>
      <c r="EW248" s="451"/>
      <c r="EX248" s="451"/>
      <c r="EY248" s="451"/>
      <c r="EZ248" s="451"/>
      <c r="FA248" s="451"/>
      <c r="FB248" s="451"/>
      <c r="FC248" s="451"/>
      <c r="FD248" s="451"/>
      <c r="FE248" s="451"/>
      <c r="FF248" s="451"/>
      <c r="FG248" s="451"/>
      <c r="FH248" s="451"/>
      <c r="FI248" s="451"/>
      <c r="FJ248" s="451"/>
      <c r="FK248" s="451"/>
      <c r="FL248" s="451"/>
      <c r="FM248" s="451"/>
      <c r="FN248" s="451"/>
      <c r="FO248" s="451"/>
      <c r="FP248" s="451"/>
      <c r="FQ248" s="451"/>
      <c r="FR248" s="451"/>
      <c r="FS248" s="451"/>
      <c r="FT248" s="451"/>
      <c r="FU248" s="451"/>
      <c r="FV248" s="451"/>
      <c r="FW248" s="451"/>
      <c r="FX248" s="451"/>
      <c r="FY248" s="451"/>
      <c r="FZ248" s="451"/>
      <c r="GA248" s="451"/>
      <c r="GB248" s="451"/>
      <c r="GC248" s="451"/>
      <c r="GD248" s="451"/>
      <c r="GE248" s="417" t="str">
        <f>IFERROR(VLOOKUP($CJ248,Skills!$H$2:$K$620,4,FALSE),"")</f>
        <v/>
      </c>
      <c r="GF248" s="417"/>
      <c r="GG248" s="417"/>
      <c r="GH248" s="417"/>
      <c r="GI248" s="417"/>
      <c r="GJ248" s="454"/>
      <c r="GK248" s="454"/>
      <c r="GL248" s="454"/>
      <c r="GM248" s="454"/>
      <c r="GN248" s="455"/>
    </row>
    <row r="249" spans="87:196" x14ac:dyDescent="0.25">
      <c r="CI249">
        <v>235</v>
      </c>
      <c r="CJ249">
        <v>485</v>
      </c>
      <c r="CK249" s="365" t="str">
        <f>IFERROR(VLOOKUP($CI249,Skills!$H$2:$N$620,7,FALSE),"")</f>
        <v/>
      </c>
      <c r="CL249" s="366"/>
      <c r="CM249" s="366"/>
      <c r="CN249" s="366"/>
      <c r="CO249" s="366"/>
      <c r="CP249" s="366"/>
      <c r="CQ249" s="366"/>
      <c r="CR249" s="366"/>
      <c r="CS249" s="366"/>
      <c r="CT249" s="366"/>
      <c r="CU249" s="366"/>
      <c r="CV249" s="366"/>
      <c r="CW249" s="366"/>
      <c r="CX249" s="366"/>
      <c r="CY249" s="366"/>
      <c r="CZ249" s="366"/>
      <c r="DA249" s="366"/>
      <c r="DB249" s="366"/>
      <c r="DC249" s="366"/>
      <c r="DD249" s="366"/>
      <c r="DE249" s="366"/>
      <c r="DF249" s="366"/>
      <c r="DG249" s="366"/>
      <c r="DH249" s="366"/>
      <c r="DI249" s="366"/>
      <c r="DJ249" s="366"/>
      <c r="DK249" s="366"/>
      <c r="DL249" s="366"/>
      <c r="DM249" s="366"/>
      <c r="DN249" s="366"/>
      <c r="DO249" s="366"/>
      <c r="DP249" s="366"/>
      <c r="DQ249" s="366"/>
      <c r="DR249" s="366"/>
      <c r="DS249" s="366"/>
      <c r="DT249" s="366"/>
      <c r="DU249" s="366"/>
      <c r="DV249" s="366"/>
      <c r="DW249" s="366"/>
      <c r="DX249" s="366"/>
      <c r="DY249" s="366"/>
      <c r="DZ249" s="366"/>
      <c r="EA249" s="366"/>
      <c r="EB249" s="366"/>
      <c r="EC249" s="445" t="str">
        <f>IFERROR(VLOOKUP($CI249,Skills!$H$2:$K$620,4,FALSE),"")</f>
        <v/>
      </c>
      <c r="ED249" s="445"/>
      <c r="EE249" s="445"/>
      <c r="EF249" s="445"/>
      <c r="EG249" s="445"/>
      <c r="EH249" s="446"/>
      <c r="EI249" s="446"/>
      <c r="EJ249" s="446"/>
      <c r="EK249" s="446"/>
      <c r="EL249" s="447"/>
      <c r="EM249" s="366" t="str">
        <f>IFERROR(VLOOKUP($CJ249,Skills!$H$2:$N$620,7,FALSE),"")</f>
        <v/>
      </c>
      <c r="EN249" s="366"/>
      <c r="EO249" s="366"/>
      <c r="EP249" s="366"/>
      <c r="EQ249" s="366"/>
      <c r="ER249" s="366"/>
      <c r="ES249" s="366"/>
      <c r="ET249" s="366"/>
      <c r="EU249" s="366"/>
      <c r="EV249" s="366"/>
      <c r="EW249" s="366"/>
      <c r="EX249" s="366"/>
      <c r="EY249" s="366"/>
      <c r="EZ249" s="366"/>
      <c r="FA249" s="366"/>
      <c r="FB249" s="366"/>
      <c r="FC249" s="366"/>
      <c r="FD249" s="366"/>
      <c r="FE249" s="366"/>
      <c r="FF249" s="366"/>
      <c r="FG249" s="366"/>
      <c r="FH249" s="366"/>
      <c r="FI249" s="366"/>
      <c r="FJ249" s="366"/>
      <c r="FK249" s="366"/>
      <c r="FL249" s="366"/>
      <c r="FM249" s="366"/>
      <c r="FN249" s="366"/>
      <c r="FO249" s="366"/>
      <c r="FP249" s="366"/>
      <c r="FQ249" s="366"/>
      <c r="FR249" s="366"/>
      <c r="FS249" s="366"/>
      <c r="FT249" s="366"/>
      <c r="FU249" s="366"/>
      <c r="FV249" s="366"/>
      <c r="FW249" s="366"/>
      <c r="FX249" s="366"/>
      <c r="FY249" s="366"/>
      <c r="FZ249" s="366"/>
      <c r="GA249" s="366"/>
      <c r="GB249" s="366"/>
      <c r="GC249" s="366"/>
      <c r="GD249" s="366"/>
      <c r="GE249" s="445" t="str">
        <f>IFERROR(VLOOKUP($CJ249,Skills!$H$2:$K$620,4,FALSE),"")</f>
        <v/>
      </c>
      <c r="GF249" s="445"/>
      <c r="GG249" s="445"/>
      <c r="GH249" s="445"/>
      <c r="GI249" s="445"/>
      <c r="GJ249" s="448"/>
      <c r="GK249" s="448"/>
      <c r="GL249" s="448"/>
      <c r="GM249" s="448"/>
      <c r="GN249" s="449"/>
    </row>
    <row r="250" spans="87:196" x14ac:dyDescent="0.25">
      <c r="CI250">
        <v>236</v>
      </c>
      <c r="CJ250">
        <v>486</v>
      </c>
      <c r="CK250" s="450" t="str">
        <f>IFERROR(VLOOKUP($CI250,Skills!$H$2:$N$620,7,FALSE),"")</f>
        <v/>
      </c>
      <c r="CL250" s="451"/>
      <c r="CM250" s="451"/>
      <c r="CN250" s="451"/>
      <c r="CO250" s="451"/>
      <c r="CP250" s="451"/>
      <c r="CQ250" s="451"/>
      <c r="CR250" s="451"/>
      <c r="CS250" s="451"/>
      <c r="CT250" s="451"/>
      <c r="CU250" s="451"/>
      <c r="CV250" s="451"/>
      <c r="CW250" s="451"/>
      <c r="CX250" s="451"/>
      <c r="CY250" s="451"/>
      <c r="CZ250" s="451"/>
      <c r="DA250" s="451"/>
      <c r="DB250" s="451"/>
      <c r="DC250" s="451"/>
      <c r="DD250" s="451"/>
      <c r="DE250" s="451"/>
      <c r="DF250" s="451"/>
      <c r="DG250" s="451"/>
      <c r="DH250" s="451"/>
      <c r="DI250" s="451"/>
      <c r="DJ250" s="451"/>
      <c r="DK250" s="451"/>
      <c r="DL250" s="451"/>
      <c r="DM250" s="451"/>
      <c r="DN250" s="451"/>
      <c r="DO250" s="451"/>
      <c r="DP250" s="451"/>
      <c r="DQ250" s="451"/>
      <c r="DR250" s="451"/>
      <c r="DS250" s="451"/>
      <c r="DT250" s="451"/>
      <c r="DU250" s="451"/>
      <c r="DV250" s="451"/>
      <c r="DW250" s="451"/>
      <c r="DX250" s="451"/>
      <c r="DY250" s="451"/>
      <c r="DZ250" s="451"/>
      <c r="EA250" s="451"/>
      <c r="EB250" s="451"/>
      <c r="EC250" s="417" t="str">
        <f>IFERROR(VLOOKUP($CI250,Skills!$H$2:$K$620,4,FALSE),"")</f>
        <v/>
      </c>
      <c r="ED250" s="417"/>
      <c r="EE250" s="417"/>
      <c r="EF250" s="417"/>
      <c r="EG250" s="417"/>
      <c r="EH250" s="452"/>
      <c r="EI250" s="452"/>
      <c r="EJ250" s="452"/>
      <c r="EK250" s="452"/>
      <c r="EL250" s="453"/>
      <c r="EM250" s="451" t="str">
        <f>IFERROR(VLOOKUP($CJ250,Skills!$H$2:$N$620,7,FALSE),"")</f>
        <v/>
      </c>
      <c r="EN250" s="451"/>
      <c r="EO250" s="451"/>
      <c r="EP250" s="451"/>
      <c r="EQ250" s="451"/>
      <c r="ER250" s="451"/>
      <c r="ES250" s="451"/>
      <c r="ET250" s="451"/>
      <c r="EU250" s="451"/>
      <c r="EV250" s="451"/>
      <c r="EW250" s="451"/>
      <c r="EX250" s="451"/>
      <c r="EY250" s="451"/>
      <c r="EZ250" s="451"/>
      <c r="FA250" s="451"/>
      <c r="FB250" s="451"/>
      <c r="FC250" s="451"/>
      <c r="FD250" s="451"/>
      <c r="FE250" s="451"/>
      <c r="FF250" s="451"/>
      <c r="FG250" s="451"/>
      <c r="FH250" s="451"/>
      <c r="FI250" s="451"/>
      <c r="FJ250" s="451"/>
      <c r="FK250" s="451"/>
      <c r="FL250" s="451"/>
      <c r="FM250" s="451"/>
      <c r="FN250" s="451"/>
      <c r="FO250" s="451"/>
      <c r="FP250" s="451"/>
      <c r="FQ250" s="451"/>
      <c r="FR250" s="451"/>
      <c r="FS250" s="451"/>
      <c r="FT250" s="451"/>
      <c r="FU250" s="451"/>
      <c r="FV250" s="451"/>
      <c r="FW250" s="451"/>
      <c r="FX250" s="451"/>
      <c r="FY250" s="451"/>
      <c r="FZ250" s="451"/>
      <c r="GA250" s="451"/>
      <c r="GB250" s="451"/>
      <c r="GC250" s="451"/>
      <c r="GD250" s="451"/>
      <c r="GE250" s="417" t="str">
        <f>IFERROR(VLOOKUP($CJ250,Skills!$H$2:$K$620,4,FALSE),"")</f>
        <v/>
      </c>
      <c r="GF250" s="417"/>
      <c r="GG250" s="417"/>
      <c r="GH250" s="417"/>
      <c r="GI250" s="417"/>
      <c r="GJ250" s="454"/>
      <c r="GK250" s="454"/>
      <c r="GL250" s="454"/>
      <c r="GM250" s="454"/>
      <c r="GN250" s="455"/>
    </row>
    <row r="251" spans="87:196" x14ac:dyDescent="0.25">
      <c r="CI251">
        <v>237</v>
      </c>
      <c r="CJ251">
        <v>487</v>
      </c>
      <c r="CK251" s="365" t="str">
        <f>IFERROR(VLOOKUP($CI251,Skills!$H$2:$N$620,7,FALSE),"")</f>
        <v/>
      </c>
      <c r="CL251" s="366"/>
      <c r="CM251" s="366"/>
      <c r="CN251" s="366"/>
      <c r="CO251" s="366"/>
      <c r="CP251" s="366"/>
      <c r="CQ251" s="366"/>
      <c r="CR251" s="366"/>
      <c r="CS251" s="366"/>
      <c r="CT251" s="366"/>
      <c r="CU251" s="366"/>
      <c r="CV251" s="366"/>
      <c r="CW251" s="366"/>
      <c r="CX251" s="366"/>
      <c r="CY251" s="366"/>
      <c r="CZ251" s="366"/>
      <c r="DA251" s="366"/>
      <c r="DB251" s="366"/>
      <c r="DC251" s="366"/>
      <c r="DD251" s="366"/>
      <c r="DE251" s="366"/>
      <c r="DF251" s="366"/>
      <c r="DG251" s="366"/>
      <c r="DH251" s="366"/>
      <c r="DI251" s="366"/>
      <c r="DJ251" s="366"/>
      <c r="DK251" s="366"/>
      <c r="DL251" s="366"/>
      <c r="DM251" s="366"/>
      <c r="DN251" s="366"/>
      <c r="DO251" s="366"/>
      <c r="DP251" s="366"/>
      <c r="DQ251" s="366"/>
      <c r="DR251" s="366"/>
      <c r="DS251" s="366"/>
      <c r="DT251" s="366"/>
      <c r="DU251" s="366"/>
      <c r="DV251" s="366"/>
      <c r="DW251" s="366"/>
      <c r="DX251" s="366"/>
      <c r="DY251" s="366"/>
      <c r="DZ251" s="366"/>
      <c r="EA251" s="366"/>
      <c r="EB251" s="366"/>
      <c r="EC251" s="445" t="str">
        <f>IFERROR(VLOOKUP($CI251,Skills!$H$2:$K$620,4,FALSE),"")</f>
        <v/>
      </c>
      <c r="ED251" s="445"/>
      <c r="EE251" s="445"/>
      <c r="EF251" s="445"/>
      <c r="EG251" s="445"/>
      <c r="EH251" s="446"/>
      <c r="EI251" s="446"/>
      <c r="EJ251" s="446"/>
      <c r="EK251" s="446"/>
      <c r="EL251" s="447"/>
      <c r="EM251" s="366" t="str">
        <f>IFERROR(VLOOKUP($CJ251,Skills!$H$2:$N$620,7,FALSE),"")</f>
        <v/>
      </c>
      <c r="EN251" s="366"/>
      <c r="EO251" s="366"/>
      <c r="EP251" s="366"/>
      <c r="EQ251" s="366"/>
      <c r="ER251" s="366"/>
      <c r="ES251" s="366"/>
      <c r="ET251" s="366"/>
      <c r="EU251" s="366"/>
      <c r="EV251" s="366"/>
      <c r="EW251" s="366"/>
      <c r="EX251" s="366"/>
      <c r="EY251" s="366"/>
      <c r="EZ251" s="366"/>
      <c r="FA251" s="366"/>
      <c r="FB251" s="366"/>
      <c r="FC251" s="366"/>
      <c r="FD251" s="366"/>
      <c r="FE251" s="366"/>
      <c r="FF251" s="366"/>
      <c r="FG251" s="366"/>
      <c r="FH251" s="366"/>
      <c r="FI251" s="366"/>
      <c r="FJ251" s="366"/>
      <c r="FK251" s="366"/>
      <c r="FL251" s="366"/>
      <c r="FM251" s="366"/>
      <c r="FN251" s="366"/>
      <c r="FO251" s="366"/>
      <c r="FP251" s="366"/>
      <c r="FQ251" s="366"/>
      <c r="FR251" s="366"/>
      <c r="FS251" s="366"/>
      <c r="FT251" s="366"/>
      <c r="FU251" s="366"/>
      <c r="FV251" s="366"/>
      <c r="FW251" s="366"/>
      <c r="FX251" s="366"/>
      <c r="FY251" s="366"/>
      <c r="FZ251" s="366"/>
      <c r="GA251" s="366"/>
      <c r="GB251" s="366"/>
      <c r="GC251" s="366"/>
      <c r="GD251" s="366"/>
      <c r="GE251" s="445" t="str">
        <f>IFERROR(VLOOKUP($CJ251,Skills!$H$2:$K$620,4,FALSE),"")</f>
        <v/>
      </c>
      <c r="GF251" s="445"/>
      <c r="GG251" s="445"/>
      <c r="GH251" s="445"/>
      <c r="GI251" s="445"/>
      <c r="GJ251" s="448"/>
      <c r="GK251" s="448"/>
      <c r="GL251" s="448"/>
      <c r="GM251" s="448"/>
      <c r="GN251" s="449"/>
    </row>
    <row r="252" spans="87:196" x14ac:dyDescent="0.25">
      <c r="CI252">
        <v>238</v>
      </c>
      <c r="CJ252">
        <v>488</v>
      </c>
      <c r="CK252" s="450" t="str">
        <f>IFERROR(VLOOKUP($CI252,Skills!$H$2:$N$620,7,FALSE),"")</f>
        <v/>
      </c>
      <c r="CL252" s="451"/>
      <c r="CM252" s="451"/>
      <c r="CN252" s="451"/>
      <c r="CO252" s="451"/>
      <c r="CP252" s="451"/>
      <c r="CQ252" s="451"/>
      <c r="CR252" s="451"/>
      <c r="CS252" s="451"/>
      <c r="CT252" s="451"/>
      <c r="CU252" s="451"/>
      <c r="CV252" s="451"/>
      <c r="CW252" s="451"/>
      <c r="CX252" s="451"/>
      <c r="CY252" s="451"/>
      <c r="CZ252" s="451"/>
      <c r="DA252" s="451"/>
      <c r="DB252" s="451"/>
      <c r="DC252" s="451"/>
      <c r="DD252" s="451"/>
      <c r="DE252" s="451"/>
      <c r="DF252" s="451"/>
      <c r="DG252" s="451"/>
      <c r="DH252" s="451"/>
      <c r="DI252" s="451"/>
      <c r="DJ252" s="451"/>
      <c r="DK252" s="451"/>
      <c r="DL252" s="451"/>
      <c r="DM252" s="451"/>
      <c r="DN252" s="451"/>
      <c r="DO252" s="451"/>
      <c r="DP252" s="451"/>
      <c r="DQ252" s="451"/>
      <c r="DR252" s="451"/>
      <c r="DS252" s="451"/>
      <c r="DT252" s="451"/>
      <c r="DU252" s="451"/>
      <c r="DV252" s="451"/>
      <c r="DW252" s="451"/>
      <c r="DX252" s="451"/>
      <c r="DY252" s="451"/>
      <c r="DZ252" s="451"/>
      <c r="EA252" s="451"/>
      <c r="EB252" s="451"/>
      <c r="EC252" s="417" t="str">
        <f>IFERROR(VLOOKUP($CI252,Skills!$H$2:$K$620,4,FALSE),"")</f>
        <v/>
      </c>
      <c r="ED252" s="417"/>
      <c r="EE252" s="417"/>
      <c r="EF252" s="417"/>
      <c r="EG252" s="417"/>
      <c r="EH252" s="452"/>
      <c r="EI252" s="452"/>
      <c r="EJ252" s="452"/>
      <c r="EK252" s="452"/>
      <c r="EL252" s="453"/>
      <c r="EM252" s="451" t="str">
        <f>IFERROR(VLOOKUP($CJ252,Skills!$H$2:$N$620,7,FALSE),"")</f>
        <v/>
      </c>
      <c r="EN252" s="451"/>
      <c r="EO252" s="451"/>
      <c r="EP252" s="451"/>
      <c r="EQ252" s="451"/>
      <c r="ER252" s="451"/>
      <c r="ES252" s="451"/>
      <c r="ET252" s="451"/>
      <c r="EU252" s="451"/>
      <c r="EV252" s="451"/>
      <c r="EW252" s="451"/>
      <c r="EX252" s="451"/>
      <c r="EY252" s="451"/>
      <c r="EZ252" s="451"/>
      <c r="FA252" s="451"/>
      <c r="FB252" s="451"/>
      <c r="FC252" s="451"/>
      <c r="FD252" s="451"/>
      <c r="FE252" s="451"/>
      <c r="FF252" s="451"/>
      <c r="FG252" s="451"/>
      <c r="FH252" s="451"/>
      <c r="FI252" s="451"/>
      <c r="FJ252" s="451"/>
      <c r="FK252" s="451"/>
      <c r="FL252" s="451"/>
      <c r="FM252" s="451"/>
      <c r="FN252" s="451"/>
      <c r="FO252" s="451"/>
      <c r="FP252" s="451"/>
      <c r="FQ252" s="451"/>
      <c r="FR252" s="451"/>
      <c r="FS252" s="451"/>
      <c r="FT252" s="451"/>
      <c r="FU252" s="451"/>
      <c r="FV252" s="451"/>
      <c r="FW252" s="451"/>
      <c r="FX252" s="451"/>
      <c r="FY252" s="451"/>
      <c r="FZ252" s="451"/>
      <c r="GA252" s="451"/>
      <c r="GB252" s="451"/>
      <c r="GC252" s="451"/>
      <c r="GD252" s="451"/>
      <c r="GE252" s="417" t="str">
        <f>IFERROR(VLOOKUP($CJ252,Skills!$H$2:$K$620,4,FALSE),"")</f>
        <v/>
      </c>
      <c r="GF252" s="417"/>
      <c r="GG252" s="417"/>
      <c r="GH252" s="417"/>
      <c r="GI252" s="417"/>
      <c r="GJ252" s="454"/>
      <c r="GK252" s="454"/>
      <c r="GL252" s="454"/>
      <c r="GM252" s="454"/>
      <c r="GN252" s="455"/>
    </row>
    <row r="253" spans="87:196" x14ac:dyDescent="0.25">
      <c r="CI253">
        <v>239</v>
      </c>
      <c r="CJ253">
        <v>489</v>
      </c>
      <c r="CK253" s="365" t="str">
        <f>IFERROR(VLOOKUP($CI253,Skills!$H$2:$N$620,7,FALSE),"")</f>
        <v/>
      </c>
      <c r="CL253" s="366"/>
      <c r="CM253" s="366"/>
      <c r="CN253" s="366"/>
      <c r="CO253" s="366"/>
      <c r="CP253" s="366"/>
      <c r="CQ253" s="366"/>
      <c r="CR253" s="366"/>
      <c r="CS253" s="366"/>
      <c r="CT253" s="366"/>
      <c r="CU253" s="366"/>
      <c r="CV253" s="366"/>
      <c r="CW253" s="366"/>
      <c r="CX253" s="366"/>
      <c r="CY253" s="366"/>
      <c r="CZ253" s="366"/>
      <c r="DA253" s="366"/>
      <c r="DB253" s="366"/>
      <c r="DC253" s="366"/>
      <c r="DD253" s="366"/>
      <c r="DE253" s="366"/>
      <c r="DF253" s="366"/>
      <c r="DG253" s="366"/>
      <c r="DH253" s="366"/>
      <c r="DI253" s="366"/>
      <c r="DJ253" s="366"/>
      <c r="DK253" s="366"/>
      <c r="DL253" s="366"/>
      <c r="DM253" s="366"/>
      <c r="DN253" s="366"/>
      <c r="DO253" s="366"/>
      <c r="DP253" s="366"/>
      <c r="DQ253" s="366"/>
      <c r="DR253" s="366"/>
      <c r="DS253" s="366"/>
      <c r="DT253" s="366"/>
      <c r="DU253" s="366"/>
      <c r="DV253" s="366"/>
      <c r="DW253" s="366"/>
      <c r="DX253" s="366"/>
      <c r="DY253" s="366"/>
      <c r="DZ253" s="366"/>
      <c r="EA253" s="366"/>
      <c r="EB253" s="366"/>
      <c r="EC253" s="445" t="str">
        <f>IFERROR(VLOOKUP($CI253,Skills!$H$2:$K$620,4,FALSE),"")</f>
        <v/>
      </c>
      <c r="ED253" s="445"/>
      <c r="EE253" s="445"/>
      <c r="EF253" s="445"/>
      <c r="EG253" s="445"/>
      <c r="EH253" s="446"/>
      <c r="EI253" s="446"/>
      <c r="EJ253" s="446"/>
      <c r="EK253" s="446"/>
      <c r="EL253" s="447"/>
      <c r="EM253" s="366" t="str">
        <f>IFERROR(VLOOKUP($CJ253,Skills!$H$2:$N$620,7,FALSE),"")</f>
        <v/>
      </c>
      <c r="EN253" s="366"/>
      <c r="EO253" s="366"/>
      <c r="EP253" s="366"/>
      <c r="EQ253" s="366"/>
      <c r="ER253" s="366"/>
      <c r="ES253" s="366"/>
      <c r="ET253" s="366"/>
      <c r="EU253" s="366"/>
      <c r="EV253" s="366"/>
      <c r="EW253" s="366"/>
      <c r="EX253" s="366"/>
      <c r="EY253" s="366"/>
      <c r="EZ253" s="366"/>
      <c r="FA253" s="366"/>
      <c r="FB253" s="366"/>
      <c r="FC253" s="366"/>
      <c r="FD253" s="366"/>
      <c r="FE253" s="366"/>
      <c r="FF253" s="366"/>
      <c r="FG253" s="366"/>
      <c r="FH253" s="366"/>
      <c r="FI253" s="366"/>
      <c r="FJ253" s="366"/>
      <c r="FK253" s="366"/>
      <c r="FL253" s="366"/>
      <c r="FM253" s="366"/>
      <c r="FN253" s="366"/>
      <c r="FO253" s="366"/>
      <c r="FP253" s="366"/>
      <c r="FQ253" s="366"/>
      <c r="FR253" s="366"/>
      <c r="FS253" s="366"/>
      <c r="FT253" s="366"/>
      <c r="FU253" s="366"/>
      <c r="FV253" s="366"/>
      <c r="FW253" s="366"/>
      <c r="FX253" s="366"/>
      <c r="FY253" s="366"/>
      <c r="FZ253" s="366"/>
      <c r="GA253" s="366"/>
      <c r="GB253" s="366"/>
      <c r="GC253" s="366"/>
      <c r="GD253" s="366"/>
      <c r="GE253" s="445" t="str">
        <f>IFERROR(VLOOKUP($CJ253,Skills!$H$2:$K$620,4,FALSE),"")</f>
        <v/>
      </c>
      <c r="GF253" s="445"/>
      <c r="GG253" s="445"/>
      <c r="GH253" s="445"/>
      <c r="GI253" s="445"/>
      <c r="GJ253" s="448"/>
      <c r="GK253" s="448"/>
      <c r="GL253" s="448"/>
      <c r="GM253" s="448"/>
      <c r="GN253" s="449"/>
    </row>
    <row r="254" spans="87:196" x14ac:dyDescent="0.25">
      <c r="CI254">
        <v>240</v>
      </c>
      <c r="CJ254">
        <v>490</v>
      </c>
      <c r="CK254" s="450" t="str">
        <f>IFERROR(VLOOKUP($CI254,Skills!$H$2:$N$620,7,FALSE),"")</f>
        <v/>
      </c>
      <c r="CL254" s="451"/>
      <c r="CM254" s="451"/>
      <c r="CN254" s="451"/>
      <c r="CO254" s="451"/>
      <c r="CP254" s="451"/>
      <c r="CQ254" s="451"/>
      <c r="CR254" s="451"/>
      <c r="CS254" s="451"/>
      <c r="CT254" s="451"/>
      <c r="CU254" s="451"/>
      <c r="CV254" s="451"/>
      <c r="CW254" s="451"/>
      <c r="CX254" s="451"/>
      <c r="CY254" s="451"/>
      <c r="CZ254" s="451"/>
      <c r="DA254" s="451"/>
      <c r="DB254" s="451"/>
      <c r="DC254" s="451"/>
      <c r="DD254" s="451"/>
      <c r="DE254" s="451"/>
      <c r="DF254" s="451"/>
      <c r="DG254" s="451"/>
      <c r="DH254" s="451"/>
      <c r="DI254" s="451"/>
      <c r="DJ254" s="451"/>
      <c r="DK254" s="451"/>
      <c r="DL254" s="451"/>
      <c r="DM254" s="451"/>
      <c r="DN254" s="451"/>
      <c r="DO254" s="451"/>
      <c r="DP254" s="451"/>
      <c r="DQ254" s="451"/>
      <c r="DR254" s="451"/>
      <c r="DS254" s="451"/>
      <c r="DT254" s="451"/>
      <c r="DU254" s="451"/>
      <c r="DV254" s="451"/>
      <c r="DW254" s="451"/>
      <c r="DX254" s="451"/>
      <c r="DY254" s="451"/>
      <c r="DZ254" s="451"/>
      <c r="EA254" s="451"/>
      <c r="EB254" s="451"/>
      <c r="EC254" s="417" t="str">
        <f>IFERROR(VLOOKUP($CI254,Skills!$H$2:$K$620,4,FALSE),"")</f>
        <v/>
      </c>
      <c r="ED254" s="417"/>
      <c r="EE254" s="417"/>
      <c r="EF254" s="417"/>
      <c r="EG254" s="417"/>
      <c r="EH254" s="452"/>
      <c r="EI254" s="452"/>
      <c r="EJ254" s="452"/>
      <c r="EK254" s="452"/>
      <c r="EL254" s="453"/>
      <c r="EM254" s="451" t="str">
        <f>IFERROR(VLOOKUP($CJ254,Skills!$H$2:$N$620,7,FALSE),"")</f>
        <v/>
      </c>
      <c r="EN254" s="451"/>
      <c r="EO254" s="451"/>
      <c r="EP254" s="451"/>
      <c r="EQ254" s="451"/>
      <c r="ER254" s="451"/>
      <c r="ES254" s="451"/>
      <c r="ET254" s="451"/>
      <c r="EU254" s="451"/>
      <c r="EV254" s="451"/>
      <c r="EW254" s="451"/>
      <c r="EX254" s="451"/>
      <c r="EY254" s="451"/>
      <c r="EZ254" s="451"/>
      <c r="FA254" s="451"/>
      <c r="FB254" s="451"/>
      <c r="FC254" s="451"/>
      <c r="FD254" s="451"/>
      <c r="FE254" s="451"/>
      <c r="FF254" s="451"/>
      <c r="FG254" s="451"/>
      <c r="FH254" s="451"/>
      <c r="FI254" s="451"/>
      <c r="FJ254" s="451"/>
      <c r="FK254" s="451"/>
      <c r="FL254" s="451"/>
      <c r="FM254" s="451"/>
      <c r="FN254" s="451"/>
      <c r="FO254" s="451"/>
      <c r="FP254" s="451"/>
      <c r="FQ254" s="451"/>
      <c r="FR254" s="451"/>
      <c r="FS254" s="451"/>
      <c r="FT254" s="451"/>
      <c r="FU254" s="451"/>
      <c r="FV254" s="451"/>
      <c r="FW254" s="451"/>
      <c r="FX254" s="451"/>
      <c r="FY254" s="451"/>
      <c r="FZ254" s="451"/>
      <c r="GA254" s="451"/>
      <c r="GB254" s="451"/>
      <c r="GC254" s="451"/>
      <c r="GD254" s="451"/>
      <c r="GE254" s="417" t="str">
        <f>IFERROR(VLOOKUP($CJ254,Skills!$H$2:$K$620,4,FALSE),"")</f>
        <v/>
      </c>
      <c r="GF254" s="417"/>
      <c r="GG254" s="417"/>
      <c r="GH254" s="417"/>
      <c r="GI254" s="417"/>
      <c r="GJ254" s="454"/>
      <c r="GK254" s="454"/>
      <c r="GL254" s="454"/>
      <c r="GM254" s="454"/>
      <c r="GN254" s="455"/>
    </row>
    <row r="255" spans="87:196" x14ac:dyDescent="0.25">
      <c r="CI255">
        <v>241</v>
      </c>
      <c r="CJ255">
        <v>491</v>
      </c>
      <c r="CK255" s="365" t="str">
        <f>IFERROR(VLOOKUP($CI255,Skills!$H$2:$N$620,7,FALSE),"")</f>
        <v/>
      </c>
      <c r="CL255" s="366"/>
      <c r="CM255" s="366"/>
      <c r="CN255" s="366"/>
      <c r="CO255" s="366"/>
      <c r="CP255" s="366"/>
      <c r="CQ255" s="366"/>
      <c r="CR255" s="366"/>
      <c r="CS255" s="366"/>
      <c r="CT255" s="366"/>
      <c r="CU255" s="366"/>
      <c r="CV255" s="366"/>
      <c r="CW255" s="366"/>
      <c r="CX255" s="366"/>
      <c r="CY255" s="366"/>
      <c r="CZ255" s="366"/>
      <c r="DA255" s="366"/>
      <c r="DB255" s="366"/>
      <c r="DC255" s="366"/>
      <c r="DD255" s="366"/>
      <c r="DE255" s="366"/>
      <c r="DF255" s="366"/>
      <c r="DG255" s="366"/>
      <c r="DH255" s="366"/>
      <c r="DI255" s="366"/>
      <c r="DJ255" s="366"/>
      <c r="DK255" s="366"/>
      <c r="DL255" s="366"/>
      <c r="DM255" s="366"/>
      <c r="DN255" s="366"/>
      <c r="DO255" s="366"/>
      <c r="DP255" s="366"/>
      <c r="DQ255" s="366"/>
      <c r="DR255" s="366"/>
      <c r="DS255" s="366"/>
      <c r="DT255" s="366"/>
      <c r="DU255" s="366"/>
      <c r="DV255" s="366"/>
      <c r="DW255" s="366"/>
      <c r="DX255" s="366"/>
      <c r="DY255" s="366"/>
      <c r="DZ255" s="366"/>
      <c r="EA255" s="366"/>
      <c r="EB255" s="366"/>
      <c r="EC255" s="445" t="str">
        <f>IFERROR(VLOOKUP($CI255,Skills!$H$2:$K$620,4,FALSE),"")</f>
        <v/>
      </c>
      <c r="ED255" s="445"/>
      <c r="EE255" s="445"/>
      <c r="EF255" s="445"/>
      <c r="EG255" s="445"/>
      <c r="EH255" s="446"/>
      <c r="EI255" s="446"/>
      <c r="EJ255" s="446"/>
      <c r="EK255" s="446"/>
      <c r="EL255" s="447"/>
      <c r="EM255" s="366" t="str">
        <f>IFERROR(VLOOKUP($CJ255,Skills!$H$2:$N$620,7,FALSE),"")</f>
        <v/>
      </c>
      <c r="EN255" s="366"/>
      <c r="EO255" s="366"/>
      <c r="EP255" s="366"/>
      <c r="EQ255" s="366"/>
      <c r="ER255" s="366"/>
      <c r="ES255" s="366"/>
      <c r="ET255" s="366"/>
      <c r="EU255" s="366"/>
      <c r="EV255" s="366"/>
      <c r="EW255" s="366"/>
      <c r="EX255" s="366"/>
      <c r="EY255" s="366"/>
      <c r="EZ255" s="366"/>
      <c r="FA255" s="366"/>
      <c r="FB255" s="366"/>
      <c r="FC255" s="366"/>
      <c r="FD255" s="366"/>
      <c r="FE255" s="366"/>
      <c r="FF255" s="366"/>
      <c r="FG255" s="366"/>
      <c r="FH255" s="366"/>
      <c r="FI255" s="366"/>
      <c r="FJ255" s="366"/>
      <c r="FK255" s="366"/>
      <c r="FL255" s="366"/>
      <c r="FM255" s="366"/>
      <c r="FN255" s="366"/>
      <c r="FO255" s="366"/>
      <c r="FP255" s="366"/>
      <c r="FQ255" s="366"/>
      <c r="FR255" s="366"/>
      <c r="FS255" s="366"/>
      <c r="FT255" s="366"/>
      <c r="FU255" s="366"/>
      <c r="FV255" s="366"/>
      <c r="FW255" s="366"/>
      <c r="FX255" s="366"/>
      <c r="FY255" s="366"/>
      <c r="FZ255" s="366"/>
      <c r="GA255" s="366"/>
      <c r="GB255" s="366"/>
      <c r="GC255" s="366"/>
      <c r="GD255" s="366"/>
      <c r="GE255" s="445" t="str">
        <f>IFERROR(VLOOKUP($CJ255,Skills!$H$2:$K$620,4,FALSE),"")</f>
        <v/>
      </c>
      <c r="GF255" s="445"/>
      <c r="GG255" s="445"/>
      <c r="GH255" s="445"/>
      <c r="GI255" s="445"/>
      <c r="GJ255" s="448"/>
      <c r="GK255" s="448"/>
      <c r="GL255" s="448"/>
      <c r="GM255" s="448"/>
      <c r="GN255" s="449"/>
    </row>
    <row r="256" spans="87:196" x14ac:dyDescent="0.25">
      <c r="CI256">
        <v>242</v>
      </c>
      <c r="CJ256">
        <v>492</v>
      </c>
      <c r="CK256" s="450" t="str">
        <f>IFERROR(VLOOKUP($CI256,Skills!$H$2:$N$620,7,FALSE),"")</f>
        <v/>
      </c>
      <c r="CL256" s="451"/>
      <c r="CM256" s="451"/>
      <c r="CN256" s="451"/>
      <c r="CO256" s="451"/>
      <c r="CP256" s="451"/>
      <c r="CQ256" s="451"/>
      <c r="CR256" s="451"/>
      <c r="CS256" s="451"/>
      <c r="CT256" s="451"/>
      <c r="CU256" s="451"/>
      <c r="CV256" s="451"/>
      <c r="CW256" s="451"/>
      <c r="CX256" s="451"/>
      <c r="CY256" s="451"/>
      <c r="CZ256" s="451"/>
      <c r="DA256" s="451"/>
      <c r="DB256" s="451"/>
      <c r="DC256" s="451"/>
      <c r="DD256" s="451"/>
      <c r="DE256" s="451"/>
      <c r="DF256" s="451"/>
      <c r="DG256" s="451"/>
      <c r="DH256" s="451"/>
      <c r="DI256" s="451"/>
      <c r="DJ256" s="451"/>
      <c r="DK256" s="451"/>
      <c r="DL256" s="451"/>
      <c r="DM256" s="451"/>
      <c r="DN256" s="451"/>
      <c r="DO256" s="451"/>
      <c r="DP256" s="451"/>
      <c r="DQ256" s="451"/>
      <c r="DR256" s="451"/>
      <c r="DS256" s="451"/>
      <c r="DT256" s="451"/>
      <c r="DU256" s="451"/>
      <c r="DV256" s="451"/>
      <c r="DW256" s="451"/>
      <c r="DX256" s="451"/>
      <c r="DY256" s="451"/>
      <c r="DZ256" s="451"/>
      <c r="EA256" s="451"/>
      <c r="EB256" s="451"/>
      <c r="EC256" s="417" t="str">
        <f>IFERROR(VLOOKUP($CI256,Skills!$H$2:$K$620,4,FALSE),"")</f>
        <v/>
      </c>
      <c r="ED256" s="417"/>
      <c r="EE256" s="417"/>
      <c r="EF256" s="417"/>
      <c r="EG256" s="417"/>
      <c r="EH256" s="452"/>
      <c r="EI256" s="452"/>
      <c r="EJ256" s="452"/>
      <c r="EK256" s="452"/>
      <c r="EL256" s="453"/>
      <c r="EM256" s="451" t="str">
        <f>IFERROR(VLOOKUP($CJ256,Skills!$H$2:$N$620,7,FALSE),"")</f>
        <v/>
      </c>
      <c r="EN256" s="451"/>
      <c r="EO256" s="451"/>
      <c r="EP256" s="451"/>
      <c r="EQ256" s="451"/>
      <c r="ER256" s="451"/>
      <c r="ES256" s="451"/>
      <c r="ET256" s="451"/>
      <c r="EU256" s="451"/>
      <c r="EV256" s="451"/>
      <c r="EW256" s="451"/>
      <c r="EX256" s="451"/>
      <c r="EY256" s="451"/>
      <c r="EZ256" s="451"/>
      <c r="FA256" s="451"/>
      <c r="FB256" s="451"/>
      <c r="FC256" s="451"/>
      <c r="FD256" s="451"/>
      <c r="FE256" s="451"/>
      <c r="FF256" s="451"/>
      <c r="FG256" s="451"/>
      <c r="FH256" s="451"/>
      <c r="FI256" s="451"/>
      <c r="FJ256" s="451"/>
      <c r="FK256" s="451"/>
      <c r="FL256" s="451"/>
      <c r="FM256" s="451"/>
      <c r="FN256" s="451"/>
      <c r="FO256" s="451"/>
      <c r="FP256" s="451"/>
      <c r="FQ256" s="451"/>
      <c r="FR256" s="451"/>
      <c r="FS256" s="451"/>
      <c r="FT256" s="451"/>
      <c r="FU256" s="451"/>
      <c r="FV256" s="451"/>
      <c r="FW256" s="451"/>
      <c r="FX256" s="451"/>
      <c r="FY256" s="451"/>
      <c r="FZ256" s="451"/>
      <c r="GA256" s="451"/>
      <c r="GB256" s="451"/>
      <c r="GC256" s="451"/>
      <c r="GD256" s="451"/>
      <c r="GE256" s="417" t="str">
        <f>IFERROR(VLOOKUP($CJ256,Skills!$H$2:$K$620,4,FALSE),"")</f>
        <v/>
      </c>
      <c r="GF256" s="417"/>
      <c r="GG256" s="417"/>
      <c r="GH256" s="417"/>
      <c r="GI256" s="417"/>
      <c r="GJ256" s="454"/>
      <c r="GK256" s="454"/>
      <c r="GL256" s="454"/>
      <c r="GM256" s="454"/>
      <c r="GN256" s="455"/>
    </row>
    <row r="257" spans="87:196" x14ac:dyDescent="0.25">
      <c r="CI257">
        <v>243</v>
      </c>
      <c r="CJ257">
        <v>493</v>
      </c>
      <c r="CK257" s="365" t="str">
        <f>IFERROR(VLOOKUP($CI257,Skills!$H$2:$N$620,7,FALSE),"")</f>
        <v/>
      </c>
      <c r="CL257" s="366"/>
      <c r="CM257" s="366"/>
      <c r="CN257" s="366"/>
      <c r="CO257" s="366"/>
      <c r="CP257" s="366"/>
      <c r="CQ257" s="366"/>
      <c r="CR257" s="366"/>
      <c r="CS257" s="366"/>
      <c r="CT257" s="366"/>
      <c r="CU257" s="366"/>
      <c r="CV257" s="366"/>
      <c r="CW257" s="366"/>
      <c r="CX257" s="366"/>
      <c r="CY257" s="366"/>
      <c r="CZ257" s="366"/>
      <c r="DA257" s="366"/>
      <c r="DB257" s="366"/>
      <c r="DC257" s="366"/>
      <c r="DD257" s="366"/>
      <c r="DE257" s="366"/>
      <c r="DF257" s="366"/>
      <c r="DG257" s="366"/>
      <c r="DH257" s="366"/>
      <c r="DI257" s="366"/>
      <c r="DJ257" s="366"/>
      <c r="DK257" s="366"/>
      <c r="DL257" s="366"/>
      <c r="DM257" s="366"/>
      <c r="DN257" s="366"/>
      <c r="DO257" s="366"/>
      <c r="DP257" s="366"/>
      <c r="DQ257" s="366"/>
      <c r="DR257" s="366"/>
      <c r="DS257" s="366"/>
      <c r="DT257" s="366"/>
      <c r="DU257" s="366"/>
      <c r="DV257" s="366"/>
      <c r="DW257" s="366"/>
      <c r="DX257" s="366"/>
      <c r="DY257" s="366"/>
      <c r="DZ257" s="366"/>
      <c r="EA257" s="366"/>
      <c r="EB257" s="366"/>
      <c r="EC257" s="445" t="str">
        <f>IFERROR(VLOOKUP($CI257,Skills!$H$2:$K$620,4,FALSE),"")</f>
        <v/>
      </c>
      <c r="ED257" s="445"/>
      <c r="EE257" s="445"/>
      <c r="EF257" s="445"/>
      <c r="EG257" s="445"/>
      <c r="EH257" s="446"/>
      <c r="EI257" s="446"/>
      <c r="EJ257" s="446"/>
      <c r="EK257" s="446"/>
      <c r="EL257" s="447"/>
      <c r="EM257" s="366" t="str">
        <f>IFERROR(VLOOKUP($CJ257,Skills!$H$2:$N$620,7,FALSE),"")</f>
        <v/>
      </c>
      <c r="EN257" s="366"/>
      <c r="EO257" s="366"/>
      <c r="EP257" s="366"/>
      <c r="EQ257" s="366"/>
      <c r="ER257" s="366"/>
      <c r="ES257" s="366"/>
      <c r="ET257" s="366"/>
      <c r="EU257" s="366"/>
      <c r="EV257" s="366"/>
      <c r="EW257" s="366"/>
      <c r="EX257" s="366"/>
      <c r="EY257" s="366"/>
      <c r="EZ257" s="366"/>
      <c r="FA257" s="366"/>
      <c r="FB257" s="366"/>
      <c r="FC257" s="366"/>
      <c r="FD257" s="366"/>
      <c r="FE257" s="366"/>
      <c r="FF257" s="366"/>
      <c r="FG257" s="366"/>
      <c r="FH257" s="366"/>
      <c r="FI257" s="366"/>
      <c r="FJ257" s="366"/>
      <c r="FK257" s="366"/>
      <c r="FL257" s="366"/>
      <c r="FM257" s="366"/>
      <c r="FN257" s="366"/>
      <c r="FO257" s="366"/>
      <c r="FP257" s="366"/>
      <c r="FQ257" s="366"/>
      <c r="FR257" s="366"/>
      <c r="FS257" s="366"/>
      <c r="FT257" s="366"/>
      <c r="FU257" s="366"/>
      <c r="FV257" s="366"/>
      <c r="FW257" s="366"/>
      <c r="FX257" s="366"/>
      <c r="FY257" s="366"/>
      <c r="FZ257" s="366"/>
      <c r="GA257" s="366"/>
      <c r="GB257" s="366"/>
      <c r="GC257" s="366"/>
      <c r="GD257" s="366"/>
      <c r="GE257" s="445" t="str">
        <f>IFERROR(VLOOKUP($CJ257,Skills!$H$2:$K$620,4,FALSE),"")</f>
        <v/>
      </c>
      <c r="GF257" s="445"/>
      <c r="GG257" s="445"/>
      <c r="GH257" s="445"/>
      <c r="GI257" s="445"/>
      <c r="GJ257" s="448"/>
      <c r="GK257" s="448"/>
      <c r="GL257" s="448"/>
      <c r="GM257" s="448"/>
      <c r="GN257" s="449"/>
    </row>
    <row r="258" spans="87:196" x14ac:dyDescent="0.25">
      <c r="CI258">
        <v>244</v>
      </c>
      <c r="CJ258">
        <v>494</v>
      </c>
      <c r="CK258" s="450" t="str">
        <f>IFERROR(VLOOKUP($CI258,Skills!$H$2:$N$620,7,FALSE),"")</f>
        <v/>
      </c>
      <c r="CL258" s="451"/>
      <c r="CM258" s="451"/>
      <c r="CN258" s="451"/>
      <c r="CO258" s="451"/>
      <c r="CP258" s="451"/>
      <c r="CQ258" s="451"/>
      <c r="CR258" s="451"/>
      <c r="CS258" s="451"/>
      <c r="CT258" s="451"/>
      <c r="CU258" s="451"/>
      <c r="CV258" s="451"/>
      <c r="CW258" s="451"/>
      <c r="CX258" s="451"/>
      <c r="CY258" s="451"/>
      <c r="CZ258" s="451"/>
      <c r="DA258" s="451"/>
      <c r="DB258" s="451"/>
      <c r="DC258" s="451"/>
      <c r="DD258" s="451"/>
      <c r="DE258" s="451"/>
      <c r="DF258" s="451"/>
      <c r="DG258" s="451"/>
      <c r="DH258" s="451"/>
      <c r="DI258" s="451"/>
      <c r="DJ258" s="451"/>
      <c r="DK258" s="451"/>
      <c r="DL258" s="451"/>
      <c r="DM258" s="451"/>
      <c r="DN258" s="451"/>
      <c r="DO258" s="451"/>
      <c r="DP258" s="451"/>
      <c r="DQ258" s="451"/>
      <c r="DR258" s="451"/>
      <c r="DS258" s="451"/>
      <c r="DT258" s="451"/>
      <c r="DU258" s="451"/>
      <c r="DV258" s="451"/>
      <c r="DW258" s="451"/>
      <c r="DX258" s="451"/>
      <c r="DY258" s="451"/>
      <c r="DZ258" s="451"/>
      <c r="EA258" s="451"/>
      <c r="EB258" s="451"/>
      <c r="EC258" s="417" t="str">
        <f>IFERROR(VLOOKUP($CI258,Skills!$H$2:$K$620,4,FALSE),"")</f>
        <v/>
      </c>
      <c r="ED258" s="417"/>
      <c r="EE258" s="417"/>
      <c r="EF258" s="417"/>
      <c r="EG258" s="417"/>
      <c r="EH258" s="452"/>
      <c r="EI258" s="452"/>
      <c r="EJ258" s="452"/>
      <c r="EK258" s="452"/>
      <c r="EL258" s="453"/>
      <c r="EM258" s="451" t="str">
        <f>IFERROR(VLOOKUP($CJ258,Skills!$H$2:$N$620,7,FALSE),"")</f>
        <v/>
      </c>
      <c r="EN258" s="451"/>
      <c r="EO258" s="451"/>
      <c r="EP258" s="451"/>
      <c r="EQ258" s="451"/>
      <c r="ER258" s="451"/>
      <c r="ES258" s="451"/>
      <c r="ET258" s="451"/>
      <c r="EU258" s="451"/>
      <c r="EV258" s="451"/>
      <c r="EW258" s="451"/>
      <c r="EX258" s="451"/>
      <c r="EY258" s="451"/>
      <c r="EZ258" s="451"/>
      <c r="FA258" s="451"/>
      <c r="FB258" s="451"/>
      <c r="FC258" s="451"/>
      <c r="FD258" s="451"/>
      <c r="FE258" s="451"/>
      <c r="FF258" s="451"/>
      <c r="FG258" s="451"/>
      <c r="FH258" s="451"/>
      <c r="FI258" s="451"/>
      <c r="FJ258" s="451"/>
      <c r="FK258" s="451"/>
      <c r="FL258" s="451"/>
      <c r="FM258" s="451"/>
      <c r="FN258" s="451"/>
      <c r="FO258" s="451"/>
      <c r="FP258" s="451"/>
      <c r="FQ258" s="451"/>
      <c r="FR258" s="451"/>
      <c r="FS258" s="451"/>
      <c r="FT258" s="451"/>
      <c r="FU258" s="451"/>
      <c r="FV258" s="451"/>
      <c r="FW258" s="451"/>
      <c r="FX258" s="451"/>
      <c r="FY258" s="451"/>
      <c r="FZ258" s="451"/>
      <c r="GA258" s="451"/>
      <c r="GB258" s="451"/>
      <c r="GC258" s="451"/>
      <c r="GD258" s="451"/>
      <c r="GE258" s="417" t="str">
        <f>IFERROR(VLOOKUP($CJ258,Skills!$H$2:$K$620,4,FALSE),"")</f>
        <v/>
      </c>
      <c r="GF258" s="417"/>
      <c r="GG258" s="417"/>
      <c r="GH258" s="417"/>
      <c r="GI258" s="417"/>
      <c r="GJ258" s="454"/>
      <c r="GK258" s="454"/>
      <c r="GL258" s="454"/>
      <c r="GM258" s="454"/>
      <c r="GN258" s="455"/>
    </row>
    <row r="259" spans="87:196" x14ac:dyDescent="0.25">
      <c r="CI259">
        <v>245</v>
      </c>
      <c r="CJ259">
        <v>495</v>
      </c>
      <c r="CK259" s="365" t="str">
        <f>IFERROR(VLOOKUP($CI259,Skills!$H$2:$N$620,7,FALSE),"")</f>
        <v/>
      </c>
      <c r="CL259" s="366"/>
      <c r="CM259" s="366"/>
      <c r="CN259" s="366"/>
      <c r="CO259" s="366"/>
      <c r="CP259" s="366"/>
      <c r="CQ259" s="366"/>
      <c r="CR259" s="366"/>
      <c r="CS259" s="366"/>
      <c r="CT259" s="366"/>
      <c r="CU259" s="366"/>
      <c r="CV259" s="366"/>
      <c r="CW259" s="366"/>
      <c r="CX259" s="366"/>
      <c r="CY259" s="366"/>
      <c r="CZ259" s="366"/>
      <c r="DA259" s="366"/>
      <c r="DB259" s="366"/>
      <c r="DC259" s="366"/>
      <c r="DD259" s="366"/>
      <c r="DE259" s="366"/>
      <c r="DF259" s="366"/>
      <c r="DG259" s="366"/>
      <c r="DH259" s="366"/>
      <c r="DI259" s="366"/>
      <c r="DJ259" s="366"/>
      <c r="DK259" s="366"/>
      <c r="DL259" s="366"/>
      <c r="DM259" s="366"/>
      <c r="DN259" s="366"/>
      <c r="DO259" s="366"/>
      <c r="DP259" s="366"/>
      <c r="DQ259" s="366"/>
      <c r="DR259" s="366"/>
      <c r="DS259" s="366"/>
      <c r="DT259" s="366"/>
      <c r="DU259" s="366"/>
      <c r="DV259" s="366"/>
      <c r="DW259" s="366"/>
      <c r="DX259" s="366"/>
      <c r="DY259" s="366"/>
      <c r="DZ259" s="366"/>
      <c r="EA259" s="366"/>
      <c r="EB259" s="366"/>
      <c r="EC259" s="445" t="str">
        <f>IFERROR(VLOOKUP($CI259,Skills!$H$2:$K$620,4,FALSE),"")</f>
        <v/>
      </c>
      <c r="ED259" s="445"/>
      <c r="EE259" s="445"/>
      <c r="EF259" s="445"/>
      <c r="EG259" s="445"/>
      <c r="EH259" s="446"/>
      <c r="EI259" s="446"/>
      <c r="EJ259" s="446"/>
      <c r="EK259" s="446"/>
      <c r="EL259" s="447"/>
      <c r="EM259" s="366" t="str">
        <f>IFERROR(VLOOKUP($CJ259,Skills!$H$2:$N$620,7,FALSE),"")</f>
        <v/>
      </c>
      <c r="EN259" s="366"/>
      <c r="EO259" s="366"/>
      <c r="EP259" s="366"/>
      <c r="EQ259" s="366"/>
      <c r="ER259" s="366"/>
      <c r="ES259" s="366"/>
      <c r="ET259" s="366"/>
      <c r="EU259" s="366"/>
      <c r="EV259" s="366"/>
      <c r="EW259" s="366"/>
      <c r="EX259" s="366"/>
      <c r="EY259" s="366"/>
      <c r="EZ259" s="366"/>
      <c r="FA259" s="366"/>
      <c r="FB259" s="366"/>
      <c r="FC259" s="366"/>
      <c r="FD259" s="366"/>
      <c r="FE259" s="366"/>
      <c r="FF259" s="366"/>
      <c r="FG259" s="366"/>
      <c r="FH259" s="366"/>
      <c r="FI259" s="366"/>
      <c r="FJ259" s="366"/>
      <c r="FK259" s="366"/>
      <c r="FL259" s="366"/>
      <c r="FM259" s="366"/>
      <c r="FN259" s="366"/>
      <c r="FO259" s="366"/>
      <c r="FP259" s="366"/>
      <c r="FQ259" s="366"/>
      <c r="FR259" s="366"/>
      <c r="FS259" s="366"/>
      <c r="FT259" s="366"/>
      <c r="FU259" s="366"/>
      <c r="FV259" s="366"/>
      <c r="FW259" s="366"/>
      <c r="FX259" s="366"/>
      <c r="FY259" s="366"/>
      <c r="FZ259" s="366"/>
      <c r="GA259" s="366"/>
      <c r="GB259" s="366"/>
      <c r="GC259" s="366"/>
      <c r="GD259" s="366"/>
      <c r="GE259" s="445" t="str">
        <f>IFERROR(VLOOKUP($CJ259,Skills!$H$2:$K$620,4,FALSE),"")</f>
        <v/>
      </c>
      <c r="GF259" s="445"/>
      <c r="GG259" s="445"/>
      <c r="GH259" s="445"/>
      <c r="GI259" s="445"/>
      <c r="GJ259" s="448"/>
      <c r="GK259" s="448"/>
      <c r="GL259" s="448"/>
      <c r="GM259" s="448"/>
      <c r="GN259" s="449"/>
    </row>
    <row r="260" spans="87:196" x14ac:dyDescent="0.25">
      <c r="CI260">
        <v>246</v>
      </c>
      <c r="CJ260">
        <v>496</v>
      </c>
      <c r="CK260" s="450" t="str">
        <f>IFERROR(VLOOKUP($CI260,Skills!$H$2:$N$620,7,FALSE),"")</f>
        <v/>
      </c>
      <c r="CL260" s="451"/>
      <c r="CM260" s="451"/>
      <c r="CN260" s="451"/>
      <c r="CO260" s="451"/>
      <c r="CP260" s="451"/>
      <c r="CQ260" s="451"/>
      <c r="CR260" s="451"/>
      <c r="CS260" s="451"/>
      <c r="CT260" s="451"/>
      <c r="CU260" s="451"/>
      <c r="CV260" s="451"/>
      <c r="CW260" s="451"/>
      <c r="CX260" s="451"/>
      <c r="CY260" s="451"/>
      <c r="CZ260" s="451"/>
      <c r="DA260" s="451"/>
      <c r="DB260" s="451"/>
      <c r="DC260" s="451"/>
      <c r="DD260" s="451"/>
      <c r="DE260" s="451"/>
      <c r="DF260" s="451"/>
      <c r="DG260" s="451"/>
      <c r="DH260" s="451"/>
      <c r="DI260" s="451"/>
      <c r="DJ260" s="451"/>
      <c r="DK260" s="451"/>
      <c r="DL260" s="451"/>
      <c r="DM260" s="451"/>
      <c r="DN260" s="451"/>
      <c r="DO260" s="451"/>
      <c r="DP260" s="451"/>
      <c r="DQ260" s="451"/>
      <c r="DR260" s="451"/>
      <c r="DS260" s="451"/>
      <c r="DT260" s="451"/>
      <c r="DU260" s="451"/>
      <c r="DV260" s="451"/>
      <c r="DW260" s="451"/>
      <c r="DX260" s="451"/>
      <c r="DY260" s="451"/>
      <c r="DZ260" s="451"/>
      <c r="EA260" s="451"/>
      <c r="EB260" s="451"/>
      <c r="EC260" s="417" t="str">
        <f>IFERROR(VLOOKUP($CI260,Skills!$H$2:$K$620,4,FALSE),"")</f>
        <v/>
      </c>
      <c r="ED260" s="417"/>
      <c r="EE260" s="417"/>
      <c r="EF260" s="417"/>
      <c r="EG260" s="417"/>
      <c r="EH260" s="452"/>
      <c r="EI260" s="452"/>
      <c r="EJ260" s="452"/>
      <c r="EK260" s="452"/>
      <c r="EL260" s="453"/>
      <c r="EM260" s="451" t="str">
        <f>IFERROR(VLOOKUP($CJ260,Skills!$H$2:$N$620,7,FALSE),"")</f>
        <v/>
      </c>
      <c r="EN260" s="451"/>
      <c r="EO260" s="451"/>
      <c r="EP260" s="451"/>
      <c r="EQ260" s="451"/>
      <c r="ER260" s="451"/>
      <c r="ES260" s="451"/>
      <c r="ET260" s="451"/>
      <c r="EU260" s="451"/>
      <c r="EV260" s="451"/>
      <c r="EW260" s="451"/>
      <c r="EX260" s="451"/>
      <c r="EY260" s="451"/>
      <c r="EZ260" s="451"/>
      <c r="FA260" s="451"/>
      <c r="FB260" s="451"/>
      <c r="FC260" s="451"/>
      <c r="FD260" s="451"/>
      <c r="FE260" s="451"/>
      <c r="FF260" s="451"/>
      <c r="FG260" s="451"/>
      <c r="FH260" s="451"/>
      <c r="FI260" s="451"/>
      <c r="FJ260" s="451"/>
      <c r="FK260" s="451"/>
      <c r="FL260" s="451"/>
      <c r="FM260" s="451"/>
      <c r="FN260" s="451"/>
      <c r="FO260" s="451"/>
      <c r="FP260" s="451"/>
      <c r="FQ260" s="451"/>
      <c r="FR260" s="451"/>
      <c r="FS260" s="451"/>
      <c r="FT260" s="451"/>
      <c r="FU260" s="451"/>
      <c r="FV260" s="451"/>
      <c r="FW260" s="451"/>
      <c r="FX260" s="451"/>
      <c r="FY260" s="451"/>
      <c r="FZ260" s="451"/>
      <c r="GA260" s="451"/>
      <c r="GB260" s="451"/>
      <c r="GC260" s="451"/>
      <c r="GD260" s="451"/>
      <c r="GE260" s="417" t="str">
        <f>IFERROR(VLOOKUP($CJ260,Skills!$H$2:$K$620,4,FALSE),"")</f>
        <v/>
      </c>
      <c r="GF260" s="417"/>
      <c r="GG260" s="417"/>
      <c r="GH260" s="417"/>
      <c r="GI260" s="417"/>
      <c r="GJ260" s="454"/>
      <c r="GK260" s="454"/>
      <c r="GL260" s="454"/>
      <c r="GM260" s="454"/>
      <c r="GN260" s="455"/>
    </row>
    <row r="261" spans="87:196" x14ac:dyDescent="0.25">
      <c r="CI261">
        <v>247</v>
      </c>
      <c r="CJ261">
        <v>497</v>
      </c>
      <c r="CK261" s="365" t="str">
        <f>IFERROR(VLOOKUP($CI261,Skills!$H$2:$N$620,7,FALSE),"")</f>
        <v/>
      </c>
      <c r="CL261" s="366"/>
      <c r="CM261" s="366"/>
      <c r="CN261" s="366"/>
      <c r="CO261" s="366"/>
      <c r="CP261" s="366"/>
      <c r="CQ261" s="366"/>
      <c r="CR261" s="366"/>
      <c r="CS261" s="366"/>
      <c r="CT261" s="366"/>
      <c r="CU261" s="366"/>
      <c r="CV261" s="366"/>
      <c r="CW261" s="366"/>
      <c r="CX261" s="366"/>
      <c r="CY261" s="366"/>
      <c r="CZ261" s="366"/>
      <c r="DA261" s="366"/>
      <c r="DB261" s="366"/>
      <c r="DC261" s="366"/>
      <c r="DD261" s="366"/>
      <c r="DE261" s="366"/>
      <c r="DF261" s="366"/>
      <c r="DG261" s="366"/>
      <c r="DH261" s="366"/>
      <c r="DI261" s="366"/>
      <c r="DJ261" s="366"/>
      <c r="DK261" s="366"/>
      <c r="DL261" s="366"/>
      <c r="DM261" s="366"/>
      <c r="DN261" s="366"/>
      <c r="DO261" s="366"/>
      <c r="DP261" s="366"/>
      <c r="DQ261" s="366"/>
      <c r="DR261" s="366"/>
      <c r="DS261" s="366"/>
      <c r="DT261" s="366"/>
      <c r="DU261" s="366"/>
      <c r="DV261" s="366"/>
      <c r="DW261" s="366"/>
      <c r="DX261" s="366"/>
      <c r="DY261" s="366"/>
      <c r="DZ261" s="366"/>
      <c r="EA261" s="366"/>
      <c r="EB261" s="366"/>
      <c r="EC261" s="445" t="str">
        <f>IFERROR(VLOOKUP($CI261,Skills!$H$2:$K$620,4,FALSE),"")</f>
        <v/>
      </c>
      <c r="ED261" s="445"/>
      <c r="EE261" s="445"/>
      <c r="EF261" s="445"/>
      <c r="EG261" s="445"/>
      <c r="EH261" s="446"/>
      <c r="EI261" s="446"/>
      <c r="EJ261" s="446"/>
      <c r="EK261" s="446"/>
      <c r="EL261" s="447"/>
      <c r="EM261" s="366" t="str">
        <f>IFERROR(VLOOKUP($CJ261,Skills!$H$2:$N$620,7,FALSE),"")</f>
        <v/>
      </c>
      <c r="EN261" s="366"/>
      <c r="EO261" s="366"/>
      <c r="EP261" s="366"/>
      <c r="EQ261" s="366"/>
      <c r="ER261" s="366"/>
      <c r="ES261" s="366"/>
      <c r="ET261" s="366"/>
      <c r="EU261" s="366"/>
      <c r="EV261" s="366"/>
      <c r="EW261" s="366"/>
      <c r="EX261" s="366"/>
      <c r="EY261" s="366"/>
      <c r="EZ261" s="366"/>
      <c r="FA261" s="366"/>
      <c r="FB261" s="366"/>
      <c r="FC261" s="366"/>
      <c r="FD261" s="366"/>
      <c r="FE261" s="366"/>
      <c r="FF261" s="366"/>
      <c r="FG261" s="366"/>
      <c r="FH261" s="366"/>
      <c r="FI261" s="366"/>
      <c r="FJ261" s="366"/>
      <c r="FK261" s="366"/>
      <c r="FL261" s="366"/>
      <c r="FM261" s="366"/>
      <c r="FN261" s="366"/>
      <c r="FO261" s="366"/>
      <c r="FP261" s="366"/>
      <c r="FQ261" s="366"/>
      <c r="FR261" s="366"/>
      <c r="FS261" s="366"/>
      <c r="FT261" s="366"/>
      <c r="FU261" s="366"/>
      <c r="FV261" s="366"/>
      <c r="FW261" s="366"/>
      <c r="FX261" s="366"/>
      <c r="FY261" s="366"/>
      <c r="FZ261" s="366"/>
      <c r="GA261" s="366"/>
      <c r="GB261" s="366"/>
      <c r="GC261" s="366"/>
      <c r="GD261" s="366"/>
      <c r="GE261" s="445" t="str">
        <f>IFERROR(VLOOKUP($CJ261,Skills!$H$2:$K$620,4,FALSE),"")</f>
        <v/>
      </c>
      <c r="GF261" s="445"/>
      <c r="GG261" s="445"/>
      <c r="GH261" s="445"/>
      <c r="GI261" s="445"/>
      <c r="GJ261" s="448"/>
      <c r="GK261" s="448"/>
      <c r="GL261" s="448"/>
      <c r="GM261" s="448"/>
      <c r="GN261" s="449"/>
    </row>
    <row r="262" spans="87:196" x14ac:dyDescent="0.25">
      <c r="CI262">
        <v>248</v>
      </c>
      <c r="CJ262">
        <v>498</v>
      </c>
      <c r="CK262" s="450" t="str">
        <f>IFERROR(VLOOKUP($CI262,Skills!$H$2:$N$620,7,FALSE),"")</f>
        <v/>
      </c>
      <c r="CL262" s="451"/>
      <c r="CM262" s="451"/>
      <c r="CN262" s="451"/>
      <c r="CO262" s="451"/>
      <c r="CP262" s="451"/>
      <c r="CQ262" s="451"/>
      <c r="CR262" s="451"/>
      <c r="CS262" s="451"/>
      <c r="CT262" s="451"/>
      <c r="CU262" s="451"/>
      <c r="CV262" s="451"/>
      <c r="CW262" s="451"/>
      <c r="CX262" s="451"/>
      <c r="CY262" s="451"/>
      <c r="CZ262" s="451"/>
      <c r="DA262" s="451"/>
      <c r="DB262" s="451"/>
      <c r="DC262" s="451"/>
      <c r="DD262" s="451"/>
      <c r="DE262" s="451"/>
      <c r="DF262" s="451"/>
      <c r="DG262" s="451"/>
      <c r="DH262" s="451"/>
      <c r="DI262" s="451"/>
      <c r="DJ262" s="451"/>
      <c r="DK262" s="451"/>
      <c r="DL262" s="451"/>
      <c r="DM262" s="451"/>
      <c r="DN262" s="451"/>
      <c r="DO262" s="451"/>
      <c r="DP262" s="451"/>
      <c r="DQ262" s="451"/>
      <c r="DR262" s="451"/>
      <c r="DS262" s="451"/>
      <c r="DT262" s="451"/>
      <c r="DU262" s="451"/>
      <c r="DV262" s="451"/>
      <c r="DW262" s="451"/>
      <c r="DX262" s="451"/>
      <c r="DY262" s="451"/>
      <c r="DZ262" s="451"/>
      <c r="EA262" s="451"/>
      <c r="EB262" s="451"/>
      <c r="EC262" s="417" t="str">
        <f>IFERROR(VLOOKUP($CI262,Skills!$H$2:$K$620,4,FALSE),"")</f>
        <v/>
      </c>
      <c r="ED262" s="417"/>
      <c r="EE262" s="417"/>
      <c r="EF262" s="417"/>
      <c r="EG262" s="417"/>
      <c r="EH262" s="452"/>
      <c r="EI262" s="452"/>
      <c r="EJ262" s="452"/>
      <c r="EK262" s="452"/>
      <c r="EL262" s="453"/>
      <c r="EM262" s="451" t="str">
        <f>IFERROR(VLOOKUP($CJ262,Skills!$H$2:$N$620,7,FALSE),"")</f>
        <v/>
      </c>
      <c r="EN262" s="451"/>
      <c r="EO262" s="451"/>
      <c r="EP262" s="451"/>
      <c r="EQ262" s="451"/>
      <c r="ER262" s="451"/>
      <c r="ES262" s="451"/>
      <c r="ET262" s="451"/>
      <c r="EU262" s="451"/>
      <c r="EV262" s="451"/>
      <c r="EW262" s="451"/>
      <c r="EX262" s="451"/>
      <c r="EY262" s="451"/>
      <c r="EZ262" s="451"/>
      <c r="FA262" s="451"/>
      <c r="FB262" s="451"/>
      <c r="FC262" s="451"/>
      <c r="FD262" s="451"/>
      <c r="FE262" s="451"/>
      <c r="FF262" s="451"/>
      <c r="FG262" s="451"/>
      <c r="FH262" s="451"/>
      <c r="FI262" s="451"/>
      <c r="FJ262" s="451"/>
      <c r="FK262" s="451"/>
      <c r="FL262" s="451"/>
      <c r="FM262" s="451"/>
      <c r="FN262" s="451"/>
      <c r="FO262" s="451"/>
      <c r="FP262" s="451"/>
      <c r="FQ262" s="451"/>
      <c r="FR262" s="451"/>
      <c r="FS262" s="451"/>
      <c r="FT262" s="451"/>
      <c r="FU262" s="451"/>
      <c r="FV262" s="451"/>
      <c r="FW262" s="451"/>
      <c r="FX262" s="451"/>
      <c r="FY262" s="451"/>
      <c r="FZ262" s="451"/>
      <c r="GA262" s="451"/>
      <c r="GB262" s="451"/>
      <c r="GC262" s="451"/>
      <c r="GD262" s="451"/>
      <c r="GE262" s="417" t="str">
        <f>IFERROR(VLOOKUP($CJ262,Skills!$H$2:$K$620,4,FALSE),"")</f>
        <v/>
      </c>
      <c r="GF262" s="417"/>
      <c r="GG262" s="417"/>
      <c r="GH262" s="417"/>
      <c r="GI262" s="417"/>
      <c r="GJ262" s="454"/>
      <c r="GK262" s="454"/>
      <c r="GL262" s="454"/>
      <c r="GM262" s="454"/>
      <c r="GN262" s="455"/>
    </row>
    <row r="263" spans="87:196" x14ac:dyDescent="0.25">
      <c r="CI263">
        <v>249</v>
      </c>
      <c r="CJ263">
        <v>499</v>
      </c>
      <c r="CK263" s="365" t="str">
        <f>IFERROR(VLOOKUP($CI263,Skills!$H$2:$N$620,7,FALSE),"")</f>
        <v/>
      </c>
      <c r="CL263" s="366"/>
      <c r="CM263" s="366"/>
      <c r="CN263" s="366"/>
      <c r="CO263" s="366"/>
      <c r="CP263" s="366"/>
      <c r="CQ263" s="366"/>
      <c r="CR263" s="366"/>
      <c r="CS263" s="366"/>
      <c r="CT263" s="366"/>
      <c r="CU263" s="366"/>
      <c r="CV263" s="366"/>
      <c r="CW263" s="366"/>
      <c r="CX263" s="366"/>
      <c r="CY263" s="366"/>
      <c r="CZ263" s="366"/>
      <c r="DA263" s="366"/>
      <c r="DB263" s="366"/>
      <c r="DC263" s="366"/>
      <c r="DD263" s="366"/>
      <c r="DE263" s="366"/>
      <c r="DF263" s="366"/>
      <c r="DG263" s="366"/>
      <c r="DH263" s="366"/>
      <c r="DI263" s="366"/>
      <c r="DJ263" s="366"/>
      <c r="DK263" s="366"/>
      <c r="DL263" s="366"/>
      <c r="DM263" s="366"/>
      <c r="DN263" s="366"/>
      <c r="DO263" s="366"/>
      <c r="DP263" s="366"/>
      <c r="DQ263" s="366"/>
      <c r="DR263" s="366"/>
      <c r="DS263" s="366"/>
      <c r="DT263" s="366"/>
      <c r="DU263" s="366"/>
      <c r="DV263" s="366"/>
      <c r="DW263" s="366"/>
      <c r="DX263" s="366"/>
      <c r="DY263" s="366"/>
      <c r="DZ263" s="366"/>
      <c r="EA263" s="366"/>
      <c r="EB263" s="366"/>
      <c r="EC263" s="445" t="str">
        <f>IFERROR(VLOOKUP($CI263,Skills!$H$2:$K$620,4,FALSE),"")</f>
        <v/>
      </c>
      <c r="ED263" s="445"/>
      <c r="EE263" s="445"/>
      <c r="EF263" s="445"/>
      <c r="EG263" s="445"/>
      <c r="EH263" s="446"/>
      <c r="EI263" s="446"/>
      <c r="EJ263" s="446"/>
      <c r="EK263" s="446"/>
      <c r="EL263" s="447"/>
      <c r="EM263" s="366" t="str">
        <f>IFERROR(VLOOKUP($CJ263,Skills!$H$2:$N$620,7,FALSE),"")</f>
        <v/>
      </c>
      <c r="EN263" s="366"/>
      <c r="EO263" s="366"/>
      <c r="EP263" s="366"/>
      <c r="EQ263" s="366"/>
      <c r="ER263" s="366"/>
      <c r="ES263" s="366"/>
      <c r="ET263" s="366"/>
      <c r="EU263" s="366"/>
      <c r="EV263" s="366"/>
      <c r="EW263" s="366"/>
      <c r="EX263" s="366"/>
      <c r="EY263" s="366"/>
      <c r="EZ263" s="366"/>
      <c r="FA263" s="366"/>
      <c r="FB263" s="366"/>
      <c r="FC263" s="366"/>
      <c r="FD263" s="366"/>
      <c r="FE263" s="366"/>
      <c r="FF263" s="366"/>
      <c r="FG263" s="366"/>
      <c r="FH263" s="366"/>
      <c r="FI263" s="366"/>
      <c r="FJ263" s="366"/>
      <c r="FK263" s="366"/>
      <c r="FL263" s="366"/>
      <c r="FM263" s="366"/>
      <c r="FN263" s="366"/>
      <c r="FO263" s="366"/>
      <c r="FP263" s="366"/>
      <c r="FQ263" s="366"/>
      <c r="FR263" s="366"/>
      <c r="FS263" s="366"/>
      <c r="FT263" s="366"/>
      <c r="FU263" s="366"/>
      <c r="FV263" s="366"/>
      <c r="FW263" s="366"/>
      <c r="FX263" s="366"/>
      <c r="FY263" s="366"/>
      <c r="FZ263" s="366"/>
      <c r="GA263" s="366"/>
      <c r="GB263" s="366"/>
      <c r="GC263" s="366"/>
      <c r="GD263" s="366"/>
      <c r="GE263" s="445" t="str">
        <f>IFERROR(VLOOKUP($CJ263,Skills!$H$2:$K$620,4,FALSE),"")</f>
        <v/>
      </c>
      <c r="GF263" s="445"/>
      <c r="GG263" s="445"/>
      <c r="GH263" s="445"/>
      <c r="GI263" s="445"/>
      <c r="GJ263" s="448"/>
      <c r="GK263" s="448"/>
      <c r="GL263" s="448"/>
      <c r="GM263" s="448"/>
      <c r="GN263" s="449"/>
    </row>
    <row r="264" spans="87:196" x14ac:dyDescent="0.25">
      <c r="CI264">
        <v>250</v>
      </c>
      <c r="CJ264">
        <v>500</v>
      </c>
      <c r="CK264" s="470" t="str">
        <f>IFERROR(VLOOKUP($CI264,Skills!$H$2:$N$620,7,FALSE),"")</f>
        <v/>
      </c>
      <c r="CL264" s="471"/>
      <c r="CM264" s="471"/>
      <c r="CN264" s="471"/>
      <c r="CO264" s="471"/>
      <c r="CP264" s="471"/>
      <c r="CQ264" s="471"/>
      <c r="CR264" s="471"/>
      <c r="CS264" s="471"/>
      <c r="CT264" s="471"/>
      <c r="CU264" s="471"/>
      <c r="CV264" s="471"/>
      <c r="CW264" s="471"/>
      <c r="CX264" s="471"/>
      <c r="CY264" s="471"/>
      <c r="CZ264" s="471"/>
      <c r="DA264" s="471"/>
      <c r="DB264" s="471"/>
      <c r="DC264" s="471"/>
      <c r="DD264" s="471"/>
      <c r="DE264" s="471"/>
      <c r="DF264" s="471"/>
      <c r="DG264" s="471"/>
      <c r="DH264" s="471"/>
      <c r="DI264" s="471"/>
      <c r="DJ264" s="471"/>
      <c r="DK264" s="471"/>
      <c r="DL264" s="471"/>
      <c r="DM264" s="471"/>
      <c r="DN264" s="471"/>
      <c r="DO264" s="471"/>
      <c r="DP264" s="471"/>
      <c r="DQ264" s="471"/>
      <c r="DR264" s="471"/>
      <c r="DS264" s="471"/>
      <c r="DT264" s="471"/>
      <c r="DU264" s="471"/>
      <c r="DV264" s="471"/>
      <c r="DW264" s="471"/>
      <c r="DX264" s="471"/>
      <c r="DY264" s="471"/>
      <c r="DZ264" s="471"/>
      <c r="EA264" s="471"/>
      <c r="EB264" s="471"/>
      <c r="EC264" s="427" t="str">
        <f>IFERROR(VLOOKUP($CI264,Skills!$H$2:$K$620,4,FALSE),"")</f>
        <v/>
      </c>
      <c r="ED264" s="427"/>
      <c r="EE264" s="427"/>
      <c r="EF264" s="427"/>
      <c r="EG264" s="427"/>
      <c r="EH264" s="472"/>
      <c r="EI264" s="472"/>
      <c r="EJ264" s="472"/>
      <c r="EK264" s="472"/>
      <c r="EL264" s="473"/>
      <c r="EM264" s="471" t="str">
        <f>IFERROR(VLOOKUP($CJ264,Skills!$H$2:$N$620,7,FALSE),"")</f>
        <v/>
      </c>
      <c r="EN264" s="471"/>
      <c r="EO264" s="471"/>
      <c r="EP264" s="471"/>
      <c r="EQ264" s="471"/>
      <c r="ER264" s="471"/>
      <c r="ES264" s="471"/>
      <c r="ET264" s="471"/>
      <c r="EU264" s="471"/>
      <c r="EV264" s="471"/>
      <c r="EW264" s="471"/>
      <c r="EX264" s="471"/>
      <c r="EY264" s="471"/>
      <c r="EZ264" s="471"/>
      <c r="FA264" s="471"/>
      <c r="FB264" s="471"/>
      <c r="FC264" s="471"/>
      <c r="FD264" s="471"/>
      <c r="FE264" s="471"/>
      <c r="FF264" s="471"/>
      <c r="FG264" s="471"/>
      <c r="FH264" s="471"/>
      <c r="FI264" s="471"/>
      <c r="FJ264" s="471"/>
      <c r="FK264" s="471"/>
      <c r="FL264" s="471"/>
      <c r="FM264" s="471"/>
      <c r="FN264" s="471"/>
      <c r="FO264" s="471"/>
      <c r="FP264" s="471"/>
      <c r="FQ264" s="471"/>
      <c r="FR264" s="471"/>
      <c r="FS264" s="471"/>
      <c r="FT264" s="471"/>
      <c r="FU264" s="471"/>
      <c r="FV264" s="471"/>
      <c r="FW264" s="471"/>
      <c r="FX264" s="471"/>
      <c r="FY264" s="471"/>
      <c r="FZ264" s="471"/>
      <c r="GA264" s="471"/>
      <c r="GB264" s="471"/>
      <c r="GC264" s="471"/>
      <c r="GD264" s="471"/>
      <c r="GE264" s="427" t="str">
        <f>IFERROR(VLOOKUP($CJ264,Skills!$H$2:$K$620,4,FALSE),"")</f>
        <v/>
      </c>
      <c r="GF264" s="427"/>
      <c r="GG264" s="427"/>
      <c r="GH264" s="427"/>
      <c r="GI264" s="427"/>
      <c r="GJ264" s="474"/>
      <c r="GK264" s="474"/>
      <c r="GL264" s="474"/>
      <c r="GM264" s="474"/>
      <c r="GN264" s="475"/>
    </row>
  </sheetData>
  <mergeCells count="1788">
    <mergeCell ref="GQ47:ID47"/>
    <mergeCell ref="IE47:MM47"/>
    <mergeCell ref="MN47:MZ47"/>
    <mergeCell ref="GQ49:MZ49"/>
    <mergeCell ref="GQ44:ID44"/>
    <mergeCell ref="IE44:MM44"/>
    <mergeCell ref="MN44:MZ44"/>
    <mergeCell ref="GQ45:ID45"/>
    <mergeCell ref="IE45:MM45"/>
    <mergeCell ref="MN45:MZ45"/>
    <mergeCell ref="GQ46:ID46"/>
    <mergeCell ref="IE46:MM46"/>
    <mergeCell ref="MN46:MZ46"/>
    <mergeCell ref="GQ41:ID41"/>
    <mergeCell ref="IE41:MM41"/>
    <mergeCell ref="MN41:MZ41"/>
    <mergeCell ref="GQ42:ID42"/>
    <mergeCell ref="IE42:MM42"/>
    <mergeCell ref="MN42:MZ42"/>
    <mergeCell ref="GQ43:ID43"/>
    <mergeCell ref="IE43:MM43"/>
    <mergeCell ref="MN43:MZ43"/>
    <mergeCell ref="GQ38:ID38"/>
    <mergeCell ref="IE38:MM38"/>
    <mergeCell ref="MN38:MZ38"/>
    <mergeCell ref="GQ39:ID39"/>
    <mergeCell ref="IE39:MM39"/>
    <mergeCell ref="MN39:MZ39"/>
    <mergeCell ref="GQ40:ID40"/>
    <mergeCell ref="IE40:MM40"/>
    <mergeCell ref="MN40:MZ40"/>
    <mergeCell ref="GQ35:ID35"/>
    <mergeCell ref="IE35:MM35"/>
    <mergeCell ref="MN35:MZ35"/>
    <mergeCell ref="GQ36:ID36"/>
    <mergeCell ref="IE36:MM36"/>
    <mergeCell ref="MN36:MZ36"/>
    <mergeCell ref="GQ37:ID37"/>
    <mergeCell ref="IE37:MM37"/>
    <mergeCell ref="MN37:MZ37"/>
    <mergeCell ref="GQ29:MZ29"/>
    <mergeCell ref="GQ30:MZ30"/>
    <mergeCell ref="GQ32:ID32"/>
    <mergeCell ref="IE32:MM32"/>
    <mergeCell ref="MN32:MZ32"/>
    <mergeCell ref="GQ33:ID33"/>
    <mergeCell ref="IE33:MM33"/>
    <mergeCell ref="MN33:MZ33"/>
    <mergeCell ref="GQ34:ID34"/>
    <mergeCell ref="IE34:MM34"/>
    <mergeCell ref="MN34:MZ34"/>
    <mergeCell ref="GQ23:ID23"/>
    <mergeCell ref="IE23:MZ23"/>
    <mergeCell ref="GQ24:ID24"/>
    <mergeCell ref="IE24:MZ24"/>
    <mergeCell ref="GQ25:ID25"/>
    <mergeCell ref="IE25:MZ25"/>
    <mergeCell ref="GQ26:ID26"/>
    <mergeCell ref="IE26:MZ26"/>
    <mergeCell ref="GQ28:GT28"/>
    <mergeCell ref="GU28:MZ28"/>
    <mergeCell ref="GQ31:MZ31"/>
    <mergeCell ref="GQ18:ID18"/>
    <mergeCell ref="IE18:MZ18"/>
    <mergeCell ref="GQ19:ID19"/>
    <mergeCell ref="IE19:MZ19"/>
    <mergeCell ref="GQ20:ID20"/>
    <mergeCell ref="IE20:MZ20"/>
    <mergeCell ref="GQ21:ID21"/>
    <mergeCell ref="IE21:MZ21"/>
    <mergeCell ref="GQ22:ID22"/>
    <mergeCell ref="IE22:MZ22"/>
    <mergeCell ref="GQ8:GT8"/>
    <mergeCell ref="GU8:MZ8"/>
    <mergeCell ref="GQ9:MZ14"/>
    <mergeCell ref="GQ15:ID15"/>
    <mergeCell ref="IE15:MZ15"/>
    <mergeCell ref="GQ16:ID16"/>
    <mergeCell ref="IE16:MZ16"/>
    <mergeCell ref="GQ17:ID17"/>
    <mergeCell ref="IE17:MZ17"/>
    <mergeCell ref="CK263:EB263"/>
    <mergeCell ref="EC263:EG263"/>
    <mergeCell ref="EH263:EL263"/>
    <mergeCell ref="EM263:GD263"/>
    <mergeCell ref="GE263:GI263"/>
    <mergeCell ref="GJ263:GN263"/>
    <mergeCell ref="CK264:EB264"/>
    <mergeCell ref="EC264:EG264"/>
    <mergeCell ref="EH264:EL264"/>
    <mergeCell ref="EM264:GD264"/>
    <mergeCell ref="GE264:GI264"/>
    <mergeCell ref="GJ264:GN264"/>
    <mergeCell ref="CK261:EB261"/>
    <mergeCell ref="EC261:EG261"/>
    <mergeCell ref="EH261:EL261"/>
    <mergeCell ref="EM261:GD261"/>
    <mergeCell ref="GE261:GI261"/>
    <mergeCell ref="GJ261:GN261"/>
    <mergeCell ref="CK262:EB262"/>
    <mergeCell ref="EC262:EG262"/>
    <mergeCell ref="EH262:EL262"/>
    <mergeCell ref="EM262:GD262"/>
    <mergeCell ref="GE262:GI262"/>
    <mergeCell ref="GJ262:GN262"/>
    <mergeCell ref="CK259:EB259"/>
    <mergeCell ref="EC259:EG259"/>
    <mergeCell ref="EH259:EL259"/>
    <mergeCell ref="EM259:GD259"/>
    <mergeCell ref="GE259:GI259"/>
    <mergeCell ref="GJ259:GN259"/>
    <mergeCell ref="CK260:EB260"/>
    <mergeCell ref="EC260:EG260"/>
    <mergeCell ref="EH260:EL260"/>
    <mergeCell ref="EM260:GD260"/>
    <mergeCell ref="GE260:GI260"/>
    <mergeCell ref="GJ260:GN260"/>
    <mergeCell ref="CK257:EB257"/>
    <mergeCell ref="EC257:EG257"/>
    <mergeCell ref="EH257:EL257"/>
    <mergeCell ref="EM257:GD257"/>
    <mergeCell ref="GE257:GI257"/>
    <mergeCell ref="GJ257:GN257"/>
    <mergeCell ref="CK258:EB258"/>
    <mergeCell ref="EC258:EG258"/>
    <mergeCell ref="EH258:EL258"/>
    <mergeCell ref="EM258:GD258"/>
    <mergeCell ref="GE258:GI258"/>
    <mergeCell ref="GJ258:GN258"/>
    <mergeCell ref="CK255:EB255"/>
    <mergeCell ref="EC255:EG255"/>
    <mergeCell ref="EH255:EL255"/>
    <mergeCell ref="EM255:GD255"/>
    <mergeCell ref="GE255:GI255"/>
    <mergeCell ref="GJ255:GN255"/>
    <mergeCell ref="CK256:EB256"/>
    <mergeCell ref="EC256:EG256"/>
    <mergeCell ref="EH256:EL256"/>
    <mergeCell ref="EM256:GD256"/>
    <mergeCell ref="GE256:GI256"/>
    <mergeCell ref="GJ256:GN256"/>
    <mergeCell ref="CK253:EB253"/>
    <mergeCell ref="EC253:EG253"/>
    <mergeCell ref="EH253:EL253"/>
    <mergeCell ref="EM253:GD253"/>
    <mergeCell ref="GE253:GI253"/>
    <mergeCell ref="GJ253:GN253"/>
    <mergeCell ref="CK254:EB254"/>
    <mergeCell ref="EC254:EG254"/>
    <mergeCell ref="EH254:EL254"/>
    <mergeCell ref="EM254:GD254"/>
    <mergeCell ref="GE254:GI254"/>
    <mergeCell ref="GJ254:GN254"/>
    <mergeCell ref="CK251:EB251"/>
    <mergeCell ref="EC251:EG251"/>
    <mergeCell ref="EH251:EL251"/>
    <mergeCell ref="EM251:GD251"/>
    <mergeCell ref="GE251:GI251"/>
    <mergeCell ref="GJ251:GN251"/>
    <mergeCell ref="CK252:EB252"/>
    <mergeCell ref="EC252:EG252"/>
    <mergeCell ref="EH252:EL252"/>
    <mergeCell ref="EM252:GD252"/>
    <mergeCell ref="GE252:GI252"/>
    <mergeCell ref="GJ252:GN252"/>
    <mergeCell ref="CK249:EB249"/>
    <mergeCell ref="EC249:EG249"/>
    <mergeCell ref="EH249:EL249"/>
    <mergeCell ref="EM249:GD249"/>
    <mergeCell ref="GE249:GI249"/>
    <mergeCell ref="GJ249:GN249"/>
    <mergeCell ref="CK250:EB250"/>
    <mergeCell ref="EC250:EG250"/>
    <mergeCell ref="EH250:EL250"/>
    <mergeCell ref="EM250:GD250"/>
    <mergeCell ref="GE250:GI250"/>
    <mergeCell ref="GJ250:GN250"/>
    <mergeCell ref="CK247:EB247"/>
    <mergeCell ref="EC247:EG247"/>
    <mergeCell ref="EH247:EL247"/>
    <mergeCell ref="EM247:GD247"/>
    <mergeCell ref="GE247:GI247"/>
    <mergeCell ref="GJ247:GN247"/>
    <mergeCell ref="CK248:EB248"/>
    <mergeCell ref="EC248:EG248"/>
    <mergeCell ref="EH248:EL248"/>
    <mergeCell ref="EM248:GD248"/>
    <mergeCell ref="GE248:GI248"/>
    <mergeCell ref="GJ248:GN248"/>
    <mergeCell ref="CK245:EB245"/>
    <mergeCell ref="EC245:EG245"/>
    <mergeCell ref="EH245:EL245"/>
    <mergeCell ref="EM245:GD245"/>
    <mergeCell ref="GE245:GI245"/>
    <mergeCell ref="GJ245:GN245"/>
    <mergeCell ref="CK246:EB246"/>
    <mergeCell ref="EC246:EG246"/>
    <mergeCell ref="EH246:EL246"/>
    <mergeCell ref="EM246:GD246"/>
    <mergeCell ref="GE246:GI246"/>
    <mergeCell ref="GJ246:GN246"/>
    <mergeCell ref="CK243:EB243"/>
    <mergeCell ref="EC243:EG243"/>
    <mergeCell ref="EH243:EL243"/>
    <mergeCell ref="EM243:GD243"/>
    <mergeCell ref="GE243:GI243"/>
    <mergeCell ref="GJ243:GN243"/>
    <mergeCell ref="CK244:EB244"/>
    <mergeCell ref="EC244:EG244"/>
    <mergeCell ref="EH244:EL244"/>
    <mergeCell ref="EM244:GD244"/>
    <mergeCell ref="GE244:GI244"/>
    <mergeCell ref="GJ244:GN244"/>
    <mergeCell ref="CK241:EB241"/>
    <mergeCell ref="EC241:EG241"/>
    <mergeCell ref="EH241:EL241"/>
    <mergeCell ref="EM241:GD241"/>
    <mergeCell ref="GE241:GI241"/>
    <mergeCell ref="GJ241:GN241"/>
    <mergeCell ref="CK242:EB242"/>
    <mergeCell ref="EC242:EG242"/>
    <mergeCell ref="EH242:EL242"/>
    <mergeCell ref="EM242:GD242"/>
    <mergeCell ref="GE242:GI242"/>
    <mergeCell ref="GJ242:GN242"/>
    <mergeCell ref="CK239:EB239"/>
    <mergeCell ref="EC239:EG239"/>
    <mergeCell ref="EH239:EL239"/>
    <mergeCell ref="EM239:GD239"/>
    <mergeCell ref="GE239:GI239"/>
    <mergeCell ref="GJ239:GN239"/>
    <mergeCell ref="CK240:EB240"/>
    <mergeCell ref="EC240:EG240"/>
    <mergeCell ref="EH240:EL240"/>
    <mergeCell ref="EM240:GD240"/>
    <mergeCell ref="GE240:GI240"/>
    <mergeCell ref="GJ240:GN240"/>
    <mergeCell ref="CK237:EB237"/>
    <mergeCell ref="EC237:EG237"/>
    <mergeCell ref="EH237:EL237"/>
    <mergeCell ref="EM237:GD237"/>
    <mergeCell ref="GE237:GI237"/>
    <mergeCell ref="GJ237:GN237"/>
    <mergeCell ref="CK238:EB238"/>
    <mergeCell ref="EC238:EG238"/>
    <mergeCell ref="EH238:EL238"/>
    <mergeCell ref="EM238:GD238"/>
    <mergeCell ref="GE238:GI238"/>
    <mergeCell ref="GJ238:GN238"/>
    <mergeCell ref="CK235:EB235"/>
    <mergeCell ref="EC235:EG235"/>
    <mergeCell ref="EH235:EL235"/>
    <mergeCell ref="EM235:GD235"/>
    <mergeCell ref="GE235:GI235"/>
    <mergeCell ref="GJ235:GN235"/>
    <mergeCell ref="CK236:EB236"/>
    <mergeCell ref="EC236:EG236"/>
    <mergeCell ref="EH236:EL236"/>
    <mergeCell ref="EM236:GD236"/>
    <mergeCell ref="GE236:GI236"/>
    <mergeCell ref="GJ236:GN236"/>
    <mergeCell ref="CK233:EB233"/>
    <mergeCell ref="EC233:EG233"/>
    <mergeCell ref="EH233:EL233"/>
    <mergeCell ref="EM233:GD233"/>
    <mergeCell ref="GE233:GI233"/>
    <mergeCell ref="GJ233:GN233"/>
    <mergeCell ref="CK234:EB234"/>
    <mergeCell ref="EC234:EG234"/>
    <mergeCell ref="EH234:EL234"/>
    <mergeCell ref="EM234:GD234"/>
    <mergeCell ref="GE234:GI234"/>
    <mergeCell ref="GJ234:GN234"/>
    <mergeCell ref="CK231:EB231"/>
    <mergeCell ref="EC231:EG231"/>
    <mergeCell ref="EH231:EL231"/>
    <mergeCell ref="EM231:GD231"/>
    <mergeCell ref="GE231:GI231"/>
    <mergeCell ref="GJ231:GN231"/>
    <mergeCell ref="CK232:EB232"/>
    <mergeCell ref="EC232:EG232"/>
    <mergeCell ref="EH232:EL232"/>
    <mergeCell ref="EM232:GD232"/>
    <mergeCell ref="GE232:GI232"/>
    <mergeCell ref="GJ232:GN232"/>
    <mergeCell ref="CK229:EB229"/>
    <mergeCell ref="EC229:EG229"/>
    <mergeCell ref="EH229:EL229"/>
    <mergeCell ref="EM229:GD229"/>
    <mergeCell ref="GE229:GI229"/>
    <mergeCell ref="GJ229:GN229"/>
    <mergeCell ref="CK230:EB230"/>
    <mergeCell ref="EC230:EG230"/>
    <mergeCell ref="EH230:EL230"/>
    <mergeCell ref="EM230:GD230"/>
    <mergeCell ref="GE230:GI230"/>
    <mergeCell ref="GJ230:GN230"/>
    <mergeCell ref="CK227:EB227"/>
    <mergeCell ref="EC227:EG227"/>
    <mergeCell ref="EH227:EL227"/>
    <mergeCell ref="EM227:GD227"/>
    <mergeCell ref="GE227:GI227"/>
    <mergeCell ref="GJ227:GN227"/>
    <mergeCell ref="CK228:EB228"/>
    <mergeCell ref="EC228:EG228"/>
    <mergeCell ref="EH228:EL228"/>
    <mergeCell ref="EM228:GD228"/>
    <mergeCell ref="GE228:GI228"/>
    <mergeCell ref="GJ228:GN228"/>
    <mergeCell ref="CK225:EB225"/>
    <mergeCell ref="EC225:EG225"/>
    <mergeCell ref="EH225:EL225"/>
    <mergeCell ref="EM225:GD225"/>
    <mergeCell ref="GE225:GI225"/>
    <mergeCell ref="GJ225:GN225"/>
    <mergeCell ref="CK226:EB226"/>
    <mergeCell ref="EC226:EG226"/>
    <mergeCell ref="EH226:EL226"/>
    <mergeCell ref="EM226:GD226"/>
    <mergeCell ref="GE226:GI226"/>
    <mergeCell ref="GJ226:GN226"/>
    <mergeCell ref="CK223:EB223"/>
    <mergeCell ref="EC223:EG223"/>
    <mergeCell ref="EH223:EL223"/>
    <mergeCell ref="EM223:GD223"/>
    <mergeCell ref="GE223:GI223"/>
    <mergeCell ref="GJ223:GN223"/>
    <mergeCell ref="CK224:EB224"/>
    <mergeCell ref="EC224:EG224"/>
    <mergeCell ref="EH224:EL224"/>
    <mergeCell ref="EM224:GD224"/>
    <mergeCell ref="GE224:GI224"/>
    <mergeCell ref="GJ224:GN224"/>
    <mergeCell ref="CK221:EB221"/>
    <mergeCell ref="EC221:EG221"/>
    <mergeCell ref="EH221:EL221"/>
    <mergeCell ref="EM221:GD221"/>
    <mergeCell ref="GE221:GI221"/>
    <mergeCell ref="GJ221:GN221"/>
    <mergeCell ref="CK222:EB222"/>
    <mergeCell ref="EC222:EG222"/>
    <mergeCell ref="EH222:EL222"/>
    <mergeCell ref="EM222:GD222"/>
    <mergeCell ref="GE222:GI222"/>
    <mergeCell ref="GJ222:GN222"/>
    <mergeCell ref="CK219:EB219"/>
    <mergeCell ref="EC219:EG219"/>
    <mergeCell ref="EH219:EL219"/>
    <mergeCell ref="EM219:GD219"/>
    <mergeCell ref="GE219:GI219"/>
    <mergeCell ref="GJ219:GN219"/>
    <mergeCell ref="CK220:EB220"/>
    <mergeCell ref="EC220:EG220"/>
    <mergeCell ref="EH220:EL220"/>
    <mergeCell ref="EM220:GD220"/>
    <mergeCell ref="GE220:GI220"/>
    <mergeCell ref="GJ220:GN220"/>
    <mergeCell ref="CK217:EB217"/>
    <mergeCell ref="EC217:EG217"/>
    <mergeCell ref="EH217:EL217"/>
    <mergeCell ref="EM217:GD217"/>
    <mergeCell ref="GE217:GI217"/>
    <mergeCell ref="GJ217:GN217"/>
    <mergeCell ref="CK218:EB218"/>
    <mergeCell ref="EC218:EG218"/>
    <mergeCell ref="EH218:EL218"/>
    <mergeCell ref="EM218:GD218"/>
    <mergeCell ref="GE218:GI218"/>
    <mergeCell ref="GJ218:GN218"/>
    <mergeCell ref="CK215:EB215"/>
    <mergeCell ref="EC215:EG215"/>
    <mergeCell ref="EH215:EL215"/>
    <mergeCell ref="EM215:GD215"/>
    <mergeCell ref="GE215:GI215"/>
    <mergeCell ref="GJ215:GN215"/>
    <mergeCell ref="CK216:EB216"/>
    <mergeCell ref="EC216:EG216"/>
    <mergeCell ref="EH216:EL216"/>
    <mergeCell ref="EM216:GD216"/>
    <mergeCell ref="GE216:GI216"/>
    <mergeCell ref="GJ216:GN216"/>
    <mergeCell ref="CK213:EB213"/>
    <mergeCell ref="EC213:EG213"/>
    <mergeCell ref="EH213:EL213"/>
    <mergeCell ref="EM213:GD213"/>
    <mergeCell ref="GE213:GI213"/>
    <mergeCell ref="GJ213:GN213"/>
    <mergeCell ref="CK214:EB214"/>
    <mergeCell ref="EC214:EG214"/>
    <mergeCell ref="EH214:EL214"/>
    <mergeCell ref="EM214:GD214"/>
    <mergeCell ref="GE214:GI214"/>
    <mergeCell ref="GJ214:GN214"/>
    <mergeCell ref="CK211:EB211"/>
    <mergeCell ref="EC211:EG211"/>
    <mergeCell ref="EH211:EL211"/>
    <mergeCell ref="EM211:GD211"/>
    <mergeCell ref="GE211:GI211"/>
    <mergeCell ref="GJ211:GN211"/>
    <mergeCell ref="CK212:EB212"/>
    <mergeCell ref="EC212:EG212"/>
    <mergeCell ref="EH212:EL212"/>
    <mergeCell ref="EM212:GD212"/>
    <mergeCell ref="GE212:GI212"/>
    <mergeCell ref="GJ212:GN212"/>
    <mergeCell ref="CK209:EB209"/>
    <mergeCell ref="EC209:EG209"/>
    <mergeCell ref="EH209:EL209"/>
    <mergeCell ref="EM209:GD209"/>
    <mergeCell ref="GE209:GI209"/>
    <mergeCell ref="GJ209:GN209"/>
    <mergeCell ref="CK210:EB210"/>
    <mergeCell ref="EC210:EG210"/>
    <mergeCell ref="EH210:EL210"/>
    <mergeCell ref="EM210:GD210"/>
    <mergeCell ref="GE210:GI210"/>
    <mergeCell ref="GJ210:GN210"/>
    <mergeCell ref="CK207:EB207"/>
    <mergeCell ref="EC207:EG207"/>
    <mergeCell ref="EH207:EL207"/>
    <mergeCell ref="EM207:GD207"/>
    <mergeCell ref="GE207:GI207"/>
    <mergeCell ref="GJ207:GN207"/>
    <mergeCell ref="CK208:EB208"/>
    <mergeCell ref="EC208:EG208"/>
    <mergeCell ref="EH208:EL208"/>
    <mergeCell ref="EM208:GD208"/>
    <mergeCell ref="GE208:GI208"/>
    <mergeCell ref="GJ208:GN208"/>
    <mergeCell ref="CK205:EB205"/>
    <mergeCell ref="EC205:EG205"/>
    <mergeCell ref="EH205:EL205"/>
    <mergeCell ref="EM205:GD205"/>
    <mergeCell ref="GE205:GI205"/>
    <mergeCell ref="GJ205:GN205"/>
    <mergeCell ref="CK206:EB206"/>
    <mergeCell ref="EC206:EG206"/>
    <mergeCell ref="EH206:EL206"/>
    <mergeCell ref="EM206:GD206"/>
    <mergeCell ref="GE206:GI206"/>
    <mergeCell ref="GJ206:GN206"/>
    <mergeCell ref="CK203:EB203"/>
    <mergeCell ref="EC203:EG203"/>
    <mergeCell ref="EH203:EL203"/>
    <mergeCell ref="EM203:GD203"/>
    <mergeCell ref="GE203:GI203"/>
    <mergeCell ref="GJ203:GN203"/>
    <mergeCell ref="CK204:EB204"/>
    <mergeCell ref="EC204:EG204"/>
    <mergeCell ref="EH204:EL204"/>
    <mergeCell ref="EM204:GD204"/>
    <mergeCell ref="GE204:GI204"/>
    <mergeCell ref="GJ204:GN204"/>
    <mergeCell ref="CK201:EB201"/>
    <mergeCell ref="EC201:EG201"/>
    <mergeCell ref="EH201:EL201"/>
    <mergeCell ref="EM201:GD201"/>
    <mergeCell ref="GE201:GI201"/>
    <mergeCell ref="GJ201:GN201"/>
    <mergeCell ref="CK202:EB202"/>
    <mergeCell ref="EC202:EG202"/>
    <mergeCell ref="EH202:EL202"/>
    <mergeCell ref="EM202:GD202"/>
    <mergeCell ref="GE202:GI202"/>
    <mergeCell ref="GJ202:GN202"/>
    <mergeCell ref="CK199:EB199"/>
    <mergeCell ref="EC199:EG199"/>
    <mergeCell ref="EH199:EL199"/>
    <mergeCell ref="EM199:GD199"/>
    <mergeCell ref="GE199:GI199"/>
    <mergeCell ref="GJ199:GN199"/>
    <mergeCell ref="CK200:EB200"/>
    <mergeCell ref="EC200:EG200"/>
    <mergeCell ref="EH200:EL200"/>
    <mergeCell ref="EM200:GD200"/>
    <mergeCell ref="GE200:GI200"/>
    <mergeCell ref="GJ200:GN200"/>
    <mergeCell ref="CK197:EB197"/>
    <mergeCell ref="EC197:EG197"/>
    <mergeCell ref="EH197:EL197"/>
    <mergeCell ref="EM197:GD197"/>
    <mergeCell ref="GE197:GI197"/>
    <mergeCell ref="GJ197:GN197"/>
    <mergeCell ref="CK198:EB198"/>
    <mergeCell ref="EC198:EG198"/>
    <mergeCell ref="EH198:EL198"/>
    <mergeCell ref="EM198:GD198"/>
    <mergeCell ref="GE198:GI198"/>
    <mergeCell ref="GJ198:GN198"/>
    <mergeCell ref="CK195:EB195"/>
    <mergeCell ref="EC195:EG195"/>
    <mergeCell ref="EH195:EL195"/>
    <mergeCell ref="EM195:GD195"/>
    <mergeCell ref="GE195:GI195"/>
    <mergeCell ref="GJ195:GN195"/>
    <mergeCell ref="CK196:EB196"/>
    <mergeCell ref="EC196:EG196"/>
    <mergeCell ref="EH196:EL196"/>
    <mergeCell ref="EM196:GD196"/>
    <mergeCell ref="GE196:GI196"/>
    <mergeCell ref="GJ196:GN196"/>
    <mergeCell ref="CK193:EB193"/>
    <mergeCell ref="EC193:EG193"/>
    <mergeCell ref="EH193:EL193"/>
    <mergeCell ref="EM193:GD193"/>
    <mergeCell ref="GE193:GI193"/>
    <mergeCell ref="GJ193:GN193"/>
    <mergeCell ref="CK194:EB194"/>
    <mergeCell ref="EC194:EG194"/>
    <mergeCell ref="EH194:EL194"/>
    <mergeCell ref="EM194:GD194"/>
    <mergeCell ref="GE194:GI194"/>
    <mergeCell ref="GJ194:GN194"/>
    <mergeCell ref="CK191:EB191"/>
    <mergeCell ref="EC191:EG191"/>
    <mergeCell ref="EH191:EL191"/>
    <mergeCell ref="EM191:GD191"/>
    <mergeCell ref="GE191:GI191"/>
    <mergeCell ref="GJ191:GN191"/>
    <mergeCell ref="CK192:EB192"/>
    <mergeCell ref="EC192:EG192"/>
    <mergeCell ref="EH192:EL192"/>
    <mergeCell ref="EM192:GD192"/>
    <mergeCell ref="GE192:GI192"/>
    <mergeCell ref="GJ192:GN192"/>
    <mergeCell ref="CK189:EB189"/>
    <mergeCell ref="EC189:EG189"/>
    <mergeCell ref="EH189:EL189"/>
    <mergeCell ref="EM189:GD189"/>
    <mergeCell ref="GE189:GI189"/>
    <mergeCell ref="GJ189:GN189"/>
    <mergeCell ref="CK190:EB190"/>
    <mergeCell ref="EC190:EG190"/>
    <mergeCell ref="EH190:EL190"/>
    <mergeCell ref="EM190:GD190"/>
    <mergeCell ref="GE190:GI190"/>
    <mergeCell ref="GJ190:GN190"/>
    <mergeCell ref="CK187:EB187"/>
    <mergeCell ref="EC187:EG187"/>
    <mergeCell ref="EH187:EL187"/>
    <mergeCell ref="EM187:GD187"/>
    <mergeCell ref="GE187:GI187"/>
    <mergeCell ref="GJ187:GN187"/>
    <mergeCell ref="CK188:EB188"/>
    <mergeCell ref="EC188:EG188"/>
    <mergeCell ref="EH188:EL188"/>
    <mergeCell ref="EM188:GD188"/>
    <mergeCell ref="GE188:GI188"/>
    <mergeCell ref="GJ188:GN188"/>
    <mergeCell ref="CK185:EB185"/>
    <mergeCell ref="EC185:EG185"/>
    <mergeCell ref="EH185:EL185"/>
    <mergeCell ref="EM185:GD185"/>
    <mergeCell ref="GE185:GI185"/>
    <mergeCell ref="GJ185:GN185"/>
    <mergeCell ref="CK186:EB186"/>
    <mergeCell ref="EC186:EG186"/>
    <mergeCell ref="EH186:EL186"/>
    <mergeCell ref="EM186:GD186"/>
    <mergeCell ref="GE186:GI186"/>
    <mergeCell ref="GJ186:GN186"/>
    <mergeCell ref="CK183:EB183"/>
    <mergeCell ref="EC183:EG183"/>
    <mergeCell ref="EH183:EL183"/>
    <mergeCell ref="EM183:GD183"/>
    <mergeCell ref="GE183:GI183"/>
    <mergeCell ref="GJ183:GN183"/>
    <mergeCell ref="CK184:EB184"/>
    <mergeCell ref="EC184:EG184"/>
    <mergeCell ref="EH184:EL184"/>
    <mergeCell ref="EM184:GD184"/>
    <mergeCell ref="GE184:GI184"/>
    <mergeCell ref="GJ184:GN184"/>
    <mergeCell ref="CK181:EB181"/>
    <mergeCell ref="EC181:EG181"/>
    <mergeCell ref="EH181:EL181"/>
    <mergeCell ref="EM181:GD181"/>
    <mergeCell ref="GE181:GI181"/>
    <mergeCell ref="GJ181:GN181"/>
    <mergeCell ref="CK182:EB182"/>
    <mergeCell ref="EC182:EG182"/>
    <mergeCell ref="EH182:EL182"/>
    <mergeCell ref="EM182:GD182"/>
    <mergeCell ref="GE182:GI182"/>
    <mergeCell ref="GJ182:GN182"/>
    <mergeCell ref="CK179:EB179"/>
    <mergeCell ref="EC179:EG179"/>
    <mergeCell ref="EH179:EL179"/>
    <mergeCell ref="EM179:GD179"/>
    <mergeCell ref="GE179:GI179"/>
    <mergeCell ref="GJ179:GN179"/>
    <mergeCell ref="CK180:EB180"/>
    <mergeCell ref="EC180:EG180"/>
    <mergeCell ref="EH180:EL180"/>
    <mergeCell ref="EM180:GD180"/>
    <mergeCell ref="GE180:GI180"/>
    <mergeCell ref="GJ180:GN180"/>
    <mergeCell ref="CK177:EB177"/>
    <mergeCell ref="EC177:EG177"/>
    <mergeCell ref="EH177:EL177"/>
    <mergeCell ref="EM177:GD177"/>
    <mergeCell ref="GE177:GI177"/>
    <mergeCell ref="GJ177:GN177"/>
    <mergeCell ref="CK178:EB178"/>
    <mergeCell ref="EC178:EG178"/>
    <mergeCell ref="EH178:EL178"/>
    <mergeCell ref="EM178:GD178"/>
    <mergeCell ref="GE178:GI178"/>
    <mergeCell ref="GJ178:GN178"/>
    <mergeCell ref="CK175:EB175"/>
    <mergeCell ref="EC175:EG175"/>
    <mergeCell ref="EH175:EL175"/>
    <mergeCell ref="EM175:GD175"/>
    <mergeCell ref="GE175:GI175"/>
    <mergeCell ref="GJ175:GN175"/>
    <mergeCell ref="CK176:EB176"/>
    <mergeCell ref="EC176:EG176"/>
    <mergeCell ref="EH176:EL176"/>
    <mergeCell ref="EM176:GD176"/>
    <mergeCell ref="GE176:GI176"/>
    <mergeCell ref="GJ176:GN176"/>
    <mergeCell ref="CK173:EB173"/>
    <mergeCell ref="EC173:EG173"/>
    <mergeCell ref="EH173:EL173"/>
    <mergeCell ref="EM173:GD173"/>
    <mergeCell ref="GE173:GI173"/>
    <mergeCell ref="GJ173:GN173"/>
    <mergeCell ref="CK174:EB174"/>
    <mergeCell ref="EC174:EG174"/>
    <mergeCell ref="EH174:EL174"/>
    <mergeCell ref="EM174:GD174"/>
    <mergeCell ref="GE174:GI174"/>
    <mergeCell ref="GJ174:GN174"/>
    <mergeCell ref="CK171:EB171"/>
    <mergeCell ref="EC171:EG171"/>
    <mergeCell ref="EH171:EL171"/>
    <mergeCell ref="EM171:GD171"/>
    <mergeCell ref="GE171:GI171"/>
    <mergeCell ref="GJ171:GN171"/>
    <mergeCell ref="CK172:EB172"/>
    <mergeCell ref="EC172:EG172"/>
    <mergeCell ref="EH172:EL172"/>
    <mergeCell ref="EM172:GD172"/>
    <mergeCell ref="GE172:GI172"/>
    <mergeCell ref="GJ172:GN172"/>
    <mergeCell ref="CK169:EB169"/>
    <mergeCell ref="EC169:EG169"/>
    <mergeCell ref="EH169:EL169"/>
    <mergeCell ref="EM169:GD169"/>
    <mergeCell ref="GE169:GI169"/>
    <mergeCell ref="GJ169:GN169"/>
    <mergeCell ref="CK170:EB170"/>
    <mergeCell ref="EC170:EG170"/>
    <mergeCell ref="EH170:EL170"/>
    <mergeCell ref="EM170:GD170"/>
    <mergeCell ref="GE170:GI170"/>
    <mergeCell ref="GJ170:GN170"/>
    <mergeCell ref="CK167:EB167"/>
    <mergeCell ref="EC167:EG167"/>
    <mergeCell ref="EH167:EL167"/>
    <mergeCell ref="EM167:GD167"/>
    <mergeCell ref="GE167:GI167"/>
    <mergeCell ref="GJ167:GN167"/>
    <mergeCell ref="CK168:EB168"/>
    <mergeCell ref="EC168:EG168"/>
    <mergeCell ref="EH168:EL168"/>
    <mergeCell ref="EM168:GD168"/>
    <mergeCell ref="GE168:GI168"/>
    <mergeCell ref="GJ168:GN168"/>
    <mergeCell ref="CK165:EB165"/>
    <mergeCell ref="EC165:EG165"/>
    <mergeCell ref="EH165:EL165"/>
    <mergeCell ref="EM165:GD165"/>
    <mergeCell ref="GE165:GI165"/>
    <mergeCell ref="GJ165:GN165"/>
    <mergeCell ref="CK166:EB166"/>
    <mergeCell ref="EC166:EG166"/>
    <mergeCell ref="EH166:EL166"/>
    <mergeCell ref="EM166:GD166"/>
    <mergeCell ref="GE166:GI166"/>
    <mergeCell ref="GJ166:GN166"/>
    <mergeCell ref="CK163:EB163"/>
    <mergeCell ref="EC163:EG163"/>
    <mergeCell ref="EH163:EL163"/>
    <mergeCell ref="EM163:GD163"/>
    <mergeCell ref="GE163:GI163"/>
    <mergeCell ref="GJ163:GN163"/>
    <mergeCell ref="CK164:EB164"/>
    <mergeCell ref="EC164:EG164"/>
    <mergeCell ref="EH164:EL164"/>
    <mergeCell ref="EM164:GD164"/>
    <mergeCell ref="GE164:GI164"/>
    <mergeCell ref="GJ164:GN164"/>
    <mergeCell ref="CK161:EB161"/>
    <mergeCell ref="EC161:EG161"/>
    <mergeCell ref="EH161:EL161"/>
    <mergeCell ref="EM161:GD161"/>
    <mergeCell ref="GE161:GI161"/>
    <mergeCell ref="GJ161:GN161"/>
    <mergeCell ref="CK162:EB162"/>
    <mergeCell ref="EC162:EG162"/>
    <mergeCell ref="EH162:EL162"/>
    <mergeCell ref="EM162:GD162"/>
    <mergeCell ref="GE162:GI162"/>
    <mergeCell ref="GJ162:GN162"/>
    <mergeCell ref="CK159:EB159"/>
    <mergeCell ref="EC159:EG159"/>
    <mergeCell ref="EH159:EL159"/>
    <mergeCell ref="EM159:GD159"/>
    <mergeCell ref="GE159:GI159"/>
    <mergeCell ref="GJ159:GN159"/>
    <mergeCell ref="CK160:EB160"/>
    <mergeCell ref="EC160:EG160"/>
    <mergeCell ref="EH160:EL160"/>
    <mergeCell ref="EM160:GD160"/>
    <mergeCell ref="GE160:GI160"/>
    <mergeCell ref="GJ160:GN160"/>
    <mergeCell ref="CK157:EB157"/>
    <mergeCell ref="EC157:EG157"/>
    <mergeCell ref="EH157:EL157"/>
    <mergeCell ref="EM157:GD157"/>
    <mergeCell ref="GE157:GI157"/>
    <mergeCell ref="GJ157:GN157"/>
    <mergeCell ref="CK158:EB158"/>
    <mergeCell ref="EC158:EG158"/>
    <mergeCell ref="EH158:EL158"/>
    <mergeCell ref="EM158:GD158"/>
    <mergeCell ref="GE158:GI158"/>
    <mergeCell ref="GJ158:GN158"/>
    <mergeCell ref="CK155:EB155"/>
    <mergeCell ref="EC155:EG155"/>
    <mergeCell ref="EH155:EL155"/>
    <mergeCell ref="EM155:GD155"/>
    <mergeCell ref="GE155:GI155"/>
    <mergeCell ref="GJ155:GN155"/>
    <mergeCell ref="CK156:EB156"/>
    <mergeCell ref="EC156:EG156"/>
    <mergeCell ref="EH156:EL156"/>
    <mergeCell ref="EM156:GD156"/>
    <mergeCell ref="GE156:GI156"/>
    <mergeCell ref="GJ156:GN156"/>
    <mergeCell ref="CK153:EB153"/>
    <mergeCell ref="EC153:EG153"/>
    <mergeCell ref="EH153:EL153"/>
    <mergeCell ref="EM153:GD153"/>
    <mergeCell ref="GE153:GI153"/>
    <mergeCell ref="GJ153:GN153"/>
    <mergeCell ref="CK154:EB154"/>
    <mergeCell ref="EC154:EG154"/>
    <mergeCell ref="EH154:EL154"/>
    <mergeCell ref="EM154:GD154"/>
    <mergeCell ref="GE154:GI154"/>
    <mergeCell ref="GJ154:GN154"/>
    <mergeCell ref="CK151:EB151"/>
    <mergeCell ref="EC151:EG151"/>
    <mergeCell ref="EH151:EL151"/>
    <mergeCell ref="EM151:GD151"/>
    <mergeCell ref="GE151:GI151"/>
    <mergeCell ref="GJ151:GN151"/>
    <mergeCell ref="CK152:EB152"/>
    <mergeCell ref="EC152:EG152"/>
    <mergeCell ref="EH152:EL152"/>
    <mergeCell ref="EM152:GD152"/>
    <mergeCell ref="GE152:GI152"/>
    <mergeCell ref="GJ152:GN152"/>
    <mergeCell ref="CK149:EB149"/>
    <mergeCell ref="EC149:EG149"/>
    <mergeCell ref="EH149:EL149"/>
    <mergeCell ref="EM149:GD149"/>
    <mergeCell ref="GE149:GI149"/>
    <mergeCell ref="GJ149:GN149"/>
    <mergeCell ref="CK150:EB150"/>
    <mergeCell ref="EC150:EG150"/>
    <mergeCell ref="EH150:EL150"/>
    <mergeCell ref="EM150:GD150"/>
    <mergeCell ref="GE150:GI150"/>
    <mergeCell ref="GJ150:GN150"/>
    <mergeCell ref="CK147:EB147"/>
    <mergeCell ref="EC147:EG147"/>
    <mergeCell ref="EH147:EL147"/>
    <mergeCell ref="EM147:GD147"/>
    <mergeCell ref="GE147:GI147"/>
    <mergeCell ref="GJ147:GN147"/>
    <mergeCell ref="CK148:EB148"/>
    <mergeCell ref="EC148:EG148"/>
    <mergeCell ref="EH148:EL148"/>
    <mergeCell ref="EM148:GD148"/>
    <mergeCell ref="GE148:GI148"/>
    <mergeCell ref="GJ148:GN148"/>
    <mergeCell ref="CK145:EB145"/>
    <mergeCell ref="EC145:EG145"/>
    <mergeCell ref="EH145:EL145"/>
    <mergeCell ref="EM145:GD145"/>
    <mergeCell ref="GE145:GI145"/>
    <mergeCell ref="GJ145:GN145"/>
    <mergeCell ref="CK146:EB146"/>
    <mergeCell ref="EC146:EG146"/>
    <mergeCell ref="EH146:EL146"/>
    <mergeCell ref="EM146:GD146"/>
    <mergeCell ref="GE146:GI146"/>
    <mergeCell ref="GJ146:GN146"/>
    <mergeCell ref="CK143:EB143"/>
    <mergeCell ref="EC143:EG143"/>
    <mergeCell ref="EH143:EL143"/>
    <mergeCell ref="EM143:GD143"/>
    <mergeCell ref="GE143:GI143"/>
    <mergeCell ref="GJ143:GN143"/>
    <mergeCell ref="CK144:EB144"/>
    <mergeCell ref="EC144:EG144"/>
    <mergeCell ref="EH144:EL144"/>
    <mergeCell ref="EM144:GD144"/>
    <mergeCell ref="GE144:GI144"/>
    <mergeCell ref="GJ144:GN144"/>
    <mergeCell ref="CK141:EB141"/>
    <mergeCell ref="EC141:EG141"/>
    <mergeCell ref="EH141:EL141"/>
    <mergeCell ref="EM141:GD141"/>
    <mergeCell ref="GE141:GI141"/>
    <mergeCell ref="GJ141:GN141"/>
    <mergeCell ref="CK142:EB142"/>
    <mergeCell ref="EC142:EG142"/>
    <mergeCell ref="EH142:EL142"/>
    <mergeCell ref="EM142:GD142"/>
    <mergeCell ref="GE142:GI142"/>
    <mergeCell ref="GJ142:GN142"/>
    <mergeCell ref="CK139:EB139"/>
    <mergeCell ref="EC139:EG139"/>
    <mergeCell ref="EH139:EL139"/>
    <mergeCell ref="EM139:GD139"/>
    <mergeCell ref="GE139:GI139"/>
    <mergeCell ref="GJ139:GN139"/>
    <mergeCell ref="CK140:EB140"/>
    <mergeCell ref="EC140:EG140"/>
    <mergeCell ref="EH140:EL140"/>
    <mergeCell ref="EM140:GD140"/>
    <mergeCell ref="GE140:GI140"/>
    <mergeCell ref="GJ140:GN140"/>
    <mergeCell ref="CK137:EB137"/>
    <mergeCell ref="EC137:EG137"/>
    <mergeCell ref="EH137:EL137"/>
    <mergeCell ref="EM137:GD137"/>
    <mergeCell ref="GE137:GI137"/>
    <mergeCell ref="GJ137:GN137"/>
    <mergeCell ref="CK138:EB138"/>
    <mergeCell ref="EC138:EG138"/>
    <mergeCell ref="EH138:EL138"/>
    <mergeCell ref="EM138:GD138"/>
    <mergeCell ref="GE138:GI138"/>
    <mergeCell ref="GJ138:GN138"/>
    <mergeCell ref="CK135:EB135"/>
    <mergeCell ref="EC135:EG135"/>
    <mergeCell ref="EH135:EL135"/>
    <mergeCell ref="EM135:GD135"/>
    <mergeCell ref="GE135:GI135"/>
    <mergeCell ref="GJ135:GN135"/>
    <mergeCell ref="CK136:EB136"/>
    <mergeCell ref="EC136:EG136"/>
    <mergeCell ref="EH136:EL136"/>
    <mergeCell ref="EM136:GD136"/>
    <mergeCell ref="GE136:GI136"/>
    <mergeCell ref="GJ136:GN136"/>
    <mergeCell ref="CK133:EB133"/>
    <mergeCell ref="EC133:EG133"/>
    <mergeCell ref="EH133:EL133"/>
    <mergeCell ref="EM133:GD133"/>
    <mergeCell ref="GE133:GI133"/>
    <mergeCell ref="GJ133:GN133"/>
    <mergeCell ref="CK134:EB134"/>
    <mergeCell ref="EC134:EG134"/>
    <mergeCell ref="EH134:EL134"/>
    <mergeCell ref="EM134:GD134"/>
    <mergeCell ref="GE134:GI134"/>
    <mergeCell ref="GJ134:GN134"/>
    <mergeCell ref="CK131:EB131"/>
    <mergeCell ref="EC131:EG131"/>
    <mergeCell ref="EH131:EL131"/>
    <mergeCell ref="EM131:GD131"/>
    <mergeCell ref="GE131:GI131"/>
    <mergeCell ref="GJ131:GN131"/>
    <mergeCell ref="CK132:EB132"/>
    <mergeCell ref="EC132:EG132"/>
    <mergeCell ref="EH132:EL132"/>
    <mergeCell ref="EM132:GD132"/>
    <mergeCell ref="GE132:GI132"/>
    <mergeCell ref="GJ132:GN132"/>
    <mergeCell ref="CK129:EB129"/>
    <mergeCell ref="EC129:EG129"/>
    <mergeCell ref="EH129:EL129"/>
    <mergeCell ref="EM129:GD129"/>
    <mergeCell ref="GE129:GI129"/>
    <mergeCell ref="GJ129:GN129"/>
    <mergeCell ref="CK130:EB130"/>
    <mergeCell ref="EC130:EG130"/>
    <mergeCell ref="EH130:EL130"/>
    <mergeCell ref="EM130:GD130"/>
    <mergeCell ref="GE130:GI130"/>
    <mergeCell ref="GJ130:GN130"/>
    <mergeCell ref="CK127:EB127"/>
    <mergeCell ref="EC127:EG127"/>
    <mergeCell ref="EH127:EL127"/>
    <mergeCell ref="EM127:GD127"/>
    <mergeCell ref="GE127:GI127"/>
    <mergeCell ref="GJ127:GN127"/>
    <mergeCell ref="CK128:EB128"/>
    <mergeCell ref="EC128:EG128"/>
    <mergeCell ref="EH128:EL128"/>
    <mergeCell ref="EM128:GD128"/>
    <mergeCell ref="GE128:GI128"/>
    <mergeCell ref="GJ128:GN128"/>
    <mergeCell ref="CK125:EB125"/>
    <mergeCell ref="EC125:EG125"/>
    <mergeCell ref="EH125:EL125"/>
    <mergeCell ref="EM125:GD125"/>
    <mergeCell ref="GE125:GI125"/>
    <mergeCell ref="GJ125:GN125"/>
    <mergeCell ref="CK126:EB126"/>
    <mergeCell ref="EC126:EG126"/>
    <mergeCell ref="EH126:EL126"/>
    <mergeCell ref="EM126:GD126"/>
    <mergeCell ref="GE126:GI126"/>
    <mergeCell ref="GJ126:GN126"/>
    <mergeCell ref="CK123:EB123"/>
    <mergeCell ref="EC123:EG123"/>
    <mergeCell ref="EH123:EL123"/>
    <mergeCell ref="EM123:GD123"/>
    <mergeCell ref="GE123:GI123"/>
    <mergeCell ref="GJ123:GN123"/>
    <mergeCell ref="CK124:EB124"/>
    <mergeCell ref="EC124:EG124"/>
    <mergeCell ref="EH124:EL124"/>
    <mergeCell ref="EM124:GD124"/>
    <mergeCell ref="GE124:GI124"/>
    <mergeCell ref="GJ124:GN124"/>
    <mergeCell ref="CK121:EB121"/>
    <mergeCell ref="EC121:EG121"/>
    <mergeCell ref="EH121:EL121"/>
    <mergeCell ref="EM121:GD121"/>
    <mergeCell ref="GE121:GI121"/>
    <mergeCell ref="GJ121:GN121"/>
    <mergeCell ref="CK122:EB122"/>
    <mergeCell ref="EC122:EG122"/>
    <mergeCell ref="EH122:EL122"/>
    <mergeCell ref="EM122:GD122"/>
    <mergeCell ref="GE122:GI122"/>
    <mergeCell ref="GJ122:GN122"/>
    <mergeCell ref="CK119:EB119"/>
    <mergeCell ref="EC119:EG119"/>
    <mergeCell ref="EH119:EL119"/>
    <mergeCell ref="EM119:GD119"/>
    <mergeCell ref="GE119:GI119"/>
    <mergeCell ref="GJ119:GN119"/>
    <mergeCell ref="CK120:EB120"/>
    <mergeCell ref="EC120:EG120"/>
    <mergeCell ref="EH120:EL120"/>
    <mergeCell ref="EM120:GD120"/>
    <mergeCell ref="GE120:GI120"/>
    <mergeCell ref="GJ120:GN120"/>
    <mergeCell ref="CK117:EB117"/>
    <mergeCell ref="EC117:EG117"/>
    <mergeCell ref="EH117:EL117"/>
    <mergeCell ref="EM117:GD117"/>
    <mergeCell ref="GE117:GI117"/>
    <mergeCell ref="GJ117:GN117"/>
    <mergeCell ref="CK118:EB118"/>
    <mergeCell ref="EC118:EG118"/>
    <mergeCell ref="EH118:EL118"/>
    <mergeCell ref="EM118:GD118"/>
    <mergeCell ref="GE118:GI118"/>
    <mergeCell ref="GJ118:GN118"/>
    <mergeCell ref="CK115:EB115"/>
    <mergeCell ref="EC115:EG115"/>
    <mergeCell ref="EH115:EL115"/>
    <mergeCell ref="EM115:GD115"/>
    <mergeCell ref="GE115:GI115"/>
    <mergeCell ref="GJ115:GN115"/>
    <mergeCell ref="CK116:EB116"/>
    <mergeCell ref="EC116:EG116"/>
    <mergeCell ref="EH116:EL116"/>
    <mergeCell ref="EM116:GD116"/>
    <mergeCell ref="GE116:GI116"/>
    <mergeCell ref="GJ116:GN116"/>
    <mergeCell ref="CK113:EB113"/>
    <mergeCell ref="EC113:EG113"/>
    <mergeCell ref="EH113:EL113"/>
    <mergeCell ref="EM113:GD113"/>
    <mergeCell ref="GE113:GI113"/>
    <mergeCell ref="GJ113:GN113"/>
    <mergeCell ref="CK114:EB114"/>
    <mergeCell ref="EC114:EG114"/>
    <mergeCell ref="EH114:EL114"/>
    <mergeCell ref="EM114:GD114"/>
    <mergeCell ref="GE114:GI114"/>
    <mergeCell ref="GJ114:GN114"/>
    <mergeCell ref="CK111:EB111"/>
    <mergeCell ref="EC111:EG111"/>
    <mergeCell ref="EH111:EL111"/>
    <mergeCell ref="EM111:GD111"/>
    <mergeCell ref="GE111:GI111"/>
    <mergeCell ref="GJ111:GN111"/>
    <mergeCell ref="CK112:EB112"/>
    <mergeCell ref="EC112:EG112"/>
    <mergeCell ref="EH112:EL112"/>
    <mergeCell ref="EM112:GD112"/>
    <mergeCell ref="GE112:GI112"/>
    <mergeCell ref="GJ112:GN112"/>
    <mergeCell ref="CK109:EB109"/>
    <mergeCell ref="EC109:EG109"/>
    <mergeCell ref="EH109:EL109"/>
    <mergeCell ref="EM109:GD109"/>
    <mergeCell ref="GE109:GI109"/>
    <mergeCell ref="GJ109:GN109"/>
    <mergeCell ref="CK110:EB110"/>
    <mergeCell ref="EC110:EG110"/>
    <mergeCell ref="EH110:EL110"/>
    <mergeCell ref="EM110:GD110"/>
    <mergeCell ref="GE110:GI110"/>
    <mergeCell ref="GJ110:GN110"/>
    <mergeCell ref="CK107:EB107"/>
    <mergeCell ref="EC107:EG107"/>
    <mergeCell ref="EH107:EL107"/>
    <mergeCell ref="EM107:GD107"/>
    <mergeCell ref="GE107:GI107"/>
    <mergeCell ref="GJ107:GN107"/>
    <mergeCell ref="CK108:EB108"/>
    <mergeCell ref="EC108:EG108"/>
    <mergeCell ref="EH108:EL108"/>
    <mergeCell ref="EM108:GD108"/>
    <mergeCell ref="GE108:GI108"/>
    <mergeCell ref="GJ108:GN108"/>
    <mergeCell ref="CK105:EB105"/>
    <mergeCell ref="EC105:EG105"/>
    <mergeCell ref="EH105:EL105"/>
    <mergeCell ref="EM105:GD105"/>
    <mergeCell ref="GE105:GI105"/>
    <mergeCell ref="GJ105:GN105"/>
    <mergeCell ref="CK106:EB106"/>
    <mergeCell ref="EC106:EG106"/>
    <mergeCell ref="EH106:EL106"/>
    <mergeCell ref="EM106:GD106"/>
    <mergeCell ref="GE106:GI106"/>
    <mergeCell ref="GJ106:GN106"/>
    <mergeCell ref="CK103:EB103"/>
    <mergeCell ref="EC103:EG103"/>
    <mergeCell ref="EH103:EL103"/>
    <mergeCell ref="EM103:GD103"/>
    <mergeCell ref="GE103:GI103"/>
    <mergeCell ref="GJ103:GN103"/>
    <mergeCell ref="CK104:EB104"/>
    <mergeCell ref="EC104:EG104"/>
    <mergeCell ref="EH104:EL104"/>
    <mergeCell ref="EM104:GD104"/>
    <mergeCell ref="GE104:GI104"/>
    <mergeCell ref="GJ104:GN104"/>
    <mergeCell ref="CK101:EB101"/>
    <mergeCell ref="EC101:EG101"/>
    <mergeCell ref="EH101:EL101"/>
    <mergeCell ref="EM101:GD101"/>
    <mergeCell ref="GE101:GI101"/>
    <mergeCell ref="GJ101:GN101"/>
    <mergeCell ref="CK102:EB102"/>
    <mergeCell ref="EC102:EG102"/>
    <mergeCell ref="EH102:EL102"/>
    <mergeCell ref="EM102:GD102"/>
    <mergeCell ref="GE102:GI102"/>
    <mergeCell ref="GJ102:GN102"/>
    <mergeCell ref="CK99:EB99"/>
    <mergeCell ref="EC99:EG99"/>
    <mergeCell ref="EH99:EL99"/>
    <mergeCell ref="EM99:GD99"/>
    <mergeCell ref="GE99:GI99"/>
    <mergeCell ref="GJ99:GN99"/>
    <mergeCell ref="CK100:EB100"/>
    <mergeCell ref="EC100:EG100"/>
    <mergeCell ref="EH100:EL100"/>
    <mergeCell ref="EM100:GD100"/>
    <mergeCell ref="GE100:GI100"/>
    <mergeCell ref="GJ100:GN100"/>
    <mergeCell ref="CK97:EB97"/>
    <mergeCell ref="EC97:EG97"/>
    <mergeCell ref="EH97:EL97"/>
    <mergeCell ref="EM97:GD97"/>
    <mergeCell ref="GE97:GI97"/>
    <mergeCell ref="GJ97:GN97"/>
    <mergeCell ref="CK98:EB98"/>
    <mergeCell ref="EC98:EG98"/>
    <mergeCell ref="EH98:EL98"/>
    <mergeCell ref="EM98:GD98"/>
    <mergeCell ref="GE98:GI98"/>
    <mergeCell ref="GJ98:GN98"/>
    <mergeCell ref="CK95:EB95"/>
    <mergeCell ref="EC95:EG95"/>
    <mergeCell ref="EH95:EL95"/>
    <mergeCell ref="EM95:GD95"/>
    <mergeCell ref="GE95:GI95"/>
    <mergeCell ref="GJ95:GN95"/>
    <mergeCell ref="CK96:EB96"/>
    <mergeCell ref="EC96:EG96"/>
    <mergeCell ref="EH96:EL96"/>
    <mergeCell ref="EM96:GD96"/>
    <mergeCell ref="GE96:GI96"/>
    <mergeCell ref="GJ96:GN96"/>
    <mergeCell ref="CK93:EB93"/>
    <mergeCell ref="EC93:EG93"/>
    <mergeCell ref="EH93:EL93"/>
    <mergeCell ref="EM93:GD93"/>
    <mergeCell ref="GE93:GI93"/>
    <mergeCell ref="GJ93:GN93"/>
    <mergeCell ref="CK94:EB94"/>
    <mergeCell ref="EC94:EG94"/>
    <mergeCell ref="EH94:EL94"/>
    <mergeCell ref="EM94:GD94"/>
    <mergeCell ref="GE94:GI94"/>
    <mergeCell ref="GJ94:GN94"/>
    <mergeCell ref="CK91:EB91"/>
    <mergeCell ref="EC91:EG91"/>
    <mergeCell ref="EH91:EL91"/>
    <mergeCell ref="EM91:GD91"/>
    <mergeCell ref="GE91:GI91"/>
    <mergeCell ref="GJ91:GN91"/>
    <mergeCell ref="CK92:EB92"/>
    <mergeCell ref="EC92:EG92"/>
    <mergeCell ref="EH92:EL92"/>
    <mergeCell ref="EM92:GD92"/>
    <mergeCell ref="GE92:GI92"/>
    <mergeCell ref="GJ92:GN92"/>
    <mergeCell ref="CK89:EB89"/>
    <mergeCell ref="EC89:EG89"/>
    <mergeCell ref="EH89:EL89"/>
    <mergeCell ref="EM89:GD89"/>
    <mergeCell ref="GE89:GI89"/>
    <mergeCell ref="GJ89:GN89"/>
    <mergeCell ref="CK90:EB90"/>
    <mergeCell ref="EC90:EG90"/>
    <mergeCell ref="EH90:EL90"/>
    <mergeCell ref="EM90:GD90"/>
    <mergeCell ref="GE90:GI90"/>
    <mergeCell ref="GJ90:GN90"/>
    <mergeCell ref="CK87:EB87"/>
    <mergeCell ref="EC87:EG87"/>
    <mergeCell ref="EH87:EL87"/>
    <mergeCell ref="EM87:GD87"/>
    <mergeCell ref="GE87:GI87"/>
    <mergeCell ref="GJ87:GN87"/>
    <mergeCell ref="CK88:EB88"/>
    <mergeCell ref="EC88:EG88"/>
    <mergeCell ref="EH88:EL88"/>
    <mergeCell ref="EM88:GD88"/>
    <mergeCell ref="GE88:GI88"/>
    <mergeCell ref="GJ88:GN88"/>
    <mergeCell ref="CK85:EB85"/>
    <mergeCell ref="EC85:EG85"/>
    <mergeCell ref="EH85:EL85"/>
    <mergeCell ref="EM85:GD85"/>
    <mergeCell ref="GE85:GI85"/>
    <mergeCell ref="GJ85:GN85"/>
    <mergeCell ref="CK86:EB86"/>
    <mergeCell ref="EC86:EG86"/>
    <mergeCell ref="EH86:EL86"/>
    <mergeCell ref="EM86:GD86"/>
    <mergeCell ref="GE86:GI86"/>
    <mergeCell ref="GJ86:GN86"/>
    <mergeCell ref="CK83:EB83"/>
    <mergeCell ref="EC83:EG83"/>
    <mergeCell ref="EH83:EL83"/>
    <mergeCell ref="EM83:GD83"/>
    <mergeCell ref="GE83:GI83"/>
    <mergeCell ref="GJ83:GN83"/>
    <mergeCell ref="CK84:EB84"/>
    <mergeCell ref="EC84:EG84"/>
    <mergeCell ref="EH84:EL84"/>
    <mergeCell ref="EM84:GD84"/>
    <mergeCell ref="GE84:GI84"/>
    <mergeCell ref="GJ84:GN84"/>
    <mergeCell ref="CK81:EB81"/>
    <mergeCell ref="EC81:EG81"/>
    <mergeCell ref="EH81:EL81"/>
    <mergeCell ref="EM81:GD81"/>
    <mergeCell ref="GE81:GI81"/>
    <mergeCell ref="GJ81:GN81"/>
    <mergeCell ref="CK82:EB82"/>
    <mergeCell ref="EC82:EG82"/>
    <mergeCell ref="EH82:EL82"/>
    <mergeCell ref="EM82:GD82"/>
    <mergeCell ref="GE82:GI82"/>
    <mergeCell ref="GJ82:GN82"/>
    <mergeCell ref="CK79:EB79"/>
    <mergeCell ref="EC79:EG79"/>
    <mergeCell ref="EH79:EL79"/>
    <mergeCell ref="EM79:GD79"/>
    <mergeCell ref="GE79:GI79"/>
    <mergeCell ref="GJ79:GN79"/>
    <mergeCell ref="CK80:EB80"/>
    <mergeCell ref="EC80:EG80"/>
    <mergeCell ref="EH80:EL80"/>
    <mergeCell ref="EM80:GD80"/>
    <mergeCell ref="GE80:GI80"/>
    <mergeCell ref="GJ80:GN80"/>
    <mergeCell ref="CK77:EB77"/>
    <mergeCell ref="EC77:EG77"/>
    <mergeCell ref="EH77:EL77"/>
    <mergeCell ref="EM77:GD77"/>
    <mergeCell ref="GE77:GI77"/>
    <mergeCell ref="GJ77:GN77"/>
    <mergeCell ref="CK78:EB78"/>
    <mergeCell ref="EC78:EG78"/>
    <mergeCell ref="EH78:EL78"/>
    <mergeCell ref="EM78:GD78"/>
    <mergeCell ref="GE78:GI78"/>
    <mergeCell ref="GJ78:GN78"/>
    <mergeCell ref="CK75:EB75"/>
    <mergeCell ref="EC75:EG75"/>
    <mergeCell ref="EH75:EL75"/>
    <mergeCell ref="EM75:GD75"/>
    <mergeCell ref="GE75:GI75"/>
    <mergeCell ref="GJ75:GN75"/>
    <mergeCell ref="CK76:EB76"/>
    <mergeCell ref="EC76:EG76"/>
    <mergeCell ref="EH76:EL76"/>
    <mergeCell ref="EM76:GD76"/>
    <mergeCell ref="GE76:GI76"/>
    <mergeCell ref="GJ76:GN76"/>
    <mergeCell ref="CK73:EB73"/>
    <mergeCell ref="EC73:EG73"/>
    <mergeCell ref="EH73:EL73"/>
    <mergeCell ref="EM73:GD73"/>
    <mergeCell ref="GE73:GI73"/>
    <mergeCell ref="GJ73:GN73"/>
    <mergeCell ref="CK74:EB74"/>
    <mergeCell ref="EC74:EG74"/>
    <mergeCell ref="EH74:EL74"/>
    <mergeCell ref="EM74:GD74"/>
    <mergeCell ref="GE74:GI74"/>
    <mergeCell ref="GJ74:GN74"/>
    <mergeCell ref="CK71:EB71"/>
    <mergeCell ref="EC71:EG71"/>
    <mergeCell ref="EH71:EL71"/>
    <mergeCell ref="EM71:GD71"/>
    <mergeCell ref="GE71:GI71"/>
    <mergeCell ref="GJ71:GN71"/>
    <mergeCell ref="CK72:EB72"/>
    <mergeCell ref="EC72:EG72"/>
    <mergeCell ref="EH72:EL72"/>
    <mergeCell ref="EM72:GD72"/>
    <mergeCell ref="GE72:GI72"/>
    <mergeCell ref="GJ72:GN72"/>
    <mergeCell ref="CK69:EB69"/>
    <mergeCell ref="EC69:EG69"/>
    <mergeCell ref="EH69:EL69"/>
    <mergeCell ref="EM69:GD69"/>
    <mergeCell ref="GE69:GI69"/>
    <mergeCell ref="GJ69:GN69"/>
    <mergeCell ref="CK70:EB70"/>
    <mergeCell ref="EC70:EG70"/>
    <mergeCell ref="EH70:EL70"/>
    <mergeCell ref="EM70:GD70"/>
    <mergeCell ref="GE70:GI70"/>
    <mergeCell ref="GJ70:GN70"/>
    <mergeCell ref="CK67:EB67"/>
    <mergeCell ref="EC67:EG67"/>
    <mergeCell ref="EH67:EL67"/>
    <mergeCell ref="EM67:GD67"/>
    <mergeCell ref="GE67:GI67"/>
    <mergeCell ref="GJ67:GN67"/>
    <mergeCell ref="CK68:EB68"/>
    <mergeCell ref="EC68:EG68"/>
    <mergeCell ref="EH68:EL68"/>
    <mergeCell ref="EM68:GD68"/>
    <mergeCell ref="GE68:GI68"/>
    <mergeCell ref="GJ68:GN68"/>
    <mergeCell ref="CK65:EB65"/>
    <mergeCell ref="EC65:EG65"/>
    <mergeCell ref="EH65:EL65"/>
    <mergeCell ref="EM65:GD65"/>
    <mergeCell ref="GE65:GI65"/>
    <mergeCell ref="GJ65:GN65"/>
    <mergeCell ref="CK66:EB66"/>
    <mergeCell ref="EC66:EG66"/>
    <mergeCell ref="EH66:EL66"/>
    <mergeCell ref="EM66:GD66"/>
    <mergeCell ref="GE66:GI66"/>
    <mergeCell ref="GJ66:GN66"/>
    <mergeCell ref="CK63:EB63"/>
    <mergeCell ref="EC63:EG63"/>
    <mergeCell ref="EH63:EL63"/>
    <mergeCell ref="EM63:GD63"/>
    <mergeCell ref="GE63:GI63"/>
    <mergeCell ref="GJ63:GN63"/>
    <mergeCell ref="CK64:EB64"/>
    <mergeCell ref="EC64:EG64"/>
    <mergeCell ref="EH64:EL64"/>
    <mergeCell ref="EM64:GD64"/>
    <mergeCell ref="GE64:GI64"/>
    <mergeCell ref="GJ64:GN64"/>
    <mergeCell ref="CK61:EB61"/>
    <mergeCell ref="EC61:EG61"/>
    <mergeCell ref="EH61:EL61"/>
    <mergeCell ref="EM61:GD61"/>
    <mergeCell ref="GE61:GI61"/>
    <mergeCell ref="GJ61:GN61"/>
    <mergeCell ref="CK62:EB62"/>
    <mergeCell ref="EC62:EG62"/>
    <mergeCell ref="EH62:EL62"/>
    <mergeCell ref="EM62:GD62"/>
    <mergeCell ref="GE62:GI62"/>
    <mergeCell ref="GJ62:GN62"/>
    <mergeCell ref="CK59:EB59"/>
    <mergeCell ref="EC59:EG59"/>
    <mergeCell ref="EH59:EL59"/>
    <mergeCell ref="EM59:GD59"/>
    <mergeCell ref="GE59:GI59"/>
    <mergeCell ref="GJ59:GN59"/>
    <mergeCell ref="CK60:EB60"/>
    <mergeCell ref="EC60:EG60"/>
    <mergeCell ref="EH60:EL60"/>
    <mergeCell ref="EM60:GD60"/>
    <mergeCell ref="GE60:GI60"/>
    <mergeCell ref="GJ60:GN60"/>
    <mergeCell ref="CK57:EB57"/>
    <mergeCell ref="EC57:EG57"/>
    <mergeCell ref="EH57:EL57"/>
    <mergeCell ref="EM57:GD57"/>
    <mergeCell ref="GE57:GI57"/>
    <mergeCell ref="GJ57:GN57"/>
    <mergeCell ref="CK58:EB58"/>
    <mergeCell ref="EC58:EG58"/>
    <mergeCell ref="EH58:EL58"/>
    <mergeCell ref="EM58:GD58"/>
    <mergeCell ref="GE58:GI58"/>
    <mergeCell ref="GJ58:GN58"/>
    <mergeCell ref="CK55:EB55"/>
    <mergeCell ref="EC55:EG55"/>
    <mergeCell ref="EH55:EL55"/>
    <mergeCell ref="EM55:GD55"/>
    <mergeCell ref="GE55:GI55"/>
    <mergeCell ref="GJ55:GN55"/>
    <mergeCell ref="CK56:EB56"/>
    <mergeCell ref="EC56:EG56"/>
    <mergeCell ref="EH56:EL56"/>
    <mergeCell ref="EM56:GD56"/>
    <mergeCell ref="GE56:GI56"/>
    <mergeCell ref="GJ56:GN56"/>
    <mergeCell ref="CK53:EB53"/>
    <mergeCell ref="EC53:EG53"/>
    <mergeCell ref="EH53:EL53"/>
    <mergeCell ref="EM53:GD53"/>
    <mergeCell ref="GE53:GI53"/>
    <mergeCell ref="GJ53:GN53"/>
    <mergeCell ref="CK54:EB54"/>
    <mergeCell ref="EC54:EG54"/>
    <mergeCell ref="EH54:EL54"/>
    <mergeCell ref="EM54:GD54"/>
    <mergeCell ref="GE54:GI54"/>
    <mergeCell ref="GJ54:GN54"/>
    <mergeCell ref="CK51:EB51"/>
    <mergeCell ref="EC51:EG51"/>
    <mergeCell ref="EH51:EL51"/>
    <mergeCell ref="EM51:GD51"/>
    <mergeCell ref="GE51:GI51"/>
    <mergeCell ref="GJ51:GN51"/>
    <mergeCell ref="CK52:EB52"/>
    <mergeCell ref="EC52:EG52"/>
    <mergeCell ref="EH52:EL52"/>
    <mergeCell ref="EM52:GD52"/>
    <mergeCell ref="GE52:GI52"/>
    <mergeCell ref="GJ52:GN52"/>
    <mergeCell ref="CK49:EB49"/>
    <mergeCell ref="EC49:EG49"/>
    <mergeCell ref="EH49:EL49"/>
    <mergeCell ref="EM49:GD49"/>
    <mergeCell ref="GE49:GI49"/>
    <mergeCell ref="GJ49:GN49"/>
    <mergeCell ref="CK50:EB50"/>
    <mergeCell ref="EC50:EG50"/>
    <mergeCell ref="EH50:EL50"/>
    <mergeCell ref="EM50:GD50"/>
    <mergeCell ref="GE50:GI50"/>
    <mergeCell ref="GJ50:GN50"/>
    <mergeCell ref="CK47:EB47"/>
    <mergeCell ref="EC47:EG47"/>
    <mergeCell ref="EH47:EL47"/>
    <mergeCell ref="EM47:GD47"/>
    <mergeCell ref="GE47:GI47"/>
    <mergeCell ref="GJ47:GN47"/>
    <mergeCell ref="CK48:EB48"/>
    <mergeCell ref="EC48:EG48"/>
    <mergeCell ref="EH48:EL48"/>
    <mergeCell ref="EM48:GD48"/>
    <mergeCell ref="GE48:GI48"/>
    <mergeCell ref="GJ48:GN48"/>
    <mergeCell ref="EC45:EG45"/>
    <mergeCell ref="EH45:EL45"/>
    <mergeCell ref="EM45:GD45"/>
    <mergeCell ref="GE45:GI45"/>
    <mergeCell ref="GJ45:GN45"/>
    <mergeCell ref="CK46:EB46"/>
    <mergeCell ref="EC46:EG46"/>
    <mergeCell ref="EH46:EL46"/>
    <mergeCell ref="EM46:GD46"/>
    <mergeCell ref="GE46:GI46"/>
    <mergeCell ref="GJ46:GN46"/>
    <mergeCell ref="EC43:EG43"/>
    <mergeCell ref="EH43:EL43"/>
    <mergeCell ref="EM43:GD43"/>
    <mergeCell ref="GE43:GI43"/>
    <mergeCell ref="GJ43:GN43"/>
    <mergeCell ref="CK44:EB44"/>
    <mergeCell ref="EC44:EG44"/>
    <mergeCell ref="EH44:EL44"/>
    <mergeCell ref="EM44:GD44"/>
    <mergeCell ref="GE44:GI44"/>
    <mergeCell ref="GJ44:GN44"/>
    <mergeCell ref="EC41:EG41"/>
    <mergeCell ref="EH41:EL41"/>
    <mergeCell ref="EM41:GD41"/>
    <mergeCell ref="GE41:GI41"/>
    <mergeCell ref="GJ41:GN41"/>
    <mergeCell ref="CK42:EB42"/>
    <mergeCell ref="EC42:EG42"/>
    <mergeCell ref="EH42:EL42"/>
    <mergeCell ref="EM42:GD42"/>
    <mergeCell ref="GE42:GI42"/>
    <mergeCell ref="GJ42:GN42"/>
    <mergeCell ref="EC39:EG39"/>
    <mergeCell ref="EH39:EL39"/>
    <mergeCell ref="EM39:GD39"/>
    <mergeCell ref="GE39:GI39"/>
    <mergeCell ref="GJ39:GN39"/>
    <mergeCell ref="CK40:EB40"/>
    <mergeCell ref="EC40:EG40"/>
    <mergeCell ref="EH40:EL40"/>
    <mergeCell ref="EM40:GD40"/>
    <mergeCell ref="GE40:GI40"/>
    <mergeCell ref="GJ40:GN40"/>
    <mergeCell ref="CK37:EB37"/>
    <mergeCell ref="EC37:EG37"/>
    <mergeCell ref="EH37:EL37"/>
    <mergeCell ref="EM37:GD37"/>
    <mergeCell ref="GE37:GI37"/>
    <mergeCell ref="GJ37:GN37"/>
    <mergeCell ref="CK38:EB38"/>
    <mergeCell ref="EC38:EG38"/>
    <mergeCell ref="EH38:EL38"/>
    <mergeCell ref="EM38:GD38"/>
    <mergeCell ref="GE38:GI38"/>
    <mergeCell ref="GJ38:GN38"/>
    <mergeCell ref="CK35:EB35"/>
    <mergeCell ref="EC35:EG35"/>
    <mergeCell ref="EH35:EL35"/>
    <mergeCell ref="EM35:GD35"/>
    <mergeCell ref="GE35:GI35"/>
    <mergeCell ref="GJ35:GN35"/>
    <mergeCell ref="CK36:EB36"/>
    <mergeCell ref="EC36:EG36"/>
    <mergeCell ref="EH36:EL36"/>
    <mergeCell ref="EM36:GD36"/>
    <mergeCell ref="GE36:GI36"/>
    <mergeCell ref="GJ36:GN36"/>
    <mergeCell ref="CK33:EB33"/>
    <mergeCell ref="EC33:EG33"/>
    <mergeCell ref="EH33:EL33"/>
    <mergeCell ref="EM33:GD33"/>
    <mergeCell ref="GE33:GI33"/>
    <mergeCell ref="GJ33:GN33"/>
    <mergeCell ref="CK34:EB34"/>
    <mergeCell ref="EC34:EG34"/>
    <mergeCell ref="EH34:EL34"/>
    <mergeCell ref="EM34:GD34"/>
    <mergeCell ref="GE34:GI34"/>
    <mergeCell ref="GJ34:GN34"/>
    <mergeCell ref="CK31:EB31"/>
    <mergeCell ref="EC31:EG31"/>
    <mergeCell ref="EH31:EL31"/>
    <mergeCell ref="EM31:GD31"/>
    <mergeCell ref="GE31:GI31"/>
    <mergeCell ref="GJ31:GN31"/>
    <mergeCell ref="CK32:EB32"/>
    <mergeCell ref="EC32:EG32"/>
    <mergeCell ref="EH32:EL32"/>
    <mergeCell ref="EM32:GD32"/>
    <mergeCell ref="GE32:GI32"/>
    <mergeCell ref="GJ32:GN32"/>
    <mergeCell ref="CK29:EB29"/>
    <mergeCell ref="EC29:EG29"/>
    <mergeCell ref="EH29:EL29"/>
    <mergeCell ref="EM29:GD29"/>
    <mergeCell ref="GE29:GI29"/>
    <mergeCell ref="GJ29:GN29"/>
    <mergeCell ref="CK30:EB30"/>
    <mergeCell ref="EC30:EG30"/>
    <mergeCell ref="EH30:EL30"/>
    <mergeCell ref="EM30:GD30"/>
    <mergeCell ref="GE30:GI30"/>
    <mergeCell ref="GJ30:GN30"/>
    <mergeCell ref="CK27:EB27"/>
    <mergeCell ref="EC27:EG27"/>
    <mergeCell ref="EH27:EL27"/>
    <mergeCell ref="EM27:GD27"/>
    <mergeCell ref="GE27:GI27"/>
    <mergeCell ref="GJ27:GN27"/>
    <mergeCell ref="CK28:EB28"/>
    <mergeCell ref="EC28:EG28"/>
    <mergeCell ref="EH28:EL28"/>
    <mergeCell ref="EM28:GD28"/>
    <mergeCell ref="GE28:GI28"/>
    <mergeCell ref="GJ28:GN28"/>
    <mergeCell ref="CK25:EB25"/>
    <mergeCell ref="EC25:EG25"/>
    <mergeCell ref="EH25:EL25"/>
    <mergeCell ref="EM25:GD25"/>
    <mergeCell ref="GE25:GI25"/>
    <mergeCell ref="GJ25:GN25"/>
    <mergeCell ref="CK26:EB26"/>
    <mergeCell ref="EC26:EG26"/>
    <mergeCell ref="EH26:EL26"/>
    <mergeCell ref="EM26:GD26"/>
    <mergeCell ref="GE26:GI26"/>
    <mergeCell ref="GJ26:GN26"/>
    <mergeCell ref="CK23:EB23"/>
    <mergeCell ref="EC23:EG23"/>
    <mergeCell ref="EH23:EL23"/>
    <mergeCell ref="EM23:GD23"/>
    <mergeCell ref="GE23:GI23"/>
    <mergeCell ref="GJ23:GN23"/>
    <mergeCell ref="CK24:EB24"/>
    <mergeCell ref="EC24:EG24"/>
    <mergeCell ref="EH24:EL24"/>
    <mergeCell ref="EM24:GD24"/>
    <mergeCell ref="GE24:GI24"/>
    <mergeCell ref="GJ24:GN24"/>
    <mergeCell ref="CK21:EB21"/>
    <mergeCell ref="EC21:EG21"/>
    <mergeCell ref="EH21:EL21"/>
    <mergeCell ref="EM21:GD21"/>
    <mergeCell ref="GE21:GI21"/>
    <mergeCell ref="GJ21:GN21"/>
    <mergeCell ref="CK22:EB22"/>
    <mergeCell ref="EC22:EG22"/>
    <mergeCell ref="EH22:EL22"/>
    <mergeCell ref="EM22:GD22"/>
    <mergeCell ref="GE22:GI22"/>
    <mergeCell ref="GJ22:GN22"/>
    <mergeCell ref="CK19:EB19"/>
    <mergeCell ref="EC19:EG19"/>
    <mergeCell ref="EH19:EL19"/>
    <mergeCell ref="EM19:GD19"/>
    <mergeCell ref="GE19:GI19"/>
    <mergeCell ref="GJ19:GN19"/>
    <mergeCell ref="CK20:EB20"/>
    <mergeCell ref="EC20:EG20"/>
    <mergeCell ref="EH20:EL20"/>
    <mergeCell ref="EM20:GD20"/>
    <mergeCell ref="GE20:GI20"/>
    <mergeCell ref="GJ20:GN20"/>
    <mergeCell ref="CK17:EB17"/>
    <mergeCell ref="EC17:EG17"/>
    <mergeCell ref="EH17:EL17"/>
    <mergeCell ref="EM17:GD17"/>
    <mergeCell ref="GE17:GI17"/>
    <mergeCell ref="GJ17:GN17"/>
    <mergeCell ref="CK18:EB18"/>
    <mergeCell ref="EC18:EG18"/>
    <mergeCell ref="EH18:EL18"/>
    <mergeCell ref="EM18:GD18"/>
    <mergeCell ref="GE18:GI18"/>
    <mergeCell ref="GJ18:GN18"/>
    <mergeCell ref="CK15:EB15"/>
    <mergeCell ref="EC15:EG15"/>
    <mergeCell ref="EH15:EL15"/>
    <mergeCell ref="EM15:GD15"/>
    <mergeCell ref="GE15:GI15"/>
    <mergeCell ref="GJ15:GN15"/>
    <mergeCell ref="CK16:EB16"/>
    <mergeCell ref="EC16:EG16"/>
    <mergeCell ref="EH16:EL16"/>
    <mergeCell ref="EM16:GD16"/>
    <mergeCell ref="GE16:GI16"/>
    <mergeCell ref="GJ16:GN16"/>
    <mergeCell ref="CK8:CN8"/>
    <mergeCell ref="CO8:GN8"/>
    <mergeCell ref="CK9:GN13"/>
    <mergeCell ref="CK14:EB14"/>
    <mergeCell ref="EC14:EG14"/>
    <mergeCell ref="EH14:EL14"/>
    <mergeCell ref="EM14:GD14"/>
    <mergeCell ref="GE14:GI14"/>
    <mergeCell ref="GJ14:GN14"/>
    <mergeCell ref="B83:G83"/>
    <mergeCell ref="H83:BF83"/>
    <mergeCell ref="BG83:BT83"/>
    <mergeCell ref="BU83:CH83"/>
    <mergeCell ref="B81:G81"/>
    <mergeCell ref="H81:BF81"/>
    <mergeCell ref="BG81:BT81"/>
    <mergeCell ref="BU81:CH81"/>
    <mergeCell ref="B82:G82"/>
    <mergeCell ref="H82:BF82"/>
    <mergeCell ref="BG82:BT82"/>
    <mergeCell ref="BU82:CH82"/>
    <mergeCell ref="B79:G79"/>
    <mergeCell ref="H79:BF79"/>
    <mergeCell ref="BG79:BT79"/>
    <mergeCell ref="BU79:CH79"/>
    <mergeCell ref="B80:G80"/>
    <mergeCell ref="H80:BF80"/>
    <mergeCell ref="BG80:BT80"/>
    <mergeCell ref="BU80:CH80"/>
    <mergeCell ref="B77:G77"/>
    <mergeCell ref="H77:BF77"/>
    <mergeCell ref="BG77:BT77"/>
    <mergeCell ref="BU77:CH77"/>
    <mergeCell ref="B78:G78"/>
    <mergeCell ref="H78:BF78"/>
    <mergeCell ref="BG78:BT78"/>
    <mergeCell ref="BU78:CH78"/>
    <mergeCell ref="B68:CH72"/>
    <mergeCell ref="B73:CH73"/>
    <mergeCell ref="B74:CH74"/>
    <mergeCell ref="B75:CH75"/>
    <mergeCell ref="B76:G76"/>
    <mergeCell ref="H76:BF76"/>
    <mergeCell ref="BG76:BT76"/>
    <mergeCell ref="BU76:CH76"/>
    <mergeCell ref="B64:G64"/>
    <mergeCell ref="H64:CH64"/>
    <mergeCell ref="B65:G65"/>
    <mergeCell ref="H65:CH65"/>
    <mergeCell ref="B67:F67"/>
    <mergeCell ref="G67:CH67"/>
    <mergeCell ref="B61:G61"/>
    <mergeCell ref="H61:CH61"/>
    <mergeCell ref="B62:G62"/>
    <mergeCell ref="H62:CH62"/>
    <mergeCell ref="B63:G63"/>
    <mergeCell ref="H63:CH63"/>
    <mergeCell ref="B58:G58"/>
    <mergeCell ref="H58:CH58"/>
    <mergeCell ref="B59:G59"/>
    <mergeCell ref="H59:CH59"/>
    <mergeCell ref="B60:G60"/>
    <mergeCell ref="H60:CH60"/>
    <mergeCell ref="B51:F51"/>
    <mergeCell ref="G51:CH51"/>
    <mergeCell ref="B52:CH55"/>
    <mergeCell ref="B56:G56"/>
    <mergeCell ref="H56:CH56"/>
    <mergeCell ref="B57:G57"/>
    <mergeCell ref="H57:CH57"/>
    <mergeCell ref="B48:U48"/>
    <mergeCell ref="V48:AI48"/>
    <mergeCell ref="AJ48:AW48"/>
    <mergeCell ref="B49:U49"/>
    <mergeCell ref="AJ49:AW49"/>
    <mergeCell ref="B46:U46"/>
    <mergeCell ref="V46:AI46"/>
    <mergeCell ref="AJ46:AW46"/>
    <mergeCell ref="B47:U47"/>
    <mergeCell ref="V47:AI47"/>
    <mergeCell ref="AJ47:AW47"/>
    <mergeCell ref="BS46:CH46"/>
    <mergeCell ref="BS47:CH47"/>
    <mergeCell ref="BS48:CH48"/>
    <mergeCell ref="BS49:CH49"/>
    <mergeCell ref="BI46:BR46"/>
    <mergeCell ref="BI47:BR47"/>
    <mergeCell ref="BI48:BR48"/>
    <mergeCell ref="BI49:BR49"/>
    <mergeCell ref="AX46:BH46"/>
    <mergeCell ref="AX47:BH47"/>
    <mergeCell ref="AX48:BH48"/>
    <mergeCell ref="AX49:BH49"/>
    <mergeCell ref="V49:AI49"/>
    <mergeCell ref="B44:U44"/>
    <mergeCell ref="V44:AI44"/>
    <mergeCell ref="AJ44:AW44"/>
    <mergeCell ref="B45:U45"/>
    <mergeCell ref="V45:AI45"/>
    <mergeCell ref="AJ45:AW45"/>
    <mergeCell ref="B42:U42"/>
    <mergeCell ref="V42:AI42"/>
    <mergeCell ref="AJ42:AW42"/>
    <mergeCell ref="B43:U43"/>
    <mergeCell ref="V43:AI43"/>
    <mergeCell ref="AJ43:AW43"/>
    <mergeCell ref="BS42:CH42"/>
    <mergeCell ref="BS43:CH43"/>
    <mergeCell ref="BS44:CH44"/>
    <mergeCell ref="BS45:CH45"/>
    <mergeCell ref="BI42:BR42"/>
    <mergeCell ref="BI43:BR43"/>
    <mergeCell ref="BI44:BR44"/>
    <mergeCell ref="BI45:BR45"/>
    <mergeCell ref="AX42:BH42"/>
    <mergeCell ref="AX43:BH43"/>
    <mergeCell ref="AX44:BH44"/>
    <mergeCell ref="AX45:BH45"/>
    <mergeCell ref="B40:U40"/>
    <mergeCell ref="V40:AI40"/>
    <mergeCell ref="AJ40:AW40"/>
    <mergeCell ref="B41:U41"/>
    <mergeCell ref="V41:AI41"/>
    <mergeCell ref="AJ41:AW41"/>
    <mergeCell ref="B33:F33"/>
    <mergeCell ref="G33:CH33"/>
    <mergeCell ref="B34:CH37"/>
    <mergeCell ref="B39:U39"/>
    <mergeCell ref="V39:AI39"/>
    <mergeCell ref="AJ39:AW39"/>
    <mergeCell ref="BS39:CH39"/>
    <mergeCell ref="BS40:CH40"/>
    <mergeCell ref="BS41:CH41"/>
    <mergeCell ref="BI39:BR39"/>
    <mergeCell ref="BI40:BR40"/>
    <mergeCell ref="BI41:BR41"/>
    <mergeCell ref="AX39:BH39"/>
    <mergeCell ref="AX40:BH40"/>
    <mergeCell ref="AX41:BH41"/>
    <mergeCell ref="B38:CH38"/>
    <mergeCell ref="B30:F30"/>
    <mergeCell ref="G30:H30"/>
    <mergeCell ref="I30:CH30"/>
    <mergeCell ref="B31:F31"/>
    <mergeCell ref="G31:H31"/>
    <mergeCell ref="I31:CH31"/>
    <mergeCell ref="B28:F28"/>
    <mergeCell ref="G28:H28"/>
    <mergeCell ref="I28:CH28"/>
    <mergeCell ref="B29:F29"/>
    <mergeCell ref="G29:H29"/>
    <mergeCell ref="I29:CH29"/>
    <mergeCell ref="B23:F23"/>
    <mergeCell ref="G23:CH23"/>
    <mergeCell ref="B24:CH26"/>
    <mergeCell ref="B27:F27"/>
    <mergeCell ref="G27:H27"/>
    <mergeCell ref="I27:CH27"/>
    <mergeCell ref="Z11:CH11"/>
    <mergeCell ref="B20:F20"/>
    <mergeCell ref="G20:Y20"/>
    <mergeCell ref="Z20:CH20"/>
    <mergeCell ref="B21:F21"/>
    <mergeCell ref="G21:Y21"/>
    <mergeCell ref="Z21:CH21"/>
    <mergeCell ref="B18:F18"/>
    <mergeCell ref="G18:Y18"/>
    <mergeCell ref="Z18:BK18"/>
    <mergeCell ref="BL18:CH18"/>
    <mergeCell ref="B19:F19"/>
    <mergeCell ref="G19:Y19"/>
    <mergeCell ref="Z19:CH19"/>
    <mergeCell ref="B16:F16"/>
    <mergeCell ref="G16:Y16"/>
    <mergeCell ref="Z16:CH16"/>
    <mergeCell ref="B17:F17"/>
    <mergeCell ref="G17:Y17"/>
    <mergeCell ref="Z17:BK17"/>
    <mergeCell ref="BL17:CH17"/>
    <mergeCell ref="B8:F8"/>
    <mergeCell ref="G8:CH8"/>
    <mergeCell ref="B9:F9"/>
    <mergeCell ref="G9:Y9"/>
    <mergeCell ref="Z9:CH9"/>
    <mergeCell ref="B2:F2"/>
    <mergeCell ref="G2:CH2"/>
    <mergeCell ref="B3:CH5"/>
    <mergeCell ref="B6:F6"/>
    <mergeCell ref="G6:Y6"/>
    <mergeCell ref="Z6:CH6"/>
    <mergeCell ref="CK39:EB39"/>
    <mergeCell ref="CK41:EB41"/>
    <mergeCell ref="CK43:EB43"/>
    <mergeCell ref="CK45:EB45"/>
    <mergeCell ref="B14:F14"/>
    <mergeCell ref="G14:Y14"/>
    <mergeCell ref="Z14:CH14"/>
    <mergeCell ref="B15:F15"/>
    <mergeCell ref="G15:Y15"/>
    <mergeCell ref="Z15:CH15"/>
    <mergeCell ref="B12:F12"/>
    <mergeCell ref="G12:Y12"/>
    <mergeCell ref="Z12:CH12"/>
    <mergeCell ref="B13:F13"/>
    <mergeCell ref="G13:Y13"/>
    <mergeCell ref="Z13:CH13"/>
    <mergeCell ref="B10:F10"/>
    <mergeCell ref="G10:Y10"/>
    <mergeCell ref="Z10:CH10"/>
    <mergeCell ref="B11:F11"/>
    <mergeCell ref="G11:Y11"/>
  </mergeCells>
  <conditionalFormatting sqref="CK14">
    <cfRule type="expression" dxfId="50" priority="30" stopIfTrue="1">
      <formula>NOT(ISERROR(SEARCH("Category",CK14)))</formula>
    </cfRule>
  </conditionalFormatting>
  <conditionalFormatting sqref="CK14">
    <cfRule type="expression" dxfId="49" priority="29" stopIfTrue="1">
      <formula>NOT(ISERROR(SEARCH("Skills",CK14)))</formula>
    </cfRule>
  </conditionalFormatting>
  <conditionalFormatting sqref="CK18 CK20 CK22 CK24 CK26 CK28 CK30 CK32 CK34 CK36 CK38 CK40 CK42 CK44 CK46 CK48 CK50 CK52 CK54 CK56 CK58 CK60 CK62 CK64 CK66 CK68 CK70 CK72 CK74 CK76 CK78 CK80 CK82 CK84 CK86 CK88 CK90 CK92 CK94 CK96 CK98 CK100 CK102 CK104 CK106 CK108 CK110 CK112 CK114 CK116 CK118 CK120 CK122 CK124 CK126 CK128 CK130 CK132 CK134 CK136 CK138 CK140 CK142 CK144 CK146 CK148 CK150 CK152 CK154 CK156 CK158 CK160 CK162 CK164 CK166 CK168 CK170 CK172 CK174 CK176 CK178 CK180 CK182 CK184 CK186 CK188 CK190 CK192 CK194 CK196 CK198 CK200 CK202 CK204 CK206 CK208 CK210 CK212 CK214 CK216 CK218 CK220 CK222 CK224 CK226 CK228 CK230 CK232 CK234 CK236 CK238 CK240 CK242 CK244 CK246 CK248 CK250 CK252 CK254 CK256 CK258 CK260 CK262 CK264">
    <cfRule type="expression" dxfId="48" priority="4" stopIfTrue="1">
      <formula>NOT(ISERROR(SEARCH("Category",CK18)))</formula>
    </cfRule>
  </conditionalFormatting>
  <conditionalFormatting sqref="CK18 CK20 CK22 CK24 CK26 CK28 CK30 CK32 CK34 CK36 CK38 CK40 CK42 CK44 CK46 CK48 CK50 CK52 CK54 CK56 CK58 CK60 CK62 CK64 CK66 CK68 CK70 CK72 CK74 CK76 CK78 CK80 CK82 CK84 CK86 CK88 CK90 CK92 CK94 CK96 CK98 CK100 CK102 CK104 CK106 CK108 CK110 CK112 CK114 CK116 CK118 CK120 CK122 CK124 CK126 CK128 CK130 CK132 CK134 CK136 CK138 CK140 CK142 CK144 CK146 CK148 CK150 CK152 CK154 CK156 CK158 CK160 CK162 CK164 CK166 CK168 CK170 CK172 CK174 CK176 CK178 CK180 CK182 CK184 CK186 CK188 CK190 CK192 CK194 CK196 CK198 CK200 CK202 CK204 CK206 CK208 CK210 CK212 CK214 CK216 CK218 CK220 CK222 CK224 CK226 CK228 CK230 CK232 CK234 CK236 CK238 CK240 CK242 CK244 CK246 CK248 CK250 CK252 CK254 CK256 CK258 CK260 CK262 CK264">
    <cfRule type="expression" dxfId="47" priority="3" stopIfTrue="1">
      <formula>NOT(ISERROR(SEARCH("Skills",CK18)))</formula>
    </cfRule>
  </conditionalFormatting>
  <conditionalFormatting sqref="CK15">
    <cfRule type="expression" dxfId="46" priority="26" stopIfTrue="1">
      <formula>NOT(ISERROR(SEARCH("Category",CK15)))</formula>
    </cfRule>
  </conditionalFormatting>
  <conditionalFormatting sqref="CK15">
    <cfRule type="expression" dxfId="45" priority="25" stopIfTrue="1">
      <formula>NOT(ISERROR(SEARCH("Skills",CK15)))</formula>
    </cfRule>
  </conditionalFormatting>
  <conditionalFormatting sqref="EM14">
    <cfRule type="expression" dxfId="44" priority="24" stopIfTrue="1">
      <formula>NOT(ISERROR(SEARCH("Category",EM14)))</formula>
    </cfRule>
  </conditionalFormatting>
  <conditionalFormatting sqref="EM14">
    <cfRule type="expression" dxfId="43" priority="23" stopIfTrue="1">
      <formula>NOT(ISERROR(SEARCH("Skills",EM14)))</formula>
    </cfRule>
  </conditionalFormatting>
  <conditionalFormatting sqref="EM15">
    <cfRule type="expression" dxfId="42" priority="22" stopIfTrue="1">
      <formula>NOT(ISERROR(SEARCH("Category",EM15)))</formula>
    </cfRule>
  </conditionalFormatting>
  <conditionalFormatting sqref="EM15">
    <cfRule type="expression" dxfId="41" priority="21" stopIfTrue="1">
      <formula>NOT(ISERROR(SEARCH("Skills",EM15)))</formula>
    </cfRule>
  </conditionalFormatting>
  <conditionalFormatting sqref="EM18 EM20 EM22 EM24 EM26 EM28 EM30 EM32 EM34 EM36 EM38 EM40 EM42 EM44 EM46 EM48 EM50 EM52 EM54 EM56 EM58 EM60 EM62 EM64 EM66 EM68 EM70 EM72 EM74 EM76 EM78 EM80 EM82 EM84 EM86 EM88 EM90 EM92 EM94 EM96 EM98 EM100 EM102 EM104 EM106 EM108 EM110 EM112 EM114 EM116 EM118 EM120 EM122 EM124 EM126 EM128 EM130 EM132 EM134 EM136 EM138 EM140 EM142 EM144 EM146 EM148 EM150 EM152 EM154 EM156 EM158 EM160 EM162 EM164 EM166 EM168 EM170 EM172 EM174 EM176 EM178 EM180 EM182 EM184 EM186 EM188 EM190 EM192 EM194 EM196 EM198 EM200 EM202 EM204 EM206 EM208 EM210 EM212 EM214 EM216 EM218 EM220 EM222 EM224 EM226 EM228 EM230 EM232 EM234 EM236 EM238 EM240 EM242 EM244 EM246 EM248 EM250 EM252 EM254 EM256 EM258 EM260 EM262 EM264">
    <cfRule type="expression" dxfId="40" priority="2" stopIfTrue="1">
      <formula>NOT(ISERROR(SEARCH("Category",EM18)))</formula>
    </cfRule>
  </conditionalFormatting>
  <conditionalFormatting sqref="EM18 EM20 EM22 EM24 EM26 EM28 EM30 EM32 EM34 EM36 EM38 EM40 EM42 EM44 EM46 EM48 EM50 EM52 EM54 EM56 EM58 EM60 EM62 EM64 EM66 EM68 EM70 EM72 EM74 EM76 EM78 EM80 EM82 EM84 EM86 EM88 EM90 EM92 EM94 EM96 EM98 EM100 EM102 EM104 EM106 EM108 EM110 EM112 EM114 EM116 EM118 EM120 EM122 EM124 EM126 EM128 EM130 EM132 EM134 EM136 EM138 EM140 EM142 EM144 EM146 EM148 EM150 EM152 EM154 EM156 EM158 EM160 EM162 EM164 EM166 EM168 EM170 EM172 EM174 EM176 EM178 EM180 EM182 EM184 EM186 EM188 EM190 EM192 EM194 EM196 EM198 EM200 EM202 EM204 EM206 EM208 EM210 EM212 EM214 EM216 EM218 EM220 EM222 EM224 EM226 EM228 EM230 EM232 EM234 EM236 EM238 EM240 EM242 EM244 EM246 EM248 EM250 EM252 EM254 EM256 EM258 EM260 EM262 EM264">
    <cfRule type="expression" dxfId="39" priority="1" stopIfTrue="1">
      <formula>NOT(ISERROR(SEARCH("Skills",EM18)))</formula>
    </cfRule>
  </conditionalFormatting>
  <conditionalFormatting sqref="CK16">
    <cfRule type="expression" dxfId="38" priority="12" stopIfTrue="1">
      <formula>NOT(ISERROR(SEARCH("Category",CK16)))</formula>
    </cfRule>
  </conditionalFormatting>
  <conditionalFormatting sqref="CK16">
    <cfRule type="expression" dxfId="37" priority="11" stopIfTrue="1">
      <formula>NOT(ISERROR(SEARCH("Skills",CK16)))</formula>
    </cfRule>
  </conditionalFormatting>
  <conditionalFormatting sqref="EM16">
    <cfRule type="expression" dxfId="36" priority="10" stopIfTrue="1">
      <formula>NOT(ISERROR(SEARCH("Category",EM16)))</formula>
    </cfRule>
  </conditionalFormatting>
  <conditionalFormatting sqref="EM16">
    <cfRule type="expression" dxfId="35" priority="9" stopIfTrue="1">
      <formula>NOT(ISERROR(SEARCH("Skills",EM16)))</formula>
    </cfRule>
  </conditionalFormatting>
  <conditionalFormatting sqref="CK17 CK19 CK21 CK23 CK25 CK27 CK29 CK31 CK33 CK35 CK37 CK39 CK41 CK43 CK45 CK47 CK49 CK51 CK53 CK55 CK57 CK59 CK61 CK63 CK65 CK67 CK69 CK71 CK73 CK75 CK77 CK79 CK81 CK83 CK85 CK87 CK89 CK91 CK93 CK95 CK97 CK99 CK101 CK103 CK105 CK107 CK109 CK111 CK113 CK115 CK117 CK119 CK121 CK123 CK125 CK127 CK129 CK131 CK133 CK135 CK137 CK139 CK141 CK143 CK145 CK147 CK149 CK151 CK153 CK155 CK157 CK159 CK161 CK163 CK165 CK167 CK169 CK171 CK173 CK175 CK177 CK179 CK181 CK183 CK185 CK187 CK189 CK191 CK193 CK195 CK197 CK199 CK201 CK203 CK205 CK207 CK209 CK211 CK213 CK215 CK217 CK219 CK221 CK223 CK225 CK227 CK229 CK231 CK233 CK235 CK237 CK239 CK241 CK243 CK245 CK247 CK249 CK251 CK253 CK255 CK257 CK259 CK261 CK263">
    <cfRule type="expression" dxfId="34" priority="8" stopIfTrue="1">
      <formula>NOT(ISERROR(SEARCH("Category",CK17)))</formula>
    </cfRule>
  </conditionalFormatting>
  <conditionalFormatting sqref="CK17 CK19 CK21 CK23 CK25 CK27 CK29 CK31 CK33 CK35 CK37 CK39 CK41 CK43 CK45 CK47 CK49 CK51 CK53 CK55 CK57 CK59 CK61 CK63 CK65 CK67 CK69 CK71 CK73 CK75 CK77 CK79 CK81 CK83 CK85 CK87 CK89 CK91 CK93 CK95 CK97 CK99 CK101 CK103 CK105 CK107 CK109 CK111 CK113 CK115 CK117 CK119 CK121 CK123 CK125 CK127 CK129 CK131 CK133 CK135 CK137 CK139 CK141 CK143 CK145 CK147 CK149 CK151 CK153 CK155 CK157 CK159 CK161 CK163 CK165 CK167 CK169 CK171 CK173 CK175 CK177 CK179 CK181 CK183 CK185 CK187 CK189 CK191 CK193 CK195 CK197 CK199 CK201 CK203 CK205 CK207 CK209 CK211 CK213 CK215 CK217 CK219 CK221 CK223 CK225 CK227 CK229 CK231 CK233 CK235 CK237 CK239 CK241 CK243 CK245 CK247 CK249 CK251 CK253 CK255 CK257 CK259 CK261 CK263">
    <cfRule type="expression" dxfId="33" priority="7" stopIfTrue="1">
      <formula>NOT(ISERROR(SEARCH("Skills",CK17)))</formula>
    </cfRule>
  </conditionalFormatting>
  <conditionalFormatting sqref="EM17 EM19 EM21 EM23 EM25 EM27 EM29 EM31 EM33 EM35 EM37 EM39 EM41 EM43 EM45 EM47 EM49 EM51 EM53 EM55 EM57 EM59 EM61 EM63 EM65 EM67 EM69 EM71 EM73 EM75 EM77 EM79 EM81 EM83 EM85 EM87 EM89 EM91 EM93 EM95 EM97 EM99 EM101 EM103 EM105 EM107 EM109 EM111 EM113 EM115 EM117 EM119 EM121 EM123 EM125 EM127 EM129 EM131 EM133 EM135 EM137 EM139 EM141 EM143 EM145 EM147 EM149 EM151 EM153 EM155 EM157 EM159 EM161 EM163 EM165 EM167 EM169 EM171 EM173 EM175 EM177 EM179 EM181 EM183 EM185 EM187 EM189 EM191 EM193 EM195 EM197 EM199 EM201 EM203 EM205 EM207 EM209 EM211 EM213 EM215 EM217 EM219 EM221 EM223 EM225 EM227 EM229 EM231 EM233 EM235 EM237 EM239 EM241 EM243 EM245 EM247 EM249 EM251 EM253 EM255 EM257 EM259 EM261 EM263">
    <cfRule type="expression" dxfId="32" priority="6" stopIfTrue="1">
      <formula>NOT(ISERROR(SEARCH("Category",EM17)))</formula>
    </cfRule>
  </conditionalFormatting>
  <conditionalFormatting sqref="EM17 EM19 EM21 EM23 EM25 EM27 EM29 EM31 EM33 EM35 EM37 EM39 EM41 EM43 EM45 EM47 EM49 EM51 EM53 EM55 EM57 EM59 EM61 EM63 EM65 EM67 EM69 EM71 EM73 EM75 EM77 EM79 EM81 EM83 EM85 EM87 EM89 EM91 EM93 EM95 EM97 EM99 EM101 EM103 EM105 EM107 EM109 EM111 EM113 EM115 EM117 EM119 EM121 EM123 EM125 EM127 EM129 EM131 EM133 EM135 EM137 EM139 EM141 EM143 EM145 EM147 EM149 EM151 EM153 EM155 EM157 EM159 EM161 EM163 EM165 EM167 EM169 EM171 EM173 EM175 EM177 EM179 EM181 EM183 EM185 EM187 EM189 EM191 EM193 EM195 EM197 EM199 EM201 EM203 EM205 EM207 EM209 EM211 EM213 EM215 EM217 EM219 EM221 EM223 EM225 EM227 EM229 EM231 EM233 EM235 EM237 EM239 EM241 EM243 EM245 EM247 EM249 EM251 EM253 EM255 EM257 EM259 EM261 EM263">
    <cfRule type="expression" dxfId="31" priority="5" stopIfTrue="1">
      <formula>NOT(ISERROR(SEARCH("Skills",EM17)))</formula>
    </cfRule>
  </conditionalFormatting>
  <dataValidations count="6">
    <dataValidation type="list" allowBlank="1" showInputMessage="1" showErrorMessage="1" sqref="Z6:CH6" xr:uid="{00000000-0002-0000-0100-000000000000}">
      <formula1>PowerLevel</formula1>
    </dataValidation>
    <dataValidation type="list" allowBlank="1" showInputMessage="1" showErrorMessage="1" sqref="I31" xr:uid="{00000000-0002-0000-0100-000001000000}">
      <formula1>"Melee,Shield,Ranged,Unarmed,Heavy Weapons"</formula1>
    </dataValidation>
    <dataValidation type="list" allowBlank="1" showInputMessage="1" showErrorMessage="1" sqref="Z15" xr:uid="{00000000-0002-0000-0100-000003000000}">
      <formula1>"Male,Female"</formula1>
    </dataValidation>
    <dataValidation type="list" allowBlank="1" showInputMessage="1" showErrorMessage="1" sqref="I27:I30" xr:uid="{00000000-0002-0000-0100-000004000000}">
      <formula1>"Melee,Shield,Ranged,Unarmed,Siege Weapons"</formula1>
    </dataValidation>
    <dataValidation type="list" allowBlank="1" showInputMessage="1" showErrorMessage="1" sqref="GQ33:ID40" xr:uid="{6FCC5236-8545-438B-B5E9-B78BC0D2C1DC}">
      <formula1>TalentsList</formula1>
    </dataValidation>
    <dataValidation type="list" allowBlank="1" showInputMessage="1" showErrorMessage="1" sqref="GQ42:ID47" xr:uid="{ADCB2B7B-B80F-4BAB-9271-12D509DE8671}">
      <formula1>FlawsList</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100-000005000000}">
          <x14:formula1>
            <xm:f>'C:\Users\Jesse\Desktop\Hades\RMU Spacemaster\Characters\[B147-5.xlsx]Races'!#REF!</xm:f>
          </x14:formula1>
          <xm:sqref>Z7</xm:sqref>
        </x14:dataValidation>
        <x14:dataValidation type="list" allowBlank="1" showInputMessage="1" showErrorMessage="1" xr:uid="{00000000-0002-0000-0100-000008000000}">
          <x14:formula1>
            <xm:f>Races!$B$3:$B$16</xm:f>
          </x14:formula1>
          <xm:sqref>Z11:CH11</xm:sqref>
        </x14:dataValidation>
        <x14:dataValidation type="list" allowBlank="1" showInputMessage="1" showErrorMessage="1" xr:uid="{00000000-0002-0000-0100-00000A000000}">
          <x14:formula1>
            <xm:f>INDIRECT(Charts!$AD$13)</xm:f>
          </x14:formula1>
          <xm:sqref>Z14:CH14</xm:sqref>
        </x14:dataValidation>
        <x14:dataValidation type="list" allowBlank="1" showInputMessage="1" showErrorMessage="1" xr:uid="{441C80D3-1E0A-4585-926C-9A88440EC45B}">
          <x14:formula1>
            <xm:f>Skills!$AJ$1:$AS$1</xm:f>
          </x14:formula1>
          <xm:sqref>Z12:CH12</xm:sqref>
        </x14:dataValidation>
        <x14:dataValidation type="list" allowBlank="1" showInputMessage="1" showErrorMessage="1" xr:uid="{586E21D6-11E1-45A9-9391-2974D1ADB954}">
          <x14:formula1>
            <xm:f>Calculations!$Q$2:$Q$16</xm:f>
          </x14:formula1>
          <xm:sqref>H56:CH65 H76:BF83</xm:sqref>
        </x14:dataValidation>
        <x14:dataValidation type="list" allowBlank="1" showInputMessage="1" showErrorMessage="1" xr:uid="{8FC68B2D-70D9-4A67-9895-0DDA57AA7545}">
          <x14:formula1>
            <xm:f>Charts!$D$2:$D$10</xm:f>
          </x14:formula1>
          <xm:sqref>BU76:CH83</xm:sqref>
        </x14:dataValidation>
        <x14:dataValidation type="list" allowBlank="1" showInputMessage="1" showErrorMessage="1" xr:uid="{00000000-0002-0000-0100-000009000000}">
          <x14:formula1>
            <xm:f>Charts!$AB$2:$AB$37</xm:f>
          </x14:formula1>
          <xm:sqref>Z13:CH13</xm:sqref>
        </x14:dataValidation>
        <x14:dataValidation type="list" allowBlank="1" showInputMessage="1" showErrorMessage="1" xr:uid="{A381F953-FA31-439A-AD28-24E2B93E1ACA}">
          <x14:formula1>
            <xm:f>Charts!$AJ$2:$AJ$32</xm:f>
          </x14:formula1>
          <xm:sqref>V40:AI49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20"/>
  <sheetViews>
    <sheetView workbookViewId="0">
      <selection activeCell="A14" sqref="A14"/>
    </sheetView>
  </sheetViews>
  <sheetFormatPr defaultColWidth="0.85546875" defaultRowHeight="15" x14ac:dyDescent="0.25"/>
  <cols>
    <col min="1" max="1" width="0.85546875" style="42"/>
    <col min="2" max="2" width="25.85546875" style="42" customWidth="1"/>
    <col min="3" max="12" width="4.7109375" style="42" customWidth="1"/>
    <col min="13" max="18" width="5.7109375" style="42" customWidth="1"/>
    <col min="19" max="22" width="4.7109375" style="42" customWidth="1"/>
    <col min="23" max="25" width="6.28515625" style="42" customWidth="1"/>
    <col min="26" max="26" width="10.140625" style="42" customWidth="1"/>
    <col min="27" max="27" width="14.5703125" style="42" customWidth="1"/>
    <col min="28" max="28" width="10.7109375" style="42" customWidth="1"/>
    <col min="29" max="29" width="11.7109375" style="42" customWidth="1"/>
    <col min="30" max="39" width="20.7109375" style="42" customWidth="1"/>
    <col min="40" max="43" width="0.85546875" style="42"/>
  </cols>
  <sheetData>
    <row r="1" spans="2:39" ht="5.0999999999999996" customHeight="1" x14ac:dyDescent="0.25"/>
    <row r="2" spans="2:39" x14ac:dyDescent="0.25">
      <c r="B2" s="122" t="s">
        <v>852</v>
      </c>
      <c r="C2" s="121" t="s">
        <v>786</v>
      </c>
      <c r="D2" s="121" t="s">
        <v>789</v>
      </c>
      <c r="E2" s="121" t="s">
        <v>853</v>
      </c>
      <c r="F2" s="121" t="s">
        <v>794</v>
      </c>
      <c r="G2" s="121" t="s">
        <v>801</v>
      </c>
      <c r="H2" s="121" t="s">
        <v>781</v>
      </c>
      <c r="I2" s="121" t="s">
        <v>787</v>
      </c>
      <c r="J2" s="121" t="s">
        <v>792</v>
      </c>
      <c r="K2" s="121" t="s">
        <v>784</v>
      </c>
      <c r="L2" s="121" t="s">
        <v>788</v>
      </c>
      <c r="M2" s="121" t="s">
        <v>854</v>
      </c>
      <c r="N2" s="121" t="s">
        <v>855</v>
      </c>
      <c r="O2" s="121" t="s">
        <v>856</v>
      </c>
      <c r="P2" s="121" t="s">
        <v>857</v>
      </c>
      <c r="Q2" s="121" t="s">
        <v>858</v>
      </c>
      <c r="R2" s="121" t="s">
        <v>859</v>
      </c>
      <c r="S2" s="121" t="s">
        <v>57</v>
      </c>
      <c r="T2" s="121" t="s">
        <v>860</v>
      </c>
      <c r="U2" s="506" t="s">
        <v>861</v>
      </c>
      <c r="V2" s="506"/>
      <c r="W2" s="121" t="s">
        <v>862</v>
      </c>
      <c r="X2" s="121" t="s">
        <v>863</v>
      </c>
      <c r="Y2" s="121" t="s">
        <v>74</v>
      </c>
      <c r="Z2" s="121" t="s">
        <v>864</v>
      </c>
      <c r="AA2" s="121" t="s">
        <v>865</v>
      </c>
      <c r="AB2" s="121" t="s">
        <v>866</v>
      </c>
      <c r="AC2" s="121" t="s">
        <v>865</v>
      </c>
      <c r="AD2" s="121" t="s">
        <v>867</v>
      </c>
      <c r="AE2" s="121" t="s">
        <v>868</v>
      </c>
      <c r="AF2" s="121" t="s">
        <v>869</v>
      </c>
      <c r="AG2" s="121" t="s">
        <v>870</v>
      </c>
      <c r="AH2" s="121" t="s">
        <v>871</v>
      </c>
      <c r="AI2" s="121" t="s">
        <v>872</v>
      </c>
      <c r="AJ2" s="121" t="s">
        <v>873</v>
      </c>
      <c r="AK2" s="121" t="s">
        <v>874</v>
      </c>
      <c r="AL2" s="121" t="s">
        <v>875</v>
      </c>
      <c r="AM2" s="121" t="s">
        <v>876</v>
      </c>
    </row>
    <row r="3" spans="2:39" x14ac:dyDescent="0.25">
      <c r="B3" s="123" t="str">
        <f>[2]Races!A2</f>
        <v>African</v>
      </c>
      <c r="C3" s="124">
        <f>[2]Races!C2</f>
        <v>0</v>
      </c>
      <c r="D3" s="124">
        <f>[2]Races!D2</f>
        <v>0</v>
      </c>
      <c r="E3" s="124">
        <f>[2]Races!E2</f>
        <v>3</v>
      </c>
      <c r="F3" s="124">
        <f>[2]Races!F2</f>
        <v>2</v>
      </c>
      <c r="G3" s="124">
        <f>[2]Races!G2</f>
        <v>0</v>
      </c>
      <c r="H3" s="124">
        <f>[2]Races!H2</f>
        <v>0</v>
      </c>
      <c r="I3" s="124">
        <f>[2]Races!I2</f>
        <v>0</v>
      </c>
      <c r="J3" s="124">
        <f>[2]Races!J2</f>
        <v>0</v>
      </c>
      <c r="K3" s="124">
        <f>[2]Races!K2</f>
        <v>0</v>
      </c>
      <c r="L3" s="124">
        <f>[2]Races!L2</f>
        <v>0</v>
      </c>
      <c r="M3" s="124">
        <f>[2]Races!O2</f>
        <v>0</v>
      </c>
      <c r="N3" s="124">
        <f>[2]Races!P2</f>
        <v>0</v>
      </c>
      <c r="O3" s="124">
        <f>[2]Races!Q2</f>
        <v>0</v>
      </c>
      <c r="P3" s="124">
        <f>[2]Races!R2</f>
        <v>0</v>
      </c>
      <c r="Q3" s="124">
        <f>[2]Races!S2</f>
        <v>0</v>
      </c>
      <c r="R3" s="124">
        <f>[2]Races!N2</f>
        <v>0</v>
      </c>
      <c r="S3" s="124">
        <f>[2]Races!M2</f>
        <v>25</v>
      </c>
      <c r="T3" s="124">
        <f>[2]Races!B2</f>
        <v>36</v>
      </c>
      <c r="U3" s="124" t="str">
        <f>LEFT([2]Races!U2,FIND(" ",[2]Races!U2)-1)</f>
        <v>M</v>
      </c>
      <c r="V3" s="124" t="str">
        <f>VLOOKUP(U3,Charts!$N$2:$Q$14,4,FALSE)</f>
        <v>(5)</v>
      </c>
      <c r="W3" s="124">
        <f>[2]Races!AA2</f>
        <v>0</v>
      </c>
      <c r="X3" s="124">
        <f>[2]Races!T2</f>
        <v>1</v>
      </c>
      <c r="Y3" s="124">
        <v>1</v>
      </c>
      <c r="Z3" s="124">
        <f>[2]Races!V2</f>
        <v>159</v>
      </c>
      <c r="AA3" s="124" t="s">
        <v>878</v>
      </c>
      <c r="AB3" s="124">
        <f>[2]Races!X2</f>
        <v>140</v>
      </c>
      <c r="AC3" s="124" t="str">
        <f>"+/- "&amp;[2]Races!Y2&amp;" lbs/in"</f>
        <v>+/- 5 lbs/in</v>
      </c>
      <c r="AD3" s="124" t="str">
        <f>[2]Races!BE2</f>
        <v>Resistance to Elements (heat) I</v>
      </c>
      <c r="AE3" s="124">
        <f>[2]Races!BF2</f>
        <v>0</v>
      </c>
      <c r="AF3" s="124">
        <f>[2]Races!BG2</f>
        <v>0</v>
      </c>
      <c r="AG3" s="124">
        <f>[2]Races!BH2</f>
        <v>0</v>
      </c>
      <c r="AH3" s="124">
        <f>[2]Races!BI2</f>
        <v>0</v>
      </c>
      <c r="AI3" s="124">
        <f>[2]Races!BJ2</f>
        <v>0</v>
      </c>
      <c r="AJ3" s="124">
        <f>[2]Races!BO2</f>
        <v>0</v>
      </c>
      <c r="AK3" s="124">
        <f>[2]Races!BP2</f>
        <v>0</v>
      </c>
      <c r="AL3" s="124">
        <f>[2]Races!BQ2</f>
        <v>0</v>
      </c>
      <c r="AM3" s="124">
        <f>[2]Races!BR2</f>
        <v>0</v>
      </c>
    </row>
    <row r="4" spans="2:39" x14ac:dyDescent="0.25">
      <c r="B4" s="123" t="str">
        <f>[2]Races!A3</f>
        <v>African-American</v>
      </c>
      <c r="C4" s="124">
        <f>[2]Races!C3</f>
        <v>0</v>
      </c>
      <c r="D4" s="124">
        <f>[2]Races!D3</f>
        <v>0</v>
      </c>
      <c r="E4" s="124">
        <f>[2]Races!E3</f>
        <v>1</v>
      </c>
      <c r="F4" s="124">
        <f>[2]Races!F3</f>
        <v>1</v>
      </c>
      <c r="G4" s="124">
        <f>[2]Races!G3</f>
        <v>0</v>
      </c>
      <c r="H4" s="124">
        <f>[2]Races!H3</f>
        <v>0</v>
      </c>
      <c r="I4" s="124">
        <f>[2]Races!I3</f>
        <v>0</v>
      </c>
      <c r="J4" s="124">
        <f>[2]Races!J3</f>
        <v>1</v>
      </c>
      <c r="K4" s="124">
        <f>[2]Races!K3</f>
        <v>0</v>
      </c>
      <c r="L4" s="124">
        <f>[2]Races!L3</f>
        <v>0</v>
      </c>
      <c r="M4" s="124">
        <f>[2]Races!O3</f>
        <v>0</v>
      </c>
      <c r="N4" s="124">
        <f>[2]Races!P3</f>
        <v>0</v>
      </c>
      <c r="O4" s="124">
        <f>[2]Races!Q3</f>
        <v>0</v>
      </c>
      <c r="P4" s="124">
        <f>[2]Races!R3</f>
        <v>0</v>
      </c>
      <c r="Q4" s="124">
        <f>[2]Races!S3</f>
        <v>0</v>
      </c>
      <c r="R4" s="124">
        <f>[2]Races!N3</f>
        <v>0</v>
      </c>
      <c r="S4" s="124">
        <f>[2]Races!M3</f>
        <v>25</v>
      </c>
      <c r="T4" s="124">
        <f>[2]Races!B3</f>
        <v>44</v>
      </c>
      <c r="U4" s="124" t="str">
        <f>LEFT([2]Races!U3,FIND(" ",[2]Races!U3)-1)</f>
        <v>M</v>
      </c>
      <c r="V4" s="124" t="str">
        <f>VLOOKUP(U4,Charts!$N$2:$Q$14,4,FALSE)</f>
        <v>(5)</v>
      </c>
      <c r="W4" s="124">
        <f>[2]Races!AA3</f>
        <v>0</v>
      </c>
      <c r="X4" s="124">
        <f>[2]Races!T3</f>
        <v>1</v>
      </c>
      <c r="Y4" s="124">
        <v>1</v>
      </c>
      <c r="Z4" s="124">
        <f>[2]Races!V3</f>
        <v>177</v>
      </c>
      <c r="AA4" s="124" t="s">
        <v>878</v>
      </c>
      <c r="AB4" s="124">
        <f>[2]Races!X3</f>
        <v>174</v>
      </c>
      <c r="AC4" s="124" t="str">
        <f>"+/- "&amp;[2]Races!Y3&amp;" lbs/in"</f>
        <v>+/- 5 lbs/in</v>
      </c>
      <c r="AD4" s="124" t="str">
        <f>[2]Races!BE3</f>
        <v>Resistance to Elements (heat) I</v>
      </c>
      <c r="AE4" s="124">
        <f>[2]Races!BF3</f>
        <v>0</v>
      </c>
      <c r="AF4" s="124">
        <f>[2]Races!BG3</f>
        <v>0</v>
      </c>
      <c r="AG4" s="124">
        <f>[2]Races!BH3</f>
        <v>0</v>
      </c>
      <c r="AH4" s="124">
        <f>[2]Races!BI3</f>
        <v>0</v>
      </c>
      <c r="AI4" s="124">
        <f>[2]Races!BJ3</f>
        <v>0</v>
      </c>
      <c r="AJ4" s="124">
        <f>[2]Races!BO3</f>
        <v>0</v>
      </c>
      <c r="AK4" s="124">
        <f>[2]Races!BP3</f>
        <v>0</v>
      </c>
      <c r="AL4" s="124">
        <f>[2]Races!BQ3</f>
        <v>0</v>
      </c>
      <c r="AM4" s="124">
        <f>[2]Races!BR3</f>
        <v>0</v>
      </c>
    </row>
    <row r="5" spans="2:39" x14ac:dyDescent="0.25">
      <c r="B5" s="123" t="str">
        <f>[2]Races!A4</f>
        <v>American</v>
      </c>
      <c r="C5" s="124">
        <f>[2]Races!C4</f>
        <v>0</v>
      </c>
      <c r="D5" s="124">
        <f>[2]Races!D4</f>
        <v>0</v>
      </c>
      <c r="E5" s="124">
        <f>[2]Races!E4</f>
        <v>0</v>
      </c>
      <c r="F5" s="124">
        <f>[2]Races!F4</f>
        <v>0</v>
      </c>
      <c r="G5" s="124">
        <f>[2]Races!G4</f>
        <v>0</v>
      </c>
      <c r="H5" s="124">
        <f>[2]Races!H4</f>
        <v>0</v>
      </c>
      <c r="I5" s="124">
        <f>[2]Races!I4</f>
        <v>0</v>
      </c>
      <c r="J5" s="124">
        <f>[2]Races!J4</f>
        <v>4</v>
      </c>
      <c r="K5" s="124">
        <f>[2]Races!K4</f>
        <v>0</v>
      </c>
      <c r="L5" s="124">
        <f>[2]Races!L4</f>
        <v>0</v>
      </c>
      <c r="M5" s="124">
        <f>[2]Races!O4</f>
        <v>0</v>
      </c>
      <c r="N5" s="124">
        <f>[2]Races!P4</f>
        <v>0</v>
      </c>
      <c r="O5" s="124">
        <f>[2]Races!Q4</f>
        <v>0</v>
      </c>
      <c r="P5" s="124">
        <f>[2]Races!R4</f>
        <v>0</v>
      </c>
      <c r="Q5" s="124">
        <f>[2]Races!S4</f>
        <v>0</v>
      </c>
      <c r="R5" s="124">
        <f>[2]Races!N4</f>
        <v>0</v>
      </c>
      <c r="S5" s="124">
        <f>[2]Races!M4</f>
        <v>25</v>
      </c>
      <c r="T5" s="124">
        <f>[2]Races!B4</f>
        <v>38</v>
      </c>
      <c r="U5" s="124" t="str">
        <f>LEFT([2]Races!U4,FIND(" ",[2]Races!U4)-1)</f>
        <v>M</v>
      </c>
      <c r="V5" s="124" t="str">
        <f>VLOOKUP(U5,Charts!$N$2:$Q$14,4,FALSE)</f>
        <v>(5)</v>
      </c>
      <c r="W5" s="124">
        <f>[2]Races!AA4</f>
        <v>0</v>
      </c>
      <c r="X5" s="124">
        <f>[2]Races!T4</f>
        <v>1</v>
      </c>
      <c r="Y5" s="124">
        <v>1</v>
      </c>
      <c r="Z5" s="124">
        <f>[2]Races!V4</f>
        <v>176</v>
      </c>
      <c r="AA5" s="124" t="s">
        <v>878</v>
      </c>
      <c r="AB5" s="124">
        <f>[2]Races!X4</f>
        <v>172</v>
      </c>
      <c r="AC5" s="124" t="str">
        <f>"+/- "&amp;[2]Races!Y4&amp;" lbs/in"</f>
        <v>+/- 5 lbs/in</v>
      </c>
      <c r="AD5" s="124" t="str">
        <f>[2]Races!BE4</f>
        <v>Prodigy (Animal Handling) I</v>
      </c>
      <c r="AE5" s="124">
        <f>[2]Races!BF4</f>
        <v>0</v>
      </c>
      <c r="AF5" s="124">
        <f>[2]Races!BG4</f>
        <v>0</v>
      </c>
      <c r="AG5" s="124">
        <f>[2]Races!BH4</f>
        <v>0</v>
      </c>
      <c r="AH5" s="124">
        <f>[2]Races!BI4</f>
        <v>0</v>
      </c>
      <c r="AI5" s="124">
        <f>[2]Races!BJ4</f>
        <v>0</v>
      </c>
      <c r="AJ5" s="124">
        <f>[2]Races!BO4</f>
        <v>0</v>
      </c>
      <c r="AK5" s="124">
        <f>[2]Races!BP4</f>
        <v>0</v>
      </c>
      <c r="AL5" s="124">
        <f>[2]Races!BQ4</f>
        <v>0</v>
      </c>
      <c r="AM5" s="124">
        <f>[2]Races!BR4</f>
        <v>0</v>
      </c>
    </row>
    <row r="6" spans="2:39" x14ac:dyDescent="0.25">
      <c r="B6" s="123" t="str">
        <f>[2]Races!A5</f>
        <v>Canadian</v>
      </c>
      <c r="C6" s="124">
        <f>[2]Races!C5</f>
        <v>0</v>
      </c>
      <c r="D6" s="124">
        <f>[2]Races!D5</f>
        <v>0</v>
      </c>
      <c r="E6" s="124">
        <f>[2]Races!E5</f>
        <v>0</v>
      </c>
      <c r="F6" s="124">
        <f>[2]Races!F5</f>
        <v>0</v>
      </c>
      <c r="G6" s="124">
        <f>[2]Races!G5</f>
        <v>0</v>
      </c>
      <c r="H6" s="124">
        <f>[2]Races!H5</f>
        <v>0</v>
      </c>
      <c r="I6" s="124">
        <f>[2]Races!I5</f>
        <v>0</v>
      </c>
      <c r="J6" s="124">
        <f>[2]Races!J5</f>
        <v>0</v>
      </c>
      <c r="K6" s="124">
        <f>[2]Races!K5</f>
        <v>0</v>
      </c>
      <c r="L6" s="124">
        <f>[2]Races!L5</f>
        <v>0</v>
      </c>
      <c r="M6" s="124">
        <f>[2]Races!O5</f>
        <v>0</v>
      </c>
      <c r="N6" s="124">
        <f>[2]Races!P5</f>
        <v>0</v>
      </c>
      <c r="O6" s="124">
        <f>[2]Races!Q5</f>
        <v>0</v>
      </c>
      <c r="P6" s="124">
        <f>[2]Races!R5</f>
        <v>0</v>
      </c>
      <c r="Q6" s="124">
        <f>[2]Races!S5</f>
        <v>0</v>
      </c>
      <c r="R6" s="124">
        <f>[2]Races!N5</f>
        <v>0</v>
      </c>
      <c r="S6" s="124">
        <f>[2]Races!M5</f>
        <v>25</v>
      </c>
      <c r="T6" s="124">
        <f>[2]Races!B5</f>
        <v>56</v>
      </c>
      <c r="U6" s="124" t="str">
        <f>LEFT([2]Races!U5,FIND(" ",[2]Races!U5)-1)</f>
        <v>M</v>
      </c>
      <c r="V6" s="124" t="str">
        <f>VLOOKUP(U6,Charts!$N$2:$Q$14,4,FALSE)</f>
        <v>(5)</v>
      </c>
      <c r="W6" s="124">
        <f>[2]Races!AA5</f>
        <v>0</v>
      </c>
      <c r="X6" s="124">
        <f>[2]Races!T5</f>
        <v>1</v>
      </c>
      <c r="Y6" s="124">
        <v>1</v>
      </c>
      <c r="Z6" s="124">
        <f>[2]Races!V5</f>
        <v>178</v>
      </c>
      <c r="AA6" s="124" t="s">
        <v>878</v>
      </c>
      <c r="AB6" s="124">
        <f>[2]Races!X5</f>
        <v>176</v>
      </c>
      <c r="AC6" s="124" t="str">
        <f>"+/- "&amp;[2]Races!Y5&amp;" lbs/in"</f>
        <v>+/- 5 lbs/in</v>
      </c>
      <c r="AD6" s="124" t="str">
        <f>[2]Races!BE5</f>
        <v>Resistance to Elements (cold) I</v>
      </c>
      <c r="AE6" s="124">
        <f>[2]Races!BF5</f>
        <v>0</v>
      </c>
      <c r="AF6" s="124">
        <f>[2]Races!BG5</f>
        <v>0</v>
      </c>
      <c r="AG6" s="124">
        <f>[2]Races!BH5</f>
        <v>0</v>
      </c>
      <c r="AH6" s="124">
        <f>[2]Races!BI5</f>
        <v>0</v>
      </c>
      <c r="AI6" s="124">
        <f>[2]Races!BJ5</f>
        <v>0</v>
      </c>
      <c r="AJ6" s="124">
        <f>[2]Races!BO5</f>
        <v>0</v>
      </c>
      <c r="AK6" s="124">
        <f>[2]Races!BP5</f>
        <v>0</v>
      </c>
      <c r="AL6" s="124">
        <f>[2]Races!BQ5</f>
        <v>0</v>
      </c>
      <c r="AM6" s="124">
        <f>[2]Races!BR5</f>
        <v>0</v>
      </c>
    </row>
    <row r="7" spans="2:39" x14ac:dyDescent="0.25">
      <c r="B7" s="123" t="str">
        <f>[2]Races!A6</f>
        <v>Chinese</v>
      </c>
      <c r="C7" s="124">
        <f>[2]Races!C6</f>
        <v>0</v>
      </c>
      <c r="D7" s="124">
        <f>[2]Races!D6</f>
        <v>0</v>
      </c>
      <c r="E7" s="124">
        <f>[2]Races!E6</f>
        <v>0</v>
      </c>
      <c r="F7" s="124">
        <f>[2]Races!F6</f>
        <v>0</v>
      </c>
      <c r="G7" s="124">
        <f>[2]Races!G6</f>
        <v>0</v>
      </c>
      <c r="H7" s="124">
        <f>[2]Races!H6</f>
        <v>0</v>
      </c>
      <c r="I7" s="124">
        <f>[2]Races!I6</f>
        <v>0</v>
      </c>
      <c r="J7" s="124">
        <f>[2]Races!J6</f>
        <v>0</v>
      </c>
      <c r="K7" s="124">
        <f>[2]Races!K6</f>
        <v>4</v>
      </c>
      <c r="L7" s="124">
        <f>[2]Races!L6</f>
        <v>0</v>
      </c>
      <c r="M7" s="124">
        <f>[2]Races!O6</f>
        <v>0</v>
      </c>
      <c r="N7" s="124">
        <f>[2]Races!P6</f>
        <v>0</v>
      </c>
      <c r="O7" s="124">
        <f>[2]Races!Q6</f>
        <v>0</v>
      </c>
      <c r="P7" s="124">
        <f>[2]Races!R6</f>
        <v>0</v>
      </c>
      <c r="Q7" s="124">
        <f>[2]Races!S6</f>
        <v>0</v>
      </c>
      <c r="R7" s="124">
        <f>[2]Races!N6</f>
        <v>0</v>
      </c>
      <c r="S7" s="124">
        <f>[2]Races!M6</f>
        <v>25</v>
      </c>
      <c r="T7" s="124">
        <f>[2]Races!B6</f>
        <v>44</v>
      </c>
      <c r="U7" s="124" t="str">
        <f>LEFT([2]Races!U6,FIND(" ",[2]Races!U6)-1)</f>
        <v>M</v>
      </c>
      <c r="V7" s="124" t="str">
        <f>VLOOKUP(U7,Charts!$N$2:$Q$14,4,FALSE)</f>
        <v>(5)</v>
      </c>
      <c r="W7" s="124">
        <f>[2]Races!AA6</f>
        <v>0</v>
      </c>
      <c r="X7" s="124">
        <f>[2]Races!T6</f>
        <v>1</v>
      </c>
      <c r="Y7" s="124">
        <v>1</v>
      </c>
      <c r="Z7" s="124">
        <f>[2]Races!V6</f>
        <v>173</v>
      </c>
      <c r="AA7" s="124" t="s">
        <v>878</v>
      </c>
      <c r="AB7" s="124">
        <f>[2]Races!X6</f>
        <v>166</v>
      </c>
      <c r="AC7" s="124" t="str">
        <f>"+/- "&amp;[2]Races!Y6&amp;" lbs/in"</f>
        <v>+/- 5 lbs/in</v>
      </c>
      <c r="AD7" s="124">
        <f>[2]Races!BE6</f>
        <v>0</v>
      </c>
      <c r="AE7" s="124">
        <f>[2]Races!BF6</f>
        <v>0</v>
      </c>
      <c r="AF7" s="124">
        <f>[2]Races!BG6</f>
        <v>0</v>
      </c>
      <c r="AG7" s="124">
        <f>[2]Races!BH6</f>
        <v>0</v>
      </c>
      <c r="AH7" s="124">
        <f>[2]Races!BI6</f>
        <v>0</v>
      </c>
      <c r="AI7" s="124">
        <f>[2]Races!BJ6</f>
        <v>0</v>
      </c>
      <c r="AJ7" s="124">
        <f>[2]Races!BO6</f>
        <v>0</v>
      </c>
      <c r="AK7" s="124">
        <f>[2]Races!BP6</f>
        <v>0</v>
      </c>
      <c r="AL7" s="124">
        <f>[2]Races!BQ6</f>
        <v>0</v>
      </c>
      <c r="AM7" s="124">
        <f>[2]Races!BR6</f>
        <v>0</v>
      </c>
    </row>
    <row r="8" spans="2:39" x14ac:dyDescent="0.25">
      <c r="B8" s="123" t="str">
        <f>[2]Races!A7</f>
        <v>English</v>
      </c>
      <c r="C8" s="124">
        <f>[2]Races!C7</f>
        <v>0</v>
      </c>
      <c r="D8" s="124">
        <f>[2]Races!D7</f>
        <v>0</v>
      </c>
      <c r="E8" s="124">
        <f>[2]Races!E7</f>
        <v>0</v>
      </c>
      <c r="F8" s="124">
        <f>[2]Races!F7</f>
        <v>0</v>
      </c>
      <c r="G8" s="124">
        <f>[2]Races!G7</f>
        <v>0</v>
      </c>
      <c r="H8" s="124">
        <f>[2]Races!H7</f>
        <v>0</v>
      </c>
      <c r="I8" s="124">
        <f>[2]Races!I7</f>
        <v>0</v>
      </c>
      <c r="J8" s="124">
        <f>[2]Races!J7</f>
        <v>3</v>
      </c>
      <c r="K8" s="124">
        <f>[2]Races!K7</f>
        <v>0</v>
      </c>
      <c r="L8" s="124">
        <f>[2]Races!L7</f>
        <v>0</v>
      </c>
      <c r="M8" s="124">
        <f>[2]Races!O7</f>
        <v>0</v>
      </c>
      <c r="N8" s="124">
        <f>[2]Races!P7</f>
        <v>0</v>
      </c>
      <c r="O8" s="124">
        <f>[2]Races!Q7</f>
        <v>0</v>
      </c>
      <c r="P8" s="124">
        <f>[2]Races!R7</f>
        <v>0</v>
      </c>
      <c r="Q8" s="124">
        <f>[2]Races!S7</f>
        <v>0</v>
      </c>
      <c r="R8" s="124">
        <f>[2]Races!N7</f>
        <v>0</v>
      </c>
      <c r="S8" s="124">
        <f>[2]Races!M7</f>
        <v>25</v>
      </c>
      <c r="T8" s="124">
        <f>[2]Races!B7</f>
        <v>48</v>
      </c>
      <c r="U8" s="124" t="str">
        <f>LEFT([2]Races!U7,FIND(" ",[2]Races!U7)-1)</f>
        <v>M</v>
      </c>
      <c r="V8" s="124" t="str">
        <f>VLOOKUP(U8,Charts!$N$2:$Q$14,4,FALSE)</f>
        <v>(5)</v>
      </c>
      <c r="W8" s="124">
        <f>[2]Races!AA7</f>
        <v>0</v>
      </c>
      <c r="X8" s="124">
        <f>[2]Races!T7</f>
        <v>1</v>
      </c>
      <c r="Y8" s="124">
        <v>1</v>
      </c>
      <c r="Z8" s="124">
        <f>[2]Races!V7</f>
        <v>177</v>
      </c>
      <c r="AA8" s="124" t="s">
        <v>878</v>
      </c>
      <c r="AB8" s="124">
        <f>[2]Races!X7</f>
        <v>174</v>
      </c>
      <c r="AC8" s="124" t="str">
        <f>"+/- "&amp;[2]Races!Y7&amp;" lbs/in"</f>
        <v>+/- 5 lbs/in</v>
      </c>
      <c r="AD8" s="124">
        <f>[2]Races!BE7</f>
        <v>0</v>
      </c>
      <c r="AE8" s="124">
        <f>[2]Races!BF7</f>
        <v>0</v>
      </c>
      <c r="AF8" s="124">
        <f>[2]Races!BG7</f>
        <v>0</v>
      </c>
      <c r="AG8" s="124">
        <f>[2]Races!BH7</f>
        <v>0</v>
      </c>
      <c r="AH8" s="124">
        <f>[2]Races!BI7</f>
        <v>0</v>
      </c>
      <c r="AI8" s="124">
        <f>[2]Races!BJ7</f>
        <v>0</v>
      </c>
      <c r="AJ8" s="124">
        <f>[2]Races!BO7</f>
        <v>0</v>
      </c>
      <c r="AK8" s="124">
        <f>[2]Races!BP7</f>
        <v>0</v>
      </c>
      <c r="AL8" s="124">
        <f>[2]Races!BQ7</f>
        <v>0</v>
      </c>
      <c r="AM8" s="124">
        <f>[2]Races!BR7</f>
        <v>0</v>
      </c>
    </row>
    <row r="9" spans="2:39" x14ac:dyDescent="0.25">
      <c r="B9" s="123" t="str">
        <f>[2]Races!A8</f>
        <v>European</v>
      </c>
      <c r="C9" s="124">
        <f>[2]Races!C8</f>
        <v>0</v>
      </c>
      <c r="D9" s="124">
        <f>[2]Races!D8</f>
        <v>0</v>
      </c>
      <c r="E9" s="124">
        <f>[2]Races!E8</f>
        <v>0</v>
      </c>
      <c r="F9" s="124">
        <f>[2]Races!F8</f>
        <v>0</v>
      </c>
      <c r="G9" s="124">
        <f>[2]Races!G8</f>
        <v>0</v>
      </c>
      <c r="H9" s="124">
        <f>[2]Races!H8</f>
        <v>0</v>
      </c>
      <c r="I9" s="124">
        <f>[2]Races!I8</f>
        <v>0</v>
      </c>
      <c r="J9" s="124">
        <f>[2]Races!J8</f>
        <v>1</v>
      </c>
      <c r="K9" s="124">
        <f>[2]Races!K8</f>
        <v>0</v>
      </c>
      <c r="L9" s="124">
        <f>[2]Races!L8</f>
        <v>0</v>
      </c>
      <c r="M9" s="124">
        <f>[2]Races!O8</f>
        <v>0</v>
      </c>
      <c r="N9" s="124">
        <f>[2]Races!P8</f>
        <v>0</v>
      </c>
      <c r="O9" s="124">
        <f>[2]Races!Q8</f>
        <v>0</v>
      </c>
      <c r="P9" s="124">
        <f>[2]Races!R8</f>
        <v>0</v>
      </c>
      <c r="Q9" s="124">
        <f>[2]Races!S8</f>
        <v>0</v>
      </c>
      <c r="R9" s="124">
        <f>[2]Races!N8</f>
        <v>0</v>
      </c>
      <c r="S9" s="124">
        <f>[2]Races!M8</f>
        <v>25</v>
      </c>
      <c r="T9" s="124">
        <f>[2]Races!B8</f>
        <v>56</v>
      </c>
      <c r="U9" s="124" t="str">
        <f>LEFT([2]Races!U8,FIND(" ",[2]Races!U8)-1)</f>
        <v>M</v>
      </c>
      <c r="V9" s="124" t="str">
        <f>VLOOKUP(U9,Charts!$N$2:$Q$14,4,FALSE)</f>
        <v>(5)</v>
      </c>
      <c r="W9" s="124">
        <f>[2]Races!AA8</f>
        <v>0</v>
      </c>
      <c r="X9" s="124">
        <f>[2]Races!T8</f>
        <v>1</v>
      </c>
      <c r="Y9" s="124">
        <v>1</v>
      </c>
      <c r="Z9" s="124">
        <f>[2]Races!V8</f>
        <v>178</v>
      </c>
      <c r="AA9" s="124" t="s">
        <v>878</v>
      </c>
      <c r="AB9" s="124">
        <f>[2]Races!X8</f>
        <v>176</v>
      </c>
      <c r="AC9" s="124" t="str">
        <f>"+/- "&amp;[2]Races!Y8&amp;" lbs/in"</f>
        <v>+/- 5 lbs/in</v>
      </c>
      <c r="AD9" s="124">
        <f>[2]Races!BE8</f>
        <v>0</v>
      </c>
      <c r="AE9" s="124">
        <f>[2]Races!BF8</f>
        <v>0</v>
      </c>
      <c r="AF9" s="124">
        <f>[2]Races!BG8</f>
        <v>0</v>
      </c>
      <c r="AG9" s="124">
        <f>[2]Races!BH8</f>
        <v>0</v>
      </c>
      <c r="AH9" s="124">
        <f>[2]Races!BI8</f>
        <v>0</v>
      </c>
      <c r="AI9" s="124">
        <f>[2]Races!BJ8</f>
        <v>0</v>
      </c>
      <c r="AJ9" s="124">
        <f>[2]Races!BO8</f>
        <v>0</v>
      </c>
      <c r="AK9" s="124">
        <f>[2]Races!BP8</f>
        <v>0</v>
      </c>
      <c r="AL9" s="124">
        <f>[2]Races!BQ8</f>
        <v>0</v>
      </c>
      <c r="AM9" s="124">
        <f>[2]Races!BR8</f>
        <v>0</v>
      </c>
    </row>
    <row r="10" spans="2:39" x14ac:dyDescent="0.25">
      <c r="B10" s="123" t="str">
        <f>[2]Races!A9</f>
        <v>French</v>
      </c>
      <c r="C10" s="124">
        <f>[2]Races!C9</f>
        <v>0</v>
      </c>
      <c r="D10" s="124">
        <f>[2]Races!D9</f>
        <v>0</v>
      </c>
      <c r="E10" s="124">
        <f>[2]Races!E9</f>
        <v>0</v>
      </c>
      <c r="F10" s="124">
        <f>[2]Races!F9</f>
        <v>0</v>
      </c>
      <c r="G10" s="124">
        <f>[2]Races!G9</f>
        <v>0</v>
      </c>
      <c r="H10" s="124">
        <f>[2]Races!H9</f>
        <v>0</v>
      </c>
      <c r="I10" s="124">
        <f>[2]Races!I9</f>
        <v>0</v>
      </c>
      <c r="J10" s="124">
        <f>[2]Races!J9</f>
        <v>2</v>
      </c>
      <c r="K10" s="124">
        <f>[2]Races!K9</f>
        <v>0</v>
      </c>
      <c r="L10" s="124">
        <f>[2]Races!L9</f>
        <v>0</v>
      </c>
      <c r="M10" s="124">
        <f>[2]Races!O9</f>
        <v>0</v>
      </c>
      <c r="N10" s="124">
        <f>[2]Races!P9</f>
        <v>0</v>
      </c>
      <c r="O10" s="124">
        <f>[2]Races!Q9</f>
        <v>0</v>
      </c>
      <c r="P10" s="124">
        <f>[2]Races!R9</f>
        <v>0</v>
      </c>
      <c r="Q10" s="124">
        <f>[2]Races!S9</f>
        <v>0</v>
      </c>
      <c r="R10" s="124">
        <f>[2]Races!N9</f>
        <v>0</v>
      </c>
      <c r="S10" s="124">
        <f>[2]Races!M9</f>
        <v>25</v>
      </c>
      <c r="T10" s="124">
        <f>[2]Races!B9</f>
        <v>52</v>
      </c>
      <c r="U10" s="124" t="str">
        <f>LEFT([2]Races!U9,FIND(" ",[2]Races!U9)-1)</f>
        <v>M</v>
      </c>
      <c r="V10" s="124" t="str">
        <f>VLOOKUP(U10,Charts!$N$2:$Q$14,4,FALSE)</f>
        <v>(5)</v>
      </c>
      <c r="W10" s="124">
        <f>[2]Races!AA9</f>
        <v>0</v>
      </c>
      <c r="X10" s="124">
        <f>[2]Races!T9</f>
        <v>1</v>
      </c>
      <c r="Y10" s="124">
        <v>1</v>
      </c>
      <c r="Z10" s="124">
        <f>[2]Races!V9</f>
        <v>176</v>
      </c>
      <c r="AA10" s="124" t="s">
        <v>878</v>
      </c>
      <c r="AB10" s="124">
        <f>[2]Races!X9</f>
        <v>172</v>
      </c>
      <c r="AC10" s="124" t="str">
        <f>"+/- "&amp;[2]Races!Y9&amp;" lbs/in"</f>
        <v>+/- 5 lbs/in</v>
      </c>
      <c r="AD10" s="124">
        <f>[2]Races!BE9</f>
        <v>0</v>
      </c>
      <c r="AE10" s="124">
        <f>[2]Races!BF9</f>
        <v>0</v>
      </c>
      <c r="AF10" s="124">
        <f>[2]Races!BG9</f>
        <v>0</v>
      </c>
      <c r="AG10" s="124">
        <f>[2]Races!BH9</f>
        <v>0</v>
      </c>
      <c r="AH10" s="124">
        <f>[2]Races!BI9</f>
        <v>0</v>
      </c>
      <c r="AI10" s="124">
        <f>[2]Races!BJ9</f>
        <v>0</v>
      </c>
      <c r="AJ10" s="124">
        <f>[2]Races!BO9</f>
        <v>0</v>
      </c>
      <c r="AK10" s="124">
        <f>[2]Races!BP9</f>
        <v>0</v>
      </c>
      <c r="AL10" s="124">
        <f>[2]Races!BQ9</f>
        <v>0</v>
      </c>
      <c r="AM10" s="124">
        <f>[2]Races!BR9</f>
        <v>0</v>
      </c>
    </row>
    <row r="11" spans="2:39" x14ac:dyDescent="0.25">
      <c r="B11" s="123" t="str">
        <f>[2]Races!A10</f>
        <v>Hispanic</v>
      </c>
      <c r="C11" s="124">
        <f>[2]Races!C10</f>
        <v>0</v>
      </c>
      <c r="D11" s="124">
        <f>[2]Races!D10</f>
        <v>0</v>
      </c>
      <c r="E11" s="124">
        <f>[2]Races!E10</f>
        <v>0</v>
      </c>
      <c r="F11" s="124">
        <f>[2]Races!F10</f>
        <v>0</v>
      </c>
      <c r="G11" s="124">
        <f>[2]Races!G10</f>
        <v>0</v>
      </c>
      <c r="H11" s="124">
        <f>[2]Races!H10</f>
        <v>0</v>
      </c>
      <c r="I11" s="124">
        <f>[2]Races!I10</f>
        <v>0</v>
      </c>
      <c r="J11" s="124">
        <f>[2]Races!J10</f>
        <v>0</v>
      </c>
      <c r="K11" s="124">
        <f>[2]Races!K10</f>
        <v>0</v>
      </c>
      <c r="L11" s="124">
        <f>[2]Races!L10</f>
        <v>0</v>
      </c>
      <c r="M11" s="124">
        <f>[2]Races!O10</f>
        <v>0</v>
      </c>
      <c r="N11" s="124">
        <f>[2]Races!P10</f>
        <v>0</v>
      </c>
      <c r="O11" s="124">
        <f>[2]Races!Q10</f>
        <v>0</v>
      </c>
      <c r="P11" s="124">
        <f>[2]Races!R10</f>
        <v>0</v>
      </c>
      <c r="Q11" s="124">
        <f>[2]Races!S10</f>
        <v>0</v>
      </c>
      <c r="R11" s="124">
        <f>[2]Races!N10</f>
        <v>0</v>
      </c>
      <c r="S11" s="124">
        <f>[2]Races!M10</f>
        <v>25</v>
      </c>
      <c r="T11" s="124">
        <f>[2]Races!B10</f>
        <v>48</v>
      </c>
      <c r="U11" s="124" t="str">
        <f>LEFT([2]Races!U10,FIND(" ",[2]Races!U10)-1)</f>
        <v>M</v>
      </c>
      <c r="V11" s="124" t="str">
        <f>VLOOKUP(U11,Charts!$N$2:$Q$14,4,FALSE)</f>
        <v>(5)</v>
      </c>
      <c r="W11" s="124">
        <f>[2]Races!AA10</f>
        <v>0</v>
      </c>
      <c r="X11" s="124">
        <f>[2]Races!T10</f>
        <v>1</v>
      </c>
      <c r="Y11" s="124">
        <v>1</v>
      </c>
      <c r="Z11" s="124">
        <f>[2]Races!V10</f>
        <v>172</v>
      </c>
      <c r="AA11" s="124" t="s">
        <v>878</v>
      </c>
      <c r="AB11" s="124">
        <f>[2]Races!X10</f>
        <v>164</v>
      </c>
      <c r="AC11" s="124" t="str">
        <f>"+/- "&amp;[2]Races!Y10&amp;" lbs/in"</f>
        <v>+/- 5 lbs/in</v>
      </c>
      <c r="AD11" s="124" t="str">
        <f>[2]Races!BE10</f>
        <v>Prodigy (Navigation: Marine) I</v>
      </c>
      <c r="AE11" s="124" t="str">
        <f>[2]Races!BF10</f>
        <v>Prodigy (Swimming) I</v>
      </c>
      <c r="AF11" s="124">
        <f>[2]Races!BG10</f>
        <v>0</v>
      </c>
      <c r="AG11" s="124">
        <f>[2]Races!BH10</f>
        <v>0</v>
      </c>
      <c r="AH11" s="124">
        <f>[2]Races!BI10</f>
        <v>0</v>
      </c>
      <c r="AI11" s="124">
        <f>[2]Races!BJ10</f>
        <v>0</v>
      </c>
      <c r="AJ11" s="124">
        <f>[2]Races!BO10</f>
        <v>0</v>
      </c>
      <c r="AK11" s="124">
        <f>[2]Races!BP10</f>
        <v>0</v>
      </c>
      <c r="AL11" s="124">
        <f>[2]Races!BQ10</f>
        <v>0</v>
      </c>
      <c r="AM11" s="124">
        <f>[2]Races!BR10</f>
        <v>0</v>
      </c>
    </row>
    <row r="12" spans="2:39" x14ac:dyDescent="0.25">
      <c r="B12" s="123" t="str">
        <f>[2]Races!A11</f>
        <v>Irish</v>
      </c>
      <c r="C12" s="124">
        <f>[2]Races!C11</f>
        <v>0</v>
      </c>
      <c r="D12" s="124">
        <f>[2]Races!D11</f>
        <v>0</v>
      </c>
      <c r="E12" s="124">
        <f>[2]Races!E11</f>
        <v>0</v>
      </c>
      <c r="F12" s="124">
        <f>[2]Races!F11</f>
        <v>0</v>
      </c>
      <c r="G12" s="124">
        <f>[2]Races!G11</f>
        <v>0</v>
      </c>
      <c r="H12" s="124">
        <f>[2]Races!H11</f>
        <v>2</v>
      </c>
      <c r="I12" s="124">
        <f>[2]Races!I11</f>
        <v>0</v>
      </c>
      <c r="J12" s="124">
        <f>[2]Races!J11</f>
        <v>1</v>
      </c>
      <c r="K12" s="124">
        <f>[2]Races!K11</f>
        <v>0</v>
      </c>
      <c r="L12" s="124">
        <f>[2]Races!L11</f>
        <v>0</v>
      </c>
      <c r="M12" s="124">
        <f>[2]Races!O11</f>
        <v>0</v>
      </c>
      <c r="N12" s="124">
        <f>[2]Races!P11</f>
        <v>0</v>
      </c>
      <c r="O12" s="124">
        <f>[2]Races!Q11</f>
        <v>0</v>
      </c>
      <c r="P12" s="124">
        <f>[2]Races!R11</f>
        <v>0</v>
      </c>
      <c r="Q12" s="124">
        <f>[2]Races!S11</f>
        <v>0</v>
      </c>
      <c r="R12" s="124">
        <f>[2]Races!N11</f>
        <v>0</v>
      </c>
      <c r="S12" s="124">
        <f>[2]Races!M11</f>
        <v>25</v>
      </c>
      <c r="T12" s="124">
        <f>[2]Races!B11</f>
        <v>48</v>
      </c>
      <c r="U12" s="124" t="str">
        <f>LEFT([2]Races!U11,FIND(" ",[2]Races!U11)-1)</f>
        <v>M</v>
      </c>
      <c r="V12" s="124" t="str">
        <f>VLOOKUP(U12,Charts!$N$2:$Q$14,4,FALSE)</f>
        <v>(5)</v>
      </c>
      <c r="W12" s="124">
        <f>[2]Races!AA11</f>
        <v>0</v>
      </c>
      <c r="X12" s="124">
        <f>[2]Races!T11</f>
        <v>1</v>
      </c>
      <c r="Y12" s="124">
        <v>1</v>
      </c>
      <c r="Z12" s="124">
        <f>[2]Races!V11</f>
        <v>178</v>
      </c>
      <c r="AA12" s="124" t="s">
        <v>878</v>
      </c>
      <c r="AB12" s="124">
        <f>[2]Races!X11</f>
        <v>176</v>
      </c>
      <c r="AC12" s="124" t="str">
        <f>"+/- "&amp;[2]Races!Y11&amp;" lbs/in"</f>
        <v>+/- 5 lbs/in</v>
      </c>
      <c r="AD12" s="124">
        <f>[2]Races!BE11</f>
        <v>0</v>
      </c>
      <c r="AE12" s="124">
        <f>[2]Races!BF11</f>
        <v>0</v>
      </c>
      <c r="AF12" s="124">
        <f>[2]Races!BG11</f>
        <v>0</v>
      </c>
      <c r="AG12" s="124">
        <f>[2]Races!BH11</f>
        <v>0</v>
      </c>
      <c r="AH12" s="124">
        <f>[2]Races!BI11</f>
        <v>0</v>
      </c>
      <c r="AI12" s="124">
        <f>[2]Races!BJ11</f>
        <v>0</v>
      </c>
      <c r="AJ12" s="124">
        <f>[2]Races!BO11</f>
        <v>0</v>
      </c>
      <c r="AK12" s="124">
        <f>[2]Races!BP11</f>
        <v>0</v>
      </c>
      <c r="AL12" s="124">
        <f>[2]Races!BQ11</f>
        <v>0</v>
      </c>
      <c r="AM12" s="124">
        <f>[2]Races!BR11</f>
        <v>0</v>
      </c>
    </row>
    <row r="13" spans="2:39" x14ac:dyDescent="0.25">
      <c r="B13" s="123" t="str">
        <f>[2]Races!A12</f>
        <v>Japanese</v>
      </c>
      <c r="C13" s="124">
        <f>[2]Races!C12</f>
        <v>0</v>
      </c>
      <c r="D13" s="124">
        <f>[2]Races!D12</f>
        <v>0</v>
      </c>
      <c r="E13" s="124">
        <f>[2]Races!E12</f>
        <v>0</v>
      </c>
      <c r="F13" s="124">
        <f>[2]Races!F12</f>
        <v>0</v>
      </c>
      <c r="G13" s="124">
        <f>[2]Races!G12</f>
        <v>0</v>
      </c>
      <c r="H13" s="124">
        <f>[2]Races!H12</f>
        <v>0</v>
      </c>
      <c r="I13" s="124">
        <f>[2]Races!I12</f>
        <v>0</v>
      </c>
      <c r="J13" s="124">
        <f>[2]Races!J12</f>
        <v>0</v>
      </c>
      <c r="K13" s="124">
        <f>[2]Races!K12</f>
        <v>5</v>
      </c>
      <c r="L13" s="124">
        <f>[2]Races!L12</f>
        <v>0</v>
      </c>
      <c r="M13" s="124">
        <f>[2]Races!O12</f>
        <v>0</v>
      </c>
      <c r="N13" s="124">
        <f>[2]Races!P12</f>
        <v>0</v>
      </c>
      <c r="O13" s="124">
        <f>[2]Races!Q12</f>
        <v>0</v>
      </c>
      <c r="P13" s="124">
        <f>[2]Races!R12</f>
        <v>0</v>
      </c>
      <c r="Q13" s="124">
        <f>[2]Races!S12</f>
        <v>0</v>
      </c>
      <c r="R13" s="124">
        <f>[2]Races!N12</f>
        <v>0</v>
      </c>
      <c r="S13" s="124">
        <f>[2]Races!M12</f>
        <v>25</v>
      </c>
      <c r="T13" s="124">
        <f>[2]Races!B12</f>
        <v>40</v>
      </c>
      <c r="U13" s="124" t="str">
        <f>LEFT([2]Races!U12,FIND(" ",[2]Races!U12)-1)</f>
        <v>M</v>
      </c>
      <c r="V13" s="124" t="str">
        <f>VLOOKUP(U13,Charts!$N$2:$Q$14,4,FALSE)</f>
        <v>(5)</v>
      </c>
      <c r="W13" s="124">
        <f>[2]Races!AA12</f>
        <v>0</v>
      </c>
      <c r="X13" s="124">
        <f>[2]Races!T12</f>
        <v>1</v>
      </c>
      <c r="Y13" s="124">
        <v>1</v>
      </c>
      <c r="Z13" s="124">
        <f>[2]Races!V12</f>
        <v>172</v>
      </c>
      <c r="AA13" s="124" t="s">
        <v>878</v>
      </c>
      <c r="AB13" s="124">
        <f>[2]Races!X12</f>
        <v>164</v>
      </c>
      <c r="AC13" s="124" t="str">
        <f>"+/- "&amp;[2]Races!Y12&amp;" lbs/in"</f>
        <v>+/- 5 lbs/in</v>
      </c>
      <c r="AD13" s="124">
        <f>[2]Races!BE12</f>
        <v>0</v>
      </c>
      <c r="AE13" s="124">
        <f>[2]Races!BF12</f>
        <v>0</v>
      </c>
      <c r="AF13" s="124">
        <f>[2]Races!BG12</f>
        <v>0</v>
      </c>
      <c r="AG13" s="124">
        <f>[2]Races!BH12</f>
        <v>0</v>
      </c>
      <c r="AH13" s="124">
        <f>[2]Races!BI12</f>
        <v>0</v>
      </c>
      <c r="AI13" s="124">
        <f>[2]Races!BJ12</f>
        <v>0</v>
      </c>
      <c r="AJ13" s="124">
        <f>[2]Races!BO12</f>
        <v>0</v>
      </c>
      <c r="AK13" s="124">
        <f>[2]Races!BP12</f>
        <v>0</v>
      </c>
      <c r="AL13" s="124">
        <f>[2]Races!BQ12</f>
        <v>0</v>
      </c>
      <c r="AM13" s="124">
        <f>[2]Races!BR12</f>
        <v>0</v>
      </c>
    </row>
    <row r="14" spans="2:39" x14ac:dyDescent="0.25">
      <c r="B14" s="123" t="str">
        <f>[2]Races!A13</f>
        <v>Latino</v>
      </c>
      <c r="C14" s="124">
        <f>[2]Races!C13</f>
        <v>0</v>
      </c>
      <c r="D14" s="124">
        <f>[2]Races!D13</f>
        <v>0</v>
      </c>
      <c r="E14" s="124">
        <f>[2]Races!E13</f>
        <v>0</v>
      </c>
      <c r="F14" s="124">
        <f>[2]Races!F13</f>
        <v>0</v>
      </c>
      <c r="G14" s="124">
        <f>[2]Races!G13</f>
        <v>0</v>
      </c>
      <c r="H14" s="124">
        <f>[2]Races!H13</f>
        <v>0</v>
      </c>
      <c r="I14" s="124">
        <f>[2]Races!I13</f>
        <v>0</v>
      </c>
      <c r="J14" s="124">
        <f>[2]Races!J13</f>
        <v>0</v>
      </c>
      <c r="K14" s="124">
        <f>[2]Races!K13</f>
        <v>0</v>
      </c>
      <c r="L14" s="124">
        <f>[2]Races!L13</f>
        <v>0</v>
      </c>
      <c r="M14" s="124">
        <f>[2]Races!O13</f>
        <v>0</v>
      </c>
      <c r="N14" s="124">
        <f>[2]Races!P13</f>
        <v>0</v>
      </c>
      <c r="O14" s="124">
        <f>[2]Races!Q13</f>
        <v>0</v>
      </c>
      <c r="P14" s="124">
        <f>[2]Races!R13</f>
        <v>0</v>
      </c>
      <c r="Q14" s="124">
        <f>[2]Races!S13</f>
        <v>0</v>
      </c>
      <c r="R14" s="124">
        <f>[2]Races!N13</f>
        <v>0</v>
      </c>
      <c r="S14" s="124">
        <f>[2]Races!M13</f>
        <v>25</v>
      </c>
      <c r="T14" s="124">
        <f>[2]Races!B13</f>
        <v>60</v>
      </c>
      <c r="U14" s="124" t="str">
        <f>LEFT([2]Races!U13,FIND(" ",[2]Races!U13)-1)</f>
        <v>M</v>
      </c>
      <c r="V14" s="124" t="str">
        <f>VLOOKUP(U14,Charts!$N$2:$Q$14,4,FALSE)</f>
        <v>(5)</v>
      </c>
      <c r="W14" s="124">
        <f>[2]Races!AA13</f>
        <v>0</v>
      </c>
      <c r="X14" s="124">
        <f>[2]Races!T13</f>
        <v>1</v>
      </c>
      <c r="Y14" s="124">
        <v>1</v>
      </c>
      <c r="Z14" s="124">
        <f>[2]Races!V13</f>
        <v>172</v>
      </c>
      <c r="AA14" s="124" t="s">
        <v>878</v>
      </c>
      <c r="AB14" s="124">
        <f>[2]Races!X13</f>
        <v>164</v>
      </c>
      <c r="AC14" s="124" t="str">
        <f>"+/- "&amp;[2]Races!Y13&amp;" lbs/in"</f>
        <v>+/- 5 lbs/in</v>
      </c>
      <c r="AD14" s="124">
        <f>[2]Races!BE13</f>
        <v>0</v>
      </c>
      <c r="AE14" s="124">
        <f>[2]Races!BF13</f>
        <v>0</v>
      </c>
      <c r="AF14" s="124">
        <f>[2]Races!BG13</f>
        <v>0</v>
      </c>
      <c r="AG14" s="124">
        <f>[2]Races!BH13</f>
        <v>0</v>
      </c>
      <c r="AH14" s="124">
        <f>[2]Races!BI13</f>
        <v>0</v>
      </c>
      <c r="AI14" s="124">
        <f>[2]Races!BJ13</f>
        <v>0</v>
      </c>
      <c r="AJ14" s="124">
        <f>[2]Races!BO13</f>
        <v>0</v>
      </c>
      <c r="AK14" s="124">
        <f>[2]Races!BP13</f>
        <v>0</v>
      </c>
      <c r="AL14" s="124">
        <f>[2]Races!BQ13</f>
        <v>0</v>
      </c>
      <c r="AM14" s="124">
        <f>[2]Races!BR13</f>
        <v>0</v>
      </c>
    </row>
    <row r="15" spans="2:39" x14ac:dyDescent="0.25">
      <c r="B15" s="123" t="str">
        <f>[2]Races!A14</f>
        <v>Native American</v>
      </c>
      <c r="C15" s="124">
        <f>[2]Races!C14</f>
        <v>0</v>
      </c>
      <c r="D15" s="124">
        <f>[2]Races!D14</f>
        <v>0</v>
      </c>
      <c r="E15" s="124">
        <f>[2]Races!E14</f>
        <v>0</v>
      </c>
      <c r="F15" s="124">
        <f>[2]Races!F14</f>
        <v>4</v>
      </c>
      <c r="G15" s="124">
        <f>[2]Races!G14</f>
        <v>0</v>
      </c>
      <c r="H15" s="124">
        <f>[2]Races!H14</f>
        <v>0</v>
      </c>
      <c r="I15" s="124">
        <f>[2]Races!I14</f>
        <v>0</v>
      </c>
      <c r="J15" s="124">
        <f>[2]Races!J14</f>
        <v>0</v>
      </c>
      <c r="K15" s="124">
        <f>[2]Races!K14</f>
        <v>0</v>
      </c>
      <c r="L15" s="124">
        <f>[2]Races!L14</f>
        <v>0</v>
      </c>
      <c r="M15" s="124">
        <f>[2]Races!O14</f>
        <v>5</v>
      </c>
      <c r="N15" s="124">
        <f>[2]Races!P14</f>
        <v>0</v>
      </c>
      <c r="O15" s="124">
        <f>[2]Races!Q14</f>
        <v>0</v>
      </c>
      <c r="P15" s="124">
        <f>[2]Races!R14</f>
        <v>5</v>
      </c>
      <c r="Q15" s="124">
        <f>[2]Races!S14</f>
        <v>0</v>
      </c>
      <c r="R15" s="124">
        <f>[2]Races!N14</f>
        <v>0</v>
      </c>
      <c r="S15" s="124">
        <f>[2]Races!M14</f>
        <v>25</v>
      </c>
      <c r="T15" s="124">
        <f>[2]Races!B14</f>
        <v>32</v>
      </c>
      <c r="U15" s="124" t="str">
        <f>LEFT([2]Races!U14,FIND(" ",[2]Races!U14)-1)</f>
        <v>M</v>
      </c>
      <c r="V15" s="124" t="str">
        <f>VLOOKUP(U15,Charts!$N$2:$Q$14,4,FALSE)</f>
        <v>(5)</v>
      </c>
      <c r="W15" s="124">
        <f>[2]Races!AA14</f>
        <v>0</v>
      </c>
      <c r="X15" s="124">
        <f>[2]Races!T14</f>
        <v>1</v>
      </c>
      <c r="Y15" s="124">
        <v>1</v>
      </c>
      <c r="Z15" s="124">
        <f>[2]Races!V14</f>
        <v>170</v>
      </c>
      <c r="AA15" s="124" t="s">
        <v>878</v>
      </c>
      <c r="AB15" s="124">
        <f>[2]Races!X14</f>
        <v>161</v>
      </c>
      <c r="AC15" s="124" t="str">
        <f>"+/- "&amp;[2]Races!Y14&amp;" lbs/in"</f>
        <v>+/- 5 lbs/in</v>
      </c>
      <c r="AD15" s="124" t="str">
        <f>[2]Races!BE14</f>
        <v>Prodigy (Stalking) I</v>
      </c>
      <c r="AE15" s="124">
        <f>[2]Races!BF14</f>
        <v>0</v>
      </c>
      <c r="AF15" s="124">
        <f>[2]Races!BG14</f>
        <v>0</v>
      </c>
      <c r="AG15" s="124">
        <f>[2]Races!BH14</f>
        <v>0</v>
      </c>
      <c r="AH15" s="124">
        <f>[2]Races!BI14</f>
        <v>0</v>
      </c>
      <c r="AI15" s="124">
        <f>[2]Races!BJ14</f>
        <v>0</v>
      </c>
      <c r="AJ15" s="124">
        <f>[2]Races!BO14</f>
        <v>0</v>
      </c>
      <c r="AK15" s="124">
        <f>[2]Races!BP14</f>
        <v>0</v>
      </c>
      <c r="AL15" s="124">
        <f>[2]Races!BQ14</f>
        <v>0</v>
      </c>
      <c r="AM15" s="124">
        <f>[2]Races!BR14</f>
        <v>0</v>
      </c>
    </row>
    <row r="16" spans="2:39" x14ac:dyDescent="0.25">
      <c r="B16" s="123" t="str">
        <f>[2]Races!A15</f>
        <v>Russian</v>
      </c>
      <c r="C16" s="124">
        <f>[2]Races!C15</f>
        <v>0</v>
      </c>
      <c r="D16" s="124">
        <f>[2]Races!D15</f>
        <v>0</v>
      </c>
      <c r="E16" s="124">
        <f>[2]Races!E15</f>
        <v>0</v>
      </c>
      <c r="F16" s="124">
        <f>[2]Races!F15</f>
        <v>0</v>
      </c>
      <c r="G16" s="124">
        <f>[2]Races!G15</f>
        <v>0</v>
      </c>
      <c r="H16" s="124">
        <f>[2]Races!H15</f>
        <v>0</v>
      </c>
      <c r="I16" s="124">
        <f>[2]Races!I15</f>
        <v>0</v>
      </c>
      <c r="J16" s="124">
        <f>[2]Races!J15</f>
        <v>2</v>
      </c>
      <c r="K16" s="124">
        <f>[2]Races!K15</f>
        <v>1</v>
      </c>
      <c r="L16" s="124">
        <f>[2]Races!L15</f>
        <v>0</v>
      </c>
      <c r="M16" s="124">
        <f>[2]Races!O15</f>
        <v>0</v>
      </c>
      <c r="N16" s="124">
        <f>[2]Races!P15</f>
        <v>0</v>
      </c>
      <c r="O16" s="124">
        <f>[2]Races!Q15</f>
        <v>0</v>
      </c>
      <c r="P16" s="124">
        <f>[2]Races!R15</f>
        <v>0</v>
      </c>
      <c r="Q16" s="124">
        <f>[2]Races!S15</f>
        <v>0</v>
      </c>
      <c r="R16" s="124">
        <f>[2]Races!N15</f>
        <v>5</v>
      </c>
      <c r="S16" s="124">
        <f>[2]Races!M15</f>
        <v>25</v>
      </c>
      <c r="T16" s="124">
        <f>[2]Races!B15</f>
        <v>38</v>
      </c>
      <c r="U16" s="124" t="str">
        <f>LEFT([2]Races!U15,FIND(" ",[2]Races!U15)-1)</f>
        <v>M</v>
      </c>
      <c r="V16" s="124" t="str">
        <f>VLOOKUP(U16,Charts!$N$2:$Q$14,4,FALSE)</f>
        <v>(5)</v>
      </c>
      <c r="W16" s="124">
        <f>[2]Races!AA15</f>
        <v>0</v>
      </c>
      <c r="X16" s="124">
        <f>[2]Races!T15</f>
        <v>1</v>
      </c>
      <c r="Y16" s="124">
        <v>1</v>
      </c>
      <c r="Z16" s="124">
        <f>[2]Races!V15</f>
        <v>177</v>
      </c>
      <c r="AA16" s="124" t="s">
        <v>878</v>
      </c>
      <c r="AB16" s="124">
        <f>[2]Races!X15</f>
        <v>174</v>
      </c>
      <c r="AC16" s="124" t="str">
        <f>"+/- "&amp;[2]Races!Y15&amp;" lbs/in"</f>
        <v>+/- 5 lbs/in</v>
      </c>
      <c r="AD16" s="124" t="str">
        <f>[2]Races!BE15</f>
        <v>Resistance to Elements (cold) II</v>
      </c>
      <c r="AE16" s="124">
        <f>[2]Races!BF15</f>
        <v>0</v>
      </c>
      <c r="AF16" s="124">
        <f>[2]Races!BG15</f>
        <v>0</v>
      </c>
      <c r="AG16" s="124">
        <f>[2]Races!BH15</f>
        <v>0</v>
      </c>
      <c r="AH16" s="124">
        <f>[2]Races!BI15</f>
        <v>0</v>
      </c>
      <c r="AI16" s="124">
        <f>[2]Races!BJ15</f>
        <v>0</v>
      </c>
      <c r="AJ16" s="124">
        <f>[2]Races!BO15</f>
        <v>0</v>
      </c>
      <c r="AK16" s="124">
        <f>[2]Races!BP15</f>
        <v>0</v>
      </c>
      <c r="AL16" s="124">
        <f>[2]Races!BQ15</f>
        <v>0</v>
      </c>
      <c r="AM16" s="124">
        <f>[2]Races!BR15</f>
        <v>0</v>
      </c>
    </row>
    <row r="17" spans="2:2" x14ac:dyDescent="0.25">
      <c r="B17" s="123"/>
    </row>
    <row r="18" spans="2:2" x14ac:dyDescent="0.25">
      <c r="B18" s="123"/>
    </row>
    <row r="19" spans="2:2" x14ac:dyDescent="0.25">
      <c r="B19" s="123"/>
    </row>
    <row r="20" spans="2:2" x14ac:dyDescent="0.25">
      <c r="B20" s="123"/>
    </row>
  </sheetData>
  <sortState xmlns:xlrd2="http://schemas.microsoft.com/office/spreadsheetml/2017/richdata2" ref="B3:AM9">
    <sortCondition ref="B3"/>
  </sortState>
  <mergeCells count="1">
    <mergeCell ref="U2:V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CM1001"/>
  <sheetViews>
    <sheetView topLeftCell="AA1" workbookViewId="0">
      <selection activeCell="AP1" sqref="AP1:AR14"/>
    </sheetView>
  </sheetViews>
  <sheetFormatPr defaultColWidth="0.85546875" defaultRowHeight="15" x14ac:dyDescent="0.25"/>
  <cols>
    <col min="2" max="2" width="11.85546875" bestFit="1" customWidth="1"/>
    <col min="3" max="6" width="3.7109375" customWidth="1"/>
    <col min="8" max="8" width="6.28515625" customWidth="1"/>
    <col min="9" max="9" width="1.7109375" customWidth="1"/>
    <col min="10" max="10" width="3" customWidth="1"/>
    <col min="12" max="12" width="4.28515625" customWidth="1"/>
    <col min="13" max="13" width="1.7109375" customWidth="1"/>
    <col min="14" max="14" width="3.28515625" customWidth="1"/>
    <col min="15" max="16" width="4.7109375" customWidth="1"/>
    <col min="17" max="17" width="4.28515625" customWidth="1"/>
    <col min="19" max="20" width="4.7109375" customWidth="1"/>
    <col min="22" max="22" width="36.7109375" bestFit="1" customWidth="1"/>
    <col min="23" max="23" width="3.7109375" bestFit="1" customWidth="1"/>
    <col min="24" max="24" width="100.85546875" bestFit="1" customWidth="1"/>
    <col min="25" max="25" width="2" bestFit="1" customWidth="1"/>
    <col min="26" max="26" width="36.7109375" bestFit="1" customWidth="1"/>
    <col min="28" max="28" width="24.28515625" customWidth="1"/>
    <col min="29" max="29" width="20.7109375" customWidth="1"/>
    <col min="30" max="30" width="23.140625" bestFit="1" customWidth="1"/>
    <col min="32" max="33" width="3.7109375" customWidth="1"/>
    <col min="34" max="34" width="5.7109375" customWidth="1"/>
    <col min="35" max="35" width="0.85546875" customWidth="1"/>
    <col min="36" max="36" width="5.7109375" customWidth="1"/>
    <col min="38" max="38" width="7.7109375" customWidth="1"/>
    <col min="39" max="39" width="4.7109375" customWidth="1"/>
    <col min="40" max="40" width="7.7109375" customWidth="1"/>
    <col min="41" max="41" width="0.85546875" customWidth="1"/>
    <col min="42" max="42" width="3" bestFit="1" customWidth="1"/>
    <col min="43" max="43" width="6.7109375" customWidth="1"/>
    <col min="44" max="44" width="3" bestFit="1" customWidth="1"/>
    <col min="46" max="46" width="5" bestFit="1" customWidth="1"/>
    <col min="47" max="47" width="5" customWidth="1"/>
    <col min="49" max="50" width="5.28515625" customWidth="1"/>
    <col min="52" max="53" width="5.28515625" customWidth="1"/>
    <col min="55" max="55" width="3.7109375" customWidth="1"/>
    <col min="56" max="56" width="15.28515625" bestFit="1" customWidth="1"/>
    <col min="57" max="57" width="12" bestFit="1" customWidth="1"/>
    <col min="58" max="58" width="8.5703125" bestFit="1" customWidth="1"/>
    <col min="59" max="59" width="8.5703125" customWidth="1"/>
    <col min="60" max="60" width="6.42578125" bestFit="1" customWidth="1"/>
    <col min="61" max="61" width="7" bestFit="1" customWidth="1"/>
    <col min="62" max="62" width="3.7109375" customWidth="1"/>
    <col min="63" max="63" width="0.85546875" customWidth="1"/>
    <col min="64" max="64" width="22.7109375" style="4" bestFit="1" customWidth="1"/>
    <col min="65" max="65" width="22.7109375" style="4" customWidth="1"/>
    <col min="66" max="66" width="6.85546875" style="4" bestFit="1" customWidth="1"/>
    <col min="67" max="67" width="12.140625" style="4" bestFit="1" customWidth="1"/>
    <col min="68" max="68" width="5.7109375" style="4" customWidth="1"/>
    <col min="69" max="69" width="6.85546875" style="4" bestFit="1" customWidth="1"/>
    <col min="70" max="70" width="7.5703125" style="4" bestFit="1" customWidth="1"/>
    <col min="71" max="71" width="8.42578125" style="4" bestFit="1" customWidth="1"/>
    <col min="72" max="72" width="8.140625" style="4" bestFit="1" customWidth="1"/>
    <col min="73" max="73" width="0.85546875" style="4"/>
    <col min="74" max="74" width="7" bestFit="1" customWidth="1"/>
    <col min="75" max="75" width="3.7109375" bestFit="1" customWidth="1"/>
    <col min="77" max="77" width="3.140625" customWidth="1"/>
    <col min="78" max="78" width="19.140625" bestFit="1" customWidth="1"/>
    <col min="79" max="79" width="6" bestFit="1" customWidth="1"/>
    <col min="81" max="81" width="3.140625" customWidth="1"/>
    <col min="82" max="82" width="21" bestFit="1" customWidth="1"/>
    <col min="83" max="83" width="4.28515625" bestFit="1" customWidth="1"/>
    <col min="85" max="85" width="3.140625" customWidth="1"/>
    <col min="86" max="86" width="23.85546875" bestFit="1" customWidth="1"/>
    <col min="87" max="87" width="6.28515625" bestFit="1" customWidth="1"/>
    <col min="89" max="89" width="3.140625" customWidth="1"/>
    <col min="90" max="90" width="17.5703125" bestFit="1" customWidth="1"/>
    <col min="91" max="91" width="6" bestFit="1" customWidth="1"/>
  </cols>
  <sheetData>
    <row r="1" spans="2:91" x14ac:dyDescent="0.25">
      <c r="B1" s="354" t="s">
        <v>805</v>
      </c>
      <c r="C1" s="354"/>
      <c r="D1" s="354"/>
      <c r="E1" s="354"/>
      <c r="F1" s="354"/>
      <c r="H1" s="354" t="s">
        <v>916</v>
      </c>
      <c r="I1" s="354"/>
      <c r="J1" s="354"/>
      <c r="K1" s="354"/>
      <c r="L1" s="354"/>
      <c r="M1" s="354"/>
      <c r="N1" s="354"/>
      <c r="O1" s="354"/>
      <c r="P1" s="354"/>
      <c r="Q1" s="354"/>
      <c r="S1" s="354" t="s">
        <v>917</v>
      </c>
      <c r="T1" s="354"/>
      <c r="V1" s="506" t="s">
        <v>927</v>
      </c>
      <c r="W1" s="506"/>
      <c r="X1" s="506"/>
      <c r="Y1" s="506"/>
      <c r="Z1" s="506"/>
      <c r="AB1" s="354" t="s">
        <v>152</v>
      </c>
      <c r="AC1" s="354"/>
      <c r="AD1" s="354"/>
      <c r="AF1" s="354" t="s">
        <v>37</v>
      </c>
      <c r="AG1" s="354"/>
      <c r="AH1" s="354"/>
      <c r="AI1" s="14"/>
      <c r="AJ1" s="14" t="s">
        <v>2007</v>
      </c>
      <c r="AL1" s="354" t="s">
        <v>2008</v>
      </c>
      <c r="AM1" s="354"/>
      <c r="AN1" s="354"/>
      <c r="AP1" s="354" t="s">
        <v>2030</v>
      </c>
      <c r="AQ1" s="354"/>
      <c r="AR1" s="354"/>
      <c r="AT1" s="354" t="s">
        <v>862</v>
      </c>
      <c r="AU1" s="354"/>
      <c r="AW1" s="354" t="s">
        <v>2235</v>
      </c>
      <c r="AX1" s="354"/>
      <c r="AZ1" s="354" t="s">
        <v>2326</v>
      </c>
      <c r="BA1" s="354"/>
      <c r="BC1" s="354" t="s">
        <v>2067</v>
      </c>
      <c r="BD1" s="354"/>
      <c r="BE1" s="354"/>
      <c r="BF1" s="354"/>
      <c r="BG1" s="354"/>
      <c r="BH1" s="354"/>
      <c r="BI1" s="354"/>
      <c r="BJ1" s="354"/>
      <c r="BL1" s="354" t="s">
        <v>3089</v>
      </c>
      <c r="BM1" s="354"/>
      <c r="BN1" s="354"/>
      <c r="BO1" s="354"/>
      <c r="BP1" s="354"/>
      <c r="BQ1" s="354"/>
      <c r="BR1" s="354"/>
      <c r="BS1" s="354"/>
      <c r="BT1" s="354"/>
      <c r="BV1" s="354" t="s">
        <v>3911</v>
      </c>
      <c r="BW1" s="354"/>
      <c r="BZ1" s="120" t="s">
        <v>407</v>
      </c>
      <c r="CA1" s="120"/>
      <c r="CD1" s="120" t="s">
        <v>1964</v>
      </c>
      <c r="CE1" s="120"/>
      <c r="CH1" s="120" t="s">
        <v>816</v>
      </c>
      <c r="CI1" s="120"/>
      <c r="CL1" s="120" t="s">
        <v>3912</v>
      </c>
    </row>
    <row r="2" spans="2:91" x14ac:dyDescent="0.25">
      <c r="B2" t="s">
        <v>809</v>
      </c>
      <c r="C2" s="4">
        <v>0</v>
      </c>
      <c r="D2" s="4">
        <v>0</v>
      </c>
      <c r="E2" s="4" t="s">
        <v>63</v>
      </c>
      <c r="F2" s="4">
        <v>10</v>
      </c>
      <c r="G2" s="4"/>
      <c r="H2" s="3" t="s">
        <v>879</v>
      </c>
      <c r="I2" s="4" t="s">
        <v>824</v>
      </c>
      <c r="J2" s="8">
        <v>1</v>
      </c>
      <c r="L2" s="9" t="s">
        <v>880</v>
      </c>
      <c r="M2" s="10" t="s">
        <v>824</v>
      </c>
      <c r="N2" t="s">
        <v>881</v>
      </c>
      <c r="O2" s="4">
        <v>0.25</v>
      </c>
      <c r="P2" s="4">
        <v>0.25</v>
      </c>
      <c r="Q2" s="9" t="s">
        <v>880</v>
      </c>
      <c r="S2" s="4">
        <v>0.5</v>
      </c>
      <c r="T2" s="4">
        <v>10</v>
      </c>
      <c r="V2" s="4" t="s">
        <v>928</v>
      </c>
      <c r="W2" s="4">
        <v>4</v>
      </c>
      <c r="X2" s="8" t="s">
        <v>929</v>
      </c>
      <c r="Y2" s="8">
        <f>IF(ISNUMBER(SEARCH(Z2,TalentFlaw)),5,0)</f>
        <v>0</v>
      </c>
      <c r="Z2" s="3" t="str">
        <f>V2&amp;";"</f>
        <v>Acute Hearing I;</v>
      </c>
      <c r="AB2" t="s">
        <v>2028</v>
      </c>
      <c r="AC2" t="s">
        <v>1952</v>
      </c>
      <c r="AD2" t="s">
        <v>407</v>
      </c>
      <c r="AF2" s="4">
        <v>1</v>
      </c>
      <c r="AG2" s="4">
        <v>-15</v>
      </c>
      <c r="AH2" s="4">
        <f>AF2</f>
        <v>1</v>
      </c>
      <c r="AI2" s="4"/>
      <c r="AJ2" s="4">
        <v>1</v>
      </c>
      <c r="AL2" s="4">
        <v>0</v>
      </c>
      <c r="AM2" s="4">
        <v>0</v>
      </c>
      <c r="AN2" s="4">
        <v>0</v>
      </c>
      <c r="AP2" s="4">
        <v>1</v>
      </c>
      <c r="AQ2" s="69" t="s">
        <v>2095</v>
      </c>
      <c r="AR2" s="4">
        <v>1</v>
      </c>
      <c r="AT2">
        <v>1</v>
      </c>
      <c r="AU2" s="62">
        <v>-23</v>
      </c>
      <c r="AW2">
        <v>-20</v>
      </c>
      <c r="AX2" s="4">
        <v>-15</v>
      </c>
      <c r="AZ2">
        <v>-20</v>
      </c>
      <c r="BA2" s="4">
        <v>-15</v>
      </c>
      <c r="BD2" s="84"/>
      <c r="BE2" s="85" t="s">
        <v>2534</v>
      </c>
      <c r="BF2" s="85" t="s">
        <v>61</v>
      </c>
      <c r="BG2" s="85" t="s">
        <v>2520</v>
      </c>
      <c r="BH2" s="85" t="s">
        <v>37</v>
      </c>
      <c r="BI2" s="85" t="s">
        <v>2007</v>
      </c>
      <c r="BL2" s="85" t="s">
        <v>3090</v>
      </c>
      <c r="BM2" s="85" t="s">
        <v>112</v>
      </c>
      <c r="BN2" s="14" t="s">
        <v>3091</v>
      </c>
      <c r="BO2" s="14" t="s">
        <v>3092</v>
      </c>
      <c r="BP2" s="14" t="s">
        <v>861</v>
      </c>
      <c r="BQ2" s="14" t="s">
        <v>2109</v>
      </c>
      <c r="BR2" s="14" t="s">
        <v>72</v>
      </c>
      <c r="BS2" s="14" t="s">
        <v>3093</v>
      </c>
      <c r="BT2" s="14" t="s">
        <v>3094</v>
      </c>
      <c r="BV2" s="3" t="s">
        <v>1997</v>
      </c>
      <c r="BW2" s="4">
        <v>5</v>
      </c>
      <c r="BZ2" s="120" t="s">
        <v>3913</v>
      </c>
      <c r="CA2" s="120"/>
      <c r="CD2" s="120" t="s">
        <v>3914</v>
      </c>
      <c r="CE2" s="120"/>
      <c r="CH2" s="120" t="s">
        <v>3915</v>
      </c>
      <c r="CI2" s="120"/>
      <c r="CL2" s="120" t="s">
        <v>3916</v>
      </c>
    </row>
    <row r="3" spans="2:91" x14ac:dyDescent="0.25">
      <c r="B3" t="s">
        <v>808</v>
      </c>
      <c r="C3" s="4">
        <v>2</v>
      </c>
      <c r="D3" s="4">
        <v>5</v>
      </c>
      <c r="E3" s="4" t="s">
        <v>2044</v>
      </c>
      <c r="F3" s="4">
        <v>20</v>
      </c>
      <c r="G3" s="4"/>
      <c r="H3" s="3" t="s">
        <v>882</v>
      </c>
      <c r="I3" s="4" t="s">
        <v>824</v>
      </c>
      <c r="J3" s="8">
        <v>2</v>
      </c>
      <c r="L3" s="9" t="s">
        <v>883</v>
      </c>
      <c r="M3" s="10" t="s">
        <v>824</v>
      </c>
      <c r="N3" t="s">
        <v>884</v>
      </c>
      <c r="O3" s="4">
        <v>0.5</v>
      </c>
      <c r="P3" s="4">
        <v>0.5</v>
      </c>
      <c r="Q3" s="9" t="s">
        <v>883</v>
      </c>
      <c r="S3" s="4">
        <v>0.6</v>
      </c>
      <c r="T3" s="4">
        <v>8</v>
      </c>
      <c r="V3" s="4" t="s">
        <v>930</v>
      </c>
      <c r="W3" s="4">
        <v>8</v>
      </c>
      <c r="X3" s="8" t="s">
        <v>931</v>
      </c>
      <c r="Y3" s="8">
        <f>IF(ISNUMBER(SEARCH(Z3,TalentFlaw)),10,0)</f>
        <v>0</v>
      </c>
      <c r="Z3" s="3" t="str">
        <f t="shared" ref="Z3:Z66" si="0">V3&amp;";"</f>
        <v>Acute Hearing II;</v>
      </c>
      <c r="AB3" t="s">
        <v>565</v>
      </c>
      <c r="AC3" t="s">
        <v>1952</v>
      </c>
      <c r="AD3" t="s">
        <v>1964</v>
      </c>
      <c r="AF3" s="4">
        <v>2</v>
      </c>
      <c r="AG3" s="4">
        <v>-14</v>
      </c>
      <c r="AH3" s="4">
        <f t="shared" ref="AH3:AH66" si="1">AF3</f>
        <v>2</v>
      </c>
      <c r="AI3" s="4"/>
      <c r="AJ3" s="4">
        <v>2</v>
      </c>
      <c r="AL3" s="4">
        <v>500</v>
      </c>
      <c r="AM3" s="4">
        <v>1</v>
      </c>
      <c r="AN3" s="4">
        <v>500</v>
      </c>
      <c r="AP3" s="4">
        <v>2</v>
      </c>
      <c r="AQ3" s="6" t="s">
        <v>2096</v>
      </c>
      <c r="AR3" s="4">
        <v>2</v>
      </c>
      <c r="AT3">
        <v>2</v>
      </c>
      <c r="AU3" s="62">
        <v>-23</v>
      </c>
      <c r="AW3">
        <v>-19</v>
      </c>
      <c r="AX3" s="4">
        <v>-14</v>
      </c>
      <c r="AZ3">
        <v>-19</v>
      </c>
      <c r="BA3" s="4">
        <v>-14</v>
      </c>
      <c r="BC3" s="4">
        <v>1</v>
      </c>
      <c r="BD3" s="3" t="s">
        <v>2138</v>
      </c>
      <c r="BE3" s="4">
        <v>10</v>
      </c>
      <c r="BF3" s="4">
        <v>0</v>
      </c>
      <c r="BG3" s="4">
        <v>0</v>
      </c>
      <c r="BH3" s="4">
        <v>0</v>
      </c>
      <c r="BI3" s="4">
        <v>0.02</v>
      </c>
      <c r="BJ3" s="4">
        <v>1</v>
      </c>
      <c r="BL3" s="4" t="s">
        <v>3095</v>
      </c>
      <c r="BP3" s="4" t="s">
        <v>892</v>
      </c>
      <c r="BQ3" s="4">
        <v>42</v>
      </c>
      <c r="BR3" s="4">
        <v>620</v>
      </c>
      <c r="BS3" s="4">
        <f>BR3*0.3</f>
        <v>186</v>
      </c>
      <c r="BV3" s="3" t="s">
        <v>2076</v>
      </c>
      <c r="BW3" s="4">
        <v>0</v>
      </c>
      <c r="BY3">
        <v>1</v>
      </c>
      <c r="BZ3" t="s">
        <v>3917</v>
      </c>
      <c r="CA3" t="s">
        <v>1989</v>
      </c>
      <c r="CC3">
        <v>1</v>
      </c>
      <c r="CD3" t="s">
        <v>3918</v>
      </c>
      <c r="CE3" t="s">
        <v>855</v>
      </c>
      <c r="CG3">
        <v>1</v>
      </c>
      <c r="CH3" t="s">
        <v>3919</v>
      </c>
      <c r="CI3" t="s">
        <v>1990</v>
      </c>
      <c r="CK3">
        <v>1</v>
      </c>
      <c r="CL3" t="s">
        <v>3920</v>
      </c>
      <c r="CM3" t="str">
        <f>VLOOKUP([3]Character_Sheet!$BF$6,[3]Other!$AU$2:$AW$7,3,FALSE)</f>
        <v>Chan.</v>
      </c>
    </row>
    <row r="4" spans="2:91" x14ac:dyDescent="0.25">
      <c r="B4" t="s">
        <v>810</v>
      </c>
      <c r="C4" s="4">
        <v>4</v>
      </c>
      <c r="D4" s="4">
        <v>10</v>
      </c>
      <c r="E4" s="4" t="s">
        <v>62</v>
      </c>
      <c r="F4" s="4">
        <v>30</v>
      </c>
      <c r="G4" s="4"/>
      <c r="H4" s="3" t="s">
        <v>885</v>
      </c>
      <c r="I4" s="4" t="s">
        <v>824</v>
      </c>
      <c r="J4" s="8">
        <v>3</v>
      </c>
      <c r="L4" s="9" t="s">
        <v>886</v>
      </c>
      <c r="M4" s="10" t="s">
        <v>824</v>
      </c>
      <c r="N4" t="s">
        <v>887</v>
      </c>
      <c r="O4" s="4">
        <v>0.67</v>
      </c>
      <c r="P4" s="4">
        <v>0.5</v>
      </c>
      <c r="Q4" s="9" t="s">
        <v>886</v>
      </c>
      <c r="S4" s="4">
        <v>0.7</v>
      </c>
      <c r="T4" s="4">
        <v>6</v>
      </c>
      <c r="V4" s="4" t="s">
        <v>932</v>
      </c>
      <c r="W4" s="4">
        <v>12</v>
      </c>
      <c r="X4" s="8" t="s">
        <v>933</v>
      </c>
      <c r="Y4" s="8">
        <f>IF(ISNUMBER(SEARCH(Z4,TalentFlaw)),15,0)</f>
        <v>0</v>
      </c>
      <c r="Z4" s="3" t="str">
        <f t="shared" si="0"/>
        <v>Acute Hearing III;</v>
      </c>
      <c r="AB4" t="s">
        <v>1981</v>
      </c>
      <c r="AC4" t="s">
        <v>1952</v>
      </c>
      <c r="AD4" t="s">
        <v>816</v>
      </c>
      <c r="AF4" s="4">
        <v>3</v>
      </c>
      <c r="AG4" s="4">
        <v>-13</v>
      </c>
      <c r="AH4" s="4">
        <f t="shared" si="1"/>
        <v>3</v>
      </c>
      <c r="AI4" s="4"/>
      <c r="AJ4" s="4">
        <v>3</v>
      </c>
      <c r="AL4" s="4">
        <v>1093</v>
      </c>
      <c r="AM4" s="4">
        <v>2</v>
      </c>
      <c r="AN4" s="4">
        <v>1093</v>
      </c>
      <c r="AP4" s="4">
        <v>3</v>
      </c>
      <c r="AQ4" s="69" t="s">
        <v>2097</v>
      </c>
      <c r="AR4" s="4">
        <v>3</v>
      </c>
      <c r="AT4">
        <v>3</v>
      </c>
      <c r="AU4" s="62">
        <v>-23</v>
      </c>
      <c r="AW4">
        <v>-18</v>
      </c>
      <c r="AX4" s="4">
        <v>-13</v>
      </c>
      <c r="AZ4">
        <v>-18</v>
      </c>
      <c r="BA4" s="4">
        <v>-13</v>
      </c>
      <c r="BC4" s="4">
        <v>2</v>
      </c>
      <c r="BD4" s="3" t="s">
        <v>2140</v>
      </c>
      <c r="BE4" s="4">
        <v>12</v>
      </c>
      <c r="BF4" s="4">
        <v>0</v>
      </c>
      <c r="BG4" s="4">
        <v>0</v>
      </c>
      <c r="BH4" s="4">
        <v>0</v>
      </c>
      <c r="BI4" s="4">
        <v>0.04</v>
      </c>
      <c r="BJ4" s="4">
        <v>2</v>
      </c>
      <c r="BL4" s="4" t="s">
        <v>3096</v>
      </c>
      <c r="BP4" s="4" t="s">
        <v>892</v>
      </c>
      <c r="BQ4" s="4">
        <v>56</v>
      </c>
      <c r="BR4" s="4">
        <v>910</v>
      </c>
      <c r="BS4" s="4">
        <f t="shared" ref="BS4:BS12" si="2">BR4*0.3</f>
        <v>273</v>
      </c>
      <c r="BV4" s="3" t="s">
        <v>2077</v>
      </c>
      <c r="BW4" s="4">
        <v>-5</v>
      </c>
      <c r="BY4">
        <v>2</v>
      </c>
      <c r="BZ4" t="s">
        <v>3921</v>
      </c>
      <c r="CA4" t="s">
        <v>1989</v>
      </c>
      <c r="CC4">
        <v>2</v>
      </c>
      <c r="CD4" t="s">
        <v>3922</v>
      </c>
      <c r="CE4" t="s">
        <v>855</v>
      </c>
      <c r="CG4">
        <v>2</v>
      </c>
      <c r="CH4" t="s">
        <v>3923</v>
      </c>
      <c r="CI4" t="s">
        <v>1990</v>
      </c>
      <c r="CK4">
        <v>2</v>
      </c>
      <c r="CL4" t="s">
        <v>3924</v>
      </c>
      <c r="CM4" t="str">
        <f>VLOOKUP([3]Character_Sheet!$BF$6,[3]Other!$AU$2:$AW$7,3,FALSE)</f>
        <v>Chan.</v>
      </c>
    </row>
    <row r="5" spans="2:91" x14ac:dyDescent="0.25">
      <c r="B5" t="s">
        <v>811</v>
      </c>
      <c r="C5" s="4">
        <v>6</v>
      </c>
      <c r="D5" s="4">
        <v>15</v>
      </c>
      <c r="E5" s="4" t="s">
        <v>2045</v>
      </c>
      <c r="F5" s="4">
        <v>40</v>
      </c>
      <c r="G5" s="4"/>
      <c r="H5" s="3" t="s">
        <v>888</v>
      </c>
      <c r="I5" s="4" t="s">
        <v>824</v>
      </c>
      <c r="J5" s="8">
        <v>4</v>
      </c>
      <c r="L5" s="9" t="s">
        <v>889</v>
      </c>
      <c r="M5" s="10" t="s">
        <v>824</v>
      </c>
      <c r="N5" t="s">
        <v>890</v>
      </c>
      <c r="O5" s="4">
        <v>0.75</v>
      </c>
      <c r="P5" s="4">
        <v>1</v>
      </c>
      <c r="Q5" s="9" t="s">
        <v>889</v>
      </c>
      <c r="S5" s="4">
        <v>0.75</v>
      </c>
      <c r="T5" s="4">
        <v>5</v>
      </c>
      <c r="V5" s="4" t="s">
        <v>934</v>
      </c>
      <c r="W5" s="4">
        <v>16</v>
      </c>
      <c r="X5" s="8" t="s">
        <v>935</v>
      </c>
      <c r="Y5" s="8">
        <f>IF(ISNUMBER(SEARCH(Z5,TalentFlaw)),20,0)</f>
        <v>0</v>
      </c>
      <c r="Z5" s="3" t="str">
        <f t="shared" si="0"/>
        <v>Acute Hearing IV;</v>
      </c>
      <c r="AB5" t="s">
        <v>2091</v>
      </c>
      <c r="AC5" t="s">
        <v>1952</v>
      </c>
      <c r="AD5" t="s">
        <v>407</v>
      </c>
      <c r="AF5" s="4">
        <v>4</v>
      </c>
      <c r="AG5" s="4">
        <v>-12</v>
      </c>
      <c r="AH5" s="4">
        <f t="shared" si="1"/>
        <v>4</v>
      </c>
      <c r="AI5" s="4"/>
      <c r="AJ5" s="4">
        <v>4</v>
      </c>
      <c r="AL5" s="4">
        <v>1742</v>
      </c>
      <c r="AM5" s="4">
        <v>3</v>
      </c>
      <c r="AN5" s="4">
        <v>1742</v>
      </c>
      <c r="AP5" s="4">
        <v>4</v>
      </c>
      <c r="AQ5" s="70" t="s">
        <v>2098</v>
      </c>
      <c r="AR5" s="4">
        <v>4</v>
      </c>
      <c r="AT5">
        <v>4</v>
      </c>
      <c r="AU5" s="62">
        <v>-22</v>
      </c>
      <c r="AW5">
        <v>-17</v>
      </c>
      <c r="AX5" s="4">
        <v>-12</v>
      </c>
      <c r="AZ5">
        <v>-17</v>
      </c>
      <c r="BA5" s="4">
        <v>-12</v>
      </c>
      <c r="BC5" s="4">
        <v>3</v>
      </c>
      <c r="BD5" s="3" t="s">
        <v>2142</v>
      </c>
      <c r="BE5" s="4">
        <v>30</v>
      </c>
      <c r="BF5" s="4">
        <v>0</v>
      </c>
      <c r="BG5" s="4">
        <v>0</v>
      </c>
      <c r="BH5" s="4">
        <v>0</v>
      </c>
      <c r="BI5" s="4">
        <v>0.05</v>
      </c>
      <c r="BJ5" s="4">
        <v>3</v>
      </c>
      <c r="BL5" s="4" t="s">
        <v>3097</v>
      </c>
      <c r="BP5" s="4" t="s">
        <v>892</v>
      </c>
      <c r="BQ5" s="4">
        <v>55</v>
      </c>
      <c r="BR5" s="4">
        <v>900</v>
      </c>
      <c r="BS5" s="4">
        <f t="shared" si="2"/>
        <v>270</v>
      </c>
      <c r="BV5" s="3" t="s">
        <v>4105</v>
      </c>
      <c r="BW5" s="4">
        <v>-10</v>
      </c>
      <c r="BY5">
        <v>3</v>
      </c>
      <c r="BZ5" t="s">
        <v>3925</v>
      </c>
      <c r="CA5" t="s">
        <v>1989</v>
      </c>
      <c r="CC5">
        <v>3</v>
      </c>
      <c r="CD5" t="s">
        <v>3926</v>
      </c>
      <c r="CE5" t="s">
        <v>855</v>
      </c>
      <c r="CG5">
        <v>3</v>
      </c>
      <c r="CH5" t="s">
        <v>3927</v>
      </c>
      <c r="CI5" t="s">
        <v>1990</v>
      </c>
      <c r="CK5">
        <v>3</v>
      </c>
      <c r="CL5" t="s">
        <v>3928</v>
      </c>
      <c r="CM5" t="str">
        <f>VLOOKUP([3]Character_Sheet!$BF$6,[3]Other!$AU$2:$AW$7,3,FALSE)</f>
        <v>Chan.</v>
      </c>
    </row>
    <row r="6" spans="2:91" x14ac:dyDescent="0.25">
      <c r="B6" t="s">
        <v>812</v>
      </c>
      <c r="C6" s="4">
        <v>8</v>
      </c>
      <c r="D6" s="4">
        <v>20</v>
      </c>
      <c r="E6" s="4" t="s">
        <v>2046</v>
      </c>
      <c r="F6" s="4">
        <v>50</v>
      </c>
      <c r="G6" s="4"/>
      <c r="H6" s="3" t="s">
        <v>891</v>
      </c>
      <c r="I6" s="4" t="s">
        <v>824</v>
      </c>
      <c r="J6" s="8">
        <v>5</v>
      </c>
      <c r="L6" s="9" t="s">
        <v>877</v>
      </c>
      <c r="M6" s="10" t="s">
        <v>824</v>
      </c>
      <c r="N6" t="s">
        <v>799</v>
      </c>
      <c r="O6" s="4">
        <v>1</v>
      </c>
      <c r="P6" s="4">
        <v>1</v>
      </c>
      <c r="Q6" s="9" t="s">
        <v>877</v>
      </c>
      <c r="S6" s="4">
        <v>0.8</v>
      </c>
      <c r="T6" s="4">
        <v>4</v>
      </c>
      <c r="V6" s="4" t="s">
        <v>936</v>
      </c>
      <c r="W6" s="4">
        <v>20</v>
      </c>
      <c r="X6" s="8" t="s">
        <v>937</v>
      </c>
      <c r="Y6" s="8">
        <f>IF(ISNUMBER(SEARCH(Z6,TalentFlaw)),25,0)</f>
        <v>0</v>
      </c>
      <c r="Z6" s="3" t="str">
        <f t="shared" si="0"/>
        <v>Acute Hearing V;</v>
      </c>
      <c r="AB6" t="s">
        <v>1953</v>
      </c>
      <c r="AC6" t="s">
        <v>1952</v>
      </c>
      <c r="AD6" t="s">
        <v>1964</v>
      </c>
      <c r="AF6" s="4">
        <v>5</v>
      </c>
      <c r="AG6" s="4">
        <v>-11</v>
      </c>
      <c r="AH6" s="4">
        <f t="shared" si="1"/>
        <v>5</v>
      </c>
      <c r="AI6" s="4"/>
      <c r="AJ6" s="4">
        <v>5</v>
      </c>
      <c r="AL6" s="4">
        <v>2452</v>
      </c>
      <c r="AM6" s="4">
        <v>4</v>
      </c>
      <c r="AN6" s="4">
        <v>2452</v>
      </c>
      <c r="AP6" s="4">
        <v>5</v>
      </c>
      <c r="AQ6" s="70" t="s">
        <v>2099</v>
      </c>
      <c r="AR6" s="4">
        <v>5</v>
      </c>
      <c r="AT6">
        <v>5</v>
      </c>
      <c r="AU6" s="62">
        <v>-22</v>
      </c>
      <c r="AW6">
        <v>-16</v>
      </c>
      <c r="AX6" s="4">
        <v>-11</v>
      </c>
      <c r="AZ6">
        <v>-16</v>
      </c>
      <c r="BA6" s="4">
        <v>-11</v>
      </c>
      <c r="BC6" s="4">
        <v>4</v>
      </c>
      <c r="BD6" s="3" t="s">
        <v>2500</v>
      </c>
      <c r="BE6" s="4">
        <v>34</v>
      </c>
      <c r="BF6" s="4">
        <v>0</v>
      </c>
      <c r="BG6" s="4">
        <v>0</v>
      </c>
      <c r="BH6" s="4">
        <v>0</v>
      </c>
      <c r="BI6" s="4">
        <v>0.06</v>
      </c>
      <c r="BJ6" s="4">
        <v>4</v>
      </c>
      <c r="BL6" s="4" t="s">
        <v>3157</v>
      </c>
      <c r="BP6" s="4" t="s">
        <v>895</v>
      </c>
      <c r="BQ6" s="4">
        <v>60</v>
      </c>
      <c r="BR6" s="4">
        <v>1200</v>
      </c>
      <c r="BS6" s="4">
        <f t="shared" si="2"/>
        <v>360</v>
      </c>
      <c r="BV6" s="3" t="s">
        <v>2234</v>
      </c>
      <c r="BW6" s="4">
        <v>-10</v>
      </c>
      <c r="BY6">
        <v>4</v>
      </c>
      <c r="BZ6" t="s">
        <v>3929</v>
      </c>
      <c r="CA6" t="s">
        <v>1989</v>
      </c>
      <c r="CC6">
        <v>4</v>
      </c>
      <c r="CD6" t="s">
        <v>3930</v>
      </c>
      <c r="CE6" t="s">
        <v>855</v>
      </c>
      <c r="CG6">
        <v>4</v>
      </c>
      <c r="CH6" t="s">
        <v>3931</v>
      </c>
      <c r="CI6" t="s">
        <v>1990</v>
      </c>
      <c r="CK6">
        <v>4</v>
      </c>
      <c r="CL6" t="s">
        <v>3932</v>
      </c>
      <c r="CM6" t="str">
        <f>VLOOKUP([3]Character_Sheet!$BF$6,[3]Other!$AU$2:$AW$7,3,FALSE)</f>
        <v>Chan.</v>
      </c>
    </row>
    <row r="7" spans="2:91" x14ac:dyDescent="0.25">
      <c r="D7" s="4">
        <v>25</v>
      </c>
      <c r="H7" s="3" t="s">
        <v>892</v>
      </c>
      <c r="I7" s="4" t="s">
        <v>824</v>
      </c>
      <c r="J7" s="8">
        <v>6</v>
      </c>
      <c r="L7" s="9" t="s">
        <v>893</v>
      </c>
      <c r="M7" s="10" t="s">
        <v>824</v>
      </c>
      <c r="N7" t="s">
        <v>894</v>
      </c>
      <c r="O7" s="4">
        <v>1.5</v>
      </c>
      <c r="P7" s="4">
        <v>1</v>
      </c>
      <c r="Q7" s="9" t="s">
        <v>893</v>
      </c>
      <c r="S7" s="4">
        <v>0.9</v>
      </c>
      <c r="T7" s="4">
        <v>2</v>
      </c>
      <c r="V7" s="4" t="s">
        <v>938</v>
      </c>
      <c r="W7" s="4">
        <v>3</v>
      </c>
      <c r="X7" s="8" t="s">
        <v>939</v>
      </c>
      <c r="Y7" s="8">
        <f>IF(ISNUMBER(SEARCH(Z7,TalentFlaw)),5,0)</f>
        <v>0</v>
      </c>
      <c r="Z7" s="3" t="str">
        <f t="shared" si="0"/>
        <v>Acute Smell I;</v>
      </c>
      <c r="AB7" t="s">
        <v>1982</v>
      </c>
      <c r="AC7" t="s">
        <v>1952</v>
      </c>
      <c r="AD7" t="s">
        <v>816</v>
      </c>
      <c r="AF7" s="4">
        <v>6</v>
      </c>
      <c r="AG7" s="4">
        <v>-10</v>
      </c>
      <c r="AH7" s="4">
        <f t="shared" si="1"/>
        <v>6</v>
      </c>
      <c r="AI7" s="4"/>
      <c r="AJ7" s="4">
        <v>6</v>
      </c>
      <c r="AL7" s="4">
        <v>3228</v>
      </c>
      <c r="AM7" s="4">
        <v>5</v>
      </c>
      <c r="AN7" s="4">
        <v>3228</v>
      </c>
      <c r="AP7" s="4">
        <v>6</v>
      </c>
      <c r="AQ7" s="6" t="s">
        <v>2100</v>
      </c>
      <c r="AR7" s="4">
        <v>6</v>
      </c>
      <c r="AT7">
        <v>6</v>
      </c>
      <c r="AU7" s="62">
        <v>-22</v>
      </c>
      <c r="AW7">
        <v>-15</v>
      </c>
      <c r="AX7" s="4">
        <v>-10</v>
      </c>
      <c r="AZ7">
        <v>-15</v>
      </c>
      <c r="BA7" s="4">
        <v>-10</v>
      </c>
      <c r="BC7" s="4">
        <v>5</v>
      </c>
      <c r="BD7" s="3" t="s">
        <v>2159</v>
      </c>
      <c r="BE7" s="4">
        <v>40</v>
      </c>
      <c r="BF7" s="4">
        <v>0</v>
      </c>
      <c r="BG7" s="4">
        <v>0</v>
      </c>
      <c r="BH7" s="4">
        <v>0</v>
      </c>
      <c r="BI7" s="4">
        <v>7.0000000000000007E-2</v>
      </c>
      <c r="BJ7" s="4">
        <v>5</v>
      </c>
      <c r="BL7" s="4" t="s">
        <v>3098</v>
      </c>
      <c r="BP7" s="4" t="s">
        <v>895</v>
      </c>
      <c r="BQ7" s="4">
        <v>60</v>
      </c>
      <c r="BR7" s="4">
        <v>1200</v>
      </c>
      <c r="BS7" s="4">
        <f t="shared" si="2"/>
        <v>360</v>
      </c>
      <c r="BY7">
        <v>5</v>
      </c>
      <c r="BZ7" t="s">
        <v>3933</v>
      </c>
      <c r="CA7" t="s">
        <v>1989</v>
      </c>
      <c r="CC7">
        <v>5</v>
      </c>
      <c r="CD7" t="s">
        <v>3934</v>
      </c>
      <c r="CE7" t="s">
        <v>855</v>
      </c>
      <c r="CG7">
        <v>5</v>
      </c>
      <c r="CH7" t="s">
        <v>3935</v>
      </c>
      <c r="CI7" t="s">
        <v>1990</v>
      </c>
      <c r="CK7">
        <v>5</v>
      </c>
      <c r="CL7" t="s">
        <v>3936</v>
      </c>
      <c r="CM7" t="str">
        <f>VLOOKUP([3]Character_Sheet!$BF$6,[3]Other!$AU$2:$AW$7,3,FALSE)</f>
        <v>Chan.</v>
      </c>
    </row>
    <row r="8" spans="2:91" x14ac:dyDescent="0.25">
      <c r="D8" s="4">
        <v>30</v>
      </c>
      <c r="H8" s="3" t="s">
        <v>895</v>
      </c>
      <c r="I8" s="4" t="s">
        <v>824</v>
      </c>
      <c r="J8" s="8">
        <v>7</v>
      </c>
      <c r="L8" s="9" t="s">
        <v>896</v>
      </c>
      <c r="M8" s="10" t="s">
        <v>824</v>
      </c>
      <c r="N8" t="s">
        <v>897</v>
      </c>
      <c r="O8" s="4">
        <v>2</v>
      </c>
      <c r="P8" s="4">
        <v>2</v>
      </c>
      <c r="Q8" s="9" t="s">
        <v>896</v>
      </c>
      <c r="S8" s="4">
        <v>1</v>
      </c>
      <c r="T8" s="4">
        <v>0</v>
      </c>
      <c r="V8" s="4" t="s">
        <v>940</v>
      </c>
      <c r="W8" s="4">
        <v>6</v>
      </c>
      <c r="X8" s="8" t="s">
        <v>941</v>
      </c>
      <c r="Y8" s="8">
        <f>IF(ISNUMBER(SEARCH(Z8,TalentFlaw)),10,0)</f>
        <v>0</v>
      </c>
      <c r="Z8" s="3" t="str">
        <f t="shared" si="0"/>
        <v>Acute Smell II;</v>
      </c>
      <c r="AB8" t="s">
        <v>1983</v>
      </c>
      <c r="AC8" t="s">
        <v>1952</v>
      </c>
      <c r="AD8" t="s">
        <v>1985</v>
      </c>
      <c r="AF8" s="4">
        <v>7</v>
      </c>
      <c r="AG8" s="4">
        <v>-9</v>
      </c>
      <c r="AH8" s="4">
        <f t="shared" si="1"/>
        <v>7</v>
      </c>
      <c r="AI8" s="4"/>
      <c r="AJ8" s="4">
        <v>8</v>
      </c>
      <c r="AL8" s="4">
        <v>4076</v>
      </c>
      <c r="AM8" s="4">
        <v>6</v>
      </c>
      <c r="AN8" s="4">
        <v>4076</v>
      </c>
      <c r="AP8" s="4">
        <v>7</v>
      </c>
      <c r="AQ8" s="70" t="s">
        <v>2101</v>
      </c>
      <c r="AR8" s="4">
        <v>7</v>
      </c>
      <c r="AT8">
        <v>7</v>
      </c>
      <c r="AU8" s="62">
        <v>-21</v>
      </c>
      <c r="AW8">
        <v>-14</v>
      </c>
      <c r="AX8" s="4">
        <v>-9.5</v>
      </c>
      <c r="AZ8">
        <v>-14</v>
      </c>
      <c r="BA8" s="4">
        <v>-9.5</v>
      </c>
      <c r="BC8" s="4">
        <v>6</v>
      </c>
      <c r="BD8" s="3" t="s">
        <v>2336</v>
      </c>
      <c r="BE8" s="4">
        <v>491</v>
      </c>
      <c r="BF8" s="4">
        <v>0</v>
      </c>
      <c r="BG8" s="4">
        <v>0</v>
      </c>
      <c r="BH8" s="4">
        <v>0</v>
      </c>
      <c r="BI8" s="4">
        <v>0.01</v>
      </c>
      <c r="BJ8" s="4">
        <v>6</v>
      </c>
      <c r="BL8" s="4" t="s">
        <v>3099</v>
      </c>
      <c r="BP8" s="4" t="s">
        <v>895</v>
      </c>
      <c r="BQ8" s="4">
        <v>62</v>
      </c>
      <c r="BR8" s="4">
        <v>1200</v>
      </c>
      <c r="BS8" s="4">
        <f t="shared" si="2"/>
        <v>360</v>
      </c>
      <c r="BY8">
        <v>6</v>
      </c>
      <c r="BZ8" t="s">
        <v>3937</v>
      </c>
      <c r="CA8" t="s">
        <v>1989</v>
      </c>
      <c r="CC8">
        <v>6</v>
      </c>
      <c r="CD8" t="s">
        <v>3938</v>
      </c>
      <c r="CE8" t="s">
        <v>855</v>
      </c>
      <c r="CG8">
        <v>6</v>
      </c>
      <c r="CH8" t="s">
        <v>258</v>
      </c>
      <c r="CI8" t="s">
        <v>1990</v>
      </c>
      <c r="CK8">
        <v>6</v>
      </c>
      <c r="CL8" t="s">
        <v>3939</v>
      </c>
      <c r="CM8" t="str">
        <f>VLOOKUP([3]Character_Sheet!$BF$6,[3]Other!$AU$2:$AW$7,3,FALSE)</f>
        <v>Chan.</v>
      </c>
    </row>
    <row r="9" spans="2:91" x14ac:dyDescent="0.25">
      <c r="D9" s="4">
        <v>35</v>
      </c>
      <c r="H9" s="3" t="s">
        <v>898</v>
      </c>
      <c r="I9" s="4" t="s">
        <v>824</v>
      </c>
      <c r="J9" s="8">
        <v>8</v>
      </c>
      <c r="L9" s="9" t="s">
        <v>899</v>
      </c>
      <c r="M9" s="10" t="s">
        <v>824</v>
      </c>
      <c r="N9" t="s">
        <v>900</v>
      </c>
      <c r="O9" s="4">
        <v>3</v>
      </c>
      <c r="P9" s="4">
        <v>3</v>
      </c>
      <c r="Q9" s="9" t="s">
        <v>899</v>
      </c>
      <c r="S9" s="4">
        <v>1.2</v>
      </c>
      <c r="T9" s="4">
        <v>-2</v>
      </c>
      <c r="V9" s="4" t="s">
        <v>942</v>
      </c>
      <c r="W9" s="4">
        <v>9</v>
      </c>
      <c r="X9" s="8" t="s">
        <v>943</v>
      </c>
      <c r="Y9" s="8">
        <f>IF(ISNUMBER(SEARCH(Z9,TalentFlaw)),15,0)</f>
        <v>0</v>
      </c>
      <c r="Z9" s="3" t="str">
        <f t="shared" si="0"/>
        <v>Acute Smell III;</v>
      </c>
      <c r="AB9" t="s">
        <v>1957</v>
      </c>
      <c r="AC9" t="s">
        <v>1952</v>
      </c>
      <c r="AD9" t="s">
        <v>1986</v>
      </c>
      <c r="AF9" s="4">
        <v>8</v>
      </c>
      <c r="AG9" s="4">
        <v>-9</v>
      </c>
      <c r="AH9" s="4">
        <f t="shared" si="1"/>
        <v>8</v>
      </c>
      <c r="AI9" s="4"/>
      <c r="AJ9" s="4">
        <v>11</v>
      </c>
      <c r="AL9" s="4">
        <v>5004</v>
      </c>
      <c r="AM9" s="4">
        <v>7</v>
      </c>
      <c r="AN9" s="4">
        <v>5004</v>
      </c>
      <c r="AP9" s="4">
        <v>8</v>
      </c>
      <c r="AQ9" s="6" t="s">
        <v>2102</v>
      </c>
      <c r="AR9" s="4">
        <v>8</v>
      </c>
      <c r="AT9">
        <v>8</v>
      </c>
      <c r="AU9" s="62">
        <v>-21</v>
      </c>
      <c r="AW9">
        <v>-13</v>
      </c>
      <c r="AX9" s="4">
        <v>-9</v>
      </c>
      <c r="AZ9">
        <v>-13</v>
      </c>
      <c r="BA9" s="4">
        <v>-9</v>
      </c>
      <c r="BC9" s="4">
        <v>7</v>
      </c>
      <c r="BD9" s="3" t="s">
        <v>2501</v>
      </c>
      <c r="BE9" s="4">
        <v>490</v>
      </c>
      <c r="BF9" s="4">
        <v>5</v>
      </c>
      <c r="BG9" s="4">
        <v>-5</v>
      </c>
      <c r="BH9" s="4">
        <v>5</v>
      </c>
      <c r="BI9" s="4">
        <v>0.1</v>
      </c>
      <c r="BJ9" s="4">
        <v>7</v>
      </c>
      <c r="BL9" s="4" t="s">
        <v>3100</v>
      </c>
      <c r="BP9" s="4" t="s">
        <v>892</v>
      </c>
      <c r="BQ9" s="4">
        <v>58</v>
      </c>
      <c r="BR9" s="4">
        <v>1000</v>
      </c>
      <c r="BS9" s="4">
        <f t="shared" si="2"/>
        <v>300</v>
      </c>
      <c r="BY9">
        <v>7</v>
      </c>
      <c r="BZ9" t="s">
        <v>3940</v>
      </c>
      <c r="CA9" t="s">
        <v>1989</v>
      </c>
      <c r="CC9">
        <v>7</v>
      </c>
      <c r="CD9" t="s">
        <v>3941</v>
      </c>
      <c r="CE9" t="s">
        <v>855</v>
      </c>
      <c r="CG9">
        <v>7</v>
      </c>
      <c r="CH9" t="s">
        <v>3942</v>
      </c>
      <c r="CI9" t="s">
        <v>1990</v>
      </c>
    </row>
    <row r="10" spans="2:91" x14ac:dyDescent="0.25">
      <c r="D10" s="4">
        <v>40</v>
      </c>
      <c r="H10" s="3" t="s">
        <v>901</v>
      </c>
      <c r="I10" s="4" t="s">
        <v>824</v>
      </c>
      <c r="J10" s="8">
        <v>9</v>
      </c>
      <c r="L10" s="9" t="s">
        <v>902</v>
      </c>
      <c r="M10" s="10" t="s">
        <v>824</v>
      </c>
      <c r="N10" t="s">
        <v>903</v>
      </c>
      <c r="O10" s="4">
        <v>4</v>
      </c>
      <c r="P10" s="4">
        <v>4</v>
      </c>
      <c r="Q10" s="9" t="s">
        <v>902</v>
      </c>
      <c r="S10" s="4">
        <v>1.5</v>
      </c>
      <c r="T10" s="4">
        <v>-5</v>
      </c>
      <c r="V10" s="4" t="s">
        <v>944</v>
      </c>
      <c r="W10" s="4">
        <v>12</v>
      </c>
      <c r="X10" s="8" t="s">
        <v>945</v>
      </c>
      <c r="Y10" s="8">
        <f>IF(ISNUMBER(SEARCH(Z10,TalentFlaw)),20,0)</f>
        <v>0</v>
      </c>
      <c r="Z10" s="3" t="str">
        <f t="shared" si="0"/>
        <v>Acute Smell IV;</v>
      </c>
      <c r="AB10" t="s">
        <v>2037</v>
      </c>
      <c r="AC10" t="s">
        <v>1952</v>
      </c>
      <c r="AD10" t="s">
        <v>1987</v>
      </c>
      <c r="AF10" s="4">
        <v>9</v>
      </c>
      <c r="AG10" s="4">
        <v>-8</v>
      </c>
      <c r="AH10" s="4">
        <f t="shared" si="1"/>
        <v>9</v>
      </c>
      <c r="AI10" s="4"/>
      <c r="AJ10" s="4">
        <v>14</v>
      </c>
      <c r="AL10" s="4">
        <v>6018</v>
      </c>
      <c r="AM10" s="4">
        <v>8</v>
      </c>
      <c r="AN10" s="4">
        <v>6018</v>
      </c>
      <c r="AP10" s="4">
        <v>9</v>
      </c>
      <c r="AQ10" s="6" t="s">
        <v>2103</v>
      </c>
      <c r="AR10" s="4">
        <v>9</v>
      </c>
      <c r="AT10">
        <v>9</v>
      </c>
      <c r="AU10" s="62">
        <v>-21</v>
      </c>
      <c r="AW10">
        <v>-12</v>
      </c>
      <c r="AX10" s="4">
        <v>-8.5</v>
      </c>
      <c r="AZ10">
        <v>-12</v>
      </c>
      <c r="BA10" s="4">
        <v>-8.5</v>
      </c>
      <c r="BC10" s="4">
        <v>8</v>
      </c>
      <c r="BD10" s="3" t="s">
        <v>2502</v>
      </c>
      <c r="BE10" s="4">
        <v>489</v>
      </c>
      <c r="BF10" s="4">
        <v>10</v>
      </c>
      <c r="BG10" s="4">
        <v>-10</v>
      </c>
      <c r="BH10" s="4">
        <v>10</v>
      </c>
      <c r="BI10" s="4">
        <v>0.5</v>
      </c>
      <c r="BJ10" s="4">
        <v>8</v>
      </c>
      <c r="BL10" s="4" t="s">
        <v>3101</v>
      </c>
      <c r="BP10" s="4" t="s">
        <v>895</v>
      </c>
      <c r="BQ10" s="4">
        <v>68</v>
      </c>
      <c r="BR10" s="4">
        <v>1850</v>
      </c>
      <c r="BS10" s="4">
        <f t="shared" si="2"/>
        <v>555</v>
      </c>
      <c r="BY10">
        <v>8</v>
      </c>
      <c r="BZ10" t="s">
        <v>3943</v>
      </c>
      <c r="CA10" t="s">
        <v>1989</v>
      </c>
      <c r="CC10">
        <v>8</v>
      </c>
      <c r="CD10" t="s">
        <v>3944</v>
      </c>
      <c r="CE10" t="s">
        <v>855</v>
      </c>
      <c r="CG10">
        <v>8</v>
      </c>
      <c r="CH10" t="s">
        <v>3945</v>
      </c>
      <c r="CI10" t="s">
        <v>1990</v>
      </c>
      <c r="CL10" s="120" t="s">
        <v>3946</v>
      </c>
    </row>
    <row r="11" spans="2:91" x14ac:dyDescent="0.25">
      <c r="H11" s="3" t="s">
        <v>904</v>
      </c>
      <c r="I11" s="4" t="s">
        <v>824</v>
      </c>
      <c r="J11" s="8">
        <v>10</v>
      </c>
      <c r="L11" s="9" t="s">
        <v>905</v>
      </c>
      <c r="M11" s="10" t="s">
        <v>824</v>
      </c>
      <c r="N11" t="s">
        <v>906</v>
      </c>
      <c r="O11" s="4">
        <v>5</v>
      </c>
      <c r="P11" s="4">
        <v>5</v>
      </c>
      <c r="Q11" s="9" t="s">
        <v>905</v>
      </c>
      <c r="S11" s="4">
        <v>2</v>
      </c>
      <c r="T11" s="4">
        <v>-10</v>
      </c>
      <c r="V11" s="4" t="s">
        <v>946</v>
      </c>
      <c r="W11" s="4">
        <v>15</v>
      </c>
      <c r="X11" s="8" t="s">
        <v>947</v>
      </c>
      <c r="Y11" s="8">
        <f>IF(ISNUMBER(SEARCH(Z11,TalentFlaw)),25,0)</f>
        <v>0</v>
      </c>
      <c r="Z11" s="3" t="str">
        <f t="shared" si="0"/>
        <v>Acute Smell V;</v>
      </c>
      <c r="AB11" t="s">
        <v>2038</v>
      </c>
      <c r="AC11" t="s">
        <v>1952</v>
      </c>
      <c r="AD11" t="s">
        <v>1988</v>
      </c>
      <c r="AF11" s="4">
        <v>10</v>
      </c>
      <c r="AG11" s="4">
        <v>-8</v>
      </c>
      <c r="AH11" s="4">
        <f t="shared" si="1"/>
        <v>10</v>
      </c>
      <c r="AI11" s="4"/>
      <c r="AJ11" s="4">
        <v>17</v>
      </c>
      <c r="AL11" s="4">
        <v>7127</v>
      </c>
      <c r="AM11" s="4">
        <v>9</v>
      </c>
      <c r="AN11" s="4">
        <v>7127</v>
      </c>
      <c r="AP11" s="4">
        <v>10</v>
      </c>
      <c r="AQ11" s="69" t="s">
        <v>2104</v>
      </c>
      <c r="AR11" s="4">
        <v>10</v>
      </c>
      <c r="AT11">
        <v>10</v>
      </c>
      <c r="AU11" s="62">
        <v>-20</v>
      </c>
      <c r="AW11">
        <v>-11</v>
      </c>
      <c r="AX11" s="4">
        <v>-8</v>
      </c>
      <c r="AZ11">
        <v>-11</v>
      </c>
      <c r="BA11" s="4">
        <v>-8</v>
      </c>
      <c r="BC11" s="4">
        <v>9</v>
      </c>
      <c r="BD11" s="3" t="s">
        <v>2503</v>
      </c>
      <c r="BE11" s="4">
        <v>488</v>
      </c>
      <c r="BF11" s="4">
        <v>15</v>
      </c>
      <c r="BG11" s="4">
        <v>-20</v>
      </c>
      <c r="BH11" s="4">
        <v>15</v>
      </c>
      <c r="BI11" s="4">
        <v>1</v>
      </c>
      <c r="BJ11" s="4">
        <v>9</v>
      </c>
      <c r="BL11" s="4" t="s">
        <v>3156</v>
      </c>
      <c r="BP11" s="4" t="s">
        <v>895</v>
      </c>
      <c r="BQ11" s="4">
        <v>64</v>
      </c>
      <c r="BR11" s="4">
        <v>1700</v>
      </c>
      <c r="BS11" s="4">
        <f t="shared" si="2"/>
        <v>510</v>
      </c>
      <c r="BY11">
        <v>9</v>
      </c>
      <c r="BZ11" t="s">
        <v>3947</v>
      </c>
      <c r="CA11" t="s">
        <v>1989</v>
      </c>
      <c r="CC11">
        <v>9</v>
      </c>
      <c r="CD11" t="s">
        <v>3948</v>
      </c>
      <c r="CE11" t="s">
        <v>855</v>
      </c>
      <c r="CG11">
        <v>9</v>
      </c>
      <c r="CH11" t="s">
        <v>3949</v>
      </c>
      <c r="CI11" t="s">
        <v>1990</v>
      </c>
      <c r="CK11">
        <v>1</v>
      </c>
      <c r="CL11" t="s">
        <v>3950</v>
      </c>
      <c r="CM11" t="str">
        <f>VLOOKUP([3]Character_Sheet!$BF$6,[3]Other!$AU$2:$AW$7,3,FALSE)</f>
        <v>Chan.</v>
      </c>
    </row>
    <row r="12" spans="2:91" x14ac:dyDescent="0.25">
      <c r="H12" s="3" t="s">
        <v>907</v>
      </c>
      <c r="I12" s="4" t="s">
        <v>824</v>
      </c>
      <c r="J12" s="8">
        <v>11</v>
      </c>
      <c r="L12" s="9" t="s">
        <v>908</v>
      </c>
      <c r="M12" s="10" t="s">
        <v>824</v>
      </c>
      <c r="N12" t="s">
        <v>909</v>
      </c>
      <c r="O12" s="4">
        <v>6</v>
      </c>
      <c r="P12" s="4">
        <v>6</v>
      </c>
      <c r="Q12" s="9" t="s">
        <v>908</v>
      </c>
      <c r="S12" s="4">
        <v>3</v>
      </c>
      <c r="T12" s="4">
        <v>-20</v>
      </c>
      <c r="V12" s="4" t="s">
        <v>948</v>
      </c>
      <c r="W12" s="4">
        <v>2</v>
      </c>
      <c r="X12" s="8" t="s">
        <v>949</v>
      </c>
      <c r="Y12" s="8">
        <f>IF(ISNUMBER(SEARCH(Z12,TalentFlaw)),5,0)</f>
        <v>0</v>
      </c>
      <c r="Z12" s="3" t="str">
        <f t="shared" si="0"/>
        <v>Acute Taste I;</v>
      </c>
      <c r="AB12" t="s">
        <v>1984</v>
      </c>
      <c r="AC12" t="s">
        <v>1952</v>
      </c>
      <c r="AF12" s="4">
        <v>11</v>
      </c>
      <c r="AG12" s="4">
        <v>-8</v>
      </c>
      <c r="AH12" s="4">
        <f t="shared" si="1"/>
        <v>11</v>
      </c>
      <c r="AI12" s="4"/>
      <c r="AJ12" s="4">
        <v>23</v>
      </c>
      <c r="AL12" s="4">
        <v>8340</v>
      </c>
      <c r="AM12" s="4">
        <v>10</v>
      </c>
      <c r="AN12" s="4">
        <v>8340</v>
      </c>
      <c r="AP12" s="4">
        <v>11</v>
      </c>
      <c r="AQ12" s="71" t="s">
        <v>2105</v>
      </c>
      <c r="AR12" s="4">
        <v>11</v>
      </c>
      <c r="AT12">
        <v>11</v>
      </c>
      <c r="AU12" s="62">
        <v>-20</v>
      </c>
      <c r="AW12">
        <v>-10</v>
      </c>
      <c r="AX12" s="4">
        <v>-7.5</v>
      </c>
      <c r="AZ12">
        <v>-10</v>
      </c>
      <c r="BA12" s="4">
        <v>-7.5</v>
      </c>
      <c r="BC12" s="4">
        <v>10</v>
      </c>
      <c r="BD12" s="3" t="s">
        <v>2504</v>
      </c>
      <c r="BE12" s="4">
        <v>487</v>
      </c>
      <c r="BF12" s="4">
        <v>20</v>
      </c>
      <c r="BG12" s="4">
        <v>-30</v>
      </c>
      <c r="BH12" s="4">
        <v>20</v>
      </c>
      <c r="BI12" s="4">
        <v>5</v>
      </c>
      <c r="BJ12" s="4">
        <v>10</v>
      </c>
      <c r="BL12" s="4" t="s">
        <v>3155</v>
      </c>
      <c r="BP12" s="4" t="s">
        <v>895</v>
      </c>
      <c r="BQ12" s="4">
        <v>66</v>
      </c>
      <c r="BR12" s="4">
        <v>2000</v>
      </c>
      <c r="BS12" s="4">
        <f t="shared" si="2"/>
        <v>600</v>
      </c>
      <c r="BY12">
        <v>10</v>
      </c>
      <c r="BZ12" t="s">
        <v>3951</v>
      </c>
      <c r="CA12" t="s">
        <v>1989</v>
      </c>
      <c r="CC12">
        <v>10</v>
      </c>
      <c r="CD12" t="s">
        <v>3952</v>
      </c>
      <c r="CE12" t="s">
        <v>855</v>
      </c>
      <c r="CG12">
        <v>10</v>
      </c>
      <c r="CH12" t="s">
        <v>3953</v>
      </c>
      <c r="CI12" t="s">
        <v>1990</v>
      </c>
      <c r="CK12">
        <v>2</v>
      </c>
      <c r="CL12" t="s">
        <v>3954</v>
      </c>
      <c r="CM12" t="str">
        <f>VLOOKUP([3]Character_Sheet!$BF$6,[3]Other!$AU$2:$AW$7,3,FALSE)</f>
        <v>Chan.</v>
      </c>
    </row>
    <row r="13" spans="2:91" x14ac:dyDescent="0.25">
      <c r="H13" s="3" t="s">
        <v>910</v>
      </c>
      <c r="I13" s="4" t="s">
        <v>824</v>
      </c>
      <c r="J13" s="8">
        <v>12</v>
      </c>
      <c r="L13" s="9" t="s">
        <v>911</v>
      </c>
      <c r="M13" s="10" t="s">
        <v>824</v>
      </c>
      <c r="N13" t="s">
        <v>912</v>
      </c>
      <c r="O13" s="4">
        <v>7</v>
      </c>
      <c r="P13" s="4">
        <v>7</v>
      </c>
      <c r="Q13" s="9" t="s">
        <v>911</v>
      </c>
      <c r="V13" s="4" t="s">
        <v>950</v>
      </c>
      <c r="W13" s="4">
        <v>4</v>
      </c>
      <c r="X13" s="8" t="s">
        <v>951</v>
      </c>
      <c r="Y13" s="8">
        <f>IF(ISNUMBER(SEARCH(Z13,TalentFlaw)),10,0)</f>
        <v>0</v>
      </c>
      <c r="Z13" s="3" t="str">
        <f t="shared" si="0"/>
        <v>Acute Taste II;</v>
      </c>
      <c r="AB13" t="s">
        <v>1956</v>
      </c>
      <c r="AC13" t="s">
        <v>1952</v>
      </c>
      <c r="AD13" t="str">
        <f>VLOOKUP('Character Creation'!Z13,Charts!$AB$2:$AC$37,2,FALSE)</f>
        <v>Essence</v>
      </c>
      <c r="AF13" s="4">
        <v>12</v>
      </c>
      <c r="AG13" s="4">
        <v>-7</v>
      </c>
      <c r="AH13" s="4">
        <f t="shared" si="1"/>
        <v>12</v>
      </c>
      <c r="AI13" s="4"/>
      <c r="AJ13" s="4">
        <v>29</v>
      </c>
      <c r="AL13" s="4">
        <v>9666</v>
      </c>
      <c r="AM13" s="4">
        <v>11</v>
      </c>
      <c r="AN13" s="4">
        <v>9666</v>
      </c>
      <c r="AP13" s="4">
        <v>12</v>
      </c>
      <c r="AQ13" s="6" t="s">
        <v>2106</v>
      </c>
      <c r="AR13" s="4">
        <v>12</v>
      </c>
      <c r="AT13">
        <v>12</v>
      </c>
      <c r="AU13" s="62">
        <v>-20</v>
      </c>
      <c r="AW13">
        <v>-9</v>
      </c>
      <c r="AX13" s="4">
        <v>-7</v>
      </c>
      <c r="AZ13">
        <v>-9</v>
      </c>
      <c r="BA13" s="4">
        <v>-7</v>
      </c>
      <c r="BC13" s="4">
        <v>11</v>
      </c>
      <c r="BD13" s="3" t="s">
        <v>2505</v>
      </c>
      <c r="BE13" s="4">
        <v>1204</v>
      </c>
      <c r="BF13" s="4">
        <v>-30</v>
      </c>
      <c r="BG13" s="4">
        <v>0</v>
      </c>
      <c r="BH13" s="4">
        <v>-30</v>
      </c>
      <c r="BI13" s="4">
        <v>640</v>
      </c>
      <c r="BJ13" s="4">
        <v>11</v>
      </c>
      <c r="CK13">
        <v>3</v>
      </c>
      <c r="CL13" t="s">
        <v>3955</v>
      </c>
      <c r="CM13" t="str">
        <f>VLOOKUP([3]Character_Sheet!$BF$6,[3]Other!$AU$2:$AW$7,3,FALSE)</f>
        <v>Chan.</v>
      </c>
    </row>
    <row r="14" spans="2:91" x14ac:dyDescent="0.25">
      <c r="H14" s="3" t="s">
        <v>913</v>
      </c>
      <c r="I14" s="4" t="s">
        <v>824</v>
      </c>
      <c r="J14" s="8">
        <v>13</v>
      </c>
      <c r="L14" s="9" t="s">
        <v>914</v>
      </c>
      <c r="M14" s="10" t="s">
        <v>824</v>
      </c>
      <c r="N14" t="s">
        <v>915</v>
      </c>
      <c r="O14" s="4">
        <v>8</v>
      </c>
      <c r="P14" s="4">
        <v>8</v>
      </c>
      <c r="Q14" s="9" t="s">
        <v>914</v>
      </c>
      <c r="V14" s="4" t="s">
        <v>952</v>
      </c>
      <c r="W14" s="4">
        <v>6</v>
      </c>
      <c r="X14" s="8" t="s">
        <v>953</v>
      </c>
      <c r="Y14" s="8">
        <f>IF(ISNUMBER(SEARCH(Z14,TalentFlaw)),15,0)</f>
        <v>0</v>
      </c>
      <c r="Z14" s="3" t="str">
        <f t="shared" si="0"/>
        <v>Acute Taste III;</v>
      </c>
      <c r="AB14" t="s">
        <v>1958</v>
      </c>
      <c r="AC14" t="s">
        <v>1952</v>
      </c>
      <c r="AF14" s="4">
        <v>13</v>
      </c>
      <c r="AG14" s="4">
        <v>-7</v>
      </c>
      <c r="AH14" s="4">
        <f t="shared" si="1"/>
        <v>13</v>
      </c>
      <c r="AI14" s="4"/>
      <c r="AJ14" s="4">
        <v>35</v>
      </c>
      <c r="AL14" s="4">
        <v>11116</v>
      </c>
      <c r="AM14" s="4">
        <v>12</v>
      </c>
      <c r="AN14" s="4">
        <v>11116</v>
      </c>
      <c r="AP14" s="4">
        <v>13</v>
      </c>
      <c r="AQ14" s="71" t="s">
        <v>2094</v>
      </c>
      <c r="AR14" s="4">
        <v>13</v>
      </c>
      <c r="AT14">
        <v>13</v>
      </c>
      <c r="AU14" s="62">
        <v>-19</v>
      </c>
      <c r="AW14">
        <v>-8</v>
      </c>
      <c r="AX14" s="4">
        <v>-6.5</v>
      </c>
      <c r="AZ14">
        <v>-8</v>
      </c>
      <c r="BA14" s="4">
        <v>-6.5</v>
      </c>
      <c r="BC14" s="4">
        <v>12</v>
      </c>
      <c r="BD14" s="3" t="s">
        <v>2506</v>
      </c>
      <c r="BE14" s="4">
        <v>655</v>
      </c>
      <c r="BF14" s="4">
        <v>-25</v>
      </c>
      <c r="BG14" s="4">
        <v>0</v>
      </c>
      <c r="BH14" s="4">
        <v>-20</v>
      </c>
      <c r="BI14" s="4">
        <v>64</v>
      </c>
      <c r="BJ14" s="4">
        <v>12</v>
      </c>
      <c r="BZ14" s="120" t="s">
        <v>3956</v>
      </c>
      <c r="CD14" s="120" t="s">
        <v>3957</v>
      </c>
      <c r="CE14" s="120"/>
      <c r="CH14" s="120" t="s">
        <v>3958</v>
      </c>
      <c r="CI14" s="120"/>
      <c r="CK14">
        <v>4</v>
      </c>
      <c r="CL14" t="s">
        <v>3959</v>
      </c>
      <c r="CM14" t="str">
        <f>VLOOKUP([3]Character_Sheet!$BF$6,[3]Other!$AU$2:$AW$7,3,FALSE)</f>
        <v>Chan.</v>
      </c>
    </row>
    <row r="15" spans="2:91" x14ac:dyDescent="0.25">
      <c r="V15" s="4" t="s">
        <v>954</v>
      </c>
      <c r="W15" s="4">
        <v>8</v>
      </c>
      <c r="X15" s="8" t="s">
        <v>955</v>
      </c>
      <c r="Y15" s="8">
        <f>IF(ISNUMBER(SEARCH(Z15,TalentFlaw)),20,0)</f>
        <v>0</v>
      </c>
      <c r="Z15" s="3" t="str">
        <f t="shared" si="0"/>
        <v>Acute Taste IV;</v>
      </c>
      <c r="AB15" t="s">
        <v>578</v>
      </c>
      <c r="AC15" t="s">
        <v>1952</v>
      </c>
      <c r="AF15" s="4">
        <v>14</v>
      </c>
      <c r="AG15" s="4">
        <v>-7</v>
      </c>
      <c r="AH15" s="4">
        <f t="shared" si="1"/>
        <v>14</v>
      </c>
      <c r="AI15" s="4"/>
      <c r="AJ15" s="4">
        <v>41</v>
      </c>
      <c r="AL15" s="4">
        <v>12702</v>
      </c>
      <c r="AM15" s="4">
        <v>13</v>
      </c>
      <c r="AN15" s="4">
        <v>12702</v>
      </c>
      <c r="AT15">
        <v>14</v>
      </c>
      <c r="AU15" s="62">
        <v>-19</v>
      </c>
      <c r="AW15">
        <v>-7</v>
      </c>
      <c r="AX15" s="4">
        <v>-6</v>
      </c>
      <c r="AZ15">
        <v>-7</v>
      </c>
      <c r="BA15" s="4">
        <v>-6</v>
      </c>
      <c r="BC15" s="4">
        <v>13</v>
      </c>
      <c r="BD15" s="3" t="s">
        <v>2908</v>
      </c>
      <c r="BE15" s="4">
        <v>454</v>
      </c>
      <c r="BF15" s="4">
        <v>-30</v>
      </c>
      <c r="BG15" s="4">
        <v>0</v>
      </c>
      <c r="BH15" s="4">
        <v>-35</v>
      </c>
      <c r="BI15" s="4">
        <v>0.52</v>
      </c>
      <c r="BJ15" s="4">
        <v>13</v>
      </c>
      <c r="BY15">
        <v>1</v>
      </c>
      <c r="BZ15" t="s">
        <v>3960</v>
      </c>
      <c r="CA15" t="s">
        <v>1989</v>
      </c>
      <c r="CC15">
        <v>1</v>
      </c>
      <c r="CD15" t="s">
        <v>3961</v>
      </c>
      <c r="CE15" t="s">
        <v>855</v>
      </c>
      <c r="CG15">
        <v>1</v>
      </c>
      <c r="CH15" t="s">
        <v>3962</v>
      </c>
      <c r="CI15" t="s">
        <v>1990</v>
      </c>
      <c r="CK15">
        <v>5</v>
      </c>
      <c r="CL15" t="s">
        <v>3963</v>
      </c>
      <c r="CM15" t="str">
        <f>VLOOKUP([3]Character_Sheet!$BF$6,[3]Other!$AU$2:$AW$7,3,FALSE)</f>
        <v>Chan.</v>
      </c>
    </row>
    <row r="16" spans="2:91" x14ac:dyDescent="0.25">
      <c r="V16" s="4" t="s">
        <v>956</v>
      </c>
      <c r="W16" s="4">
        <v>10</v>
      </c>
      <c r="X16" s="8" t="s">
        <v>957</v>
      </c>
      <c r="Y16" s="8">
        <f>IF(ISNUMBER(SEARCH(Z16,TalentFlaw)),25,0)</f>
        <v>0</v>
      </c>
      <c r="Z16" s="3" t="str">
        <f t="shared" si="0"/>
        <v>Acute Taste V;</v>
      </c>
      <c r="AB16" t="s">
        <v>2039</v>
      </c>
      <c r="AC16" t="s">
        <v>1952</v>
      </c>
      <c r="AF16" s="4">
        <v>15</v>
      </c>
      <c r="AG16" s="4">
        <v>-6</v>
      </c>
      <c r="AH16" s="4">
        <f t="shared" si="1"/>
        <v>15</v>
      </c>
      <c r="AI16" s="4"/>
      <c r="AJ16" s="4">
        <v>47</v>
      </c>
      <c r="AL16" s="4">
        <v>14436</v>
      </c>
      <c r="AM16" s="4">
        <v>14</v>
      </c>
      <c r="AN16" s="4">
        <v>14436</v>
      </c>
      <c r="AT16">
        <v>15</v>
      </c>
      <c r="AU16" s="62">
        <v>-19</v>
      </c>
      <c r="AW16">
        <v>-6</v>
      </c>
      <c r="AX16" s="4">
        <v>-5.5</v>
      </c>
      <c r="AZ16">
        <v>-6</v>
      </c>
      <c r="BA16" s="4">
        <v>-5.5</v>
      </c>
      <c r="BC16" s="4">
        <v>14</v>
      </c>
      <c r="BD16" s="3" t="s">
        <v>2533</v>
      </c>
      <c r="BE16" s="4">
        <v>708</v>
      </c>
      <c r="BF16" s="4">
        <v>-5</v>
      </c>
      <c r="BG16" s="4">
        <v>0</v>
      </c>
      <c r="BH16" s="4">
        <v>-5</v>
      </c>
      <c r="BI16" s="4">
        <v>0.45</v>
      </c>
      <c r="BJ16" s="4">
        <v>14</v>
      </c>
      <c r="BY16">
        <v>2</v>
      </c>
      <c r="BZ16" t="s">
        <v>3964</v>
      </c>
      <c r="CA16" t="s">
        <v>1989</v>
      </c>
      <c r="CC16">
        <v>2</v>
      </c>
      <c r="CD16" t="s">
        <v>3965</v>
      </c>
      <c r="CE16" t="s">
        <v>855</v>
      </c>
      <c r="CG16">
        <v>2</v>
      </c>
      <c r="CH16" t="s">
        <v>3966</v>
      </c>
      <c r="CI16" t="s">
        <v>1990</v>
      </c>
      <c r="CK16">
        <v>6</v>
      </c>
      <c r="CL16" t="s">
        <v>3967</v>
      </c>
      <c r="CM16" t="str">
        <f>VLOOKUP([3]Character_Sheet!$BF$6,[3]Other!$AU$2:$AW$7,3,FALSE)</f>
        <v>Chan.</v>
      </c>
    </row>
    <row r="17" spans="22:91" x14ac:dyDescent="0.25">
      <c r="V17" s="4" t="s">
        <v>958</v>
      </c>
      <c r="W17" s="4">
        <v>1</v>
      </c>
      <c r="X17" s="8" t="s">
        <v>959</v>
      </c>
      <c r="Y17" s="8">
        <f>IF(ISNUMBER(SEARCH(Z17,TalentFlaw)),5,0)</f>
        <v>0</v>
      </c>
      <c r="Z17" s="3" t="str">
        <f t="shared" si="0"/>
        <v>Acute Touch I;</v>
      </c>
      <c r="AB17" t="s">
        <v>1955</v>
      </c>
      <c r="AC17" t="s">
        <v>1952</v>
      </c>
      <c r="AF17" s="4">
        <v>16</v>
      </c>
      <c r="AG17" s="4">
        <v>-6</v>
      </c>
      <c r="AH17" s="4">
        <f t="shared" si="1"/>
        <v>16</v>
      </c>
      <c r="AI17" s="4"/>
      <c r="AJ17" s="4">
        <v>53</v>
      </c>
      <c r="AL17" s="4">
        <v>16332</v>
      </c>
      <c r="AM17" s="4">
        <v>15</v>
      </c>
      <c r="AN17" s="4">
        <v>16332</v>
      </c>
      <c r="AT17">
        <v>16</v>
      </c>
      <c r="AU17" s="62">
        <v>-18</v>
      </c>
      <c r="AW17">
        <v>-5</v>
      </c>
      <c r="AX17" s="4">
        <v>-5</v>
      </c>
      <c r="AZ17">
        <v>-5</v>
      </c>
      <c r="BA17" s="4">
        <v>-5</v>
      </c>
      <c r="BC17" s="4">
        <v>15</v>
      </c>
      <c r="BD17" s="3" t="s">
        <v>2507</v>
      </c>
      <c r="BE17" s="4">
        <v>557</v>
      </c>
      <c r="BF17" s="4">
        <v>-15</v>
      </c>
      <c r="BG17" s="4">
        <v>0</v>
      </c>
      <c r="BH17" s="4">
        <v>-10</v>
      </c>
      <c r="BI17" s="4">
        <v>0.64</v>
      </c>
      <c r="BJ17" s="4">
        <v>15</v>
      </c>
      <c r="BY17">
        <v>3</v>
      </c>
      <c r="BZ17" t="s">
        <v>3968</v>
      </c>
      <c r="CA17" t="s">
        <v>1989</v>
      </c>
      <c r="CC17">
        <v>3</v>
      </c>
      <c r="CD17" t="s">
        <v>3969</v>
      </c>
      <c r="CE17" t="s">
        <v>855</v>
      </c>
      <c r="CG17">
        <v>3</v>
      </c>
      <c r="CH17" t="s">
        <v>3970</v>
      </c>
      <c r="CI17" t="s">
        <v>1990</v>
      </c>
    </row>
    <row r="18" spans="22:91" x14ac:dyDescent="0.25">
      <c r="V18" s="4" t="s">
        <v>960</v>
      </c>
      <c r="W18" s="4">
        <v>2</v>
      </c>
      <c r="X18" s="8" t="s">
        <v>961</v>
      </c>
      <c r="Y18" s="8">
        <f>IF(ISNUMBER(SEARCH(Z18,TalentFlaw)),10,0)</f>
        <v>0</v>
      </c>
      <c r="Z18" s="3" t="str">
        <f t="shared" si="0"/>
        <v>Acute Touch II;</v>
      </c>
      <c r="AB18" t="s">
        <v>1954</v>
      </c>
      <c r="AC18" t="s">
        <v>1952</v>
      </c>
      <c r="AF18" s="4">
        <v>17</v>
      </c>
      <c r="AG18" s="4">
        <v>-6</v>
      </c>
      <c r="AH18" s="4">
        <f t="shared" si="1"/>
        <v>17</v>
      </c>
      <c r="AI18" s="4"/>
      <c r="AJ18" s="4">
        <v>59</v>
      </c>
      <c r="AL18" s="4">
        <v>18405</v>
      </c>
      <c r="AM18" s="4">
        <v>16</v>
      </c>
      <c r="AN18" s="4">
        <v>18405</v>
      </c>
      <c r="AT18">
        <v>17</v>
      </c>
      <c r="AU18" s="62">
        <v>-18</v>
      </c>
      <c r="AW18">
        <v>-4</v>
      </c>
      <c r="AX18" s="4">
        <v>-4</v>
      </c>
      <c r="AZ18">
        <v>-4</v>
      </c>
      <c r="BA18" s="4">
        <v>-4</v>
      </c>
      <c r="BC18" s="4">
        <v>16</v>
      </c>
      <c r="BD18" s="3" t="s">
        <v>3160</v>
      </c>
      <c r="BE18" s="4">
        <v>540</v>
      </c>
      <c r="BF18" s="4">
        <v>-5</v>
      </c>
      <c r="BG18" s="4">
        <v>0</v>
      </c>
      <c r="BH18" s="4">
        <v>-5</v>
      </c>
      <c r="BI18" s="4">
        <v>0.35</v>
      </c>
      <c r="BJ18" s="4">
        <v>16</v>
      </c>
      <c r="BY18">
        <v>4</v>
      </c>
      <c r="BZ18" t="s">
        <v>3971</v>
      </c>
      <c r="CA18" t="s">
        <v>1989</v>
      </c>
      <c r="CC18">
        <v>4</v>
      </c>
      <c r="CD18" t="s">
        <v>3972</v>
      </c>
      <c r="CE18" t="s">
        <v>855</v>
      </c>
      <c r="CG18">
        <v>4</v>
      </c>
      <c r="CH18" t="s">
        <v>3973</v>
      </c>
      <c r="CI18" t="s">
        <v>1990</v>
      </c>
      <c r="CL18" s="120" t="s">
        <v>3974</v>
      </c>
    </row>
    <row r="19" spans="22:91" x14ac:dyDescent="0.25">
      <c r="V19" s="4" t="s">
        <v>962</v>
      </c>
      <c r="W19" s="4">
        <v>3</v>
      </c>
      <c r="X19" s="8" t="s">
        <v>963</v>
      </c>
      <c r="Y19" s="8">
        <f>IF(ISNUMBER(SEARCH(Z19,TalentFlaw)),15,0)</f>
        <v>0</v>
      </c>
      <c r="Z19" s="3" t="str">
        <f t="shared" si="0"/>
        <v>Acute Touch III;</v>
      </c>
      <c r="AB19" t="s">
        <v>1960</v>
      </c>
      <c r="AC19" t="s">
        <v>407</v>
      </c>
      <c r="AF19" s="4">
        <v>18</v>
      </c>
      <c r="AG19" s="4">
        <v>-5</v>
      </c>
      <c r="AH19" s="4">
        <f t="shared" si="1"/>
        <v>18</v>
      </c>
      <c r="AI19" s="4"/>
      <c r="AJ19" s="4">
        <v>65</v>
      </c>
      <c r="AL19" s="4">
        <v>20672</v>
      </c>
      <c r="AM19" s="4">
        <v>17</v>
      </c>
      <c r="AN19" s="4">
        <v>20672</v>
      </c>
      <c r="AT19">
        <v>18</v>
      </c>
      <c r="AU19" s="62">
        <v>-18</v>
      </c>
      <c r="AW19">
        <v>-3</v>
      </c>
      <c r="AX19" s="4">
        <v>-3</v>
      </c>
      <c r="AZ19">
        <v>-3</v>
      </c>
      <c r="BA19" s="4">
        <v>-3</v>
      </c>
      <c r="BC19" s="4">
        <v>17</v>
      </c>
      <c r="BD19" s="3" t="s">
        <v>2496</v>
      </c>
      <c r="BE19" s="4">
        <v>520</v>
      </c>
      <c r="BF19" s="4">
        <v>-5</v>
      </c>
      <c r="BG19" s="4">
        <v>-5</v>
      </c>
      <c r="BH19" s="4">
        <v>-5</v>
      </c>
      <c r="BI19" s="4">
        <v>0.75</v>
      </c>
      <c r="BJ19" s="4">
        <v>17</v>
      </c>
      <c r="BY19">
        <v>5</v>
      </c>
      <c r="BZ19" t="s">
        <v>3975</v>
      </c>
      <c r="CA19" t="s">
        <v>1989</v>
      </c>
      <c r="CC19">
        <v>5</v>
      </c>
      <c r="CD19" t="s">
        <v>3976</v>
      </c>
      <c r="CE19" t="s">
        <v>855</v>
      </c>
      <c r="CG19">
        <v>5</v>
      </c>
      <c r="CH19" t="s">
        <v>380</v>
      </c>
      <c r="CI19" t="s">
        <v>1990</v>
      </c>
      <c r="CK19">
        <v>1</v>
      </c>
      <c r="CL19" t="s">
        <v>3977</v>
      </c>
      <c r="CM19" t="str">
        <f>VLOOKUP([3]Character_Sheet!$BF$6,[3]Other!$AU$2:$AW$7,3,FALSE)</f>
        <v>Chan.</v>
      </c>
    </row>
    <row r="20" spans="22:91" x14ac:dyDescent="0.25">
      <c r="V20" s="4" t="s">
        <v>964</v>
      </c>
      <c r="W20" s="4">
        <v>4</v>
      </c>
      <c r="X20" s="8" t="s">
        <v>965</v>
      </c>
      <c r="Y20" s="8">
        <f>IF(ISNUMBER(SEARCH(Z20,TalentFlaw)),20,0)</f>
        <v>0</v>
      </c>
      <c r="Z20" s="3" t="str">
        <f t="shared" si="0"/>
        <v>Acute Touch IV;</v>
      </c>
      <c r="AB20" t="s">
        <v>1959</v>
      </c>
      <c r="AC20" t="s">
        <v>407</v>
      </c>
      <c r="AF20" s="4">
        <v>19</v>
      </c>
      <c r="AG20" s="4">
        <v>-5</v>
      </c>
      <c r="AH20" s="4">
        <f t="shared" si="1"/>
        <v>19</v>
      </c>
      <c r="AI20" s="4"/>
      <c r="AJ20" s="4">
        <v>71</v>
      </c>
      <c r="AL20" s="4">
        <v>23151</v>
      </c>
      <c r="AM20" s="4">
        <v>18</v>
      </c>
      <c r="AN20" s="4">
        <v>23151</v>
      </c>
      <c r="AT20">
        <v>19</v>
      </c>
      <c r="AU20" s="62">
        <v>-17</v>
      </c>
      <c r="AW20">
        <v>-2</v>
      </c>
      <c r="AX20" s="4">
        <v>-2</v>
      </c>
      <c r="AZ20">
        <v>-2</v>
      </c>
      <c r="BA20" s="4">
        <v>-2</v>
      </c>
      <c r="BC20" s="4">
        <v>18</v>
      </c>
      <c r="BD20" s="3" t="s">
        <v>2508</v>
      </c>
      <c r="BE20" s="4">
        <v>547</v>
      </c>
      <c r="BF20" s="4">
        <v>-10</v>
      </c>
      <c r="BG20" s="4">
        <v>0</v>
      </c>
      <c r="BH20" s="4">
        <v>0</v>
      </c>
      <c r="BI20" s="4">
        <v>6.4</v>
      </c>
      <c r="BJ20" s="4">
        <v>18</v>
      </c>
      <c r="BY20">
        <v>6</v>
      </c>
      <c r="BZ20" t="s">
        <v>316</v>
      </c>
      <c r="CA20" t="s">
        <v>1989</v>
      </c>
      <c r="CC20">
        <v>6</v>
      </c>
      <c r="CD20" t="s">
        <v>3978</v>
      </c>
      <c r="CE20" t="s">
        <v>855</v>
      </c>
      <c r="CG20">
        <v>6</v>
      </c>
      <c r="CH20" t="s">
        <v>3979</v>
      </c>
      <c r="CI20" t="s">
        <v>1990</v>
      </c>
      <c r="CK20">
        <v>2</v>
      </c>
      <c r="CL20" t="s">
        <v>3980</v>
      </c>
      <c r="CM20" t="str">
        <f>VLOOKUP([3]Character_Sheet!$BF$6,[3]Other!$AU$2:$AW$7,3,FALSE)</f>
        <v>Chan.</v>
      </c>
    </row>
    <row r="21" spans="22:91" x14ac:dyDescent="0.25">
      <c r="V21" s="4" t="s">
        <v>966</v>
      </c>
      <c r="W21" s="4">
        <v>5</v>
      </c>
      <c r="X21" s="8" t="s">
        <v>967</v>
      </c>
      <c r="Y21" s="8">
        <f>IF(ISNUMBER(SEARCH(Z21,TalentFlaw)),25,0)</f>
        <v>0</v>
      </c>
      <c r="Z21" s="3" t="str">
        <f t="shared" si="0"/>
        <v>Acute Touch V;</v>
      </c>
      <c r="AB21" t="s">
        <v>1962</v>
      </c>
      <c r="AC21" t="s">
        <v>816</v>
      </c>
      <c r="AF21" s="4">
        <v>20</v>
      </c>
      <c r="AG21" s="4">
        <v>-5</v>
      </c>
      <c r="AH21" s="4">
        <f t="shared" si="1"/>
        <v>20</v>
      </c>
      <c r="AI21" s="4"/>
      <c r="AJ21" s="4">
        <v>77</v>
      </c>
      <c r="AL21" s="4">
        <v>25861</v>
      </c>
      <c r="AM21" s="4">
        <v>19</v>
      </c>
      <c r="AN21" s="4">
        <v>25861</v>
      </c>
      <c r="AT21">
        <v>20</v>
      </c>
      <c r="AU21" s="62">
        <v>-17</v>
      </c>
      <c r="AW21">
        <v>-1</v>
      </c>
      <c r="AX21" s="4">
        <v>-1</v>
      </c>
      <c r="AZ21">
        <v>-1</v>
      </c>
      <c r="BA21" s="4">
        <v>-1</v>
      </c>
      <c r="BC21" s="4">
        <v>19</v>
      </c>
      <c r="BD21" s="3" t="s">
        <v>2509</v>
      </c>
      <c r="BE21" s="4">
        <v>548</v>
      </c>
      <c r="BF21" s="4">
        <v>0</v>
      </c>
      <c r="BG21" s="4">
        <v>-5</v>
      </c>
      <c r="BH21" s="4">
        <v>5</v>
      </c>
      <c r="BI21" s="4">
        <v>7.2</v>
      </c>
      <c r="BJ21" s="4">
        <v>19</v>
      </c>
      <c r="BY21">
        <v>7</v>
      </c>
      <c r="BZ21" t="s">
        <v>3981</v>
      </c>
      <c r="CA21" t="s">
        <v>1989</v>
      </c>
      <c r="CC21">
        <v>7</v>
      </c>
      <c r="CD21" t="s">
        <v>3982</v>
      </c>
      <c r="CE21" t="s">
        <v>855</v>
      </c>
      <c r="CG21">
        <v>7</v>
      </c>
      <c r="CH21" t="s">
        <v>3983</v>
      </c>
      <c r="CI21" t="s">
        <v>1990</v>
      </c>
      <c r="CK21">
        <v>3</v>
      </c>
      <c r="CL21" t="s">
        <v>3984</v>
      </c>
      <c r="CM21" t="str">
        <f>VLOOKUP([3]Character_Sheet!$BF$6,[3]Other!$AU$2:$AW$7,3,FALSE)</f>
        <v>Chan.</v>
      </c>
    </row>
    <row r="22" spans="22:91" x14ac:dyDescent="0.25">
      <c r="V22" s="4" t="s">
        <v>968</v>
      </c>
      <c r="W22" s="4">
        <v>6</v>
      </c>
      <c r="X22" s="8" t="s">
        <v>969</v>
      </c>
      <c r="Y22" s="8">
        <f>IF(ISNUMBER(SEARCH(Z22,TalentFlaw)),5,0)</f>
        <v>0</v>
      </c>
      <c r="Z22" s="3" t="str">
        <f t="shared" si="0"/>
        <v>Acute Vision I;</v>
      </c>
      <c r="AB22" t="s">
        <v>1961</v>
      </c>
      <c r="AC22" t="s">
        <v>816</v>
      </c>
      <c r="AF22" s="4">
        <v>21</v>
      </c>
      <c r="AG22" s="4">
        <v>-5</v>
      </c>
      <c r="AH22" s="4">
        <f t="shared" si="1"/>
        <v>21</v>
      </c>
      <c r="AI22" s="4"/>
      <c r="AJ22" s="4">
        <v>83</v>
      </c>
      <c r="AL22" s="4">
        <v>28825</v>
      </c>
      <c r="AM22" s="4">
        <v>20</v>
      </c>
      <c r="AN22" s="4">
        <v>28825</v>
      </c>
      <c r="AT22">
        <v>21</v>
      </c>
      <c r="AU22" s="62">
        <v>-17</v>
      </c>
      <c r="AW22">
        <v>0</v>
      </c>
      <c r="AX22" s="4">
        <v>0</v>
      </c>
      <c r="AZ22">
        <v>0</v>
      </c>
      <c r="BA22" s="4">
        <v>0</v>
      </c>
      <c r="BC22" s="4">
        <v>20</v>
      </c>
      <c r="BD22" s="3" t="s">
        <v>2510</v>
      </c>
      <c r="BE22" s="4">
        <v>28</v>
      </c>
      <c r="BF22" s="4">
        <v>-30</v>
      </c>
      <c r="BG22" s="4">
        <v>0</v>
      </c>
      <c r="BH22" s="4">
        <v>-30</v>
      </c>
      <c r="BI22" s="4">
        <v>7.0000000000000001E-3</v>
      </c>
      <c r="BJ22" s="4">
        <v>20</v>
      </c>
      <c r="BY22">
        <v>8</v>
      </c>
      <c r="BZ22" t="s">
        <v>3985</v>
      </c>
      <c r="CA22" t="s">
        <v>1989</v>
      </c>
      <c r="CC22">
        <v>8</v>
      </c>
      <c r="CD22" t="s">
        <v>3986</v>
      </c>
      <c r="CE22" t="s">
        <v>855</v>
      </c>
      <c r="CG22">
        <v>8</v>
      </c>
      <c r="CH22" t="s">
        <v>3987</v>
      </c>
      <c r="CI22" t="s">
        <v>1990</v>
      </c>
      <c r="CK22">
        <v>4</v>
      </c>
      <c r="CL22" t="s">
        <v>3988</v>
      </c>
      <c r="CM22" t="str">
        <f>VLOOKUP([3]Character_Sheet!$BF$6,[3]Other!$AU$2:$AW$7,3,FALSE)</f>
        <v>Chan.</v>
      </c>
    </row>
    <row r="23" spans="22:91" x14ac:dyDescent="0.25">
      <c r="V23" s="4" t="s">
        <v>970</v>
      </c>
      <c r="W23" s="4">
        <v>12</v>
      </c>
      <c r="X23" s="8" t="s">
        <v>971</v>
      </c>
      <c r="Y23" s="8">
        <f>IF(ISNUMBER(SEARCH(Z23,TalentFlaw)),10,0)</f>
        <v>0</v>
      </c>
      <c r="Z23" s="3" t="str">
        <f t="shared" si="0"/>
        <v>Acute Vision II;</v>
      </c>
      <c r="AB23" t="s">
        <v>1963</v>
      </c>
      <c r="AC23" t="s">
        <v>1964</v>
      </c>
      <c r="AF23" s="4">
        <v>22</v>
      </c>
      <c r="AG23" s="4">
        <v>-5</v>
      </c>
      <c r="AH23" s="4">
        <f t="shared" si="1"/>
        <v>22</v>
      </c>
      <c r="AI23" s="4"/>
      <c r="AJ23" s="4">
        <v>86</v>
      </c>
      <c r="AL23" s="4">
        <v>32066</v>
      </c>
      <c r="AM23" s="4">
        <v>21</v>
      </c>
      <c r="AN23" s="4">
        <v>32066</v>
      </c>
      <c r="AT23">
        <v>22</v>
      </c>
      <c r="AU23" s="62">
        <v>-16</v>
      </c>
      <c r="AW23">
        <v>1</v>
      </c>
      <c r="AX23" s="4">
        <v>-1</v>
      </c>
      <c r="AZ23">
        <v>1</v>
      </c>
      <c r="BA23" s="4">
        <v>1</v>
      </c>
      <c r="BC23" s="4">
        <v>21</v>
      </c>
      <c r="BD23" s="3" t="s">
        <v>2511</v>
      </c>
      <c r="BE23" s="4">
        <v>27</v>
      </c>
      <c r="BF23" s="4">
        <v>-30</v>
      </c>
      <c r="BG23" s="4">
        <v>0</v>
      </c>
      <c r="BH23" s="4">
        <v>-10</v>
      </c>
      <c r="BI23" s="4">
        <v>7.0000000000000001E-3</v>
      </c>
      <c r="BJ23" s="4">
        <v>21</v>
      </c>
      <c r="BY23">
        <v>9</v>
      </c>
      <c r="BZ23" t="s">
        <v>3989</v>
      </c>
      <c r="CA23" t="s">
        <v>1989</v>
      </c>
      <c r="CC23">
        <v>9</v>
      </c>
      <c r="CD23" t="s">
        <v>3990</v>
      </c>
      <c r="CE23" t="s">
        <v>855</v>
      </c>
      <c r="CG23">
        <v>9</v>
      </c>
      <c r="CH23" t="s">
        <v>3991</v>
      </c>
      <c r="CI23" t="s">
        <v>1990</v>
      </c>
      <c r="CK23">
        <v>5</v>
      </c>
      <c r="CL23" t="s">
        <v>3992</v>
      </c>
      <c r="CM23" t="str">
        <f>VLOOKUP([3]Character_Sheet!$BF$6,[3]Other!$AU$2:$AW$7,3,FALSE)</f>
        <v>Chan.</v>
      </c>
    </row>
    <row r="24" spans="22:91" x14ac:dyDescent="0.25">
      <c r="V24" s="4" t="s">
        <v>972</v>
      </c>
      <c r="W24" s="4">
        <v>18</v>
      </c>
      <c r="X24" s="8" t="s">
        <v>973</v>
      </c>
      <c r="Y24" s="8">
        <f>IF(ISNUMBER(SEARCH(Z24,TalentFlaw)),15,0)</f>
        <v>0</v>
      </c>
      <c r="Z24" s="3" t="str">
        <f t="shared" si="0"/>
        <v>Acute Vision III;</v>
      </c>
      <c r="AB24" t="s">
        <v>1965</v>
      </c>
      <c r="AC24" t="s">
        <v>1964</v>
      </c>
      <c r="AF24" s="4">
        <v>23</v>
      </c>
      <c r="AG24" s="4">
        <v>-5</v>
      </c>
      <c r="AH24" s="4">
        <f t="shared" si="1"/>
        <v>23</v>
      </c>
      <c r="AI24" s="4"/>
      <c r="AJ24" s="4">
        <v>89</v>
      </c>
      <c r="AL24" s="4">
        <v>35609</v>
      </c>
      <c r="AM24" s="4">
        <v>22</v>
      </c>
      <c r="AN24" s="4">
        <v>35609</v>
      </c>
      <c r="AT24">
        <v>23</v>
      </c>
      <c r="AU24" s="62">
        <v>-16</v>
      </c>
      <c r="AW24">
        <v>2</v>
      </c>
      <c r="AX24" s="4">
        <v>-2</v>
      </c>
      <c r="AZ24">
        <v>2</v>
      </c>
      <c r="BA24" s="4">
        <v>2</v>
      </c>
      <c r="BC24" s="4">
        <v>22</v>
      </c>
      <c r="BD24" s="3" t="s">
        <v>2335</v>
      </c>
      <c r="BE24" s="4">
        <v>47</v>
      </c>
      <c r="BF24" s="4">
        <v>0</v>
      </c>
      <c r="BG24" s="4">
        <v>0</v>
      </c>
      <c r="BH24" s="4">
        <v>0</v>
      </c>
      <c r="BI24" s="4">
        <v>7.0000000000000001E-3</v>
      </c>
      <c r="BJ24" s="4">
        <v>22</v>
      </c>
      <c r="BY24">
        <v>10</v>
      </c>
      <c r="BZ24" t="s">
        <v>3993</v>
      </c>
      <c r="CA24" t="s">
        <v>1989</v>
      </c>
      <c r="CC24">
        <v>10</v>
      </c>
      <c r="CD24" t="s">
        <v>3994</v>
      </c>
      <c r="CE24" t="s">
        <v>855</v>
      </c>
      <c r="CG24">
        <v>10</v>
      </c>
      <c r="CH24" t="s">
        <v>3995</v>
      </c>
      <c r="CI24" t="s">
        <v>1990</v>
      </c>
      <c r="CK24">
        <v>6</v>
      </c>
      <c r="CL24" t="s">
        <v>3996</v>
      </c>
      <c r="CM24" t="str">
        <f>VLOOKUP([3]Character_Sheet!$BF$6,[3]Other!$AU$2:$AW$7,3,FALSE)</f>
        <v>Chan.</v>
      </c>
    </row>
    <row r="25" spans="22:91" x14ac:dyDescent="0.25">
      <c r="V25" s="4" t="s">
        <v>974</v>
      </c>
      <c r="W25" s="4">
        <v>24</v>
      </c>
      <c r="X25" s="8" t="s">
        <v>975</v>
      </c>
      <c r="Y25" s="8">
        <f>IF(ISNUMBER(SEARCH(Z25,TalentFlaw)),20,0)</f>
        <v>0</v>
      </c>
      <c r="Z25" s="3" t="str">
        <f t="shared" si="0"/>
        <v>Acute Vision IV;</v>
      </c>
      <c r="AB25" t="s">
        <v>1966</v>
      </c>
      <c r="AC25" t="s">
        <v>407</v>
      </c>
      <c r="AF25" s="4">
        <v>24</v>
      </c>
      <c r="AG25" s="4">
        <v>-4</v>
      </c>
      <c r="AH25" s="4">
        <f t="shared" si="1"/>
        <v>24</v>
      </c>
      <c r="AI25" s="4"/>
      <c r="AJ25" s="4">
        <v>92</v>
      </c>
      <c r="AL25" s="4">
        <v>39483</v>
      </c>
      <c r="AM25" s="4">
        <v>23</v>
      </c>
      <c r="AN25" s="4">
        <v>39483</v>
      </c>
      <c r="AT25">
        <v>24</v>
      </c>
      <c r="AU25" s="62">
        <v>-16</v>
      </c>
      <c r="AW25">
        <v>3</v>
      </c>
      <c r="AX25" s="4">
        <v>-3</v>
      </c>
      <c r="AZ25">
        <v>3</v>
      </c>
      <c r="BA25" s="4">
        <v>3</v>
      </c>
      <c r="BC25" s="4">
        <v>23</v>
      </c>
      <c r="BD25" s="3" t="s">
        <v>2512</v>
      </c>
      <c r="BE25" s="4">
        <v>47</v>
      </c>
      <c r="BF25" s="4">
        <v>10</v>
      </c>
      <c r="BG25" s="4">
        <v>-10</v>
      </c>
      <c r="BH25" s="4">
        <v>5</v>
      </c>
      <c r="BI25" s="4">
        <v>7.4999999999999997E-3</v>
      </c>
      <c r="BJ25" s="4">
        <v>23</v>
      </c>
      <c r="CC25">
        <v>11</v>
      </c>
      <c r="CD25" t="s">
        <v>3997</v>
      </c>
      <c r="CE25" t="s">
        <v>855</v>
      </c>
    </row>
    <row r="26" spans="22:91" x14ac:dyDescent="0.25">
      <c r="V26" s="4" t="s">
        <v>976</v>
      </c>
      <c r="W26" s="4">
        <v>30</v>
      </c>
      <c r="X26" s="8" t="s">
        <v>977</v>
      </c>
      <c r="Y26" s="8">
        <f>IF(ISNUMBER(SEARCH(Z26,TalentFlaw)),25,0)</f>
        <v>0</v>
      </c>
      <c r="Z26" s="3" t="str">
        <f t="shared" si="0"/>
        <v>Acute Vision V;</v>
      </c>
      <c r="AB26" t="s">
        <v>1967</v>
      </c>
      <c r="AC26" t="s">
        <v>407</v>
      </c>
      <c r="AF26" s="4">
        <v>25</v>
      </c>
      <c r="AG26" s="4">
        <v>-4</v>
      </c>
      <c r="AH26" s="4">
        <f t="shared" si="1"/>
        <v>25</v>
      </c>
      <c r="AI26" s="4"/>
      <c r="AJ26" s="4">
        <v>94</v>
      </c>
      <c r="AL26" s="4">
        <v>43720</v>
      </c>
      <c r="AM26" s="4">
        <v>24</v>
      </c>
      <c r="AN26" s="4">
        <v>43720</v>
      </c>
      <c r="AT26">
        <v>25</v>
      </c>
      <c r="AU26" s="62">
        <v>-15</v>
      </c>
      <c r="AW26">
        <v>4</v>
      </c>
      <c r="AX26" s="4">
        <v>-4</v>
      </c>
      <c r="AZ26">
        <v>4</v>
      </c>
      <c r="BA26" s="4">
        <v>4</v>
      </c>
      <c r="BC26" s="4">
        <v>24</v>
      </c>
      <c r="BD26" s="3" t="s">
        <v>2513</v>
      </c>
      <c r="BE26" s="4">
        <v>48</v>
      </c>
      <c r="BF26" s="4">
        <v>20</v>
      </c>
      <c r="BG26" s="4">
        <v>-20</v>
      </c>
      <c r="BH26" s="4">
        <v>10</v>
      </c>
      <c r="BI26" s="4">
        <v>8.0000000000000002E-3</v>
      </c>
      <c r="BJ26" s="4">
        <v>24</v>
      </c>
      <c r="BZ26" s="120" t="s">
        <v>3998</v>
      </c>
      <c r="CC26">
        <v>12</v>
      </c>
      <c r="CD26" t="s">
        <v>3999</v>
      </c>
      <c r="CE26" t="s">
        <v>855</v>
      </c>
      <c r="CH26" s="120" t="s">
        <v>4000</v>
      </c>
      <c r="CI26" s="120"/>
    </row>
    <row r="27" spans="22:91" x14ac:dyDescent="0.25">
      <c r="V27" s="4" t="s">
        <v>978</v>
      </c>
      <c r="W27" s="4">
        <v>15</v>
      </c>
      <c r="X27" s="8" t="s">
        <v>979</v>
      </c>
      <c r="Y27" s="8">
        <v>0</v>
      </c>
      <c r="Z27" s="3" t="str">
        <f t="shared" si="0"/>
        <v>Adapted Form (water);</v>
      </c>
      <c r="AB27" t="s">
        <v>1969</v>
      </c>
      <c r="AC27" t="s">
        <v>1964</v>
      </c>
      <c r="AF27" s="4">
        <v>26</v>
      </c>
      <c r="AG27" s="4">
        <v>-4</v>
      </c>
      <c r="AH27" s="4">
        <f t="shared" si="1"/>
        <v>26</v>
      </c>
      <c r="AI27" s="4"/>
      <c r="AJ27" s="4">
        <v>95</v>
      </c>
      <c r="AL27" s="4">
        <v>48352</v>
      </c>
      <c r="AM27" s="4">
        <v>25</v>
      </c>
      <c r="AN27" s="4">
        <v>48352</v>
      </c>
      <c r="AT27">
        <v>26</v>
      </c>
      <c r="AU27" s="62">
        <v>-15</v>
      </c>
      <c r="AW27">
        <v>5</v>
      </c>
      <c r="AX27" s="4">
        <v>-5</v>
      </c>
      <c r="AZ27">
        <v>5</v>
      </c>
      <c r="BA27" s="4">
        <v>5</v>
      </c>
      <c r="BC27" s="4">
        <v>25</v>
      </c>
      <c r="BD27" s="3" t="s">
        <v>2514</v>
      </c>
      <c r="BE27" s="4">
        <v>36</v>
      </c>
      <c r="BF27" s="4">
        <v>0</v>
      </c>
      <c r="BG27" s="4">
        <v>0</v>
      </c>
      <c r="BH27" s="4">
        <v>0</v>
      </c>
      <c r="BI27" s="4">
        <v>0.01</v>
      </c>
      <c r="BJ27" s="4">
        <v>25</v>
      </c>
      <c r="BY27">
        <v>1</v>
      </c>
      <c r="BZ27" t="s">
        <v>4001</v>
      </c>
      <c r="CA27" t="s">
        <v>1989</v>
      </c>
      <c r="CC27">
        <v>13</v>
      </c>
      <c r="CD27" t="s">
        <v>4002</v>
      </c>
      <c r="CE27" t="s">
        <v>855</v>
      </c>
      <c r="CG27">
        <v>1</v>
      </c>
      <c r="CH27" t="s">
        <v>4003</v>
      </c>
      <c r="CI27" t="s">
        <v>1990</v>
      </c>
    </row>
    <row r="28" spans="22:91" x14ac:dyDescent="0.25">
      <c r="V28" s="4" t="s">
        <v>980</v>
      </c>
      <c r="W28" s="4">
        <v>10</v>
      </c>
      <c r="X28" s="8" t="s">
        <v>981</v>
      </c>
      <c r="Y28" s="8">
        <v>0</v>
      </c>
      <c r="Z28" s="3" t="str">
        <f t="shared" si="0"/>
        <v>Ambidextrous;</v>
      </c>
      <c r="AB28" t="s">
        <v>1968</v>
      </c>
      <c r="AC28" t="s">
        <v>1964</v>
      </c>
      <c r="AF28" s="4">
        <v>27</v>
      </c>
      <c r="AG28" s="4">
        <v>-4</v>
      </c>
      <c r="AH28" s="4">
        <f t="shared" si="1"/>
        <v>27</v>
      </c>
      <c r="AI28" s="4"/>
      <c r="AJ28" s="4">
        <v>96</v>
      </c>
      <c r="AL28" s="4">
        <v>53417</v>
      </c>
      <c r="AM28" s="4">
        <v>26</v>
      </c>
      <c r="AN28" s="4">
        <v>53417</v>
      </c>
      <c r="AT28">
        <v>27</v>
      </c>
      <c r="AU28" s="62">
        <v>-15</v>
      </c>
      <c r="AW28">
        <v>6</v>
      </c>
      <c r="AX28" s="4">
        <v>-5.5</v>
      </c>
      <c r="AZ28">
        <v>6</v>
      </c>
      <c r="BA28" s="4">
        <v>5.5</v>
      </c>
      <c r="BC28" s="4">
        <v>26</v>
      </c>
      <c r="BD28" s="3" t="s">
        <v>2515</v>
      </c>
      <c r="BE28" s="4">
        <v>35</v>
      </c>
      <c r="BF28" s="4">
        <v>0</v>
      </c>
      <c r="BG28" s="4">
        <v>-5</v>
      </c>
      <c r="BH28" s="4">
        <v>5</v>
      </c>
      <c r="BI28" s="4">
        <v>1.4999999999999999E-2</v>
      </c>
      <c r="BJ28" s="4">
        <v>26</v>
      </c>
      <c r="BY28">
        <v>2</v>
      </c>
      <c r="BZ28" t="s">
        <v>4004</v>
      </c>
      <c r="CA28" t="s">
        <v>1989</v>
      </c>
      <c r="CG28">
        <v>2</v>
      </c>
      <c r="CH28" t="s">
        <v>4005</v>
      </c>
      <c r="CI28" t="s">
        <v>1990</v>
      </c>
    </row>
    <row r="29" spans="22:91" x14ac:dyDescent="0.25">
      <c r="V29" s="4" t="s">
        <v>982</v>
      </c>
      <c r="W29" s="4">
        <v>15</v>
      </c>
      <c r="X29" s="8" t="s">
        <v>983</v>
      </c>
      <c r="Y29" s="8">
        <f>IF(ISNUMBER(SEARCH(Z29,TalentFlaw)),25,0)</f>
        <v>0</v>
      </c>
      <c r="Z29" s="3" t="str">
        <f t="shared" si="0"/>
        <v>Animal Empathy I;</v>
      </c>
      <c r="AB29" t="s">
        <v>1971</v>
      </c>
      <c r="AC29" t="s">
        <v>816</v>
      </c>
      <c r="AF29" s="4">
        <v>28</v>
      </c>
      <c r="AG29" s="4">
        <v>-4</v>
      </c>
      <c r="AH29" s="4">
        <f t="shared" si="1"/>
        <v>28</v>
      </c>
      <c r="AI29" s="4"/>
      <c r="AJ29" s="4">
        <v>97</v>
      </c>
      <c r="AL29" s="4">
        <v>58956</v>
      </c>
      <c r="AM29" s="4">
        <v>27</v>
      </c>
      <c r="AN29" s="4">
        <v>58956</v>
      </c>
      <c r="AT29">
        <v>28</v>
      </c>
      <c r="AU29" s="62">
        <v>-14</v>
      </c>
      <c r="AW29">
        <v>7</v>
      </c>
      <c r="AX29" s="4">
        <v>-6</v>
      </c>
      <c r="AZ29">
        <v>7</v>
      </c>
      <c r="BA29" s="4">
        <v>6</v>
      </c>
      <c r="BC29" s="4">
        <v>27</v>
      </c>
      <c r="BD29" s="3" t="s">
        <v>2521</v>
      </c>
      <c r="BE29" s="4">
        <v>42</v>
      </c>
      <c r="BF29" s="4">
        <v>0</v>
      </c>
      <c r="BG29" s="4">
        <v>-10</v>
      </c>
      <c r="BH29" s="4">
        <v>10</v>
      </c>
      <c r="BI29" s="4">
        <v>0.03</v>
      </c>
      <c r="BJ29" s="4">
        <v>27</v>
      </c>
      <c r="BY29">
        <v>3</v>
      </c>
      <c r="BZ29" t="s">
        <v>4006</v>
      </c>
      <c r="CA29" t="s">
        <v>1989</v>
      </c>
      <c r="CD29" s="120" t="s">
        <v>4007</v>
      </c>
      <c r="CE29" s="120"/>
      <c r="CG29">
        <v>3</v>
      </c>
      <c r="CH29" t="s">
        <v>4008</v>
      </c>
      <c r="CI29" t="s">
        <v>1990</v>
      </c>
    </row>
    <row r="30" spans="22:91" x14ac:dyDescent="0.25">
      <c r="V30" s="4" t="s">
        <v>984</v>
      </c>
      <c r="W30" s="4">
        <v>20</v>
      </c>
      <c r="X30" s="8" t="s">
        <v>985</v>
      </c>
      <c r="Y30" s="8">
        <f>IF(ISNUMBER(SEARCH(Z30,TalentFlaw)),25,0)</f>
        <v>0</v>
      </c>
      <c r="Z30" s="3" t="str">
        <f t="shared" si="0"/>
        <v>Animal Empathy II;</v>
      </c>
      <c r="AB30" t="s">
        <v>1970</v>
      </c>
      <c r="AC30" t="s">
        <v>816</v>
      </c>
      <c r="AF30" s="4">
        <v>29</v>
      </c>
      <c r="AG30" s="4">
        <v>-4</v>
      </c>
      <c r="AH30" s="4">
        <f t="shared" si="1"/>
        <v>29</v>
      </c>
      <c r="AI30" s="4"/>
      <c r="AJ30" s="4">
        <v>98</v>
      </c>
      <c r="AL30" s="4">
        <v>65012</v>
      </c>
      <c r="AM30" s="4">
        <v>28</v>
      </c>
      <c r="AN30" s="4">
        <v>65012</v>
      </c>
      <c r="AT30">
        <v>29</v>
      </c>
      <c r="AU30" s="62">
        <v>-14</v>
      </c>
      <c r="AW30">
        <v>8</v>
      </c>
      <c r="AX30" s="4">
        <v>-6.5</v>
      </c>
      <c r="AZ30">
        <v>8</v>
      </c>
      <c r="BA30" s="4">
        <v>6.5</v>
      </c>
      <c r="BC30" s="4">
        <v>28</v>
      </c>
      <c r="BD30" s="3" t="s">
        <v>2532</v>
      </c>
      <c r="BE30" s="4">
        <v>156</v>
      </c>
      <c r="BF30" s="4">
        <v>-40</v>
      </c>
      <c r="BG30" s="4">
        <v>-5</v>
      </c>
      <c r="BH30" s="4">
        <v>-30</v>
      </c>
      <c r="BI30" s="4">
        <v>0.9</v>
      </c>
      <c r="BJ30" s="4">
        <v>28</v>
      </c>
      <c r="BY30">
        <v>4</v>
      </c>
      <c r="BZ30" t="s">
        <v>4009</v>
      </c>
      <c r="CA30" t="s">
        <v>1989</v>
      </c>
      <c r="CC30">
        <v>1</v>
      </c>
      <c r="CD30" t="s">
        <v>4010</v>
      </c>
      <c r="CE30" t="s">
        <v>855</v>
      </c>
      <c r="CG30">
        <v>4</v>
      </c>
      <c r="CH30" t="s">
        <v>4011</v>
      </c>
      <c r="CI30" t="s">
        <v>1990</v>
      </c>
    </row>
    <row r="31" spans="22:91" x14ac:dyDescent="0.25">
      <c r="V31" s="4" t="s">
        <v>986</v>
      </c>
      <c r="W31" s="4">
        <v>25</v>
      </c>
      <c r="X31" s="8" t="s">
        <v>987</v>
      </c>
      <c r="Y31" s="8">
        <f>IF(ISNUMBER(SEARCH(Z31,TalentFlaw)),25,0)</f>
        <v>0</v>
      </c>
      <c r="Z31" s="3" t="str">
        <f t="shared" si="0"/>
        <v>Animal Empathy III;</v>
      </c>
      <c r="AB31" t="s">
        <v>1972</v>
      </c>
      <c r="AC31" t="s">
        <v>1973</v>
      </c>
      <c r="AF31" s="4">
        <v>30</v>
      </c>
      <c r="AG31" s="4">
        <v>-3</v>
      </c>
      <c r="AH31" s="4">
        <f t="shared" si="1"/>
        <v>30</v>
      </c>
      <c r="AI31" s="4"/>
      <c r="AJ31" s="4">
        <v>99</v>
      </c>
      <c r="AL31" s="4">
        <v>71634</v>
      </c>
      <c r="AM31" s="4">
        <v>29</v>
      </c>
      <c r="AN31" s="4">
        <v>71634</v>
      </c>
      <c r="AT31">
        <v>30</v>
      </c>
      <c r="AU31" s="62">
        <v>-14</v>
      </c>
      <c r="AW31">
        <v>9</v>
      </c>
      <c r="AX31" s="4">
        <v>-7</v>
      </c>
      <c r="AZ31">
        <v>9</v>
      </c>
      <c r="BA31" s="4">
        <v>7</v>
      </c>
      <c r="BC31" s="4">
        <v>29</v>
      </c>
      <c r="BD31" s="3" t="s">
        <v>2517</v>
      </c>
      <c r="BE31" s="4">
        <v>87</v>
      </c>
      <c r="BF31" s="4">
        <v>0</v>
      </c>
      <c r="BG31" s="4">
        <v>0</v>
      </c>
      <c r="BH31" s="4">
        <v>-15</v>
      </c>
      <c r="BI31" s="4">
        <v>0.01</v>
      </c>
      <c r="BJ31" s="4">
        <v>29</v>
      </c>
      <c r="BY31">
        <v>5</v>
      </c>
      <c r="BZ31" t="s">
        <v>4012</v>
      </c>
      <c r="CA31" t="s">
        <v>1989</v>
      </c>
      <c r="CC31">
        <v>2</v>
      </c>
      <c r="CD31" t="s">
        <v>4013</v>
      </c>
      <c r="CE31" t="s">
        <v>855</v>
      </c>
      <c r="CG31">
        <v>5</v>
      </c>
      <c r="CH31" t="s">
        <v>4014</v>
      </c>
      <c r="CI31" t="s">
        <v>1990</v>
      </c>
    </row>
    <row r="32" spans="22:91" x14ac:dyDescent="0.25">
      <c r="V32" s="4" t="s">
        <v>988</v>
      </c>
      <c r="W32" s="4">
        <v>30</v>
      </c>
      <c r="X32" s="8" t="s">
        <v>989</v>
      </c>
      <c r="Y32" s="8">
        <f>IF(ISNUMBER(SEARCH(Z32,TalentFlaw)),25,0)</f>
        <v>0</v>
      </c>
      <c r="Z32" s="3" t="str">
        <f t="shared" si="0"/>
        <v>Animal Empathy IV;</v>
      </c>
      <c r="AB32" t="s">
        <v>1974</v>
      </c>
      <c r="AC32" t="s">
        <v>1975</v>
      </c>
      <c r="AF32" s="4">
        <v>31</v>
      </c>
      <c r="AG32" s="4">
        <v>-3</v>
      </c>
      <c r="AH32" s="4">
        <f t="shared" si="1"/>
        <v>31</v>
      </c>
      <c r="AI32" s="4"/>
      <c r="AJ32" s="4">
        <v>100</v>
      </c>
      <c r="AL32" s="4">
        <v>78875</v>
      </c>
      <c r="AM32" s="4">
        <v>30</v>
      </c>
      <c r="AN32" s="4">
        <v>78875</v>
      </c>
      <c r="AT32">
        <v>31</v>
      </c>
      <c r="AU32" s="62">
        <v>-13</v>
      </c>
      <c r="AW32">
        <v>10</v>
      </c>
      <c r="AX32" s="4">
        <v>-7.5</v>
      </c>
      <c r="AZ32">
        <v>10</v>
      </c>
      <c r="BA32" s="4">
        <v>7.5</v>
      </c>
      <c r="BC32" s="4">
        <v>30</v>
      </c>
      <c r="BD32" s="3" t="s">
        <v>2516</v>
      </c>
      <c r="BE32" s="4">
        <v>160</v>
      </c>
      <c r="BF32" s="4">
        <v>-100</v>
      </c>
      <c r="BG32" s="4">
        <v>-25</v>
      </c>
      <c r="BH32" s="4">
        <v>-50</v>
      </c>
      <c r="BI32" s="4">
        <v>0.1</v>
      </c>
      <c r="BJ32" s="4">
        <v>30</v>
      </c>
      <c r="BY32">
        <v>6</v>
      </c>
      <c r="BZ32" t="s">
        <v>4015</v>
      </c>
      <c r="CA32" t="s">
        <v>1989</v>
      </c>
      <c r="CC32">
        <v>3</v>
      </c>
      <c r="CD32" t="s">
        <v>4016</v>
      </c>
      <c r="CE32" t="s">
        <v>855</v>
      </c>
      <c r="CG32">
        <v>6</v>
      </c>
      <c r="CH32" t="s">
        <v>4017</v>
      </c>
      <c r="CI32" t="s">
        <v>1990</v>
      </c>
    </row>
    <row r="33" spans="22:87" x14ac:dyDescent="0.25">
      <c r="V33" s="4" t="s">
        <v>990</v>
      </c>
      <c r="W33" s="4">
        <v>35</v>
      </c>
      <c r="X33" s="8" t="s">
        <v>991</v>
      </c>
      <c r="Y33" s="8">
        <f>IF(ISNUMBER(SEARCH(Z33,TalentFlaw)),25,0)</f>
        <v>0</v>
      </c>
      <c r="Z33" s="3" t="str">
        <f t="shared" si="0"/>
        <v>Animal Empathy V;</v>
      </c>
      <c r="AB33" t="s">
        <v>1976</v>
      </c>
      <c r="AC33" t="s">
        <v>1977</v>
      </c>
      <c r="AF33" s="4">
        <v>32</v>
      </c>
      <c r="AG33" s="4">
        <v>-3</v>
      </c>
      <c r="AH33" s="4">
        <f t="shared" si="1"/>
        <v>32</v>
      </c>
      <c r="AI33" s="4"/>
      <c r="AJ33" s="4"/>
      <c r="AL33" s="4">
        <v>86793</v>
      </c>
      <c r="AM33" s="4">
        <v>31</v>
      </c>
      <c r="AN33" s="4">
        <v>86793</v>
      </c>
      <c r="AT33">
        <v>32</v>
      </c>
      <c r="AU33" s="62">
        <v>-13</v>
      </c>
      <c r="AW33">
        <v>11</v>
      </c>
      <c r="AX33" s="4">
        <v>-8</v>
      </c>
      <c r="AZ33">
        <v>11</v>
      </c>
      <c r="BA33" s="4">
        <v>8</v>
      </c>
      <c r="BC33" s="4">
        <v>31</v>
      </c>
      <c r="BD33" s="3" t="s">
        <v>2518</v>
      </c>
      <c r="BE33" s="4">
        <v>150</v>
      </c>
      <c r="BF33" s="4">
        <v>0</v>
      </c>
      <c r="BG33" s="4">
        <v>0</v>
      </c>
      <c r="BH33" s="4">
        <v>-10</v>
      </c>
      <c r="BI33" s="4">
        <v>1.4999999999999999E-2</v>
      </c>
      <c r="BJ33" s="4">
        <v>31</v>
      </c>
      <c r="CC33">
        <v>4</v>
      </c>
      <c r="CD33" t="s">
        <v>4018</v>
      </c>
      <c r="CE33" t="s">
        <v>855</v>
      </c>
    </row>
    <row r="34" spans="22:87" x14ac:dyDescent="0.25">
      <c r="V34" s="4" t="s">
        <v>992</v>
      </c>
      <c r="W34" s="4">
        <v>40</v>
      </c>
      <c r="X34" s="8" t="s">
        <v>993</v>
      </c>
      <c r="Y34" s="8">
        <f>IF(ISNUMBER(SEARCH(Z34,TalentFlaw)),50,0)</f>
        <v>0</v>
      </c>
      <c r="Z34" s="3" t="str">
        <f t="shared" si="0"/>
        <v>Camoflage (chameleon);</v>
      </c>
      <c r="AB34" t="s">
        <v>3479</v>
      </c>
      <c r="AC34" t="s">
        <v>1964</v>
      </c>
      <c r="AF34" s="4">
        <v>33</v>
      </c>
      <c r="AG34" s="4">
        <v>-3</v>
      </c>
      <c r="AH34" s="4">
        <f t="shared" si="1"/>
        <v>33</v>
      </c>
      <c r="AI34" s="4"/>
      <c r="AJ34" s="4"/>
      <c r="AL34" s="4">
        <v>95451</v>
      </c>
      <c r="AM34" s="4">
        <v>32</v>
      </c>
      <c r="AN34" s="4">
        <v>95451</v>
      </c>
      <c r="AT34">
        <v>33</v>
      </c>
      <c r="AU34" s="62">
        <v>-13</v>
      </c>
      <c r="AW34">
        <v>12</v>
      </c>
      <c r="AX34" s="4">
        <v>-8.5</v>
      </c>
      <c r="AZ34">
        <v>12</v>
      </c>
      <c r="BA34" s="4">
        <v>8.5</v>
      </c>
      <c r="BC34" s="4">
        <v>32</v>
      </c>
      <c r="BD34" s="3" t="s">
        <v>2550</v>
      </c>
      <c r="BE34" s="4">
        <v>58</v>
      </c>
      <c r="BF34" s="4">
        <v>-50</v>
      </c>
      <c r="BG34" s="4">
        <v>0</v>
      </c>
      <c r="BH34" s="4">
        <v>-50</v>
      </c>
      <c r="BI34" s="4">
        <v>0.5</v>
      </c>
      <c r="BJ34" s="4">
        <v>32</v>
      </c>
      <c r="BZ34" s="120" t="s">
        <v>4019</v>
      </c>
      <c r="CC34">
        <v>5</v>
      </c>
      <c r="CD34" t="s">
        <v>4020</v>
      </c>
      <c r="CE34" t="s">
        <v>855</v>
      </c>
      <c r="CH34" s="120" t="s">
        <v>4021</v>
      </c>
      <c r="CI34" s="120"/>
    </row>
    <row r="35" spans="22:87" x14ac:dyDescent="0.25">
      <c r="V35" s="4" t="s">
        <v>994</v>
      </c>
      <c r="W35" s="4">
        <v>10</v>
      </c>
      <c r="X35" s="8" t="s">
        <v>995</v>
      </c>
      <c r="Y35" s="8">
        <v>0</v>
      </c>
      <c r="Z35" s="3" t="str">
        <f t="shared" si="0"/>
        <v>Darkvision I;</v>
      </c>
      <c r="AB35" t="s">
        <v>1978</v>
      </c>
      <c r="AC35" t="s">
        <v>1964</v>
      </c>
      <c r="AF35" s="4">
        <v>34</v>
      </c>
      <c r="AG35" s="4">
        <v>-3</v>
      </c>
      <c r="AH35" s="4">
        <f t="shared" si="1"/>
        <v>34</v>
      </c>
      <c r="AI35" s="4"/>
      <c r="AJ35" s="4"/>
      <c r="AL35" s="4">
        <v>104918</v>
      </c>
      <c r="AM35" s="4">
        <v>33</v>
      </c>
      <c r="AN35" s="4">
        <v>104918</v>
      </c>
      <c r="AT35">
        <v>34</v>
      </c>
      <c r="AU35" s="62">
        <v>-12</v>
      </c>
      <c r="AW35">
        <v>13</v>
      </c>
      <c r="AX35" s="4">
        <v>-9</v>
      </c>
      <c r="AZ35">
        <v>13</v>
      </c>
      <c r="BA35" s="4">
        <v>9</v>
      </c>
      <c r="BC35" s="4">
        <v>33</v>
      </c>
      <c r="BD35" s="3" t="s">
        <v>2519</v>
      </c>
      <c r="BE35" s="4">
        <v>40</v>
      </c>
      <c r="BF35" s="4">
        <v>-10</v>
      </c>
      <c r="BG35" s="4">
        <v>-10</v>
      </c>
      <c r="BH35" s="4">
        <v>0</v>
      </c>
      <c r="BI35" s="4">
        <v>3</v>
      </c>
      <c r="BJ35" s="4">
        <v>33</v>
      </c>
      <c r="BY35">
        <v>1</v>
      </c>
      <c r="BZ35" t="s">
        <v>4022</v>
      </c>
      <c r="CA35" t="s">
        <v>1989</v>
      </c>
      <c r="CC35">
        <v>6</v>
      </c>
      <c r="CD35" t="s">
        <v>4023</v>
      </c>
      <c r="CE35" t="s">
        <v>855</v>
      </c>
      <c r="CG35">
        <v>1</v>
      </c>
      <c r="CH35" t="s">
        <v>4024</v>
      </c>
      <c r="CI35" t="s">
        <v>1990</v>
      </c>
    </row>
    <row r="36" spans="22:87" x14ac:dyDescent="0.25">
      <c r="V36" s="4" t="s">
        <v>996</v>
      </c>
      <c r="W36" s="4">
        <v>15</v>
      </c>
      <c r="X36" s="8" t="s">
        <v>997</v>
      </c>
      <c r="Y36" s="8">
        <v>0</v>
      </c>
      <c r="Z36" s="3" t="str">
        <f t="shared" si="0"/>
        <v>Darkvision II;</v>
      </c>
      <c r="AB36" t="s">
        <v>1979</v>
      </c>
      <c r="AC36" t="s">
        <v>816</v>
      </c>
      <c r="AF36" s="4">
        <v>35</v>
      </c>
      <c r="AG36" s="4">
        <v>-3</v>
      </c>
      <c r="AH36" s="4">
        <f t="shared" si="1"/>
        <v>35</v>
      </c>
      <c r="AI36" s="4"/>
      <c r="AJ36" s="4"/>
      <c r="AL36" s="4">
        <v>115270</v>
      </c>
      <c r="AM36" s="4">
        <v>34</v>
      </c>
      <c r="AN36" s="4">
        <v>115270</v>
      </c>
      <c r="AT36">
        <v>35</v>
      </c>
      <c r="AU36" s="62">
        <v>-12</v>
      </c>
      <c r="AW36">
        <v>14</v>
      </c>
      <c r="AX36" s="4">
        <v>-9.5</v>
      </c>
      <c r="AZ36">
        <v>14</v>
      </c>
      <c r="BA36" s="4">
        <v>9.5</v>
      </c>
      <c r="BC36" s="4">
        <v>34</v>
      </c>
      <c r="BD36" s="3" t="s">
        <v>348</v>
      </c>
      <c r="BE36" s="4">
        <v>90</v>
      </c>
      <c r="BF36" s="4">
        <v>0</v>
      </c>
      <c r="BG36" s="4">
        <v>0</v>
      </c>
      <c r="BH36" s="4">
        <v>-15</v>
      </c>
      <c r="BI36" s="4">
        <v>0.01</v>
      </c>
      <c r="BJ36" s="4">
        <v>34</v>
      </c>
      <c r="BY36">
        <v>2</v>
      </c>
      <c r="BZ36" t="s">
        <v>4025</v>
      </c>
      <c r="CA36" t="s">
        <v>1989</v>
      </c>
      <c r="CG36">
        <v>2</v>
      </c>
      <c r="CH36" t="s">
        <v>4026</v>
      </c>
      <c r="CI36" t="s">
        <v>1990</v>
      </c>
    </row>
    <row r="37" spans="22:87" x14ac:dyDescent="0.25">
      <c r="V37" s="4" t="s">
        <v>998</v>
      </c>
      <c r="W37" s="4">
        <v>20</v>
      </c>
      <c r="X37" s="8" t="s">
        <v>999</v>
      </c>
      <c r="Y37" s="8">
        <v>0</v>
      </c>
      <c r="Z37" s="3" t="str">
        <f t="shared" si="0"/>
        <v>Darkvision III;</v>
      </c>
      <c r="AB37" t="s">
        <v>1980</v>
      </c>
      <c r="AC37" t="s">
        <v>407</v>
      </c>
      <c r="AF37" s="4">
        <v>36</v>
      </c>
      <c r="AG37" s="4">
        <v>-2</v>
      </c>
      <c r="AH37" s="4">
        <f t="shared" si="1"/>
        <v>36</v>
      </c>
      <c r="AI37" s="4"/>
      <c r="AJ37" s="4"/>
      <c r="AL37" s="4">
        <v>126589</v>
      </c>
      <c r="AM37" s="4">
        <v>35</v>
      </c>
      <c r="AN37" s="4">
        <v>126589</v>
      </c>
      <c r="AT37">
        <v>36</v>
      </c>
      <c r="AU37" s="62">
        <v>-12</v>
      </c>
      <c r="AW37">
        <v>15</v>
      </c>
      <c r="AX37" s="4">
        <v>-10</v>
      </c>
      <c r="AZ37">
        <v>15</v>
      </c>
      <c r="BA37" s="4">
        <v>10</v>
      </c>
      <c r="BC37" s="4">
        <v>35</v>
      </c>
      <c r="BD37" s="3" t="s">
        <v>2907</v>
      </c>
      <c r="BE37" s="4">
        <v>62</v>
      </c>
      <c r="BF37" s="4">
        <v>0</v>
      </c>
      <c r="BG37" s="4">
        <v>0</v>
      </c>
      <c r="BH37" s="4">
        <v>0</v>
      </c>
      <c r="BI37" s="4">
        <v>0.08</v>
      </c>
      <c r="BJ37" s="4">
        <v>35</v>
      </c>
      <c r="BY37">
        <v>3</v>
      </c>
      <c r="BZ37" t="s">
        <v>4027</v>
      </c>
      <c r="CA37" t="s">
        <v>1989</v>
      </c>
      <c r="CD37" s="120" t="s">
        <v>4028</v>
      </c>
      <c r="CE37" s="120"/>
      <c r="CG37">
        <v>3</v>
      </c>
      <c r="CH37" t="s">
        <v>4029</v>
      </c>
      <c r="CI37" t="s">
        <v>1990</v>
      </c>
    </row>
    <row r="38" spans="22:87" x14ac:dyDescent="0.25">
      <c r="V38" s="4" t="s">
        <v>1000</v>
      </c>
      <c r="W38" s="4">
        <v>25</v>
      </c>
      <c r="X38" s="8" t="s">
        <v>1001</v>
      </c>
      <c r="Y38" s="8">
        <v>0</v>
      </c>
      <c r="Z38" s="3" t="str">
        <f t="shared" si="0"/>
        <v>Darkvision IV;</v>
      </c>
      <c r="AF38" s="4">
        <v>37</v>
      </c>
      <c r="AG38" s="4">
        <v>-2</v>
      </c>
      <c r="AH38" s="4">
        <f t="shared" si="1"/>
        <v>37</v>
      </c>
      <c r="AI38" s="4"/>
      <c r="AJ38" s="4"/>
      <c r="AL38" s="4">
        <v>138966</v>
      </c>
      <c r="AM38" s="4">
        <v>36</v>
      </c>
      <c r="AN38" s="4">
        <v>138966</v>
      </c>
      <c r="AT38">
        <v>37</v>
      </c>
      <c r="AU38" s="62">
        <v>-11</v>
      </c>
      <c r="AW38">
        <v>16</v>
      </c>
      <c r="AX38" s="4">
        <v>-11</v>
      </c>
      <c r="AZ38">
        <v>16</v>
      </c>
      <c r="BA38" s="4">
        <v>11</v>
      </c>
      <c r="BD38" s="3" t="s">
        <v>2906</v>
      </c>
      <c r="BE38" s="4">
        <v>62</v>
      </c>
      <c r="BF38" s="4">
        <v>0</v>
      </c>
      <c r="BG38" s="4">
        <v>0</v>
      </c>
      <c r="BH38" s="4">
        <v>0</v>
      </c>
      <c r="BI38" s="4">
        <v>4.0000000000000001E-3</v>
      </c>
      <c r="BY38">
        <v>4</v>
      </c>
      <c r="BZ38" t="s">
        <v>4030</v>
      </c>
      <c r="CA38" t="s">
        <v>1989</v>
      </c>
      <c r="CC38">
        <v>1</v>
      </c>
      <c r="CD38" t="s">
        <v>4031</v>
      </c>
      <c r="CE38" t="s">
        <v>855</v>
      </c>
      <c r="CG38">
        <v>4</v>
      </c>
      <c r="CH38" t="s">
        <v>4032</v>
      </c>
      <c r="CI38" t="s">
        <v>1990</v>
      </c>
    </row>
    <row r="39" spans="22:87" x14ac:dyDescent="0.25">
      <c r="V39" s="4" t="s">
        <v>1002</v>
      </c>
      <c r="W39" s="4">
        <v>30</v>
      </c>
      <c r="X39" s="8" t="s">
        <v>1003</v>
      </c>
      <c r="Y39" s="8">
        <v>0</v>
      </c>
      <c r="Z39" s="3" t="str">
        <f t="shared" si="0"/>
        <v>Darkvision V;</v>
      </c>
      <c r="AF39" s="4">
        <v>38</v>
      </c>
      <c r="AG39" s="4">
        <v>-2</v>
      </c>
      <c r="AH39" s="4">
        <f t="shared" si="1"/>
        <v>38</v>
      </c>
      <c r="AI39" s="4"/>
      <c r="AJ39" s="4"/>
      <c r="AL39" s="4">
        <v>152500</v>
      </c>
      <c r="AM39" s="4">
        <v>37</v>
      </c>
      <c r="AN39" s="4">
        <v>152500</v>
      </c>
      <c r="AT39">
        <v>38</v>
      </c>
      <c r="AU39" s="62">
        <v>-11</v>
      </c>
      <c r="AW39">
        <v>17</v>
      </c>
      <c r="AX39" s="4">
        <v>-12</v>
      </c>
      <c r="AZ39">
        <v>17</v>
      </c>
      <c r="BA39" s="4">
        <v>12</v>
      </c>
      <c r="BY39">
        <v>5</v>
      </c>
      <c r="BZ39" t="s">
        <v>4033</v>
      </c>
      <c r="CA39" t="s">
        <v>1989</v>
      </c>
      <c r="CC39">
        <v>2</v>
      </c>
      <c r="CD39" t="s">
        <v>4034</v>
      </c>
      <c r="CE39" t="s">
        <v>855</v>
      </c>
      <c r="CG39">
        <v>5</v>
      </c>
      <c r="CH39" t="s">
        <v>4035</v>
      </c>
      <c r="CI39" t="s">
        <v>1990</v>
      </c>
    </row>
    <row r="40" spans="22:87" x14ac:dyDescent="0.25">
      <c r="V40" s="4" t="s">
        <v>1004</v>
      </c>
      <c r="W40" s="4">
        <v>7</v>
      </c>
      <c r="X40" s="8" t="s">
        <v>1005</v>
      </c>
      <c r="Y40" s="8">
        <v>0</v>
      </c>
      <c r="Z40" s="3" t="str">
        <f t="shared" si="0"/>
        <v>Deadeye I;</v>
      </c>
      <c r="AF40" s="4">
        <v>39</v>
      </c>
      <c r="AG40" s="4">
        <v>-2</v>
      </c>
      <c r="AH40" s="4">
        <f t="shared" si="1"/>
        <v>39</v>
      </c>
      <c r="AI40" s="4"/>
      <c r="AJ40" s="4"/>
      <c r="AL40" s="4">
        <v>167298</v>
      </c>
      <c r="AM40" s="4">
        <v>38</v>
      </c>
      <c r="AN40" s="4">
        <v>167298</v>
      </c>
      <c r="AT40">
        <v>39</v>
      </c>
      <c r="AU40" s="62">
        <v>-11</v>
      </c>
      <c r="AW40">
        <v>18</v>
      </c>
      <c r="AX40" s="4">
        <v>-13</v>
      </c>
      <c r="AZ40">
        <v>18</v>
      </c>
      <c r="BA40" s="4">
        <v>13</v>
      </c>
      <c r="BY40">
        <v>6</v>
      </c>
      <c r="BZ40" t="s">
        <v>4036</v>
      </c>
      <c r="CA40" t="s">
        <v>1989</v>
      </c>
      <c r="CC40">
        <v>3</v>
      </c>
      <c r="CD40" t="s">
        <v>4037</v>
      </c>
      <c r="CE40" t="s">
        <v>855</v>
      </c>
      <c r="CG40">
        <v>6</v>
      </c>
      <c r="CH40" t="s">
        <v>372</v>
      </c>
      <c r="CI40" t="s">
        <v>1990</v>
      </c>
    </row>
    <row r="41" spans="22:87" x14ac:dyDescent="0.25">
      <c r="V41" s="4" t="s">
        <v>1006</v>
      </c>
      <c r="W41" s="4">
        <v>14</v>
      </c>
      <c r="X41" s="8" t="s">
        <v>1007</v>
      </c>
      <c r="Y41" s="8">
        <v>0</v>
      </c>
      <c r="Z41" s="3" t="str">
        <f t="shared" si="0"/>
        <v>Deadeye II;</v>
      </c>
      <c r="AF41" s="4">
        <v>40</v>
      </c>
      <c r="AG41" s="4">
        <v>-2</v>
      </c>
      <c r="AH41" s="4">
        <f t="shared" si="1"/>
        <v>40</v>
      </c>
      <c r="AI41" s="4"/>
      <c r="AJ41" s="4"/>
      <c r="AL41" s="4">
        <v>183479</v>
      </c>
      <c r="AM41" s="4">
        <v>39</v>
      </c>
      <c r="AN41" s="4">
        <v>183479</v>
      </c>
      <c r="AT41">
        <v>40</v>
      </c>
      <c r="AU41" s="62">
        <v>-10</v>
      </c>
      <c r="AW41">
        <v>19</v>
      </c>
      <c r="AX41" s="4">
        <v>-14</v>
      </c>
      <c r="AZ41">
        <v>19</v>
      </c>
      <c r="BA41" s="4">
        <v>14</v>
      </c>
      <c r="CC41">
        <v>4</v>
      </c>
      <c r="CD41" t="s">
        <v>4038</v>
      </c>
      <c r="CE41" t="s">
        <v>855</v>
      </c>
    </row>
    <row r="42" spans="22:87" x14ac:dyDescent="0.25">
      <c r="V42" s="4" t="s">
        <v>1008</v>
      </c>
      <c r="W42" s="4">
        <v>21</v>
      </c>
      <c r="X42" s="8" t="s">
        <v>1009</v>
      </c>
      <c r="Y42" s="8">
        <v>0</v>
      </c>
      <c r="Z42" s="3" t="str">
        <f t="shared" si="0"/>
        <v>Deadeye III;</v>
      </c>
      <c r="AF42" s="4">
        <v>41</v>
      </c>
      <c r="AG42" s="4">
        <v>-2</v>
      </c>
      <c r="AH42" s="4">
        <f t="shared" si="1"/>
        <v>41</v>
      </c>
      <c r="AI42" s="4"/>
      <c r="AJ42" s="4"/>
      <c r="AL42" s="4">
        <v>201172</v>
      </c>
      <c r="AM42" s="4">
        <v>40</v>
      </c>
      <c r="AN42" s="4">
        <v>201172</v>
      </c>
      <c r="AT42">
        <v>41</v>
      </c>
      <c r="AU42" s="62">
        <v>-10</v>
      </c>
      <c r="AW42">
        <v>20</v>
      </c>
      <c r="AX42" s="4">
        <v>-15</v>
      </c>
      <c r="AZ42">
        <v>20</v>
      </c>
      <c r="BA42" s="4">
        <v>15</v>
      </c>
      <c r="BZ42" s="120" t="s">
        <v>4039</v>
      </c>
      <c r="CC42">
        <v>5</v>
      </c>
      <c r="CD42" t="s">
        <v>4040</v>
      </c>
      <c r="CE42" t="s">
        <v>855</v>
      </c>
      <c r="CH42" s="120" t="s">
        <v>4041</v>
      </c>
      <c r="CI42" s="120"/>
    </row>
    <row r="43" spans="22:87" x14ac:dyDescent="0.25">
      <c r="V43" s="4" t="s">
        <v>1010</v>
      </c>
      <c r="W43" s="4">
        <v>28</v>
      </c>
      <c r="X43" s="8" t="s">
        <v>1011</v>
      </c>
      <c r="Y43" s="8">
        <v>0</v>
      </c>
      <c r="Z43" s="3" t="str">
        <f t="shared" si="0"/>
        <v>Deadeye IV;</v>
      </c>
      <c r="AF43" s="4">
        <v>42</v>
      </c>
      <c r="AG43" s="4">
        <v>-1</v>
      </c>
      <c r="AH43" s="4">
        <f t="shared" si="1"/>
        <v>42</v>
      </c>
      <c r="AI43" s="4"/>
      <c r="AJ43" s="4"/>
      <c r="AL43" s="4">
        <v>220519</v>
      </c>
      <c r="AM43" s="4">
        <v>41</v>
      </c>
      <c r="AN43" s="4">
        <v>220519</v>
      </c>
      <c r="AT43">
        <v>42</v>
      </c>
      <c r="AU43" s="62">
        <v>-10</v>
      </c>
      <c r="BY43">
        <v>1</v>
      </c>
      <c r="BZ43" t="s">
        <v>4042</v>
      </c>
      <c r="CA43" t="s">
        <v>1989</v>
      </c>
      <c r="CC43">
        <v>6</v>
      </c>
      <c r="CD43" t="s">
        <v>4043</v>
      </c>
      <c r="CE43" t="s">
        <v>855</v>
      </c>
      <c r="CG43">
        <v>1</v>
      </c>
      <c r="CH43" t="s">
        <v>4044</v>
      </c>
      <c r="CI43" t="s">
        <v>1990</v>
      </c>
    </row>
    <row r="44" spans="22:87" x14ac:dyDescent="0.25">
      <c r="V44" s="4" t="s">
        <v>1012</v>
      </c>
      <c r="W44" s="4">
        <v>35</v>
      </c>
      <c r="X44" s="8" t="s">
        <v>1013</v>
      </c>
      <c r="Y44" s="8">
        <v>0</v>
      </c>
      <c r="Z44" s="3" t="str">
        <f t="shared" si="0"/>
        <v>Deadeye V;</v>
      </c>
      <c r="AF44" s="4">
        <v>43</v>
      </c>
      <c r="AG44" s="4">
        <v>-1</v>
      </c>
      <c r="AH44" s="4">
        <f t="shared" si="1"/>
        <v>43</v>
      </c>
      <c r="AI44" s="4"/>
      <c r="AJ44" s="4"/>
      <c r="AL44" s="4">
        <v>241674</v>
      </c>
      <c r="AM44" s="4">
        <v>42</v>
      </c>
      <c r="AN44" s="4">
        <v>241674</v>
      </c>
      <c r="AT44">
        <v>43</v>
      </c>
      <c r="AU44" s="62">
        <v>-9</v>
      </c>
      <c r="BY44">
        <v>2</v>
      </c>
      <c r="BZ44" t="s">
        <v>4045</v>
      </c>
      <c r="CA44" t="s">
        <v>1989</v>
      </c>
      <c r="CG44">
        <v>2</v>
      </c>
      <c r="CH44" t="s">
        <v>4046</v>
      </c>
      <c r="CI44" t="s">
        <v>1990</v>
      </c>
    </row>
    <row r="45" spans="22:87" x14ac:dyDescent="0.25">
      <c r="V45" s="4" t="s">
        <v>1014</v>
      </c>
      <c r="W45" s="4">
        <v>10</v>
      </c>
      <c r="X45" s="8" t="s">
        <v>1015</v>
      </c>
      <c r="Y45" s="8">
        <v>0</v>
      </c>
      <c r="Z45" s="3" t="str">
        <f t="shared" si="0"/>
        <v>Destiny Sense I;</v>
      </c>
      <c r="AF45" s="4">
        <v>44</v>
      </c>
      <c r="AG45" s="4">
        <v>-1</v>
      </c>
      <c r="AH45" s="4">
        <f t="shared" si="1"/>
        <v>44</v>
      </c>
      <c r="AI45" s="4"/>
      <c r="AJ45" s="4"/>
      <c r="AL45" s="4">
        <v>264806</v>
      </c>
      <c r="AM45" s="4">
        <v>43</v>
      </c>
      <c r="AN45" s="4">
        <v>264806</v>
      </c>
      <c r="AT45">
        <v>44</v>
      </c>
      <c r="AU45" s="62">
        <v>-9</v>
      </c>
      <c r="BY45">
        <v>3</v>
      </c>
      <c r="BZ45" t="s">
        <v>4047</v>
      </c>
      <c r="CA45" t="s">
        <v>1989</v>
      </c>
      <c r="CD45" s="120" t="s">
        <v>4048</v>
      </c>
      <c r="CE45" s="120"/>
      <c r="CG45">
        <v>3</v>
      </c>
      <c r="CH45" t="s">
        <v>4049</v>
      </c>
      <c r="CI45" t="s">
        <v>1990</v>
      </c>
    </row>
    <row r="46" spans="22:87" x14ac:dyDescent="0.25">
      <c r="V46" s="4" t="s">
        <v>1016</v>
      </c>
      <c r="W46" s="4">
        <v>20</v>
      </c>
      <c r="X46" s="8" t="s">
        <v>1017</v>
      </c>
      <c r="Y46" s="8">
        <v>0</v>
      </c>
      <c r="Z46" s="3" t="str">
        <f t="shared" si="0"/>
        <v>Destiny Sense II;</v>
      </c>
      <c r="AF46" s="4">
        <v>45</v>
      </c>
      <c r="AG46" s="4">
        <v>-1</v>
      </c>
      <c r="AH46" s="4">
        <f t="shared" si="1"/>
        <v>45</v>
      </c>
      <c r="AI46" s="4"/>
      <c r="AJ46" s="4"/>
      <c r="AL46" s="4">
        <v>290100</v>
      </c>
      <c r="AM46" s="4">
        <v>44</v>
      </c>
      <c r="AN46" s="4">
        <v>290100</v>
      </c>
      <c r="AT46">
        <v>45</v>
      </c>
      <c r="AU46" s="62">
        <v>-9</v>
      </c>
      <c r="BY46">
        <v>4</v>
      </c>
      <c r="BZ46" t="s">
        <v>4050</v>
      </c>
      <c r="CA46" t="s">
        <v>1989</v>
      </c>
      <c r="CC46">
        <v>1</v>
      </c>
      <c r="CD46" t="s">
        <v>4051</v>
      </c>
      <c r="CE46" t="s">
        <v>855</v>
      </c>
      <c r="CG46">
        <v>4</v>
      </c>
      <c r="CH46" t="s">
        <v>4052</v>
      </c>
      <c r="CI46" t="s">
        <v>1990</v>
      </c>
    </row>
    <row r="47" spans="22:87" x14ac:dyDescent="0.25">
      <c r="V47" s="4" t="s">
        <v>1018</v>
      </c>
      <c r="W47" s="4">
        <v>30</v>
      </c>
      <c r="X47" s="8" t="s">
        <v>1019</v>
      </c>
      <c r="Y47" s="8">
        <f>IF(ISNUMBER(SEARCH(Z47,TalentFlaw)),40,0)</f>
        <v>0</v>
      </c>
      <c r="Z47" s="3" t="str">
        <f t="shared" si="0"/>
        <v>Echolocation;</v>
      </c>
      <c r="AF47" s="4">
        <v>46</v>
      </c>
      <c r="AG47" s="4">
        <v>-1</v>
      </c>
      <c r="AH47" s="4">
        <f t="shared" si="1"/>
        <v>46</v>
      </c>
      <c r="AI47" s="4"/>
      <c r="AJ47" s="4"/>
      <c r="AL47" s="4">
        <v>317757</v>
      </c>
      <c r="AM47" s="4">
        <v>45</v>
      </c>
      <c r="AN47" s="4">
        <v>317757</v>
      </c>
      <c r="AT47">
        <v>46</v>
      </c>
      <c r="AU47" s="62">
        <v>-8</v>
      </c>
      <c r="BY47">
        <v>5</v>
      </c>
      <c r="BZ47" t="s">
        <v>4053</v>
      </c>
      <c r="CA47" t="s">
        <v>1989</v>
      </c>
      <c r="CC47">
        <v>2</v>
      </c>
      <c r="CD47" t="s">
        <v>4054</v>
      </c>
      <c r="CE47" t="s">
        <v>855</v>
      </c>
      <c r="CG47">
        <v>5</v>
      </c>
      <c r="CH47" t="s">
        <v>4055</v>
      </c>
      <c r="CI47" t="s">
        <v>1990</v>
      </c>
    </row>
    <row r="48" spans="22:87" x14ac:dyDescent="0.25">
      <c r="V48" s="4" t="s">
        <v>1020</v>
      </c>
      <c r="W48" s="4">
        <v>5</v>
      </c>
      <c r="X48" s="8" t="s">
        <v>1021</v>
      </c>
      <c r="Y48" s="8">
        <v>0</v>
      </c>
      <c r="Z48" s="3" t="str">
        <f t="shared" si="0"/>
        <v>Efficient Sleeper I;</v>
      </c>
      <c r="AF48" s="4">
        <v>47</v>
      </c>
      <c r="AG48" s="4">
        <v>-1</v>
      </c>
      <c r="AH48" s="4">
        <f t="shared" si="1"/>
        <v>47</v>
      </c>
      <c r="AI48" s="4"/>
      <c r="AJ48" s="4"/>
      <c r="AL48" s="4">
        <v>347999</v>
      </c>
      <c r="AM48" s="4">
        <v>46</v>
      </c>
      <c r="AN48" s="4">
        <v>347999</v>
      </c>
      <c r="AT48">
        <v>47</v>
      </c>
      <c r="AU48" s="62">
        <v>-8</v>
      </c>
      <c r="BY48">
        <v>6</v>
      </c>
      <c r="BZ48" t="s">
        <v>4056</v>
      </c>
      <c r="CA48" t="s">
        <v>1989</v>
      </c>
      <c r="CC48">
        <v>3</v>
      </c>
      <c r="CD48" t="s">
        <v>4057</v>
      </c>
      <c r="CE48" t="s">
        <v>855</v>
      </c>
      <c r="CG48">
        <v>6</v>
      </c>
      <c r="CH48" t="s">
        <v>4058</v>
      </c>
      <c r="CI48" t="s">
        <v>1990</v>
      </c>
    </row>
    <row r="49" spans="22:87" x14ac:dyDescent="0.25">
      <c r="V49" s="4" t="s">
        <v>1022</v>
      </c>
      <c r="W49" s="4">
        <v>10</v>
      </c>
      <c r="X49" s="8" t="s">
        <v>1023</v>
      </c>
      <c r="Y49" s="8">
        <v>0</v>
      </c>
      <c r="Z49" s="3" t="str">
        <f t="shared" si="0"/>
        <v>Efficient Sleeper II;</v>
      </c>
      <c r="AF49" s="4">
        <v>48</v>
      </c>
      <c r="AG49" s="4">
        <v>0</v>
      </c>
      <c r="AH49" s="4">
        <f t="shared" si="1"/>
        <v>48</v>
      </c>
      <c r="AI49" s="4"/>
      <c r="AJ49" s="4"/>
      <c r="AL49" s="4">
        <v>381067</v>
      </c>
      <c r="AM49" s="4">
        <v>47</v>
      </c>
      <c r="AN49" s="4">
        <v>381067</v>
      </c>
      <c r="AT49">
        <v>48</v>
      </c>
      <c r="AU49" s="62">
        <v>-8</v>
      </c>
      <c r="CC49">
        <v>4</v>
      </c>
      <c r="CD49" t="s">
        <v>4059</v>
      </c>
      <c r="CE49" t="s">
        <v>855</v>
      </c>
    </row>
    <row r="50" spans="22:87" x14ac:dyDescent="0.25">
      <c r="V50" s="4" t="s">
        <v>1024</v>
      </c>
      <c r="W50" s="4">
        <v>20</v>
      </c>
      <c r="X50" s="8" t="s">
        <v>1025</v>
      </c>
      <c r="Y50" s="8">
        <f>IF(ISNUMBER(SEARCH(Z50,TalentFlaw)),"Imm",0)</f>
        <v>0</v>
      </c>
      <c r="Z50" s="3" t="str">
        <f t="shared" si="0"/>
        <v>Elemental Immunity (cold);</v>
      </c>
      <c r="AF50" s="4">
        <v>49</v>
      </c>
      <c r="AG50" s="4">
        <v>0</v>
      </c>
      <c r="AH50" s="4">
        <f t="shared" si="1"/>
        <v>49</v>
      </c>
      <c r="AI50" s="4"/>
      <c r="AJ50" s="4"/>
      <c r="AL50" s="4">
        <v>417226</v>
      </c>
      <c r="AM50" s="4">
        <v>48</v>
      </c>
      <c r="AN50" s="4">
        <v>417226</v>
      </c>
      <c r="AT50">
        <v>49</v>
      </c>
      <c r="AU50" s="62">
        <v>-7</v>
      </c>
      <c r="BZ50" s="120" t="s">
        <v>4060</v>
      </c>
      <c r="CC50">
        <v>5</v>
      </c>
      <c r="CD50" t="s">
        <v>4061</v>
      </c>
      <c r="CE50" t="s">
        <v>855</v>
      </c>
      <c r="CH50" s="120" t="s">
        <v>4062</v>
      </c>
      <c r="CI50" s="120"/>
    </row>
    <row r="51" spans="22:87" x14ac:dyDescent="0.25">
      <c r="V51" s="4" t="s">
        <v>1026</v>
      </c>
      <c r="W51" s="4">
        <v>20</v>
      </c>
      <c r="X51" s="8" t="s">
        <v>1027</v>
      </c>
      <c r="Y51" s="8">
        <f>IF(ISNUMBER(SEARCH(Z51,TalentFlaw)),"Imm",0)</f>
        <v>0</v>
      </c>
      <c r="Z51" s="3" t="str">
        <f t="shared" si="0"/>
        <v>Elemental Immunity (heat);</v>
      </c>
      <c r="AF51" s="4">
        <v>50</v>
      </c>
      <c r="AG51" s="4">
        <v>0</v>
      </c>
      <c r="AH51" s="4">
        <f t="shared" si="1"/>
        <v>50</v>
      </c>
      <c r="AI51" s="4"/>
      <c r="AJ51" s="4"/>
      <c r="AL51" s="4">
        <v>456765</v>
      </c>
      <c r="AM51" s="4">
        <v>49</v>
      </c>
      <c r="AN51" s="4">
        <v>456765</v>
      </c>
      <c r="AT51">
        <v>50</v>
      </c>
      <c r="AU51" s="62">
        <v>-7</v>
      </c>
      <c r="BY51">
        <v>1</v>
      </c>
      <c r="BZ51" t="s">
        <v>4063</v>
      </c>
      <c r="CA51" t="s">
        <v>1989</v>
      </c>
      <c r="CC51">
        <v>6</v>
      </c>
      <c r="CD51" t="s">
        <v>4064</v>
      </c>
      <c r="CE51" t="s">
        <v>855</v>
      </c>
      <c r="CG51">
        <v>1</v>
      </c>
      <c r="CH51" t="s">
        <v>4065</v>
      </c>
      <c r="CI51" t="s">
        <v>1990</v>
      </c>
    </row>
    <row r="52" spans="22:87" x14ac:dyDescent="0.25">
      <c r="V52" s="4" t="s">
        <v>1028</v>
      </c>
      <c r="W52" s="4">
        <v>20</v>
      </c>
      <c r="X52" s="8" t="s">
        <v>1029</v>
      </c>
      <c r="Y52" s="8">
        <f>IF(ISNUMBER(SEARCH(Z52,TalentFlaw)),"Imm",0)</f>
        <v>0</v>
      </c>
      <c r="Z52" s="3" t="str">
        <f t="shared" si="0"/>
        <v>Elemental Immunity (light);</v>
      </c>
      <c r="AF52" s="4">
        <v>51</v>
      </c>
      <c r="AG52" s="4">
        <v>0</v>
      </c>
      <c r="AH52" s="4">
        <f t="shared" si="1"/>
        <v>51</v>
      </c>
      <c r="AI52" s="4"/>
      <c r="AJ52" s="4"/>
      <c r="AL52" s="4">
        <v>500000</v>
      </c>
      <c r="AM52" s="4">
        <v>50</v>
      </c>
      <c r="AN52" s="4">
        <v>500000</v>
      </c>
      <c r="AT52">
        <v>51</v>
      </c>
      <c r="AU52" s="62">
        <v>-7</v>
      </c>
      <c r="BY52">
        <v>2</v>
      </c>
      <c r="BZ52" t="s">
        <v>4066</v>
      </c>
      <c r="CA52" t="s">
        <v>1989</v>
      </c>
      <c r="CG52">
        <v>2</v>
      </c>
      <c r="CH52" t="s">
        <v>4067</v>
      </c>
      <c r="CI52" t="s">
        <v>1990</v>
      </c>
    </row>
    <row r="53" spans="22:87" x14ac:dyDescent="0.25">
      <c r="V53" s="4" t="s">
        <v>1030</v>
      </c>
      <c r="W53" s="4">
        <v>15</v>
      </c>
      <c r="X53" s="8" t="s">
        <v>1031</v>
      </c>
      <c r="Y53" s="8">
        <f>IF(ISNUMBER(SEARCH(Z53,TalentFlaw)),5,0)</f>
        <v>0</v>
      </c>
      <c r="Z53" s="3" t="str">
        <f t="shared" si="0"/>
        <v>Eloquence I;</v>
      </c>
      <c r="AF53" s="4">
        <v>52</v>
      </c>
      <c r="AG53" s="4">
        <v>0</v>
      </c>
      <c r="AH53" s="4">
        <f t="shared" si="1"/>
        <v>52</v>
      </c>
      <c r="AI53" s="4"/>
      <c r="AJ53" s="4"/>
      <c r="AT53">
        <v>52</v>
      </c>
      <c r="AU53" s="62">
        <v>-6</v>
      </c>
      <c r="BY53">
        <v>3</v>
      </c>
      <c r="BZ53" t="s">
        <v>4068</v>
      </c>
      <c r="CA53" t="s">
        <v>1989</v>
      </c>
      <c r="CD53" s="120" t="s">
        <v>4069</v>
      </c>
      <c r="CG53">
        <v>3</v>
      </c>
      <c r="CH53" t="s">
        <v>4070</v>
      </c>
      <c r="CI53" t="s">
        <v>1990</v>
      </c>
    </row>
    <row r="54" spans="22:87" x14ac:dyDescent="0.25">
      <c r="V54" s="4" t="s">
        <v>1032</v>
      </c>
      <c r="W54" s="4">
        <v>30</v>
      </c>
      <c r="X54" s="8" t="s">
        <v>1033</v>
      </c>
      <c r="Y54" s="8">
        <f>IF(ISNUMBER(SEARCH(Z54,TalentFlaw)),10,0)</f>
        <v>0</v>
      </c>
      <c r="Z54" s="3" t="str">
        <f t="shared" si="0"/>
        <v>Eloquence II;</v>
      </c>
      <c r="AF54" s="4">
        <v>53</v>
      </c>
      <c r="AG54" s="4">
        <v>0</v>
      </c>
      <c r="AH54" s="4">
        <f t="shared" si="1"/>
        <v>53</v>
      </c>
      <c r="AI54" s="4"/>
      <c r="AJ54" s="4"/>
      <c r="AL54" s="39"/>
      <c r="AT54">
        <v>53</v>
      </c>
      <c r="AU54" s="62">
        <v>-6</v>
      </c>
      <c r="BY54">
        <v>4</v>
      </c>
      <c r="BZ54" t="s">
        <v>4071</v>
      </c>
      <c r="CA54" t="s">
        <v>1989</v>
      </c>
      <c r="CC54">
        <v>1</v>
      </c>
      <c r="CD54" t="s">
        <v>4072</v>
      </c>
      <c r="CE54" t="s">
        <v>855</v>
      </c>
      <c r="CG54">
        <v>4</v>
      </c>
      <c r="CH54" t="s">
        <v>4073</v>
      </c>
      <c r="CI54" t="s">
        <v>1990</v>
      </c>
    </row>
    <row r="55" spans="22:87" x14ac:dyDescent="0.25">
      <c r="V55" s="4" t="s">
        <v>1034</v>
      </c>
      <c r="W55" s="4">
        <v>45</v>
      </c>
      <c r="X55" s="8" t="s">
        <v>1035</v>
      </c>
      <c r="Y55" s="8">
        <f>IF(ISNUMBER(SEARCH(Z55,TalentFlaw)),15,0)</f>
        <v>0</v>
      </c>
      <c r="Z55" s="3" t="str">
        <f t="shared" si="0"/>
        <v>Eloquence III;</v>
      </c>
      <c r="AF55" s="4">
        <v>54</v>
      </c>
      <c r="AG55" s="4">
        <v>1</v>
      </c>
      <c r="AH55" s="4">
        <f t="shared" si="1"/>
        <v>54</v>
      </c>
      <c r="AI55" s="4"/>
      <c r="AJ55" s="4"/>
      <c r="AT55">
        <v>54</v>
      </c>
      <c r="AU55" s="62">
        <v>-6</v>
      </c>
      <c r="BY55">
        <v>5</v>
      </c>
      <c r="BZ55" t="s">
        <v>4074</v>
      </c>
      <c r="CA55" t="s">
        <v>1989</v>
      </c>
      <c r="CC55">
        <v>2</v>
      </c>
      <c r="CD55" t="s">
        <v>4075</v>
      </c>
      <c r="CE55" t="s">
        <v>855</v>
      </c>
      <c r="CG55">
        <v>5</v>
      </c>
      <c r="CH55" t="s">
        <v>4076</v>
      </c>
      <c r="CI55" t="s">
        <v>1990</v>
      </c>
    </row>
    <row r="56" spans="22:87" x14ac:dyDescent="0.25">
      <c r="V56" s="4" t="s">
        <v>1036</v>
      </c>
      <c r="W56" s="4">
        <v>60</v>
      </c>
      <c r="X56" s="8" t="s">
        <v>1037</v>
      </c>
      <c r="Y56" s="8">
        <f>IF(ISNUMBER(SEARCH(Z56,TalentFlaw)),20,0)</f>
        <v>0</v>
      </c>
      <c r="Z56" s="3" t="str">
        <f t="shared" si="0"/>
        <v>Eloquence IV;</v>
      </c>
      <c r="AF56" s="4">
        <v>55</v>
      </c>
      <c r="AG56" s="4">
        <v>1</v>
      </c>
      <c r="AH56" s="4">
        <f t="shared" si="1"/>
        <v>55</v>
      </c>
      <c r="AI56" s="4"/>
      <c r="AJ56" s="4"/>
      <c r="AT56">
        <v>55</v>
      </c>
      <c r="AU56" s="62">
        <v>-5</v>
      </c>
      <c r="BY56">
        <v>6</v>
      </c>
      <c r="BZ56" t="s">
        <v>4077</v>
      </c>
      <c r="CA56" t="s">
        <v>1989</v>
      </c>
      <c r="CC56">
        <v>3</v>
      </c>
      <c r="CD56" t="s">
        <v>4078</v>
      </c>
      <c r="CE56" t="s">
        <v>855</v>
      </c>
      <c r="CG56">
        <v>6</v>
      </c>
      <c r="CH56" t="s">
        <v>4079</v>
      </c>
      <c r="CI56" t="s">
        <v>1990</v>
      </c>
    </row>
    <row r="57" spans="22:87" x14ac:dyDescent="0.25">
      <c r="V57" s="4" t="s">
        <v>1038</v>
      </c>
      <c r="W57" s="4">
        <v>75</v>
      </c>
      <c r="X57" s="8" t="s">
        <v>1039</v>
      </c>
      <c r="Y57" s="8">
        <f>IF(ISNUMBER(SEARCH(Z57,TalentFlaw)),25,0)</f>
        <v>0</v>
      </c>
      <c r="Z57" s="3" t="str">
        <f t="shared" si="0"/>
        <v>Eloquence V;</v>
      </c>
      <c r="AF57" s="4">
        <v>56</v>
      </c>
      <c r="AG57" s="4">
        <v>1</v>
      </c>
      <c r="AH57" s="4">
        <f t="shared" si="1"/>
        <v>56</v>
      </c>
      <c r="AI57" s="4"/>
      <c r="AJ57" s="4"/>
      <c r="AT57">
        <v>56</v>
      </c>
      <c r="AU57" s="62">
        <v>-5</v>
      </c>
      <c r="CC57">
        <v>4</v>
      </c>
      <c r="CD57" t="s">
        <v>4080</v>
      </c>
      <c r="CE57" t="s">
        <v>855</v>
      </c>
    </row>
    <row r="58" spans="22:87" x14ac:dyDescent="0.25">
      <c r="V58" s="4" t="s">
        <v>731</v>
      </c>
      <c r="W58" s="4">
        <v>20</v>
      </c>
      <c r="X58" s="8" t="s">
        <v>1040</v>
      </c>
      <c r="Y58" s="8">
        <f>IF(ISNUMBER(SEARCH(Z58,TalentFlaw)),50,0)</f>
        <v>0</v>
      </c>
      <c r="Z58" s="3" t="str">
        <f t="shared" si="0"/>
        <v>Empathy;</v>
      </c>
      <c r="AF58" s="4">
        <v>57</v>
      </c>
      <c r="AG58" s="4">
        <v>1</v>
      </c>
      <c r="AH58" s="4">
        <f t="shared" si="1"/>
        <v>57</v>
      </c>
      <c r="AI58" s="4"/>
      <c r="AJ58" s="4"/>
      <c r="AT58">
        <v>57</v>
      </c>
      <c r="AU58" s="62">
        <v>-5</v>
      </c>
      <c r="BZ58" s="120" t="s">
        <v>4081</v>
      </c>
      <c r="CC58">
        <v>5</v>
      </c>
      <c r="CD58" t="s">
        <v>4082</v>
      </c>
      <c r="CE58" t="s">
        <v>855</v>
      </c>
      <c r="CH58" s="120" t="s">
        <v>4083</v>
      </c>
      <c r="CI58" s="120"/>
    </row>
    <row r="59" spans="22:87" x14ac:dyDescent="0.25">
      <c r="V59" s="4" t="s">
        <v>1041</v>
      </c>
      <c r="W59" s="4">
        <v>20</v>
      </c>
      <c r="X59" s="8" t="s">
        <v>1042</v>
      </c>
      <c r="Y59" s="8">
        <f>IF(ISNUMBER(SEARCH(Z59,TalentFlaw)),1,0)</f>
        <v>0</v>
      </c>
      <c r="Z59" s="3" t="str">
        <f t="shared" si="0"/>
        <v>Enhanced Attack (Melee) I;</v>
      </c>
      <c r="AF59" s="4">
        <v>58</v>
      </c>
      <c r="AG59" s="4">
        <v>1</v>
      </c>
      <c r="AH59" s="4">
        <f t="shared" si="1"/>
        <v>58</v>
      </c>
      <c r="AI59" s="4"/>
      <c r="AJ59" s="4"/>
      <c r="AT59">
        <v>58</v>
      </c>
      <c r="AU59" s="62">
        <v>-4</v>
      </c>
      <c r="BY59">
        <v>1</v>
      </c>
      <c r="BZ59" t="s">
        <v>4084</v>
      </c>
      <c r="CA59" t="s">
        <v>1989</v>
      </c>
      <c r="CC59">
        <v>6</v>
      </c>
      <c r="CD59" t="s">
        <v>4085</v>
      </c>
      <c r="CE59" t="s">
        <v>855</v>
      </c>
      <c r="CG59">
        <v>1</v>
      </c>
      <c r="CH59" t="s">
        <v>4086</v>
      </c>
      <c r="CI59" t="s">
        <v>1990</v>
      </c>
    </row>
    <row r="60" spans="22:87" x14ac:dyDescent="0.25">
      <c r="V60" s="4" t="s">
        <v>1043</v>
      </c>
      <c r="W60" s="4">
        <v>40</v>
      </c>
      <c r="X60" s="8" t="s">
        <v>1044</v>
      </c>
      <c r="Y60" s="8">
        <f>IF(ISNUMBER(SEARCH(Z60,TalentFlaw)),2,0)</f>
        <v>0</v>
      </c>
      <c r="Z60" s="3" t="str">
        <f t="shared" si="0"/>
        <v>Enhanced Attack (Melee) II;</v>
      </c>
      <c r="AF60" s="4">
        <v>59</v>
      </c>
      <c r="AG60" s="4">
        <v>1</v>
      </c>
      <c r="AH60" s="4">
        <f t="shared" si="1"/>
        <v>59</v>
      </c>
      <c r="AI60" s="4"/>
      <c r="AJ60" s="4"/>
      <c r="AT60">
        <v>59</v>
      </c>
      <c r="AU60" s="62">
        <v>-4</v>
      </c>
      <c r="BY60">
        <v>2</v>
      </c>
      <c r="BZ60" t="s">
        <v>4087</v>
      </c>
      <c r="CA60" t="s">
        <v>1989</v>
      </c>
      <c r="CG60">
        <v>2</v>
      </c>
      <c r="CH60" t="s">
        <v>4088</v>
      </c>
      <c r="CI60" t="s">
        <v>1990</v>
      </c>
    </row>
    <row r="61" spans="22:87" x14ac:dyDescent="0.25">
      <c r="V61" s="4" t="s">
        <v>1045</v>
      </c>
      <c r="W61" s="4">
        <v>60</v>
      </c>
      <c r="X61" s="8" t="s">
        <v>1046</v>
      </c>
      <c r="Y61" s="8">
        <f>IF(ISNUMBER(SEARCH(Z61,TalentFlaw)),3,0)</f>
        <v>0</v>
      </c>
      <c r="Z61" s="3" t="str">
        <f t="shared" si="0"/>
        <v>Enhanced Attack (Melee) III;</v>
      </c>
      <c r="AF61" s="4">
        <v>60</v>
      </c>
      <c r="AG61" s="4">
        <v>2</v>
      </c>
      <c r="AH61" s="4">
        <f t="shared" si="1"/>
        <v>60</v>
      </c>
      <c r="AI61" s="4"/>
      <c r="AJ61" s="4"/>
      <c r="AT61">
        <v>60</v>
      </c>
      <c r="AU61" s="62">
        <v>-4</v>
      </c>
      <c r="BY61">
        <v>3</v>
      </c>
      <c r="BZ61" t="s">
        <v>4089</v>
      </c>
      <c r="CA61" t="s">
        <v>1989</v>
      </c>
      <c r="CD61" s="120" t="s">
        <v>3479</v>
      </c>
      <c r="CG61">
        <v>3</v>
      </c>
      <c r="CH61" t="s">
        <v>4091</v>
      </c>
      <c r="CI61" t="s">
        <v>1990</v>
      </c>
    </row>
    <row r="62" spans="22:87" x14ac:dyDescent="0.25">
      <c r="V62" s="4" t="s">
        <v>1047</v>
      </c>
      <c r="W62" s="4">
        <v>10</v>
      </c>
      <c r="X62" s="8" t="s">
        <v>1048</v>
      </c>
      <c r="Y62" s="8">
        <f>IF(ISNUMBER(SEARCH(Z62,TalentFlaw)),1,0)</f>
        <v>0</v>
      </c>
      <c r="Z62" s="3" t="str">
        <f t="shared" si="0"/>
        <v>Enhanced Attack I;</v>
      </c>
      <c r="AF62" s="4">
        <v>61</v>
      </c>
      <c r="AG62" s="4">
        <v>2</v>
      </c>
      <c r="AH62" s="4">
        <f t="shared" si="1"/>
        <v>61</v>
      </c>
      <c r="AI62" s="4"/>
      <c r="AJ62" s="4"/>
      <c r="AT62">
        <v>61</v>
      </c>
      <c r="AU62" s="62">
        <v>-3</v>
      </c>
      <c r="BY62">
        <v>4</v>
      </c>
      <c r="BZ62" t="s">
        <v>4092</v>
      </c>
      <c r="CA62" t="s">
        <v>1989</v>
      </c>
      <c r="CC62">
        <v>1</v>
      </c>
      <c r="CD62" t="s">
        <v>3505</v>
      </c>
      <c r="CE62" t="s">
        <v>855</v>
      </c>
      <c r="CG62">
        <v>4</v>
      </c>
      <c r="CH62" t="s">
        <v>4094</v>
      </c>
      <c r="CI62" t="s">
        <v>1990</v>
      </c>
    </row>
    <row r="63" spans="22:87" x14ac:dyDescent="0.25">
      <c r="V63" s="4" t="s">
        <v>1049</v>
      </c>
      <c r="W63" s="4">
        <v>20</v>
      </c>
      <c r="X63" s="8" t="s">
        <v>1050</v>
      </c>
      <c r="Y63" s="8">
        <f>IF(ISNUMBER(SEARCH(Z63,TalentFlaw)),2,0)</f>
        <v>0</v>
      </c>
      <c r="Z63" s="3" t="str">
        <f t="shared" si="0"/>
        <v>Enhanced Attack II;</v>
      </c>
      <c r="AF63" s="4">
        <v>62</v>
      </c>
      <c r="AG63" s="4">
        <v>2</v>
      </c>
      <c r="AH63" s="4">
        <f t="shared" si="1"/>
        <v>62</v>
      </c>
      <c r="AI63" s="4"/>
      <c r="AJ63" s="4"/>
      <c r="AT63">
        <v>62</v>
      </c>
      <c r="AU63" s="62">
        <v>-3</v>
      </c>
      <c r="BY63">
        <v>5</v>
      </c>
      <c r="BZ63" t="s">
        <v>4095</v>
      </c>
      <c r="CA63" t="s">
        <v>1989</v>
      </c>
      <c r="CC63">
        <v>2</v>
      </c>
      <c r="CD63" t="s">
        <v>4104</v>
      </c>
      <c r="CE63" t="s">
        <v>855</v>
      </c>
      <c r="CG63">
        <v>5</v>
      </c>
      <c r="CH63" t="s">
        <v>4097</v>
      </c>
      <c r="CI63" t="s">
        <v>1990</v>
      </c>
    </row>
    <row r="64" spans="22:87" x14ac:dyDescent="0.25">
      <c r="V64" s="4" t="s">
        <v>1051</v>
      </c>
      <c r="W64" s="4">
        <v>30</v>
      </c>
      <c r="X64" s="8" t="s">
        <v>1052</v>
      </c>
      <c r="Y64" s="8">
        <f>IF(ISNUMBER(SEARCH(Z64,TalentFlaw)),3,0)</f>
        <v>0</v>
      </c>
      <c r="Z64" s="3" t="str">
        <f t="shared" si="0"/>
        <v>Enhanced Attack III;</v>
      </c>
      <c r="AF64" s="4">
        <v>63</v>
      </c>
      <c r="AG64" s="4">
        <v>2</v>
      </c>
      <c r="AH64" s="4">
        <f t="shared" si="1"/>
        <v>63</v>
      </c>
      <c r="AI64" s="4"/>
      <c r="AJ64" s="4"/>
      <c r="AT64">
        <v>63</v>
      </c>
      <c r="AU64" s="62">
        <v>-3</v>
      </c>
      <c r="BY64">
        <v>6</v>
      </c>
      <c r="BZ64" t="s">
        <v>4098</v>
      </c>
      <c r="CA64" t="s">
        <v>1989</v>
      </c>
      <c r="CC64">
        <v>3</v>
      </c>
      <c r="CD64" t="s">
        <v>4034</v>
      </c>
      <c r="CE64" t="s">
        <v>855</v>
      </c>
      <c r="CG64">
        <v>6</v>
      </c>
      <c r="CH64" t="s">
        <v>4100</v>
      </c>
      <c r="CI64" t="s">
        <v>1990</v>
      </c>
    </row>
    <row r="65" spans="22:83" x14ac:dyDescent="0.25">
      <c r="V65" s="4" t="s">
        <v>1053</v>
      </c>
      <c r="W65" s="4">
        <v>15</v>
      </c>
      <c r="X65" s="8" t="s">
        <v>1054</v>
      </c>
      <c r="Y65" s="8">
        <v>0</v>
      </c>
      <c r="Z65" s="3" t="str">
        <f t="shared" si="0"/>
        <v>Extended Reach I;</v>
      </c>
      <c r="AF65" s="4">
        <v>64</v>
      </c>
      <c r="AG65" s="4">
        <v>2</v>
      </c>
      <c r="AH65" s="4">
        <f t="shared" si="1"/>
        <v>64</v>
      </c>
      <c r="AI65" s="4"/>
      <c r="AJ65" s="4"/>
      <c r="AT65">
        <v>64</v>
      </c>
      <c r="AU65" s="62">
        <v>-2</v>
      </c>
      <c r="CC65">
        <v>4</v>
      </c>
      <c r="CD65" t="s">
        <v>4010</v>
      </c>
      <c r="CE65" t="s">
        <v>855</v>
      </c>
    </row>
    <row r="66" spans="22:83" x14ac:dyDescent="0.25">
      <c r="V66" s="4" t="s">
        <v>1055</v>
      </c>
      <c r="W66" s="4">
        <v>20</v>
      </c>
      <c r="X66" s="8" t="s">
        <v>1056</v>
      </c>
      <c r="Y66" s="8">
        <v>0</v>
      </c>
      <c r="Z66" s="3" t="str">
        <f t="shared" si="0"/>
        <v>Extended Reach II;</v>
      </c>
      <c r="AF66" s="4">
        <v>65</v>
      </c>
      <c r="AG66" s="4">
        <v>2</v>
      </c>
      <c r="AH66" s="4">
        <f t="shared" si="1"/>
        <v>65</v>
      </c>
      <c r="AI66" s="4"/>
      <c r="AJ66" s="4"/>
      <c r="AT66">
        <v>65</v>
      </c>
      <c r="AU66" s="62">
        <v>-2</v>
      </c>
      <c r="BZ66" s="120"/>
      <c r="CA66" s="120"/>
      <c r="CC66">
        <v>5</v>
      </c>
      <c r="CD66" t="s">
        <v>4016</v>
      </c>
      <c r="CE66" t="s">
        <v>855</v>
      </c>
    </row>
    <row r="67" spans="22:83" x14ac:dyDescent="0.25">
      <c r="V67" s="4" t="s">
        <v>1057</v>
      </c>
      <c r="W67" s="4">
        <v>25</v>
      </c>
      <c r="X67" s="8" t="s">
        <v>1058</v>
      </c>
      <c r="Y67" s="8">
        <v>0</v>
      </c>
      <c r="Z67" s="3" t="str">
        <f t="shared" ref="Z67:Z130" si="3">V67&amp;";"</f>
        <v>Extended Reach III;</v>
      </c>
      <c r="AF67" s="4">
        <v>66</v>
      </c>
      <c r="AG67" s="4">
        <v>3</v>
      </c>
      <c r="AH67" s="4">
        <f t="shared" ref="AH67:AH101" si="4">AF67</f>
        <v>66</v>
      </c>
      <c r="AI67" s="4"/>
      <c r="AJ67" s="4"/>
      <c r="AT67">
        <v>66</v>
      </c>
      <c r="AU67" s="62">
        <v>-2</v>
      </c>
      <c r="CC67">
        <v>6</v>
      </c>
      <c r="CD67" t="s">
        <v>4024</v>
      </c>
      <c r="CE67" t="s">
        <v>855</v>
      </c>
    </row>
    <row r="68" spans="22:83" x14ac:dyDescent="0.25">
      <c r="V68" s="4" t="s">
        <v>1059</v>
      </c>
      <c r="W68" s="4">
        <v>30</v>
      </c>
      <c r="X68" s="8" t="s">
        <v>1060</v>
      </c>
      <c r="Y68" s="8">
        <v>0</v>
      </c>
      <c r="Z68" s="3" t="str">
        <f t="shared" si="3"/>
        <v>Extended Reach IV;</v>
      </c>
      <c r="AF68" s="4">
        <v>67</v>
      </c>
      <c r="AG68" s="4">
        <v>3</v>
      </c>
      <c r="AH68" s="4">
        <f t="shared" si="4"/>
        <v>67</v>
      </c>
      <c r="AI68" s="4"/>
      <c r="AJ68" s="4"/>
      <c r="AT68">
        <v>67</v>
      </c>
      <c r="AU68" s="62">
        <v>-1</v>
      </c>
    </row>
    <row r="69" spans="22:83" x14ac:dyDescent="0.25">
      <c r="V69" s="4" t="s">
        <v>1061</v>
      </c>
      <c r="W69" s="4">
        <v>35</v>
      </c>
      <c r="X69" s="8" t="s">
        <v>1062</v>
      </c>
      <c r="Y69" s="8">
        <v>0</v>
      </c>
      <c r="Z69" s="3" t="str">
        <f t="shared" si="3"/>
        <v>Extended Reach V;</v>
      </c>
      <c r="AF69" s="4">
        <v>68</v>
      </c>
      <c r="AG69" s="4">
        <v>3</v>
      </c>
      <c r="AH69" s="4">
        <f t="shared" si="4"/>
        <v>68</v>
      </c>
      <c r="AI69" s="4"/>
      <c r="AJ69" s="4"/>
      <c r="AT69">
        <v>68</v>
      </c>
      <c r="AU69" s="62">
        <v>-1</v>
      </c>
      <c r="CD69" s="120" t="s">
        <v>4090</v>
      </c>
    </row>
    <row r="70" spans="22:83" x14ac:dyDescent="0.25">
      <c r="V70" s="4" t="s">
        <v>1063</v>
      </c>
      <c r="W70" s="4">
        <v>5</v>
      </c>
      <c r="X70" s="8" t="s">
        <v>1064</v>
      </c>
      <c r="Y70" s="8">
        <v>0</v>
      </c>
      <c r="Z70" s="3" t="str">
        <f t="shared" si="3"/>
        <v>Extra Sense I;</v>
      </c>
      <c r="AF70" s="4">
        <v>69</v>
      </c>
      <c r="AG70" s="4">
        <v>3</v>
      </c>
      <c r="AH70" s="4">
        <f t="shared" si="4"/>
        <v>69</v>
      </c>
      <c r="AI70" s="4"/>
      <c r="AJ70" s="4"/>
      <c r="AT70">
        <v>69</v>
      </c>
      <c r="AU70" s="62">
        <v>-1</v>
      </c>
      <c r="CC70">
        <v>1</v>
      </c>
      <c r="CD70" t="s">
        <v>4093</v>
      </c>
      <c r="CE70" t="s">
        <v>855</v>
      </c>
    </row>
    <row r="71" spans="22:83" x14ac:dyDescent="0.25">
      <c r="V71" s="4" t="s">
        <v>1065</v>
      </c>
      <c r="W71" s="4">
        <v>10</v>
      </c>
      <c r="X71" s="8" t="s">
        <v>1066</v>
      </c>
      <c r="Y71" s="8">
        <v>0</v>
      </c>
      <c r="Z71" s="3" t="str">
        <f t="shared" si="3"/>
        <v>Extra Sense II;</v>
      </c>
      <c r="AF71" s="4">
        <v>70</v>
      </c>
      <c r="AG71" s="4">
        <v>3</v>
      </c>
      <c r="AH71" s="4">
        <f t="shared" si="4"/>
        <v>70</v>
      </c>
      <c r="AI71" s="4"/>
      <c r="AJ71" s="4"/>
      <c r="AT71">
        <v>70</v>
      </c>
      <c r="AU71" s="62">
        <v>0</v>
      </c>
      <c r="CC71">
        <v>2</v>
      </c>
      <c r="CD71" t="s">
        <v>4096</v>
      </c>
      <c r="CE71" t="s">
        <v>855</v>
      </c>
    </row>
    <row r="72" spans="22:83" x14ac:dyDescent="0.25">
      <c r="V72" s="4" t="s">
        <v>1067</v>
      </c>
      <c r="W72" s="4">
        <v>15</v>
      </c>
      <c r="X72" s="8" t="s">
        <v>1068</v>
      </c>
      <c r="Y72" s="8">
        <v>0</v>
      </c>
      <c r="Z72" s="3" t="str">
        <f t="shared" si="3"/>
        <v>Extra Sense III;</v>
      </c>
      <c r="AF72" s="4">
        <v>71</v>
      </c>
      <c r="AG72" s="4">
        <v>3</v>
      </c>
      <c r="AH72" s="4">
        <f t="shared" si="4"/>
        <v>71</v>
      </c>
      <c r="AI72" s="4"/>
      <c r="AJ72" s="4"/>
      <c r="AT72">
        <v>71</v>
      </c>
      <c r="AU72" s="62">
        <v>0</v>
      </c>
      <c r="CC72">
        <v>3</v>
      </c>
      <c r="CD72" t="s">
        <v>4099</v>
      </c>
      <c r="CE72" t="s">
        <v>855</v>
      </c>
    </row>
    <row r="73" spans="22:83" x14ac:dyDescent="0.25">
      <c r="V73" s="4" t="s">
        <v>1069</v>
      </c>
      <c r="W73" s="4">
        <v>20</v>
      </c>
      <c r="X73" s="8" t="s">
        <v>1070</v>
      </c>
      <c r="Y73" s="8">
        <v>0</v>
      </c>
      <c r="Z73" s="3" t="str">
        <f t="shared" si="3"/>
        <v>Extra Sense IV;</v>
      </c>
      <c r="AF73" s="4">
        <v>72</v>
      </c>
      <c r="AG73" s="4">
        <v>4</v>
      </c>
      <c r="AH73" s="4">
        <f t="shared" si="4"/>
        <v>72</v>
      </c>
      <c r="AI73" s="4"/>
      <c r="AJ73" s="4"/>
      <c r="AT73">
        <v>72</v>
      </c>
      <c r="AU73" s="62">
        <v>0</v>
      </c>
      <c r="CC73">
        <v>4</v>
      </c>
      <c r="CD73" t="s">
        <v>4101</v>
      </c>
      <c r="CE73" t="s">
        <v>855</v>
      </c>
    </row>
    <row r="74" spans="22:83" x14ac:dyDescent="0.25">
      <c r="V74" s="4" t="s">
        <v>1071</v>
      </c>
      <c r="W74" s="4">
        <v>25</v>
      </c>
      <c r="X74" s="8" t="s">
        <v>1072</v>
      </c>
      <c r="Y74" s="8">
        <v>0</v>
      </c>
      <c r="Z74" s="3" t="str">
        <f t="shared" si="3"/>
        <v>Extra Sense V;</v>
      </c>
      <c r="AF74" s="4">
        <v>73</v>
      </c>
      <c r="AG74" s="4">
        <v>4</v>
      </c>
      <c r="AH74" s="4">
        <f t="shared" si="4"/>
        <v>73</v>
      </c>
      <c r="AI74" s="4"/>
      <c r="AJ74" s="4"/>
      <c r="AT74">
        <v>73</v>
      </c>
      <c r="AU74" s="62">
        <v>0</v>
      </c>
      <c r="CC74">
        <v>5</v>
      </c>
      <c r="CD74" t="s">
        <v>4102</v>
      </c>
      <c r="CE74" t="s">
        <v>855</v>
      </c>
    </row>
    <row r="75" spans="22:83" x14ac:dyDescent="0.25">
      <c r="V75" s="4" t="s">
        <v>1073</v>
      </c>
      <c r="W75" s="4">
        <v>2</v>
      </c>
      <c r="X75" s="8" t="s">
        <v>1074</v>
      </c>
      <c r="Y75" s="8">
        <v>0</v>
      </c>
      <c r="Z75" s="3" t="str">
        <f t="shared" si="3"/>
        <v>Eyestalk I;</v>
      </c>
      <c r="AF75" s="4">
        <v>74</v>
      </c>
      <c r="AG75" s="4">
        <v>4</v>
      </c>
      <c r="AH75" s="4">
        <f t="shared" si="4"/>
        <v>74</v>
      </c>
      <c r="AI75" s="4"/>
      <c r="AJ75" s="4"/>
      <c r="AT75">
        <v>74</v>
      </c>
      <c r="AU75" s="62">
        <v>0</v>
      </c>
      <c r="CC75">
        <v>6</v>
      </c>
      <c r="CD75" t="s">
        <v>4103</v>
      </c>
      <c r="CE75" t="s">
        <v>855</v>
      </c>
    </row>
    <row r="76" spans="22:83" x14ac:dyDescent="0.25">
      <c r="V76" s="4" t="s">
        <v>1075</v>
      </c>
      <c r="W76" s="4">
        <f t="shared" ref="W76:W82" si="5">W75+2</f>
        <v>4</v>
      </c>
      <c r="X76" s="8" t="s">
        <v>1074</v>
      </c>
      <c r="Y76" s="8">
        <v>0</v>
      </c>
      <c r="Z76" s="3" t="str">
        <f t="shared" si="3"/>
        <v>Eyestalk II;</v>
      </c>
      <c r="AF76" s="4">
        <v>75</v>
      </c>
      <c r="AG76" s="4">
        <v>4</v>
      </c>
      <c r="AH76" s="4">
        <f t="shared" si="4"/>
        <v>75</v>
      </c>
      <c r="AI76" s="4"/>
      <c r="AJ76" s="4"/>
      <c r="AT76">
        <v>75</v>
      </c>
      <c r="AU76" s="62">
        <v>1</v>
      </c>
    </row>
    <row r="77" spans="22:83" x14ac:dyDescent="0.25">
      <c r="V77" s="4" t="s">
        <v>1076</v>
      </c>
      <c r="W77" s="4">
        <f t="shared" si="5"/>
        <v>6</v>
      </c>
      <c r="X77" s="8" t="s">
        <v>1077</v>
      </c>
      <c r="Y77" s="8">
        <f>IF(ISNUMBER(SEARCH(Z77,TalentFlaw)),3,0)</f>
        <v>0</v>
      </c>
      <c r="Z77" s="3" t="str">
        <f t="shared" si="3"/>
        <v>Eyestalk III;</v>
      </c>
      <c r="AF77" s="4">
        <v>76</v>
      </c>
      <c r="AG77" s="4">
        <v>4</v>
      </c>
      <c r="AH77" s="4">
        <f t="shared" si="4"/>
        <v>76</v>
      </c>
      <c r="AI77" s="4"/>
      <c r="AJ77" s="4"/>
      <c r="AT77">
        <v>76</v>
      </c>
      <c r="AU77" s="62">
        <v>1</v>
      </c>
    </row>
    <row r="78" spans="22:83" x14ac:dyDescent="0.25">
      <c r="V78" s="4" t="s">
        <v>1078</v>
      </c>
      <c r="W78" s="4">
        <f t="shared" si="5"/>
        <v>8</v>
      </c>
      <c r="X78" s="8" t="s">
        <v>1079</v>
      </c>
      <c r="Y78" s="8">
        <f>IF(ISNUMBER(SEARCH(Z78,TalentFlaw)),5,0)</f>
        <v>0</v>
      </c>
      <c r="Z78" s="3" t="str">
        <f t="shared" si="3"/>
        <v>Eyestalk IV;</v>
      </c>
      <c r="AF78" s="4">
        <v>77</v>
      </c>
      <c r="AG78" s="4">
        <v>4</v>
      </c>
      <c r="AH78" s="4">
        <f t="shared" si="4"/>
        <v>77</v>
      </c>
      <c r="AI78" s="4"/>
      <c r="AJ78" s="4"/>
      <c r="AT78">
        <v>77</v>
      </c>
      <c r="AU78" s="62">
        <v>1</v>
      </c>
    </row>
    <row r="79" spans="22:83" x14ac:dyDescent="0.25">
      <c r="V79" s="4" t="s">
        <v>1080</v>
      </c>
      <c r="W79" s="4">
        <f t="shared" si="5"/>
        <v>10</v>
      </c>
      <c r="X79" s="8" t="s">
        <v>1081</v>
      </c>
      <c r="Y79" s="8">
        <f>IF(ISNUMBER(SEARCH(Z79,TalentFlaw)),8,0)</f>
        <v>0</v>
      </c>
      <c r="Z79" s="3" t="str">
        <f t="shared" si="3"/>
        <v>Eyestalk V;</v>
      </c>
      <c r="AF79" s="4">
        <v>78</v>
      </c>
      <c r="AG79" s="4">
        <v>5</v>
      </c>
      <c r="AH79" s="4">
        <f t="shared" si="4"/>
        <v>78</v>
      </c>
      <c r="AI79" s="4"/>
      <c r="AJ79" s="4"/>
      <c r="AT79">
        <v>78</v>
      </c>
      <c r="AU79" s="62">
        <v>2</v>
      </c>
    </row>
    <row r="80" spans="22:83" x14ac:dyDescent="0.25">
      <c r="V80" s="4" t="s">
        <v>1082</v>
      </c>
      <c r="W80" s="4">
        <f t="shared" si="5"/>
        <v>12</v>
      </c>
      <c r="X80" s="8" t="s">
        <v>1083</v>
      </c>
      <c r="Y80" s="8">
        <f>IF(ISNUMBER(SEARCH(Z80,TalentFlaw)),10,0)</f>
        <v>0</v>
      </c>
      <c r="Z80" s="3" t="str">
        <f t="shared" si="3"/>
        <v>Eyestalk VI;</v>
      </c>
      <c r="AF80" s="4">
        <v>79</v>
      </c>
      <c r="AG80" s="4">
        <v>5</v>
      </c>
      <c r="AH80" s="4">
        <f t="shared" si="4"/>
        <v>79</v>
      </c>
      <c r="AI80" s="4"/>
      <c r="AJ80" s="4"/>
      <c r="AT80">
        <v>79</v>
      </c>
      <c r="AU80" s="62">
        <v>2</v>
      </c>
    </row>
    <row r="81" spans="22:47" x14ac:dyDescent="0.25">
      <c r="V81" s="4" t="s">
        <v>1084</v>
      </c>
      <c r="W81" s="4">
        <f t="shared" si="5"/>
        <v>14</v>
      </c>
      <c r="X81" s="8" t="s">
        <v>1085</v>
      </c>
      <c r="Y81" s="8">
        <f>IF(ISNUMBER(SEARCH(Z81,TalentFlaw)),13,0)</f>
        <v>0</v>
      </c>
      <c r="Z81" s="3" t="str">
        <f t="shared" si="3"/>
        <v>Eyestalk VII;</v>
      </c>
      <c r="AF81" s="4">
        <v>80</v>
      </c>
      <c r="AG81" s="4">
        <v>5</v>
      </c>
      <c r="AH81" s="4">
        <f t="shared" si="4"/>
        <v>80</v>
      </c>
      <c r="AI81" s="4"/>
      <c r="AJ81" s="4"/>
      <c r="AT81">
        <v>80</v>
      </c>
      <c r="AU81" s="62">
        <v>2</v>
      </c>
    </row>
    <row r="82" spans="22:47" x14ac:dyDescent="0.25">
      <c r="V82" s="4" t="s">
        <v>1086</v>
      </c>
      <c r="W82" s="4">
        <f t="shared" si="5"/>
        <v>16</v>
      </c>
      <c r="X82" s="8" t="s">
        <v>1087</v>
      </c>
      <c r="Y82" s="8">
        <f>IF(ISNUMBER(SEARCH(Z82,TalentFlaw)),15,0)</f>
        <v>0</v>
      </c>
      <c r="Z82" s="3" t="str">
        <f t="shared" si="3"/>
        <v>Eyestalk VIII;</v>
      </c>
      <c r="AF82" s="4">
        <v>81</v>
      </c>
      <c r="AG82" s="4">
        <v>5</v>
      </c>
      <c r="AH82" s="4">
        <f t="shared" si="4"/>
        <v>81</v>
      </c>
      <c r="AI82" s="4"/>
      <c r="AJ82" s="4"/>
      <c r="AT82">
        <v>81</v>
      </c>
      <c r="AU82" s="62">
        <v>3</v>
      </c>
    </row>
    <row r="83" spans="22:47" x14ac:dyDescent="0.25">
      <c r="V83" s="4" t="s">
        <v>1088</v>
      </c>
      <c r="W83" s="4">
        <v>10</v>
      </c>
      <c r="X83" s="8" t="s">
        <v>1089</v>
      </c>
      <c r="Y83" s="8">
        <f>IF(ISNUMBER(SEARCH(Z83,TalentFlaw)),0.5,1)</f>
        <v>1</v>
      </c>
      <c r="Z83" s="3" t="str">
        <f t="shared" si="3"/>
        <v>Fast Healer;</v>
      </c>
      <c r="AF83" s="4">
        <v>82</v>
      </c>
      <c r="AG83" s="4">
        <v>5</v>
      </c>
      <c r="AH83" s="4">
        <f t="shared" si="4"/>
        <v>82</v>
      </c>
      <c r="AI83" s="4"/>
      <c r="AJ83" s="4"/>
      <c r="AT83">
        <v>82</v>
      </c>
      <c r="AU83" s="62">
        <v>3</v>
      </c>
    </row>
    <row r="84" spans="22:47" x14ac:dyDescent="0.25">
      <c r="V84" s="4" t="s">
        <v>1090</v>
      </c>
      <c r="W84" s="4">
        <v>7</v>
      </c>
      <c r="X84" s="8" t="s">
        <v>1091</v>
      </c>
      <c r="Y84" s="8">
        <v>0</v>
      </c>
      <c r="Z84" s="3" t="str">
        <f t="shared" si="3"/>
        <v>Foiler I;</v>
      </c>
      <c r="AF84" s="4">
        <v>83</v>
      </c>
      <c r="AG84" s="4">
        <v>5</v>
      </c>
      <c r="AH84" s="4">
        <f t="shared" si="4"/>
        <v>83</v>
      </c>
      <c r="AI84" s="4"/>
      <c r="AJ84" s="4"/>
      <c r="AT84">
        <v>83</v>
      </c>
      <c r="AU84" s="62">
        <v>3</v>
      </c>
    </row>
    <row r="85" spans="22:47" x14ac:dyDescent="0.25">
      <c r="V85" s="4" t="s">
        <v>1092</v>
      </c>
      <c r="W85" s="4">
        <v>14</v>
      </c>
      <c r="X85" s="8" t="s">
        <v>1093</v>
      </c>
      <c r="Y85" s="8">
        <v>0</v>
      </c>
      <c r="Z85" s="3" t="str">
        <f t="shared" si="3"/>
        <v>Foiler II;</v>
      </c>
      <c r="AF85" s="4">
        <v>84</v>
      </c>
      <c r="AG85" s="4">
        <v>6</v>
      </c>
      <c r="AH85" s="4">
        <f t="shared" si="4"/>
        <v>84</v>
      </c>
      <c r="AI85" s="4"/>
      <c r="AJ85" s="4"/>
      <c r="AT85">
        <v>84</v>
      </c>
      <c r="AU85" s="62">
        <v>4</v>
      </c>
    </row>
    <row r="86" spans="22:47" x14ac:dyDescent="0.25">
      <c r="V86" s="4" t="s">
        <v>1094</v>
      </c>
      <c r="W86" s="4">
        <v>21</v>
      </c>
      <c r="X86" s="8" t="s">
        <v>1095</v>
      </c>
      <c r="Y86" s="8">
        <v>0</v>
      </c>
      <c r="Z86" s="3" t="str">
        <f t="shared" si="3"/>
        <v>Foiler III;</v>
      </c>
      <c r="AF86" s="4">
        <v>85</v>
      </c>
      <c r="AG86" s="4">
        <v>6</v>
      </c>
      <c r="AH86" s="4">
        <f t="shared" si="4"/>
        <v>85</v>
      </c>
      <c r="AI86" s="4"/>
      <c r="AJ86" s="4"/>
      <c r="AT86">
        <v>85</v>
      </c>
      <c r="AU86" s="62">
        <v>4</v>
      </c>
    </row>
    <row r="87" spans="22:47" x14ac:dyDescent="0.25">
      <c r="V87" s="4" t="s">
        <v>1096</v>
      </c>
      <c r="W87" s="4">
        <v>28</v>
      </c>
      <c r="X87" s="8" t="s">
        <v>1097</v>
      </c>
      <c r="Y87" s="8">
        <v>0</v>
      </c>
      <c r="Z87" s="3" t="str">
        <f t="shared" si="3"/>
        <v>Foiler IV;</v>
      </c>
      <c r="AF87" s="4">
        <v>86</v>
      </c>
      <c r="AG87" s="4">
        <v>6</v>
      </c>
      <c r="AH87" s="4">
        <f t="shared" si="4"/>
        <v>86</v>
      </c>
      <c r="AI87" s="4"/>
      <c r="AJ87" s="4"/>
      <c r="AT87">
        <v>86</v>
      </c>
      <c r="AU87" s="62">
        <v>4</v>
      </c>
    </row>
    <row r="88" spans="22:47" x14ac:dyDescent="0.25">
      <c r="V88" s="4" t="s">
        <v>1098</v>
      </c>
      <c r="W88" s="4">
        <v>35</v>
      </c>
      <c r="X88" s="8" t="s">
        <v>1099</v>
      </c>
      <c r="Y88" s="8">
        <v>0</v>
      </c>
      <c r="Z88" s="3" t="str">
        <f t="shared" si="3"/>
        <v>Foiler V;</v>
      </c>
      <c r="AF88" s="4">
        <v>87</v>
      </c>
      <c r="AG88" s="4">
        <v>7</v>
      </c>
      <c r="AH88" s="4">
        <f t="shared" si="4"/>
        <v>87</v>
      </c>
      <c r="AI88" s="4"/>
      <c r="AJ88" s="4"/>
      <c r="AT88">
        <v>87</v>
      </c>
      <c r="AU88" s="62">
        <v>5</v>
      </c>
    </row>
    <row r="89" spans="22:47" x14ac:dyDescent="0.25">
      <c r="V89" s="4" t="s">
        <v>1100</v>
      </c>
      <c r="W89" s="4">
        <v>20</v>
      </c>
      <c r="X89" s="8" t="s">
        <v>1101</v>
      </c>
      <c r="Y89" s="8">
        <v>0</v>
      </c>
      <c r="Z89" s="3" t="str">
        <f t="shared" si="3"/>
        <v>Frenzy;</v>
      </c>
      <c r="AF89" s="4">
        <v>88</v>
      </c>
      <c r="AG89" s="4">
        <v>7</v>
      </c>
      <c r="AH89" s="4">
        <f t="shared" si="4"/>
        <v>88</v>
      </c>
      <c r="AI89" s="4"/>
      <c r="AJ89" s="4"/>
      <c r="AT89">
        <v>88</v>
      </c>
      <c r="AU89" s="62">
        <v>5</v>
      </c>
    </row>
    <row r="90" spans="22:47" x14ac:dyDescent="0.25">
      <c r="V90" s="4" t="s">
        <v>1102</v>
      </c>
      <c r="W90" s="4">
        <v>5</v>
      </c>
      <c r="X90" s="8" t="s">
        <v>1103</v>
      </c>
      <c r="Y90" s="8">
        <f>IF(ISNUMBER(SEARCH(Z90,TalentFlaw)),10,0)</f>
        <v>0</v>
      </c>
      <c r="Z90" s="3" t="str">
        <f t="shared" si="3"/>
        <v>Golden Throat I;</v>
      </c>
      <c r="AF90" s="4">
        <v>89</v>
      </c>
      <c r="AG90" s="4">
        <v>7</v>
      </c>
      <c r="AH90" s="4">
        <f t="shared" si="4"/>
        <v>89</v>
      </c>
      <c r="AI90" s="4"/>
      <c r="AJ90" s="4"/>
      <c r="AT90">
        <v>89</v>
      </c>
      <c r="AU90" s="62">
        <v>5</v>
      </c>
    </row>
    <row r="91" spans="22:47" x14ac:dyDescent="0.25">
      <c r="V91" s="4" t="s">
        <v>1104</v>
      </c>
      <c r="W91" s="4">
        <v>10</v>
      </c>
      <c r="X91" s="8" t="s">
        <v>1105</v>
      </c>
      <c r="Y91" s="8">
        <f>IF(ISNUMBER(SEARCH(Z91,TalentFlaw)),20,0)</f>
        <v>0</v>
      </c>
      <c r="Z91" s="3" t="str">
        <f t="shared" si="3"/>
        <v>Golden Throat II;</v>
      </c>
      <c r="AF91" s="4">
        <v>90</v>
      </c>
      <c r="AG91" s="4">
        <v>8</v>
      </c>
      <c r="AH91" s="4">
        <f t="shared" si="4"/>
        <v>90</v>
      </c>
      <c r="AI91" s="4"/>
      <c r="AJ91" s="4"/>
      <c r="AT91">
        <v>90</v>
      </c>
      <c r="AU91" s="62">
        <v>6</v>
      </c>
    </row>
    <row r="92" spans="22:47" x14ac:dyDescent="0.25">
      <c r="V92" s="4" t="s">
        <v>1106</v>
      </c>
      <c r="W92" s="4">
        <v>15</v>
      </c>
      <c r="X92" s="8" t="s">
        <v>1107</v>
      </c>
      <c r="Y92" s="8">
        <f>IF(ISNUMBER(SEARCH(Z92,TalentFlaw)),30,0)</f>
        <v>0</v>
      </c>
      <c r="Z92" s="3" t="str">
        <f t="shared" si="3"/>
        <v>Golden Throat III;</v>
      </c>
      <c r="AF92" s="4">
        <v>91</v>
      </c>
      <c r="AG92" s="4">
        <v>8</v>
      </c>
      <c r="AH92" s="4">
        <f t="shared" si="4"/>
        <v>91</v>
      </c>
      <c r="AI92" s="4"/>
      <c r="AJ92" s="4"/>
      <c r="AT92">
        <v>91</v>
      </c>
      <c r="AU92" s="62">
        <v>6</v>
      </c>
    </row>
    <row r="93" spans="22:47" x14ac:dyDescent="0.25">
      <c r="V93" s="4" t="s">
        <v>1108</v>
      </c>
      <c r="W93" s="4">
        <v>20</v>
      </c>
      <c r="X93" s="8" t="s">
        <v>1109</v>
      </c>
      <c r="Y93" s="8">
        <f>IF(ISNUMBER(SEARCH(Z93,TalentFlaw)),40,0)</f>
        <v>0</v>
      </c>
      <c r="Z93" s="3" t="str">
        <f t="shared" si="3"/>
        <v>Golden Throat IV;</v>
      </c>
      <c r="AF93" s="4">
        <v>92</v>
      </c>
      <c r="AG93" s="4">
        <v>8</v>
      </c>
      <c r="AH93" s="4">
        <f t="shared" si="4"/>
        <v>92</v>
      </c>
      <c r="AI93" s="4"/>
      <c r="AJ93" s="4"/>
      <c r="AT93">
        <v>92</v>
      </c>
      <c r="AU93" s="62">
        <v>6</v>
      </c>
    </row>
    <row r="94" spans="22:47" x14ac:dyDescent="0.25">
      <c r="V94" s="4" t="s">
        <v>1110</v>
      </c>
      <c r="W94" s="4">
        <v>25</v>
      </c>
      <c r="X94" s="8" t="s">
        <v>1111</v>
      </c>
      <c r="Y94" s="8">
        <f>IF(ISNUMBER(SEARCH(Z94,TalentFlaw)),50,0)</f>
        <v>0</v>
      </c>
      <c r="Z94" s="3" t="str">
        <f t="shared" si="3"/>
        <v>Golden Throat V;</v>
      </c>
      <c r="AF94" s="4">
        <v>93</v>
      </c>
      <c r="AG94" s="4">
        <v>9</v>
      </c>
      <c r="AH94" s="4">
        <f t="shared" si="4"/>
        <v>93</v>
      </c>
      <c r="AI94" s="4"/>
      <c r="AJ94" s="4"/>
      <c r="AT94">
        <v>93</v>
      </c>
      <c r="AU94" s="62">
        <v>7</v>
      </c>
    </row>
    <row r="95" spans="22:47" x14ac:dyDescent="0.25">
      <c r="V95" s="4" t="s">
        <v>1112</v>
      </c>
      <c r="W95" s="4">
        <v>8</v>
      </c>
      <c r="X95" s="8" t="s">
        <v>1113</v>
      </c>
      <c r="Y95" s="8">
        <v>0</v>
      </c>
      <c r="Z95" s="3" t="str">
        <f t="shared" si="3"/>
        <v>Graceful Recovery I;</v>
      </c>
      <c r="AF95" s="4">
        <v>94</v>
      </c>
      <c r="AG95" s="4">
        <v>9</v>
      </c>
      <c r="AH95" s="4">
        <f t="shared" si="4"/>
        <v>94</v>
      </c>
      <c r="AI95" s="4"/>
      <c r="AJ95" s="4"/>
      <c r="AT95">
        <v>94</v>
      </c>
      <c r="AU95" s="62">
        <v>7</v>
      </c>
    </row>
    <row r="96" spans="22:47" x14ac:dyDescent="0.25">
      <c r="V96" s="4" t="s">
        <v>1114</v>
      </c>
      <c r="W96" s="4">
        <v>16</v>
      </c>
      <c r="X96" s="8" t="s">
        <v>1115</v>
      </c>
      <c r="Y96" s="8">
        <v>0</v>
      </c>
      <c r="Z96" s="3" t="str">
        <f t="shared" si="3"/>
        <v>Graceful Recovery II;</v>
      </c>
      <c r="AF96" s="4">
        <v>95</v>
      </c>
      <c r="AG96" s="4">
        <v>10</v>
      </c>
      <c r="AH96" s="4">
        <f t="shared" si="4"/>
        <v>95</v>
      </c>
      <c r="AI96" s="4"/>
      <c r="AJ96" s="4"/>
      <c r="AT96">
        <v>95</v>
      </c>
      <c r="AU96" s="62">
        <v>7</v>
      </c>
    </row>
    <row r="97" spans="22:47" x14ac:dyDescent="0.25">
      <c r="V97" s="4" t="s">
        <v>1116</v>
      </c>
      <c r="W97" s="4">
        <v>24</v>
      </c>
      <c r="X97" s="8" t="s">
        <v>1117</v>
      </c>
      <c r="Y97" s="8">
        <v>0</v>
      </c>
      <c r="Z97" s="3" t="str">
        <f t="shared" si="3"/>
        <v>Graceful Recovery III;</v>
      </c>
      <c r="AF97" s="4">
        <v>96</v>
      </c>
      <c r="AG97" s="4">
        <v>11</v>
      </c>
      <c r="AH97" s="4">
        <f t="shared" si="4"/>
        <v>96</v>
      </c>
      <c r="AI97" s="4"/>
      <c r="AJ97" s="4"/>
      <c r="AT97">
        <v>96</v>
      </c>
      <c r="AU97" s="62">
        <v>8</v>
      </c>
    </row>
    <row r="98" spans="22:47" x14ac:dyDescent="0.25">
      <c r="V98" s="4" t="s">
        <v>1118</v>
      </c>
      <c r="W98" s="4">
        <v>32</v>
      </c>
      <c r="X98" s="8" t="s">
        <v>1119</v>
      </c>
      <c r="Y98" s="8">
        <v>0</v>
      </c>
      <c r="Z98" s="3" t="str">
        <f t="shared" si="3"/>
        <v>Graceful Recovery IV;</v>
      </c>
      <c r="AF98" s="4">
        <v>97</v>
      </c>
      <c r="AG98" s="4">
        <v>12</v>
      </c>
      <c r="AH98" s="4">
        <f t="shared" si="4"/>
        <v>97</v>
      </c>
      <c r="AI98" s="4"/>
      <c r="AJ98" s="4"/>
      <c r="AT98">
        <v>97</v>
      </c>
      <c r="AU98" s="62">
        <v>8</v>
      </c>
    </row>
    <row r="99" spans="22:47" x14ac:dyDescent="0.25">
      <c r="V99" s="4" t="s">
        <v>1120</v>
      </c>
      <c r="W99" s="4">
        <v>40</v>
      </c>
      <c r="X99" s="8" t="s">
        <v>1121</v>
      </c>
      <c r="Y99" s="8">
        <v>0</v>
      </c>
      <c r="Z99" s="3" t="str">
        <f t="shared" si="3"/>
        <v>Graceful Recovery V;</v>
      </c>
      <c r="AF99" s="4">
        <v>98</v>
      </c>
      <c r="AG99" s="4">
        <v>13</v>
      </c>
      <c r="AH99" s="4">
        <f t="shared" si="4"/>
        <v>98</v>
      </c>
      <c r="AI99" s="4"/>
      <c r="AJ99" s="4"/>
      <c r="AT99">
        <v>98</v>
      </c>
      <c r="AU99" s="62">
        <v>8</v>
      </c>
    </row>
    <row r="100" spans="22:47" x14ac:dyDescent="0.25">
      <c r="V100" s="4" t="s">
        <v>1122</v>
      </c>
      <c r="W100" s="4">
        <v>10</v>
      </c>
      <c r="X100" s="8" t="s">
        <v>1123</v>
      </c>
      <c r="Y100" s="8">
        <v>0</v>
      </c>
      <c r="Z100" s="3" t="str">
        <f t="shared" si="3"/>
        <v>Hearing: Cat;</v>
      </c>
      <c r="AF100" s="4">
        <v>99</v>
      </c>
      <c r="AG100" s="4">
        <v>14</v>
      </c>
      <c r="AH100" s="4">
        <f t="shared" si="4"/>
        <v>99</v>
      </c>
      <c r="AI100" s="4"/>
      <c r="AJ100" s="4"/>
      <c r="AT100">
        <v>99</v>
      </c>
      <c r="AU100" s="62">
        <v>9</v>
      </c>
    </row>
    <row r="101" spans="22:47" x14ac:dyDescent="0.25">
      <c r="V101" s="4" t="s">
        <v>1124</v>
      </c>
      <c r="W101" s="4">
        <v>15</v>
      </c>
      <c r="X101" s="8" t="s">
        <v>1125</v>
      </c>
      <c r="Y101" s="8">
        <f>IF(ISNUMBER(SEARCH(Z101,TalentFlaw)),10,0)</f>
        <v>0</v>
      </c>
      <c r="Z101" s="3" t="str">
        <f t="shared" si="3"/>
        <v>Hearing: Dog;</v>
      </c>
      <c r="AF101" s="4">
        <v>100</v>
      </c>
      <c r="AG101" s="4">
        <v>15</v>
      </c>
      <c r="AH101" s="4">
        <f t="shared" si="4"/>
        <v>100</v>
      </c>
      <c r="AI101" s="4"/>
      <c r="AJ101" s="4"/>
      <c r="AT101">
        <v>100</v>
      </c>
      <c r="AU101" s="62">
        <v>9</v>
      </c>
    </row>
    <row r="102" spans="22:47" x14ac:dyDescent="0.25">
      <c r="V102" s="4" t="s">
        <v>1126</v>
      </c>
      <c r="W102" s="4">
        <v>25</v>
      </c>
      <c r="X102" s="8" t="s">
        <v>1127</v>
      </c>
      <c r="Y102" s="8">
        <v>0</v>
      </c>
      <c r="Z102" s="3" t="str">
        <f t="shared" si="3"/>
        <v>Hybrid I;</v>
      </c>
      <c r="AT102">
        <v>101</v>
      </c>
      <c r="AU102" s="62">
        <v>9</v>
      </c>
    </row>
    <row r="103" spans="22:47" x14ac:dyDescent="0.25">
      <c r="V103" s="4" t="s">
        <v>1128</v>
      </c>
      <c r="W103" s="4">
        <v>50</v>
      </c>
      <c r="X103" s="8" t="s">
        <v>1129</v>
      </c>
      <c r="Y103" s="8">
        <v>0</v>
      </c>
      <c r="Z103" s="3" t="str">
        <f t="shared" si="3"/>
        <v>Hybrid II;</v>
      </c>
      <c r="AT103">
        <v>102</v>
      </c>
      <c r="AU103" s="62">
        <v>10</v>
      </c>
    </row>
    <row r="104" spans="22:47" x14ac:dyDescent="0.25">
      <c r="V104" s="4" t="s">
        <v>1130</v>
      </c>
      <c r="W104" s="4">
        <v>30</v>
      </c>
      <c r="X104" s="8" t="s">
        <v>1131</v>
      </c>
      <c r="Y104" s="8">
        <v>0</v>
      </c>
      <c r="Z104" s="3" t="str">
        <f t="shared" si="3"/>
        <v>Innate Spell List (Mind Speech, lvl 10);</v>
      </c>
      <c r="AT104">
        <v>103</v>
      </c>
      <c r="AU104" s="62">
        <v>10</v>
      </c>
    </row>
    <row r="105" spans="22:47" x14ac:dyDescent="0.25">
      <c r="V105" s="4" t="s">
        <v>1132</v>
      </c>
      <c r="W105" s="4">
        <v>4</v>
      </c>
      <c r="X105" s="8" t="s">
        <v>1133</v>
      </c>
      <c r="Y105" s="8">
        <f>IF(ISNUMBER(SEARCH(Z105,TalentFlaw)),5,0)</f>
        <v>0</v>
      </c>
      <c r="Z105" s="3" t="str">
        <f t="shared" si="3"/>
        <v>Iron Will I;</v>
      </c>
      <c r="AT105">
        <v>104</v>
      </c>
      <c r="AU105" s="62">
        <v>10</v>
      </c>
    </row>
    <row r="106" spans="22:47" x14ac:dyDescent="0.25">
      <c r="V106" s="4" t="s">
        <v>1134</v>
      </c>
      <c r="W106" s="4">
        <v>8</v>
      </c>
      <c r="X106" s="8" t="s">
        <v>1135</v>
      </c>
      <c r="Y106" s="8">
        <f>IF(ISNUMBER(SEARCH(Z106,TalentFlaw)),10,0)</f>
        <v>0</v>
      </c>
      <c r="Z106" s="3" t="str">
        <f t="shared" si="3"/>
        <v>Iron Will II;</v>
      </c>
      <c r="AT106">
        <v>105</v>
      </c>
      <c r="AU106" s="62">
        <v>11</v>
      </c>
    </row>
    <row r="107" spans="22:47" x14ac:dyDescent="0.25">
      <c r="V107" s="4" t="s">
        <v>1136</v>
      </c>
      <c r="W107" s="4">
        <v>12</v>
      </c>
      <c r="X107" s="8" t="s">
        <v>1137</v>
      </c>
      <c r="Y107" s="8">
        <f>IF(ISNUMBER(SEARCH(Z107,TalentFlaw)),15,0)</f>
        <v>0</v>
      </c>
      <c r="Z107" s="3" t="str">
        <f t="shared" si="3"/>
        <v>Iron Will III;</v>
      </c>
      <c r="AT107">
        <v>106</v>
      </c>
      <c r="AU107" s="62">
        <v>11</v>
      </c>
    </row>
    <row r="108" spans="22:47" x14ac:dyDescent="0.25">
      <c r="V108" s="4" t="s">
        <v>1138</v>
      </c>
      <c r="W108" s="4">
        <v>16</v>
      </c>
      <c r="X108" s="8" t="s">
        <v>1139</v>
      </c>
      <c r="Y108" s="8">
        <f>IF(ISNUMBER(SEARCH(Z108,TalentFlaw)),20,0)</f>
        <v>0</v>
      </c>
      <c r="Z108" s="3" t="str">
        <f t="shared" si="3"/>
        <v>Iron Will IV;</v>
      </c>
      <c r="AT108">
        <v>107</v>
      </c>
      <c r="AU108" s="62">
        <v>11</v>
      </c>
    </row>
    <row r="109" spans="22:47" x14ac:dyDescent="0.25">
      <c r="V109" s="4" t="s">
        <v>1140</v>
      </c>
      <c r="W109" s="4">
        <v>20</v>
      </c>
      <c r="X109" s="8" t="s">
        <v>1141</v>
      </c>
      <c r="Y109" s="8">
        <f>IF(ISNUMBER(SEARCH(Z109,TalentFlaw)),25,0)</f>
        <v>0</v>
      </c>
      <c r="Z109" s="3" t="str">
        <f t="shared" si="3"/>
        <v>Iron Will V;</v>
      </c>
      <c r="AT109">
        <v>108</v>
      </c>
      <c r="AU109" s="62">
        <v>12</v>
      </c>
    </row>
    <row r="110" spans="22:47" x14ac:dyDescent="0.25">
      <c r="V110" s="4" t="s">
        <v>1142</v>
      </c>
      <c r="W110" s="4">
        <v>10</v>
      </c>
      <c r="X110" s="8" t="s">
        <v>1143</v>
      </c>
      <c r="Y110" s="8">
        <v>0</v>
      </c>
      <c r="Z110" s="3" t="str">
        <f t="shared" si="3"/>
        <v>Light Sleeper;</v>
      </c>
      <c r="AT110">
        <v>109</v>
      </c>
      <c r="AU110" s="62">
        <v>12</v>
      </c>
    </row>
    <row r="111" spans="22:47" x14ac:dyDescent="0.25">
      <c r="V111" s="4" t="s">
        <v>1144</v>
      </c>
      <c r="W111" s="4">
        <v>10</v>
      </c>
      <c r="X111" s="8" t="s">
        <v>1145</v>
      </c>
      <c r="Y111" s="8">
        <f>IF(ISNUMBER(SEARCH(Z111,TalentFlaw)),10,0)</f>
        <v>0</v>
      </c>
      <c r="Z111" s="3" t="str">
        <f t="shared" si="3"/>
        <v>Look of Eagles I;</v>
      </c>
      <c r="AT111">
        <v>110</v>
      </c>
      <c r="AU111" s="62">
        <v>12</v>
      </c>
    </row>
    <row r="112" spans="22:47" x14ac:dyDescent="0.25">
      <c r="V112" s="4" t="s">
        <v>1146</v>
      </c>
      <c r="W112" s="4">
        <v>20</v>
      </c>
      <c r="X112" s="8" t="s">
        <v>1147</v>
      </c>
      <c r="Y112" s="8">
        <f>IF(ISNUMBER(SEARCH(Z112,TalentFlaw)),20,0)</f>
        <v>0</v>
      </c>
      <c r="Z112" s="3" t="str">
        <f t="shared" si="3"/>
        <v>Look of Eagles II;</v>
      </c>
      <c r="AT112">
        <v>111</v>
      </c>
      <c r="AU112" s="62">
        <v>13</v>
      </c>
    </row>
    <row r="113" spans="22:47" x14ac:dyDescent="0.25">
      <c r="V113" s="4" t="s">
        <v>1148</v>
      </c>
      <c r="W113" s="4">
        <v>30</v>
      </c>
      <c r="X113" s="8" t="s">
        <v>1149</v>
      </c>
      <c r="Y113" s="8">
        <f>IF(ISNUMBER(SEARCH(Z113,TalentFlaw)),30,0)</f>
        <v>0</v>
      </c>
      <c r="Z113" s="3" t="str">
        <f t="shared" si="3"/>
        <v>Look of Eagles III;</v>
      </c>
      <c r="AT113">
        <v>112</v>
      </c>
      <c r="AU113" s="62">
        <v>13</v>
      </c>
    </row>
    <row r="114" spans="22:47" x14ac:dyDescent="0.25">
      <c r="V114" s="4" t="s">
        <v>1150</v>
      </c>
      <c r="W114" s="4">
        <v>40</v>
      </c>
      <c r="X114" s="8" t="s">
        <v>1151</v>
      </c>
      <c r="Y114" s="8">
        <f>IF(ISNUMBER(SEARCH(Z114,TalentFlaw)),40,0)</f>
        <v>0</v>
      </c>
      <c r="Z114" s="3" t="str">
        <f t="shared" si="3"/>
        <v>Look of Eagles IV;</v>
      </c>
      <c r="AT114">
        <v>113</v>
      </c>
      <c r="AU114" s="62">
        <v>13</v>
      </c>
    </row>
    <row r="115" spans="22:47" x14ac:dyDescent="0.25">
      <c r="V115" s="4" t="s">
        <v>1152</v>
      </c>
      <c r="W115" s="4">
        <v>50</v>
      </c>
      <c r="X115" s="8" t="s">
        <v>1153</v>
      </c>
      <c r="Y115" s="8">
        <f>IF(ISNUMBER(SEARCH(Z115,TalentFlaw)),50,0)</f>
        <v>0</v>
      </c>
      <c r="Z115" s="3" t="str">
        <f t="shared" si="3"/>
        <v>Look of Eagles V;</v>
      </c>
      <c r="AT115">
        <v>114</v>
      </c>
      <c r="AU115" s="62">
        <v>14</v>
      </c>
    </row>
    <row r="116" spans="22:47" x14ac:dyDescent="0.25">
      <c r="V116" s="4" t="s">
        <v>1154</v>
      </c>
      <c r="W116" s="4">
        <v>5</v>
      </c>
      <c r="X116" s="8" t="s">
        <v>1155</v>
      </c>
      <c r="Y116" s="8">
        <f>IF(ISNUMBER(SEARCH(Z116,TalentFlaw)),5,0)</f>
        <v>0</v>
      </c>
      <c r="Z116" s="3" t="str">
        <f t="shared" si="3"/>
        <v>Magical Resistance I;</v>
      </c>
      <c r="AT116">
        <v>115</v>
      </c>
      <c r="AU116" s="62">
        <v>14</v>
      </c>
    </row>
    <row r="117" spans="22:47" x14ac:dyDescent="0.25">
      <c r="V117" s="4" t="s">
        <v>1156</v>
      </c>
      <c r="W117" s="4">
        <v>10</v>
      </c>
      <c r="X117" s="8" t="s">
        <v>1157</v>
      </c>
      <c r="Y117" s="8">
        <f>IF(ISNUMBER(SEARCH(Z117,TalentFlaw)),10,0)</f>
        <v>0</v>
      </c>
      <c r="Z117" s="3" t="str">
        <f t="shared" si="3"/>
        <v>Magical Resistance II;</v>
      </c>
      <c r="AT117">
        <v>116</v>
      </c>
      <c r="AU117" s="62">
        <v>14</v>
      </c>
    </row>
    <row r="118" spans="22:47" x14ac:dyDescent="0.25">
      <c r="V118" s="4" t="s">
        <v>1158</v>
      </c>
      <c r="W118" s="4">
        <v>15</v>
      </c>
      <c r="X118" s="8" t="s">
        <v>1159</v>
      </c>
      <c r="Y118" s="8">
        <f>IF(ISNUMBER(SEARCH(Z118,TalentFlaw)),15,0)</f>
        <v>0</v>
      </c>
      <c r="Z118" s="3" t="str">
        <f t="shared" si="3"/>
        <v>Magical Resistance III;</v>
      </c>
      <c r="AT118">
        <v>117</v>
      </c>
      <c r="AU118" s="62">
        <v>15</v>
      </c>
    </row>
    <row r="119" spans="22:47" x14ac:dyDescent="0.25">
      <c r="V119" s="4" t="s">
        <v>1160</v>
      </c>
      <c r="W119" s="4">
        <v>20</v>
      </c>
      <c r="X119" s="8" t="s">
        <v>1161</v>
      </c>
      <c r="Y119" s="8">
        <f>IF(ISNUMBER(SEARCH(Z119,TalentFlaw)),20,0)</f>
        <v>0</v>
      </c>
      <c r="Z119" s="3" t="str">
        <f t="shared" si="3"/>
        <v>Magical Resistance IV;</v>
      </c>
      <c r="AT119">
        <v>118</v>
      </c>
      <c r="AU119" s="62">
        <v>15</v>
      </c>
    </row>
    <row r="120" spans="22:47" x14ac:dyDescent="0.25">
      <c r="V120" s="4" t="s">
        <v>1162</v>
      </c>
      <c r="W120" s="4">
        <v>25</v>
      </c>
      <c r="X120" s="8" t="s">
        <v>1163</v>
      </c>
      <c r="Y120" s="8">
        <f>IF(ISNUMBER(SEARCH(Z120,TalentFlaw)),25,0)</f>
        <v>0</v>
      </c>
      <c r="Z120" s="3" t="str">
        <f t="shared" si="3"/>
        <v>Magical Resistance V;</v>
      </c>
      <c r="AT120">
        <v>119</v>
      </c>
      <c r="AU120" s="62">
        <v>15</v>
      </c>
    </row>
    <row r="121" spans="22:47" x14ac:dyDescent="0.25">
      <c r="V121" s="4" t="s">
        <v>1164</v>
      </c>
      <c r="W121" s="4">
        <v>5</v>
      </c>
      <c r="X121" s="8" t="s">
        <v>1165</v>
      </c>
      <c r="Y121" s="8">
        <f>IF(ISNUMBER(SEARCH(Z121,TalentFlaw)),1,0)</f>
        <v>0</v>
      </c>
      <c r="Z121" s="3" t="str">
        <f t="shared" si="3"/>
        <v>Natural Armour I;</v>
      </c>
      <c r="AT121">
        <v>120</v>
      </c>
      <c r="AU121" s="62">
        <v>16</v>
      </c>
    </row>
    <row r="122" spans="22:47" x14ac:dyDescent="0.25">
      <c r="V122" s="4" t="s">
        <v>1166</v>
      </c>
      <c r="W122" s="4">
        <v>10</v>
      </c>
      <c r="X122" s="8" t="s">
        <v>1167</v>
      </c>
      <c r="Y122" s="8">
        <f>IF(ISNUMBER(SEARCH(Z122,TalentFlaw)),2,0)</f>
        <v>0</v>
      </c>
      <c r="Z122" s="3" t="str">
        <f t="shared" si="3"/>
        <v>Natural Armour II;</v>
      </c>
      <c r="AT122">
        <v>121</v>
      </c>
      <c r="AU122" s="62">
        <v>16</v>
      </c>
    </row>
    <row r="123" spans="22:47" x14ac:dyDescent="0.25">
      <c r="V123" s="4" t="s">
        <v>1168</v>
      </c>
      <c r="W123" s="4">
        <v>15</v>
      </c>
      <c r="X123" s="8" t="s">
        <v>1169</v>
      </c>
      <c r="Y123" s="8">
        <f>IF(ISNUMBER(SEARCH(Z123,TalentFlaw)),3,0)</f>
        <v>0</v>
      </c>
      <c r="Z123" s="3" t="str">
        <f t="shared" si="3"/>
        <v>Natural Armour III;</v>
      </c>
      <c r="AT123">
        <v>122</v>
      </c>
      <c r="AU123" s="62">
        <v>16</v>
      </c>
    </row>
    <row r="124" spans="22:47" x14ac:dyDescent="0.25">
      <c r="V124" s="4" t="s">
        <v>1170</v>
      </c>
      <c r="W124" s="4">
        <v>20</v>
      </c>
      <c r="X124" s="8" t="s">
        <v>1171</v>
      </c>
      <c r="Y124" s="8">
        <f>IF(ISNUMBER(SEARCH(Z124,TalentFlaw)),4,0)</f>
        <v>0</v>
      </c>
      <c r="Z124" s="3" t="str">
        <f t="shared" si="3"/>
        <v>Natural Armour IV;</v>
      </c>
      <c r="AT124">
        <v>123</v>
      </c>
      <c r="AU124" s="62">
        <v>17</v>
      </c>
    </row>
    <row r="125" spans="22:47" x14ac:dyDescent="0.25">
      <c r="V125" s="4" t="s">
        <v>1172</v>
      </c>
      <c r="W125" s="4">
        <v>45</v>
      </c>
      <c r="X125" s="8" t="s">
        <v>1173</v>
      </c>
      <c r="Y125" s="8">
        <f>IF(ISNUMBER(SEARCH(Z125,TalentFlaw)),9,0)</f>
        <v>0</v>
      </c>
      <c r="Z125" s="3" t="str">
        <f t="shared" si="3"/>
        <v>Natural Armour IX;</v>
      </c>
      <c r="AT125">
        <v>124</v>
      </c>
      <c r="AU125" s="62">
        <v>17</v>
      </c>
    </row>
    <row r="126" spans="22:47" x14ac:dyDescent="0.25">
      <c r="V126" s="4" t="s">
        <v>1174</v>
      </c>
      <c r="W126" s="4">
        <v>25</v>
      </c>
      <c r="X126" s="8" t="s">
        <v>1175</v>
      </c>
      <c r="Y126" s="8">
        <f>IF(ISNUMBER(SEARCH(Z126,TalentFlaw)),5,0)</f>
        <v>0</v>
      </c>
      <c r="Z126" s="3" t="str">
        <f t="shared" si="3"/>
        <v>Natural Armour V;</v>
      </c>
      <c r="AT126">
        <v>125</v>
      </c>
      <c r="AU126" s="62">
        <v>17</v>
      </c>
    </row>
    <row r="127" spans="22:47" x14ac:dyDescent="0.25">
      <c r="V127" s="4" t="s">
        <v>1176</v>
      </c>
      <c r="W127" s="4">
        <v>30</v>
      </c>
      <c r="X127" s="8" t="s">
        <v>1177</v>
      </c>
      <c r="Y127" s="8">
        <f>IF(ISNUMBER(SEARCH(Z127,TalentFlaw)),6,0)</f>
        <v>0</v>
      </c>
      <c r="Z127" s="3" t="str">
        <f t="shared" si="3"/>
        <v>Natural Armour VI;</v>
      </c>
      <c r="AT127">
        <v>126</v>
      </c>
      <c r="AU127" s="62">
        <v>18</v>
      </c>
    </row>
    <row r="128" spans="22:47" x14ac:dyDescent="0.25">
      <c r="V128" s="4" t="s">
        <v>1178</v>
      </c>
      <c r="W128" s="4">
        <v>35</v>
      </c>
      <c r="X128" s="8" t="s">
        <v>1179</v>
      </c>
      <c r="Y128" s="8">
        <f>IF(ISNUMBER(SEARCH(Z128,TalentFlaw)),7,0)</f>
        <v>0</v>
      </c>
      <c r="Z128" s="3" t="str">
        <f t="shared" si="3"/>
        <v>Natural Armour VII;</v>
      </c>
      <c r="AT128">
        <v>127</v>
      </c>
      <c r="AU128" s="62">
        <v>18</v>
      </c>
    </row>
    <row r="129" spans="22:47" x14ac:dyDescent="0.25">
      <c r="V129" s="4" t="s">
        <v>1180</v>
      </c>
      <c r="W129" s="4">
        <v>40</v>
      </c>
      <c r="X129" s="8" t="s">
        <v>1181</v>
      </c>
      <c r="Y129" s="8">
        <f>IF(ISNUMBER(SEARCH(Z129,TalentFlaw)),8,0)</f>
        <v>0</v>
      </c>
      <c r="Z129" s="3" t="str">
        <f t="shared" si="3"/>
        <v>Natural Armour VIII;</v>
      </c>
      <c r="AT129">
        <v>128</v>
      </c>
      <c r="AU129" s="62">
        <v>18</v>
      </c>
    </row>
    <row r="130" spans="22:47" x14ac:dyDescent="0.25">
      <c r="V130" s="4" t="s">
        <v>918</v>
      </c>
      <c r="W130" s="4">
        <v>10</v>
      </c>
      <c r="X130" s="8" t="s">
        <v>1182</v>
      </c>
      <c r="Y130" s="8">
        <v>0</v>
      </c>
      <c r="Z130" s="3" t="str">
        <f t="shared" si="3"/>
        <v>Natural Elemental Immunity (cold);</v>
      </c>
      <c r="AT130">
        <v>129</v>
      </c>
      <c r="AU130" s="62">
        <v>19</v>
      </c>
    </row>
    <row r="131" spans="22:47" x14ac:dyDescent="0.25">
      <c r="V131" s="4" t="s">
        <v>919</v>
      </c>
      <c r="W131" s="4">
        <v>10</v>
      </c>
      <c r="X131" s="8" t="s">
        <v>1183</v>
      </c>
      <c r="Y131" s="8">
        <v>0</v>
      </c>
      <c r="Z131" s="3" t="str">
        <f t="shared" ref="Z131:Z194" si="6">V131&amp;";"</f>
        <v>Natural Elemental Immunity (heat);</v>
      </c>
      <c r="AT131">
        <v>130</v>
      </c>
      <c r="AU131" s="62">
        <v>19</v>
      </c>
    </row>
    <row r="132" spans="22:47" x14ac:dyDescent="0.25">
      <c r="V132" s="4" t="s">
        <v>1184</v>
      </c>
      <c r="W132" s="4">
        <v>10</v>
      </c>
      <c r="X132" s="8" t="s">
        <v>1185</v>
      </c>
      <c r="Y132" s="8">
        <v>0</v>
      </c>
      <c r="Z132" s="3" t="str">
        <f t="shared" si="6"/>
        <v>Natural Elemental Immunity (light);</v>
      </c>
      <c r="AT132">
        <v>131</v>
      </c>
      <c r="AU132" s="62">
        <v>19</v>
      </c>
    </row>
    <row r="133" spans="22:47" x14ac:dyDescent="0.25">
      <c r="V133" s="4" t="s">
        <v>1186</v>
      </c>
      <c r="W133" s="4">
        <v>5</v>
      </c>
      <c r="X133" s="8" t="s">
        <v>1187</v>
      </c>
      <c r="Y133" s="8">
        <v>0</v>
      </c>
      <c r="Z133" s="3" t="str">
        <f t="shared" si="6"/>
        <v>Natural Weaponry;</v>
      </c>
      <c r="AT133">
        <v>132</v>
      </c>
      <c r="AU133" s="62">
        <v>20</v>
      </c>
    </row>
    <row r="134" spans="22:47" x14ac:dyDescent="0.25">
      <c r="V134" s="4" t="s">
        <v>1188</v>
      </c>
      <c r="W134" s="4">
        <v>10</v>
      </c>
      <c r="X134" s="8" t="s">
        <v>1189</v>
      </c>
      <c r="Y134" s="8">
        <v>0</v>
      </c>
      <c r="Z134" s="3" t="str">
        <f t="shared" si="6"/>
        <v>Neutral Odor;</v>
      </c>
      <c r="AT134">
        <v>133</v>
      </c>
      <c r="AU134" s="62">
        <v>20</v>
      </c>
    </row>
    <row r="135" spans="22:47" x14ac:dyDescent="0.25">
      <c r="V135" s="4" t="s">
        <v>1190</v>
      </c>
      <c r="W135" s="4">
        <v>10</v>
      </c>
      <c r="X135" s="8" t="s">
        <v>1191</v>
      </c>
      <c r="Y135" s="8">
        <v>0</v>
      </c>
      <c r="Z135" s="3" t="str">
        <f t="shared" si="6"/>
        <v>Nightvision;</v>
      </c>
      <c r="AT135">
        <v>134</v>
      </c>
      <c r="AU135" s="62">
        <v>20</v>
      </c>
    </row>
    <row r="136" spans="22:47" x14ac:dyDescent="0.25">
      <c r="V136" s="4" t="s">
        <v>1192</v>
      </c>
      <c r="W136" s="4">
        <v>10</v>
      </c>
      <c r="X136" s="8" t="s">
        <v>1193</v>
      </c>
      <c r="Y136" s="8">
        <f>IF(ISNUMBER(SEARCH(Z136,TalentFlaw)),10,0)</f>
        <v>0</v>
      </c>
      <c r="Z136" s="3" t="str">
        <f t="shared" si="6"/>
        <v>Nose: Uncanny Tracking I;</v>
      </c>
      <c r="AT136">
        <v>135</v>
      </c>
      <c r="AU136" s="62">
        <v>21</v>
      </c>
    </row>
    <row r="137" spans="22:47" x14ac:dyDescent="0.25">
      <c r="V137" s="4" t="s">
        <v>1194</v>
      </c>
      <c r="W137" s="4">
        <v>20</v>
      </c>
      <c r="X137" s="8" t="s">
        <v>1195</v>
      </c>
      <c r="Y137" s="8">
        <f>IF(ISNUMBER(SEARCH(Z137,TalentFlaw)),20,0)</f>
        <v>0</v>
      </c>
      <c r="Z137" s="3" t="str">
        <f t="shared" si="6"/>
        <v>Nose: Uncanny Tracking II;</v>
      </c>
      <c r="AT137">
        <v>136</v>
      </c>
      <c r="AU137" s="62">
        <v>21</v>
      </c>
    </row>
    <row r="138" spans="22:47" x14ac:dyDescent="0.25">
      <c r="V138" s="4" t="s">
        <v>1196</v>
      </c>
      <c r="W138" s="4">
        <v>30</v>
      </c>
      <c r="X138" s="8" t="s">
        <v>1197</v>
      </c>
      <c r="Y138" s="8">
        <f>IF(ISNUMBER(SEARCH(Z138,TalentFlaw)),30,0)</f>
        <v>0</v>
      </c>
      <c r="Z138" s="3" t="str">
        <f t="shared" si="6"/>
        <v>Nose: Uncanny Tracking III;</v>
      </c>
      <c r="AT138">
        <v>137</v>
      </c>
      <c r="AU138" s="62">
        <v>21</v>
      </c>
    </row>
    <row r="139" spans="22:47" x14ac:dyDescent="0.25">
      <c r="V139" s="4" t="s">
        <v>1198</v>
      </c>
      <c r="W139" s="4">
        <v>40</v>
      </c>
      <c r="X139" s="8" t="s">
        <v>1199</v>
      </c>
      <c r="Y139" s="8">
        <f>IF(ISNUMBER(SEARCH(Z139,TalentFlaw)),40,0)</f>
        <v>0</v>
      </c>
      <c r="Z139" s="3" t="str">
        <f t="shared" si="6"/>
        <v>Nose: Uncanny Tracking IV;</v>
      </c>
      <c r="AT139">
        <v>138</v>
      </c>
      <c r="AU139" s="62">
        <v>22</v>
      </c>
    </row>
    <row r="140" spans="22:47" x14ac:dyDescent="0.25">
      <c r="V140" s="4" t="s">
        <v>1200</v>
      </c>
      <c r="W140" s="4">
        <v>50</v>
      </c>
      <c r="X140" s="8" t="s">
        <v>1201</v>
      </c>
      <c r="Y140" s="8">
        <f>IF(ISNUMBER(SEARCH(Z140,TalentFlaw)),50,0)</f>
        <v>0</v>
      </c>
      <c r="Z140" s="3" t="str">
        <f t="shared" si="6"/>
        <v>Nose: Uncanny Tracking V;</v>
      </c>
      <c r="AT140">
        <v>139</v>
      </c>
      <c r="AU140" s="62">
        <v>22</v>
      </c>
    </row>
    <row r="141" spans="22:47" x14ac:dyDescent="0.25">
      <c r="V141" s="4" t="s">
        <v>1202</v>
      </c>
      <c r="W141" s="4">
        <v>15</v>
      </c>
      <c r="X141" s="8" t="s">
        <v>1203</v>
      </c>
      <c r="Y141" s="8">
        <v>0</v>
      </c>
      <c r="Z141" s="3" t="str">
        <f t="shared" si="6"/>
        <v>Opportunistic Strike;</v>
      </c>
      <c r="AT141">
        <v>140</v>
      </c>
      <c r="AU141" s="62">
        <v>22</v>
      </c>
    </row>
    <row r="142" spans="22:47" x14ac:dyDescent="0.25">
      <c r="V142" s="4" t="s">
        <v>1204</v>
      </c>
      <c r="W142" s="4">
        <v>20</v>
      </c>
      <c r="X142" s="8" t="s">
        <v>1205</v>
      </c>
      <c r="Y142" s="8">
        <f>IF(ISNUMBER(SEARCH(Z142,TalentFlaw)),50,0)</f>
        <v>0</v>
      </c>
      <c r="Z142" s="3" t="str">
        <f t="shared" si="6"/>
        <v>Partial camoflage (chameleon) I;</v>
      </c>
      <c r="AT142">
        <v>141</v>
      </c>
      <c r="AU142" s="62">
        <v>23</v>
      </c>
    </row>
    <row r="143" spans="22:47" x14ac:dyDescent="0.25">
      <c r="V143" s="4" t="s">
        <v>1206</v>
      </c>
      <c r="W143" s="4">
        <v>30</v>
      </c>
      <c r="X143" s="8" t="s">
        <v>1207</v>
      </c>
      <c r="Y143" s="8">
        <f>IF(ISNUMBER(SEARCH(Z143,TalentFlaw)),80,0)</f>
        <v>0</v>
      </c>
      <c r="Z143" s="3" t="str">
        <f t="shared" si="6"/>
        <v>Partial camoflage (chameleon) II;</v>
      </c>
      <c r="AT143">
        <v>142</v>
      </c>
      <c r="AU143" s="62">
        <v>23</v>
      </c>
    </row>
    <row r="144" spans="22:47" x14ac:dyDescent="0.25">
      <c r="V144" s="4" t="s">
        <v>1208</v>
      </c>
      <c r="W144" s="4">
        <v>10</v>
      </c>
      <c r="X144" s="8" t="s">
        <v>1209</v>
      </c>
      <c r="Y144" s="8">
        <f>IF(ISNUMBER(SEARCH(Z144,TalentFlaw)),50,0)</f>
        <v>0</v>
      </c>
      <c r="Z144" s="3" t="str">
        <f t="shared" si="6"/>
        <v>Partial camoflage, forest (chameleon) I;</v>
      </c>
      <c r="AT144">
        <v>143</v>
      </c>
      <c r="AU144" s="62">
        <v>23</v>
      </c>
    </row>
    <row r="145" spans="22:47" x14ac:dyDescent="0.25">
      <c r="V145" s="4" t="s">
        <v>1210</v>
      </c>
      <c r="W145" s="4">
        <v>15</v>
      </c>
      <c r="X145" s="8" t="s">
        <v>1211</v>
      </c>
      <c r="Y145" s="8">
        <f>IF(ISNUMBER(SEARCH(Z145,TalentFlaw)),80,0)</f>
        <v>0</v>
      </c>
      <c r="Z145" s="3" t="str">
        <f t="shared" si="6"/>
        <v>Partial camoflage, forest (chameleon) II;</v>
      </c>
      <c r="AT145">
        <v>144</v>
      </c>
      <c r="AU145" s="62">
        <v>24</v>
      </c>
    </row>
    <row r="146" spans="22:47" x14ac:dyDescent="0.25">
      <c r="V146" s="4" t="s">
        <v>1212</v>
      </c>
      <c r="W146" s="4">
        <v>7</v>
      </c>
      <c r="X146" s="8" t="s">
        <v>1213</v>
      </c>
      <c r="Y146" s="8">
        <f>IF(ISNUMBER(SEARCH(Z146,TalentFlaw)),10,0)</f>
        <v>0</v>
      </c>
      <c r="Z146" s="3" t="str">
        <f t="shared" si="6"/>
        <v>Perfect Pitch I (Play Instrument);</v>
      </c>
      <c r="AT146">
        <v>145</v>
      </c>
      <c r="AU146" s="62">
        <v>24</v>
      </c>
    </row>
    <row r="147" spans="22:47" x14ac:dyDescent="0.25">
      <c r="V147" s="4" t="s">
        <v>1214</v>
      </c>
      <c r="W147" s="4">
        <v>7</v>
      </c>
      <c r="X147" s="8" t="s">
        <v>1215</v>
      </c>
      <c r="Y147" s="8">
        <f>IF(ISNUMBER(SEARCH(Z147,TalentFlaw)),10,0)</f>
        <v>0</v>
      </c>
      <c r="Z147" s="3" t="str">
        <f t="shared" si="6"/>
        <v>Perfect Pitch I (Singing);</v>
      </c>
      <c r="AT147">
        <v>146</v>
      </c>
      <c r="AU147" s="62">
        <v>24</v>
      </c>
    </row>
    <row r="148" spans="22:47" x14ac:dyDescent="0.25">
      <c r="V148" s="4" t="s">
        <v>1216</v>
      </c>
      <c r="W148" s="4">
        <v>14</v>
      </c>
      <c r="X148" s="8" t="s">
        <v>1217</v>
      </c>
      <c r="Y148" s="8">
        <f>IF(ISNUMBER(SEARCH(Z148,TalentFlaw)),20,0)</f>
        <v>0</v>
      </c>
      <c r="Z148" s="3" t="str">
        <f t="shared" si="6"/>
        <v>Perfect Pitch II (Play Instrument);</v>
      </c>
      <c r="AT148">
        <v>147</v>
      </c>
      <c r="AU148" s="62">
        <v>25</v>
      </c>
    </row>
    <row r="149" spans="22:47" x14ac:dyDescent="0.25">
      <c r="V149" s="4" t="s">
        <v>1218</v>
      </c>
      <c r="W149" s="4">
        <v>14</v>
      </c>
      <c r="X149" s="8" t="s">
        <v>1219</v>
      </c>
      <c r="Y149" s="8">
        <f>IF(ISNUMBER(SEARCH(Z149,TalentFlaw)),20,0)</f>
        <v>0</v>
      </c>
      <c r="Z149" s="3" t="str">
        <f t="shared" si="6"/>
        <v>Perfect Pitch II (Singing);</v>
      </c>
      <c r="AT149">
        <v>148</v>
      </c>
      <c r="AU149" s="62">
        <v>25</v>
      </c>
    </row>
    <row r="150" spans="22:47" x14ac:dyDescent="0.25">
      <c r="V150" s="4" t="s">
        <v>1220</v>
      </c>
      <c r="W150" s="4">
        <v>21</v>
      </c>
      <c r="X150" s="8" t="s">
        <v>1221</v>
      </c>
      <c r="Y150" s="8">
        <f>IF(ISNUMBER(SEARCH(Z150,TalentFlaw)),530,0)</f>
        <v>0</v>
      </c>
      <c r="Z150" s="3" t="str">
        <f t="shared" si="6"/>
        <v>Perfect Pitch III (Play Instrument);</v>
      </c>
      <c r="AT150">
        <v>149</v>
      </c>
      <c r="AU150" s="62">
        <v>25</v>
      </c>
    </row>
    <row r="151" spans="22:47" x14ac:dyDescent="0.25">
      <c r="V151" s="4" t="s">
        <v>1222</v>
      </c>
      <c r="W151" s="4">
        <v>21</v>
      </c>
      <c r="X151" s="8" t="s">
        <v>1223</v>
      </c>
      <c r="Y151" s="8">
        <f>IF(ISNUMBER(SEARCH(Z151,TalentFlaw)),30,0)</f>
        <v>0</v>
      </c>
      <c r="Z151" s="3" t="str">
        <f t="shared" si="6"/>
        <v>Perfect Pitch III (Singing);</v>
      </c>
      <c r="AT151">
        <v>150</v>
      </c>
      <c r="AU151" s="62">
        <v>26</v>
      </c>
    </row>
    <row r="152" spans="22:47" x14ac:dyDescent="0.25">
      <c r="V152" s="4" t="s">
        <v>1224</v>
      </c>
      <c r="W152" s="4">
        <v>5</v>
      </c>
      <c r="X152" s="8" t="s">
        <v>1225</v>
      </c>
      <c r="Y152" s="8">
        <f>IF(ISNUMBER(SEARCH(Z152,TalentFlaw)),5,0)</f>
        <v>0</v>
      </c>
      <c r="Z152" s="3" t="str">
        <f t="shared" si="6"/>
        <v>Physical Resistance I;</v>
      </c>
      <c r="AT152">
        <v>151</v>
      </c>
      <c r="AU152" s="62">
        <v>26</v>
      </c>
    </row>
    <row r="153" spans="22:47" x14ac:dyDescent="0.25">
      <c r="V153" s="4" t="s">
        <v>1226</v>
      </c>
      <c r="W153" s="4">
        <v>10</v>
      </c>
      <c r="X153" s="8" t="s">
        <v>1227</v>
      </c>
      <c r="Y153" s="8">
        <f>IF(ISNUMBER(SEARCH(Z153,TalentFlaw)),10,0)</f>
        <v>0</v>
      </c>
      <c r="Z153" s="3" t="str">
        <f t="shared" si="6"/>
        <v>Physical Resistance II;</v>
      </c>
      <c r="AT153">
        <v>152</v>
      </c>
      <c r="AU153" s="62">
        <v>26</v>
      </c>
    </row>
    <row r="154" spans="22:47" x14ac:dyDescent="0.25">
      <c r="V154" s="4" t="s">
        <v>1228</v>
      </c>
      <c r="W154" s="4">
        <v>15</v>
      </c>
      <c r="X154" s="8" t="s">
        <v>1229</v>
      </c>
      <c r="Y154" s="8">
        <f>IF(ISNUMBER(SEARCH(Z154,TalentFlaw)),15,0)</f>
        <v>0</v>
      </c>
      <c r="Z154" s="3" t="str">
        <f t="shared" si="6"/>
        <v>Physical Resistance III;</v>
      </c>
      <c r="AT154">
        <v>153</v>
      </c>
      <c r="AU154" s="62">
        <v>27</v>
      </c>
    </row>
    <row r="155" spans="22:47" x14ac:dyDescent="0.25">
      <c r="V155" s="4" t="s">
        <v>1230</v>
      </c>
      <c r="W155" s="4">
        <v>20</v>
      </c>
      <c r="X155" s="8" t="s">
        <v>1231</v>
      </c>
      <c r="Y155" s="8">
        <f>IF(ISNUMBER(SEARCH(Z155,TalentFlaw)),20,0)</f>
        <v>0</v>
      </c>
      <c r="Z155" s="3" t="str">
        <f t="shared" si="6"/>
        <v>Physical Resistance IV;</v>
      </c>
      <c r="AT155">
        <v>154</v>
      </c>
      <c r="AU155" s="62">
        <v>27</v>
      </c>
    </row>
    <row r="156" spans="22:47" x14ac:dyDescent="0.25">
      <c r="V156" s="4" t="s">
        <v>1232</v>
      </c>
      <c r="W156" s="4">
        <v>25</v>
      </c>
      <c r="X156" s="8" t="s">
        <v>1233</v>
      </c>
      <c r="Y156" s="8">
        <f>IF(ISNUMBER(SEARCH(Z156,TalentFlaw)),25,0)</f>
        <v>0</v>
      </c>
      <c r="Z156" s="3" t="str">
        <f t="shared" si="6"/>
        <v>Physical Resistance V;</v>
      </c>
      <c r="AT156">
        <v>155</v>
      </c>
      <c r="AU156" s="62">
        <v>27</v>
      </c>
    </row>
    <row r="157" spans="22:47" x14ac:dyDescent="0.25">
      <c r="V157" s="4" t="s">
        <v>1234</v>
      </c>
      <c r="W157" s="4">
        <v>10</v>
      </c>
      <c r="X157" s="8" t="s">
        <v>1235</v>
      </c>
      <c r="Y157" s="8">
        <v>0</v>
      </c>
      <c r="Z157" s="3" t="str">
        <f t="shared" si="6"/>
        <v>Power Recycling I;</v>
      </c>
      <c r="AT157">
        <v>156</v>
      </c>
      <c r="AU157" s="62">
        <v>28</v>
      </c>
    </row>
    <row r="158" spans="22:47" x14ac:dyDescent="0.25">
      <c r="V158" s="4" t="s">
        <v>1236</v>
      </c>
      <c r="W158" s="4">
        <v>20</v>
      </c>
      <c r="X158" s="8" t="s">
        <v>1237</v>
      </c>
      <c r="Y158" s="8">
        <v>0</v>
      </c>
      <c r="Z158" s="3" t="str">
        <f t="shared" si="6"/>
        <v>Power Recycling II;</v>
      </c>
      <c r="AT158">
        <v>157</v>
      </c>
      <c r="AU158" s="62">
        <v>28</v>
      </c>
    </row>
    <row r="159" spans="22:47" x14ac:dyDescent="0.25">
      <c r="V159" s="4" t="s">
        <v>1238</v>
      </c>
      <c r="W159" s="4">
        <v>10</v>
      </c>
      <c r="X159" s="8" t="s">
        <v>1239</v>
      </c>
      <c r="Y159" s="8">
        <v>0</v>
      </c>
      <c r="Z159" s="3" t="str">
        <f t="shared" si="6"/>
        <v>Pressing the Advantage I;</v>
      </c>
      <c r="AT159">
        <v>158</v>
      </c>
      <c r="AU159" s="62">
        <v>28</v>
      </c>
    </row>
    <row r="160" spans="22:47" x14ac:dyDescent="0.25">
      <c r="V160" s="4" t="s">
        <v>1240</v>
      </c>
      <c r="W160" s="4">
        <v>20</v>
      </c>
      <c r="X160" s="8" t="s">
        <v>1241</v>
      </c>
      <c r="Y160" s="8">
        <v>0</v>
      </c>
      <c r="Z160" s="3" t="str">
        <f t="shared" si="6"/>
        <v>Pressing the Advantage II;</v>
      </c>
      <c r="AT160">
        <v>159</v>
      </c>
      <c r="AU160" s="62">
        <v>29</v>
      </c>
    </row>
    <row r="161" spans="22:47" x14ac:dyDescent="0.25">
      <c r="V161" s="4" t="s">
        <v>1242</v>
      </c>
      <c r="W161" s="4">
        <v>30</v>
      </c>
      <c r="X161" s="8" t="s">
        <v>1243</v>
      </c>
      <c r="Y161" s="8">
        <v>0</v>
      </c>
      <c r="Z161" s="3" t="str">
        <f t="shared" si="6"/>
        <v>Pressing the Advantage III;</v>
      </c>
      <c r="AT161">
        <v>160</v>
      </c>
      <c r="AU161" s="62">
        <v>29</v>
      </c>
    </row>
    <row r="162" spans="22:47" x14ac:dyDescent="0.25">
      <c r="V162" s="4" t="s">
        <v>1244</v>
      </c>
      <c r="W162" s="4">
        <v>40</v>
      </c>
      <c r="X162" s="8" t="s">
        <v>1245</v>
      </c>
      <c r="Y162" s="8">
        <v>0</v>
      </c>
      <c r="Z162" s="3" t="str">
        <f t="shared" si="6"/>
        <v>Pressing the Advantage IV;</v>
      </c>
      <c r="AT162">
        <v>161</v>
      </c>
      <c r="AU162" s="62">
        <v>29</v>
      </c>
    </row>
    <row r="163" spans="22:47" x14ac:dyDescent="0.25">
      <c r="V163" s="4" t="s">
        <v>1246</v>
      </c>
      <c r="W163" s="4">
        <v>50</v>
      </c>
      <c r="X163" s="8" t="s">
        <v>1247</v>
      </c>
      <c r="Y163" s="8">
        <v>0</v>
      </c>
      <c r="Z163" s="3" t="str">
        <f t="shared" si="6"/>
        <v>Pressing the Advantage V;</v>
      </c>
      <c r="AT163">
        <v>162</v>
      </c>
      <c r="AU163" s="62">
        <v>30</v>
      </c>
    </row>
    <row r="164" spans="22:47" x14ac:dyDescent="0.25">
      <c r="V164" s="4" t="s">
        <v>1248</v>
      </c>
      <c r="W164" s="4">
        <v>6</v>
      </c>
      <c r="X164" s="8" t="s">
        <v>1249</v>
      </c>
      <c r="Y164" s="8">
        <f>IF(ISNUMBER(SEARCH(Z164,TalentFlaw)),5,0)</f>
        <v>0</v>
      </c>
      <c r="Z164" s="3" t="str">
        <f t="shared" si="6"/>
        <v>Prodigy (Acrobatics) I;</v>
      </c>
      <c r="AT164">
        <v>163</v>
      </c>
      <c r="AU164" s="62">
        <v>30</v>
      </c>
    </row>
    <row r="165" spans="22:47" x14ac:dyDescent="0.25">
      <c r="V165" s="4" t="s">
        <v>1250</v>
      </c>
      <c r="W165" s="4">
        <v>12</v>
      </c>
      <c r="X165" s="8" t="s">
        <v>1251</v>
      </c>
      <c r="Y165" s="8">
        <f>IF(ISNUMBER(SEARCH(Z165,TalentFlaw)),10,0)</f>
        <v>0</v>
      </c>
      <c r="Z165" s="3" t="str">
        <f t="shared" si="6"/>
        <v>Prodigy (Acrobatics) II;</v>
      </c>
      <c r="AT165">
        <v>164</v>
      </c>
      <c r="AU165" s="62">
        <v>30</v>
      </c>
    </row>
    <row r="166" spans="22:47" x14ac:dyDescent="0.25">
      <c r="V166" s="4" t="s">
        <v>1252</v>
      </c>
      <c r="W166" s="4">
        <v>18</v>
      </c>
      <c r="X166" s="8" t="s">
        <v>1253</v>
      </c>
      <c r="Y166" s="8">
        <f>IF(ISNUMBER(SEARCH(Z166,TalentFlaw)),15,0)</f>
        <v>0</v>
      </c>
      <c r="Z166" s="3" t="str">
        <f t="shared" si="6"/>
        <v>Prodigy (Acrobatics) III;</v>
      </c>
      <c r="AT166">
        <v>165</v>
      </c>
      <c r="AU166" s="62">
        <v>31</v>
      </c>
    </row>
    <row r="167" spans="22:47" x14ac:dyDescent="0.25">
      <c r="V167" s="4" t="s">
        <v>1254</v>
      </c>
      <c r="W167" s="4">
        <v>24</v>
      </c>
      <c r="X167" s="8" t="s">
        <v>1255</v>
      </c>
      <c r="Y167" s="8">
        <f>IF(ISNUMBER(SEARCH(Z167,TalentFlaw)),20,0)</f>
        <v>0</v>
      </c>
      <c r="Z167" s="3" t="str">
        <f t="shared" si="6"/>
        <v>Prodigy (Acrobatics) IV;</v>
      </c>
      <c r="AT167">
        <v>166</v>
      </c>
      <c r="AU167" s="62">
        <v>31</v>
      </c>
    </row>
    <row r="168" spans="22:47" x14ac:dyDescent="0.25">
      <c r="V168" s="4" t="s">
        <v>1256</v>
      </c>
      <c r="W168" s="4">
        <v>30</v>
      </c>
      <c r="X168" s="8" t="s">
        <v>1257</v>
      </c>
      <c r="Y168" s="8">
        <f>IF(ISNUMBER(SEARCH(Z168,TalentFlaw)),25,0)</f>
        <v>0</v>
      </c>
      <c r="Z168" s="3" t="str">
        <f t="shared" si="6"/>
        <v>Prodigy (Acrobatics) V;</v>
      </c>
      <c r="AT168">
        <v>167</v>
      </c>
      <c r="AU168" s="62">
        <v>31</v>
      </c>
    </row>
    <row r="169" spans="22:47" x14ac:dyDescent="0.25">
      <c r="V169" s="4" t="s">
        <v>1258</v>
      </c>
      <c r="W169" s="4">
        <v>6</v>
      </c>
      <c r="X169" s="8" t="s">
        <v>1259</v>
      </c>
      <c r="Y169" s="8">
        <f>IF(ISNUMBER(SEARCH(Z169,TalentFlaw)),5,0)</f>
        <v>0</v>
      </c>
      <c r="Z169" s="3" t="str">
        <f t="shared" si="6"/>
        <v>Prodigy (Acting) I;</v>
      </c>
      <c r="AT169">
        <v>168</v>
      </c>
      <c r="AU169" s="62">
        <v>32</v>
      </c>
    </row>
    <row r="170" spans="22:47" x14ac:dyDescent="0.25">
      <c r="V170" s="4" t="s">
        <v>1260</v>
      </c>
      <c r="W170" s="4">
        <v>12</v>
      </c>
      <c r="X170" s="8" t="s">
        <v>1261</v>
      </c>
      <c r="Y170" s="8">
        <f>IF(ISNUMBER(SEARCH(Z170,TalentFlaw)),10,0)</f>
        <v>0</v>
      </c>
      <c r="Z170" s="3" t="str">
        <f t="shared" si="6"/>
        <v>Prodigy (Acting) II;</v>
      </c>
      <c r="AT170">
        <v>169</v>
      </c>
      <c r="AU170" s="62">
        <v>32</v>
      </c>
    </row>
    <row r="171" spans="22:47" x14ac:dyDescent="0.25">
      <c r="V171" s="4" t="s">
        <v>1262</v>
      </c>
      <c r="W171" s="4">
        <v>18</v>
      </c>
      <c r="X171" s="8" t="s">
        <v>1263</v>
      </c>
      <c r="Y171" s="8">
        <f>IF(ISNUMBER(SEARCH(Z171,TalentFlaw)),15,0)</f>
        <v>0</v>
      </c>
      <c r="Z171" s="3" t="str">
        <f t="shared" si="6"/>
        <v>Prodigy (Acting) III;</v>
      </c>
      <c r="AT171">
        <v>170</v>
      </c>
      <c r="AU171" s="62">
        <v>32</v>
      </c>
    </row>
    <row r="172" spans="22:47" x14ac:dyDescent="0.25">
      <c r="V172" s="4" t="s">
        <v>1264</v>
      </c>
      <c r="W172" s="4">
        <v>24</v>
      </c>
      <c r="X172" s="8" t="s">
        <v>1265</v>
      </c>
      <c r="Y172" s="8">
        <f>IF(ISNUMBER(SEARCH(Z172,TalentFlaw)),20,0)</f>
        <v>0</v>
      </c>
      <c r="Z172" s="3" t="str">
        <f t="shared" si="6"/>
        <v>Prodigy (Acting) IV;</v>
      </c>
      <c r="AT172">
        <v>171</v>
      </c>
      <c r="AU172" s="62">
        <v>33</v>
      </c>
    </row>
    <row r="173" spans="22:47" x14ac:dyDescent="0.25">
      <c r="V173" s="4" t="s">
        <v>922</v>
      </c>
      <c r="W173" s="4">
        <v>6</v>
      </c>
      <c r="X173" s="8" t="s">
        <v>1266</v>
      </c>
      <c r="Y173" s="8">
        <f>IF(ISNUMBER(SEARCH(Z173,TalentFlaw)),5,0)</f>
        <v>0</v>
      </c>
      <c r="Z173" s="3" t="str">
        <f t="shared" si="6"/>
        <v>Prodigy (Animal Handling) I;</v>
      </c>
      <c r="AT173">
        <v>172</v>
      </c>
      <c r="AU173" s="62">
        <v>33</v>
      </c>
    </row>
    <row r="174" spans="22:47" x14ac:dyDescent="0.25">
      <c r="V174" s="4" t="s">
        <v>923</v>
      </c>
      <c r="W174" s="4">
        <v>12</v>
      </c>
      <c r="X174" s="8" t="s">
        <v>1267</v>
      </c>
      <c r="Y174" s="8">
        <f>IF(ISNUMBER(SEARCH(Z174,TalentFlaw)),10,0)</f>
        <v>0</v>
      </c>
      <c r="Z174" s="3" t="str">
        <f t="shared" si="6"/>
        <v>Prodigy (Animal Handling) II;</v>
      </c>
      <c r="AT174">
        <v>173</v>
      </c>
      <c r="AU174" s="62">
        <v>33</v>
      </c>
    </row>
    <row r="175" spans="22:47" x14ac:dyDescent="0.25">
      <c r="V175" s="4" t="s">
        <v>1268</v>
      </c>
      <c r="W175" s="4">
        <v>18</v>
      </c>
      <c r="X175" s="8" t="s">
        <v>1269</v>
      </c>
      <c r="Y175" s="8">
        <f>IF(ISNUMBER(SEARCH(Z175,TalentFlaw)),15,0)</f>
        <v>0</v>
      </c>
      <c r="Z175" s="3" t="str">
        <f t="shared" si="6"/>
        <v>Prodigy (Animal Handling) III;</v>
      </c>
      <c r="AT175">
        <v>174</v>
      </c>
      <c r="AU175" s="62">
        <v>34</v>
      </c>
    </row>
    <row r="176" spans="22:47" x14ac:dyDescent="0.25">
      <c r="V176" s="4" t="s">
        <v>1270</v>
      </c>
      <c r="W176" s="4">
        <v>24</v>
      </c>
      <c r="X176" s="8" t="s">
        <v>1271</v>
      </c>
      <c r="Y176" s="8">
        <f>IF(ISNUMBER(SEARCH(Z176,TalentFlaw)),20,0)</f>
        <v>0</v>
      </c>
      <c r="Z176" s="3" t="str">
        <f t="shared" si="6"/>
        <v>Prodigy (Animal Handling) IV;</v>
      </c>
      <c r="AT176">
        <v>175</v>
      </c>
      <c r="AU176" s="62">
        <v>34</v>
      </c>
    </row>
    <row r="177" spans="22:47" x14ac:dyDescent="0.25">
      <c r="V177" s="4" t="s">
        <v>1272</v>
      </c>
      <c r="W177" s="4">
        <v>6</v>
      </c>
      <c r="X177" s="8" t="s">
        <v>1273</v>
      </c>
      <c r="Y177" s="8">
        <f>IF(ISNUMBER(SEARCH(Z177,TalentFlaw)),5,0)</f>
        <v>0</v>
      </c>
      <c r="Z177" s="3" t="str">
        <f t="shared" si="6"/>
        <v>Prodigy (Animal Riding) I;</v>
      </c>
      <c r="AT177">
        <v>176</v>
      </c>
      <c r="AU177" s="62">
        <v>34</v>
      </c>
    </row>
    <row r="178" spans="22:47" x14ac:dyDescent="0.25">
      <c r="V178" s="4" t="s">
        <v>1274</v>
      </c>
      <c r="W178" s="4">
        <v>12</v>
      </c>
      <c r="X178" s="8" t="s">
        <v>1275</v>
      </c>
      <c r="Y178" s="8">
        <f>IF(ISNUMBER(SEARCH(Z178,TalentFlaw)),10,0)</f>
        <v>0</v>
      </c>
      <c r="Z178" s="3" t="str">
        <f t="shared" si="6"/>
        <v>Prodigy (Animal Riding) II;</v>
      </c>
      <c r="AT178">
        <v>177</v>
      </c>
      <c r="AU178" s="62">
        <v>35</v>
      </c>
    </row>
    <row r="179" spans="22:47" x14ac:dyDescent="0.25">
      <c r="V179" s="4" t="s">
        <v>1276</v>
      </c>
      <c r="W179" s="4">
        <v>18</v>
      </c>
      <c r="X179" s="8" t="s">
        <v>1277</v>
      </c>
      <c r="Y179" s="8">
        <f>IF(ISNUMBER(SEARCH(Z179,TalentFlaw)),15,0)</f>
        <v>0</v>
      </c>
      <c r="Z179" s="3" t="str">
        <f t="shared" si="6"/>
        <v>Prodigy (Animal Riding) III;</v>
      </c>
      <c r="AT179">
        <v>178</v>
      </c>
      <c r="AU179" s="62">
        <v>35</v>
      </c>
    </row>
    <row r="180" spans="22:47" x14ac:dyDescent="0.25">
      <c r="V180" s="4" t="s">
        <v>1278</v>
      </c>
      <c r="W180" s="4">
        <v>24</v>
      </c>
      <c r="X180" s="8" t="s">
        <v>1279</v>
      </c>
      <c r="Y180" s="8">
        <f>IF(ISNUMBER(SEARCH(Z180,TalentFlaw)),20,0)</f>
        <v>0</v>
      </c>
      <c r="Z180" s="3" t="str">
        <f t="shared" si="6"/>
        <v>Prodigy (Animal Riding) IV;</v>
      </c>
      <c r="AT180">
        <v>179</v>
      </c>
      <c r="AU180" s="62">
        <v>35</v>
      </c>
    </row>
    <row r="181" spans="22:47" x14ac:dyDescent="0.25">
      <c r="V181" s="4" t="s">
        <v>1280</v>
      </c>
      <c r="W181" s="4">
        <v>6</v>
      </c>
      <c r="X181" s="8" t="s">
        <v>1281</v>
      </c>
      <c r="Y181" s="8">
        <f>IF(ISNUMBER(SEARCH(Z181,TalentFlaw)),5,0)</f>
        <v>0</v>
      </c>
      <c r="Z181" s="3" t="str">
        <f t="shared" si="6"/>
        <v>Prodigy (Attunement) I;</v>
      </c>
      <c r="AT181">
        <v>180</v>
      </c>
      <c r="AU181" s="62">
        <v>36</v>
      </c>
    </row>
    <row r="182" spans="22:47" x14ac:dyDescent="0.25">
      <c r="V182" s="4" t="s">
        <v>1282</v>
      </c>
      <c r="W182" s="4">
        <v>12</v>
      </c>
      <c r="X182" s="8" t="s">
        <v>1283</v>
      </c>
      <c r="Y182" s="8">
        <f>IF(ISNUMBER(SEARCH(Z182,TalentFlaw)),10,0)</f>
        <v>0</v>
      </c>
      <c r="Z182" s="3" t="str">
        <f t="shared" si="6"/>
        <v>Prodigy (Attunement) II;</v>
      </c>
      <c r="AT182">
        <v>181</v>
      </c>
      <c r="AU182" s="62">
        <v>36</v>
      </c>
    </row>
    <row r="183" spans="22:47" x14ac:dyDescent="0.25">
      <c r="V183" s="4" t="s">
        <v>1284</v>
      </c>
      <c r="W183" s="4">
        <v>18</v>
      </c>
      <c r="X183" s="8" t="s">
        <v>1285</v>
      </c>
      <c r="Y183" s="8">
        <f>IF(ISNUMBER(SEARCH(Z183,TalentFlaw)),15,0)</f>
        <v>0</v>
      </c>
      <c r="Z183" s="3" t="str">
        <f t="shared" si="6"/>
        <v>Prodigy (Attunement) III;</v>
      </c>
      <c r="AT183">
        <v>182</v>
      </c>
      <c r="AU183" s="62">
        <v>36</v>
      </c>
    </row>
    <row r="184" spans="22:47" x14ac:dyDescent="0.25">
      <c r="V184" s="4" t="s">
        <v>1286</v>
      </c>
      <c r="W184" s="4">
        <v>24</v>
      </c>
      <c r="X184" s="8" t="s">
        <v>1287</v>
      </c>
      <c r="Y184" s="8">
        <f>IF(ISNUMBER(SEARCH(Z184,TalentFlaw)),20,0)</f>
        <v>0</v>
      </c>
      <c r="Z184" s="3" t="str">
        <f t="shared" si="6"/>
        <v>Prodigy (Attunement) IV;</v>
      </c>
      <c r="AT184">
        <v>183</v>
      </c>
      <c r="AU184" s="62">
        <v>37</v>
      </c>
    </row>
    <row r="185" spans="22:47" x14ac:dyDescent="0.25">
      <c r="V185" s="4" t="s">
        <v>1288</v>
      </c>
      <c r="W185" s="4">
        <v>6</v>
      </c>
      <c r="X185" s="8" t="s">
        <v>1289</v>
      </c>
      <c r="Y185" s="8">
        <f>IF(ISNUMBER(SEARCH(Z185,TalentFlaw)),5,0)</f>
        <v>0</v>
      </c>
      <c r="Z185" s="3" t="str">
        <f t="shared" si="6"/>
        <v>Prodigy (Climbing) I;</v>
      </c>
      <c r="AT185">
        <v>184</v>
      </c>
      <c r="AU185" s="62">
        <v>37</v>
      </c>
    </row>
    <row r="186" spans="22:47" x14ac:dyDescent="0.25">
      <c r="V186" s="4" t="s">
        <v>1290</v>
      </c>
      <c r="W186" s="4">
        <v>12</v>
      </c>
      <c r="X186" s="8" t="s">
        <v>1291</v>
      </c>
      <c r="Y186" s="8">
        <f>IF(ISNUMBER(SEARCH(Z186,TalentFlaw)),10,0)</f>
        <v>0</v>
      </c>
      <c r="Z186" s="3" t="str">
        <f t="shared" si="6"/>
        <v>Prodigy (Climbing) II;</v>
      </c>
      <c r="AT186">
        <v>185</v>
      </c>
      <c r="AU186" s="62">
        <v>37</v>
      </c>
    </row>
    <row r="187" spans="22:47" x14ac:dyDescent="0.25">
      <c r="V187" s="4" t="s">
        <v>1292</v>
      </c>
      <c r="W187" s="4">
        <v>18</v>
      </c>
      <c r="X187" s="8" t="s">
        <v>1293</v>
      </c>
      <c r="Y187" s="8">
        <f>IF(ISNUMBER(SEARCH(Z187,TalentFlaw)),15,0)</f>
        <v>0</v>
      </c>
      <c r="Z187" s="3" t="str">
        <f t="shared" si="6"/>
        <v>Prodigy (Climbing) III;</v>
      </c>
      <c r="AT187">
        <v>186</v>
      </c>
      <c r="AU187" s="62">
        <v>38</v>
      </c>
    </row>
    <row r="188" spans="22:47" x14ac:dyDescent="0.25">
      <c r="V188" s="4" t="s">
        <v>1294</v>
      </c>
      <c r="W188" s="4">
        <v>24</v>
      </c>
      <c r="X188" s="8" t="s">
        <v>1295</v>
      </c>
      <c r="Y188" s="8">
        <f>IF(ISNUMBER(SEARCH(Z188,TalentFlaw)),20,0)</f>
        <v>0</v>
      </c>
      <c r="Z188" s="3" t="str">
        <f t="shared" si="6"/>
        <v>Prodigy (Climbing) IV;</v>
      </c>
      <c r="AT188">
        <v>187</v>
      </c>
      <c r="AU188" s="62">
        <v>38</v>
      </c>
    </row>
    <row r="189" spans="22:47" x14ac:dyDescent="0.25">
      <c r="V189" s="4" t="s">
        <v>1296</v>
      </c>
      <c r="W189" s="4">
        <v>6</v>
      </c>
      <c r="X189" s="8" t="s">
        <v>1297</v>
      </c>
      <c r="Y189" s="8">
        <f>IF(ISNUMBER(SEARCH(Z189,TalentFlaw)),5,0)</f>
        <v>0</v>
      </c>
      <c r="Z189" s="3" t="str">
        <f t="shared" si="6"/>
        <v>Prodigy (Combat Training: Melee) I;</v>
      </c>
      <c r="AT189">
        <v>188</v>
      </c>
      <c r="AU189" s="62">
        <v>38</v>
      </c>
    </row>
    <row r="190" spans="22:47" x14ac:dyDescent="0.25">
      <c r="V190" s="4" t="s">
        <v>1298</v>
      </c>
      <c r="W190" s="4">
        <v>12</v>
      </c>
      <c r="X190" s="8" t="s">
        <v>1299</v>
      </c>
      <c r="Y190" s="8">
        <f>IF(ISNUMBER(SEARCH(Z190,TalentFlaw)),10,0)</f>
        <v>0</v>
      </c>
      <c r="Z190" s="3" t="str">
        <f t="shared" si="6"/>
        <v>Prodigy (Combat Training: Melee) II;</v>
      </c>
      <c r="AT190">
        <v>189</v>
      </c>
      <c r="AU190" s="62">
        <v>39</v>
      </c>
    </row>
    <row r="191" spans="22:47" x14ac:dyDescent="0.25">
      <c r="V191" s="4" t="s">
        <v>1300</v>
      </c>
      <c r="W191" s="4">
        <v>18</v>
      </c>
      <c r="X191" s="8" t="s">
        <v>1301</v>
      </c>
      <c r="Y191" s="8">
        <f>IF(ISNUMBER(SEARCH(Z191,TalentFlaw)),15,0)</f>
        <v>0</v>
      </c>
      <c r="Z191" s="3" t="str">
        <f t="shared" si="6"/>
        <v>Prodigy (Combat Training: Melee) III;</v>
      </c>
      <c r="AT191">
        <v>190</v>
      </c>
      <c r="AU191" s="62">
        <v>39</v>
      </c>
    </row>
    <row r="192" spans="22:47" x14ac:dyDescent="0.25">
      <c r="V192" s="4" t="s">
        <v>1302</v>
      </c>
      <c r="W192" s="4">
        <v>24</v>
      </c>
      <c r="X192" s="8" t="s">
        <v>1303</v>
      </c>
      <c r="Y192" s="8">
        <f>IF(ISNUMBER(SEARCH(Z192,TalentFlaw)),20,0)</f>
        <v>0</v>
      </c>
      <c r="Z192" s="3" t="str">
        <f t="shared" si="6"/>
        <v>Prodigy (Combat Training: Melee) IV;</v>
      </c>
      <c r="AT192">
        <v>191</v>
      </c>
      <c r="AU192" s="62">
        <v>39</v>
      </c>
    </row>
    <row r="193" spans="22:47" x14ac:dyDescent="0.25">
      <c r="V193" s="4" t="s">
        <v>1304</v>
      </c>
      <c r="W193" s="4">
        <v>6</v>
      </c>
      <c r="X193" s="8" t="s">
        <v>1305</v>
      </c>
      <c r="Y193" s="8">
        <f>IF(ISNUMBER(SEARCH(Z193,TalentFlaw)),5,0)</f>
        <v>0</v>
      </c>
      <c r="Z193" s="3" t="str">
        <f t="shared" si="6"/>
        <v>Prodigy (Contortions) I;</v>
      </c>
      <c r="AT193">
        <v>192</v>
      </c>
      <c r="AU193" s="62">
        <v>40</v>
      </c>
    </row>
    <row r="194" spans="22:47" x14ac:dyDescent="0.25">
      <c r="V194" s="4" t="s">
        <v>1306</v>
      </c>
      <c r="W194" s="4">
        <v>12</v>
      </c>
      <c r="X194" s="8" t="s">
        <v>1307</v>
      </c>
      <c r="Y194" s="8">
        <f>IF(ISNUMBER(SEARCH(Z194,TalentFlaw)),10,0)</f>
        <v>0</v>
      </c>
      <c r="Z194" s="3" t="str">
        <f t="shared" si="6"/>
        <v>Prodigy (Contortions) II;</v>
      </c>
      <c r="AT194">
        <v>193</v>
      </c>
      <c r="AU194" s="62">
        <v>40</v>
      </c>
    </row>
    <row r="195" spans="22:47" x14ac:dyDescent="0.25">
      <c r="V195" s="4" t="s">
        <v>1308</v>
      </c>
      <c r="W195" s="4">
        <v>18</v>
      </c>
      <c r="X195" s="8" t="s">
        <v>1309</v>
      </c>
      <c r="Y195" s="8">
        <f>IF(ISNUMBER(SEARCH(Z195,TalentFlaw)),15,0)</f>
        <v>0</v>
      </c>
      <c r="Z195" s="3" t="str">
        <f t="shared" ref="Z195:Z258" si="7">V195&amp;";"</f>
        <v>Prodigy (Contortions) III;</v>
      </c>
      <c r="AT195">
        <v>194</v>
      </c>
      <c r="AU195" s="62">
        <v>40</v>
      </c>
    </row>
    <row r="196" spans="22:47" x14ac:dyDescent="0.25">
      <c r="V196" s="4" t="s">
        <v>1310</v>
      </c>
      <c r="W196" s="4">
        <v>24</v>
      </c>
      <c r="X196" s="8" t="s">
        <v>1311</v>
      </c>
      <c r="Y196" s="8">
        <f>IF(ISNUMBER(SEARCH(Z196,TalentFlaw)),20,0)</f>
        <v>0</v>
      </c>
      <c r="Z196" s="3" t="str">
        <f t="shared" si="7"/>
        <v>Prodigy (Contortions) IV;</v>
      </c>
      <c r="AT196">
        <v>195</v>
      </c>
      <c r="AU196" s="62">
        <v>41</v>
      </c>
    </row>
    <row r="197" spans="22:47" x14ac:dyDescent="0.25">
      <c r="V197" s="4" t="s">
        <v>1312</v>
      </c>
      <c r="W197" s="4">
        <v>6</v>
      </c>
      <c r="X197" s="8" t="s">
        <v>1313</v>
      </c>
      <c r="Y197" s="8">
        <f>IF(ISNUMBER(SEARCH(Z197,TalentFlaw)),5,0)</f>
        <v>0</v>
      </c>
      <c r="Z197" s="3" t="str">
        <f t="shared" si="7"/>
        <v>Prodigy (Crafts) I;</v>
      </c>
      <c r="AT197">
        <v>196</v>
      </c>
      <c r="AU197" s="62">
        <v>41</v>
      </c>
    </row>
    <row r="198" spans="22:47" x14ac:dyDescent="0.25">
      <c r="V198" s="4" t="s">
        <v>1314</v>
      </c>
      <c r="W198" s="4">
        <v>12</v>
      </c>
      <c r="X198" s="8" t="s">
        <v>1315</v>
      </c>
      <c r="Y198" s="8">
        <f>IF(ISNUMBER(SEARCH(Z198,TalentFlaw)),10,0)</f>
        <v>0</v>
      </c>
      <c r="Z198" s="3" t="str">
        <f t="shared" si="7"/>
        <v>Prodigy (Crafts) II;</v>
      </c>
      <c r="AT198">
        <v>197</v>
      </c>
      <c r="AU198" s="62">
        <v>41</v>
      </c>
    </row>
    <row r="199" spans="22:47" x14ac:dyDescent="0.25">
      <c r="V199" s="4" t="s">
        <v>1316</v>
      </c>
      <c r="W199" s="4">
        <v>18</v>
      </c>
      <c r="X199" s="8" t="s">
        <v>1317</v>
      </c>
      <c r="Y199" s="8">
        <f>IF(ISNUMBER(SEARCH(Z199,TalentFlaw)),15,0)</f>
        <v>0</v>
      </c>
      <c r="Z199" s="3" t="str">
        <f t="shared" si="7"/>
        <v>Prodigy (Crafts) III;</v>
      </c>
      <c r="AT199">
        <v>198</v>
      </c>
      <c r="AU199" s="62">
        <v>42</v>
      </c>
    </row>
    <row r="200" spans="22:47" x14ac:dyDescent="0.25">
      <c r="V200" s="4" t="s">
        <v>1318</v>
      </c>
      <c r="W200" s="4">
        <v>24</v>
      </c>
      <c r="X200" s="8" t="s">
        <v>1319</v>
      </c>
      <c r="Y200" s="8">
        <f>IF(ISNUMBER(SEARCH(Z200,TalentFlaw)),20,0)</f>
        <v>0</v>
      </c>
      <c r="Z200" s="3" t="str">
        <f t="shared" si="7"/>
        <v>Prodigy (Crafts) IV;</v>
      </c>
      <c r="AT200">
        <v>199</v>
      </c>
      <c r="AU200" s="62">
        <v>42</v>
      </c>
    </row>
    <row r="201" spans="22:47" x14ac:dyDescent="0.25">
      <c r="V201" s="4" t="s">
        <v>1320</v>
      </c>
      <c r="W201" s="4">
        <v>6</v>
      </c>
      <c r="X201" s="8" t="s">
        <v>1321</v>
      </c>
      <c r="Y201" s="8">
        <f>IF(ISNUMBER(SEARCH(Z201,TalentFlaw)),5,0)</f>
        <v>0</v>
      </c>
      <c r="Z201" s="3" t="str">
        <f t="shared" si="7"/>
        <v>Prodigy (Duping) I;</v>
      </c>
      <c r="AT201">
        <v>200</v>
      </c>
      <c r="AU201" s="62">
        <v>42</v>
      </c>
    </row>
    <row r="202" spans="22:47" x14ac:dyDescent="0.25">
      <c r="V202" s="4" t="s">
        <v>1322</v>
      </c>
      <c r="W202" s="4">
        <v>12</v>
      </c>
      <c r="X202" s="8" t="s">
        <v>1323</v>
      </c>
      <c r="Y202" s="8">
        <f>IF(ISNUMBER(SEARCH(Z202,TalentFlaw)),10,0)</f>
        <v>0</v>
      </c>
      <c r="Z202" s="3" t="str">
        <f t="shared" si="7"/>
        <v>Prodigy (Duping) II;</v>
      </c>
      <c r="AT202">
        <v>201</v>
      </c>
      <c r="AU202" s="62">
        <v>43</v>
      </c>
    </row>
    <row r="203" spans="22:47" x14ac:dyDescent="0.25">
      <c r="V203" s="4" t="s">
        <v>1324</v>
      </c>
      <c r="W203" s="4">
        <v>18</v>
      </c>
      <c r="X203" s="8" t="s">
        <v>1325</v>
      </c>
      <c r="Y203" s="8">
        <f>IF(ISNUMBER(SEARCH(Z203,TalentFlaw)),15,0)</f>
        <v>0</v>
      </c>
      <c r="Z203" s="3" t="str">
        <f t="shared" si="7"/>
        <v>Prodigy (Duping) III;</v>
      </c>
      <c r="AT203">
        <v>202</v>
      </c>
      <c r="AU203" s="62">
        <v>43</v>
      </c>
    </row>
    <row r="204" spans="22:47" x14ac:dyDescent="0.25">
      <c r="V204" s="4" t="s">
        <v>1326</v>
      </c>
      <c r="W204" s="4">
        <v>24</v>
      </c>
      <c r="X204" s="8" t="s">
        <v>1327</v>
      </c>
      <c r="Y204" s="8">
        <f>IF(ISNUMBER(SEARCH(Z204,TalentFlaw)),20,0)</f>
        <v>0</v>
      </c>
      <c r="Z204" s="3" t="str">
        <f t="shared" si="7"/>
        <v>Prodigy (Duping) IV;</v>
      </c>
      <c r="AT204">
        <v>203</v>
      </c>
      <c r="AU204" s="62">
        <v>43</v>
      </c>
    </row>
    <row r="205" spans="22:47" x14ac:dyDescent="0.25">
      <c r="V205" s="4" t="s">
        <v>1328</v>
      </c>
      <c r="W205" s="4">
        <v>6</v>
      </c>
      <c r="X205" s="8" t="s">
        <v>1329</v>
      </c>
      <c r="Y205" s="8">
        <f>IF(ISNUMBER(SEARCH(Z205,TalentFlaw)),5,0)</f>
        <v>0</v>
      </c>
      <c r="Z205" s="3" t="str">
        <f t="shared" si="7"/>
        <v>Prodigy (Flying/Gliding) I;</v>
      </c>
      <c r="AT205">
        <v>204</v>
      </c>
      <c r="AU205" s="62">
        <v>44</v>
      </c>
    </row>
    <row r="206" spans="22:47" x14ac:dyDescent="0.25">
      <c r="V206" s="4" t="s">
        <v>1330</v>
      </c>
      <c r="W206" s="4">
        <v>12</v>
      </c>
      <c r="X206" s="8" t="s">
        <v>1331</v>
      </c>
      <c r="Y206" s="8">
        <f>IF(ISNUMBER(SEARCH(Z206,TalentFlaw)),10,0)</f>
        <v>0</v>
      </c>
      <c r="Z206" s="3" t="str">
        <f t="shared" si="7"/>
        <v>Prodigy (Flying/Gliding) II;</v>
      </c>
      <c r="AT206">
        <v>205</v>
      </c>
      <c r="AU206" s="62">
        <v>44</v>
      </c>
    </row>
    <row r="207" spans="22:47" x14ac:dyDescent="0.25">
      <c r="V207" s="4" t="s">
        <v>1332</v>
      </c>
      <c r="W207" s="4">
        <v>18</v>
      </c>
      <c r="X207" s="8" t="s">
        <v>1333</v>
      </c>
      <c r="Y207" s="8">
        <f>IF(ISNUMBER(SEARCH(Z207,TalentFlaw)),15,0)</f>
        <v>0</v>
      </c>
      <c r="Z207" s="3" t="str">
        <f t="shared" si="7"/>
        <v>Prodigy (Flying/Gliding) III;</v>
      </c>
      <c r="AT207">
        <v>206</v>
      </c>
      <c r="AU207" s="62">
        <v>44</v>
      </c>
    </row>
    <row r="208" spans="22:47" x14ac:dyDescent="0.25">
      <c r="V208" s="4" t="s">
        <v>1334</v>
      </c>
      <c r="W208" s="4">
        <v>24</v>
      </c>
      <c r="X208" s="8" t="s">
        <v>1335</v>
      </c>
      <c r="Y208" s="8">
        <f>IF(ISNUMBER(SEARCH(Z208,TalentFlaw)),20,0)</f>
        <v>0</v>
      </c>
      <c r="Z208" s="3" t="str">
        <f t="shared" si="7"/>
        <v>Prodigy (Flying/Gliding) IV;</v>
      </c>
      <c r="AT208">
        <v>207</v>
      </c>
      <c r="AU208" s="62">
        <v>45</v>
      </c>
    </row>
    <row r="209" spans="22:47" x14ac:dyDescent="0.25">
      <c r="V209" s="4" t="s">
        <v>1336</v>
      </c>
      <c r="W209" s="4">
        <v>30</v>
      </c>
      <c r="X209" s="8" t="s">
        <v>1337</v>
      </c>
      <c r="Y209" s="8">
        <f>IF(ISNUMBER(SEARCH(Z209,TalentFlaw)),25,0)</f>
        <v>0</v>
      </c>
      <c r="Z209" s="3" t="str">
        <f t="shared" si="7"/>
        <v>Prodigy (Flying/Gliding) V;</v>
      </c>
      <c r="AT209">
        <v>208</v>
      </c>
      <c r="AU209" s="62">
        <v>45</v>
      </c>
    </row>
    <row r="210" spans="22:47" x14ac:dyDescent="0.25">
      <c r="V210" s="4" t="s">
        <v>1338</v>
      </c>
      <c r="W210" s="4">
        <v>6</v>
      </c>
      <c r="X210" s="8" t="s">
        <v>1339</v>
      </c>
      <c r="Y210" s="8">
        <f>IF(ISNUMBER(SEARCH(Z210,TalentFlaw)),5,0)</f>
        <v>0</v>
      </c>
      <c r="Z210" s="3" t="str">
        <f t="shared" si="7"/>
        <v>Prodigy (Intimidation) I;</v>
      </c>
      <c r="AT210">
        <v>209</v>
      </c>
      <c r="AU210" s="62">
        <v>45</v>
      </c>
    </row>
    <row r="211" spans="22:47" x14ac:dyDescent="0.25">
      <c r="V211" s="4" t="s">
        <v>1340</v>
      </c>
      <c r="W211" s="4">
        <v>12</v>
      </c>
      <c r="X211" s="8" t="s">
        <v>1341</v>
      </c>
      <c r="Y211" s="8">
        <f>IF(ISNUMBER(SEARCH(Z211,TalentFlaw)),10,0)</f>
        <v>0</v>
      </c>
      <c r="Z211" s="3" t="str">
        <f t="shared" si="7"/>
        <v>Prodigy (Intimidation) II;</v>
      </c>
      <c r="AT211">
        <v>210</v>
      </c>
      <c r="AU211" s="62">
        <v>46</v>
      </c>
    </row>
    <row r="212" spans="22:47" x14ac:dyDescent="0.25">
      <c r="V212" s="4" t="s">
        <v>1342</v>
      </c>
      <c r="W212" s="4">
        <v>18</v>
      </c>
      <c r="X212" s="8" t="s">
        <v>1343</v>
      </c>
      <c r="Y212" s="8">
        <f>IF(ISNUMBER(SEARCH(Z212,TalentFlaw)),15,0)</f>
        <v>0</v>
      </c>
      <c r="Z212" s="3" t="str">
        <f t="shared" si="7"/>
        <v>Prodigy (Intimidation) III;</v>
      </c>
      <c r="AT212">
        <v>211</v>
      </c>
      <c r="AU212" s="62">
        <v>46</v>
      </c>
    </row>
    <row r="213" spans="22:47" x14ac:dyDescent="0.25">
      <c r="V213" s="4" t="s">
        <v>1344</v>
      </c>
      <c r="W213" s="4">
        <v>24</v>
      </c>
      <c r="X213" s="8" t="s">
        <v>1345</v>
      </c>
      <c r="Y213" s="8">
        <f>IF(ISNUMBER(SEARCH(Z213,TalentFlaw)),20,0)</f>
        <v>0</v>
      </c>
      <c r="Z213" s="3" t="str">
        <f t="shared" si="7"/>
        <v>Prodigy (Intimidation) IV;</v>
      </c>
      <c r="AT213">
        <v>212</v>
      </c>
      <c r="AU213" s="62">
        <v>46</v>
      </c>
    </row>
    <row r="214" spans="22:47" x14ac:dyDescent="0.25">
      <c r="V214" s="4" t="s">
        <v>1346</v>
      </c>
      <c r="W214" s="4">
        <v>30</v>
      </c>
      <c r="X214" s="8" t="s">
        <v>1347</v>
      </c>
      <c r="Y214" s="8">
        <f>IF(ISNUMBER(SEARCH(Z214,TalentFlaw)),25,0)</f>
        <v>0</v>
      </c>
      <c r="Z214" s="3" t="str">
        <f t="shared" si="7"/>
        <v>Prodigy (Intimidation) V;</v>
      </c>
      <c r="AT214">
        <v>213</v>
      </c>
      <c r="AU214" s="62">
        <v>47</v>
      </c>
    </row>
    <row r="215" spans="22:47" x14ac:dyDescent="0.25">
      <c r="V215" s="4" t="s">
        <v>1348</v>
      </c>
      <c r="W215" s="4">
        <v>6</v>
      </c>
      <c r="X215" s="8" t="s">
        <v>1349</v>
      </c>
      <c r="Y215" s="8">
        <f>IF(ISNUMBER(SEARCH(Z215,TalentFlaw)),5,0)</f>
        <v>0</v>
      </c>
      <c r="Z215" s="3" t="str">
        <f t="shared" si="7"/>
        <v>Prodigy (Leadership) I;</v>
      </c>
      <c r="AT215">
        <v>214</v>
      </c>
      <c r="AU215" s="62">
        <v>47</v>
      </c>
    </row>
    <row r="216" spans="22:47" x14ac:dyDescent="0.25">
      <c r="V216" s="4" t="s">
        <v>1350</v>
      </c>
      <c r="W216" s="4">
        <v>12</v>
      </c>
      <c r="X216" s="8" t="s">
        <v>1351</v>
      </c>
      <c r="Y216" s="8">
        <f>IF(ISNUMBER(SEARCH(Z216,TalentFlaw)),10,0)</f>
        <v>0</v>
      </c>
      <c r="Z216" s="3" t="str">
        <f t="shared" si="7"/>
        <v>Prodigy (Leadership) II;</v>
      </c>
      <c r="AT216">
        <v>215</v>
      </c>
      <c r="AU216" s="62">
        <v>47</v>
      </c>
    </row>
    <row r="217" spans="22:47" x14ac:dyDescent="0.25">
      <c r="V217" s="4" t="s">
        <v>1352</v>
      </c>
      <c r="W217" s="4">
        <v>18</v>
      </c>
      <c r="X217" s="8" t="s">
        <v>1353</v>
      </c>
      <c r="Y217" s="8">
        <f>IF(ISNUMBER(SEARCH(Z217,TalentFlaw)),15,0)</f>
        <v>0</v>
      </c>
      <c r="Z217" s="3" t="str">
        <f t="shared" si="7"/>
        <v>Prodigy (Leadership) III;</v>
      </c>
      <c r="AT217">
        <v>216</v>
      </c>
      <c r="AU217" s="62">
        <v>48</v>
      </c>
    </row>
    <row r="218" spans="22:47" x14ac:dyDescent="0.25">
      <c r="V218" s="4" t="s">
        <v>1354</v>
      </c>
      <c r="W218" s="4">
        <v>24</v>
      </c>
      <c r="X218" s="8" t="s">
        <v>1355</v>
      </c>
      <c r="Y218" s="8">
        <f>IF(ISNUMBER(SEARCH(Z218,TalentFlaw)),20,0)</f>
        <v>0</v>
      </c>
      <c r="Z218" s="3" t="str">
        <f t="shared" si="7"/>
        <v>Prodigy (Leadership) IV;</v>
      </c>
      <c r="AT218">
        <v>217</v>
      </c>
      <c r="AU218" s="62">
        <v>48</v>
      </c>
    </row>
    <row r="219" spans="22:47" x14ac:dyDescent="0.25">
      <c r="V219" s="4" t="s">
        <v>924</v>
      </c>
      <c r="W219" s="4">
        <v>6</v>
      </c>
      <c r="X219" s="8" t="s">
        <v>1356</v>
      </c>
      <c r="Y219" s="8">
        <f>IF(ISNUMBER(SEARCH(Z219,TalentFlaw)),5,0)</f>
        <v>0</v>
      </c>
      <c r="Z219" s="3" t="str">
        <f t="shared" si="7"/>
        <v>Prodigy (Mechanics) I;</v>
      </c>
      <c r="AT219">
        <v>218</v>
      </c>
      <c r="AU219" s="62">
        <v>48</v>
      </c>
    </row>
    <row r="220" spans="22:47" x14ac:dyDescent="0.25">
      <c r="V220" s="4" t="s">
        <v>1357</v>
      </c>
      <c r="W220" s="4">
        <v>12</v>
      </c>
      <c r="X220" s="8" t="s">
        <v>1358</v>
      </c>
      <c r="Y220" s="8">
        <f>IF(ISNUMBER(SEARCH(Z220,TalentFlaw)),10,0)</f>
        <v>0</v>
      </c>
      <c r="Z220" s="3" t="str">
        <f t="shared" si="7"/>
        <v>Prodigy (Mechanics) II;</v>
      </c>
      <c r="AT220">
        <v>219</v>
      </c>
      <c r="AU220" s="62">
        <v>49</v>
      </c>
    </row>
    <row r="221" spans="22:47" x14ac:dyDescent="0.25">
      <c r="V221" s="4" t="s">
        <v>1359</v>
      </c>
      <c r="W221" s="4">
        <v>18</v>
      </c>
      <c r="X221" s="8" t="s">
        <v>1360</v>
      </c>
      <c r="Y221" s="8">
        <f>IF(ISNUMBER(SEARCH(Z221,TalentFlaw)),15,0)</f>
        <v>0</v>
      </c>
      <c r="Z221" s="3" t="str">
        <f t="shared" si="7"/>
        <v>Prodigy (Mechanics) III;</v>
      </c>
      <c r="AT221">
        <v>220</v>
      </c>
      <c r="AU221" s="62">
        <v>49</v>
      </c>
    </row>
    <row r="222" spans="22:47" x14ac:dyDescent="0.25">
      <c r="V222" s="4" t="s">
        <v>1361</v>
      </c>
      <c r="W222" s="4">
        <v>24</v>
      </c>
      <c r="X222" s="8" t="s">
        <v>1362</v>
      </c>
      <c r="Y222" s="8">
        <f>IF(ISNUMBER(SEARCH(Z222,TalentFlaw)),20,0)</f>
        <v>0</v>
      </c>
      <c r="Z222" s="3" t="str">
        <f t="shared" si="7"/>
        <v>Prodigy (Mechanics) IV;</v>
      </c>
      <c r="AT222">
        <v>221</v>
      </c>
      <c r="AU222" s="62">
        <v>49</v>
      </c>
    </row>
    <row r="223" spans="22:47" x14ac:dyDescent="0.25">
      <c r="V223" s="4" t="s">
        <v>1363</v>
      </c>
      <c r="W223" s="4">
        <v>30</v>
      </c>
      <c r="X223" s="8" t="s">
        <v>1364</v>
      </c>
      <c r="Y223" s="8">
        <f>IF(ISNUMBER(SEARCH(Z223,TalentFlaw)),25,0)</f>
        <v>0</v>
      </c>
      <c r="Z223" s="3" t="str">
        <f t="shared" si="7"/>
        <v>Prodigy (Mechanics) V;</v>
      </c>
      <c r="AT223">
        <v>222</v>
      </c>
      <c r="AU223" s="62">
        <v>50</v>
      </c>
    </row>
    <row r="224" spans="22:47" x14ac:dyDescent="0.25">
      <c r="V224" s="4" t="s">
        <v>1365</v>
      </c>
      <c r="W224" s="4">
        <v>6</v>
      </c>
      <c r="X224" s="8" t="s">
        <v>1366</v>
      </c>
      <c r="Y224" s="8">
        <f>IF(ISNUMBER(SEARCH(Z224,TalentFlaw)),5,0)</f>
        <v>0</v>
      </c>
      <c r="Z224" s="3" t="str">
        <f t="shared" si="7"/>
        <v>Prodigy (Mounted Combat) I;</v>
      </c>
      <c r="AT224">
        <v>223</v>
      </c>
      <c r="AU224" s="62">
        <v>50</v>
      </c>
    </row>
    <row r="225" spans="22:47" x14ac:dyDescent="0.25">
      <c r="V225" s="4" t="s">
        <v>1367</v>
      </c>
      <c r="W225" s="4">
        <v>12</v>
      </c>
      <c r="X225" s="8" t="s">
        <v>1368</v>
      </c>
      <c r="Y225" s="8">
        <f>IF(ISNUMBER(SEARCH(Z225,TalentFlaw)),10,0)</f>
        <v>0</v>
      </c>
      <c r="Z225" s="3" t="str">
        <f t="shared" si="7"/>
        <v>Prodigy (Mounted Combat) II;</v>
      </c>
      <c r="AT225">
        <v>224</v>
      </c>
      <c r="AU225" s="62">
        <v>50</v>
      </c>
    </row>
    <row r="226" spans="22:47" x14ac:dyDescent="0.25">
      <c r="V226" s="4" t="s">
        <v>1369</v>
      </c>
      <c r="W226" s="4">
        <v>18</v>
      </c>
      <c r="X226" s="8" t="s">
        <v>1370</v>
      </c>
      <c r="Y226" s="8">
        <f>IF(ISNUMBER(SEARCH(Z226,TalentFlaw)),15,0)</f>
        <v>0</v>
      </c>
      <c r="Z226" s="3" t="str">
        <f t="shared" si="7"/>
        <v>Prodigy (Mounted Combat) III;</v>
      </c>
      <c r="AT226">
        <v>225</v>
      </c>
      <c r="AU226" s="62">
        <v>51</v>
      </c>
    </row>
    <row r="227" spans="22:47" x14ac:dyDescent="0.25">
      <c r="V227" s="4" t="s">
        <v>1371</v>
      </c>
      <c r="W227" s="4">
        <v>24</v>
      </c>
      <c r="X227" s="8" t="s">
        <v>1372</v>
      </c>
      <c r="Y227" s="8">
        <f>IF(ISNUMBER(SEARCH(Z227,TalentFlaw)),20,0)</f>
        <v>0</v>
      </c>
      <c r="Z227" s="3" t="str">
        <f t="shared" si="7"/>
        <v>Prodigy (Mounted Combat) IV;</v>
      </c>
      <c r="AT227">
        <v>226</v>
      </c>
      <c r="AU227" s="62">
        <v>51</v>
      </c>
    </row>
    <row r="228" spans="22:47" x14ac:dyDescent="0.25">
      <c r="V228" s="4" t="s">
        <v>1373</v>
      </c>
      <c r="W228" s="4">
        <v>6</v>
      </c>
      <c r="X228" s="8" t="s">
        <v>1374</v>
      </c>
      <c r="Y228" s="8">
        <f>IF(ISNUMBER(SEARCH(Z228,TalentFlaw)),5,0)</f>
        <v>0</v>
      </c>
      <c r="Z228" s="3" t="str">
        <f t="shared" si="7"/>
        <v>Prodigy (Navigation: Marine) I;</v>
      </c>
      <c r="AT228">
        <v>227</v>
      </c>
      <c r="AU228" s="62">
        <v>51</v>
      </c>
    </row>
    <row r="229" spans="22:47" x14ac:dyDescent="0.25">
      <c r="V229" s="4" t="s">
        <v>1375</v>
      </c>
      <c r="W229" s="4">
        <v>12</v>
      </c>
      <c r="X229" s="8" t="s">
        <v>1376</v>
      </c>
      <c r="Y229" s="8">
        <f>IF(ISNUMBER(SEARCH(Z229,TalentFlaw)),10,0)</f>
        <v>0</v>
      </c>
      <c r="Z229" s="3" t="str">
        <f t="shared" si="7"/>
        <v>Prodigy (Navigation: Marine) II;</v>
      </c>
      <c r="AT229">
        <v>228</v>
      </c>
      <c r="AU229" s="62">
        <v>52</v>
      </c>
    </row>
    <row r="230" spans="22:47" x14ac:dyDescent="0.25">
      <c r="V230" s="4" t="s">
        <v>1377</v>
      </c>
      <c r="W230" s="4">
        <v>18</v>
      </c>
      <c r="X230" s="8" t="s">
        <v>1378</v>
      </c>
      <c r="Y230" s="8">
        <f>IF(ISNUMBER(SEARCH(Z230,TalentFlaw)),15,0)</f>
        <v>0</v>
      </c>
      <c r="Z230" s="3" t="str">
        <f t="shared" si="7"/>
        <v>Prodigy (Navigation: Marine) III;</v>
      </c>
      <c r="AT230">
        <v>229</v>
      </c>
      <c r="AU230" s="62">
        <v>52</v>
      </c>
    </row>
    <row r="231" spans="22:47" x14ac:dyDescent="0.25">
      <c r="V231" s="4" t="s">
        <v>1379</v>
      </c>
      <c r="W231" s="4">
        <v>24</v>
      </c>
      <c r="X231" s="8" t="s">
        <v>1380</v>
      </c>
      <c r="Y231" s="8">
        <f>IF(ISNUMBER(SEARCH(Z231,TalentFlaw)),20,0)</f>
        <v>0</v>
      </c>
      <c r="Z231" s="3" t="str">
        <f t="shared" si="7"/>
        <v>Prodigy (Navigation: Marine) IV;</v>
      </c>
      <c r="AT231">
        <v>230</v>
      </c>
      <c r="AU231" s="62">
        <v>52</v>
      </c>
    </row>
    <row r="232" spans="22:47" x14ac:dyDescent="0.25">
      <c r="V232" s="4" t="s">
        <v>1381</v>
      </c>
      <c r="W232" s="4">
        <v>6</v>
      </c>
      <c r="X232" s="8" t="s">
        <v>1382</v>
      </c>
      <c r="Y232" s="8">
        <f>IF(ISNUMBER(SEARCH(Z232,TalentFlaw)),5,0)</f>
        <v>0</v>
      </c>
      <c r="Z232" s="3" t="str">
        <f t="shared" si="7"/>
        <v>Prodigy (Perception) I;</v>
      </c>
      <c r="AT232">
        <v>231</v>
      </c>
      <c r="AU232" s="62">
        <v>53</v>
      </c>
    </row>
    <row r="233" spans="22:47" x14ac:dyDescent="0.25">
      <c r="V233" s="4" t="s">
        <v>1383</v>
      </c>
      <c r="W233" s="4">
        <v>12</v>
      </c>
      <c r="X233" s="8" t="s">
        <v>1384</v>
      </c>
      <c r="Y233" s="8">
        <f>IF(ISNUMBER(SEARCH(Z233,TalentFlaw)),10,0)</f>
        <v>0</v>
      </c>
      <c r="Z233" s="3" t="str">
        <f t="shared" si="7"/>
        <v>Prodigy (Perception) II;</v>
      </c>
      <c r="AT233">
        <v>232</v>
      </c>
      <c r="AU233" s="62">
        <v>53</v>
      </c>
    </row>
    <row r="234" spans="22:47" x14ac:dyDescent="0.25">
      <c r="V234" s="4" t="s">
        <v>1385</v>
      </c>
      <c r="W234" s="4">
        <v>18</v>
      </c>
      <c r="X234" s="8" t="s">
        <v>1386</v>
      </c>
      <c r="Y234" s="8">
        <f>IF(ISNUMBER(SEARCH(Z234,TalentFlaw)),15,0)</f>
        <v>0</v>
      </c>
      <c r="Z234" s="3" t="str">
        <f t="shared" si="7"/>
        <v>Prodigy (Perception) III;</v>
      </c>
      <c r="AT234">
        <v>233</v>
      </c>
      <c r="AU234" s="62">
        <v>53</v>
      </c>
    </row>
    <row r="235" spans="22:47" x14ac:dyDescent="0.25">
      <c r="V235" s="4" t="s">
        <v>1387</v>
      </c>
      <c r="W235" s="4">
        <v>24</v>
      </c>
      <c r="X235" s="8" t="s">
        <v>1388</v>
      </c>
      <c r="Y235" s="8">
        <f>IF(ISNUMBER(SEARCH(Z235,TalentFlaw)),20,0)</f>
        <v>0</v>
      </c>
      <c r="Z235" s="3" t="str">
        <f t="shared" si="7"/>
        <v>Prodigy (Perception) IV;</v>
      </c>
      <c r="AT235">
        <v>234</v>
      </c>
      <c r="AU235" s="62">
        <v>54</v>
      </c>
    </row>
    <row r="236" spans="22:47" x14ac:dyDescent="0.25">
      <c r="V236" s="4" t="s">
        <v>1389</v>
      </c>
      <c r="W236" s="4">
        <v>3</v>
      </c>
      <c r="X236" s="8" t="s">
        <v>1390</v>
      </c>
      <c r="Y236" s="8">
        <f>IF(ISNUMBER(SEARCH(Z236,TalentFlaw)),5,0)</f>
        <v>0</v>
      </c>
      <c r="Z236" s="3" t="str">
        <f t="shared" si="7"/>
        <v>Prodigy (Pilot: Boats) I;</v>
      </c>
      <c r="AT236">
        <v>235</v>
      </c>
      <c r="AU236" s="62">
        <v>54</v>
      </c>
    </row>
    <row r="237" spans="22:47" x14ac:dyDescent="0.25">
      <c r="V237" s="4" t="s">
        <v>1391</v>
      </c>
      <c r="W237" s="4">
        <v>6</v>
      </c>
      <c r="X237" s="8" t="s">
        <v>1392</v>
      </c>
      <c r="Y237" s="8">
        <f>IF(ISNUMBER(SEARCH(Z237,TalentFlaw)),10,0)</f>
        <v>0</v>
      </c>
      <c r="Z237" s="3" t="str">
        <f t="shared" si="7"/>
        <v>Prodigy (Pilot: Boats) II;</v>
      </c>
      <c r="AT237">
        <v>236</v>
      </c>
      <c r="AU237" s="62">
        <v>54</v>
      </c>
    </row>
    <row r="238" spans="22:47" x14ac:dyDescent="0.25">
      <c r="V238" s="4" t="s">
        <v>1393</v>
      </c>
      <c r="W238" s="4">
        <v>9</v>
      </c>
      <c r="X238" s="8" t="s">
        <v>1394</v>
      </c>
      <c r="Y238" s="8">
        <f>IF(ISNUMBER(SEARCH(Z238,TalentFlaw)),15,0)</f>
        <v>0</v>
      </c>
      <c r="Z238" s="3" t="str">
        <f t="shared" si="7"/>
        <v>Prodigy (Pilot: Boats) III;</v>
      </c>
      <c r="AT238">
        <v>237</v>
      </c>
      <c r="AU238" s="62">
        <v>55</v>
      </c>
    </row>
    <row r="239" spans="22:47" x14ac:dyDescent="0.25">
      <c r="V239" s="4" t="s">
        <v>1395</v>
      </c>
      <c r="W239" s="4">
        <v>12</v>
      </c>
      <c r="X239" s="8" t="s">
        <v>1396</v>
      </c>
      <c r="Y239" s="8">
        <f>IF(ISNUMBER(SEARCH(Z239,TalentFlaw)),20,0)</f>
        <v>0</v>
      </c>
      <c r="Z239" s="3" t="str">
        <f t="shared" si="7"/>
        <v>Prodigy (Pilot: Boats) IV;</v>
      </c>
      <c r="AT239">
        <v>238</v>
      </c>
      <c r="AU239" s="62">
        <v>55</v>
      </c>
    </row>
    <row r="240" spans="22:47" x14ac:dyDescent="0.25">
      <c r="V240" s="4" t="s">
        <v>1397</v>
      </c>
      <c r="W240" s="4">
        <v>6</v>
      </c>
      <c r="X240" s="8" t="s">
        <v>1398</v>
      </c>
      <c r="Y240" s="8">
        <f>IF(ISNUMBER(SEARCH(Z240,TalentFlaw)),5,0)</f>
        <v>0</v>
      </c>
      <c r="Z240" s="3" t="str">
        <f t="shared" si="7"/>
        <v>Prodigy (Science: Research) I;</v>
      </c>
      <c r="AT240">
        <v>239</v>
      </c>
      <c r="AU240" s="62">
        <v>55</v>
      </c>
    </row>
    <row r="241" spans="22:47" x14ac:dyDescent="0.25">
      <c r="V241" s="4" t="s">
        <v>1399</v>
      </c>
      <c r="W241" s="4">
        <v>12</v>
      </c>
      <c r="X241" s="8" t="s">
        <v>1400</v>
      </c>
      <c r="Y241" s="8">
        <f>IF(ISNUMBER(SEARCH(Z241,TalentFlaw)),10,0)</f>
        <v>0</v>
      </c>
      <c r="Z241" s="3" t="str">
        <f t="shared" si="7"/>
        <v>Prodigy (Science: Research) II;</v>
      </c>
      <c r="AT241">
        <v>240</v>
      </c>
      <c r="AU241" s="62">
        <v>56</v>
      </c>
    </row>
    <row r="242" spans="22:47" x14ac:dyDescent="0.25">
      <c r="V242" s="4" t="s">
        <v>1401</v>
      </c>
      <c r="W242" s="4">
        <v>18</v>
      </c>
      <c r="X242" s="8" t="s">
        <v>1402</v>
      </c>
      <c r="Y242" s="8">
        <f>IF(ISNUMBER(SEARCH(Z242,TalentFlaw)),15,0)</f>
        <v>0</v>
      </c>
      <c r="Z242" s="3" t="str">
        <f t="shared" si="7"/>
        <v>Prodigy (Science: Research) III;</v>
      </c>
      <c r="AT242">
        <v>241</v>
      </c>
      <c r="AU242" s="62">
        <v>56</v>
      </c>
    </row>
    <row r="243" spans="22:47" x14ac:dyDescent="0.25">
      <c r="V243" s="4" t="s">
        <v>1403</v>
      </c>
      <c r="W243" s="4">
        <v>24</v>
      </c>
      <c r="X243" s="8" t="s">
        <v>1404</v>
      </c>
      <c r="Y243" s="8">
        <f>IF(ISNUMBER(SEARCH(Z243,TalentFlaw)),20,0)</f>
        <v>0</v>
      </c>
      <c r="Z243" s="3" t="str">
        <f t="shared" si="7"/>
        <v>Prodigy (Science: Research) IV;</v>
      </c>
      <c r="AT243">
        <v>242</v>
      </c>
      <c r="AU243" s="62">
        <v>56</v>
      </c>
    </row>
    <row r="244" spans="22:47" x14ac:dyDescent="0.25">
      <c r="V244" s="4" t="s">
        <v>1405</v>
      </c>
      <c r="W244" s="4">
        <v>30</v>
      </c>
      <c r="X244" s="8" t="s">
        <v>1406</v>
      </c>
      <c r="Y244" s="8">
        <f>IF(ISNUMBER(SEARCH(Z244,TalentFlaw)),25,0)</f>
        <v>0</v>
      </c>
      <c r="Z244" s="3" t="str">
        <f t="shared" si="7"/>
        <v>Prodigy (Science: Research) V;</v>
      </c>
      <c r="AT244">
        <v>243</v>
      </c>
      <c r="AU244" s="62">
        <v>57</v>
      </c>
    </row>
    <row r="245" spans="22:47" x14ac:dyDescent="0.25">
      <c r="V245" s="4" t="s">
        <v>1407</v>
      </c>
      <c r="W245" s="4">
        <v>6</v>
      </c>
      <c r="X245" s="8" t="s">
        <v>1408</v>
      </c>
      <c r="Y245" s="8">
        <f>IF(ISNUMBER(SEARCH(Z245,TalentFlaw)),5,0)</f>
        <v>0</v>
      </c>
      <c r="Z245" s="3" t="str">
        <f t="shared" si="7"/>
        <v>Prodigy (Stalking) I;</v>
      </c>
      <c r="AT245">
        <v>244</v>
      </c>
      <c r="AU245" s="62">
        <v>57</v>
      </c>
    </row>
    <row r="246" spans="22:47" x14ac:dyDescent="0.25">
      <c r="V246" s="4" t="s">
        <v>1409</v>
      </c>
      <c r="W246" s="4">
        <v>12</v>
      </c>
      <c r="X246" s="8" t="s">
        <v>1410</v>
      </c>
      <c r="Y246" s="8">
        <f>IF(ISNUMBER(SEARCH(Z246,TalentFlaw)),10,0)</f>
        <v>0</v>
      </c>
      <c r="Z246" s="3" t="str">
        <f t="shared" si="7"/>
        <v>Prodigy (Stalking) II;</v>
      </c>
      <c r="AT246">
        <v>245</v>
      </c>
      <c r="AU246" s="62">
        <v>57</v>
      </c>
    </row>
    <row r="247" spans="22:47" x14ac:dyDescent="0.25">
      <c r="V247" s="4" t="s">
        <v>1411</v>
      </c>
      <c r="W247" s="4">
        <v>18</v>
      </c>
      <c r="X247" s="8" t="s">
        <v>1412</v>
      </c>
      <c r="Y247" s="8">
        <f>IF(ISNUMBER(SEARCH(Z247,TalentFlaw)),15,0)</f>
        <v>0</v>
      </c>
      <c r="Z247" s="3" t="str">
        <f t="shared" si="7"/>
        <v>Prodigy (Stalking) III;</v>
      </c>
      <c r="AT247">
        <v>246</v>
      </c>
      <c r="AU247" s="62">
        <v>58</v>
      </c>
    </row>
    <row r="248" spans="22:47" x14ac:dyDescent="0.25">
      <c r="V248" s="4" t="s">
        <v>1413</v>
      </c>
      <c r="W248" s="4">
        <v>24</v>
      </c>
      <c r="X248" s="8" t="s">
        <v>1414</v>
      </c>
      <c r="Y248" s="8">
        <f>IF(ISNUMBER(SEARCH(Z248,TalentFlaw)),20,0)</f>
        <v>0</v>
      </c>
      <c r="Z248" s="3" t="str">
        <f t="shared" si="7"/>
        <v>Prodigy (Stalking) IV;</v>
      </c>
      <c r="AT248">
        <v>247</v>
      </c>
      <c r="AU248" s="62">
        <v>58</v>
      </c>
    </row>
    <row r="249" spans="22:47" x14ac:dyDescent="0.25">
      <c r="V249" s="4" t="s">
        <v>1943</v>
      </c>
      <c r="W249" s="4">
        <v>6</v>
      </c>
      <c r="X249" s="8" t="s">
        <v>1944</v>
      </c>
      <c r="Y249" s="8">
        <f>IF(ISNUMBER(SEARCH(Z249,TalentFlaw)),5,0)</f>
        <v>0</v>
      </c>
      <c r="Z249" s="3" t="str">
        <f t="shared" si="7"/>
        <v>Prodigy (Engineering) I;</v>
      </c>
      <c r="AT249">
        <v>248</v>
      </c>
      <c r="AU249" s="62">
        <v>58</v>
      </c>
    </row>
    <row r="250" spans="22:47" x14ac:dyDescent="0.25">
      <c r="V250" s="4" t="s">
        <v>1945</v>
      </c>
      <c r="W250" s="4">
        <v>12</v>
      </c>
      <c r="X250" s="8" t="s">
        <v>1946</v>
      </c>
      <c r="Y250" s="8">
        <f>IF(ISNUMBER(SEARCH(Z250,TalentFlaw)),10,0)</f>
        <v>0</v>
      </c>
      <c r="Z250" s="3" t="str">
        <f t="shared" si="7"/>
        <v>Prodigy (Engineering) II;</v>
      </c>
      <c r="AT250">
        <v>249</v>
      </c>
      <c r="AU250" s="62">
        <v>59</v>
      </c>
    </row>
    <row r="251" spans="22:47" x14ac:dyDescent="0.25">
      <c r="V251" s="4" t="s">
        <v>1947</v>
      </c>
      <c r="W251" s="4">
        <v>18</v>
      </c>
      <c r="X251" s="8" t="s">
        <v>1948</v>
      </c>
      <c r="Y251" s="8">
        <f>IF(ISNUMBER(SEARCH(Z251,TalentFlaw)),15,0)</f>
        <v>0</v>
      </c>
      <c r="Z251" s="3" t="str">
        <f t="shared" si="7"/>
        <v>Prodigy (Engineering) III;</v>
      </c>
      <c r="AT251">
        <v>250</v>
      </c>
      <c r="AU251" s="62">
        <v>59</v>
      </c>
    </row>
    <row r="252" spans="22:47" x14ac:dyDescent="0.25">
      <c r="V252" s="4" t="s">
        <v>1949</v>
      </c>
      <c r="W252" s="4">
        <v>24</v>
      </c>
      <c r="X252" s="8" t="s">
        <v>1950</v>
      </c>
      <c r="Y252" s="8">
        <f>IF(ISNUMBER(SEARCH(Z252,TalentFlaw)),20,0)</f>
        <v>0</v>
      </c>
      <c r="Z252" s="3" t="str">
        <f t="shared" si="7"/>
        <v>Prodigy (Engineering) IV;</v>
      </c>
      <c r="AT252">
        <v>251</v>
      </c>
      <c r="AU252" s="62">
        <v>59</v>
      </c>
    </row>
    <row r="253" spans="22:47" x14ac:dyDescent="0.25">
      <c r="V253" s="4" t="s">
        <v>1415</v>
      </c>
      <c r="W253" s="4">
        <v>3</v>
      </c>
      <c r="X253" s="8" t="s">
        <v>1416</v>
      </c>
      <c r="Y253" s="8">
        <f>IF(ISNUMBER(SEARCH(Z253,TalentFlaw)),5,0)</f>
        <v>0</v>
      </c>
      <c r="Z253" s="3" t="str">
        <f t="shared" si="7"/>
        <v>Prodigy (Stalking: natural) I;</v>
      </c>
      <c r="AT253">
        <v>252</v>
      </c>
      <c r="AU253" s="62">
        <v>60</v>
      </c>
    </row>
    <row r="254" spans="22:47" x14ac:dyDescent="0.25">
      <c r="V254" s="4" t="s">
        <v>1417</v>
      </c>
      <c r="W254" s="4">
        <v>6</v>
      </c>
      <c r="X254" s="8" t="s">
        <v>1418</v>
      </c>
      <c r="Y254" s="8">
        <f>IF(ISNUMBER(SEARCH(Z254,TalentFlaw)),10,0)</f>
        <v>0</v>
      </c>
      <c r="Z254" s="3" t="str">
        <f t="shared" si="7"/>
        <v>Prodigy (Stalking: natural) II;</v>
      </c>
      <c r="AT254">
        <v>253</v>
      </c>
      <c r="AU254" s="62">
        <v>60</v>
      </c>
    </row>
    <row r="255" spans="22:47" x14ac:dyDescent="0.25">
      <c r="V255" s="4" t="s">
        <v>1419</v>
      </c>
      <c r="W255" s="4">
        <v>9</v>
      </c>
      <c r="X255" s="8" t="s">
        <v>1420</v>
      </c>
      <c r="Y255" s="8">
        <f>IF(ISNUMBER(SEARCH(Z255,TalentFlaw)),15,0)</f>
        <v>0</v>
      </c>
      <c r="Z255" s="3" t="str">
        <f t="shared" si="7"/>
        <v>Prodigy (Stalking: natural) III;</v>
      </c>
      <c r="AT255">
        <v>254</v>
      </c>
      <c r="AU255" s="62">
        <v>60</v>
      </c>
    </row>
    <row r="256" spans="22:47" x14ac:dyDescent="0.25">
      <c r="V256" s="4" t="s">
        <v>1421</v>
      </c>
      <c r="W256" s="4">
        <v>12</v>
      </c>
      <c r="X256" s="8" t="s">
        <v>1422</v>
      </c>
      <c r="Y256" s="8">
        <f>IF(ISNUMBER(SEARCH(Z256,TalentFlaw)),20,0)</f>
        <v>0</v>
      </c>
      <c r="Z256" s="3" t="str">
        <f t="shared" si="7"/>
        <v>Prodigy (Stalking: natural) IV;</v>
      </c>
      <c r="AT256">
        <v>255</v>
      </c>
      <c r="AU256" s="62">
        <v>61</v>
      </c>
    </row>
    <row r="257" spans="22:47" x14ac:dyDescent="0.25">
      <c r="V257" s="4" t="s">
        <v>1423</v>
      </c>
      <c r="W257" s="4">
        <v>3</v>
      </c>
      <c r="X257" s="8" t="s">
        <v>1424</v>
      </c>
      <c r="Y257" s="8">
        <f>IF(ISNUMBER(SEARCH(Z257,TalentFlaw)),5,0)</f>
        <v>0</v>
      </c>
      <c r="Z257" s="3" t="str">
        <f t="shared" si="7"/>
        <v>Prodigy (Survival: Deserts) I;</v>
      </c>
      <c r="AT257">
        <v>256</v>
      </c>
      <c r="AU257" s="62">
        <v>61</v>
      </c>
    </row>
    <row r="258" spans="22:47" x14ac:dyDescent="0.25">
      <c r="V258" s="4" t="s">
        <v>1425</v>
      </c>
      <c r="W258" s="4">
        <v>6</v>
      </c>
      <c r="X258" s="8" t="s">
        <v>1426</v>
      </c>
      <c r="Y258" s="8">
        <f>IF(ISNUMBER(SEARCH(Z258,TalentFlaw)),10,0)</f>
        <v>0</v>
      </c>
      <c r="Z258" s="3" t="str">
        <f t="shared" si="7"/>
        <v>Prodigy (Survival: Deserts) II;</v>
      </c>
      <c r="AT258">
        <v>257</v>
      </c>
      <c r="AU258" s="62">
        <v>61</v>
      </c>
    </row>
    <row r="259" spans="22:47" x14ac:dyDescent="0.25">
      <c r="V259" s="4" t="s">
        <v>1427</v>
      </c>
      <c r="W259" s="4">
        <v>9</v>
      </c>
      <c r="X259" s="8" t="s">
        <v>1428</v>
      </c>
      <c r="Y259" s="8">
        <f>IF(ISNUMBER(SEARCH(Z259,TalentFlaw)),15,0)</f>
        <v>0</v>
      </c>
      <c r="Z259" s="3" t="str">
        <f t="shared" ref="Z259:Z322" si="8">V259&amp;";"</f>
        <v>Prodigy (Survival: Deserts) III;</v>
      </c>
      <c r="AT259">
        <v>258</v>
      </c>
      <c r="AU259" s="62">
        <v>62</v>
      </c>
    </row>
    <row r="260" spans="22:47" x14ac:dyDescent="0.25">
      <c r="V260" s="4" t="s">
        <v>1429</v>
      </c>
      <c r="W260" s="4">
        <v>12</v>
      </c>
      <c r="X260" s="8" t="s">
        <v>1430</v>
      </c>
      <c r="Y260" s="8">
        <f>IF(ISNUMBER(SEARCH(Z260,TalentFlaw)),20,0)</f>
        <v>0</v>
      </c>
      <c r="Z260" s="3" t="str">
        <f t="shared" si="8"/>
        <v>Prodigy (Survival: Deserts) IV;</v>
      </c>
      <c r="AT260">
        <v>259</v>
      </c>
      <c r="AU260" s="62">
        <v>62</v>
      </c>
    </row>
    <row r="261" spans="22:47" x14ac:dyDescent="0.25">
      <c r="V261" s="4" t="s">
        <v>1431</v>
      </c>
      <c r="W261" s="4">
        <v>3</v>
      </c>
      <c r="X261" s="8" t="s">
        <v>1432</v>
      </c>
      <c r="Y261" s="8">
        <f>IF(ISNUMBER(SEARCH(Z261,TalentFlaw)),5,0)</f>
        <v>0</v>
      </c>
      <c r="Z261" s="3" t="str">
        <f t="shared" si="8"/>
        <v>Prodigy (Survival: Forest) I;</v>
      </c>
      <c r="AT261">
        <v>260</v>
      </c>
      <c r="AU261" s="62">
        <v>62</v>
      </c>
    </row>
    <row r="262" spans="22:47" x14ac:dyDescent="0.25">
      <c r="V262" s="4" t="s">
        <v>1433</v>
      </c>
      <c r="W262" s="4">
        <v>6</v>
      </c>
      <c r="X262" s="8" t="s">
        <v>1434</v>
      </c>
      <c r="Y262" s="8">
        <f>IF(ISNUMBER(SEARCH(Z262,TalentFlaw)),10,0)</f>
        <v>0</v>
      </c>
      <c r="Z262" s="3" t="str">
        <f t="shared" si="8"/>
        <v>Prodigy (Survival: Forest) II;</v>
      </c>
      <c r="AT262">
        <v>261</v>
      </c>
      <c r="AU262" s="62">
        <v>63</v>
      </c>
    </row>
    <row r="263" spans="22:47" x14ac:dyDescent="0.25">
      <c r="V263" s="4" t="s">
        <v>1435</v>
      </c>
      <c r="W263" s="4">
        <v>9</v>
      </c>
      <c r="X263" s="8" t="s">
        <v>1436</v>
      </c>
      <c r="Y263" s="8">
        <f>IF(ISNUMBER(SEARCH(Z263,TalentFlaw)),15,0)</f>
        <v>0</v>
      </c>
      <c r="Z263" s="3" t="str">
        <f t="shared" si="8"/>
        <v>Prodigy (Survival: Forest) III;</v>
      </c>
      <c r="AT263">
        <v>262</v>
      </c>
      <c r="AU263" s="62">
        <v>63</v>
      </c>
    </row>
    <row r="264" spans="22:47" x14ac:dyDescent="0.25">
      <c r="V264" s="4" t="s">
        <v>1437</v>
      </c>
      <c r="W264" s="4">
        <v>12</v>
      </c>
      <c r="X264" s="8" t="s">
        <v>1438</v>
      </c>
      <c r="Y264" s="8">
        <f>IF(ISNUMBER(SEARCH(Z264,TalentFlaw)),20,0)</f>
        <v>0</v>
      </c>
      <c r="Z264" s="3" t="str">
        <f t="shared" si="8"/>
        <v>Prodigy (Survival: Forest) IV;</v>
      </c>
      <c r="AT264">
        <v>263</v>
      </c>
      <c r="AU264" s="62">
        <v>63</v>
      </c>
    </row>
    <row r="265" spans="22:47" x14ac:dyDescent="0.25">
      <c r="V265" s="4" t="s">
        <v>1439</v>
      </c>
      <c r="W265" s="4">
        <v>3</v>
      </c>
      <c r="X265" s="8" t="s">
        <v>1440</v>
      </c>
      <c r="Y265" s="8">
        <f>IF(ISNUMBER(SEARCH(Z265,TalentFlaw)),5,0)</f>
        <v>0</v>
      </c>
      <c r="Z265" s="3" t="str">
        <f t="shared" si="8"/>
        <v>Prodigy (Survival: Grasslands) I;</v>
      </c>
      <c r="AT265">
        <v>264</v>
      </c>
      <c r="AU265" s="62">
        <v>64</v>
      </c>
    </row>
    <row r="266" spans="22:47" x14ac:dyDescent="0.25">
      <c r="V266" s="4" t="s">
        <v>1441</v>
      </c>
      <c r="W266" s="4">
        <v>6</v>
      </c>
      <c r="X266" s="8" t="s">
        <v>1442</v>
      </c>
      <c r="Y266" s="8">
        <f>IF(ISNUMBER(SEARCH(Z266,TalentFlaw)),10,0)</f>
        <v>0</v>
      </c>
      <c r="Z266" s="3" t="str">
        <f t="shared" si="8"/>
        <v>Prodigy (Survival: Grasslands) II;</v>
      </c>
      <c r="AT266">
        <v>265</v>
      </c>
      <c r="AU266" s="62">
        <v>64</v>
      </c>
    </row>
    <row r="267" spans="22:47" x14ac:dyDescent="0.25">
      <c r="V267" s="4" t="s">
        <v>1443</v>
      </c>
      <c r="W267" s="4">
        <v>9</v>
      </c>
      <c r="X267" s="8" t="s">
        <v>1444</v>
      </c>
      <c r="Y267" s="8">
        <f>IF(ISNUMBER(SEARCH(Z267,TalentFlaw)),15,0)</f>
        <v>0</v>
      </c>
      <c r="Z267" s="3" t="str">
        <f t="shared" si="8"/>
        <v>Prodigy (Survival: Grasslands) III;</v>
      </c>
      <c r="AT267">
        <v>266</v>
      </c>
      <c r="AU267" s="62">
        <v>64</v>
      </c>
    </row>
    <row r="268" spans="22:47" x14ac:dyDescent="0.25">
      <c r="V268" s="4" t="s">
        <v>1445</v>
      </c>
      <c r="W268" s="4">
        <v>12</v>
      </c>
      <c r="X268" s="8" t="s">
        <v>1446</v>
      </c>
      <c r="Y268" s="8">
        <f>IF(ISNUMBER(SEARCH(Z268,TalentFlaw)),20,0)</f>
        <v>0</v>
      </c>
      <c r="Z268" s="3" t="str">
        <f t="shared" si="8"/>
        <v>Prodigy (Survival: Grasslands) IV;</v>
      </c>
      <c r="AT268">
        <v>267</v>
      </c>
      <c r="AU268" s="62">
        <v>65</v>
      </c>
    </row>
    <row r="269" spans="22:47" x14ac:dyDescent="0.25">
      <c r="V269" s="4" t="s">
        <v>1447</v>
      </c>
      <c r="W269" s="4">
        <v>3</v>
      </c>
      <c r="X269" s="8" t="s">
        <v>1448</v>
      </c>
      <c r="Y269" s="8">
        <f>IF(ISNUMBER(SEARCH(Z269,TalentFlaw)),5,0)</f>
        <v>0</v>
      </c>
      <c r="Z269" s="3" t="str">
        <f t="shared" si="8"/>
        <v>Prodigy (Survival: Hills) I;</v>
      </c>
      <c r="AT269">
        <v>268</v>
      </c>
      <c r="AU269" s="62">
        <v>65</v>
      </c>
    </row>
    <row r="270" spans="22:47" x14ac:dyDescent="0.25">
      <c r="V270" s="4" t="s">
        <v>1449</v>
      </c>
      <c r="W270" s="4">
        <v>6</v>
      </c>
      <c r="X270" s="8" t="s">
        <v>1450</v>
      </c>
      <c r="Y270" s="8">
        <f>IF(ISNUMBER(SEARCH(Z270,TalentFlaw)),10,0)</f>
        <v>0</v>
      </c>
      <c r="Z270" s="3" t="str">
        <f t="shared" si="8"/>
        <v>Prodigy (Survival: Hills) II;</v>
      </c>
      <c r="AT270">
        <v>269</v>
      </c>
      <c r="AU270" s="62">
        <v>65</v>
      </c>
    </row>
    <row r="271" spans="22:47" x14ac:dyDescent="0.25">
      <c r="V271" s="4" t="s">
        <v>1451</v>
      </c>
      <c r="W271" s="4">
        <v>9</v>
      </c>
      <c r="X271" s="8" t="s">
        <v>1452</v>
      </c>
      <c r="Y271" s="8">
        <f>IF(ISNUMBER(SEARCH(Z271,TalentFlaw)),15,0)</f>
        <v>0</v>
      </c>
      <c r="Z271" s="3" t="str">
        <f t="shared" si="8"/>
        <v>Prodigy (Survival: Hills) III;</v>
      </c>
      <c r="AT271">
        <v>270</v>
      </c>
      <c r="AU271" s="62">
        <v>66</v>
      </c>
    </row>
    <row r="272" spans="22:47" x14ac:dyDescent="0.25">
      <c r="V272" s="4" t="s">
        <v>1453</v>
      </c>
      <c r="W272" s="4">
        <v>12</v>
      </c>
      <c r="X272" s="8" t="s">
        <v>1454</v>
      </c>
      <c r="Y272" s="8">
        <f>IF(ISNUMBER(SEARCH(Z272,TalentFlaw)),20,0)</f>
        <v>0</v>
      </c>
      <c r="Z272" s="3" t="str">
        <f t="shared" si="8"/>
        <v>Prodigy (Survival: Hills) IV;</v>
      </c>
      <c r="AT272">
        <v>271</v>
      </c>
      <c r="AU272" s="62">
        <v>66</v>
      </c>
    </row>
    <row r="273" spans="22:47" x14ac:dyDescent="0.25">
      <c r="V273" s="4" t="s">
        <v>1455</v>
      </c>
      <c r="W273" s="4">
        <v>3</v>
      </c>
      <c r="X273" s="8" t="s">
        <v>1456</v>
      </c>
      <c r="Y273" s="8">
        <f>IF(ISNUMBER(SEARCH(Z273,TalentFlaw)),5,0)</f>
        <v>0</v>
      </c>
      <c r="Z273" s="3" t="str">
        <f t="shared" si="8"/>
        <v>Prodigy (Survival: Ocean) I;</v>
      </c>
      <c r="AT273">
        <v>272</v>
      </c>
      <c r="AU273" s="62">
        <v>66</v>
      </c>
    </row>
    <row r="274" spans="22:47" x14ac:dyDescent="0.25">
      <c r="V274" s="4" t="s">
        <v>1457</v>
      </c>
      <c r="W274" s="4">
        <v>6</v>
      </c>
      <c r="X274" s="8" t="s">
        <v>1458</v>
      </c>
      <c r="Y274" s="8">
        <f>IF(ISNUMBER(SEARCH(Z274,TalentFlaw)),10,0)</f>
        <v>0</v>
      </c>
      <c r="Z274" s="3" t="str">
        <f t="shared" si="8"/>
        <v>Prodigy (Survival: Ocean) II;</v>
      </c>
      <c r="AT274">
        <v>273</v>
      </c>
      <c r="AU274" s="62">
        <v>67</v>
      </c>
    </row>
    <row r="275" spans="22:47" x14ac:dyDescent="0.25">
      <c r="V275" s="4" t="s">
        <v>1459</v>
      </c>
      <c r="W275" s="4">
        <v>9</v>
      </c>
      <c r="X275" s="8" t="s">
        <v>1460</v>
      </c>
      <c r="Y275" s="8">
        <f>IF(ISNUMBER(SEARCH(Z275,TalentFlaw)),15,0)</f>
        <v>0</v>
      </c>
      <c r="Z275" s="3" t="str">
        <f t="shared" si="8"/>
        <v>Prodigy (Survival: Ocean) III;</v>
      </c>
      <c r="AT275">
        <v>274</v>
      </c>
      <c r="AU275" s="62">
        <v>67</v>
      </c>
    </row>
    <row r="276" spans="22:47" x14ac:dyDescent="0.25">
      <c r="V276" s="4" t="s">
        <v>1461</v>
      </c>
      <c r="W276" s="4">
        <v>12</v>
      </c>
      <c r="X276" s="8" t="s">
        <v>1462</v>
      </c>
      <c r="Y276" s="8">
        <f>IF(ISNUMBER(SEARCH(Z276,TalentFlaw)),20,0)</f>
        <v>0</v>
      </c>
      <c r="Z276" s="3" t="str">
        <f t="shared" si="8"/>
        <v>Prodigy (Survival: Ocean) IV;</v>
      </c>
      <c r="AT276">
        <v>275</v>
      </c>
      <c r="AU276" s="62">
        <v>67</v>
      </c>
    </row>
    <row r="277" spans="22:47" x14ac:dyDescent="0.25">
      <c r="V277" s="4" t="s">
        <v>1463</v>
      </c>
      <c r="W277" s="4">
        <v>3</v>
      </c>
      <c r="X277" s="8" t="s">
        <v>1464</v>
      </c>
      <c r="Y277" s="8">
        <f>IF(ISNUMBER(SEARCH(Z277,TalentFlaw)),5,0)</f>
        <v>0</v>
      </c>
      <c r="Z277" s="3" t="str">
        <f t="shared" si="8"/>
        <v>Prodigy (Survival: Sea) I;</v>
      </c>
      <c r="AT277">
        <v>276</v>
      </c>
      <c r="AU277" s="62">
        <v>68</v>
      </c>
    </row>
    <row r="278" spans="22:47" x14ac:dyDescent="0.25">
      <c r="V278" s="4" t="s">
        <v>1465</v>
      </c>
      <c r="W278" s="4">
        <v>6</v>
      </c>
      <c r="X278" s="8" t="s">
        <v>1466</v>
      </c>
      <c r="Y278" s="8">
        <f>IF(ISNUMBER(SEARCH(Z278,TalentFlaw)),10,0)</f>
        <v>0</v>
      </c>
      <c r="Z278" s="3" t="str">
        <f t="shared" si="8"/>
        <v>Prodigy (Survival: Sea) II;</v>
      </c>
      <c r="AT278">
        <v>277</v>
      </c>
      <c r="AU278" s="62">
        <v>68</v>
      </c>
    </row>
    <row r="279" spans="22:47" x14ac:dyDescent="0.25">
      <c r="V279" s="4" t="s">
        <v>1467</v>
      </c>
      <c r="W279" s="4">
        <v>9</v>
      </c>
      <c r="X279" s="8" t="s">
        <v>1468</v>
      </c>
      <c r="Y279" s="8">
        <f>IF(ISNUMBER(SEARCH(Z279,TalentFlaw)),15,0)</f>
        <v>0</v>
      </c>
      <c r="Z279" s="3" t="str">
        <f t="shared" si="8"/>
        <v>Prodigy (Survival: Sea) III;</v>
      </c>
      <c r="AT279">
        <v>278</v>
      </c>
      <c r="AU279" s="62">
        <v>68</v>
      </c>
    </row>
    <row r="280" spans="22:47" x14ac:dyDescent="0.25">
      <c r="V280" s="4" t="s">
        <v>1469</v>
      </c>
      <c r="W280" s="4">
        <v>12</v>
      </c>
      <c r="X280" s="8" t="s">
        <v>1470</v>
      </c>
      <c r="Y280" s="8">
        <f>IF(ISNUMBER(SEARCH(Z280,TalentFlaw)),20,0)</f>
        <v>0</v>
      </c>
      <c r="Z280" s="3" t="str">
        <f t="shared" si="8"/>
        <v>Prodigy (Survival: Sea) IV;</v>
      </c>
      <c r="AT280">
        <v>279</v>
      </c>
      <c r="AU280" s="62">
        <v>69</v>
      </c>
    </row>
    <row r="281" spans="22:47" x14ac:dyDescent="0.25">
      <c r="V281" s="4" t="s">
        <v>1471</v>
      </c>
      <c r="W281" s="4">
        <v>6</v>
      </c>
      <c r="X281" s="8" t="s">
        <v>1472</v>
      </c>
      <c r="Y281" s="8">
        <f>IF(ISNUMBER(SEARCH(Z281,TalentFlaw)),5,0)</f>
        <v>0</v>
      </c>
      <c r="Z281" s="3" t="str">
        <f t="shared" si="8"/>
        <v>Prodigy (Swimming) I;</v>
      </c>
      <c r="AT281">
        <v>280</v>
      </c>
      <c r="AU281" s="62">
        <v>69</v>
      </c>
    </row>
    <row r="282" spans="22:47" x14ac:dyDescent="0.25">
      <c r="V282" s="4" t="s">
        <v>1473</v>
      </c>
      <c r="W282" s="4">
        <v>12</v>
      </c>
      <c r="X282" s="8" t="s">
        <v>1474</v>
      </c>
      <c r="Y282" s="8">
        <f>IF(ISNUMBER(SEARCH(Z282,TalentFlaw)),10,0)</f>
        <v>0</v>
      </c>
      <c r="Z282" s="3" t="str">
        <f t="shared" si="8"/>
        <v>Prodigy (Swimming) II;</v>
      </c>
      <c r="AT282">
        <v>281</v>
      </c>
      <c r="AU282" s="62">
        <v>69</v>
      </c>
    </row>
    <row r="283" spans="22:47" x14ac:dyDescent="0.25">
      <c r="V283" s="4" t="s">
        <v>1475</v>
      </c>
      <c r="W283" s="4">
        <v>18</v>
      </c>
      <c r="X283" s="8" t="s">
        <v>1476</v>
      </c>
      <c r="Y283" s="8">
        <f>IF(ISNUMBER(SEARCH(Z283,TalentFlaw)),15,0)</f>
        <v>0</v>
      </c>
      <c r="Z283" s="3" t="str">
        <f t="shared" si="8"/>
        <v>Prodigy (Swimming) III;</v>
      </c>
      <c r="AT283">
        <v>282</v>
      </c>
      <c r="AU283" s="62">
        <v>70</v>
      </c>
    </row>
    <row r="284" spans="22:47" x14ac:dyDescent="0.25">
      <c r="V284" s="4" t="s">
        <v>1477</v>
      </c>
      <c r="W284" s="4">
        <v>24</v>
      </c>
      <c r="X284" s="8" t="s">
        <v>1478</v>
      </c>
      <c r="Y284" s="8">
        <f>IF(ISNUMBER(SEARCH(Z284,TalentFlaw)),20,0)</f>
        <v>0</v>
      </c>
      <c r="Z284" s="3" t="str">
        <f t="shared" si="8"/>
        <v>Prodigy (Swimming) IV;</v>
      </c>
      <c r="AT284">
        <v>283</v>
      </c>
      <c r="AU284" s="62">
        <v>70</v>
      </c>
    </row>
    <row r="285" spans="22:47" x14ac:dyDescent="0.25">
      <c r="V285" s="4" t="s">
        <v>1479</v>
      </c>
      <c r="W285" s="4">
        <v>30</v>
      </c>
      <c r="X285" s="8" t="s">
        <v>1480</v>
      </c>
      <c r="Y285" s="8">
        <f>IF(ISNUMBER(SEARCH(Z285,TalentFlaw)),25,0)</f>
        <v>0</v>
      </c>
      <c r="Z285" s="3" t="str">
        <f t="shared" si="8"/>
        <v>Prodigy (Swimming) V;</v>
      </c>
      <c r="AT285">
        <v>284</v>
      </c>
      <c r="AU285" s="62">
        <v>70</v>
      </c>
    </row>
    <row r="286" spans="22:47" x14ac:dyDescent="0.25">
      <c r="V286" s="4" t="s">
        <v>1481</v>
      </c>
      <c r="W286" s="4">
        <v>12</v>
      </c>
      <c r="X286" s="8" t="s">
        <v>1482</v>
      </c>
      <c r="Y286" s="8">
        <f>IF(ISNUMBER(SEARCH(Z286,TalentFlaw)),10,0)</f>
        <v>0</v>
      </c>
      <c r="Z286" s="3" t="str">
        <f t="shared" si="8"/>
        <v>Prodigy (Tracking) II;</v>
      </c>
      <c r="AT286">
        <v>285</v>
      </c>
      <c r="AU286" s="62">
        <v>71</v>
      </c>
    </row>
    <row r="287" spans="22:47" x14ac:dyDescent="0.25">
      <c r="V287" s="4" t="s">
        <v>1483</v>
      </c>
      <c r="W287" s="4">
        <v>18</v>
      </c>
      <c r="X287" s="8" t="s">
        <v>1484</v>
      </c>
      <c r="Y287" s="8">
        <f>IF(ISNUMBER(SEARCH(Z287,TalentFlaw)),15,0)</f>
        <v>0</v>
      </c>
      <c r="Z287" s="3" t="str">
        <f t="shared" si="8"/>
        <v>Prodigy (Tracking) III;</v>
      </c>
      <c r="AT287">
        <v>286</v>
      </c>
      <c r="AU287" s="62">
        <v>71</v>
      </c>
    </row>
    <row r="288" spans="22:47" x14ac:dyDescent="0.25">
      <c r="V288" s="4" t="s">
        <v>1485</v>
      </c>
      <c r="W288" s="4">
        <v>24</v>
      </c>
      <c r="X288" s="8" t="s">
        <v>1486</v>
      </c>
      <c r="Y288" s="8">
        <f>IF(ISNUMBER(SEARCH(Z288,TalentFlaw)),20,0)</f>
        <v>0</v>
      </c>
      <c r="Z288" s="3" t="str">
        <f t="shared" si="8"/>
        <v>Prodigy (Tracking) IV;</v>
      </c>
      <c r="AT288">
        <v>287</v>
      </c>
      <c r="AU288" s="62">
        <v>71</v>
      </c>
    </row>
    <row r="289" spans="22:47" x14ac:dyDescent="0.25">
      <c r="V289" s="4" t="s">
        <v>1487</v>
      </c>
      <c r="W289" s="4">
        <v>3</v>
      </c>
      <c r="X289" s="8" t="s">
        <v>1488</v>
      </c>
      <c r="Y289" s="8">
        <f>IF(ISNUMBER(SEARCH(Z289,TalentFlaw)),5,0)</f>
        <v>0</v>
      </c>
      <c r="Z289" s="3" t="str">
        <f t="shared" si="8"/>
        <v>Prodigy (Tracking: Deserts) I;</v>
      </c>
      <c r="AT289">
        <v>288</v>
      </c>
      <c r="AU289" s="62">
        <v>72</v>
      </c>
    </row>
    <row r="290" spans="22:47" x14ac:dyDescent="0.25">
      <c r="V290" s="4" t="s">
        <v>1489</v>
      </c>
      <c r="W290" s="4">
        <v>6</v>
      </c>
      <c r="X290" s="8" t="s">
        <v>1490</v>
      </c>
      <c r="Y290" s="8">
        <f>IF(ISNUMBER(SEARCH(Z290,TalentFlaw)),10,0)</f>
        <v>0</v>
      </c>
      <c r="Z290" s="3" t="str">
        <f t="shared" si="8"/>
        <v>Prodigy (Tracking: Deserts) II;</v>
      </c>
      <c r="AT290">
        <v>289</v>
      </c>
      <c r="AU290" s="62">
        <v>72</v>
      </c>
    </row>
    <row r="291" spans="22:47" x14ac:dyDescent="0.25">
      <c r="V291" s="4" t="s">
        <v>1491</v>
      </c>
      <c r="W291" s="4">
        <v>9</v>
      </c>
      <c r="X291" s="8" t="s">
        <v>1492</v>
      </c>
      <c r="Y291" s="8">
        <f>IF(ISNUMBER(SEARCH(Z291,TalentFlaw)),15,0)</f>
        <v>0</v>
      </c>
      <c r="Z291" s="3" t="str">
        <f t="shared" si="8"/>
        <v>Prodigy (Tracking: Deserts) III;</v>
      </c>
      <c r="AT291">
        <v>290</v>
      </c>
      <c r="AU291" s="62">
        <v>72</v>
      </c>
    </row>
    <row r="292" spans="22:47" x14ac:dyDescent="0.25">
      <c r="V292" s="4" t="s">
        <v>1493</v>
      </c>
      <c r="W292" s="4">
        <v>12</v>
      </c>
      <c r="X292" s="8" t="s">
        <v>1494</v>
      </c>
      <c r="Y292" s="8">
        <f>IF(ISNUMBER(SEARCH(Z292,TalentFlaw)),20,0)</f>
        <v>0</v>
      </c>
      <c r="Z292" s="3" t="str">
        <f t="shared" si="8"/>
        <v>Prodigy (Tracking: Deserts) IV;</v>
      </c>
      <c r="AT292">
        <v>291</v>
      </c>
      <c r="AU292" s="62">
        <v>73</v>
      </c>
    </row>
    <row r="293" spans="22:47" x14ac:dyDescent="0.25">
      <c r="V293" s="4" t="s">
        <v>1495</v>
      </c>
      <c r="W293" s="4">
        <v>6</v>
      </c>
      <c r="X293" s="8" t="s">
        <v>1496</v>
      </c>
      <c r="Y293" s="8">
        <f>IF(ISNUMBER(SEARCH(Z293,TalentFlaw)),5,0)</f>
        <v>0</v>
      </c>
      <c r="Z293" s="3" t="str">
        <f t="shared" si="8"/>
        <v>Prodigy (Trading) I;</v>
      </c>
      <c r="AT293">
        <v>292</v>
      </c>
      <c r="AU293" s="62">
        <v>73</v>
      </c>
    </row>
    <row r="294" spans="22:47" x14ac:dyDescent="0.25">
      <c r="V294" s="4" t="s">
        <v>1497</v>
      </c>
      <c r="W294" s="4">
        <v>12</v>
      </c>
      <c r="X294" s="8" t="s">
        <v>1498</v>
      </c>
      <c r="Y294" s="8">
        <f>IF(ISNUMBER(SEARCH(Z294,TalentFlaw)),10,0)</f>
        <v>0</v>
      </c>
      <c r="Z294" s="3" t="str">
        <f t="shared" si="8"/>
        <v>Prodigy (Trading) II;</v>
      </c>
      <c r="AT294">
        <v>293</v>
      </c>
      <c r="AU294" s="62">
        <v>73</v>
      </c>
    </row>
    <row r="295" spans="22:47" x14ac:dyDescent="0.25">
      <c r="V295" s="4" t="s">
        <v>1499</v>
      </c>
      <c r="W295" s="4">
        <v>18</v>
      </c>
      <c r="X295" s="8" t="s">
        <v>1500</v>
      </c>
      <c r="Y295" s="8">
        <f>IF(ISNUMBER(SEARCH(Z295,TalentFlaw)),15,0)</f>
        <v>0</v>
      </c>
      <c r="Z295" s="3" t="str">
        <f t="shared" si="8"/>
        <v>Prodigy (Trading) III;</v>
      </c>
      <c r="AT295">
        <v>294</v>
      </c>
      <c r="AU295" s="62">
        <v>74</v>
      </c>
    </row>
    <row r="296" spans="22:47" x14ac:dyDescent="0.25">
      <c r="V296" s="4" t="s">
        <v>1501</v>
      </c>
      <c r="W296" s="4">
        <v>24</v>
      </c>
      <c r="X296" s="8" t="s">
        <v>1502</v>
      </c>
      <c r="Y296" s="8">
        <f>IF(ISNUMBER(SEARCH(Z296,TalentFlaw)),20,0)</f>
        <v>0</v>
      </c>
      <c r="Z296" s="3" t="str">
        <f t="shared" si="8"/>
        <v>Prodigy (Trading) IV;</v>
      </c>
      <c r="AT296">
        <v>295</v>
      </c>
      <c r="AU296" s="62">
        <v>74</v>
      </c>
    </row>
    <row r="297" spans="22:47" x14ac:dyDescent="0.25">
      <c r="V297" s="4" t="s">
        <v>1503</v>
      </c>
      <c r="W297" s="4">
        <v>6</v>
      </c>
      <c r="X297" s="8" t="s">
        <v>1504</v>
      </c>
      <c r="Y297" s="8">
        <f>IF(ISNUMBER(SEARCH(Z297,TalentFlaw)),5,0)</f>
        <v>0</v>
      </c>
      <c r="Z297" s="3" t="str">
        <f t="shared" si="8"/>
        <v>Prodigy (Trickery) I;</v>
      </c>
      <c r="AT297">
        <v>296</v>
      </c>
      <c r="AU297" s="62">
        <v>74</v>
      </c>
    </row>
    <row r="298" spans="22:47" x14ac:dyDescent="0.25">
      <c r="V298" s="4" t="s">
        <v>1505</v>
      </c>
      <c r="W298" s="4">
        <v>12</v>
      </c>
      <c r="X298" s="8" t="s">
        <v>1506</v>
      </c>
      <c r="Y298" s="8">
        <f>IF(ISNUMBER(SEARCH(Z298,TalentFlaw)),10,0)</f>
        <v>0</v>
      </c>
      <c r="Z298" s="3" t="str">
        <f t="shared" si="8"/>
        <v>Prodigy (Trickery) II;</v>
      </c>
      <c r="AT298">
        <v>297</v>
      </c>
      <c r="AU298" s="62">
        <v>75</v>
      </c>
    </row>
    <row r="299" spans="22:47" x14ac:dyDescent="0.25">
      <c r="V299" s="4" t="s">
        <v>1507</v>
      </c>
      <c r="W299" s="4">
        <v>18</v>
      </c>
      <c r="X299" s="8" t="s">
        <v>1508</v>
      </c>
      <c r="Y299" s="8">
        <f>IF(ISNUMBER(SEARCH(Z299,TalentFlaw)),15,0)</f>
        <v>0</v>
      </c>
      <c r="Z299" s="3" t="str">
        <f t="shared" si="8"/>
        <v>Prodigy (Trickery) III;</v>
      </c>
      <c r="AT299">
        <v>298</v>
      </c>
      <c r="AU299" s="62">
        <v>75</v>
      </c>
    </row>
    <row r="300" spans="22:47" x14ac:dyDescent="0.25">
      <c r="V300" s="4" t="s">
        <v>1509</v>
      </c>
      <c r="W300" s="4">
        <v>24</v>
      </c>
      <c r="X300" s="8" t="s">
        <v>1510</v>
      </c>
      <c r="Y300" s="8">
        <f>IF(ISNUMBER(SEARCH(Z300,TalentFlaw)),20,0)</f>
        <v>0</v>
      </c>
      <c r="Z300" s="3" t="str">
        <f t="shared" si="8"/>
        <v>Prodigy (Trickery) IV;</v>
      </c>
      <c r="AT300">
        <v>299</v>
      </c>
      <c r="AU300" s="62">
        <v>75</v>
      </c>
    </row>
    <row r="301" spans="22:47" x14ac:dyDescent="0.25">
      <c r="V301" s="4" t="s">
        <v>1511</v>
      </c>
      <c r="W301" s="4">
        <v>6</v>
      </c>
      <c r="X301" s="8" t="s">
        <v>1512</v>
      </c>
      <c r="Y301" s="8">
        <f>IF(ISNUMBER(SEARCH(Z301,TalentFlaw)),5,0)</f>
        <v>0</v>
      </c>
      <c r="Z301" s="3" t="str">
        <f t="shared" si="8"/>
        <v>Prodigy I;</v>
      </c>
      <c r="AT301">
        <v>300</v>
      </c>
      <c r="AU301" s="62">
        <v>76</v>
      </c>
    </row>
    <row r="302" spans="22:47" x14ac:dyDescent="0.25">
      <c r="V302" s="4" t="s">
        <v>1513</v>
      </c>
      <c r="W302" s="4">
        <v>12</v>
      </c>
      <c r="X302" s="8" t="s">
        <v>1514</v>
      </c>
      <c r="Y302" s="8">
        <f>IF(ISNUMBER(SEARCH(Z302,TalentFlaw)),10,0)</f>
        <v>0</v>
      </c>
      <c r="Z302" s="3" t="str">
        <f t="shared" si="8"/>
        <v>Prodigy II;</v>
      </c>
      <c r="AT302">
        <v>301</v>
      </c>
      <c r="AU302" s="62">
        <v>76</v>
      </c>
    </row>
    <row r="303" spans="22:47" x14ac:dyDescent="0.25">
      <c r="V303" s="4" t="s">
        <v>1515</v>
      </c>
      <c r="W303" s="4">
        <v>18</v>
      </c>
      <c r="X303" s="8" t="s">
        <v>1516</v>
      </c>
      <c r="Y303" s="8">
        <f>IF(ISNUMBER(SEARCH(Z303,TalentFlaw)),15,0)</f>
        <v>0</v>
      </c>
      <c r="Z303" s="3" t="str">
        <f t="shared" si="8"/>
        <v>Prodigy III;</v>
      </c>
      <c r="AT303">
        <v>302</v>
      </c>
      <c r="AU303" s="62">
        <v>76</v>
      </c>
    </row>
    <row r="304" spans="22:47" x14ac:dyDescent="0.25">
      <c r="V304" s="4" t="s">
        <v>1517</v>
      </c>
      <c r="W304" s="4">
        <v>24</v>
      </c>
      <c r="X304" s="8" t="s">
        <v>1518</v>
      </c>
      <c r="Y304" s="8">
        <f>IF(ISNUMBER(SEARCH(Z304,TalentFlaw)),20,0)</f>
        <v>0</v>
      </c>
      <c r="Z304" s="3" t="str">
        <f t="shared" si="8"/>
        <v>Prodigy IV;</v>
      </c>
      <c r="AT304">
        <v>303</v>
      </c>
      <c r="AU304" s="62">
        <v>77</v>
      </c>
    </row>
    <row r="305" spans="22:47" x14ac:dyDescent="0.25">
      <c r="V305" s="4" t="s">
        <v>1519</v>
      </c>
      <c r="W305" s="4">
        <v>30</v>
      </c>
      <c r="X305" s="8" t="s">
        <v>1520</v>
      </c>
      <c r="Y305" s="8">
        <f>IF(ISNUMBER(SEARCH(Z305,TalentFlaw)),25,0)</f>
        <v>0</v>
      </c>
      <c r="Z305" s="3" t="str">
        <f t="shared" si="8"/>
        <v>Prodigy V;</v>
      </c>
      <c r="AT305">
        <v>304</v>
      </c>
      <c r="AU305" s="62">
        <v>77</v>
      </c>
    </row>
    <row r="306" spans="22:47" x14ac:dyDescent="0.25">
      <c r="V306" s="4" t="s">
        <v>1521</v>
      </c>
      <c r="W306" s="4">
        <v>10</v>
      </c>
      <c r="X306" s="8" t="s">
        <v>1522</v>
      </c>
      <c r="Y306" s="8">
        <v>0</v>
      </c>
      <c r="Z306" s="3" t="str">
        <f t="shared" si="8"/>
        <v>Quick-Caster I;</v>
      </c>
      <c r="AT306">
        <v>305</v>
      </c>
      <c r="AU306" s="62">
        <v>77</v>
      </c>
    </row>
    <row r="307" spans="22:47" x14ac:dyDescent="0.25">
      <c r="V307" s="4" t="s">
        <v>1523</v>
      </c>
      <c r="W307" s="4">
        <v>20</v>
      </c>
      <c r="X307" s="8" t="s">
        <v>1524</v>
      </c>
      <c r="Y307" s="8">
        <v>0</v>
      </c>
      <c r="Z307" s="3" t="str">
        <f t="shared" si="8"/>
        <v>Quick-Caster II;</v>
      </c>
      <c r="AT307">
        <v>306</v>
      </c>
      <c r="AU307" s="62">
        <v>78</v>
      </c>
    </row>
    <row r="308" spans="22:47" x14ac:dyDescent="0.25">
      <c r="V308" s="4" t="s">
        <v>1525</v>
      </c>
      <c r="W308" s="4">
        <v>7</v>
      </c>
      <c r="X308" s="8" t="s">
        <v>1526</v>
      </c>
      <c r="Y308" s="8">
        <v>0</v>
      </c>
      <c r="Z308" s="3" t="str">
        <f t="shared" si="8"/>
        <v>Quickdraw/Quickload;</v>
      </c>
      <c r="AT308">
        <v>307</v>
      </c>
      <c r="AU308" s="62">
        <v>78</v>
      </c>
    </row>
    <row r="309" spans="22:47" x14ac:dyDescent="0.25">
      <c r="V309" s="4" t="s">
        <v>1527</v>
      </c>
      <c r="W309" s="4">
        <v>2</v>
      </c>
      <c r="X309" s="8" t="s">
        <v>1528</v>
      </c>
      <c r="Y309" s="8">
        <f>IF(ISNUMBER(SEARCH(Z309,TalentFlaw)),5,0)</f>
        <v>0</v>
      </c>
      <c r="Z309" s="3" t="str">
        <f t="shared" si="8"/>
        <v>Resistance to Elements (cold water) I;</v>
      </c>
      <c r="AT309">
        <v>308</v>
      </c>
      <c r="AU309" s="62">
        <v>78</v>
      </c>
    </row>
    <row r="310" spans="22:47" x14ac:dyDescent="0.25">
      <c r="V310" s="4" t="s">
        <v>1529</v>
      </c>
      <c r="W310" s="4">
        <v>4</v>
      </c>
      <c r="X310" s="8" t="s">
        <v>1530</v>
      </c>
      <c r="Y310" s="8">
        <f>IF(ISNUMBER(SEARCH(Z310,TalentFlaw)),10,0)</f>
        <v>0</v>
      </c>
      <c r="Z310" s="3" t="str">
        <f t="shared" si="8"/>
        <v>Resistance to Elements (cold water) II;</v>
      </c>
      <c r="AT310">
        <v>309</v>
      </c>
      <c r="AU310" s="62">
        <v>79</v>
      </c>
    </row>
    <row r="311" spans="22:47" x14ac:dyDescent="0.25">
      <c r="V311" s="4" t="s">
        <v>1531</v>
      </c>
      <c r="W311" s="4">
        <v>6</v>
      </c>
      <c r="X311" s="8" t="s">
        <v>1532</v>
      </c>
      <c r="Y311" s="8">
        <f>IF(ISNUMBER(SEARCH(Z311,TalentFlaw)),15,0)</f>
        <v>0</v>
      </c>
      <c r="Z311" s="3" t="str">
        <f t="shared" si="8"/>
        <v>Resistance to Elements (cold water) III;</v>
      </c>
      <c r="AT311">
        <v>310</v>
      </c>
      <c r="AU311" s="62">
        <v>79</v>
      </c>
    </row>
    <row r="312" spans="22:47" x14ac:dyDescent="0.25">
      <c r="V312" s="4" t="s">
        <v>1533</v>
      </c>
      <c r="W312" s="4">
        <v>12</v>
      </c>
      <c r="X312" s="8" t="s">
        <v>1534</v>
      </c>
      <c r="Y312" s="8">
        <f>IF(ISNUMBER(SEARCH(Z312,TalentFlaw)),20,0)</f>
        <v>0</v>
      </c>
      <c r="Z312" s="3" t="str">
        <f t="shared" si="8"/>
        <v>Resistance to Elements (cold water) IV;</v>
      </c>
      <c r="AT312">
        <v>311</v>
      </c>
      <c r="AU312" s="62">
        <v>79</v>
      </c>
    </row>
    <row r="313" spans="22:47" x14ac:dyDescent="0.25">
      <c r="V313" s="4" t="s">
        <v>1535</v>
      </c>
      <c r="W313" s="4">
        <v>4</v>
      </c>
      <c r="X313" s="8" t="s">
        <v>1536</v>
      </c>
      <c r="Y313" s="8">
        <f>IF(ISNUMBER(SEARCH(Z313,TalentFlaw)),5,0)</f>
        <v>0</v>
      </c>
      <c r="Z313" s="3" t="str">
        <f t="shared" si="8"/>
        <v>Resistance to Elements (cold) I;</v>
      </c>
      <c r="AT313">
        <v>312</v>
      </c>
      <c r="AU313" s="62">
        <v>80</v>
      </c>
    </row>
    <row r="314" spans="22:47" x14ac:dyDescent="0.25">
      <c r="V314" s="4" t="s">
        <v>1537</v>
      </c>
      <c r="W314" s="4">
        <v>8</v>
      </c>
      <c r="X314" s="8" t="s">
        <v>1538</v>
      </c>
      <c r="Y314" s="8">
        <f>IF(ISNUMBER(SEARCH(Z314,TalentFlaw)),10,0)</f>
        <v>0</v>
      </c>
      <c r="Z314" s="3" t="str">
        <f t="shared" si="8"/>
        <v>Resistance to Elements (cold) II;</v>
      </c>
      <c r="AT314">
        <v>313</v>
      </c>
      <c r="AU314" s="62">
        <v>80</v>
      </c>
    </row>
    <row r="315" spans="22:47" x14ac:dyDescent="0.25">
      <c r="V315" s="4" t="s">
        <v>1539</v>
      </c>
      <c r="W315" s="4">
        <v>12</v>
      </c>
      <c r="X315" s="8" t="s">
        <v>1540</v>
      </c>
      <c r="Y315" s="8">
        <f>IF(ISNUMBER(SEARCH(Z315,TalentFlaw)),15,0)</f>
        <v>0</v>
      </c>
      <c r="Z315" s="3" t="str">
        <f t="shared" si="8"/>
        <v>Resistance to Elements (cold) III;</v>
      </c>
      <c r="AT315">
        <v>314</v>
      </c>
      <c r="AU315" s="62">
        <v>80</v>
      </c>
    </row>
    <row r="316" spans="22:47" x14ac:dyDescent="0.25">
      <c r="V316" s="4" t="s">
        <v>1541</v>
      </c>
      <c r="W316" s="4">
        <v>16</v>
      </c>
      <c r="X316" s="8" t="s">
        <v>1542</v>
      </c>
      <c r="Y316" s="8">
        <f>IF(ISNUMBER(SEARCH(Z316,TalentFlaw)),20,0)</f>
        <v>0</v>
      </c>
      <c r="Z316" s="3" t="str">
        <f t="shared" si="8"/>
        <v>Resistance to Elements (cold) IV;</v>
      </c>
      <c r="AT316">
        <v>315</v>
      </c>
      <c r="AU316" s="62">
        <v>81</v>
      </c>
    </row>
    <row r="317" spans="22:47" x14ac:dyDescent="0.25">
      <c r="V317" s="4" t="s">
        <v>1543</v>
      </c>
      <c r="W317" s="4">
        <v>20</v>
      </c>
      <c r="X317" s="8" t="s">
        <v>1544</v>
      </c>
      <c r="Y317" s="8">
        <f>IF(ISNUMBER(SEARCH(Z317,TalentFlaw)),25,0)</f>
        <v>0</v>
      </c>
      <c r="Z317" s="3" t="str">
        <f t="shared" si="8"/>
        <v>Resistance to Elements (cold) V;</v>
      </c>
      <c r="AT317">
        <v>316</v>
      </c>
      <c r="AU317" s="62">
        <v>81</v>
      </c>
    </row>
    <row r="318" spans="22:47" x14ac:dyDescent="0.25">
      <c r="V318" s="4" t="s">
        <v>1545</v>
      </c>
      <c r="W318" s="4">
        <v>24</v>
      </c>
      <c r="X318" s="8" t="s">
        <v>1546</v>
      </c>
      <c r="Y318" s="8">
        <f>IF(ISNUMBER(SEARCH(Z318,TalentFlaw)),30,0)</f>
        <v>0</v>
      </c>
      <c r="Z318" s="3" t="str">
        <f t="shared" si="8"/>
        <v>Resistance to Elements (cold) VI;</v>
      </c>
      <c r="AT318">
        <v>317</v>
      </c>
      <c r="AU318" s="62">
        <v>81</v>
      </c>
    </row>
    <row r="319" spans="22:47" x14ac:dyDescent="0.25">
      <c r="V319" s="4" t="s">
        <v>920</v>
      </c>
      <c r="W319" s="4">
        <v>4</v>
      </c>
      <c r="X319" s="8" t="s">
        <v>1547</v>
      </c>
      <c r="Y319" s="8">
        <f>IF(ISNUMBER(SEARCH(Z319,TalentFlaw)),5,0)</f>
        <v>0</v>
      </c>
      <c r="Z319" s="3" t="str">
        <f t="shared" si="8"/>
        <v>Resistance to Elements (heat) I;</v>
      </c>
      <c r="AT319">
        <v>318</v>
      </c>
      <c r="AU319" s="62">
        <v>82</v>
      </c>
    </row>
    <row r="320" spans="22:47" x14ac:dyDescent="0.25">
      <c r="V320" s="4" t="s">
        <v>1548</v>
      </c>
      <c r="W320" s="4">
        <v>8</v>
      </c>
      <c r="X320" s="8" t="s">
        <v>1549</v>
      </c>
      <c r="Y320" s="8">
        <f>IF(ISNUMBER(SEARCH(Z320,TalentFlaw)),10,0)</f>
        <v>0</v>
      </c>
      <c r="Z320" s="3" t="str">
        <f t="shared" si="8"/>
        <v>Resistance to Elements (heat) II;</v>
      </c>
      <c r="AT320">
        <v>319</v>
      </c>
      <c r="AU320" s="62">
        <v>82</v>
      </c>
    </row>
    <row r="321" spans="22:47" x14ac:dyDescent="0.25">
      <c r="V321" s="4" t="s">
        <v>1550</v>
      </c>
      <c r="W321" s="4">
        <v>12</v>
      </c>
      <c r="X321" s="8" t="s">
        <v>1551</v>
      </c>
      <c r="Y321" s="8">
        <f>IF(ISNUMBER(SEARCH(Z321,TalentFlaw)),15,0)</f>
        <v>0</v>
      </c>
      <c r="Z321" s="3" t="str">
        <f t="shared" si="8"/>
        <v>Resistance to Elements (heat) III;</v>
      </c>
      <c r="AT321">
        <v>320</v>
      </c>
      <c r="AU321" s="62">
        <v>82</v>
      </c>
    </row>
    <row r="322" spans="22:47" x14ac:dyDescent="0.25">
      <c r="V322" s="4" t="s">
        <v>1552</v>
      </c>
      <c r="W322" s="4">
        <v>16</v>
      </c>
      <c r="X322" s="8" t="s">
        <v>1553</v>
      </c>
      <c r="Y322" s="8">
        <f>IF(ISNUMBER(SEARCH(Z322,TalentFlaw)),20,0)</f>
        <v>0</v>
      </c>
      <c r="Z322" s="3" t="str">
        <f t="shared" si="8"/>
        <v>Resistance to Elements (heat) IV;</v>
      </c>
      <c r="AT322">
        <v>321</v>
      </c>
      <c r="AU322" s="62">
        <v>83</v>
      </c>
    </row>
    <row r="323" spans="22:47" x14ac:dyDescent="0.25">
      <c r="V323" s="4" t="s">
        <v>1554</v>
      </c>
      <c r="W323" s="4">
        <v>4</v>
      </c>
      <c r="X323" s="8" t="s">
        <v>1555</v>
      </c>
      <c r="Y323" s="8">
        <f>IF(ISNUMBER(SEARCH(Z323,TalentFlaw)),5,0)</f>
        <v>0</v>
      </c>
      <c r="Z323" s="3" t="str">
        <f t="shared" ref="Z323:Z386" si="9">V323&amp;";"</f>
        <v>Resistance to Elements (light) I;</v>
      </c>
      <c r="AT323">
        <v>322</v>
      </c>
      <c r="AU323" s="62">
        <v>83</v>
      </c>
    </row>
    <row r="324" spans="22:47" x14ac:dyDescent="0.25">
      <c r="V324" s="4" t="s">
        <v>1556</v>
      </c>
      <c r="W324" s="4">
        <v>8</v>
      </c>
      <c r="X324" s="8" t="s">
        <v>1557</v>
      </c>
      <c r="Y324" s="8">
        <f>IF(ISNUMBER(SEARCH(Z324,TalentFlaw)),10,0)</f>
        <v>0</v>
      </c>
      <c r="Z324" s="3" t="str">
        <f t="shared" si="9"/>
        <v>Resistance to Elements (light) II;</v>
      </c>
      <c r="AT324">
        <v>323</v>
      </c>
      <c r="AU324" s="62">
        <v>83</v>
      </c>
    </row>
    <row r="325" spans="22:47" x14ac:dyDescent="0.25">
      <c r="V325" s="4" t="s">
        <v>1558</v>
      </c>
      <c r="W325" s="4">
        <v>12</v>
      </c>
      <c r="X325" s="8" t="s">
        <v>1559</v>
      </c>
      <c r="Y325" s="8">
        <f>IF(ISNUMBER(SEARCH(Z325,TalentFlaw)),15,0)</f>
        <v>0</v>
      </c>
      <c r="Z325" s="3" t="str">
        <f t="shared" si="9"/>
        <v>Resistance to Elements (light) III;</v>
      </c>
      <c r="AT325">
        <v>324</v>
      </c>
      <c r="AU325" s="62">
        <v>84</v>
      </c>
    </row>
    <row r="326" spans="22:47" x14ac:dyDescent="0.25">
      <c r="V326" s="4" t="s">
        <v>1560</v>
      </c>
      <c r="W326" s="4">
        <v>16</v>
      </c>
      <c r="X326" s="8" t="s">
        <v>1561</v>
      </c>
      <c r="Y326" s="8">
        <f>IF(ISNUMBER(SEARCH(Z326,TalentFlaw)),20,0)</f>
        <v>0</v>
      </c>
      <c r="Z326" s="3" t="str">
        <f t="shared" si="9"/>
        <v>Resistance to Elements (light) IV;</v>
      </c>
      <c r="AT326">
        <v>325</v>
      </c>
      <c r="AU326" s="62">
        <v>84</v>
      </c>
    </row>
    <row r="327" spans="22:47" x14ac:dyDescent="0.25">
      <c r="V327" s="4" t="s">
        <v>1562</v>
      </c>
      <c r="W327" s="4">
        <v>20</v>
      </c>
      <c r="X327" s="8" t="s">
        <v>1563</v>
      </c>
      <c r="Y327" s="8">
        <v>0</v>
      </c>
      <c r="Z327" s="3" t="str">
        <f t="shared" si="9"/>
        <v>Riposte;</v>
      </c>
      <c r="AT327">
        <v>326</v>
      </c>
      <c r="AU327" s="62">
        <v>84</v>
      </c>
    </row>
    <row r="328" spans="22:47" x14ac:dyDescent="0.25">
      <c r="V328" s="4" t="s">
        <v>1564</v>
      </c>
      <c r="W328" s="4">
        <v>20</v>
      </c>
      <c r="X328" s="8" t="s">
        <v>1565</v>
      </c>
      <c r="Y328" s="8">
        <v>0</v>
      </c>
      <c r="Z328" s="3" t="str">
        <f t="shared" si="9"/>
        <v>Scope Skills I;</v>
      </c>
      <c r="AT328">
        <v>327</v>
      </c>
      <c r="AU328" s="62">
        <v>85</v>
      </c>
    </row>
    <row r="329" spans="22:47" x14ac:dyDescent="0.25">
      <c r="V329" s="4" t="s">
        <v>1566</v>
      </c>
      <c r="W329" s="4">
        <v>40</v>
      </c>
      <c r="X329" s="8" t="s">
        <v>1567</v>
      </c>
      <c r="Y329" s="8">
        <v>0</v>
      </c>
      <c r="Z329" s="3" t="str">
        <f t="shared" si="9"/>
        <v>Scope Skills II;</v>
      </c>
      <c r="AT329">
        <v>328</v>
      </c>
      <c r="AU329" s="62">
        <v>85</v>
      </c>
    </row>
    <row r="330" spans="22:47" x14ac:dyDescent="0.25">
      <c r="V330" s="4" t="s">
        <v>1568</v>
      </c>
      <c r="W330" s="4">
        <v>60</v>
      </c>
      <c r="X330" s="8" t="s">
        <v>1569</v>
      </c>
      <c r="Y330" s="8">
        <v>0</v>
      </c>
      <c r="Z330" s="3" t="str">
        <f t="shared" si="9"/>
        <v>Scope Skills III;</v>
      </c>
      <c r="AT330">
        <v>329</v>
      </c>
      <c r="AU330" s="62">
        <v>85</v>
      </c>
    </row>
    <row r="331" spans="22:47" x14ac:dyDescent="0.25">
      <c r="V331" s="4" t="s">
        <v>1570</v>
      </c>
      <c r="W331" s="4">
        <v>20</v>
      </c>
      <c r="X331" s="8" t="s">
        <v>1571</v>
      </c>
      <c r="Y331" s="8">
        <v>0</v>
      </c>
      <c r="Z331" s="3" t="str">
        <f t="shared" si="9"/>
        <v>Sense Weakness;</v>
      </c>
      <c r="AT331">
        <v>330</v>
      </c>
      <c r="AU331" s="62">
        <v>86</v>
      </c>
    </row>
    <row r="332" spans="22:47" x14ac:dyDescent="0.25">
      <c r="V332" s="4" t="s">
        <v>1572</v>
      </c>
      <c r="W332" s="4">
        <v>15</v>
      </c>
      <c r="X332" s="8" t="s">
        <v>1573</v>
      </c>
      <c r="Y332" s="8">
        <f>IF(ISNUMBER(SEARCH(Z332,TalentFlaw)),20,0)</f>
        <v>0</v>
      </c>
      <c r="Z332" s="3" t="str">
        <f t="shared" si="9"/>
        <v>Sight: Eagle;</v>
      </c>
      <c r="AT332">
        <v>331</v>
      </c>
      <c r="AU332" s="62">
        <v>86</v>
      </c>
    </row>
    <row r="333" spans="22:47" x14ac:dyDescent="0.25">
      <c r="V333" s="4" t="s">
        <v>1574</v>
      </c>
      <c r="W333" s="4">
        <v>10</v>
      </c>
      <c r="X333" s="8" t="s">
        <v>1575</v>
      </c>
      <c r="Y333" s="8">
        <f>IF(ISNUMBER(SEARCH(Z333,TalentFlaw)),10,0)</f>
        <v>0</v>
      </c>
      <c r="Z333" s="3" t="str">
        <f t="shared" si="9"/>
        <v>Sight: Gecko;</v>
      </c>
      <c r="AT333">
        <v>332</v>
      </c>
      <c r="AU333" s="62">
        <v>86</v>
      </c>
    </row>
    <row r="334" spans="22:47" x14ac:dyDescent="0.25">
      <c r="V334" s="4" t="s">
        <v>1576</v>
      </c>
      <c r="W334" s="4">
        <v>25</v>
      </c>
      <c r="X334" s="8" t="s">
        <v>1577</v>
      </c>
      <c r="Y334" s="8">
        <v>0</v>
      </c>
      <c r="Z334" s="3" t="str">
        <f t="shared" si="9"/>
        <v>Slow Bleeder I;</v>
      </c>
      <c r="AT334">
        <v>333</v>
      </c>
      <c r="AU334" s="62">
        <v>87</v>
      </c>
    </row>
    <row r="335" spans="22:47" x14ac:dyDescent="0.25">
      <c r="V335" s="4" t="s">
        <v>1578</v>
      </c>
      <c r="W335" s="4">
        <v>50</v>
      </c>
      <c r="X335" s="8" t="s">
        <v>1579</v>
      </c>
      <c r="Y335" s="8">
        <v>0</v>
      </c>
      <c r="Z335" s="3" t="str">
        <f t="shared" si="9"/>
        <v>Slow Bleeder II;</v>
      </c>
      <c r="AT335">
        <v>334</v>
      </c>
      <c r="AU335" s="62">
        <v>87</v>
      </c>
    </row>
    <row r="336" spans="22:47" x14ac:dyDescent="0.25">
      <c r="V336" s="4" t="s">
        <v>1580</v>
      </c>
      <c r="W336" s="4">
        <v>75</v>
      </c>
      <c r="X336" s="8" t="s">
        <v>1581</v>
      </c>
      <c r="Y336" s="8">
        <v>0</v>
      </c>
      <c r="Z336" s="3" t="str">
        <f t="shared" si="9"/>
        <v>Slow Bleeder III;</v>
      </c>
      <c r="AT336">
        <v>335</v>
      </c>
      <c r="AU336" s="62">
        <v>87</v>
      </c>
    </row>
    <row r="337" spans="22:47" x14ac:dyDescent="0.25">
      <c r="V337" s="4" t="s">
        <v>1582</v>
      </c>
      <c r="W337" s="4">
        <v>20</v>
      </c>
      <c r="X337" s="8" t="s">
        <v>1583</v>
      </c>
      <c r="Y337" s="8">
        <f>IF(ISNUMBER(SEARCH(Z337,TalentFlaw)),30,0)</f>
        <v>0</v>
      </c>
      <c r="Z337" s="3" t="str">
        <f t="shared" si="9"/>
        <v>Smell: Dog;</v>
      </c>
      <c r="AT337">
        <v>336</v>
      </c>
      <c r="AU337" s="62">
        <v>88</v>
      </c>
    </row>
    <row r="338" spans="22:47" x14ac:dyDescent="0.25">
      <c r="V338" s="4" t="s">
        <v>1584</v>
      </c>
      <c r="W338" s="4">
        <v>10</v>
      </c>
      <c r="X338" s="8" t="s">
        <v>1585</v>
      </c>
      <c r="Y338" s="8">
        <f>IF(ISNUMBER(SEARCH(Z338,TalentFlaw)),10,0)</f>
        <v>0</v>
      </c>
      <c r="Z338" s="3" t="str">
        <f t="shared" si="9"/>
        <v>Smell: Rat;</v>
      </c>
      <c r="AT338">
        <v>337</v>
      </c>
      <c r="AU338" s="62">
        <v>88</v>
      </c>
    </row>
    <row r="339" spans="22:47" x14ac:dyDescent="0.25">
      <c r="V339" s="4" t="s">
        <v>1586</v>
      </c>
      <c r="W339" s="4">
        <v>10</v>
      </c>
      <c r="X339" s="8" t="s">
        <v>1587</v>
      </c>
      <c r="Y339" s="8">
        <v>0</v>
      </c>
      <c r="Z339" s="3" t="str">
        <f t="shared" si="9"/>
        <v>Spatial Skills I;</v>
      </c>
      <c r="AT339">
        <v>338</v>
      </c>
      <c r="AU339" s="62">
        <v>88</v>
      </c>
    </row>
    <row r="340" spans="22:47" x14ac:dyDescent="0.25">
      <c r="V340" s="4" t="s">
        <v>1588</v>
      </c>
      <c r="W340" s="4">
        <v>20</v>
      </c>
      <c r="X340" s="8" t="s">
        <v>1589</v>
      </c>
      <c r="Y340" s="8">
        <v>0</v>
      </c>
      <c r="Z340" s="3" t="str">
        <f t="shared" si="9"/>
        <v>Spatial Skills II;</v>
      </c>
      <c r="AT340">
        <v>339</v>
      </c>
      <c r="AU340" s="62">
        <v>89</v>
      </c>
    </row>
    <row r="341" spans="22:47" x14ac:dyDescent="0.25">
      <c r="V341" s="4" t="s">
        <v>1590</v>
      </c>
      <c r="W341" s="4">
        <v>30</v>
      </c>
      <c r="X341" s="8" t="s">
        <v>1591</v>
      </c>
      <c r="Y341" s="8">
        <v>0</v>
      </c>
      <c r="Z341" s="3" t="str">
        <f t="shared" si="9"/>
        <v>Spatial Skills III;</v>
      </c>
      <c r="AT341">
        <v>340</v>
      </c>
      <c r="AU341" s="62">
        <v>89</v>
      </c>
    </row>
    <row r="342" spans="22:47" x14ac:dyDescent="0.25">
      <c r="V342" s="4" t="s">
        <v>1592</v>
      </c>
      <c r="W342" s="4">
        <v>10</v>
      </c>
      <c r="X342" s="8" t="s">
        <v>1593</v>
      </c>
      <c r="Y342" s="8">
        <v>0</v>
      </c>
      <c r="Z342" s="3" t="str">
        <f t="shared" si="9"/>
        <v>Subconscious Discipline I;</v>
      </c>
      <c r="AT342">
        <v>341</v>
      </c>
      <c r="AU342" s="62">
        <v>89</v>
      </c>
    </row>
    <row r="343" spans="22:47" x14ac:dyDescent="0.25">
      <c r="V343" s="4" t="s">
        <v>1594</v>
      </c>
      <c r="W343" s="4">
        <v>20</v>
      </c>
      <c r="X343" s="8" t="s">
        <v>1595</v>
      </c>
      <c r="Y343" s="8">
        <v>0</v>
      </c>
      <c r="Z343" s="3" t="str">
        <f t="shared" si="9"/>
        <v>Subconscious Discipline II;</v>
      </c>
      <c r="AT343">
        <v>342</v>
      </c>
      <c r="AU343" s="62">
        <v>90</v>
      </c>
    </row>
    <row r="344" spans="22:47" x14ac:dyDescent="0.25">
      <c r="V344" s="4" t="s">
        <v>1596</v>
      </c>
      <c r="W344" s="4">
        <v>20</v>
      </c>
      <c r="X344" s="8" t="s">
        <v>1597</v>
      </c>
      <c r="Y344" s="8">
        <v>0</v>
      </c>
      <c r="Z344" s="3" t="str">
        <f t="shared" si="9"/>
        <v>Subconscious Preparation;</v>
      </c>
      <c r="AT344">
        <v>343</v>
      </c>
      <c r="AU344" s="62">
        <v>90</v>
      </c>
    </row>
    <row r="345" spans="22:47" x14ac:dyDescent="0.25">
      <c r="V345" s="4" t="s">
        <v>1598</v>
      </c>
      <c r="W345" s="4">
        <v>10</v>
      </c>
      <c r="X345" s="8" t="s">
        <v>1599</v>
      </c>
      <c r="Y345" s="8">
        <v>0</v>
      </c>
      <c r="Z345" s="3" t="str">
        <f t="shared" si="9"/>
        <v>Temporal Skills I;</v>
      </c>
      <c r="AT345">
        <v>344</v>
      </c>
      <c r="AU345" s="62">
        <v>90</v>
      </c>
    </row>
    <row r="346" spans="22:47" x14ac:dyDescent="0.25">
      <c r="V346" s="4" t="s">
        <v>1600</v>
      </c>
      <c r="W346" s="4">
        <v>20</v>
      </c>
      <c r="X346" s="8" t="s">
        <v>1601</v>
      </c>
      <c r="Y346" s="8">
        <v>0</v>
      </c>
      <c r="Z346" s="3" t="str">
        <f t="shared" si="9"/>
        <v>Temporal Skills II;</v>
      </c>
      <c r="AT346">
        <v>345</v>
      </c>
      <c r="AU346" s="62">
        <v>91</v>
      </c>
    </row>
    <row r="347" spans="22:47" x14ac:dyDescent="0.25">
      <c r="V347" s="4" t="s">
        <v>1602</v>
      </c>
      <c r="W347" s="4">
        <v>30</v>
      </c>
      <c r="X347" s="8" t="s">
        <v>1603</v>
      </c>
      <c r="Y347" s="8">
        <v>0</v>
      </c>
      <c r="Z347" s="3" t="str">
        <f t="shared" si="9"/>
        <v>Temporal Skills III;</v>
      </c>
      <c r="AT347">
        <v>346</v>
      </c>
      <c r="AU347" s="62">
        <v>91</v>
      </c>
    </row>
    <row r="348" spans="22:47" x14ac:dyDescent="0.25">
      <c r="V348" s="4" t="s">
        <v>1604</v>
      </c>
      <c r="W348" s="4">
        <v>40</v>
      </c>
      <c r="X348" s="8" t="s">
        <v>1605</v>
      </c>
      <c r="Y348" s="8">
        <v>0</v>
      </c>
      <c r="Z348" s="3" t="str">
        <f t="shared" si="9"/>
        <v>Temporal Skills IV;</v>
      </c>
      <c r="AT348">
        <v>347</v>
      </c>
      <c r="AU348" s="62">
        <v>91</v>
      </c>
    </row>
    <row r="349" spans="22:47" x14ac:dyDescent="0.25">
      <c r="V349" s="4" t="s">
        <v>1606</v>
      </c>
      <c r="W349" s="4">
        <v>15</v>
      </c>
      <c r="X349" s="8" t="s">
        <v>1607</v>
      </c>
      <c r="Y349" s="8">
        <v>0</v>
      </c>
      <c r="Z349" s="3" t="str">
        <f t="shared" si="9"/>
        <v>Tetrachromatic Vision;</v>
      </c>
      <c r="AT349">
        <v>348</v>
      </c>
      <c r="AU349" s="62">
        <v>92</v>
      </c>
    </row>
    <row r="350" spans="22:47" x14ac:dyDescent="0.25">
      <c r="V350" s="4" t="s">
        <v>1608</v>
      </c>
      <c r="W350" s="4">
        <v>5</v>
      </c>
      <c r="X350" s="8" t="s">
        <v>1609</v>
      </c>
      <c r="Y350" s="8">
        <v>0</v>
      </c>
      <c r="Z350" s="3" t="str">
        <f t="shared" si="9"/>
        <v>Third Eyelid;</v>
      </c>
      <c r="AT350">
        <v>349</v>
      </c>
      <c r="AU350" s="62">
        <v>92</v>
      </c>
    </row>
    <row r="351" spans="22:47" x14ac:dyDescent="0.25">
      <c r="V351" s="4" t="s">
        <v>1610</v>
      </c>
      <c r="W351" s="4">
        <v>3</v>
      </c>
      <c r="X351" s="8" t="s">
        <v>1611</v>
      </c>
      <c r="Y351" s="8">
        <f>IF(ISNUMBER(SEARCH(Z351,TalentFlaw)),5,0)</f>
        <v>0</v>
      </c>
      <c r="Z351" s="3" t="str">
        <f t="shared" si="9"/>
        <v>Tough I;</v>
      </c>
      <c r="AT351">
        <v>350</v>
      </c>
      <c r="AU351" s="62">
        <v>92</v>
      </c>
    </row>
    <row r="352" spans="22:47" x14ac:dyDescent="0.25">
      <c r="V352" s="4" t="s">
        <v>1612</v>
      </c>
      <c r="W352" s="4">
        <v>6</v>
      </c>
      <c r="X352" s="8" t="s">
        <v>1613</v>
      </c>
      <c r="Y352" s="8">
        <f>IF(ISNUMBER(SEARCH(Z352,TalentFlaw)),10,0)</f>
        <v>0</v>
      </c>
      <c r="Z352" s="3" t="str">
        <f t="shared" si="9"/>
        <v>Tough II;</v>
      </c>
      <c r="AT352">
        <v>351</v>
      </c>
      <c r="AU352" s="62">
        <v>93</v>
      </c>
    </row>
    <row r="353" spans="22:47" x14ac:dyDescent="0.25">
      <c r="V353" s="4" t="s">
        <v>1614</v>
      </c>
      <c r="W353" s="4">
        <v>9</v>
      </c>
      <c r="X353" s="8" t="s">
        <v>1615</v>
      </c>
      <c r="Y353" s="8">
        <f>IF(ISNUMBER(SEARCH(Z353,TalentFlaw)),15,0)</f>
        <v>0</v>
      </c>
      <c r="Z353" s="3" t="str">
        <f t="shared" si="9"/>
        <v>Tough III;</v>
      </c>
      <c r="AT353">
        <v>352</v>
      </c>
      <c r="AU353" s="62">
        <v>93</v>
      </c>
    </row>
    <row r="354" spans="22:47" x14ac:dyDescent="0.25">
      <c r="V354" s="4" t="s">
        <v>1616</v>
      </c>
      <c r="W354" s="4">
        <v>12</v>
      </c>
      <c r="X354" s="8" t="s">
        <v>1617</v>
      </c>
      <c r="Y354" s="8">
        <f>IF(ISNUMBER(SEARCH(Z354,TalentFlaw)),20,0)</f>
        <v>0</v>
      </c>
      <c r="Z354" s="3" t="str">
        <f t="shared" si="9"/>
        <v>Tough IV;</v>
      </c>
      <c r="AT354">
        <v>353</v>
      </c>
      <c r="AU354" s="62">
        <v>93</v>
      </c>
    </row>
    <row r="355" spans="22:47" x14ac:dyDescent="0.25">
      <c r="V355" s="4" t="s">
        <v>1618</v>
      </c>
      <c r="W355" s="4">
        <v>15</v>
      </c>
      <c r="X355" s="8" t="s">
        <v>1619</v>
      </c>
      <c r="Y355" s="8">
        <f>IF(ISNUMBER(SEARCH(Z355,TalentFlaw)),25,0)</f>
        <v>0</v>
      </c>
      <c r="Z355" s="3" t="str">
        <f t="shared" si="9"/>
        <v>Tough V;</v>
      </c>
      <c r="AT355">
        <v>354</v>
      </c>
      <c r="AU355" s="62">
        <v>94</v>
      </c>
    </row>
    <row r="356" spans="22:47" x14ac:dyDescent="0.25">
      <c r="V356" s="4" t="s">
        <v>1620</v>
      </c>
      <c r="W356" s="4">
        <v>5</v>
      </c>
      <c r="X356" s="8" t="s">
        <v>1621</v>
      </c>
      <c r="Y356" s="8">
        <v>0</v>
      </c>
      <c r="Z356" s="3" t="str">
        <f t="shared" si="9"/>
        <v>Vestigial Wings;</v>
      </c>
      <c r="AT356">
        <v>355</v>
      </c>
      <c r="AU356" s="62">
        <v>94</v>
      </c>
    </row>
    <row r="357" spans="22:47" x14ac:dyDescent="0.25">
      <c r="V357" s="4" t="s">
        <v>1622</v>
      </c>
      <c r="W357" s="4">
        <v>5</v>
      </c>
      <c r="X357" s="8" t="s">
        <v>1623</v>
      </c>
      <c r="Y357" s="8">
        <f>IF(ISNUMBER(SEARCH(Z357,TalentFlaw)),10,0)</f>
        <v>0</v>
      </c>
      <c r="Z357" s="3" t="str">
        <f t="shared" si="9"/>
        <v>Vigorous I;</v>
      </c>
      <c r="AT357">
        <v>356</v>
      </c>
      <c r="AU357" s="62">
        <v>94</v>
      </c>
    </row>
    <row r="358" spans="22:47" x14ac:dyDescent="0.25">
      <c r="V358" s="4" t="s">
        <v>1624</v>
      </c>
      <c r="W358" s="4">
        <v>10</v>
      </c>
      <c r="X358" s="8" t="s">
        <v>1625</v>
      </c>
      <c r="Y358" s="8">
        <f>IF(ISNUMBER(SEARCH(Z358,TalentFlaw)),20,0)</f>
        <v>0</v>
      </c>
      <c r="Z358" s="3" t="str">
        <f t="shared" si="9"/>
        <v>Vigorous II;</v>
      </c>
      <c r="AT358">
        <v>357</v>
      </c>
      <c r="AU358" s="62">
        <v>95</v>
      </c>
    </row>
    <row r="359" spans="22:47" x14ac:dyDescent="0.25">
      <c r="V359" s="4" t="s">
        <v>1626</v>
      </c>
      <c r="W359" s="4">
        <v>15</v>
      </c>
      <c r="X359" s="8" t="s">
        <v>1627</v>
      </c>
      <c r="Y359" s="8">
        <f>IF(ISNUMBER(SEARCH(Z359,TalentFlaw)),30,0)</f>
        <v>0</v>
      </c>
      <c r="Z359" s="3" t="str">
        <f t="shared" si="9"/>
        <v>Vigorous III;</v>
      </c>
      <c r="AT359">
        <v>358</v>
      </c>
      <c r="AU359" s="62">
        <v>95</v>
      </c>
    </row>
    <row r="360" spans="22:47" x14ac:dyDescent="0.25">
      <c r="V360" s="4" t="s">
        <v>1628</v>
      </c>
      <c r="W360" s="4">
        <v>20</v>
      </c>
      <c r="X360" s="8" t="s">
        <v>1629</v>
      </c>
      <c r="Y360" s="8">
        <f>IF(ISNUMBER(SEARCH(Z360,TalentFlaw)),40,0)</f>
        <v>0</v>
      </c>
      <c r="Z360" s="3" t="str">
        <f t="shared" si="9"/>
        <v>Vigorous IV;</v>
      </c>
      <c r="AT360">
        <v>359</v>
      </c>
      <c r="AU360" s="62">
        <v>95</v>
      </c>
    </row>
    <row r="361" spans="22:47" x14ac:dyDescent="0.25">
      <c r="V361" s="4" t="s">
        <v>1630</v>
      </c>
      <c r="W361" s="4">
        <v>25</v>
      </c>
      <c r="X361" s="8" t="s">
        <v>1631</v>
      </c>
      <c r="Y361" s="8">
        <f>IF(ISNUMBER(SEARCH(Z361,TalentFlaw)),50,0)</f>
        <v>0</v>
      </c>
      <c r="Z361" s="3" t="str">
        <f t="shared" si="9"/>
        <v>Vigorous V;</v>
      </c>
      <c r="AT361">
        <v>360</v>
      </c>
      <c r="AU361" s="62">
        <v>96</v>
      </c>
    </row>
    <row r="362" spans="22:47" x14ac:dyDescent="0.25">
      <c r="V362" s="4" t="s">
        <v>925</v>
      </c>
      <c r="W362" s="4">
        <v>5</v>
      </c>
      <c r="X362" s="8" t="s">
        <v>1632</v>
      </c>
      <c r="Y362" s="8">
        <f>IF(ISNUMBER(SEARCH(Z362,TalentFlaw)),10,0)</f>
        <v>0</v>
      </c>
      <c r="Z362" s="3" t="str">
        <f t="shared" si="9"/>
        <v>Vigorous: Cold I;</v>
      </c>
      <c r="AT362">
        <v>361</v>
      </c>
      <c r="AU362" s="62">
        <v>96</v>
      </c>
    </row>
    <row r="363" spans="22:47" x14ac:dyDescent="0.25">
      <c r="V363" s="4" t="s">
        <v>1633</v>
      </c>
      <c r="W363" s="4">
        <v>10</v>
      </c>
      <c r="X363" s="8" t="s">
        <v>1634</v>
      </c>
      <c r="Y363" s="8">
        <f>IF(ISNUMBER(SEARCH(Z363,TalentFlaw)),20,0)</f>
        <v>0</v>
      </c>
      <c r="Z363" s="3" t="str">
        <f t="shared" si="9"/>
        <v>Vigorous: Cold II;</v>
      </c>
      <c r="AT363">
        <v>362</v>
      </c>
      <c r="AU363" s="62">
        <v>96</v>
      </c>
    </row>
    <row r="364" spans="22:47" x14ac:dyDescent="0.25">
      <c r="V364" s="4" t="s">
        <v>1635</v>
      </c>
      <c r="W364" s="4">
        <v>15</v>
      </c>
      <c r="X364" s="8" t="s">
        <v>1636</v>
      </c>
      <c r="Y364" s="8">
        <f>IF(ISNUMBER(SEARCH(Z364,TalentFlaw)),30,0)</f>
        <v>0</v>
      </c>
      <c r="Z364" s="3" t="str">
        <f t="shared" si="9"/>
        <v>Vigorous: Cold III;</v>
      </c>
      <c r="AT364">
        <v>363</v>
      </c>
      <c r="AU364" s="62">
        <v>97</v>
      </c>
    </row>
    <row r="365" spans="22:47" x14ac:dyDescent="0.25">
      <c r="V365" s="4" t="s">
        <v>1637</v>
      </c>
      <c r="W365" s="4">
        <v>20</v>
      </c>
      <c r="X365" s="8" t="s">
        <v>1638</v>
      </c>
      <c r="Y365" s="8">
        <f>IF(ISNUMBER(SEARCH(Z365,TalentFlaw)),40,0)</f>
        <v>0</v>
      </c>
      <c r="Z365" s="3" t="str">
        <f t="shared" si="9"/>
        <v>Vigorous: Cold IV;</v>
      </c>
      <c r="AT365">
        <v>364</v>
      </c>
      <c r="AU365" s="62">
        <v>97</v>
      </c>
    </row>
    <row r="366" spans="22:47" x14ac:dyDescent="0.25">
      <c r="V366" s="4" t="s">
        <v>1639</v>
      </c>
      <c r="W366" s="4">
        <v>25</v>
      </c>
      <c r="X366" s="8" t="s">
        <v>1640</v>
      </c>
      <c r="Y366" s="8">
        <f>IF(ISNUMBER(SEARCH(Z366,TalentFlaw)),50,0)</f>
        <v>0</v>
      </c>
      <c r="Z366" s="3" t="str">
        <f t="shared" si="9"/>
        <v>Vigorous: Cold V;</v>
      </c>
      <c r="AT366">
        <v>365</v>
      </c>
      <c r="AU366" s="62">
        <v>97</v>
      </c>
    </row>
    <row r="367" spans="22:47" x14ac:dyDescent="0.25">
      <c r="V367" s="4" t="s">
        <v>926</v>
      </c>
      <c r="W367" s="4">
        <v>5</v>
      </c>
      <c r="X367" s="11" t="s">
        <v>1938</v>
      </c>
      <c r="Y367" s="8">
        <f>IF(ISNUMBER(SEARCH(Z367,TalentFlaw)),10,0)</f>
        <v>0</v>
      </c>
      <c r="Z367" s="3" t="str">
        <f t="shared" si="9"/>
        <v>Vigorous: Heat I;</v>
      </c>
      <c r="AT367">
        <v>366</v>
      </c>
      <c r="AU367" s="62">
        <v>98</v>
      </c>
    </row>
    <row r="368" spans="22:47" x14ac:dyDescent="0.25">
      <c r="V368" s="4" t="s">
        <v>1934</v>
      </c>
      <c r="W368" s="4">
        <v>10</v>
      </c>
      <c r="X368" s="11" t="s">
        <v>1939</v>
      </c>
      <c r="Y368" s="8">
        <f>IF(ISNUMBER(SEARCH(Z368,TalentFlaw)),20,0)</f>
        <v>0</v>
      </c>
      <c r="Z368" s="3" t="str">
        <f t="shared" si="9"/>
        <v>Vigorous: Heat II;</v>
      </c>
      <c r="AT368">
        <v>367</v>
      </c>
      <c r="AU368" s="62">
        <v>98</v>
      </c>
    </row>
    <row r="369" spans="22:47" x14ac:dyDescent="0.25">
      <c r="V369" s="4" t="s">
        <v>1935</v>
      </c>
      <c r="W369" s="4">
        <v>15</v>
      </c>
      <c r="X369" s="11" t="s">
        <v>1940</v>
      </c>
      <c r="Y369" s="8">
        <f>IF(ISNUMBER(SEARCH(Z369,TalentFlaw)),30,0)</f>
        <v>0</v>
      </c>
      <c r="Z369" s="3" t="str">
        <f t="shared" si="9"/>
        <v>Vigorous: Heat III;</v>
      </c>
      <c r="AT369">
        <v>368</v>
      </c>
      <c r="AU369" s="62">
        <v>98</v>
      </c>
    </row>
    <row r="370" spans="22:47" x14ac:dyDescent="0.25">
      <c r="V370" s="4" t="s">
        <v>1936</v>
      </c>
      <c r="W370" s="4">
        <v>20</v>
      </c>
      <c r="X370" s="11" t="s">
        <v>1941</v>
      </c>
      <c r="Y370" s="8">
        <f>IF(ISNUMBER(SEARCH(Z370,TalentFlaw)),40,0)</f>
        <v>0</v>
      </c>
      <c r="Z370" s="3" t="str">
        <f t="shared" si="9"/>
        <v>Vigorous: Heat IV;</v>
      </c>
      <c r="AT370">
        <v>369</v>
      </c>
      <c r="AU370" s="62">
        <v>99</v>
      </c>
    </row>
    <row r="371" spans="22:47" x14ac:dyDescent="0.25">
      <c r="V371" s="4" t="s">
        <v>1937</v>
      </c>
      <c r="W371" s="4">
        <v>25</v>
      </c>
      <c r="X371" s="11" t="s">
        <v>1942</v>
      </c>
      <c r="Y371" s="8">
        <f>IF(ISNUMBER(SEARCH(Z371,TalentFlaw)),50,0)</f>
        <v>0</v>
      </c>
      <c r="Z371" s="3" t="str">
        <f t="shared" si="9"/>
        <v>Vigorous: Heat V;</v>
      </c>
      <c r="AT371">
        <v>370</v>
      </c>
      <c r="AU371" s="62">
        <v>99</v>
      </c>
    </row>
    <row r="372" spans="22:47" x14ac:dyDescent="0.25">
      <c r="V372" s="4" t="s">
        <v>1641</v>
      </c>
      <c r="W372" s="4">
        <v>5</v>
      </c>
      <c r="X372" s="8" t="s">
        <v>1642</v>
      </c>
      <c r="Y372" s="8">
        <f>IF(ISNUMBER(SEARCH(Z372,TalentFlaw)),10,0)</f>
        <v>0</v>
      </c>
      <c r="Z372" s="3" t="str">
        <f t="shared" si="9"/>
        <v>Vigorous: Horse Riding I;</v>
      </c>
      <c r="AT372">
        <v>371</v>
      </c>
      <c r="AU372" s="62">
        <v>99</v>
      </c>
    </row>
    <row r="373" spans="22:47" x14ac:dyDescent="0.25">
      <c r="V373" s="4" t="s">
        <v>1643</v>
      </c>
      <c r="W373" s="4">
        <v>10</v>
      </c>
      <c r="X373" s="8" t="s">
        <v>1644</v>
      </c>
      <c r="Y373" s="8">
        <f>IF(ISNUMBER(SEARCH(Z373,TalentFlaw)),20,0)</f>
        <v>0</v>
      </c>
      <c r="Z373" s="3" t="str">
        <f t="shared" si="9"/>
        <v>Vigorous: Horse Riding II;</v>
      </c>
      <c r="AT373">
        <v>372</v>
      </c>
      <c r="AU373" s="62">
        <v>100</v>
      </c>
    </row>
    <row r="374" spans="22:47" x14ac:dyDescent="0.25">
      <c r="V374" s="4" t="s">
        <v>1645</v>
      </c>
      <c r="W374" s="4">
        <v>15</v>
      </c>
      <c r="X374" s="8" t="s">
        <v>1646</v>
      </c>
      <c r="Y374" s="8">
        <f>IF(ISNUMBER(SEARCH(Z374,TalentFlaw)),30,0)</f>
        <v>0</v>
      </c>
      <c r="Z374" s="3" t="str">
        <f t="shared" si="9"/>
        <v>Vigorous: Horse Riding III;</v>
      </c>
      <c r="AT374">
        <v>373</v>
      </c>
      <c r="AU374" s="62">
        <v>100</v>
      </c>
    </row>
    <row r="375" spans="22:47" x14ac:dyDescent="0.25">
      <c r="V375" s="4" t="s">
        <v>1647</v>
      </c>
      <c r="W375" s="4">
        <v>20</v>
      </c>
      <c r="X375" s="8" t="s">
        <v>1648</v>
      </c>
      <c r="Y375" s="8">
        <f>IF(ISNUMBER(SEARCH(Z375,TalentFlaw)),40,0)</f>
        <v>0</v>
      </c>
      <c r="Z375" s="3" t="str">
        <f t="shared" si="9"/>
        <v>Vigorous: Horse Riding IV;</v>
      </c>
      <c r="AT375">
        <v>374</v>
      </c>
      <c r="AU375" s="62">
        <v>100</v>
      </c>
    </row>
    <row r="376" spans="22:47" x14ac:dyDescent="0.25">
      <c r="V376" s="4" t="s">
        <v>1649</v>
      </c>
      <c r="W376" s="4">
        <v>25</v>
      </c>
      <c r="X376" s="8" t="s">
        <v>1650</v>
      </c>
      <c r="Y376" s="8">
        <f>IF(ISNUMBER(SEARCH(Z376,TalentFlaw)),50,0)</f>
        <v>0</v>
      </c>
      <c r="Z376" s="3" t="str">
        <f t="shared" si="9"/>
        <v>Vigorous: Horse Riding V;</v>
      </c>
      <c r="AT376">
        <v>375</v>
      </c>
      <c r="AU376" s="62">
        <v>101</v>
      </c>
    </row>
    <row r="377" spans="22:47" x14ac:dyDescent="0.25">
      <c r="V377" s="4" t="s">
        <v>1651</v>
      </c>
      <c r="W377" s="4">
        <v>30</v>
      </c>
      <c r="X377" s="8" t="s">
        <v>1652</v>
      </c>
      <c r="Y377" s="8">
        <v>0</v>
      </c>
      <c r="Z377" s="3" t="str">
        <f t="shared" si="9"/>
        <v>Visions I;</v>
      </c>
      <c r="AT377">
        <v>376</v>
      </c>
      <c r="AU377" s="62">
        <v>101</v>
      </c>
    </row>
    <row r="378" spans="22:47" x14ac:dyDescent="0.25">
      <c r="V378" s="4" t="s">
        <v>1653</v>
      </c>
      <c r="W378" s="4">
        <v>40</v>
      </c>
      <c r="X378" s="8" t="s">
        <v>1654</v>
      </c>
      <c r="Y378" s="8">
        <v>0</v>
      </c>
      <c r="Z378" s="3" t="str">
        <f t="shared" si="9"/>
        <v>Visions II;</v>
      </c>
      <c r="AT378">
        <v>377</v>
      </c>
      <c r="AU378" s="62">
        <v>101</v>
      </c>
    </row>
    <row r="379" spans="22:47" x14ac:dyDescent="0.25">
      <c r="V379" s="4" t="s">
        <v>1655</v>
      </c>
      <c r="W379" s="4">
        <v>50</v>
      </c>
      <c r="X379" s="8" t="s">
        <v>1656</v>
      </c>
      <c r="Y379" s="8">
        <v>0</v>
      </c>
      <c r="Z379" s="3" t="str">
        <f t="shared" si="9"/>
        <v>Visions III;</v>
      </c>
      <c r="AT379">
        <v>378</v>
      </c>
      <c r="AU379" s="62">
        <v>102</v>
      </c>
    </row>
    <row r="380" spans="22:47" x14ac:dyDescent="0.25">
      <c r="V380" s="4" t="s">
        <v>1657</v>
      </c>
      <c r="W380" s="4">
        <v>20</v>
      </c>
      <c r="X380" s="8" t="s">
        <v>1658</v>
      </c>
      <c r="Y380" s="8">
        <v>0</v>
      </c>
      <c r="Z380" s="3" t="str">
        <f t="shared" si="9"/>
        <v>Wings, feathered;</v>
      </c>
      <c r="AT380">
        <v>379</v>
      </c>
      <c r="AU380" s="62">
        <v>102</v>
      </c>
    </row>
    <row r="381" spans="22:47" x14ac:dyDescent="0.25">
      <c r="V381" s="4" t="s">
        <v>1659</v>
      </c>
      <c r="W381" s="4">
        <v>-10</v>
      </c>
      <c r="X381" s="8" t="s">
        <v>1660</v>
      </c>
      <c r="Y381" s="8">
        <v>0</v>
      </c>
      <c r="Z381" s="3" t="str">
        <f t="shared" si="9"/>
        <v>Animalistic;</v>
      </c>
      <c r="AT381">
        <v>380</v>
      </c>
      <c r="AU381" s="62">
        <v>102</v>
      </c>
    </row>
    <row r="382" spans="22:47" x14ac:dyDescent="0.25">
      <c r="V382" s="4" t="s">
        <v>1661</v>
      </c>
      <c r="W382" s="4">
        <v>-10</v>
      </c>
      <c r="X382" s="8" t="s">
        <v>1662</v>
      </c>
      <c r="Y382" s="8">
        <f>IF(ISNUMBER(SEARCH(Z382,TalentFlaw)),-25,0)</f>
        <v>0</v>
      </c>
      <c r="Z382" s="3" t="str">
        <f t="shared" si="9"/>
        <v>Dense;</v>
      </c>
      <c r="AT382">
        <v>381</v>
      </c>
      <c r="AU382" s="62">
        <v>103</v>
      </c>
    </row>
    <row r="383" spans="22:47" x14ac:dyDescent="0.25">
      <c r="V383" s="4" t="s">
        <v>1663</v>
      </c>
      <c r="W383" s="4">
        <v>-10</v>
      </c>
      <c r="X383" s="8" t="s">
        <v>1664</v>
      </c>
      <c r="Y383" s="8">
        <v>0</v>
      </c>
      <c r="Z383" s="3" t="str">
        <f t="shared" si="9"/>
        <v>Distinct Odor;</v>
      </c>
      <c r="AT383">
        <v>382</v>
      </c>
      <c r="AU383" s="62">
        <v>103</v>
      </c>
    </row>
    <row r="384" spans="22:47" x14ac:dyDescent="0.25">
      <c r="V384" s="4" t="s">
        <v>1665</v>
      </c>
      <c r="W384" s="4">
        <v>-10</v>
      </c>
      <c r="X384" s="8" t="s">
        <v>1666</v>
      </c>
      <c r="Y384" s="8">
        <f>IF(ISNUMBER(SEARCH(Z384,TalentFlaw)),-20,0)</f>
        <v>0</v>
      </c>
      <c r="Z384" s="3" t="str">
        <f t="shared" si="9"/>
        <v>Disturbing Voice I;</v>
      </c>
      <c r="AT384">
        <v>383</v>
      </c>
      <c r="AU384" s="62">
        <v>103</v>
      </c>
    </row>
    <row r="385" spans="22:47" x14ac:dyDescent="0.25">
      <c r="V385" s="4" t="s">
        <v>1667</v>
      </c>
      <c r="W385" s="4">
        <v>-20</v>
      </c>
      <c r="X385" s="8" t="s">
        <v>1668</v>
      </c>
      <c r="Y385" s="8">
        <f>IF(ISNUMBER(SEARCH(Z385,TalentFlaw)),-40,0)</f>
        <v>0</v>
      </c>
      <c r="Z385" s="3" t="str">
        <f t="shared" si="9"/>
        <v>Disturbing Voice II;</v>
      </c>
      <c r="AT385">
        <v>384</v>
      </c>
      <c r="AU385" s="62">
        <v>104</v>
      </c>
    </row>
    <row r="386" spans="22:47" x14ac:dyDescent="0.25">
      <c r="V386" s="4" t="s">
        <v>1669</v>
      </c>
      <c r="W386" s="4">
        <v>-30</v>
      </c>
      <c r="X386" s="8" t="s">
        <v>1670</v>
      </c>
      <c r="Y386" s="8">
        <f>IF(ISNUMBER(SEARCH(Z386,TalentFlaw)),-60,0)</f>
        <v>0</v>
      </c>
      <c r="Z386" s="3" t="str">
        <f t="shared" si="9"/>
        <v>Disturbing Voice III;</v>
      </c>
      <c r="AT386">
        <v>385</v>
      </c>
      <c r="AU386" s="62">
        <v>104</v>
      </c>
    </row>
    <row r="387" spans="22:47" x14ac:dyDescent="0.25">
      <c r="V387" s="4" t="s">
        <v>1671</v>
      </c>
      <c r="W387" s="4">
        <v>-20</v>
      </c>
      <c r="X387" s="8" t="s">
        <v>1672</v>
      </c>
      <c r="Y387" s="8">
        <v>0</v>
      </c>
      <c r="Z387" s="3" t="str">
        <f t="shared" ref="Z387:Z450" si="10">V387&amp;";"</f>
        <v>Elemental Vulnerability (cold);</v>
      </c>
      <c r="AT387">
        <v>386</v>
      </c>
      <c r="AU387" s="62">
        <v>104</v>
      </c>
    </row>
    <row r="388" spans="22:47" x14ac:dyDescent="0.25">
      <c r="V388" s="4" t="s">
        <v>1673</v>
      </c>
      <c r="W388" s="4">
        <v>-20</v>
      </c>
      <c r="X388" s="8" t="s">
        <v>1674</v>
      </c>
      <c r="Y388" s="8">
        <v>0</v>
      </c>
      <c r="Z388" s="3" t="str">
        <f t="shared" si="10"/>
        <v>Elemental Vulnerability (heat);</v>
      </c>
      <c r="AT388">
        <v>387</v>
      </c>
      <c r="AU388" s="62">
        <v>105</v>
      </c>
    </row>
    <row r="389" spans="22:47" x14ac:dyDescent="0.25">
      <c r="V389" s="4" t="s">
        <v>1675</v>
      </c>
      <c r="W389" s="4">
        <v>-20</v>
      </c>
      <c r="X389" s="8" t="s">
        <v>1676</v>
      </c>
      <c r="Y389" s="8">
        <v>0</v>
      </c>
      <c r="Z389" s="3" t="str">
        <f t="shared" si="10"/>
        <v>Elemental Vulnerability (light);</v>
      </c>
      <c r="AT389">
        <v>388</v>
      </c>
      <c r="AU389" s="62">
        <v>105</v>
      </c>
    </row>
    <row r="390" spans="22:47" x14ac:dyDescent="0.25">
      <c r="V390" s="4" t="s">
        <v>1677</v>
      </c>
      <c r="W390" s="4">
        <v>-10</v>
      </c>
      <c r="X390" s="8" t="s">
        <v>1678</v>
      </c>
      <c r="Y390" s="8">
        <v>0</v>
      </c>
      <c r="Z390" s="3" t="str">
        <f t="shared" si="10"/>
        <v>Fear of Daylight;</v>
      </c>
      <c r="AT390">
        <v>389</v>
      </c>
      <c r="AU390" s="62">
        <v>105</v>
      </c>
    </row>
    <row r="391" spans="22:47" x14ac:dyDescent="0.25">
      <c r="V391" s="4" t="s">
        <v>1679</v>
      </c>
      <c r="W391" s="4">
        <v>-5</v>
      </c>
      <c r="X391" s="8" t="s">
        <v>1680</v>
      </c>
      <c r="Y391" s="8">
        <f>IF(ISNUMBER(SEARCH(Z391,TalentFlaw)),-10,0)</f>
        <v>0</v>
      </c>
      <c r="Z391" s="3" t="str">
        <f t="shared" si="10"/>
        <v>Feeble I;</v>
      </c>
      <c r="AT391">
        <v>390</v>
      </c>
      <c r="AU391" s="62">
        <v>106</v>
      </c>
    </row>
    <row r="392" spans="22:47" x14ac:dyDescent="0.25">
      <c r="V392" s="4" t="s">
        <v>1681</v>
      </c>
      <c r="W392" s="4">
        <v>-10</v>
      </c>
      <c r="X392" s="8" t="s">
        <v>1682</v>
      </c>
      <c r="Y392" s="8">
        <f>IF(ISNUMBER(SEARCH(Z392,TalentFlaw)),-20,0)</f>
        <v>0</v>
      </c>
      <c r="Z392" s="3" t="str">
        <f t="shared" si="10"/>
        <v>Feeble II;</v>
      </c>
      <c r="AT392">
        <v>391</v>
      </c>
      <c r="AU392" s="62">
        <v>106</v>
      </c>
    </row>
    <row r="393" spans="22:47" x14ac:dyDescent="0.25">
      <c r="V393" s="4" t="s">
        <v>1683</v>
      </c>
      <c r="W393" s="4">
        <v>-15</v>
      </c>
      <c r="X393" s="8" t="s">
        <v>1684</v>
      </c>
      <c r="Y393" s="8">
        <f>IF(ISNUMBER(SEARCH(Z393,TalentFlaw)),-30,0)</f>
        <v>0</v>
      </c>
      <c r="Z393" s="3" t="str">
        <f t="shared" si="10"/>
        <v>Feeble III;</v>
      </c>
      <c r="AT393">
        <v>392</v>
      </c>
      <c r="AU393" s="62">
        <v>106</v>
      </c>
    </row>
    <row r="394" spans="22:47" x14ac:dyDescent="0.25">
      <c r="V394" s="4" t="s">
        <v>1685</v>
      </c>
      <c r="W394" s="4">
        <v>-20</v>
      </c>
      <c r="X394" s="8" t="s">
        <v>1686</v>
      </c>
      <c r="Y394" s="8">
        <f>IF(ISNUMBER(SEARCH(Z394,TalentFlaw)),-40,0)</f>
        <v>0</v>
      </c>
      <c r="Z394" s="3" t="str">
        <f t="shared" si="10"/>
        <v>Feeble IV;</v>
      </c>
      <c r="AT394">
        <v>393</v>
      </c>
      <c r="AU394" s="62">
        <v>107</v>
      </c>
    </row>
    <row r="395" spans="22:47" x14ac:dyDescent="0.25">
      <c r="V395" s="4" t="s">
        <v>1687</v>
      </c>
      <c r="W395" s="4">
        <v>-25</v>
      </c>
      <c r="X395" s="8" t="s">
        <v>1688</v>
      </c>
      <c r="Y395" s="8">
        <f>IF(ISNUMBER(SEARCH(Z395,TalentFlaw)),-50,0)</f>
        <v>0</v>
      </c>
      <c r="Z395" s="3" t="str">
        <f t="shared" si="10"/>
        <v>Feeble V;</v>
      </c>
      <c r="AT395">
        <v>394</v>
      </c>
      <c r="AU395" s="62">
        <v>107</v>
      </c>
    </row>
    <row r="396" spans="22:47" x14ac:dyDescent="0.25">
      <c r="V396" s="4" t="s">
        <v>1689</v>
      </c>
      <c r="W396" s="4">
        <v>-3</v>
      </c>
      <c r="X396" s="8" t="s">
        <v>1690</v>
      </c>
      <c r="Y396" s="8">
        <f>IF(ISNUMBER(SEARCH(Z396,TalentFlaw)),-10,0)</f>
        <v>0</v>
      </c>
      <c r="Z396" s="3" t="str">
        <f t="shared" si="10"/>
        <v>Feeble: Cold I;</v>
      </c>
      <c r="AT396">
        <v>395</v>
      </c>
      <c r="AU396" s="62">
        <v>107</v>
      </c>
    </row>
    <row r="397" spans="22:47" x14ac:dyDescent="0.25">
      <c r="V397" s="4" t="s">
        <v>1691</v>
      </c>
      <c r="W397" s="4">
        <v>-5</v>
      </c>
      <c r="X397" s="8" t="s">
        <v>1692</v>
      </c>
      <c r="Y397" s="8">
        <f>IF(ISNUMBER(SEARCH(Z397,TalentFlaw)),-20,0)</f>
        <v>0</v>
      </c>
      <c r="Z397" s="3" t="str">
        <f t="shared" si="10"/>
        <v>Feeble: Cold II;</v>
      </c>
      <c r="AT397">
        <v>396</v>
      </c>
      <c r="AU397" s="62">
        <v>108</v>
      </c>
    </row>
    <row r="398" spans="22:47" x14ac:dyDescent="0.25">
      <c r="V398" s="4" t="s">
        <v>1693</v>
      </c>
      <c r="W398" s="4">
        <v>-8</v>
      </c>
      <c r="X398" s="8" t="s">
        <v>1694</v>
      </c>
      <c r="Y398" s="8">
        <f>IF(ISNUMBER(SEARCH(Z398,TalentFlaw)),-30,0)</f>
        <v>0</v>
      </c>
      <c r="Z398" s="3" t="str">
        <f t="shared" si="10"/>
        <v>Feeble: Cold III;</v>
      </c>
      <c r="AT398">
        <v>397</v>
      </c>
      <c r="AU398" s="62">
        <v>108</v>
      </c>
    </row>
    <row r="399" spans="22:47" x14ac:dyDescent="0.25">
      <c r="V399" s="4" t="s">
        <v>1695</v>
      </c>
      <c r="W399" s="4">
        <v>-10</v>
      </c>
      <c r="X399" s="8" t="s">
        <v>1696</v>
      </c>
      <c r="Y399" s="8">
        <f>IF(ISNUMBER(SEARCH(Z399,TalentFlaw)),-40,0)</f>
        <v>0</v>
      </c>
      <c r="Z399" s="3" t="str">
        <f t="shared" si="10"/>
        <v>Feeble: Cold IV;</v>
      </c>
      <c r="AT399">
        <v>398</v>
      </c>
      <c r="AU399" s="62">
        <v>108</v>
      </c>
    </row>
    <row r="400" spans="22:47" x14ac:dyDescent="0.25">
      <c r="V400" s="4" t="s">
        <v>1697</v>
      </c>
      <c r="W400" s="4">
        <v>-13</v>
      </c>
      <c r="X400" s="8" t="s">
        <v>1698</v>
      </c>
      <c r="Y400" s="8">
        <f>IF(ISNUMBER(SEARCH(Z400,TalentFlaw)),-50,0)</f>
        <v>0</v>
      </c>
      <c r="Z400" s="3" t="str">
        <f t="shared" si="10"/>
        <v>Feeble: Cold V;</v>
      </c>
      <c r="AT400">
        <v>399</v>
      </c>
      <c r="AU400" s="62">
        <v>109</v>
      </c>
    </row>
    <row r="401" spans="22:47" x14ac:dyDescent="0.25">
      <c r="V401" s="4" t="s">
        <v>1699</v>
      </c>
      <c r="W401" s="4">
        <v>-3</v>
      </c>
      <c r="X401" s="8" t="s">
        <v>1700</v>
      </c>
      <c r="Y401" s="8">
        <f>IF(ISNUMBER(SEARCH(Z401,TalentFlaw)),-10,0)</f>
        <v>0</v>
      </c>
      <c r="Z401" s="3" t="str">
        <f t="shared" si="10"/>
        <v>Feeble: Heat I;</v>
      </c>
      <c r="AT401">
        <v>400</v>
      </c>
      <c r="AU401" s="62">
        <v>109</v>
      </c>
    </row>
    <row r="402" spans="22:47" x14ac:dyDescent="0.25">
      <c r="V402" s="4" t="s">
        <v>1701</v>
      </c>
      <c r="W402" s="4">
        <v>-5</v>
      </c>
      <c r="X402" s="8" t="s">
        <v>1702</v>
      </c>
      <c r="Y402" s="8">
        <f>IF(ISNUMBER(SEARCH(Z402,TalentFlaw)),-20,0)</f>
        <v>0</v>
      </c>
      <c r="Z402" s="3" t="str">
        <f t="shared" si="10"/>
        <v>Feeble: Heat II;</v>
      </c>
      <c r="AT402">
        <v>401</v>
      </c>
      <c r="AU402" s="62">
        <v>109</v>
      </c>
    </row>
    <row r="403" spans="22:47" x14ac:dyDescent="0.25">
      <c r="V403" s="4" t="s">
        <v>1703</v>
      </c>
      <c r="W403" s="4">
        <v>-8</v>
      </c>
      <c r="X403" s="8" t="s">
        <v>1704</v>
      </c>
      <c r="Y403" s="8">
        <f>IF(ISNUMBER(SEARCH(Z403,TalentFlaw)),-30,0)</f>
        <v>0</v>
      </c>
      <c r="Z403" s="3" t="str">
        <f t="shared" si="10"/>
        <v>Feeble: Heat III;</v>
      </c>
      <c r="AT403">
        <v>402</v>
      </c>
      <c r="AU403" s="62">
        <v>110</v>
      </c>
    </row>
    <row r="404" spans="22:47" x14ac:dyDescent="0.25">
      <c r="V404" s="4" t="s">
        <v>1705</v>
      </c>
      <c r="W404" s="4">
        <v>-10</v>
      </c>
      <c r="X404" s="8" t="s">
        <v>1706</v>
      </c>
      <c r="Y404" s="8">
        <f>IF(ISNUMBER(SEARCH(Z404,TalentFlaw)),-40,0)</f>
        <v>0</v>
      </c>
      <c r="Z404" s="3" t="str">
        <f t="shared" si="10"/>
        <v>Feeble: Heat IV;</v>
      </c>
      <c r="AT404">
        <v>403</v>
      </c>
      <c r="AU404" s="62">
        <v>110</v>
      </c>
    </row>
    <row r="405" spans="22:47" x14ac:dyDescent="0.25">
      <c r="V405" s="4" t="s">
        <v>1707</v>
      </c>
      <c r="W405" s="4">
        <v>-13</v>
      </c>
      <c r="X405" s="8" t="s">
        <v>1708</v>
      </c>
      <c r="Y405" s="8">
        <f>IF(ISNUMBER(SEARCH(Z405,TalentFlaw)),-50,0)</f>
        <v>0</v>
      </c>
      <c r="Z405" s="3" t="str">
        <f t="shared" si="10"/>
        <v>Feeble: Heat V;</v>
      </c>
      <c r="AT405">
        <v>404</v>
      </c>
      <c r="AU405" s="62">
        <v>110</v>
      </c>
    </row>
    <row r="406" spans="22:47" x14ac:dyDescent="0.25">
      <c r="V406" s="4" t="s">
        <v>1709</v>
      </c>
      <c r="W406" s="4">
        <v>-3</v>
      </c>
      <c r="X406" s="8" t="s">
        <v>1710</v>
      </c>
      <c r="Y406" s="8">
        <f>IF(ISNUMBER(SEARCH(Z406,TalentFlaw)),-5,0)</f>
        <v>0</v>
      </c>
      <c r="Z406" s="3" t="str">
        <f t="shared" si="10"/>
        <v>Fragile I;</v>
      </c>
      <c r="AT406">
        <v>405</v>
      </c>
      <c r="AU406" s="62">
        <v>111</v>
      </c>
    </row>
    <row r="407" spans="22:47" x14ac:dyDescent="0.25">
      <c r="V407" s="4" t="s">
        <v>1711</v>
      </c>
      <c r="W407" s="4">
        <v>-6</v>
      </c>
      <c r="X407" s="8" t="s">
        <v>1712</v>
      </c>
      <c r="Y407" s="8">
        <f>IF(ISNUMBER(SEARCH(Z407,TalentFlaw)),-10,0)</f>
        <v>0</v>
      </c>
      <c r="Z407" s="3" t="str">
        <f t="shared" si="10"/>
        <v>Fragile II;</v>
      </c>
      <c r="AT407">
        <v>406</v>
      </c>
      <c r="AU407" s="62">
        <v>111</v>
      </c>
    </row>
    <row r="408" spans="22:47" x14ac:dyDescent="0.25">
      <c r="V408" s="4" t="s">
        <v>1713</v>
      </c>
      <c r="W408" s="4">
        <v>-9</v>
      </c>
      <c r="X408" s="8" t="s">
        <v>1714</v>
      </c>
      <c r="Y408" s="8">
        <f>IF(ISNUMBER(SEARCH(Z408,TalentFlaw)),-15,0)</f>
        <v>0</v>
      </c>
      <c r="Z408" s="3" t="str">
        <f t="shared" si="10"/>
        <v>Fragile III;</v>
      </c>
      <c r="AT408">
        <v>407</v>
      </c>
      <c r="AU408" s="62">
        <v>111</v>
      </c>
    </row>
    <row r="409" spans="22:47" x14ac:dyDescent="0.25">
      <c r="V409" s="4" t="s">
        <v>1715</v>
      </c>
      <c r="W409" s="4">
        <v>-12</v>
      </c>
      <c r="X409" s="8" t="s">
        <v>1716</v>
      </c>
      <c r="Y409" s="8">
        <f>IF(ISNUMBER(SEARCH(Z409,TalentFlaw)),-20,0)</f>
        <v>0</v>
      </c>
      <c r="Z409" s="3" t="str">
        <f t="shared" si="10"/>
        <v>Fragile IV;</v>
      </c>
      <c r="AT409">
        <v>408</v>
      </c>
      <c r="AU409" s="62">
        <v>112</v>
      </c>
    </row>
    <row r="410" spans="22:47" x14ac:dyDescent="0.25">
      <c r="V410" s="4" t="s">
        <v>1717</v>
      </c>
      <c r="W410" s="4">
        <v>-15</v>
      </c>
      <c r="X410" s="8" t="s">
        <v>1718</v>
      </c>
      <c r="Y410" s="8">
        <f>IF(ISNUMBER(SEARCH(Z410,TalentFlaw)),-25,0)</f>
        <v>0</v>
      </c>
      <c r="Z410" s="3" t="str">
        <f t="shared" si="10"/>
        <v>Fragile V;</v>
      </c>
      <c r="AT410">
        <v>409</v>
      </c>
      <c r="AU410" s="62">
        <v>112</v>
      </c>
    </row>
    <row r="411" spans="22:47" x14ac:dyDescent="0.25">
      <c r="V411" s="4" t="s">
        <v>1719</v>
      </c>
      <c r="W411" s="4">
        <v>-5</v>
      </c>
      <c r="X411" s="8" t="s">
        <v>1720</v>
      </c>
      <c r="Y411" s="8">
        <v>0</v>
      </c>
      <c r="Z411" s="3" t="str">
        <f t="shared" si="10"/>
        <v>Heavy Sleeper;</v>
      </c>
      <c r="AT411">
        <v>410</v>
      </c>
      <c r="AU411" s="62">
        <v>112</v>
      </c>
    </row>
    <row r="412" spans="22:47" x14ac:dyDescent="0.25">
      <c r="V412" s="4" t="s">
        <v>1721</v>
      </c>
      <c r="W412" s="4">
        <v>-4</v>
      </c>
      <c r="X412" s="8" t="s">
        <v>1722</v>
      </c>
      <c r="Y412" s="8">
        <f>IF(ISNUMBER(SEARCH(Z412,TalentFlaw)),-5,0)</f>
        <v>0</v>
      </c>
      <c r="Z412" s="3" t="str">
        <f t="shared" si="10"/>
        <v>Inept (Climbing) I;</v>
      </c>
      <c r="AT412">
        <v>411</v>
      </c>
      <c r="AU412" s="62">
        <v>113</v>
      </c>
    </row>
    <row r="413" spans="22:47" x14ac:dyDescent="0.25">
      <c r="V413" s="4" t="s">
        <v>1723</v>
      </c>
      <c r="W413" s="4">
        <v>-8</v>
      </c>
      <c r="X413" s="8" t="s">
        <v>1724</v>
      </c>
      <c r="Y413" s="8">
        <f>IF(ISNUMBER(SEARCH(Z413,TalentFlaw)),-10,0)</f>
        <v>0</v>
      </c>
      <c r="Z413" s="3" t="str">
        <f t="shared" si="10"/>
        <v>Inept (Climbing) II;</v>
      </c>
      <c r="AT413">
        <v>412</v>
      </c>
      <c r="AU413" s="62">
        <v>113</v>
      </c>
    </row>
    <row r="414" spans="22:47" x14ac:dyDescent="0.25">
      <c r="V414" s="4" t="s">
        <v>1725</v>
      </c>
      <c r="W414" s="4">
        <v>-12</v>
      </c>
      <c r="X414" s="8" t="s">
        <v>1726</v>
      </c>
      <c r="Y414" s="8">
        <f>IF(ISNUMBER(SEARCH(Z414,TalentFlaw)),-15,0)</f>
        <v>0</v>
      </c>
      <c r="Z414" s="3" t="str">
        <f t="shared" si="10"/>
        <v>Inept (Climbing) III;</v>
      </c>
      <c r="AT414">
        <v>413</v>
      </c>
      <c r="AU414" s="62">
        <v>113</v>
      </c>
    </row>
    <row r="415" spans="22:47" x14ac:dyDescent="0.25">
      <c r="V415" s="4" t="s">
        <v>1727</v>
      </c>
      <c r="W415" s="4">
        <v>-16</v>
      </c>
      <c r="X415" s="8" t="s">
        <v>1728</v>
      </c>
      <c r="Y415" s="8">
        <f>IF(ISNUMBER(SEARCH(Z415,TalentFlaw)),-20,0)</f>
        <v>0</v>
      </c>
      <c r="Z415" s="3" t="str">
        <f t="shared" si="10"/>
        <v>Inept (Climbing) IV;</v>
      </c>
      <c r="AT415">
        <v>414</v>
      </c>
      <c r="AU415" s="62">
        <v>114</v>
      </c>
    </row>
    <row r="416" spans="22:47" x14ac:dyDescent="0.25">
      <c r="V416" s="4" t="s">
        <v>1729</v>
      </c>
      <c r="W416" s="4">
        <v>-20</v>
      </c>
      <c r="X416" s="8" t="s">
        <v>1730</v>
      </c>
      <c r="Y416" s="8">
        <f>IF(ISNUMBER(SEARCH(Z416,TalentFlaw)),-25,0)</f>
        <v>0</v>
      </c>
      <c r="Z416" s="3" t="str">
        <f t="shared" si="10"/>
        <v>Inept (Climbing) V;</v>
      </c>
      <c r="AT416">
        <v>415</v>
      </c>
      <c r="AU416" s="62">
        <v>114</v>
      </c>
    </row>
    <row r="417" spans="22:47" x14ac:dyDescent="0.25">
      <c r="V417" s="4" t="s">
        <v>1731</v>
      </c>
      <c r="W417" s="4">
        <v>-4</v>
      </c>
      <c r="X417" s="8" t="s">
        <v>1732</v>
      </c>
      <c r="Y417" s="8">
        <f>IF(ISNUMBER(SEARCH(Z417,TalentFlaw)),-5,0)</f>
        <v>0</v>
      </c>
      <c r="Z417" s="3" t="str">
        <f t="shared" si="10"/>
        <v>Inept (Influence) I;</v>
      </c>
      <c r="AT417">
        <v>416</v>
      </c>
      <c r="AU417" s="62">
        <v>114</v>
      </c>
    </row>
    <row r="418" spans="22:47" x14ac:dyDescent="0.25">
      <c r="V418" s="4" t="s">
        <v>1733</v>
      </c>
      <c r="W418" s="4">
        <v>-8</v>
      </c>
      <c r="X418" s="8" t="s">
        <v>1734</v>
      </c>
      <c r="Y418" s="8">
        <f>IF(ISNUMBER(SEARCH(Z418,TalentFlaw)),-10,0)</f>
        <v>0</v>
      </c>
      <c r="Z418" s="3" t="str">
        <f t="shared" si="10"/>
        <v>Inept (Influence) II;</v>
      </c>
      <c r="AT418">
        <v>417</v>
      </c>
      <c r="AU418" s="62">
        <v>115</v>
      </c>
    </row>
    <row r="419" spans="22:47" x14ac:dyDescent="0.25">
      <c r="V419" s="4" t="s">
        <v>1735</v>
      </c>
      <c r="W419" s="4">
        <v>-12</v>
      </c>
      <c r="X419" s="8" t="s">
        <v>1736</v>
      </c>
      <c r="Y419" s="8">
        <f>IF(ISNUMBER(SEARCH(Z419,TalentFlaw)),-15,0)</f>
        <v>0</v>
      </c>
      <c r="Z419" s="3" t="str">
        <f t="shared" si="10"/>
        <v>Inept (Influence) III;</v>
      </c>
      <c r="AT419">
        <v>418</v>
      </c>
      <c r="AU419" s="62">
        <v>115</v>
      </c>
    </row>
    <row r="420" spans="22:47" x14ac:dyDescent="0.25">
      <c r="V420" s="4" t="s">
        <v>1737</v>
      </c>
      <c r="W420" s="4">
        <v>-16</v>
      </c>
      <c r="X420" s="8" t="s">
        <v>1738</v>
      </c>
      <c r="Y420" s="8">
        <f>IF(ISNUMBER(SEARCH(Z420,TalentFlaw)),-20,0)</f>
        <v>0</v>
      </c>
      <c r="Z420" s="3" t="str">
        <f t="shared" si="10"/>
        <v>Inept (Influence) IV;</v>
      </c>
      <c r="AT420">
        <v>419</v>
      </c>
      <c r="AU420" s="62">
        <v>115</v>
      </c>
    </row>
    <row r="421" spans="22:47" x14ac:dyDescent="0.25">
      <c r="V421" s="4" t="s">
        <v>1739</v>
      </c>
      <c r="W421" s="4">
        <v>-20</v>
      </c>
      <c r="X421" s="8" t="s">
        <v>1740</v>
      </c>
      <c r="Y421" s="8">
        <f>IF(ISNUMBER(SEARCH(Z421,TalentFlaw)),-25,0)</f>
        <v>0</v>
      </c>
      <c r="Z421" s="3" t="str">
        <f t="shared" si="10"/>
        <v>Inept (Influence) V;</v>
      </c>
      <c r="AT421">
        <v>420</v>
      </c>
      <c r="AU421" s="62">
        <v>116</v>
      </c>
    </row>
    <row r="422" spans="22:47" x14ac:dyDescent="0.25">
      <c r="V422" s="4" t="s">
        <v>1741</v>
      </c>
      <c r="W422" s="4">
        <v>-4</v>
      </c>
      <c r="X422" s="8" t="s">
        <v>1742</v>
      </c>
      <c r="Y422" s="8">
        <f>IF(ISNUMBER(SEARCH(Z422,TalentFlaw)),-5,0)</f>
        <v>0</v>
      </c>
      <c r="Z422" s="3" t="str">
        <f t="shared" si="10"/>
        <v>Inept (Social Awareness) I;</v>
      </c>
      <c r="AT422">
        <v>421</v>
      </c>
      <c r="AU422" s="62">
        <v>116</v>
      </c>
    </row>
    <row r="423" spans="22:47" x14ac:dyDescent="0.25">
      <c r="V423" s="4" t="s">
        <v>1743</v>
      </c>
      <c r="W423" s="4">
        <v>-8</v>
      </c>
      <c r="X423" s="8" t="s">
        <v>1744</v>
      </c>
      <c r="Y423" s="8">
        <f>IF(ISNUMBER(SEARCH(Z423,TalentFlaw)),-10,0)</f>
        <v>0</v>
      </c>
      <c r="Z423" s="3" t="str">
        <f t="shared" si="10"/>
        <v>Inept (Social Awareness) II;</v>
      </c>
      <c r="AT423">
        <v>422</v>
      </c>
      <c r="AU423" s="62">
        <v>116</v>
      </c>
    </row>
    <row r="424" spans="22:47" x14ac:dyDescent="0.25">
      <c r="V424" s="4" t="s">
        <v>1745</v>
      </c>
      <c r="W424" s="4">
        <v>-12</v>
      </c>
      <c r="X424" s="8" t="s">
        <v>1746</v>
      </c>
      <c r="Y424" s="8">
        <f>IF(ISNUMBER(SEARCH(Z424,TalentFlaw)),-15,0)</f>
        <v>0</v>
      </c>
      <c r="Z424" s="3" t="str">
        <f t="shared" si="10"/>
        <v>Inept (Social Awareness) III;</v>
      </c>
      <c r="AT424">
        <v>423</v>
      </c>
      <c r="AU424" s="62">
        <v>117</v>
      </c>
    </row>
    <row r="425" spans="22:47" x14ac:dyDescent="0.25">
      <c r="V425" s="4" t="s">
        <v>1747</v>
      </c>
      <c r="W425" s="4">
        <v>-16</v>
      </c>
      <c r="X425" s="8" t="s">
        <v>1748</v>
      </c>
      <c r="Y425" s="8">
        <f>IF(ISNUMBER(SEARCH(Z425,TalentFlaw)),-20,0)</f>
        <v>0</v>
      </c>
      <c r="Z425" s="3" t="str">
        <f t="shared" si="10"/>
        <v>Inept (Social Awareness) IV;</v>
      </c>
      <c r="AT425">
        <v>424</v>
      </c>
      <c r="AU425" s="62">
        <v>117</v>
      </c>
    </row>
    <row r="426" spans="22:47" x14ac:dyDescent="0.25">
      <c r="V426" s="4" t="s">
        <v>1749</v>
      </c>
      <c r="W426" s="4">
        <v>-20</v>
      </c>
      <c r="X426" s="8" t="s">
        <v>1750</v>
      </c>
      <c r="Y426" s="8">
        <f>IF(ISNUMBER(SEARCH(Z426,TalentFlaw)),-25,0)</f>
        <v>0</v>
      </c>
      <c r="Z426" s="3" t="str">
        <f t="shared" si="10"/>
        <v>Inept (Social Awareness) V;</v>
      </c>
      <c r="AT426">
        <v>425</v>
      </c>
      <c r="AU426" s="62">
        <v>117</v>
      </c>
    </row>
    <row r="427" spans="22:47" x14ac:dyDescent="0.25">
      <c r="V427" s="4" t="s">
        <v>1751</v>
      </c>
      <c r="W427" s="4">
        <v>-4</v>
      </c>
      <c r="X427" s="8" t="s">
        <v>1752</v>
      </c>
      <c r="Y427" s="8">
        <f>IF(ISNUMBER(SEARCH(Z427,TalentFlaw)),-5,0)</f>
        <v>0</v>
      </c>
      <c r="Z427" s="3" t="str">
        <f t="shared" si="10"/>
        <v>Inept I;</v>
      </c>
      <c r="AT427">
        <v>426</v>
      </c>
      <c r="AU427" s="62">
        <v>118</v>
      </c>
    </row>
    <row r="428" spans="22:47" x14ac:dyDescent="0.25">
      <c r="V428" s="4" t="s">
        <v>1753</v>
      </c>
      <c r="W428" s="4">
        <v>-8</v>
      </c>
      <c r="X428" s="8" t="s">
        <v>1754</v>
      </c>
      <c r="Y428" s="8">
        <f>IF(ISNUMBER(SEARCH(Z428,TalentFlaw)),-10,0)</f>
        <v>0</v>
      </c>
      <c r="Z428" s="3" t="str">
        <f t="shared" si="10"/>
        <v>Inept II;</v>
      </c>
      <c r="AT428">
        <v>427</v>
      </c>
      <c r="AU428" s="62">
        <v>118</v>
      </c>
    </row>
    <row r="429" spans="22:47" x14ac:dyDescent="0.25">
      <c r="V429" s="4" t="s">
        <v>1755</v>
      </c>
      <c r="W429" s="4">
        <v>-12</v>
      </c>
      <c r="X429" s="8" t="s">
        <v>1756</v>
      </c>
      <c r="Y429" s="8">
        <f>IF(ISNUMBER(SEARCH(Z429,TalentFlaw)),-15,0)</f>
        <v>0</v>
      </c>
      <c r="Z429" s="3" t="str">
        <f t="shared" si="10"/>
        <v>Inept III;</v>
      </c>
      <c r="AT429">
        <v>428</v>
      </c>
      <c r="AU429" s="62">
        <v>118</v>
      </c>
    </row>
    <row r="430" spans="22:47" x14ac:dyDescent="0.25">
      <c r="V430" s="4" t="s">
        <v>1757</v>
      </c>
      <c r="W430" s="4">
        <v>-16</v>
      </c>
      <c r="X430" s="8" t="s">
        <v>1758</v>
      </c>
      <c r="Y430" s="8">
        <f>IF(ISNUMBER(SEARCH(Z430,TalentFlaw)),-20,0)</f>
        <v>0</v>
      </c>
      <c r="Z430" s="3" t="str">
        <f t="shared" si="10"/>
        <v>Inept IV;</v>
      </c>
      <c r="AT430">
        <v>429</v>
      </c>
      <c r="AU430" s="62">
        <v>119</v>
      </c>
    </row>
    <row r="431" spans="22:47" x14ac:dyDescent="0.25">
      <c r="V431" s="4" t="s">
        <v>1759</v>
      </c>
      <c r="W431" s="4">
        <v>-20</v>
      </c>
      <c r="X431" s="8" t="s">
        <v>1760</v>
      </c>
      <c r="Y431" s="8">
        <f>IF(ISNUMBER(SEARCH(Z431,TalentFlaw)),-25,0)</f>
        <v>0</v>
      </c>
      <c r="Z431" s="3" t="str">
        <f t="shared" si="10"/>
        <v>Inept V;</v>
      </c>
      <c r="AT431">
        <v>430</v>
      </c>
      <c r="AU431" s="62">
        <v>119</v>
      </c>
    </row>
    <row r="432" spans="22:47" x14ac:dyDescent="0.25">
      <c r="V432" s="4" t="s">
        <v>1761</v>
      </c>
      <c r="W432" s="4">
        <v>-6</v>
      </c>
      <c r="X432" s="8" t="s">
        <v>1762</v>
      </c>
      <c r="Y432" s="8">
        <v>0</v>
      </c>
      <c r="Z432" s="3" t="str">
        <f t="shared" si="10"/>
        <v>Inglorious Failure I;</v>
      </c>
      <c r="AT432">
        <v>431</v>
      </c>
      <c r="AU432" s="62">
        <v>119</v>
      </c>
    </row>
    <row r="433" spans="22:47" x14ac:dyDescent="0.25">
      <c r="V433" s="4" t="s">
        <v>1763</v>
      </c>
      <c r="W433" s="4">
        <v>-12</v>
      </c>
      <c r="X433" s="8" t="s">
        <v>1764</v>
      </c>
      <c r="Y433" s="8">
        <v>0</v>
      </c>
      <c r="Z433" s="3" t="str">
        <f t="shared" si="10"/>
        <v>Inglorious Failure II;</v>
      </c>
      <c r="AT433">
        <v>432</v>
      </c>
      <c r="AU433" s="62">
        <v>120</v>
      </c>
    </row>
    <row r="434" spans="22:47" x14ac:dyDescent="0.25">
      <c r="V434" s="4" t="s">
        <v>1765</v>
      </c>
      <c r="W434" s="4">
        <v>-18</v>
      </c>
      <c r="X434" s="8" t="s">
        <v>1766</v>
      </c>
      <c r="Y434" s="8">
        <v>0</v>
      </c>
      <c r="Z434" s="3" t="str">
        <f t="shared" si="10"/>
        <v>Inglorious Failure III;</v>
      </c>
      <c r="AT434">
        <v>433</v>
      </c>
      <c r="AU434" s="62">
        <v>120</v>
      </c>
    </row>
    <row r="435" spans="22:47" x14ac:dyDescent="0.25">
      <c r="V435" s="4" t="s">
        <v>1767</v>
      </c>
      <c r="W435" s="4">
        <v>-24</v>
      </c>
      <c r="X435" s="8" t="s">
        <v>1768</v>
      </c>
      <c r="Y435" s="8">
        <v>0</v>
      </c>
      <c r="Z435" s="3" t="str">
        <f t="shared" si="10"/>
        <v>Inglorious Failure IV;</v>
      </c>
      <c r="AT435">
        <v>434</v>
      </c>
      <c r="AU435" s="62">
        <v>120</v>
      </c>
    </row>
    <row r="436" spans="22:47" x14ac:dyDescent="0.25">
      <c r="V436" s="4" t="s">
        <v>1769</v>
      </c>
      <c r="W436" s="4">
        <v>-30</v>
      </c>
      <c r="X436" s="8" t="s">
        <v>1770</v>
      </c>
      <c r="Y436" s="8">
        <v>0</v>
      </c>
      <c r="Z436" s="3" t="str">
        <f t="shared" si="10"/>
        <v>Inglorious Failure V;</v>
      </c>
      <c r="AT436">
        <v>435</v>
      </c>
      <c r="AU436" s="62">
        <v>121</v>
      </c>
    </row>
    <row r="437" spans="22:47" x14ac:dyDescent="0.25">
      <c r="V437" s="4" t="s">
        <v>1771</v>
      </c>
      <c r="W437" s="4">
        <v>-5</v>
      </c>
      <c r="X437" s="8" t="s">
        <v>1772</v>
      </c>
      <c r="Y437" s="8">
        <f>IF(ISNUMBER(SEARCH(Z437,TalentFlaw)),-1,0)</f>
        <v>0</v>
      </c>
      <c r="Z437" s="3" t="str">
        <f t="shared" si="10"/>
        <v>Lesser Attack I;</v>
      </c>
      <c r="AT437">
        <v>436</v>
      </c>
      <c r="AU437" s="62">
        <v>121</v>
      </c>
    </row>
    <row r="438" spans="22:47" x14ac:dyDescent="0.25">
      <c r="V438" s="4" t="s">
        <v>1773</v>
      </c>
      <c r="W438" s="4">
        <v>-10</v>
      </c>
      <c r="X438" s="8" t="s">
        <v>1774</v>
      </c>
      <c r="Y438" s="8">
        <f>IF(ISNUMBER(SEARCH(Z438,TalentFlaw)),-2,0)</f>
        <v>0</v>
      </c>
      <c r="Z438" s="3" t="str">
        <f t="shared" si="10"/>
        <v>Lesser Attack II;</v>
      </c>
      <c r="AT438">
        <v>437</v>
      </c>
      <c r="AU438" s="62">
        <v>121</v>
      </c>
    </row>
    <row r="439" spans="22:47" x14ac:dyDescent="0.25">
      <c r="V439" s="4" t="s">
        <v>1775</v>
      </c>
      <c r="W439" s="4">
        <v>-15</v>
      </c>
      <c r="X439" s="8" t="s">
        <v>1776</v>
      </c>
      <c r="Y439" s="8">
        <f>IF(ISNUMBER(SEARCH(Z439,TalentFlaw)),-3,0)</f>
        <v>0</v>
      </c>
      <c r="Z439" s="3" t="str">
        <f t="shared" si="10"/>
        <v>Lesser Attack III;</v>
      </c>
      <c r="AT439">
        <v>438</v>
      </c>
      <c r="AU439" s="62">
        <v>122</v>
      </c>
    </row>
    <row r="440" spans="22:47" x14ac:dyDescent="0.25">
      <c r="V440" s="4" t="s">
        <v>1777</v>
      </c>
      <c r="W440" s="4">
        <v>-15</v>
      </c>
      <c r="X440" s="8" t="s">
        <v>1778</v>
      </c>
      <c r="Y440" s="8">
        <v>0</v>
      </c>
      <c r="Z440" s="3" t="str">
        <f t="shared" si="10"/>
        <v>Light Boned I;</v>
      </c>
      <c r="AT440">
        <v>439</v>
      </c>
      <c r="AU440" s="62">
        <v>122</v>
      </c>
    </row>
    <row r="441" spans="22:47" x14ac:dyDescent="0.25">
      <c r="V441" s="4" t="s">
        <v>1779</v>
      </c>
      <c r="W441" s="4">
        <v>-30</v>
      </c>
      <c r="X441" s="8" t="s">
        <v>1780</v>
      </c>
      <c r="Y441" s="8">
        <v>0</v>
      </c>
      <c r="Z441" s="3" t="str">
        <f t="shared" si="10"/>
        <v>Light Boned II;</v>
      </c>
      <c r="AT441">
        <v>440</v>
      </c>
      <c r="AU441" s="62">
        <v>122</v>
      </c>
    </row>
    <row r="442" spans="22:47" x14ac:dyDescent="0.25">
      <c r="V442" s="4" t="s">
        <v>1781</v>
      </c>
      <c r="W442" s="4">
        <v>-45</v>
      </c>
      <c r="X442" s="8" t="s">
        <v>1782</v>
      </c>
      <c r="Y442" s="8">
        <v>0</v>
      </c>
      <c r="Z442" s="3" t="str">
        <f t="shared" si="10"/>
        <v>Light Boned III;</v>
      </c>
      <c r="AT442">
        <v>441</v>
      </c>
      <c r="AU442" s="62">
        <v>123</v>
      </c>
    </row>
    <row r="443" spans="22:47" x14ac:dyDescent="0.25">
      <c r="V443" s="4" t="s">
        <v>1783</v>
      </c>
      <c r="W443" s="4">
        <v>-10</v>
      </c>
      <c r="X443" s="8" t="s">
        <v>1784</v>
      </c>
      <c r="Y443" s="8">
        <v>0</v>
      </c>
      <c r="Z443" s="3" t="str">
        <f t="shared" si="10"/>
        <v>Light-sensitive I;</v>
      </c>
      <c r="AT443">
        <v>442</v>
      </c>
      <c r="AU443" s="62">
        <v>123</v>
      </c>
    </row>
    <row r="444" spans="22:47" x14ac:dyDescent="0.25">
      <c r="V444" s="4" t="s">
        <v>1785</v>
      </c>
      <c r="W444" s="4">
        <v>-20</v>
      </c>
      <c r="X444" s="8" t="s">
        <v>1786</v>
      </c>
      <c r="Y444" s="8">
        <v>0</v>
      </c>
      <c r="Z444" s="3" t="str">
        <f t="shared" si="10"/>
        <v>Light-sensitive II;</v>
      </c>
      <c r="AT444">
        <v>443</v>
      </c>
      <c r="AU444" s="62">
        <v>123</v>
      </c>
    </row>
    <row r="445" spans="22:47" x14ac:dyDescent="0.25">
      <c r="V445" s="4" t="s">
        <v>1787</v>
      </c>
      <c r="W445" s="4">
        <v>-30</v>
      </c>
      <c r="X445" s="8" t="s">
        <v>1788</v>
      </c>
      <c r="Y445" s="8">
        <v>0</v>
      </c>
      <c r="Z445" s="3" t="str">
        <f t="shared" si="10"/>
        <v>Light-sensitive III;</v>
      </c>
      <c r="AT445">
        <v>444</v>
      </c>
      <c r="AU445" s="62">
        <v>124</v>
      </c>
    </row>
    <row r="446" spans="22:47" x14ac:dyDescent="0.25">
      <c r="V446" s="4" t="s">
        <v>1789</v>
      </c>
      <c r="W446" s="4">
        <v>-8</v>
      </c>
      <c r="X446" s="8" t="s">
        <v>1790</v>
      </c>
      <c r="Y446" s="8">
        <v>0</v>
      </c>
      <c r="Z446" s="3" t="str">
        <f t="shared" si="10"/>
        <v>Low Intelligence;</v>
      </c>
      <c r="AT446">
        <v>445</v>
      </c>
      <c r="AU446" s="62">
        <v>124</v>
      </c>
    </row>
    <row r="447" spans="22:47" x14ac:dyDescent="0.25">
      <c r="V447" s="4" t="s">
        <v>1791</v>
      </c>
      <c r="W447" s="4">
        <v>-5</v>
      </c>
      <c r="X447" s="8" t="s">
        <v>1792</v>
      </c>
      <c r="Y447" s="8">
        <f>IF(ISNUMBER(SEARCH(Z447,TalentFlaw)),5,0)</f>
        <v>0</v>
      </c>
      <c r="Z447" s="3" t="str">
        <f t="shared" si="10"/>
        <v>Magical Vulnerability I;</v>
      </c>
      <c r="AT447">
        <v>446</v>
      </c>
      <c r="AU447" s="62">
        <v>124</v>
      </c>
    </row>
    <row r="448" spans="22:47" x14ac:dyDescent="0.25">
      <c r="V448" s="4" t="s">
        <v>1793</v>
      </c>
      <c r="W448" s="4">
        <v>-10</v>
      </c>
      <c r="X448" s="8" t="s">
        <v>1794</v>
      </c>
      <c r="Y448" s="8">
        <f>IF(ISNUMBER(SEARCH(Z448,TalentFlaw)),10,0)</f>
        <v>0</v>
      </c>
      <c r="Z448" s="3" t="str">
        <f t="shared" si="10"/>
        <v>Magical Vulnerability II;</v>
      </c>
      <c r="AT448">
        <v>447</v>
      </c>
      <c r="AU448" s="62">
        <v>125</v>
      </c>
    </row>
    <row r="449" spans="22:47" x14ac:dyDescent="0.25">
      <c r="V449" s="4" t="s">
        <v>1795</v>
      </c>
      <c r="W449" s="4">
        <v>-15</v>
      </c>
      <c r="X449" s="8" t="s">
        <v>1796</v>
      </c>
      <c r="Y449" s="8">
        <f>IF(ISNUMBER(SEARCH(Z449,TalentFlaw)),15,0)</f>
        <v>0</v>
      </c>
      <c r="Z449" s="3" t="str">
        <f t="shared" si="10"/>
        <v>Magical Vulnerability III;</v>
      </c>
      <c r="AT449">
        <v>448</v>
      </c>
      <c r="AU449" s="62">
        <v>125</v>
      </c>
    </row>
    <row r="450" spans="22:47" x14ac:dyDescent="0.25">
      <c r="V450" s="4" t="s">
        <v>1797</v>
      </c>
      <c r="W450" s="4">
        <v>-20</v>
      </c>
      <c r="X450" s="8" t="s">
        <v>1798</v>
      </c>
      <c r="Y450" s="8">
        <f>IF(ISNUMBER(SEARCH(Z450,TalentFlaw)),20,0)</f>
        <v>0</v>
      </c>
      <c r="Z450" s="3" t="str">
        <f t="shared" si="10"/>
        <v>Magical Vulnerability IV;</v>
      </c>
      <c r="AT450">
        <v>449</v>
      </c>
      <c r="AU450" s="62">
        <v>125</v>
      </c>
    </row>
    <row r="451" spans="22:47" x14ac:dyDescent="0.25">
      <c r="V451" s="4" t="s">
        <v>1799</v>
      </c>
      <c r="W451" s="4">
        <v>-25</v>
      </c>
      <c r="X451" s="8" t="s">
        <v>1800</v>
      </c>
      <c r="Y451" s="8">
        <f>IF(ISNUMBER(SEARCH(Z451,TalentFlaw)),25,0)</f>
        <v>0</v>
      </c>
      <c r="Z451" s="3" t="str">
        <f t="shared" ref="Z451:Z514" si="11">V451&amp;";"</f>
        <v>Magical Vulnerability V;</v>
      </c>
      <c r="AT451">
        <v>450</v>
      </c>
      <c r="AU451" s="62">
        <v>126</v>
      </c>
    </row>
    <row r="452" spans="22:47" x14ac:dyDescent="0.25">
      <c r="V452" s="4" t="s">
        <v>1801</v>
      </c>
      <c r="W452" s="4">
        <v>-10</v>
      </c>
      <c r="X452" s="8" t="s">
        <v>1802</v>
      </c>
      <c r="Y452" s="8">
        <v>0</v>
      </c>
      <c r="Z452" s="3" t="str">
        <f t="shared" si="11"/>
        <v>Math Illiterate;</v>
      </c>
      <c r="AT452">
        <v>451</v>
      </c>
      <c r="AU452" s="62">
        <v>126</v>
      </c>
    </row>
    <row r="453" spans="22:47" x14ac:dyDescent="0.25">
      <c r="V453" s="4" t="s">
        <v>1803</v>
      </c>
      <c r="W453" s="4">
        <v>-10</v>
      </c>
      <c r="X453" s="8" t="s">
        <v>1804</v>
      </c>
      <c r="Y453" s="8">
        <v>0</v>
      </c>
      <c r="Z453" s="3" t="str">
        <f t="shared" si="11"/>
        <v>Missing Sense (feel/touch);</v>
      </c>
      <c r="AT453">
        <v>452</v>
      </c>
      <c r="AU453" s="62">
        <v>126</v>
      </c>
    </row>
    <row r="454" spans="22:47" x14ac:dyDescent="0.25">
      <c r="V454" s="4" t="s">
        <v>1805</v>
      </c>
      <c r="W454" s="4">
        <v>-15</v>
      </c>
      <c r="X454" s="8" t="s">
        <v>1806</v>
      </c>
      <c r="Y454" s="8">
        <v>0</v>
      </c>
      <c r="Z454" s="3" t="str">
        <f t="shared" si="11"/>
        <v>Missing Sense (hearing);</v>
      </c>
      <c r="AT454">
        <v>453</v>
      </c>
      <c r="AU454" s="62">
        <v>127</v>
      </c>
    </row>
    <row r="455" spans="22:47" x14ac:dyDescent="0.25">
      <c r="V455" s="4" t="s">
        <v>1807</v>
      </c>
      <c r="W455" s="4">
        <v>-20</v>
      </c>
      <c r="X455" s="8" t="s">
        <v>1808</v>
      </c>
      <c r="Y455" s="8">
        <v>0</v>
      </c>
      <c r="Z455" s="3" t="str">
        <f t="shared" si="11"/>
        <v>Missing Sense (sight);</v>
      </c>
      <c r="AT455">
        <v>454</v>
      </c>
      <c r="AU455" s="62">
        <v>127</v>
      </c>
    </row>
    <row r="456" spans="22:47" x14ac:dyDescent="0.25">
      <c r="V456" s="4" t="s">
        <v>1809</v>
      </c>
      <c r="W456" s="4">
        <v>-10</v>
      </c>
      <c r="X456" s="8" t="s">
        <v>1810</v>
      </c>
      <c r="Y456" s="8">
        <v>0</v>
      </c>
      <c r="Z456" s="3" t="str">
        <f t="shared" si="11"/>
        <v>Missing Sense (smell);</v>
      </c>
      <c r="AT456">
        <v>455</v>
      </c>
      <c r="AU456" s="62">
        <v>127</v>
      </c>
    </row>
    <row r="457" spans="22:47" x14ac:dyDescent="0.25">
      <c r="V457" s="4" t="s">
        <v>1811</v>
      </c>
      <c r="W457" s="4">
        <v>-5</v>
      </c>
      <c r="X457" s="8" t="s">
        <v>1812</v>
      </c>
      <c r="Y457" s="8">
        <v>0</v>
      </c>
      <c r="Z457" s="3" t="str">
        <f t="shared" si="11"/>
        <v>Missing Sense (taste);</v>
      </c>
      <c r="AT457">
        <v>456</v>
      </c>
      <c r="AU457" s="62">
        <v>128</v>
      </c>
    </row>
    <row r="458" spans="22:47" x14ac:dyDescent="0.25">
      <c r="V458" s="4" t="s">
        <v>1813</v>
      </c>
      <c r="W458" s="4">
        <v>-10</v>
      </c>
      <c r="X458" s="8" t="s">
        <v>1814</v>
      </c>
      <c r="Y458" s="8">
        <f>IF(ISNUMBER(SEARCH(Z458,TalentFlaw)),-5,0)</f>
        <v>0</v>
      </c>
      <c r="Z458" s="3" t="str">
        <f t="shared" si="11"/>
        <v>Mumbler I;</v>
      </c>
      <c r="AT458">
        <v>457</v>
      </c>
      <c r="AU458" s="62">
        <v>128</v>
      </c>
    </row>
    <row r="459" spans="22:47" x14ac:dyDescent="0.25">
      <c r="V459" s="4" t="s">
        <v>1815</v>
      </c>
      <c r="W459" s="4">
        <v>-20</v>
      </c>
      <c r="X459" s="8" t="s">
        <v>1816</v>
      </c>
      <c r="Y459" s="8">
        <f>IF(ISNUMBER(SEARCH(Z459,TalentFlaw)),-10,0)</f>
        <v>0</v>
      </c>
      <c r="Z459" s="3" t="str">
        <f t="shared" si="11"/>
        <v>Mumbler II;</v>
      </c>
      <c r="AT459">
        <v>458</v>
      </c>
      <c r="AU459" s="62">
        <v>128</v>
      </c>
    </row>
    <row r="460" spans="22:47" x14ac:dyDescent="0.25">
      <c r="V460" s="4" t="s">
        <v>1817</v>
      </c>
      <c r="W460" s="4">
        <v>-30</v>
      </c>
      <c r="X460" s="8" t="s">
        <v>1818</v>
      </c>
      <c r="Y460" s="8">
        <f>IF(ISNUMBER(SEARCH(Z460,TalentFlaw)),-15,0)</f>
        <v>0</v>
      </c>
      <c r="Z460" s="3" t="str">
        <f t="shared" si="11"/>
        <v>Mumbler III;</v>
      </c>
      <c r="AT460">
        <v>459</v>
      </c>
      <c r="AU460" s="62">
        <v>129</v>
      </c>
    </row>
    <row r="461" spans="22:47" x14ac:dyDescent="0.25">
      <c r="V461" s="4" t="s">
        <v>1819</v>
      </c>
      <c r="W461" s="4">
        <v>-40</v>
      </c>
      <c r="X461" s="8" t="s">
        <v>1820</v>
      </c>
      <c r="Y461" s="8">
        <f>IF(ISNUMBER(SEARCH(Z461,TalentFlaw)),-20,0)</f>
        <v>0</v>
      </c>
      <c r="Z461" s="3" t="str">
        <f t="shared" si="11"/>
        <v>Mumbler IV;</v>
      </c>
      <c r="AT461">
        <v>460</v>
      </c>
      <c r="AU461" s="62">
        <v>129</v>
      </c>
    </row>
    <row r="462" spans="22:47" x14ac:dyDescent="0.25">
      <c r="V462" s="4" t="s">
        <v>1821</v>
      </c>
      <c r="W462" s="4">
        <v>-50</v>
      </c>
      <c r="X462" s="8" t="s">
        <v>1822</v>
      </c>
      <c r="Y462" s="8">
        <f>IF(ISNUMBER(SEARCH(Z462,TalentFlaw)),-25,0)</f>
        <v>0</v>
      </c>
      <c r="Z462" s="3" t="str">
        <f t="shared" si="11"/>
        <v>Mumbler V;</v>
      </c>
      <c r="AT462">
        <v>461</v>
      </c>
      <c r="AU462" s="62">
        <v>129</v>
      </c>
    </row>
    <row r="463" spans="22:47" x14ac:dyDescent="0.25">
      <c r="V463" s="4" t="s">
        <v>1823</v>
      </c>
      <c r="W463" s="4">
        <v>-10</v>
      </c>
      <c r="X463" s="8" t="s">
        <v>1824</v>
      </c>
      <c r="Y463" s="8">
        <v>0</v>
      </c>
      <c r="Z463" s="3" t="str">
        <f t="shared" si="11"/>
        <v>Natural Elemental Vulnerability (cold);</v>
      </c>
      <c r="AT463">
        <v>462</v>
      </c>
      <c r="AU463" s="62">
        <v>130</v>
      </c>
    </row>
    <row r="464" spans="22:47" x14ac:dyDescent="0.25">
      <c r="V464" s="4" t="s">
        <v>1825</v>
      </c>
      <c r="W464" s="4">
        <v>-10</v>
      </c>
      <c r="X464" s="8" t="s">
        <v>1826</v>
      </c>
      <c r="Y464" s="8">
        <v>0</v>
      </c>
      <c r="Z464" s="3" t="str">
        <f t="shared" si="11"/>
        <v>Natural Elemental Vulnerability (heat);</v>
      </c>
      <c r="AT464">
        <v>463</v>
      </c>
      <c r="AU464" s="62">
        <v>130</v>
      </c>
    </row>
    <row r="465" spans="22:47" x14ac:dyDescent="0.25">
      <c r="V465" s="4" t="s">
        <v>1827</v>
      </c>
      <c r="W465" s="4">
        <v>-10</v>
      </c>
      <c r="X465" s="8" t="s">
        <v>1828</v>
      </c>
      <c r="Y465" s="8">
        <v>0</v>
      </c>
      <c r="Z465" s="3" t="str">
        <f t="shared" si="11"/>
        <v>Natural Elemental Vulnerability (light);</v>
      </c>
      <c r="AT465">
        <v>464</v>
      </c>
      <c r="AU465" s="62">
        <v>130</v>
      </c>
    </row>
    <row r="466" spans="22:47" x14ac:dyDescent="0.25">
      <c r="V466" s="4" t="s">
        <v>1829</v>
      </c>
      <c r="W466" s="4">
        <v>-5</v>
      </c>
      <c r="X466" s="8" t="s">
        <v>1830</v>
      </c>
      <c r="Y466" s="8">
        <f>IF(ISNUMBER(SEARCH(Z466,TalentFlaw)),-5,0)</f>
        <v>0</v>
      </c>
      <c r="Z466" s="3" t="str">
        <f t="shared" si="11"/>
        <v>Physical Vulnerability I;</v>
      </c>
      <c r="AT466">
        <v>465</v>
      </c>
      <c r="AU466" s="62">
        <v>131</v>
      </c>
    </row>
    <row r="467" spans="22:47" x14ac:dyDescent="0.25">
      <c r="V467" s="4" t="s">
        <v>1831</v>
      </c>
      <c r="W467" s="4">
        <v>-10</v>
      </c>
      <c r="X467" s="8" t="s">
        <v>1832</v>
      </c>
      <c r="Y467" s="8">
        <f>IF(ISNUMBER(SEARCH(Z467,TalentFlaw)),-10,0)</f>
        <v>0</v>
      </c>
      <c r="Z467" s="3" t="str">
        <f t="shared" si="11"/>
        <v>Physical Vulnerability II;</v>
      </c>
      <c r="AT467">
        <v>466</v>
      </c>
      <c r="AU467" s="62">
        <v>131</v>
      </c>
    </row>
    <row r="468" spans="22:47" x14ac:dyDescent="0.25">
      <c r="V468" s="4" t="s">
        <v>1833</v>
      </c>
      <c r="W468" s="4">
        <v>-15</v>
      </c>
      <c r="X468" s="8" t="s">
        <v>1834</v>
      </c>
      <c r="Y468" s="8">
        <f>IF(ISNUMBER(SEARCH(Z468,TalentFlaw)),-15,0)</f>
        <v>0</v>
      </c>
      <c r="Z468" s="3" t="str">
        <f t="shared" si="11"/>
        <v>Physical Vulnerability III;</v>
      </c>
      <c r="AT468">
        <v>467</v>
      </c>
      <c r="AU468" s="62">
        <v>131</v>
      </c>
    </row>
    <row r="469" spans="22:47" x14ac:dyDescent="0.25">
      <c r="V469" s="4" t="s">
        <v>1835</v>
      </c>
      <c r="W469" s="4">
        <v>-20</v>
      </c>
      <c r="X469" s="8" t="s">
        <v>1836</v>
      </c>
      <c r="Y469" s="8">
        <f>IF(ISNUMBER(SEARCH(Z469,TalentFlaw)),-20,0)</f>
        <v>0</v>
      </c>
      <c r="Z469" s="3" t="str">
        <f t="shared" si="11"/>
        <v>Physical Vulnerability IV;</v>
      </c>
      <c r="AT469">
        <v>468</v>
      </c>
      <c r="AU469" s="62">
        <v>132</v>
      </c>
    </row>
    <row r="470" spans="22:47" x14ac:dyDescent="0.25">
      <c r="V470" s="4" t="s">
        <v>1837</v>
      </c>
      <c r="W470" s="4">
        <v>-25</v>
      </c>
      <c r="X470" s="8" t="s">
        <v>1838</v>
      </c>
      <c r="Y470" s="8">
        <f>IF(ISNUMBER(SEARCH(Z470,TalentFlaw)),-25,0)</f>
        <v>0</v>
      </c>
      <c r="Z470" s="3" t="str">
        <f t="shared" si="11"/>
        <v>Physical Vulnerability V;</v>
      </c>
      <c r="AT470">
        <v>469</v>
      </c>
      <c r="AU470" s="62">
        <v>132</v>
      </c>
    </row>
    <row r="471" spans="22:47" x14ac:dyDescent="0.25">
      <c r="V471" s="4" t="s">
        <v>1839</v>
      </c>
      <c r="W471" s="4">
        <v>-3</v>
      </c>
      <c r="X471" s="8" t="s">
        <v>1840</v>
      </c>
      <c r="Y471" s="8">
        <f>IF(ISNUMBER(SEARCH(Z471,TalentFlaw)),-5,0)</f>
        <v>0</v>
      </c>
      <c r="Z471" s="3" t="str">
        <f t="shared" si="11"/>
        <v>Poor Hearing I;</v>
      </c>
      <c r="AT471">
        <v>470</v>
      </c>
      <c r="AU471" s="62">
        <v>132</v>
      </c>
    </row>
    <row r="472" spans="22:47" x14ac:dyDescent="0.25">
      <c r="V472" s="4" t="s">
        <v>1841</v>
      </c>
      <c r="W472" s="4">
        <v>-6</v>
      </c>
      <c r="X472" s="8" t="s">
        <v>1842</v>
      </c>
      <c r="Y472" s="8">
        <f>IF(ISNUMBER(SEARCH(Z472,TalentFlaw)),-10,0)</f>
        <v>0</v>
      </c>
      <c r="Z472" s="3" t="str">
        <f t="shared" si="11"/>
        <v>Poor Hearing II;</v>
      </c>
      <c r="AT472">
        <v>471</v>
      </c>
      <c r="AU472" s="62">
        <v>133</v>
      </c>
    </row>
    <row r="473" spans="22:47" x14ac:dyDescent="0.25">
      <c r="V473" s="4" t="s">
        <v>1843</v>
      </c>
      <c r="W473" s="4">
        <v>-9</v>
      </c>
      <c r="X473" s="8" t="s">
        <v>1844</v>
      </c>
      <c r="Y473" s="8">
        <f>IF(ISNUMBER(SEARCH(Z473,TalentFlaw)),-15,0)</f>
        <v>0</v>
      </c>
      <c r="Z473" s="3" t="str">
        <f t="shared" si="11"/>
        <v>Poor Hearing III;</v>
      </c>
      <c r="AT473">
        <v>472</v>
      </c>
      <c r="AU473" s="62">
        <v>133</v>
      </c>
    </row>
    <row r="474" spans="22:47" x14ac:dyDescent="0.25">
      <c r="V474" s="4" t="s">
        <v>1845</v>
      </c>
      <c r="W474" s="4">
        <v>-12</v>
      </c>
      <c r="X474" s="8" t="s">
        <v>1846</v>
      </c>
      <c r="Y474" s="8">
        <f>IF(ISNUMBER(SEARCH(Z474,TalentFlaw)),-20,0)</f>
        <v>0</v>
      </c>
      <c r="Z474" s="3" t="str">
        <f t="shared" si="11"/>
        <v>Poor Hearing IV;</v>
      </c>
      <c r="AT474">
        <v>473</v>
      </c>
      <c r="AU474" s="62">
        <v>133</v>
      </c>
    </row>
    <row r="475" spans="22:47" x14ac:dyDescent="0.25">
      <c r="V475" s="4" t="s">
        <v>1847</v>
      </c>
      <c r="W475" s="4">
        <v>-15</v>
      </c>
      <c r="X475" s="8" t="s">
        <v>1848</v>
      </c>
      <c r="Y475" s="8">
        <f>IF(ISNUMBER(SEARCH(Z475,TalentFlaw)),-25,0)</f>
        <v>0</v>
      </c>
      <c r="Z475" s="3" t="str">
        <f t="shared" si="11"/>
        <v>Poor Hearing V;</v>
      </c>
      <c r="AT475">
        <v>474</v>
      </c>
      <c r="AU475" s="62">
        <v>134</v>
      </c>
    </row>
    <row r="476" spans="22:47" x14ac:dyDescent="0.25">
      <c r="V476" s="4" t="s">
        <v>1849</v>
      </c>
      <c r="W476" s="4">
        <v>-2</v>
      </c>
      <c r="X476" s="8" t="s">
        <v>1850</v>
      </c>
      <c r="Y476" s="8">
        <f>IF(ISNUMBER(SEARCH(Z476,TalentFlaw)),-5,0)</f>
        <v>0</v>
      </c>
      <c r="Z476" s="3" t="str">
        <f t="shared" si="11"/>
        <v>Poor Smell I;</v>
      </c>
      <c r="AT476">
        <v>475</v>
      </c>
      <c r="AU476" s="62">
        <v>134</v>
      </c>
    </row>
    <row r="477" spans="22:47" x14ac:dyDescent="0.25">
      <c r="V477" s="4" t="s">
        <v>1851</v>
      </c>
      <c r="W477" s="4">
        <v>-4</v>
      </c>
      <c r="X477" s="8" t="s">
        <v>1852</v>
      </c>
      <c r="Y477" s="8">
        <f>IF(ISNUMBER(SEARCH(Z477,TalentFlaw)),-10,0)</f>
        <v>0</v>
      </c>
      <c r="Z477" s="3" t="str">
        <f t="shared" si="11"/>
        <v>Poor Smell II;</v>
      </c>
      <c r="AT477">
        <v>476</v>
      </c>
      <c r="AU477" s="62">
        <v>134</v>
      </c>
    </row>
    <row r="478" spans="22:47" x14ac:dyDescent="0.25">
      <c r="V478" s="4" t="s">
        <v>1853</v>
      </c>
      <c r="W478" s="4">
        <v>-6</v>
      </c>
      <c r="X478" s="8" t="s">
        <v>1854</v>
      </c>
      <c r="Y478" s="8">
        <f>IF(ISNUMBER(SEARCH(Z478,TalentFlaw)),-15,0)</f>
        <v>0</v>
      </c>
      <c r="Z478" s="3" t="str">
        <f t="shared" si="11"/>
        <v>Poor Smell III;</v>
      </c>
      <c r="AT478">
        <v>477</v>
      </c>
      <c r="AU478" s="62">
        <v>135</v>
      </c>
    </row>
    <row r="479" spans="22:47" x14ac:dyDescent="0.25">
      <c r="V479" s="4" t="s">
        <v>1855</v>
      </c>
      <c r="W479" s="4">
        <v>-8</v>
      </c>
      <c r="X479" s="8" t="s">
        <v>1856</v>
      </c>
      <c r="Y479" s="8">
        <f>IF(ISNUMBER(SEARCH(Z479,TalentFlaw)),-20,0)</f>
        <v>0</v>
      </c>
      <c r="Z479" s="3" t="str">
        <f t="shared" si="11"/>
        <v>Poor Smell IV;</v>
      </c>
      <c r="AT479">
        <v>478</v>
      </c>
      <c r="AU479" s="62">
        <v>135</v>
      </c>
    </row>
    <row r="480" spans="22:47" x14ac:dyDescent="0.25">
      <c r="V480" s="4" t="s">
        <v>1857</v>
      </c>
      <c r="W480" s="4">
        <v>-10</v>
      </c>
      <c r="X480" s="8" t="s">
        <v>1858</v>
      </c>
      <c r="Y480" s="8">
        <f>IF(ISNUMBER(SEARCH(Z480,TalentFlaw)),-25,0)</f>
        <v>0</v>
      </c>
      <c r="Z480" s="3" t="str">
        <f t="shared" si="11"/>
        <v>Poor Smell V;</v>
      </c>
      <c r="AT480">
        <v>479</v>
      </c>
      <c r="AU480" s="62">
        <v>135</v>
      </c>
    </row>
    <row r="481" spans="22:47" x14ac:dyDescent="0.25">
      <c r="V481" s="4" t="s">
        <v>1859</v>
      </c>
      <c r="W481" s="4">
        <v>-1</v>
      </c>
      <c r="X481" s="8" t="s">
        <v>1860</v>
      </c>
      <c r="Y481" s="8">
        <f>IF(ISNUMBER(SEARCH(Z481,TalentFlaw)),-5,0)</f>
        <v>0</v>
      </c>
      <c r="Z481" s="3" t="str">
        <f t="shared" si="11"/>
        <v>Poor Taste I;</v>
      </c>
      <c r="AT481">
        <v>480</v>
      </c>
      <c r="AU481" s="62">
        <v>136</v>
      </c>
    </row>
    <row r="482" spans="22:47" x14ac:dyDescent="0.25">
      <c r="V482" s="4" t="s">
        <v>1861</v>
      </c>
      <c r="W482" s="4">
        <v>-2</v>
      </c>
      <c r="X482" s="8" t="s">
        <v>1862</v>
      </c>
      <c r="Y482" s="8">
        <f>IF(ISNUMBER(SEARCH(Z482,TalentFlaw)),-10,0)</f>
        <v>0</v>
      </c>
      <c r="Z482" s="3" t="str">
        <f t="shared" si="11"/>
        <v>Poor Taste II;</v>
      </c>
      <c r="AT482">
        <v>481</v>
      </c>
      <c r="AU482" s="62">
        <v>136</v>
      </c>
    </row>
    <row r="483" spans="22:47" x14ac:dyDescent="0.25">
      <c r="V483" s="4" t="s">
        <v>1863</v>
      </c>
      <c r="W483" s="4">
        <v>-3</v>
      </c>
      <c r="X483" s="8" t="s">
        <v>1864</v>
      </c>
      <c r="Y483" s="8">
        <f>IF(ISNUMBER(SEARCH(Z483,TalentFlaw)),-15,0)</f>
        <v>0</v>
      </c>
      <c r="Z483" s="3" t="str">
        <f t="shared" si="11"/>
        <v>Poor Taste III;</v>
      </c>
      <c r="AT483">
        <v>482</v>
      </c>
      <c r="AU483" s="62">
        <v>136</v>
      </c>
    </row>
    <row r="484" spans="22:47" x14ac:dyDescent="0.25">
      <c r="V484" s="4" t="s">
        <v>1865</v>
      </c>
      <c r="W484" s="4">
        <v>-4</v>
      </c>
      <c r="X484" s="8" t="s">
        <v>1866</v>
      </c>
      <c r="Y484" s="8">
        <f>IF(ISNUMBER(SEARCH(Z484,TalentFlaw)),-20,0)</f>
        <v>0</v>
      </c>
      <c r="Z484" s="3" t="str">
        <f t="shared" si="11"/>
        <v>Poor Taste IV;</v>
      </c>
      <c r="AT484">
        <v>483</v>
      </c>
      <c r="AU484" s="62">
        <v>137</v>
      </c>
    </row>
    <row r="485" spans="22:47" x14ac:dyDescent="0.25">
      <c r="V485" s="4" t="s">
        <v>1867</v>
      </c>
      <c r="W485" s="4">
        <v>-5</v>
      </c>
      <c r="X485" s="8" t="s">
        <v>1868</v>
      </c>
      <c r="Y485" s="8">
        <f>IF(ISNUMBER(SEARCH(Z485,TalentFlaw)),-25,0)</f>
        <v>0</v>
      </c>
      <c r="Z485" s="3" t="str">
        <f t="shared" si="11"/>
        <v>Poor Taste V;</v>
      </c>
      <c r="AT485">
        <v>484</v>
      </c>
      <c r="AU485" s="62">
        <v>137</v>
      </c>
    </row>
    <row r="486" spans="22:47" x14ac:dyDescent="0.25">
      <c r="V486" s="4" t="s">
        <v>1869</v>
      </c>
      <c r="W486" s="4">
        <v>-1</v>
      </c>
      <c r="X486" s="8" t="s">
        <v>1870</v>
      </c>
      <c r="Y486" s="8">
        <f>IF(ISNUMBER(SEARCH(Z486,TalentFlaw)),-5,0)</f>
        <v>0</v>
      </c>
      <c r="Z486" s="3" t="str">
        <f t="shared" si="11"/>
        <v>Poor Touch I;</v>
      </c>
      <c r="AT486">
        <v>485</v>
      </c>
      <c r="AU486" s="62">
        <v>137</v>
      </c>
    </row>
    <row r="487" spans="22:47" x14ac:dyDescent="0.25">
      <c r="V487" s="4" t="s">
        <v>1871</v>
      </c>
      <c r="W487" s="4">
        <v>-2</v>
      </c>
      <c r="X487" s="8" t="s">
        <v>1872</v>
      </c>
      <c r="Y487" s="8">
        <f>IF(ISNUMBER(SEARCH(Z487,TalentFlaw)),-10,0)</f>
        <v>0</v>
      </c>
      <c r="Z487" s="3" t="str">
        <f t="shared" si="11"/>
        <v>Poor Touch II;</v>
      </c>
      <c r="AT487">
        <v>486</v>
      </c>
      <c r="AU487" s="62">
        <v>138</v>
      </c>
    </row>
    <row r="488" spans="22:47" x14ac:dyDescent="0.25">
      <c r="V488" s="4" t="s">
        <v>1873</v>
      </c>
      <c r="W488" s="4">
        <v>-3</v>
      </c>
      <c r="X488" s="8" t="s">
        <v>1874</v>
      </c>
      <c r="Y488" s="8">
        <f>IF(ISNUMBER(SEARCH(Z488,TalentFlaw)),-15,0)</f>
        <v>0</v>
      </c>
      <c r="Z488" s="3" t="str">
        <f t="shared" si="11"/>
        <v>Poor Touch III;</v>
      </c>
      <c r="AT488">
        <v>487</v>
      </c>
      <c r="AU488" s="62">
        <v>138</v>
      </c>
    </row>
    <row r="489" spans="22:47" x14ac:dyDescent="0.25">
      <c r="V489" s="4" t="s">
        <v>1875</v>
      </c>
      <c r="W489" s="4">
        <v>-4</v>
      </c>
      <c r="X489" s="8" t="s">
        <v>1876</v>
      </c>
      <c r="Y489" s="8">
        <f>IF(ISNUMBER(SEARCH(Z489,TalentFlaw)),-20,0)</f>
        <v>0</v>
      </c>
      <c r="Z489" s="3" t="str">
        <f t="shared" si="11"/>
        <v>Poor Touch IV;</v>
      </c>
      <c r="AT489">
        <v>488</v>
      </c>
      <c r="AU489" s="62">
        <v>138</v>
      </c>
    </row>
    <row r="490" spans="22:47" x14ac:dyDescent="0.25">
      <c r="V490" s="4" t="s">
        <v>1877</v>
      </c>
      <c r="W490" s="4">
        <v>-5</v>
      </c>
      <c r="X490" s="8" t="s">
        <v>1878</v>
      </c>
      <c r="Y490" s="8">
        <f>IF(ISNUMBER(SEARCH(Z490,TalentFlaw)),-25,0)</f>
        <v>0</v>
      </c>
      <c r="Z490" s="3" t="str">
        <f t="shared" si="11"/>
        <v>Poor Touch V;</v>
      </c>
      <c r="AT490">
        <v>489</v>
      </c>
      <c r="AU490" s="62">
        <v>139</v>
      </c>
    </row>
    <row r="491" spans="22:47" x14ac:dyDescent="0.25">
      <c r="V491" s="4" t="s">
        <v>1879</v>
      </c>
      <c r="W491" s="4">
        <v>-4</v>
      </c>
      <c r="X491" s="8" t="s">
        <v>1880</v>
      </c>
      <c r="Y491" s="8">
        <f>IF(ISNUMBER(SEARCH(Z491,TalentFlaw)),-5,0)</f>
        <v>0</v>
      </c>
      <c r="Z491" s="3" t="str">
        <f t="shared" si="11"/>
        <v>Poor Vision I;</v>
      </c>
      <c r="AT491">
        <v>490</v>
      </c>
      <c r="AU491" s="62">
        <v>139</v>
      </c>
    </row>
    <row r="492" spans="22:47" x14ac:dyDescent="0.25">
      <c r="V492" s="4" t="s">
        <v>1881</v>
      </c>
      <c r="W492" s="4">
        <v>-8</v>
      </c>
      <c r="X492" s="8" t="s">
        <v>1882</v>
      </c>
      <c r="Y492" s="8">
        <f>IF(ISNUMBER(SEARCH(Z492,TalentFlaw)),-10,0)</f>
        <v>0</v>
      </c>
      <c r="Z492" s="3" t="str">
        <f t="shared" si="11"/>
        <v>Poor Vision II;</v>
      </c>
      <c r="AT492">
        <v>491</v>
      </c>
      <c r="AU492" s="62">
        <v>139</v>
      </c>
    </row>
    <row r="493" spans="22:47" x14ac:dyDescent="0.25">
      <c r="V493" s="4" t="s">
        <v>1883</v>
      </c>
      <c r="W493" s="4">
        <v>-12</v>
      </c>
      <c r="X493" s="8" t="s">
        <v>1884</v>
      </c>
      <c r="Y493" s="8">
        <f>IF(ISNUMBER(SEARCH(Z493,TalentFlaw)),-15,0)</f>
        <v>0</v>
      </c>
      <c r="Z493" s="3" t="str">
        <f t="shared" si="11"/>
        <v>Poor Vision III;</v>
      </c>
      <c r="AT493">
        <v>492</v>
      </c>
      <c r="AU493" s="62">
        <v>140</v>
      </c>
    </row>
    <row r="494" spans="22:47" x14ac:dyDescent="0.25">
      <c r="V494" s="4" t="s">
        <v>1885</v>
      </c>
      <c r="W494" s="4">
        <v>-16</v>
      </c>
      <c r="X494" s="8" t="s">
        <v>1886</v>
      </c>
      <c r="Y494" s="8">
        <f>IF(ISNUMBER(SEARCH(Z494,TalentFlaw)),-20,0)</f>
        <v>0</v>
      </c>
      <c r="Z494" s="3" t="str">
        <f t="shared" si="11"/>
        <v>Poor Vision IV;</v>
      </c>
      <c r="AT494">
        <v>493</v>
      </c>
      <c r="AU494" s="62">
        <v>140</v>
      </c>
    </row>
    <row r="495" spans="22:47" x14ac:dyDescent="0.25">
      <c r="V495" s="4" t="s">
        <v>1887</v>
      </c>
      <c r="W495" s="4">
        <v>-20</v>
      </c>
      <c r="X495" s="8" t="s">
        <v>1888</v>
      </c>
      <c r="Y495" s="8">
        <f>IF(ISNUMBER(SEARCH(Z495,TalentFlaw)),-25,0)</f>
        <v>0</v>
      </c>
      <c r="Z495" s="3" t="str">
        <f t="shared" si="11"/>
        <v>Poor Vision V;</v>
      </c>
      <c r="AT495">
        <v>494</v>
      </c>
      <c r="AU495" s="62">
        <v>140</v>
      </c>
    </row>
    <row r="496" spans="22:47" x14ac:dyDescent="0.25">
      <c r="V496" s="4" t="s">
        <v>1889</v>
      </c>
      <c r="W496" s="4">
        <v>-4</v>
      </c>
      <c r="X496" s="8" t="s">
        <v>1890</v>
      </c>
      <c r="Y496" s="8">
        <v>0</v>
      </c>
      <c r="Z496" s="3" t="str">
        <f t="shared" si="11"/>
        <v>Restless Sleeper I;</v>
      </c>
      <c r="AT496">
        <v>495</v>
      </c>
      <c r="AU496" s="62">
        <v>141</v>
      </c>
    </row>
    <row r="497" spans="22:47" x14ac:dyDescent="0.25">
      <c r="V497" s="4" t="s">
        <v>1891</v>
      </c>
      <c r="W497" s="4">
        <v>-8</v>
      </c>
      <c r="X497" s="8" t="s">
        <v>1892</v>
      </c>
      <c r="Y497" s="8">
        <v>0</v>
      </c>
      <c r="Z497" s="3" t="str">
        <f t="shared" si="11"/>
        <v>Restless Sleeper II;</v>
      </c>
      <c r="AT497">
        <v>496</v>
      </c>
      <c r="AU497" s="62">
        <v>141</v>
      </c>
    </row>
    <row r="498" spans="22:47" x14ac:dyDescent="0.25">
      <c r="V498" s="4" t="s">
        <v>1893</v>
      </c>
      <c r="W498" s="4">
        <v>-5</v>
      </c>
      <c r="X498" s="8" t="s">
        <v>1894</v>
      </c>
      <c r="Y498" s="8">
        <v>0</v>
      </c>
      <c r="Z498" s="3" t="str">
        <f t="shared" si="11"/>
        <v>Restricted Diet (carnivore);</v>
      </c>
      <c r="AT498">
        <v>497</v>
      </c>
      <c r="AU498" s="62">
        <v>141</v>
      </c>
    </row>
    <row r="499" spans="22:47" x14ac:dyDescent="0.25">
      <c r="V499" s="4" t="s">
        <v>1895</v>
      </c>
      <c r="W499" s="4">
        <v>-5</v>
      </c>
      <c r="X499" s="8" t="s">
        <v>1896</v>
      </c>
      <c r="Y499" s="8">
        <v>0</v>
      </c>
      <c r="Z499" s="3" t="str">
        <f t="shared" si="11"/>
        <v>Restricted Diet (herbivore);</v>
      </c>
      <c r="AT499">
        <v>498</v>
      </c>
      <c r="AU499" s="62">
        <v>142</v>
      </c>
    </row>
    <row r="500" spans="22:47" x14ac:dyDescent="0.25">
      <c r="V500" s="4" t="s">
        <v>1897</v>
      </c>
      <c r="W500" s="4">
        <v>-15</v>
      </c>
      <c r="X500" s="8" t="s">
        <v>1898</v>
      </c>
      <c r="Y500" s="8">
        <v>0</v>
      </c>
      <c r="Z500" s="3" t="str">
        <f t="shared" si="11"/>
        <v>Revulsion;</v>
      </c>
      <c r="AT500">
        <v>499</v>
      </c>
      <c r="AU500" s="62">
        <v>142</v>
      </c>
    </row>
    <row r="501" spans="22:47" x14ac:dyDescent="0.25">
      <c r="V501" s="4" t="s">
        <v>1899</v>
      </c>
      <c r="W501" s="4">
        <v>-10</v>
      </c>
      <c r="X501" s="8" t="s">
        <v>1900</v>
      </c>
      <c r="Y501" s="8">
        <f>IF(ISNUMBER(SEARCH(Z501,TalentFlaw)),2,1)</f>
        <v>1</v>
      </c>
      <c r="Z501" s="3" t="str">
        <f t="shared" si="11"/>
        <v>Slow Healer;</v>
      </c>
      <c r="AT501">
        <v>500</v>
      </c>
      <c r="AU501" s="62">
        <v>142</v>
      </c>
    </row>
    <row r="502" spans="22:47" x14ac:dyDescent="0.25">
      <c r="V502" s="4" t="s">
        <v>1901</v>
      </c>
      <c r="W502" s="4">
        <v>-10</v>
      </c>
      <c r="X502" s="8" t="s">
        <v>1902</v>
      </c>
      <c r="Y502" s="8">
        <v>0</v>
      </c>
      <c r="Z502" s="3" t="str">
        <f t="shared" si="11"/>
        <v>Uncoordinated I;</v>
      </c>
      <c r="AT502">
        <v>501</v>
      </c>
      <c r="AU502" s="62">
        <v>143</v>
      </c>
    </row>
    <row r="503" spans="22:47" x14ac:dyDescent="0.25">
      <c r="V503" s="4" t="s">
        <v>1903</v>
      </c>
      <c r="W503" s="4">
        <v>-20</v>
      </c>
      <c r="X503" s="8" t="s">
        <v>1904</v>
      </c>
      <c r="Y503" s="8">
        <v>0</v>
      </c>
      <c r="Z503" s="3" t="str">
        <f t="shared" si="11"/>
        <v>Uncoordinated II;</v>
      </c>
      <c r="AT503">
        <v>502</v>
      </c>
      <c r="AU503" s="62">
        <v>143</v>
      </c>
    </row>
    <row r="504" spans="22:47" x14ac:dyDescent="0.25">
      <c r="V504" s="4" t="s">
        <v>1905</v>
      </c>
      <c r="W504" s="4">
        <v>-5</v>
      </c>
      <c r="X504" s="8" t="s">
        <v>1906</v>
      </c>
      <c r="Y504" s="8">
        <f>IF(ISNUMBER(SEARCH(Z504,TalentFlaw)),-1,0)</f>
        <v>0</v>
      </c>
      <c r="Z504" s="3" t="str">
        <f t="shared" si="11"/>
        <v>Weak Natural Attack I;</v>
      </c>
      <c r="AT504">
        <v>503</v>
      </c>
      <c r="AU504" s="62">
        <v>143</v>
      </c>
    </row>
    <row r="505" spans="22:47" x14ac:dyDescent="0.25">
      <c r="V505" s="4" t="s">
        <v>1907</v>
      </c>
      <c r="W505" s="4">
        <v>-10</v>
      </c>
      <c r="X505" s="8" t="s">
        <v>1908</v>
      </c>
      <c r="Y505" s="8">
        <f>IF(ISNUMBER(SEARCH(Z505,TalentFlaw)),-2,0)</f>
        <v>0</v>
      </c>
      <c r="Z505" s="3" t="str">
        <f t="shared" si="11"/>
        <v>Weak Natural Attack II;</v>
      </c>
      <c r="AT505">
        <v>504</v>
      </c>
      <c r="AU505" s="62">
        <v>144</v>
      </c>
    </row>
    <row r="506" spans="22:47" x14ac:dyDescent="0.25">
      <c r="V506" s="4" t="s">
        <v>1909</v>
      </c>
      <c r="W506" s="4">
        <v>-15</v>
      </c>
      <c r="X506" s="8" t="s">
        <v>1910</v>
      </c>
      <c r="Y506" s="8">
        <f>IF(ISNUMBER(SEARCH(Z506,TalentFlaw)),-3,0)</f>
        <v>0</v>
      </c>
      <c r="Z506" s="3" t="str">
        <f t="shared" si="11"/>
        <v>Weak Natural Attack III;</v>
      </c>
      <c r="AT506">
        <v>505</v>
      </c>
      <c r="AU506" s="62">
        <v>144</v>
      </c>
    </row>
    <row r="507" spans="22:47" x14ac:dyDescent="0.25">
      <c r="V507" s="4" t="s">
        <v>921</v>
      </c>
      <c r="W507" s="4">
        <v>-4</v>
      </c>
      <c r="X507" s="8" t="s">
        <v>1911</v>
      </c>
      <c r="Y507" s="8">
        <f>IF(ISNUMBER(SEARCH(Z507,TalentFlaw)),-5,0)</f>
        <v>0</v>
      </c>
      <c r="Z507" s="3" t="str">
        <f t="shared" si="11"/>
        <v>Weakness to Elements (cold) I;</v>
      </c>
      <c r="AT507">
        <v>506</v>
      </c>
      <c r="AU507" s="62">
        <v>144</v>
      </c>
    </row>
    <row r="508" spans="22:47" x14ac:dyDescent="0.25">
      <c r="V508" s="4" t="s">
        <v>1912</v>
      </c>
      <c r="W508" s="4">
        <v>-8</v>
      </c>
      <c r="X508" s="8" t="s">
        <v>1913</v>
      </c>
      <c r="Y508" s="8">
        <f>IF(ISNUMBER(SEARCH(Z508,TalentFlaw)),-10,0)</f>
        <v>0</v>
      </c>
      <c r="Z508" s="3" t="str">
        <f t="shared" si="11"/>
        <v>Weakness to Elements (cold) II;</v>
      </c>
      <c r="AT508">
        <v>507</v>
      </c>
      <c r="AU508" s="62">
        <v>145</v>
      </c>
    </row>
    <row r="509" spans="22:47" x14ac:dyDescent="0.25">
      <c r="V509" s="4" t="s">
        <v>1914</v>
      </c>
      <c r="W509" s="4">
        <v>-12</v>
      </c>
      <c r="X509" s="8" t="s">
        <v>1915</v>
      </c>
      <c r="Y509" s="8">
        <f>IF(ISNUMBER(SEARCH(Z509,TalentFlaw)),-15,0)</f>
        <v>0</v>
      </c>
      <c r="Z509" s="3" t="str">
        <f t="shared" si="11"/>
        <v>Weakness to Elements (cold) III;</v>
      </c>
      <c r="AT509">
        <v>508</v>
      </c>
      <c r="AU509" s="62">
        <v>145</v>
      </c>
    </row>
    <row r="510" spans="22:47" x14ac:dyDescent="0.25">
      <c r="V510" s="4" t="s">
        <v>1916</v>
      </c>
      <c r="W510" s="4">
        <v>-16</v>
      </c>
      <c r="X510" s="8" t="s">
        <v>1917</v>
      </c>
      <c r="Y510" s="8">
        <f>IF(ISNUMBER(SEARCH(Z510,TalentFlaw)),-20,0)</f>
        <v>0</v>
      </c>
      <c r="Z510" s="3" t="str">
        <f t="shared" si="11"/>
        <v>Weakness to Elements (cold) IV;</v>
      </c>
      <c r="AT510">
        <v>509</v>
      </c>
      <c r="AU510" s="62">
        <v>145</v>
      </c>
    </row>
    <row r="511" spans="22:47" x14ac:dyDescent="0.25">
      <c r="V511" s="4" t="s">
        <v>1918</v>
      </c>
      <c r="W511" s="4">
        <v>-4</v>
      </c>
      <c r="X511" s="8" t="s">
        <v>1919</v>
      </c>
      <c r="Y511" s="8">
        <f>IF(ISNUMBER(SEARCH(Z511,TalentFlaw)),-5,0)</f>
        <v>0</v>
      </c>
      <c r="Z511" s="3" t="str">
        <f t="shared" si="11"/>
        <v>Weakness to Elements (heat) I;</v>
      </c>
      <c r="AT511">
        <v>510</v>
      </c>
      <c r="AU511" s="62">
        <v>146</v>
      </c>
    </row>
    <row r="512" spans="22:47" x14ac:dyDescent="0.25">
      <c r="V512" s="4" t="s">
        <v>1920</v>
      </c>
      <c r="W512" s="4">
        <v>-8</v>
      </c>
      <c r="X512" s="8" t="s">
        <v>1921</v>
      </c>
      <c r="Y512" s="8">
        <f>IF(ISNUMBER(SEARCH(Z512,TalentFlaw)),-10,0)</f>
        <v>0</v>
      </c>
      <c r="Z512" s="3" t="str">
        <f t="shared" si="11"/>
        <v>Weakness to Elements (heat) II;</v>
      </c>
      <c r="AT512">
        <v>511</v>
      </c>
      <c r="AU512" s="62">
        <v>146</v>
      </c>
    </row>
    <row r="513" spans="22:47" x14ac:dyDescent="0.25">
      <c r="V513" s="4" t="s">
        <v>1922</v>
      </c>
      <c r="W513" s="4">
        <v>-12</v>
      </c>
      <c r="X513" s="8" t="s">
        <v>1923</v>
      </c>
      <c r="Y513" s="8">
        <f>IF(ISNUMBER(SEARCH(Z513,TalentFlaw)),-15,0)</f>
        <v>0</v>
      </c>
      <c r="Z513" s="3" t="str">
        <f t="shared" si="11"/>
        <v>Weakness to Elements (heat) III;</v>
      </c>
      <c r="AT513">
        <v>512</v>
      </c>
      <c r="AU513" s="62">
        <v>146</v>
      </c>
    </row>
    <row r="514" spans="22:47" x14ac:dyDescent="0.25">
      <c r="V514" s="4" t="s">
        <v>1924</v>
      </c>
      <c r="W514" s="4">
        <v>-16</v>
      </c>
      <c r="X514" s="8" t="s">
        <v>1925</v>
      </c>
      <c r="Y514" s="8">
        <f>IF(ISNUMBER(SEARCH(Z514,TalentFlaw)),-20,0)</f>
        <v>0</v>
      </c>
      <c r="Z514" s="3" t="str">
        <f t="shared" si="11"/>
        <v>Weakness to Elements (heat) IV;</v>
      </c>
      <c r="AT514">
        <v>513</v>
      </c>
      <c r="AU514" s="62">
        <v>147</v>
      </c>
    </row>
    <row r="515" spans="22:47" x14ac:dyDescent="0.25">
      <c r="V515" s="4" t="s">
        <v>1926</v>
      </c>
      <c r="W515" s="4">
        <v>-4</v>
      </c>
      <c r="X515" s="8" t="s">
        <v>1927</v>
      </c>
      <c r="Y515" s="8">
        <f>IF(ISNUMBER(SEARCH(Z515,TalentFlaw)),-5,0)</f>
        <v>0</v>
      </c>
      <c r="Z515" s="3" t="str">
        <f>V515&amp;";"</f>
        <v>Weakness to Elements (light) I;</v>
      </c>
      <c r="AT515">
        <v>514</v>
      </c>
      <c r="AU515" s="62">
        <v>147</v>
      </c>
    </row>
    <row r="516" spans="22:47" x14ac:dyDescent="0.25">
      <c r="V516" s="4" t="s">
        <v>1928</v>
      </c>
      <c r="W516" s="4">
        <v>-8</v>
      </c>
      <c r="X516" s="8" t="s">
        <v>1929</v>
      </c>
      <c r="Y516" s="8">
        <f>IF(ISNUMBER(SEARCH(Z516,TalentFlaw)),-10,0)</f>
        <v>0</v>
      </c>
      <c r="Z516" s="3" t="str">
        <f>V516&amp;";"</f>
        <v>Weakness to Elements (light) II;</v>
      </c>
      <c r="AT516">
        <v>515</v>
      </c>
      <c r="AU516" s="62">
        <v>147</v>
      </c>
    </row>
    <row r="517" spans="22:47" x14ac:dyDescent="0.25">
      <c r="V517" s="4" t="s">
        <v>1930</v>
      </c>
      <c r="W517" s="4">
        <v>-12</v>
      </c>
      <c r="X517" s="8" t="s">
        <v>1931</v>
      </c>
      <c r="Y517" s="8">
        <f>IF(ISNUMBER(SEARCH(Z517,TalentFlaw)),-15,0)</f>
        <v>0</v>
      </c>
      <c r="Z517" s="3" t="str">
        <f>V517&amp;";"</f>
        <v>Weakness to Elements (light) III;</v>
      </c>
      <c r="AT517">
        <v>516</v>
      </c>
      <c r="AU517" s="62">
        <v>148</v>
      </c>
    </row>
    <row r="518" spans="22:47" x14ac:dyDescent="0.25">
      <c r="V518" s="4" t="s">
        <v>1932</v>
      </c>
      <c r="W518" s="4">
        <v>-16</v>
      </c>
      <c r="X518" s="8" t="s">
        <v>1933</v>
      </c>
      <c r="Y518" s="8">
        <f>IF(ISNUMBER(SEARCH(Z518,TalentFlaw)),-20,0)</f>
        <v>0</v>
      </c>
      <c r="Z518" s="3" t="str">
        <f>V518&amp;";"</f>
        <v>Weakness to Elements (light) IV;</v>
      </c>
      <c r="AT518">
        <v>517</v>
      </c>
      <c r="AU518" s="62">
        <v>148</v>
      </c>
    </row>
    <row r="519" spans="22:47" x14ac:dyDescent="0.25">
      <c r="AT519">
        <v>518</v>
      </c>
      <c r="AU519" s="62">
        <v>148</v>
      </c>
    </row>
    <row r="520" spans="22:47" x14ac:dyDescent="0.25">
      <c r="AT520">
        <v>519</v>
      </c>
      <c r="AU520" s="62">
        <v>149</v>
      </c>
    </row>
    <row r="521" spans="22:47" x14ac:dyDescent="0.25">
      <c r="AT521">
        <v>520</v>
      </c>
      <c r="AU521" s="62">
        <v>149</v>
      </c>
    </row>
    <row r="522" spans="22:47" x14ac:dyDescent="0.25">
      <c r="AT522">
        <v>521</v>
      </c>
      <c r="AU522" s="62">
        <v>149</v>
      </c>
    </row>
    <row r="523" spans="22:47" x14ac:dyDescent="0.25">
      <c r="AT523">
        <v>522</v>
      </c>
      <c r="AU523" s="62">
        <v>150</v>
      </c>
    </row>
    <row r="524" spans="22:47" x14ac:dyDescent="0.25">
      <c r="AT524">
        <v>523</v>
      </c>
      <c r="AU524" s="62">
        <v>150</v>
      </c>
    </row>
    <row r="525" spans="22:47" x14ac:dyDescent="0.25">
      <c r="AT525">
        <v>524</v>
      </c>
      <c r="AU525" s="62">
        <v>150</v>
      </c>
    </row>
    <row r="526" spans="22:47" x14ac:dyDescent="0.25">
      <c r="AT526">
        <v>525</v>
      </c>
      <c r="AU526" s="62">
        <v>151</v>
      </c>
    </row>
    <row r="527" spans="22:47" x14ac:dyDescent="0.25">
      <c r="AT527">
        <v>526</v>
      </c>
      <c r="AU527" s="62">
        <v>151</v>
      </c>
    </row>
    <row r="528" spans="22:47" x14ac:dyDescent="0.25">
      <c r="AT528">
        <v>527</v>
      </c>
      <c r="AU528" s="62">
        <v>151</v>
      </c>
    </row>
    <row r="529" spans="46:47" x14ac:dyDescent="0.25">
      <c r="AT529">
        <v>528</v>
      </c>
      <c r="AU529" s="62">
        <v>152</v>
      </c>
    </row>
    <row r="530" spans="46:47" x14ac:dyDescent="0.25">
      <c r="AT530">
        <v>529</v>
      </c>
      <c r="AU530" s="62">
        <v>152</v>
      </c>
    </row>
    <row r="531" spans="46:47" x14ac:dyDescent="0.25">
      <c r="AT531">
        <v>530</v>
      </c>
      <c r="AU531" s="62">
        <v>152</v>
      </c>
    </row>
    <row r="532" spans="46:47" x14ac:dyDescent="0.25">
      <c r="AT532">
        <v>531</v>
      </c>
      <c r="AU532" s="62">
        <v>153</v>
      </c>
    </row>
    <row r="533" spans="46:47" x14ac:dyDescent="0.25">
      <c r="AT533">
        <v>532</v>
      </c>
      <c r="AU533" s="62">
        <v>153</v>
      </c>
    </row>
    <row r="534" spans="46:47" x14ac:dyDescent="0.25">
      <c r="AT534">
        <v>533</v>
      </c>
      <c r="AU534" s="62">
        <v>153</v>
      </c>
    </row>
    <row r="535" spans="46:47" x14ac:dyDescent="0.25">
      <c r="AT535">
        <v>534</v>
      </c>
      <c r="AU535" s="62">
        <v>154</v>
      </c>
    </row>
    <row r="536" spans="46:47" x14ac:dyDescent="0.25">
      <c r="AT536">
        <v>535</v>
      </c>
      <c r="AU536" s="62">
        <v>154</v>
      </c>
    </row>
    <row r="537" spans="46:47" x14ac:dyDescent="0.25">
      <c r="AT537">
        <v>536</v>
      </c>
      <c r="AU537" s="62">
        <v>154</v>
      </c>
    </row>
    <row r="538" spans="46:47" x14ac:dyDescent="0.25">
      <c r="AT538">
        <v>537</v>
      </c>
      <c r="AU538" s="62">
        <v>155</v>
      </c>
    </row>
    <row r="539" spans="46:47" x14ac:dyDescent="0.25">
      <c r="AT539">
        <v>538</v>
      </c>
      <c r="AU539" s="62">
        <v>155</v>
      </c>
    </row>
    <row r="540" spans="46:47" x14ac:dyDescent="0.25">
      <c r="AT540">
        <v>539</v>
      </c>
      <c r="AU540" s="62">
        <v>155</v>
      </c>
    </row>
    <row r="541" spans="46:47" x14ac:dyDescent="0.25">
      <c r="AT541">
        <v>540</v>
      </c>
      <c r="AU541" s="62">
        <v>156</v>
      </c>
    </row>
    <row r="542" spans="46:47" x14ac:dyDescent="0.25">
      <c r="AT542">
        <v>541</v>
      </c>
      <c r="AU542" s="62">
        <v>156</v>
      </c>
    </row>
    <row r="543" spans="46:47" x14ac:dyDescent="0.25">
      <c r="AT543">
        <v>542</v>
      </c>
      <c r="AU543" s="62">
        <v>156</v>
      </c>
    </row>
    <row r="544" spans="46:47" x14ac:dyDescent="0.25">
      <c r="AT544">
        <v>543</v>
      </c>
      <c r="AU544" s="62">
        <v>157</v>
      </c>
    </row>
    <row r="545" spans="46:47" x14ac:dyDescent="0.25">
      <c r="AT545">
        <v>544</v>
      </c>
      <c r="AU545" s="62">
        <v>157</v>
      </c>
    </row>
    <row r="546" spans="46:47" x14ac:dyDescent="0.25">
      <c r="AT546">
        <v>545</v>
      </c>
      <c r="AU546" s="62">
        <v>157</v>
      </c>
    </row>
    <row r="547" spans="46:47" x14ac:dyDescent="0.25">
      <c r="AT547">
        <v>546</v>
      </c>
      <c r="AU547" s="62">
        <v>158</v>
      </c>
    </row>
    <row r="548" spans="46:47" x14ac:dyDescent="0.25">
      <c r="AT548">
        <v>547</v>
      </c>
      <c r="AU548" s="62">
        <v>158</v>
      </c>
    </row>
    <row r="549" spans="46:47" x14ac:dyDescent="0.25">
      <c r="AT549">
        <v>548</v>
      </c>
      <c r="AU549" s="62">
        <v>158</v>
      </c>
    </row>
    <row r="550" spans="46:47" x14ac:dyDescent="0.25">
      <c r="AT550">
        <v>549</v>
      </c>
      <c r="AU550" s="62">
        <v>159</v>
      </c>
    </row>
    <row r="551" spans="46:47" x14ac:dyDescent="0.25">
      <c r="AT551">
        <v>550</v>
      </c>
      <c r="AU551" s="62">
        <v>159</v>
      </c>
    </row>
    <row r="552" spans="46:47" x14ac:dyDescent="0.25">
      <c r="AT552">
        <v>551</v>
      </c>
      <c r="AU552" s="62">
        <v>159</v>
      </c>
    </row>
    <row r="553" spans="46:47" x14ac:dyDescent="0.25">
      <c r="AT553">
        <v>552</v>
      </c>
      <c r="AU553" s="62">
        <v>160</v>
      </c>
    </row>
    <row r="554" spans="46:47" x14ac:dyDescent="0.25">
      <c r="AT554">
        <v>553</v>
      </c>
      <c r="AU554" s="62">
        <v>160</v>
      </c>
    </row>
    <row r="555" spans="46:47" x14ac:dyDescent="0.25">
      <c r="AT555">
        <v>554</v>
      </c>
      <c r="AU555" s="62">
        <v>160</v>
      </c>
    </row>
    <row r="556" spans="46:47" x14ac:dyDescent="0.25">
      <c r="AT556">
        <v>555</v>
      </c>
      <c r="AU556" s="62">
        <v>161</v>
      </c>
    </row>
    <row r="557" spans="46:47" x14ac:dyDescent="0.25">
      <c r="AT557">
        <v>556</v>
      </c>
      <c r="AU557" s="62">
        <v>161</v>
      </c>
    </row>
    <row r="558" spans="46:47" x14ac:dyDescent="0.25">
      <c r="AT558">
        <v>557</v>
      </c>
      <c r="AU558" s="62">
        <v>161</v>
      </c>
    </row>
    <row r="559" spans="46:47" x14ac:dyDescent="0.25">
      <c r="AT559">
        <v>558</v>
      </c>
      <c r="AU559" s="62">
        <v>162</v>
      </c>
    </row>
    <row r="560" spans="46:47" x14ac:dyDescent="0.25">
      <c r="AT560">
        <v>559</v>
      </c>
      <c r="AU560" s="62">
        <v>162</v>
      </c>
    </row>
    <row r="561" spans="46:47" x14ac:dyDescent="0.25">
      <c r="AT561">
        <v>560</v>
      </c>
      <c r="AU561" s="62">
        <v>162</v>
      </c>
    </row>
    <row r="562" spans="46:47" x14ac:dyDescent="0.25">
      <c r="AT562">
        <v>561</v>
      </c>
      <c r="AU562" s="62">
        <v>163</v>
      </c>
    </row>
    <row r="563" spans="46:47" x14ac:dyDescent="0.25">
      <c r="AT563">
        <v>562</v>
      </c>
      <c r="AU563" s="62">
        <v>163</v>
      </c>
    </row>
    <row r="564" spans="46:47" x14ac:dyDescent="0.25">
      <c r="AT564">
        <v>563</v>
      </c>
      <c r="AU564" s="62">
        <v>163</v>
      </c>
    </row>
    <row r="565" spans="46:47" x14ac:dyDescent="0.25">
      <c r="AT565">
        <v>564</v>
      </c>
      <c r="AU565" s="62">
        <v>164</v>
      </c>
    </row>
    <row r="566" spans="46:47" x14ac:dyDescent="0.25">
      <c r="AT566">
        <v>565</v>
      </c>
      <c r="AU566" s="62">
        <v>164</v>
      </c>
    </row>
    <row r="567" spans="46:47" x14ac:dyDescent="0.25">
      <c r="AT567">
        <v>566</v>
      </c>
      <c r="AU567" s="62">
        <v>164</v>
      </c>
    </row>
    <row r="568" spans="46:47" x14ac:dyDescent="0.25">
      <c r="AT568">
        <v>567</v>
      </c>
      <c r="AU568" s="62">
        <v>165</v>
      </c>
    </row>
    <row r="569" spans="46:47" x14ac:dyDescent="0.25">
      <c r="AT569">
        <v>568</v>
      </c>
      <c r="AU569" s="62">
        <v>165</v>
      </c>
    </row>
    <row r="570" spans="46:47" x14ac:dyDescent="0.25">
      <c r="AT570">
        <v>569</v>
      </c>
      <c r="AU570" s="62">
        <v>165</v>
      </c>
    </row>
    <row r="571" spans="46:47" x14ac:dyDescent="0.25">
      <c r="AT571">
        <v>570</v>
      </c>
      <c r="AU571" s="62">
        <v>166</v>
      </c>
    </row>
    <row r="572" spans="46:47" x14ac:dyDescent="0.25">
      <c r="AT572">
        <v>571</v>
      </c>
      <c r="AU572" s="62">
        <v>166</v>
      </c>
    </row>
    <row r="573" spans="46:47" x14ac:dyDescent="0.25">
      <c r="AT573">
        <v>572</v>
      </c>
      <c r="AU573" s="62">
        <v>166</v>
      </c>
    </row>
    <row r="574" spans="46:47" x14ac:dyDescent="0.25">
      <c r="AT574">
        <v>573</v>
      </c>
      <c r="AU574" s="62">
        <v>167</v>
      </c>
    </row>
    <row r="575" spans="46:47" x14ac:dyDescent="0.25">
      <c r="AT575">
        <v>574</v>
      </c>
      <c r="AU575" s="62">
        <v>167</v>
      </c>
    </row>
    <row r="576" spans="46:47" x14ac:dyDescent="0.25">
      <c r="AT576">
        <v>575</v>
      </c>
      <c r="AU576" s="62">
        <v>167</v>
      </c>
    </row>
    <row r="577" spans="46:47" x14ac:dyDescent="0.25">
      <c r="AT577">
        <v>576</v>
      </c>
      <c r="AU577" s="62">
        <v>168</v>
      </c>
    </row>
    <row r="578" spans="46:47" x14ac:dyDescent="0.25">
      <c r="AT578">
        <v>577</v>
      </c>
      <c r="AU578" s="62">
        <v>168</v>
      </c>
    </row>
    <row r="579" spans="46:47" x14ac:dyDescent="0.25">
      <c r="AT579">
        <v>578</v>
      </c>
      <c r="AU579" s="62">
        <v>168</v>
      </c>
    </row>
    <row r="580" spans="46:47" x14ac:dyDescent="0.25">
      <c r="AT580">
        <v>579</v>
      </c>
      <c r="AU580" s="62">
        <v>169</v>
      </c>
    </row>
    <row r="581" spans="46:47" x14ac:dyDescent="0.25">
      <c r="AT581">
        <v>580</v>
      </c>
      <c r="AU581" s="62">
        <v>169</v>
      </c>
    </row>
    <row r="582" spans="46:47" x14ac:dyDescent="0.25">
      <c r="AT582">
        <v>581</v>
      </c>
      <c r="AU582" s="62">
        <v>169</v>
      </c>
    </row>
    <row r="583" spans="46:47" x14ac:dyDescent="0.25">
      <c r="AT583">
        <v>582</v>
      </c>
      <c r="AU583" s="62">
        <v>170</v>
      </c>
    </row>
    <row r="584" spans="46:47" x14ac:dyDescent="0.25">
      <c r="AT584">
        <v>583</v>
      </c>
      <c r="AU584" s="62">
        <v>170</v>
      </c>
    </row>
    <row r="585" spans="46:47" x14ac:dyDescent="0.25">
      <c r="AT585">
        <v>584</v>
      </c>
      <c r="AU585" s="62">
        <v>170</v>
      </c>
    </row>
    <row r="586" spans="46:47" x14ac:dyDescent="0.25">
      <c r="AT586">
        <v>585</v>
      </c>
      <c r="AU586" s="62">
        <v>171</v>
      </c>
    </row>
    <row r="587" spans="46:47" x14ac:dyDescent="0.25">
      <c r="AT587">
        <v>586</v>
      </c>
      <c r="AU587" s="62">
        <v>171</v>
      </c>
    </row>
    <row r="588" spans="46:47" x14ac:dyDescent="0.25">
      <c r="AT588">
        <v>587</v>
      </c>
      <c r="AU588" s="62">
        <v>171</v>
      </c>
    </row>
    <row r="589" spans="46:47" x14ac:dyDescent="0.25">
      <c r="AT589">
        <v>588</v>
      </c>
      <c r="AU589" s="62">
        <v>172</v>
      </c>
    </row>
    <row r="590" spans="46:47" x14ac:dyDescent="0.25">
      <c r="AT590">
        <v>589</v>
      </c>
      <c r="AU590" s="62">
        <v>172</v>
      </c>
    </row>
    <row r="591" spans="46:47" x14ac:dyDescent="0.25">
      <c r="AT591">
        <v>590</v>
      </c>
      <c r="AU591" s="62">
        <v>172</v>
      </c>
    </row>
    <row r="592" spans="46:47" x14ac:dyDescent="0.25">
      <c r="AT592">
        <v>591</v>
      </c>
      <c r="AU592" s="62">
        <v>173</v>
      </c>
    </row>
    <row r="593" spans="46:47" x14ac:dyDescent="0.25">
      <c r="AT593">
        <v>592</v>
      </c>
      <c r="AU593" s="62">
        <v>173</v>
      </c>
    </row>
    <row r="594" spans="46:47" x14ac:dyDescent="0.25">
      <c r="AT594">
        <v>593</v>
      </c>
      <c r="AU594" s="62">
        <v>173</v>
      </c>
    </row>
    <row r="595" spans="46:47" x14ac:dyDescent="0.25">
      <c r="AT595">
        <v>594</v>
      </c>
      <c r="AU595" s="62">
        <v>174</v>
      </c>
    </row>
    <row r="596" spans="46:47" x14ac:dyDescent="0.25">
      <c r="AT596">
        <v>595</v>
      </c>
      <c r="AU596" s="62">
        <v>174</v>
      </c>
    </row>
    <row r="597" spans="46:47" x14ac:dyDescent="0.25">
      <c r="AT597">
        <v>596</v>
      </c>
      <c r="AU597" s="62">
        <v>174</v>
      </c>
    </row>
    <row r="598" spans="46:47" x14ac:dyDescent="0.25">
      <c r="AT598">
        <v>597</v>
      </c>
      <c r="AU598" s="62">
        <v>175</v>
      </c>
    </row>
    <row r="599" spans="46:47" x14ac:dyDescent="0.25">
      <c r="AT599">
        <v>598</v>
      </c>
      <c r="AU599" s="62">
        <v>175</v>
      </c>
    </row>
    <row r="600" spans="46:47" x14ac:dyDescent="0.25">
      <c r="AT600">
        <v>599</v>
      </c>
      <c r="AU600" s="62">
        <v>175</v>
      </c>
    </row>
    <row r="601" spans="46:47" x14ac:dyDescent="0.25">
      <c r="AT601">
        <v>600</v>
      </c>
      <c r="AU601" s="62">
        <v>176</v>
      </c>
    </row>
    <row r="602" spans="46:47" x14ac:dyDescent="0.25">
      <c r="AT602">
        <v>601</v>
      </c>
      <c r="AU602" s="62">
        <v>176</v>
      </c>
    </row>
    <row r="603" spans="46:47" x14ac:dyDescent="0.25">
      <c r="AT603">
        <v>602</v>
      </c>
      <c r="AU603" s="62">
        <v>176</v>
      </c>
    </row>
    <row r="604" spans="46:47" x14ac:dyDescent="0.25">
      <c r="AT604">
        <v>603</v>
      </c>
      <c r="AU604" s="62">
        <v>177</v>
      </c>
    </row>
    <row r="605" spans="46:47" x14ac:dyDescent="0.25">
      <c r="AT605">
        <v>604</v>
      </c>
      <c r="AU605" s="62">
        <v>177</v>
      </c>
    </row>
    <row r="606" spans="46:47" x14ac:dyDescent="0.25">
      <c r="AT606">
        <v>605</v>
      </c>
      <c r="AU606" s="62">
        <v>177</v>
      </c>
    </row>
    <row r="607" spans="46:47" x14ac:dyDescent="0.25">
      <c r="AT607">
        <v>606</v>
      </c>
      <c r="AU607" s="62">
        <v>178</v>
      </c>
    </row>
    <row r="608" spans="46:47" x14ac:dyDescent="0.25">
      <c r="AT608">
        <v>607</v>
      </c>
      <c r="AU608" s="62">
        <v>178</v>
      </c>
    </row>
    <row r="609" spans="46:47" x14ac:dyDescent="0.25">
      <c r="AT609">
        <v>608</v>
      </c>
      <c r="AU609" s="62">
        <v>178</v>
      </c>
    </row>
    <row r="610" spans="46:47" x14ac:dyDescent="0.25">
      <c r="AT610">
        <v>609</v>
      </c>
      <c r="AU610" s="62">
        <v>179</v>
      </c>
    </row>
    <row r="611" spans="46:47" x14ac:dyDescent="0.25">
      <c r="AT611">
        <v>610</v>
      </c>
      <c r="AU611" s="62">
        <v>179</v>
      </c>
    </row>
    <row r="612" spans="46:47" x14ac:dyDescent="0.25">
      <c r="AT612">
        <v>611</v>
      </c>
      <c r="AU612" s="62">
        <v>179</v>
      </c>
    </row>
    <row r="613" spans="46:47" x14ac:dyDescent="0.25">
      <c r="AT613">
        <v>612</v>
      </c>
      <c r="AU613" s="62">
        <v>180</v>
      </c>
    </row>
    <row r="614" spans="46:47" x14ac:dyDescent="0.25">
      <c r="AT614">
        <v>613</v>
      </c>
      <c r="AU614" s="62">
        <v>180</v>
      </c>
    </row>
    <row r="615" spans="46:47" x14ac:dyDescent="0.25">
      <c r="AT615">
        <v>614</v>
      </c>
      <c r="AU615" s="62">
        <v>180</v>
      </c>
    </row>
    <row r="616" spans="46:47" x14ac:dyDescent="0.25">
      <c r="AT616">
        <v>615</v>
      </c>
      <c r="AU616" s="62">
        <v>181</v>
      </c>
    </row>
    <row r="617" spans="46:47" x14ac:dyDescent="0.25">
      <c r="AT617">
        <v>616</v>
      </c>
      <c r="AU617" s="62">
        <v>181</v>
      </c>
    </row>
    <row r="618" spans="46:47" x14ac:dyDescent="0.25">
      <c r="AT618">
        <v>617</v>
      </c>
      <c r="AU618" s="62">
        <v>181</v>
      </c>
    </row>
    <row r="619" spans="46:47" x14ac:dyDescent="0.25">
      <c r="AT619">
        <v>618</v>
      </c>
      <c r="AU619" s="62">
        <v>182</v>
      </c>
    </row>
    <row r="620" spans="46:47" x14ac:dyDescent="0.25">
      <c r="AT620">
        <v>619</v>
      </c>
      <c r="AU620" s="62">
        <v>182</v>
      </c>
    </row>
    <row r="621" spans="46:47" x14ac:dyDescent="0.25">
      <c r="AT621">
        <v>620</v>
      </c>
      <c r="AU621" s="62">
        <v>182</v>
      </c>
    </row>
    <row r="622" spans="46:47" x14ac:dyDescent="0.25">
      <c r="AT622">
        <v>621</v>
      </c>
      <c r="AU622" s="62">
        <v>183</v>
      </c>
    </row>
    <row r="623" spans="46:47" x14ac:dyDescent="0.25">
      <c r="AT623">
        <v>622</v>
      </c>
      <c r="AU623" s="62">
        <v>183</v>
      </c>
    </row>
    <row r="624" spans="46:47" x14ac:dyDescent="0.25">
      <c r="AT624">
        <v>623</v>
      </c>
      <c r="AU624" s="62">
        <v>183</v>
      </c>
    </row>
    <row r="625" spans="46:47" x14ac:dyDescent="0.25">
      <c r="AT625">
        <v>624</v>
      </c>
      <c r="AU625" s="62">
        <v>184</v>
      </c>
    </row>
    <row r="626" spans="46:47" x14ac:dyDescent="0.25">
      <c r="AT626">
        <v>625</v>
      </c>
      <c r="AU626" s="62">
        <v>184</v>
      </c>
    </row>
    <row r="627" spans="46:47" x14ac:dyDescent="0.25">
      <c r="AT627">
        <v>626</v>
      </c>
      <c r="AU627" s="62">
        <v>184</v>
      </c>
    </row>
    <row r="628" spans="46:47" x14ac:dyDescent="0.25">
      <c r="AT628">
        <v>627</v>
      </c>
      <c r="AU628" s="62">
        <v>185</v>
      </c>
    </row>
    <row r="629" spans="46:47" x14ac:dyDescent="0.25">
      <c r="AT629">
        <v>628</v>
      </c>
      <c r="AU629" s="62">
        <v>185</v>
      </c>
    </row>
    <row r="630" spans="46:47" x14ac:dyDescent="0.25">
      <c r="AT630">
        <v>629</v>
      </c>
      <c r="AU630" s="62">
        <v>185</v>
      </c>
    </row>
    <row r="631" spans="46:47" x14ac:dyDescent="0.25">
      <c r="AT631">
        <v>630</v>
      </c>
      <c r="AU631" s="62">
        <v>186</v>
      </c>
    </row>
    <row r="632" spans="46:47" x14ac:dyDescent="0.25">
      <c r="AT632">
        <v>631</v>
      </c>
      <c r="AU632" s="62">
        <v>186</v>
      </c>
    </row>
    <row r="633" spans="46:47" x14ac:dyDescent="0.25">
      <c r="AT633">
        <v>632</v>
      </c>
      <c r="AU633" s="62">
        <v>186</v>
      </c>
    </row>
    <row r="634" spans="46:47" x14ac:dyDescent="0.25">
      <c r="AT634">
        <v>633</v>
      </c>
      <c r="AU634" s="62">
        <v>187</v>
      </c>
    </row>
    <row r="635" spans="46:47" x14ac:dyDescent="0.25">
      <c r="AT635">
        <v>634</v>
      </c>
      <c r="AU635" s="62">
        <v>187</v>
      </c>
    </row>
    <row r="636" spans="46:47" x14ac:dyDescent="0.25">
      <c r="AT636">
        <v>635</v>
      </c>
      <c r="AU636" s="62">
        <v>187</v>
      </c>
    </row>
    <row r="637" spans="46:47" x14ac:dyDescent="0.25">
      <c r="AT637">
        <v>636</v>
      </c>
      <c r="AU637" s="62">
        <v>188</v>
      </c>
    </row>
    <row r="638" spans="46:47" x14ac:dyDescent="0.25">
      <c r="AT638">
        <v>637</v>
      </c>
      <c r="AU638" s="62">
        <v>188</v>
      </c>
    </row>
    <row r="639" spans="46:47" x14ac:dyDescent="0.25">
      <c r="AT639">
        <v>638</v>
      </c>
      <c r="AU639" s="62">
        <v>188</v>
      </c>
    </row>
    <row r="640" spans="46:47" x14ac:dyDescent="0.25">
      <c r="AT640">
        <v>639</v>
      </c>
      <c r="AU640" s="62">
        <v>189</v>
      </c>
    </row>
    <row r="641" spans="46:47" x14ac:dyDescent="0.25">
      <c r="AT641">
        <v>640</v>
      </c>
      <c r="AU641" s="62">
        <v>189</v>
      </c>
    </row>
    <row r="642" spans="46:47" x14ac:dyDescent="0.25">
      <c r="AT642">
        <v>641</v>
      </c>
      <c r="AU642" s="62">
        <v>189</v>
      </c>
    </row>
    <row r="643" spans="46:47" x14ac:dyDescent="0.25">
      <c r="AT643">
        <v>642</v>
      </c>
      <c r="AU643" s="62">
        <v>190</v>
      </c>
    </row>
    <row r="644" spans="46:47" x14ac:dyDescent="0.25">
      <c r="AT644">
        <v>643</v>
      </c>
      <c r="AU644" s="62">
        <v>190</v>
      </c>
    </row>
    <row r="645" spans="46:47" x14ac:dyDescent="0.25">
      <c r="AT645">
        <v>644</v>
      </c>
      <c r="AU645" s="62">
        <v>190</v>
      </c>
    </row>
    <row r="646" spans="46:47" x14ac:dyDescent="0.25">
      <c r="AT646">
        <v>645</v>
      </c>
      <c r="AU646" s="62">
        <v>191</v>
      </c>
    </row>
    <row r="647" spans="46:47" x14ac:dyDescent="0.25">
      <c r="AT647">
        <v>646</v>
      </c>
      <c r="AU647" s="62">
        <v>191</v>
      </c>
    </row>
    <row r="648" spans="46:47" x14ac:dyDescent="0.25">
      <c r="AT648">
        <v>647</v>
      </c>
      <c r="AU648" s="62">
        <v>191</v>
      </c>
    </row>
    <row r="649" spans="46:47" x14ac:dyDescent="0.25">
      <c r="AT649">
        <v>648</v>
      </c>
      <c r="AU649" s="62">
        <v>192</v>
      </c>
    </row>
    <row r="650" spans="46:47" x14ac:dyDescent="0.25">
      <c r="AT650">
        <v>649</v>
      </c>
      <c r="AU650" s="62">
        <v>192</v>
      </c>
    </row>
    <row r="651" spans="46:47" x14ac:dyDescent="0.25">
      <c r="AT651">
        <v>650</v>
      </c>
      <c r="AU651" s="62">
        <v>192</v>
      </c>
    </row>
    <row r="652" spans="46:47" x14ac:dyDescent="0.25">
      <c r="AT652">
        <v>651</v>
      </c>
      <c r="AU652" s="62">
        <v>193</v>
      </c>
    </row>
    <row r="653" spans="46:47" x14ac:dyDescent="0.25">
      <c r="AT653">
        <v>652</v>
      </c>
      <c r="AU653" s="62">
        <v>193</v>
      </c>
    </row>
    <row r="654" spans="46:47" x14ac:dyDescent="0.25">
      <c r="AT654">
        <v>653</v>
      </c>
      <c r="AU654" s="62">
        <v>193</v>
      </c>
    </row>
    <row r="655" spans="46:47" x14ac:dyDescent="0.25">
      <c r="AT655">
        <v>654</v>
      </c>
      <c r="AU655" s="62">
        <v>194</v>
      </c>
    </row>
    <row r="656" spans="46:47" x14ac:dyDescent="0.25">
      <c r="AT656">
        <v>655</v>
      </c>
      <c r="AU656" s="62">
        <v>194</v>
      </c>
    </row>
    <row r="657" spans="46:47" x14ac:dyDescent="0.25">
      <c r="AT657">
        <v>656</v>
      </c>
      <c r="AU657" s="62">
        <v>194</v>
      </c>
    </row>
    <row r="658" spans="46:47" x14ac:dyDescent="0.25">
      <c r="AT658">
        <v>657</v>
      </c>
      <c r="AU658" s="62">
        <v>195</v>
      </c>
    </row>
    <row r="659" spans="46:47" x14ac:dyDescent="0.25">
      <c r="AT659">
        <v>658</v>
      </c>
      <c r="AU659" s="62">
        <v>195</v>
      </c>
    </row>
    <row r="660" spans="46:47" x14ac:dyDescent="0.25">
      <c r="AT660">
        <v>659</v>
      </c>
      <c r="AU660" s="62">
        <v>195</v>
      </c>
    </row>
    <row r="661" spans="46:47" x14ac:dyDescent="0.25">
      <c r="AT661">
        <v>660</v>
      </c>
      <c r="AU661" s="62">
        <v>196</v>
      </c>
    </row>
    <row r="662" spans="46:47" x14ac:dyDescent="0.25">
      <c r="AT662">
        <v>661</v>
      </c>
      <c r="AU662" s="62">
        <v>196</v>
      </c>
    </row>
    <row r="663" spans="46:47" x14ac:dyDescent="0.25">
      <c r="AT663">
        <v>662</v>
      </c>
      <c r="AU663" s="62">
        <v>196</v>
      </c>
    </row>
    <row r="664" spans="46:47" x14ac:dyDescent="0.25">
      <c r="AT664">
        <v>663</v>
      </c>
      <c r="AU664" s="62">
        <v>197</v>
      </c>
    </row>
    <row r="665" spans="46:47" x14ac:dyDescent="0.25">
      <c r="AT665">
        <v>664</v>
      </c>
      <c r="AU665" s="62">
        <v>197</v>
      </c>
    </row>
    <row r="666" spans="46:47" x14ac:dyDescent="0.25">
      <c r="AT666">
        <v>665</v>
      </c>
      <c r="AU666" s="62">
        <v>197</v>
      </c>
    </row>
    <row r="667" spans="46:47" x14ac:dyDescent="0.25">
      <c r="AT667">
        <v>666</v>
      </c>
      <c r="AU667" s="62">
        <v>198</v>
      </c>
    </row>
    <row r="668" spans="46:47" x14ac:dyDescent="0.25">
      <c r="AT668">
        <v>667</v>
      </c>
      <c r="AU668" s="62">
        <v>198</v>
      </c>
    </row>
    <row r="669" spans="46:47" x14ac:dyDescent="0.25">
      <c r="AT669">
        <v>668</v>
      </c>
      <c r="AU669" s="62">
        <v>198</v>
      </c>
    </row>
    <row r="670" spans="46:47" x14ac:dyDescent="0.25">
      <c r="AT670">
        <v>669</v>
      </c>
      <c r="AU670" s="62">
        <v>199</v>
      </c>
    </row>
    <row r="671" spans="46:47" x14ac:dyDescent="0.25">
      <c r="AT671">
        <v>670</v>
      </c>
      <c r="AU671" s="62">
        <v>199</v>
      </c>
    </row>
    <row r="672" spans="46:47" x14ac:dyDescent="0.25">
      <c r="AT672">
        <v>671</v>
      </c>
      <c r="AU672" s="62">
        <v>199</v>
      </c>
    </row>
    <row r="673" spans="46:47" x14ac:dyDescent="0.25">
      <c r="AT673">
        <v>672</v>
      </c>
      <c r="AU673" s="62">
        <v>200</v>
      </c>
    </row>
    <row r="674" spans="46:47" x14ac:dyDescent="0.25">
      <c r="AT674">
        <v>673</v>
      </c>
      <c r="AU674" s="62">
        <v>200</v>
      </c>
    </row>
    <row r="675" spans="46:47" x14ac:dyDescent="0.25">
      <c r="AT675">
        <v>674</v>
      </c>
      <c r="AU675" s="62">
        <v>200</v>
      </c>
    </row>
    <row r="676" spans="46:47" x14ac:dyDescent="0.25">
      <c r="AT676">
        <v>675</v>
      </c>
      <c r="AU676" s="62">
        <v>201</v>
      </c>
    </row>
    <row r="677" spans="46:47" x14ac:dyDescent="0.25">
      <c r="AT677">
        <v>676</v>
      </c>
      <c r="AU677" s="62">
        <v>201</v>
      </c>
    </row>
    <row r="678" spans="46:47" x14ac:dyDescent="0.25">
      <c r="AT678">
        <v>677</v>
      </c>
      <c r="AU678" s="62">
        <v>201</v>
      </c>
    </row>
    <row r="679" spans="46:47" x14ac:dyDescent="0.25">
      <c r="AT679">
        <v>678</v>
      </c>
      <c r="AU679" s="62">
        <v>202</v>
      </c>
    </row>
    <row r="680" spans="46:47" x14ac:dyDescent="0.25">
      <c r="AT680">
        <v>679</v>
      </c>
      <c r="AU680" s="62">
        <v>202</v>
      </c>
    </row>
    <row r="681" spans="46:47" x14ac:dyDescent="0.25">
      <c r="AT681">
        <v>680</v>
      </c>
      <c r="AU681" s="62">
        <v>202</v>
      </c>
    </row>
    <row r="682" spans="46:47" x14ac:dyDescent="0.25">
      <c r="AT682">
        <v>681</v>
      </c>
      <c r="AU682" s="62">
        <v>203</v>
      </c>
    </row>
    <row r="683" spans="46:47" x14ac:dyDescent="0.25">
      <c r="AT683">
        <v>682</v>
      </c>
      <c r="AU683" s="62">
        <v>203</v>
      </c>
    </row>
    <row r="684" spans="46:47" x14ac:dyDescent="0.25">
      <c r="AT684">
        <v>683</v>
      </c>
      <c r="AU684" s="62">
        <v>203</v>
      </c>
    </row>
    <row r="685" spans="46:47" x14ac:dyDescent="0.25">
      <c r="AT685">
        <v>684</v>
      </c>
      <c r="AU685" s="62">
        <v>204</v>
      </c>
    </row>
    <row r="686" spans="46:47" x14ac:dyDescent="0.25">
      <c r="AT686">
        <v>685</v>
      </c>
      <c r="AU686" s="62">
        <v>204</v>
      </c>
    </row>
    <row r="687" spans="46:47" x14ac:dyDescent="0.25">
      <c r="AT687">
        <v>686</v>
      </c>
      <c r="AU687" s="62">
        <v>204</v>
      </c>
    </row>
    <row r="688" spans="46:47" x14ac:dyDescent="0.25">
      <c r="AT688">
        <v>687</v>
      </c>
      <c r="AU688" s="62">
        <v>205</v>
      </c>
    </row>
    <row r="689" spans="46:47" x14ac:dyDescent="0.25">
      <c r="AT689">
        <v>688</v>
      </c>
      <c r="AU689" s="62">
        <v>205</v>
      </c>
    </row>
    <row r="690" spans="46:47" x14ac:dyDescent="0.25">
      <c r="AT690">
        <v>689</v>
      </c>
      <c r="AU690" s="62">
        <v>205</v>
      </c>
    </row>
    <row r="691" spans="46:47" x14ac:dyDescent="0.25">
      <c r="AT691">
        <v>690</v>
      </c>
      <c r="AU691" s="62">
        <v>206</v>
      </c>
    </row>
    <row r="692" spans="46:47" x14ac:dyDescent="0.25">
      <c r="AT692">
        <v>691</v>
      </c>
      <c r="AU692" s="62">
        <v>206</v>
      </c>
    </row>
    <row r="693" spans="46:47" x14ac:dyDescent="0.25">
      <c r="AT693">
        <v>692</v>
      </c>
      <c r="AU693" s="62">
        <v>206</v>
      </c>
    </row>
    <row r="694" spans="46:47" x14ac:dyDescent="0.25">
      <c r="AT694">
        <v>693</v>
      </c>
      <c r="AU694" s="62">
        <v>207</v>
      </c>
    </row>
    <row r="695" spans="46:47" x14ac:dyDescent="0.25">
      <c r="AT695">
        <v>694</v>
      </c>
      <c r="AU695" s="62">
        <v>207</v>
      </c>
    </row>
    <row r="696" spans="46:47" x14ac:dyDescent="0.25">
      <c r="AT696">
        <v>695</v>
      </c>
      <c r="AU696" s="62">
        <v>207</v>
      </c>
    </row>
    <row r="697" spans="46:47" x14ac:dyDescent="0.25">
      <c r="AT697">
        <v>696</v>
      </c>
      <c r="AU697" s="62">
        <v>208</v>
      </c>
    </row>
    <row r="698" spans="46:47" x14ac:dyDescent="0.25">
      <c r="AT698">
        <v>697</v>
      </c>
      <c r="AU698" s="62">
        <v>208</v>
      </c>
    </row>
    <row r="699" spans="46:47" x14ac:dyDescent="0.25">
      <c r="AT699">
        <v>698</v>
      </c>
      <c r="AU699" s="62">
        <v>208</v>
      </c>
    </row>
    <row r="700" spans="46:47" x14ac:dyDescent="0.25">
      <c r="AT700">
        <v>699</v>
      </c>
      <c r="AU700" s="62">
        <v>209</v>
      </c>
    </row>
    <row r="701" spans="46:47" x14ac:dyDescent="0.25">
      <c r="AT701">
        <v>700</v>
      </c>
      <c r="AU701" s="62">
        <v>209</v>
      </c>
    </row>
    <row r="702" spans="46:47" x14ac:dyDescent="0.25">
      <c r="AT702">
        <v>701</v>
      </c>
      <c r="AU702" s="62">
        <v>209</v>
      </c>
    </row>
    <row r="703" spans="46:47" x14ac:dyDescent="0.25">
      <c r="AT703">
        <v>702</v>
      </c>
      <c r="AU703" s="62">
        <v>210</v>
      </c>
    </row>
    <row r="704" spans="46:47" x14ac:dyDescent="0.25">
      <c r="AT704">
        <v>703</v>
      </c>
      <c r="AU704" s="62">
        <v>210</v>
      </c>
    </row>
    <row r="705" spans="46:47" x14ac:dyDescent="0.25">
      <c r="AT705">
        <v>704</v>
      </c>
      <c r="AU705" s="62">
        <v>210</v>
      </c>
    </row>
    <row r="706" spans="46:47" x14ac:dyDescent="0.25">
      <c r="AT706">
        <v>705</v>
      </c>
      <c r="AU706" s="62">
        <v>211</v>
      </c>
    </row>
    <row r="707" spans="46:47" x14ac:dyDescent="0.25">
      <c r="AT707">
        <v>706</v>
      </c>
      <c r="AU707" s="62">
        <v>211</v>
      </c>
    </row>
    <row r="708" spans="46:47" x14ac:dyDescent="0.25">
      <c r="AT708">
        <v>707</v>
      </c>
      <c r="AU708" s="62">
        <v>211</v>
      </c>
    </row>
    <row r="709" spans="46:47" x14ac:dyDescent="0.25">
      <c r="AT709">
        <v>708</v>
      </c>
      <c r="AU709" s="62">
        <v>212</v>
      </c>
    </row>
    <row r="710" spans="46:47" x14ac:dyDescent="0.25">
      <c r="AT710">
        <v>709</v>
      </c>
      <c r="AU710" s="62">
        <v>212</v>
      </c>
    </row>
    <row r="711" spans="46:47" x14ac:dyDescent="0.25">
      <c r="AT711">
        <v>710</v>
      </c>
      <c r="AU711" s="62">
        <v>212</v>
      </c>
    </row>
    <row r="712" spans="46:47" x14ac:dyDescent="0.25">
      <c r="AT712">
        <v>711</v>
      </c>
      <c r="AU712" s="62">
        <v>213</v>
      </c>
    </row>
    <row r="713" spans="46:47" x14ac:dyDescent="0.25">
      <c r="AT713">
        <v>712</v>
      </c>
      <c r="AU713" s="62">
        <v>213</v>
      </c>
    </row>
    <row r="714" spans="46:47" x14ac:dyDescent="0.25">
      <c r="AT714">
        <v>713</v>
      </c>
      <c r="AU714" s="62">
        <v>213</v>
      </c>
    </row>
    <row r="715" spans="46:47" x14ac:dyDescent="0.25">
      <c r="AT715">
        <v>714</v>
      </c>
      <c r="AU715" s="62">
        <v>214</v>
      </c>
    </row>
    <row r="716" spans="46:47" x14ac:dyDescent="0.25">
      <c r="AT716">
        <v>715</v>
      </c>
      <c r="AU716" s="62">
        <v>214</v>
      </c>
    </row>
    <row r="717" spans="46:47" x14ac:dyDescent="0.25">
      <c r="AT717">
        <v>716</v>
      </c>
      <c r="AU717" s="62">
        <v>214</v>
      </c>
    </row>
    <row r="718" spans="46:47" x14ac:dyDescent="0.25">
      <c r="AT718">
        <v>717</v>
      </c>
      <c r="AU718" s="62">
        <v>215</v>
      </c>
    </row>
    <row r="719" spans="46:47" x14ac:dyDescent="0.25">
      <c r="AT719">
        <v>718</v>
      </c>
      <c r="AU719" s="62">
        <v>215</v>
      </c>
    </row>
    <row r="720" spans="46:47" x14ac:dyDescent="0.25">
      <c r="AT720">
        <v>719</v>
      </c>
      <c r="AU720" s="62">
        <v>215</v>
      </c>
    </row>
    <row r="721" spans="46:47" x14ac:dyDescent="0.25">
      <c r="AT721">
        <v>720</v>
      </c>
      <c r="AU721" s="62">
        <v>216</v>
      </c>
    </row>
    <row r="722" spans="46:47" x14ac:dyDescent="0.25">
      <c r="AT722">
        <v>721</v>
      </c>
      <c r="AU722" s="62">
        <v>216</v>
      </c>
    </row>
    <row r="723" spans="46:47" x14ac:dyDescent="0.25">
      <c r="AT723">
        <v>722</v>
      </c>
      <c r="AU723" s="62">
        <v>216</v>
      </c>
    </row>
    <row r="724" spans="46:47" x14ac:dyDescent="0.25">
      <c r="AT724">
        <v>723</v>
      </c>
      <c r="AU724" s="62">
        <v>217</v>
      </c>
    </row>
    <row r="725" spans="46:47" x14ac:dyDescent="0.25">
      <c r="AT725">
        <v>724</v>
      </c>
      <c r="AU725" s="62">
        <v>217</v>
      </c>
    </row>
    <row r="726" spans="46:47" x14ac:dyDescent="0.25">
      <c r="AT726">
        <v>725</v>
      </c>
      <c r="AU726" s="62">
        <v>217</v>
      </c>
    </row>
    <row r="727" spans="46:47" x14ac:dyDescent="0.25">
      <c r="AT727">
        <v>726</v>
      </c>
      <c r="AU727" s="62">
        <v>218</v>
      </c>
    </row>
    <row r="728" spans="46:47" x14ac:dyDescent="0.25">
      <c r="AT728">
        <v>727</v>
      </c>
      <c r="AU728" s="62">
        <v>218</v>
      </c>
    </row>
    <row r="729" spans="46:47" x14ac:dyDescent="0.25">
      <c r="AT729">
        <v>728</v>
      </c>
      <c r="AU729" s="62">
        <v>218</v>
      </c>
    </row>
    <row r="730" spans="46:47" x14ac:dyDescent="0.25">
      <c r="AT730">
        <v>729</v>
      </c>
      <c r="AU730" s="62">
        <v>219</v>
      </c>
    </row>
    <row r="731" spans="46:47" x14ac:dyDescent="0.25">
      <c r="AT731">
        <v>730</v>
      </c>
      <c r="AU731" s="62">
        <v>219</v>
      </c>
    </row>
    <row r="732" spans="46:47" x14ac:dyDescent="0.25">
      <c r="AT732">
        <v>731</v>
      </c>
      <c r="AU732" s="62">
        <v>219</v>
      </c>
    </row>
    <row r="733" spans="46:47" x14ac:dyDescent="0.25">
      <c r="AT733">
        <v>732</v>
      </c>
      <c r="AU733" s="62">
        <v>220</v>
      </c>
    </row>
    <row r="734" spans="46:47" x14ac:dyDescent="0.25">
      <c r="AT734">
        <v>733</v>
      </c>
      <c r="AU734" s="62">
        <v>220</v>
      </c>
    </row>
    <row r="735" spans="46:47" x14ac:dyDescent="0.25">
      <c r="AT735">
        <v>734</v>
      </c>
      <c r="AU735" s="62">
        <v>220</v>
      </c>
    </row>
    <row r="736" spans="46:47" x14ac:dyDescent="0.25">
      <c r="AT736">
        <v>735</v>
      </c>
      <c r="AU736" s="62">
        <v>221</v>
      </c>
    </row>
    <row r="737" spans="46:47" x14ac:dyDescent="0.25">
      <c r="AT737">
        <v>736</v>
      </c>
      <c r="AU737" s="62">
        <v>221</v>
      </c>
    </row>
    <row r="738" spans="46:47" x14ac:dyDescent="0.25">
      <c r="AT738">
        <v>737</v>
      </c>
      <c r="AU738" s="62">
        <v>221</v>
      </c>
    </row>
    <row r="739" spans="46:47" x14ac:dyDescent="0.25">
      <c r="AT739">
        <v>738</v>
      </c>
      <c r="AU739" s="62">
        <v>222</v>
      </c>
    </row>
    <row r="740" spans="46:47" x14ac:dyDescent="0.25">
      <c r="AT740">
        <v>739</v>
      </c>
      <c r="AU740" s="62">
        <v>222</v>
      </c>
    </row>
    <row r="741" spans="46:47" x14ac:dyDescent="0.25">
      <c r="AT741">
        <v>740</v>
      </c>
      <c r="AU741" s="62">
        <v>222</v>
      </c>
    </row>
    <row r="742" spans="46:47" x14ac:dyDescent="0.25">
      <c r="AT742">
        <v>741</v>
      </c>
      <c r="AU742" s="62">
        <v>223</v>
      </c>
    </row>
    <row r="743" spans="46:47" x14ac:dyDescent="0.25">
      <c r="AT743">
        <v>742</v>
      </c>
      <c r="AU743" s="62">
        <v>223</v>
      </c>
    </row>
    <row r="744" spans="46:47" x14ac:dyDescent="0.25">
      <c r="AT744">
        <v>743</v>
      </c>
      <c r="AU744" s="62">
        <v>223</v>
      </c>
    </row>
    <row r="745" spans="46:47" x14ac:dyDescent="0.25">
      <c r="AT745">
        <v>744</v>
      </c>
      <c r="AU745" s="62">
        <v>224</v>
      </c>
    </row>
    <row r="746" spans="46:47" x14ac:dyDescent="0.25">
      <c r="AT746">
        <v>745</v>
      </c>
      <c r="AU746" s="62">
        <v>224</v>
      </c>
    </row>
    <row r="747" spans="46:47" x14ac:dyDescent="0.25">
      <c r="AT747">
        <v>746</v>
      </c>
      <c r="AU747" s="62">
        <v>224</v>
      </c>
    </row>
    <row r="748" spans="46:47" x14ac:dyDescent="0.25">
      <c r="AT748">
        <v>747</v>
      </c>
      <c r="AU748" s="62">
        <v>225</v>
      </c>
    </row>
    <row r="749" spans="46:47" x14ac:dyDescent="0.25">
      <c r="AT749">
        <v>748</v>
      </c>
      <c r="AU749" s="62">
        <v>225</v>
      </c>
    </row>
    <row r="750" spans="46:47" x14ac:dyDescent="0.25">
      <c r="AT750">
        <v>749</v>
      </c>
      <c r="AU750" s="62">
        <v>225</v>
      </c>
    </row>
    <row r="751" spans="46:47" x14ac:dyDescent="0.25">
      <c r="AT751">
        <v>750</v>
      </c>
      <c r="AU751" s="62">
        <v>226</v>
      </c>
    </row>
    <row r="752" spans="46:47" x14ac:dyDescent="0.25">
      <c r="AT752">
        <v>751</v>
      </c>
      <c r="AU752" s="62">
        <v>226</v>
      </c>
    </row>
    <row r="753" spans="46:47" x14ac:dyDescent="0.25">
      <c r="AT753">
        <v>752</v>
      </c>
      <c r="AU753" s="62">
        <v>226</v>
      </c>
    </row>
    <row r="754" spans="46:47" x14ac:dyDescent="0.25">
      <c r="AT754">
        <v>753</v>
      </c>
      <c r="AU754" s="62">
        <v>227</v>
      </c>
    </row>
    <row r="755" spans="46:47" x14ac:dyDescent="0.25">
      <c r="AT755">
        <v>754</v>
      </c>
      <c r="AU755" s="62">
        <v>227</v>
      </c>
    </row>
    <row r="756" spans="46:47" x14ac:dyDescent="0.25">
      <c r="AT756">
        <v>755</v>
      </c>
      <c r="AU756" s="62">
        <v>227</v>
      </c>
    </row>
    <row r="757" spans="46:47" x14ac:dyDescent="0.25">
      <c r="AT757">
        <v>756</v>
      </c>
      <c r="AU757" s="62">
        <v>228</v>
      </c>
    </row>
    <row r="758" spans="46:47" x14ac:dyDescent="0.25">
      <c r="AT758">
        <v>757</v>
      </c>
      <c r="AU758" s="62">
        <v>228</v>
      </c>
    </row>
    <row r="759" spans="46:47" x14ac:dyDescent="0.25">
      <c r="AT759">
        <v>758</v>
      </c>
      <c r="AU759" s="62">
        <v>228</v>
      </c>
    </row>
    <row r="760" spans="46:47" x14ac:dyDescent="0.25">
      <c r="AT760">
        <v>759</v>
      </c>
      <c r="AU760" s="62">
        <v>229</v>
      </c>
    </row>
    <row r="761" spans="46:47" x14ac:dyDescent="0.25">
      <c r="AT761">
        <v>760</v>
      </c>
      <c r="AU761" s="62">
        <v>229</v>
      </c>
    </row>
    <row r="762" spans="46:47" x14ac:dyDescent="0.25">
      <c r="AT762">
        <v>761</v>
      </c>
      <c r="AU762" s="62">
        <v>229</v>
      </c>
    </row>
    <row r="763" spans="46:47" x14ac:dyDescent="0.25">
      <c r="AT763">
        <v>762</v>
      </c>
      <c r="AU763" s="62">
        <v>230</v>
      </c>
    </row>
    <row r="764" spans="46:47" x14ac:dyDescent="0.25">
      <c r="AT764">
        <v>763</v>
      </c>
      <c r="AU764" s="62">
        <v>230</v>
      </c>
    </row>
    <row r="765" spans="46:47" x14ac:dyDescent="0.25">
      <c r="AT765">
        <v>764</v>
      </c>
      <c r="AU765" s="62">
        <v>230</v>
      </c>
    </row>
    <row r="766" spans="46:47" x14ac:dyDescent="0.25">
      <c r="AT766">
        <v>765</v>
      </c>
      <c r="AU766" s="62">
        <v>231</v>
      </c>
    </row>
    <row r="767" spans="46:47" x14ac:dyDescent="0.25">
      <c r="AT767">
        <v>766</v>
      </c>
      <c r="AU767" s="62">
        <v>231</v>
      </c>
    </row>
    <row r="768" spans="46:47" x14ac:dyDescent="0.25">
      <c r="AT768">
        <v>767</v>
      </c>
      <c r="AU768" s="62">
        <v>231</v>
      </c>
    </row>
    <row r="769" spans="46:47" x14ac:dyDescent="0.25">
      <c r="AT769">
        <v>768</v>
      </c>
      <c r="AU769" s="62">
        <v>232</v>
      </c>
    </row>
    <row r="770" spans="46:47" x14ac:dyDescent="0.25">
      <c r="AT770">
        <v>769</v>
      </c>
      <c r="AU770" s="62">
        <v>232</v>
      </c>
    </row>
    <row r="771" spans="46:47" x14ac:dyDescent="0.25">
      <c r="AT771">
        <v>770</v>
      </c>
      <c r="AU771" s="62">
        <v>232</v>
      </c>
    </row>
    <row r="772" spans="46:47" x14ac:dyDescent="0.25">
      <c r="AT772">
        <v>771</v>
      </c>
      <c r="AU772" s="62">
        <v>233</v>
      </c>
    </row>
    <row r="773" spans="46:47" x14ac:dyDescent="0.25">
      <c r="AT773">
        <v>772</v>
      </c>
      <c r="AU773" s="62">
        <v>233</v>
      </c>
    </row>
    <row r="774" spans="46:47" x14ac:dyDescent="0.25">
      <c r="AT774">
        <v>773</v>
      </c>
      <c r="AU774" s="62">
        <v>233</v>
      </c>
    </row>
    <row r="775" spans="46:47" x14ac:dyDescent="0.25">
      <c r="AT775">
        <v>774</v>
      </c>
      <c r="AU775" s="62">
        <v>234</v>
      </c>
    </row>
    <row r="776" spans="46:47" x14ac:dyDescent="0.25">
      <c r="AT776">
        <v>775</v>
      </c>
      <c r="AU776" s="62">
        <v>234</v>
      </c>
    </row>
    <row r="777" spans="46:47" x14ac:dyDescent="0.25">
      <c r="AT777">
        <v>776</v>
      </c>
      <c r="AU777" s="62">
        <v>234</v>
      </c>
    </row>
    <row r="778" spans="46:47" x14ac:dyDescent="0.25">
      <c r="AT778">
        <v>777</v>
      </c>
      <c r="AU778" s="62">
        <v>235</v>
      </c>
    </row>
    <row r="779" spans="46:47" x14ac:dyDescent="0.25">
      <c r="AT779">
        <v>778</v>
      </c>
      <c r="AU779" s="62">
        <v>235</v>
      </c>
    </row>
    <row r="780" spans="46:47" x14ac:dyDescent="0.25">
      <c r="AT780">
        <v>779</v>
      </c>
      <c r="AU780" s="62">
        <v>235</v>
      </c>
    </row>
    <row r="781" spans="46:47" x14ac:dyDescent="0.25">
      <c r="AT781">
        <v>780</v>
      </c>
      <c r="AU781" s="62">
        <v>236</v>
      </c>
    </row>
    <row r="782" spans="46:47" x14ac:dyDescent="0.25">
      <c r="AT782">
        <v>781</v>
      </c>
      <c r="AU782" s="62">
        <v>236</v>
      </c>
    </row>
    <row r="783" spans="46:47" x14ac:dyDescent="0.25">
      <c r="AT783">
        <v>782</v>
      </c>
      <c r="AU783" s="62">
        <v>236</v>
      </c>
    </row>
    <row r="784" spans="46:47" x14ac:dyDescent="0.25">
      <c r="AT784">
        <v>783</v>
      </c>
      <c r="AU784" s="62">
        <v>237</v>
      </c>
    </row>
    <row r="785" spans="46:47" x14ac:dyDescent="0.25">
      <c r="AT785">
        <v>784</v>
      </c>
      <c r="AU785" s="62">
        <v>237</v>
      </c>
    </row>
    <row r="786" spans="46:47" x14ac:dyDescent="0.25">
      <c r="AT786">
        <v>785</v>
      </c>
      <c r="AU786" s="62">
        <v>237</v>
      </c>
    </row>
    <row r="787" spans="46:47" x14ac:dyDescent="0.25">
      <c r="AT787">
        <v>786</v>
      </c>
      <c r="AU787" s="62">
        <v>238</v>
      </c>
    </row>
    <row r="788" spans="46:47" x14ac:dyDescent="0.25">
      <c r="AT788">
        <v>787</v>
      </c>
      <c r="AU788" s="62">
        <v>238</v>
      </c>
    </row>
    <row r="789" spans="46:47" x14ac:dyDescent="0.25">
      <c r="AT789">
        <v>788</v>
      </c>
      <c r="AU789" s="62">
        <v>238</v>
      </c>
    </row>
    <row r="790" spans="46:47" x14ac:dyDescent="0.25">
      <c r="AT790">
        <v>789</v>
      </c>
      <c r="AU790" s="62">
        <v>239</v>
      </c>
    </row>
    <row r="791" spans="46:47" x14ac:dyDescent="0.25">
      <c r="AT791">
        <v>790</v>
      </c>
      <c r="AU791" s="62">
        <v>239</v>
      </c>
    </row>
    <row r="792" spans="46:47" x14ac:dyDescent="0.25">
      <c r="AT792">
        <v>791</v>
      </c>
      <c r="AU792" s="62">
        <v>239</v>
      </c>
    </row>
    <row r="793" spans="46:47" x14ac:dyDescent="0.25">
      <c r="AT793">
        <v>792</v>
      </c>
      <c r="AU793" s="62">
        <v>240</v>
      </c>
    </row>
    <row r="794" spans="46:47" x14ac:dyDescent="0.25">
      <c r="AT794">
        <v>793</v>
      </c>
      <c r="AU794" s="62">
        <v>240</v>
      </c>
    </row>
    <row r="795" spans="46:47" x14ac:dyDescent="0.25">
      <c r="AT795">
        <v>794</v>
      </c>
      <c r="AU795" s="62">
        <v>240</v>
      </c>
    </row>
    <row r="796" spans="46:47" x14ac:dyDescent="0.25">
      <c r="AT796">
        <v>795</v>
      </c>
      <c r="AU796" s="62">
        <v>241</v>
      </c>
    </row>
    <row r="797" spans="46:47" x14ac:dyDescent="0.25">
      <c r="AT797">
        <v>796</v>
      </c>
      <c r="AU797" s="62">
        <v>241</v>
      </c>
    </row>
    <row r="798" spans="46:47" x14ac:dyDescent="0.25">
      <c r="AT798">
        <v>797</v>
      </c>
      <c r="AU798" s="62">
        <v>241</v>
      </c>
    </row>
    <row r="799" spans="46:47" x14ac:dyDescent="0.25">
      <c r="AT799">
        <v>798</v>
      </c>
      <c r="AU799" s="62">
        <v>242</v>
      </c>
    </row>
    <row r="800" spans="46:47" x14ac:dyDescent="0.25">
      <c r="AT800">
        <v>799</v>
      </c>
      <c r="AU800" s="62">
        <v>242</v>
      </c>
    </row>
    <row r="801" spans="46:47" x14ac:dyDescent="0.25">
      <c r="AT801">
        <v>800</v>
      </c>
      <c r="AU801" s="62">
        <v>242</v>
      </c>
    </row>
    <row r="802" spans="46:47" x14ac:dyDescent="0.25">
      <c r="AT802">
        <v>801</v>
      </c>
      <c r="AU802" s="62">
        <v>243</v>
      </c>
    </row>
    <row r="803" spans="46:47" x14ac:dyDescent="0.25">
      <c r="AT803">
        <v>802</v>
      </c>
      <c r="AU803" s="62">
        <v>243</v>
      </c>
    </row>
    <row r="804" spans="46:47" x14ac:dyDescent="0.25">
      <c r="AT804">
        <v>803</v>
      </c>
      <c r="AU804" s="62">
        <v>243</v>
      </c>
    </row>
    <row r="805" spans="46:47" x14ac:dyDescent="0.25">
      <c r="AT805">
        <v>804</v>
      </c>
      <c r="AU805" s="62">
        <v>244</v>
      </c>
    </row>
    <row r="806" spans="46:47" x14ac:dyDescent="0.25">
      <c r="AT806">
        <v>805</v>
      </c>
      <c r="AU806" s="62">
        <v>244</v>
      </c>
    </row>
    <row r="807" spans="46:47" x14ac:dyDescent="0.25">
      <c r="AT807">
        <v>806</v>
      </c>
      <c r="AU807" s="62">
        <v>244</v>
      </c>
    </row>
    <row r="808" spans="46:47" x14ac:dyDescent="0.25">
      <c r="AT808">
        <v>807</v>
      </c>
      <c r="AU808" s="62">
        <v>245</v>
      </c>
    </row>
    <row r="809" spans="46:47" x14ac:dyDescent="0.25">
      <c r="AT809">
        <v>808</v>
      </c>
      <c r="AU809" s="62">
        <v>245</v>
      </c>
    </row>
    <row r="810" spans="46:47" x14ac:dyDescent="0.25">
      <c r="AT810">
        <v>809</v>
      </c>
      <c r="AU810" s="62">
        <v>245</v>
      </c>
    </row>
    <row r="811" spans="46:47" x14ac:dyDescent="0.25">
      <c r="AT811">
        <v>810</v>
      </c>
      <c r="AU811" s="62">
        <v>246</v>
      </c>
    </row>
    <row r="812" spans="46:47" x14ac:dyDescent="0.25">
      <c r="AT812">
        <v>811</v>
      </c>
      <c r="AU812" s="62">
        <v>246</v>
      </c>
    </row>
    <row r="813" spans="46:47" x14ac:dyDescent="0.25">
      <c r="AT813">
        <v>812</v>
      </c>
      <c r="AU813" s="62">
        <v>246</v>
      </c>
    </row>
    <row r="814" spans="46:47" x14ac:dyDescent="0.25">
      <c r="AT814">
        <v>813</v>
      </c>
      <c r="AU814" s="62">
        <v>247</v>
      </c>
    </row>
    <row r="815" spans="46:47" x14ac:dyDescent="0.25">
      <c r="AT815">
        <v>814</v>
      </c>
      <c r="AU815" s="62">
        <v>247</v>
      </c>
    </row>
    <row r="816" spans="46:47" x14ac:dyDescent="0.25">
      <c r="AT816">
        <v>815</v>
      </c>
      <c r="AU816" s="62">
        <v>247</v>
      </c>
    </row>
    <row r="817" spans="46:47" x14ac:dyDescent="0.25">
      <c r="AT817">
        <v>816</v>
      </c>
      <c r="AU817" s="62">
        <v>248</v>
      </c>
    </row>
    <row r="818" spans="46:47" x14ac:dyDescent="0.25">
      <c r="AT818">
        <v>817</v>
      </c>
      <c r="AU818" s="62">
        <v>248</v>
      </c>
    </row>
    <row r="819" spans="46:47" x14ac:dyDescent="0.25">
      <c r="AT819">
        <v>818</v>
      </c>
      <c r="AU819" s="62">
        <v>248</v>
      </c>
    </row>
    <row r="820" spans="46:47" x14ac:dyDescent="0.25">
      <c r="AT820">
        <v>819</v>
      </c>
      <c r="AU820" s="62">
        <v>249</v>
      </c>
    </row>
    <row r="821" spans="46:47" x14ac:dyDescent="0.25">
      <c r="AT821">
        <v>820</v>
      </c>
      <c r="AU821" s="62">
        <v>249</v>
      </c>
    </row>
    <row r="822" spans="46:47" x14ac:dyDescent="0.25">
      <c r="AT822">
        <v>821</v>
      </c>
      <c r="AU822" s="62">
        <v>249</v>
      </c>
    </row>
    <row r="823" spans="46:47" x14ac:dyDescent="0.25">
      <c r="AT823">
        <v>822</v>
      </c>
      <c r="AU823" s="62">
        <v>250</v>
      </c>
    </row>
    <row r="824" spans="46:47" x14ac:dyDescent="0.25">
      <c r="AT824">
        <v>823</v>
      </c>
      <c r="AU824" s="62">
        <v>250</v>
      </c>
    </row>
    <row r="825" spans="46:47" x14ac:dyDescent="0.25">
      <c r="AT825">
        <v>824</v>
      </c>
      <c r="AU825" s="62">
        <v>250</v>
      </c>
    </row>
    <row r="826" spans="46:47" x14ac:dyDescent="0.25">
      <c r="AT826">
        <v>825</v>
      </c>
      <c r="AU826" s="62">
        <v>251</v>
      </c>
    </row>
    <row r="827" spans="46:47" x14ac:dyDescent="0.25">
      <c r="AT827">
        <v>826</v>
      </c>
      <c r="AU827" s="62">
        <v>251</v>
      </c>
    </row>
    <row r="828" spans="46:47" x14ac:dyDescent="0.25">
      <c r="AT828">
        <v>827</v>
      </c>
      <c r="AU828" s="62">
        <v>251</v>
      </c>
    </row>
    <row r="829" spans="46:47" x14ac:dyDescent="0.25">
      <c r="AT829">
        <v>828</v>
      </c>
      <c r="AU829" s="62">
        <v>252</v>
      </c>
    </row>
    <row r="830" spans="46:47" x14ac:dyDescent="0.25">
      <c r="AT830">
        <v>829</v>
      </c>
      <c r="AU830" s="62">
        <v>252</v>
      </c>
    </row>
    <row r="831" spans="46:47" x14ac:dyDescent="0.25">
      <c r="AT831">
        <v>830</v>
      </c>
      <c r="AU831" s="62">
        <v>252</v>
      </c>
    </row>
    <row r="832" spans="46:47" x14ac:dyDescent="0.25">
      <c r="AT832">
        <v>831</v>
      </c>
      <c r="AU832" s="62">
        <v>253</v>
      </c>
    </row>
    <row r="833" spans="46:47" x14ac:dyDescent="0.25">
      <c r="AT833">
        <v>832</v>
      </c>
      <c r="AU833" s="62">
        <v>253</v>
      </c>
    </row>
    <row r="834" spans="46:47" x14ac:dyDescent="0.25">
      <c r="AT834">
        <v>833</v>
      </c>
      <c r="AU834" s="62">
        <v>253</v>
      </c>
    </row>
    <row r="835" spans="46:47" x14ac:dyDescent="0.25">
      <c r="AT835">
        <v>834</v>
      </c>
      <c r="AU835" s="62">
        <v>254</v>
      </c>
    </row>
    <row r="836" spans="46:47" x14ac:dyDescent="0.25">
      <c r="AT836">
        <v>835</v>
      </c>
      <c r="AU836" s="62">
        <v>254</v>
      </c>
    </row>
    <row r="837" spans="46:47" x14ac:dyDescent="0.25">
      <c r="AT837">
        <v>836</v>
      </c>
      <c r="AU837" s="62">
        <v>254</v>
      </c>
    </row>
    <row r="838" spans="46:47" x14ac:dyDescent="0.25">
      <c r="AT838">
        <v>837</v>
      </c>
      <c r="AU838" s="62">
        <v>255</v>
      </c>
    </row>
    <row r="839" spans="46:47" x14ac:dyDescent="0.25">
      <c r="AT839">
        <v>838</v>
      </c>
      <c r="AU839" s="62">
        <v>255</v>
      </c>
    </row>
    <row r="840" spans="46:47" x14ac:dyDescent="0.25">
      <c r="AT840">
        <v>839</v>
      </c>
      <c r="AU840" s="62">
        <v>255</v>
      </c>
    </row>
    <row r="841" spans="46:47" x14ac:dyDescent="0.25">
      <c r="AT841">
        <v>840</v>
      </c>
      <c r="AU841" s="62">
        <v>256</v>
      </c>
    </row>
    <row r="842" spans="46:47" x14ac:dyDescent="0.25">
      <c r="AT842">
        <v>841</v>
      </c>
      <c r="AU842" s="62">
        <v>256</v>
      </c>
    </row>
    <row r="843" spans="46:47" x14ac:dyDescent="0.25">
      <c r="AT843">
        <v>842</v>
      </c>
      <c r="AU843" s="62">
        <v>256</v>
      </c>
    </row>
    <row r="844" spans="46:47" x14ac:dyDescent="0.25">
      <c r="AT844">
        <v>843</v>
      </c>
      <c r="AU844" s="62">
        <v>257</v>
      </c>
    </row>
    <row r="845" spans="46:47" x14ac:dyDescent="0.25">
      <c r="AT845">
        <v>844</v>
      </c>
      <c r="AU845" s="62">
        <v>257</v>
      </c>
    </row>
    <row r="846" spans="46:47" x14ac:dyDescent="0.25">
      <c r="AT846">
        <v>845</v>
      </c>
      <c r="AU846" s="62">
        <v>257</v>
      </c>
    </row>
    <row r="847" spans="46:47" x14ac:dyDescent="0.25">
      <c r="AT847">
        <v>846</v>
      </c>
      <c r="AU847" s="62">
        <v>258</v>
      </c>
    </row>
    <row r="848" spans="46:47" x14ac:dyDescent="0.25">
      <c r="AT848">
        <v>847</v>
      </c>
      <c r="AU848" s="62">
        <v>258</v>
      </c>
    </row>
    <row r="849" spans="46:47" x14ac:dyDescent="0.25">
      <c r="AT849">
        <v>848</v>
      </c>
      <c r="AU849" s="62">
        <v>258</v>
      </c>
    </row>
    <row r="850" spans="46:47" x14ac:dyDescent="0.25">
      <c r="AT850">
        <v>849</v>
      </c>
      <c r="AU850" s="62">
        <v>259</v>
      </c>
    </row>
    <row r="851" spans="46:47" x14ac:dyDescent="0.25">
      <c r="AT851">
        <v>850</v>
      </c>
      <c r="AU851" s="62">
        <v>259</v>
      </c>
    </row>
    <row r="852" spans="46:47" x14ac:dyDescent="0.25">
      <c r="AT852">
        <v>851</v>
      </c>
      <c r="AU852" s="62">
        <v>259</v>
      </c>
    </row>
    <row r="853" spans="46:47" x14ac:dyDescent="0.25">
      <c r="AT853">
        <v>852</v>
      </c>
      <c r="AU853" s="62">
        <v>260</v>
      </c>
    </row>
    <row r="854" spans="46:47" x14ac:dyDescent="0.25">
      <c r="AT854">
        <v>853</v>
      </c>
      <c r="AU854" s="62">
        <v>260</v>
      </c>
    </row>
    <row r="855" spans="46:47" x14ac:dyDescent="0.25">
      <c r="AT855">
        <v>854</v>
      </c>
      <c r="AU855" s="62">
        <v>260</v>
      </c>
    </row>
    <row r="856" spans="46:47" x14ac:dyDescent="0.25">
      <c r="AT856">
        <v>855</v>
      </c>
      <c r="AU856" s="62">
        <v>261</v>
      </c>
    </row>
    <row r="857" spans="46:47" x14ac:dyDescent="0.25">
      <c r="AT857">
        <v>856</v>
      </c>
      <c r="AU857" s="62">
        <v>261</v>
      </c>
    </row>
    <row r="858" spans="46:47" x14ac:dyDescent="0.25">
      <c r="AT858">
        <v>857</v>
      </c>
      <c r="AU858" s="62">
        <v>261</v>
      </c>
    </row>
    <row r="859" spans="46:47" x14ac:dyDescent="0.25">
      <c r="AT859">
        <v>858</v>
      </c>
      <c r="AU859" s="62">
        <v>262</v>
      </c>
    </row>
    <row r="860" spans="46:47" x14ac:dyDescent="0.25">
      <c r="AT860">
        <v>859</v>
      </c>
      <c r="AU860" s="62">
        <v>262</v>
      </c>
    </row>
    <row r="861" spans="46:47" x14ac:dyDescent="0.25">
      <c r="AT861">
        <v>860</v>
      </c>
      <c r="AU861" s="62">
        <v>262</v>
      </c>
    </row>
    <row r="862" spans="46:47" x14ac:dyDescent="0.25">
      <c r="AT862">
        <v>861</v>
      </c>
      <c r="AU862" s="62">
        <v>263</v>
      </c>
    </row>
    <row r="863" spans="46:47" x14ac:dyDescent="0.25">
      <c r="AT863">
        <v>862</v>
      </c>
      <c r="AU863" s="62">
        <v>263</v>
      </c>
    </row>
    <row r="864" spans="46:47" x14ac:dyDescent="0.25">
      <c r="AT864">
        <v>863</v>
      </c>
      <c r="AU864" s="62">
        <v>263</v>
      </c>
    </row>
    <row r="865" spans="46:47" x14ac:dyDescent="0.25">
      <c r="AT865">
        <v>864</v>
      </c>
      <c r="AU865" s="62">
        <v>264</v>
      </c>
    </row>
    <row r="866" spans="46:47" x14ac:dyDescent="0.25">
      <c r="AT866">
        <v>865</v>
      </c>
      <c r="AU866" s="62">
        <v>264</v>
      </c>
    </row>
    <row r="867" spans="46:47" x14ac:dyDescent="0.25">
      <c r="AT867">
        <v>866</v>
      </c>
      <c r="AU867" s="62">
        <v>264</v>
      </c>
    </row>
    <row r="868" spans="46:47" x14ac:dyDescent="0.25">
      <c r="AT868">
        <v>867</v>
      </c>
      <c r="AU868" s="62">
        <v>265</v>
      </c>
    </row>
    <row r="869" spans="46:47" x14ac:dyDescent="0.25">
      <c r="AT869">
        <v>868</v>
      </c>
      <c r="AU869" s="62">
        <v>265</v>
      </c>
    </row>
    <row r="870" spans="46:47" x14ac:dyDescent="0.25">
      <c r="AT870">
        <v>869</v>
      </c>
      <c r="AU870" s="62">
        <v>265</v>
      </c>
    </row>
    <row r="871" spans="46:47" x14ac:dyDescent="0.25">
      <c r="AT871">
        <v>870</v>
      </c>
      <c r="AU871" s="62">
        <v>266</v>
      </c>
    </row>
    <row r="872" spans="46:47" x14ac:dyDescent="0.25">
      <c r="AT872">
        <v>871</v>
      </c>
      <c r="AU872" s="62">
        <v>266</v>
      </c>
    </row>
    <row r="873" spans="46:47" x14ac:dyDescent="0.25">
      <c r="AT873">
        <v>872</v>
      </c>
      <c r="AU873" s="62">
        <v>266</v>
      </c>
    </row>
    <row r="874" spans="46:47" x14ac:dyDescent="0.25">
      <c r="AT874">
        <v>873</v>
      </c>
      <c r="AU874" s="62">
        <v>267</v>
      </c>
    </row>
    <row r="875" spans="46:47" x14ac:dyDescent="0.25">
      <c r="AT875">
        <v>874</v>
      </c>
      <c r="AU875" s="62">
        <v>267</v>
      </c>
    </row>
    <row r="876" spans="46:47" x14ac:dyDescent="0.25">
      <c r="AT876">
        <v>875</v>
      </c>
      <c r="AU876" s="62">
        <v>267</v>
      </c>
    </row>
    <row r="877" spans="46:47" x14ac:dyDescent="0.25">
      <c r="AT877">
        <v>876</v>
      </c>
      <c r="AU877" s="62">
        <v>268</v>
      </c>
    </row>
    <row r="878" spans="46:47" x14ac:dyDescent="0.25">
      <c r="AT878">
        <v>877</v>
      </c>
      <c r="AU878" s="62">
        <v>268</v>
      </c>
    </row>
    <row r="879" spans="46:47" x14ac:dyDescent="0.25">
      <c r="AT879">
        <v>878</v>
      </c>
      <c r="AU879" s="62">
        <v>268</v>
      </c>
    </row>
    <row r="880" spans="46:47" x14ac:dyDescent="0.25">
      <c r="AT880">
        <v>879</v>
      </c>
      <c r="AU880" s="62">
        <v>269</v>
      </c>
    </row>
    <row r="881" spans="46:47" x14ac:dyDescent="0.25">
      <c r="AT881">
        <v>880</v>
      </c>
      <c r="AU881" s="62">
        <v>269</v>
      </c>
    </row>
    <row r="882" spans="46:47" x14ac:dyDescent="0.25">
      <c r="AT882">
        <v>881</v>
      </c>
      <c r="AU882" s="62">
        <v>269</v>
      </c>
    </row>
    <row r="883" spans="46:47" x14ac:dyDescent="0.25">
      <c r="AT883">
        <v>882</v>
      </c>
      <c r="AU883" s="62">
        <v>270</v>
      </c>
    </row>
    <row r="884" spans="46:47" x14ac:dyDescent="0.25">
      <c r="AT884">
        <v>883</v>
      </c>
      <c r="AU884" s="62">
        <v>270</v>
      </c>
    </row>
    <row r="885" spans="46:47" x14ac:dyDescent="0.25">
      <c r="AT885">
        <v>884</v>
      </c>
      <c r="AU885" s="62">
        <v>270</v>
      </c>
    </row>
    <row r="886" spans="46:47" x14ac:dyDescent="0.25">
      <c r="AT886">
        <v>885</v>
      </c>
      <c r="AU886" s="62">
        <v>271</v>
      </c>
    </row>
    <row r="887" spans="46:47" x14ac:dyDescent="0.25">
      <c r="AT887">
        <v>886</v>
      </c>
      <c r="AU887" s="62">
        <v>271</v>
      </c>
    </row>
    <row r="888" spans="46:47" x14ac:dyDescent="0.25">
      <c r="AT888">
        <v>887</v>
      </c>
      <c r="AU888" s="62">
        <v>271</v>
      </c>
    </row>
    <row r="889" spans="46:47" x14ac:dyDescent="0.25">
      <c r="AT889">
        <v>888</v>
      </c>
      <c r="AU889" s="62">
        <v>272</v>
      </c>
    </row>
    <row r="890" spans="46:47" x14ac:dyDescent="0.25">
      <c r="AT890">
        <v>889</v>
      </c>
      <c r="AU890" s="62">
        <v>272</v>
      </c>
    </row>
    <row r="891" spans="46:47" x14ac:dyDescent="0.25">
      <c r="AT891">
        <v>890</v>
      </c>
      <c r="AU891" s="62">
        <v>272</v>
      </c>
    </row>
    <row r="892" spans="46:47" x14ac:dyDescent="0.25">
      <c r="AT892">
        <v>891</v>
      </c>
      <c r="AU892" s="62">
        <v>273</v>
      </c>
    </row>
    <row r="893" spans="46:47" x14ac:dyDescent="0.25">
      <c r="AT893">
        <v>892</v>
      </c>
      <c r="AU893" s="62">
        <v>273</v>
      </c>
    </row>
    <row r="894" spans="46:47" x14ac:dyDescent="0.25">
      <c r="AT894">
        <v>893</v>
      </c>
      <c r="AU894" s="62">
        <v>273</v>
      </c>
    </row>
    <row r="895" spans="46:47" x14ac:dyDescent="0.25">
      <c r="AT895">
        <v>894</v>
      </c>
      <c r="AU895" s="62">
        <v>274</v>
      </c>
    </row>
    <row r="896" spans="46:47" x14ac:dyDescent="0.25">
      <c r="AT896">
        <v>895</v>
      </c>
      <c r="AU896" s="62">
        <v>274</v>
      </c>
    </row>
    <row r="897" spans="46:47" x14ac:dyDescent="0.25">
      <c r="AT897">
        <v>896</v>
      </c>
      <c r="AU897" s="62">
        <v>274</v>
      </c>
    </row>
    <row r="898" spans="46:47" x14ac:dyDescent="0.25">
      <c r="AT898">
        <v>897</v>
      </c>
      <c r="AU898" s="62">
        <v>275</v>
      </c>
    </row>
    <row r="899" spans="46:47" x14ac:dyDescent="0.25">
      <c r="AT899">
        <v>898</v>
      </c>
      <c r="AU899" s="62">
        <v>275</v>
      </c>
    </row>
    <row r="900" spans="46:47" x14ac:dyDescent="0.25">
      <c r="AT900">
        <v>899</v>
      </c>
      <c r="AU900" s="62">
        <v>275</v>
      </c>
    </row>
    <row r="901" spans="46:47" x14ac:dyDescent="0.25">
      <c r="AT901">
        <v>900</v>
      </c>
      <c r="AU901" s="62">
        <v>276</v>
      </c>
    </row>
    <row r="902" spans="46:47" x14ac:dyDescent="0.25">
      <c r="AT902">
        <v>901</v>
      </c>
      <c r="AU902" s="62">
        <v>276</v>
      </c>
    </row>
    <row r="903" spans="46:47" x14ac:dyDescent="0.25">
      <c r="AT903">
        <v>902</v>
      </c>
      <c r="AU903" s="62">
        <v>276</v>
      </c>
    </row>
    <row r="904" spans="46:47" x14ac:dyDescent="0.25">
      <c r="AT904">
        <v>903</v>
      </c>
      <c r="AU904" s="62">
        <v>277</v>
      </c>
    </row>
    <row r="905" spans="46:47" x14ac:dyDescent="0.25">
      <c r="AT905">
        <v>904</v>
      </c>
      <c r="AU905" s="62">
        <v>277</v>
      </c>
    </row>
    <row r="906" spans="46:47" x14ac:dyDescent="0.25">
      <c r="AT906">
        <v>905</v>
      </c>
      <c r="AU906" s="62">
        <v>277</v>
      </c>
    </row>
    <row r="907" spans="46:47" x14ac:dyDescent="0.25">
      <c r="AT907">
        <v>906</v>
      </c>
      <c r="AU907" s="62">
        <v>278</v>
      </c>
    </row>
    <row r="908" spans="46:47" x14ac:dyDescent="0.25">
      <c r="AT908">
        <v>907</v>
      </c>
      <c r="AU908" s="62">
        <v>278</v>
      </c>
    </row>
    <row r="909" spans="46:47" x14ac:dyDescent="0.25">
      <c r="AT909">
        <v>908</v>
      </c>
      <c r="AU909" s="62">
        <v>278</v>
      </c>
    </row>
    <row r="910" spans="46:47" x14ac:dyDescent="0.25">
      <c r="AT910">
        <v>909</v>
      </c>
      <c r="AU910" s="62">
        <v>279</v>
      </c>
    </row>
    <row r="911" spans="46:47" x14ac:dyDescent="0.25">
      <c r="AT911">
        <v>910</v>
      </c>
      <c r="AU911" s="62">
        <v>279</v>
      </c>
    </row>
    <row r="912" spans="46:47" x14ac:dyDescent="0.25">
      <c r="AT912">
        <v>911</v>
      </c>
      <c r="AU912" s="62">
        <v>279</v>
      </c>
    </row>
    <row r="913" spans="46:47" x14ac:dyDescent="0.25">
      <c r="AT913">
        <v>912</v>
      </c>
      <c r="AU913" s="62">
        <v>280</v>
      </c>
    </row>
    <row r="914" spans="46:47" x14ac:dyDescent="0.25">
      <c r="AT914">
        <v>913</v>
      </c>
      <c r="AU914" s="62">
        <v>280</v>
      </c>
    </row>
    <row r="915" spans="46:47" x14ac:dyDescent="0.25">
      <c r="AT915">
        <v>914</v>
      </c>
      <c r="AU915" s="62">
        <v>280</v>
      </c>
    </row>
    <row r="916" spans="46:47" x14ac:dyDescent="0.25">
      <c r="AT916">
        <v>915</v>
      </c>
      <c r="AU916" s="62">
        <v>281</v>
      </c>
    </row>
    <row r="917" spans="46:47" x14ac:dyDescent="0.25">
      <c r="AT917">
        <v>916</v>
      </c>
      <c r="AU917" s="62">
        <v>281</v>
      </c>
    </row>
    <row r="918" spans="46:47" x14ac:dyDescent="0.25">
      <c r="AT918">
        <v>917</v>
      </c>
      <c r="AU918" s="62">
        <v>281</v>
      </c>
    </row>
    <row r="919" spans="46:47" x14ac:dyDescent="0.25">
      <c r="AT919">
        <v>918</v>
      </c>
      <c r="AU919" s="62">
        <v>282</v>
      </c>
    </row>
    <row r="920" spans="46:47" x14ac:dyDescent="0.25">
      <c r="AT920">
        <v>919</v>
      </c>
      <c r="AU920" s="62">
        <v>282</v>
      </c>
    </row>
    <row r="921" spans="46:47" x14ac:dyDescent="0.25">
      <c r="AT921">
        <v>920</v>
      </c>
      <c r="AU921" s="62">
        <v>282</v>
      </c>
    </row>
    <row r="922" spans="46:47" x14ac:dyDescent="0.25">
      <c r="AT922">
        <v>921</v>
      </c>
      <c r="AU922" s="62">
        <v>283</v>
      </c>
    </row>
    <row r="923" spans="46:47" x14ac:dyDescent="0.25">
      <c r="AT923">
        <v>922</v>
      </c>
      <c r="AU923" s="62">
        <v>283</v>
      </c>
    </row>
    <row r="924" spans="46:47" x14ac:dyDescent="0.25">
      <c r="AT924">
        <v>923</v>
      </c>
      <c r="AU924" s="62">
        <v>283</v>
      </c>
    </row>
    <row r="925" spans="46:47" x14ac:dyDescent="0.25">
      <c r="AT925">
        <v>924</v>
      </c>
      <c r="AU925" s="62">
        <v>284</v>
      </c>
    </row>
    <row r="926" spans="46:47" x14ac:dyDescent="0.25">
      <c r="AT926">
        <v>925</v>
      </c>
      <c r="AU926" s="62">
        <v>284</v>
      </c>
    </row>
    <row r="927" spans="46:47" x14ac:dyDescent="0.25">
      <c r="AT927">
        <v>926</v>
      </c>
      <c r="AU927" s="62">
        <v>284</v>
      </c>
    </row>
    <row r="928" spans="46:47" x14ac:dyDescent="0.25">
      <c r="AT928">
        <v>927</v>
      </c>
      <c r="AU928" s="62">
        <v>285</v>
      </c>
    </row>
    <row r="929" spans="46:47" x14ac:dyDescent="0.25">
      <c r="AT929">
        <v>928</v>
      </c>
      <c r="AU929" s="62">
        <v>285</v>
      </c>
    </row>
    <row r="930" spans="46:47" x14ac:dyDescent="0.25">
      <c r="AT930">
        <v>929</v>
      </c>
      <c r="AU930" s="62">
        <v>285</v>
      </c>
    </row>
    <row r="931" spans="46:47" x14ac:dyDescent="0.25">
      <c r="AT931">
        <v>930</v>
      </c>
      <c r="AU931" s="62">
        <v>286</v>
      </c>
    </row>
    <row r="932" spans="46:47" x14ac:dyDescent="0.25">
      <c r="AT932">
        <v>931</v>
      </c>
      <c r="AU932" s="62">
        <v>286</v>
      </c>
    </row>
    <row r="933" spans="46:47" x14ac:dyDescent="0.25">
      <c r="AT933">
        <v>932</v>
      </c>
      <c r="AU933" s="62">
        <v>286</v>
      </c>
    </row>
    <row r="934" spans="46:47" x14ac:dyDescent="0.25">
      <c r="AT934">
        <v>933</v>
      </c>
      <c r="AU934" s="62">
        <v>287</v>
      </c>
    </row>
    <row r="935" spans="46:47" x14ac:dyDescent="0.25">
      <c r="AT935">
        <v>934</v>
      </c>
      <c r="AU935" s="62">
        <v>287</v>
      </c>
    </row>
    <row r="936" spans="46:47" x14ac:dyDescent="0.25">
      <c r="AT936">
        <v>935</v>
      </c>
      <c r="AU936" s="62">
        <v>287</v>
      </c>
    </row>
    <row r="937" spans="46:47" x14ac:dyDescent="0.25">
      <c r="AT937">
        <v>936</v>
      </c>
      <c r="AU937" s="62">
        <v>288</v>
      </c>
    </row>
    <row r="938" spans="46:47" x14ac:dyDescent="0.25">
      <c r="AT938">
        <v>937</v>
      </c>
      <c r="AU938" s="62">
        <v>288</v>
      </c>
    </row>
    <row r="939" spans="46:47" x14ac:dyDescent="0.25">
      <c r="AT939">
        <v>938</v>
      </c>
      <c r="AU939" s="62">
        <v>288</v>
      </c>
    </row>
    <row r="940" spans="46:47" x14ac:dyDescent="0.25">
      <c r="AT940">
        <v>939</v>
      </c>
      <c r="AU940" s="62">
        <v>289</v>
      </c>
    </row>
    <row r="941" spans="46:47" x14ac:dyDescent="0.25">
      <c r="AT941">
        <v>940</v>
      </c>
      <c r="AU941" s="62">
        <v>289</v>
      </c>
    </row>
    <row r="942" spans="46:47" x14ac:dyDescent="0.25">
      <c r="AT942">
        <v>941</v>
      </c>
      <c r="AU942" s="62">
        <v>289</v>
      </c>
    </row>
    <row r="943" spans="46:47" x14ac:dyDescent="0.25">
      <c r="AT943">
        <v>942</v>
      </c>
      <c r="AU943" s="62">
        <v>290</v>
      </c>
    </row>
    <row r="944" spans="46:47" x14ac:dyDescent="0.25">
      <c r="AT944">
        <v>943</v>
      </c>
      <c r="AU944" s="62">
        <v>290</v>
      </c>
    </row>
    <row r="945" spans="46:47" x14ac:dyDescent="0.25">
      <c r="AT945">
        <v>944</v>
      </c>
      <c r="AU945" s="62">
        <v>290</v>
      </c>
    </row>
    <row r="946" spans="46:47" x14ac:dyDescent="0.25">
      <c r="AT946">
        <v>945</v>
      </c>
      <c r="AU946" s="62">
        <v>291</v>
      </c>
    </row>
    <row r="947" spans="46:47" x14ac:dyDescent="0.25">
      <c r="AT947">
        <v>946</v>
      </c>
      <c r="AU947" s="62">
        <v>291</v>
      </c>
    </row>
    <row r="948" spans="46:47" x14ac:dyDescent="0.25">
      <c r="AT948">
        <v>947</v>
      </c>
      <c r="AU948" s="62">
        <v>291</v>
      </c>
    </row>
    <row r="949" spans="46:47" x14ac:dyDescent="0.25">
      <c r="AT949">
        <v>948</v>
      </c>
      <c r="AU949" s="62">
        <v>292</v>
      </c>
    </row>
    <row r="950" spans="46:47" x14ac:dyDescent="0.25">
      <c r="AT950">
        <v>949</v>
      </c>
      <c r="AU950" s="62">
        <v>292</v>
      </c>
    </row>
    <row r="951" spans="46:47" x14ac:dyDescent="0.25">
      <c r="AT951">
        <v>950</v>
      </c>
      <c r="AU951" s="62">
        <v>292</v>
      </c>
    </row>
    <row r="952" spans="46:47" x14ac:dyDescent="0.25">
      <c r="AT952">
        <v>951</v>
      </c>
      <c r="AU952" s="62">
        <v>293</v>
      </c>
    </row>
    <row r="953" spans="46:47" x14ac:dyDescent="0.25">
      <c r="AT953">
        <v>952</v>
      </c>
      <c r="AU953" s="62">
        <v>293</v>
      </c>
    </row>
    <row r="954" spans="46:47" x14ac:dyDescent="0.25">
      <c r="AT954">
        <v>953</v>
      </c>
      <c r="AU954" s="62">
        <v>293</v>
      </c>
    </row>
    <row r="955" spans="46:47" x14ac:dyDescent="0.25">
      <c r="AT955">
        <v>954</v>
      </c>
      <c r="AU955" s="62">
        <v>294</v>
      </c>
    </row>
    <row r="956" spans="46:47" x14ac:dyDescent="0.25">
      <c r="AT956">
        <v>955</v>
      </c>
      <c r="AU956" s="62">
        <v>294</v>
      </c>
    </row>
    <row r="957" spans="46:47" x14ac:dyDescent="0.25">
      <c r="AT957">
        <v>956</v>
      </c>
      <c r="AU957" s="62">
        <v>294</v>
      </c>
    </row>
    <row r="958" spans="46:47" x14ac:dyDescent="0.25">
      <c r="AT958">
        <v>957</v>
      </c>
      <c r="AU958" s="62">
        <v>295</v>
      </c>
    </row>
    <row r="959" spans="46:47" x14ac:dyDescent="0.25">
      <c r="AT959">
        <v>958</v>
      </c>
      <c r="AU959" s="62">
        <v>295</v>
      </c>
    </row>
    <row r="960" spans="46:47" x14ac:dyDescent="0.25">
      <c r="AT960">
        <v>959</v>
      </c>
      <c r="AU960" s="62">
        <v>295</v>
      </c>
    </row>
    <row r="961" spans="46:47" x14ac:dyDescent="0.25">
      <c r="AT961">
        <v>960</v>
      </c>
      <c r="AU961" s="62">
        <v>296</v>
      </c>
    </row>
    <row r="962" spans="46:47" x14ac:dyDescent="0.25">
      <c r="AT962">
        <v>961</v>
      </c>
      <c r="AU962" s="62">
        <v>296</v>
      </c>
    </row>
    <row r="963" spans="46:47" x14ac:dyDescent="0.25">
      <c r="AT963">
        <v>962</v>
      </c>
      <c r="AU963" s="62">
        <v>296</v>
      </c>
    </row>
    <row r="964" spans="46:47" x14ac:dyDescent="0.25">
      <c r="AT964">
        <v>963</v>
      </c>
      <c r="AU964" s="62">
        <v>297</v>
      </c>
    </row>
    <row r="965" spans="46:47" x14ac:dyDescent="0.25">
      <c r="AT965">
        <v>964</v>
      </c>
      <c r="AU965" s="62">
        <v>297</v>
      </c>
    </row>
    <row r="966" spans="46:47" x14ac:dyDescent="0.25">
      <c r="AT966">
        <v>965</v>
      </c>
      <c r="AU966" s="62">
        <v>297</v>
      </c>
    </row>
    <row r="967" spans="46:47" x14ac:dyDescent="0.25">
      <c r="AT967">
        <v>966</v>
      </c>
      <c r="AU967" s="62">
        <v>298</v>
      </c>
    </row>
    <row r="968" spans="46:47" x14ac:dyDescent="0.25">
      <c r="AT968">
        <v>967</v>
      </c>
      <c r="AU968" s="62">
        <v>298</v>
      </c>
    </row>
    <row r="969" spans="46:47" x14ac:dyDescent="0.25">
      <c r="AT969">
        <v>968</v>
      </c>
      <c r="AU969" s="62">
        <v>298</v>
      </c>
    </row>
    <row r="970" spans="46:47" x14ac:dyDescent="0.25">
      <c r="AT970">
        <v>969</v>
      </c>
      <c r="AU970" s="62">
        <v>299</v>
      </c>
    </row>
    <row r="971" spans="46:47" x14ac:dyDescent="0.25">
      <c r="AT971">
        <v>970</v>
      </c>
      <c r="AU971" s="62">
        <v>299</v>
      </c>
    </row>
    <row r="972" spans="46:47" x14ac:dyDescent="0.25">
      <c r="AT972">
        <v>971</v>
      </c>
      <c r="AU972" s="62">
        <v>299</v>
      </c>
    </row>
    <row r="973" spans="46:47" x14ac:dyDescent="0.25">
      <c r="AT973">
        <v>972</v>
      </c>
      <c r="AU973" s="62">
        <v>300</v>
      </c>
    </row>
    <row r="974" spans="46:47" x14ac:dyDescent="0.25">
      <c r="AT974">
        <v>973</v>
      </c>
      <c r="AU974" s="62">
        <v>300</v>
      </c>
    </row>
    <row r="975" spans="46:47" x14ac:dyDescent="0.25">
      <c r="AT975">
        <v>974</v>
      </c>
      <c r="AU975" s="62">
        <v>300</v>
      </c>
    </row>
    <row r="976" spans="46:47" x14ac:dyDescent="0.25">
      <c r="AT976">
        <v>975</v>
      </c>
      <c r="AU976" s="62">
        <v>301</v>
      </c>
    </row>
    <row r="977" spans="46:47" x14ac:dyDescent="0.25">
      <c r="AT977">
        <v>976</v>
      </c>
      <c r="AU977" s="62">
        <v>301</v>
      </c>
    </row>
    <row r="978" spans="46:47" x14ac:dyDescent="0.25">
      <c r="AT978">
        <v>977</v>
      </c>
      <c r="AU978" s="62">
        <v>301</v>
      </c>
    </row>
    <row r="979" spans="46:47" x14ac:dyDescent="0.25">
      <c r="AT979">
        <v>978</v>
      </c>
      <c r="AU979" s="62">
        <v>302</v>
      </c>
    </row>
    <row r="980" spans="46:47" x14ac:dyDescent="0.25">
      <c r="AT980">
        <v>979</v>
      </c>
      <c r="AU980" s="62">
        <v>302</v>
      </c>
    </row>
    <row r="981" spans="46:47" x14ac:dyDescent="0.25">
      <c r="AT981">
        <v>980</v>
      </c>
      <c r="AU981" s="62">
        <v>302</v>
      </c>
    </row>
    <row r="982" spans="46:47" x14ac:dyDescent="0.25">
      <c r="AT982">
        <v>981</v>
      </c>
      <c r="AU982" s="62">
        <v>303</v>
      </c>
    </row>
    <row r="983" spans="46:47" x14ac:dyDescent="0.25">
      <c r="AT983">
        <v>982</v>
      </c>
      <c r="AU983" s="62">
        <v>303</v>
      </c>
    </row>
    <row r="984" spans="46:47" x14ac:dyDescent="0.25">
      <c r="AT984">
        <v>983</v>
      </c>
      <c r="AU984" s="62">
        <v>303</v>
      </c>
    </row>
    <row r="985" spans="46:47" x14ac:dyDescent="0.25">
      <c r="AT985">
        <v>984</v>
      </c>
      <c r="AU985" s="62">
        <v>304</v>
      </c>
    </row>
    <row r="986" spans="46:47" x14ac:dyDescent="0.25">
      <c r="AT986">
        <v>985</v>
      </c>
      <c r="AU986" s="62">
        <v>304</v>
      </c>
    </row>
    <row r="987" spans="46:47" x14ac:dyDescent="0.25">
      <c r="AT987">
        <v>986</v>
      </c>
      <c r="AU987" s="62">
        <v>304</v>
      </c>
    </row>
    <row r="988" spans="46:47" x14ac:dyDescent="0.25">
      <c r="AT988">
        <v>987</v>
      </c>
      <c r="AU988" s="62">
        <v>305</v>
      </c>
    </row>
    <row r="989" spans="46:47" x14ac:dyDescent="0.25">
      <c r="AT989">
        <v>988</v>
      </c>
      <c r="AU989" s="62">
        <v>305</v>
      </c>
    </row>
    <row r="990" spans="46:47" x14ac:dyDescent="0.25">
      <c r="AT990">
        <v>989</v>
      </c>
      <c r="AU990" s="62">
        <v>305</v>
      </c>
    </row>
    <row r="991" spans="46:47" x14ac:dyDescent="0.25">
      <c r="AT991">
        <v>990</v>
      </c>
      <c r="AU991" s="62">
        <v>306</v>
      </c>
    </row>
    <row r="992" spans="46:47" x14ac:dyDescent="0.25">
      <c r="AT992">
        <v>991</v>
      </c>
      <c r="AU992" s="62">
        <v>306</v>
      </c>
    </row>
    <row r="993" spans="46:47" x14ac:dyDescent="0.25">
      <c r="AT993">
        <v>992</v>
      </c>
      <c r="AU993" s="62">
        <v>306</v>
      </c>
    </row>
    <row r="994" spans="46:47" x14ac:dyDescent="0.25">
      <c r="AT994">
        <v>993</v>
      </c>
      <c r="AU994" s="62">
        <v>307</v>
      </c>
    </row>
    <row r="995" spans="46:47" x14ac:dyDescent="0.25">
      <c r="AT995">
        <v>994</v>
      </c>
      <c r="AU995" s="62">
        <v>307</v>
      </c>
    </row>
    <row r="996" spans="46:47" x14ac:dyDescent="0.25">
      <c r="AT996">
        <v>995</v>
      </c>
      <c r="AU996" s="62">
        <v>307</v>
      </c>
    </row>
    <row r="997" spans="46:47" x14ac:dyDescent="0.25">
      <c r="AT997">
        <v>996</v>
      </c>
      <c r="AU997" s="62">
        <v>308</v>
      </c>
    </row>
    <row r="998" spans="46:47" x14ac:dyDescent="0.25">
      <c r="AT998">
        <v>997</v>
      </c>
      <c r="AU998" s="62">
        <v>308</v>
      </c>
    </row>
    <row r="999" spans="46:47" x14ac:dyDescent="0.25">
      <c r="AT999">
        <v>998</v>
      </c>
      <c r="AU999" s="62">
        <v>308</v>
      </c>
    </row>
    <row r="1000" spans="46:47" x14ac:dyDescent="0.25">
      <c r="AT1000">
        <v>999</v>
      </c>
      <c r="AU1000" s="62">
        <v>309</v>
      </c>
    </row>
    <row r="1001" spans="46:47" x14ac:dyDescent="0.25">
      <c r="AT1001">
        <v>1000</v>
      </c>
      <c r="AU1001" s="62">
        <v>309</v>
      </c>
    </row>
  </sheetData>
  <sortState xmlns:xlrd2="http://schemas.microsoft.com/office/spreadsheetml/2017/richdata2" ref="BD32:BI39">
    <sortCondition ref="BD39"/>
  </sortState>
  <mergeCells count="14">
    <mergeCell ref="BV1:BW1"/>
    <mergeCell ref="B1:F1"/>
    <mergeCell ref="BL1:BT1"/>
    <mergeCell ref="AZ1:BA1"/>
    <mergeCell ref="BC1:BJ1"/>
    <mergeCell ref="AW1:AX1"/>
    <mergeCell ref="AP1:AR1"/>
    <mergeCell ref="AT1:AU1"/>
    <mergeCell ref="AL1:AN1"/>
    <mergeCell ref="H1:Q1"/>
    <mergeCell ref="S1:T1"/>
    <mergeCell ref="V1:Z1"/>
    <mergeCell ref="AB1:AD1"/>
    <mergeCell ref="AF1:AH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H628"/>
  <sheetViews>
    <sheetView topLeftCell="N1" workbookViewId="0">
      <selection activeCell="O2" sqref="O2"/>
    </sheetView>
  </sheetViews>
  <sheetFormatPr defaultColWidth="0.85546875" defaultRowHeight="15" x14ac:dyDescent="0.25"/>
  <cols>
    <col min="1" max="1" width="3.7109375" style="4" customWidth="1"/>
    <col min="2" max="3" width="3.7109375" customWidth="1"/>
    <col min="6" max="6" width="3.7109375" customWidth="1"/>
    <col min="8" max="11" width="3.7109375" customWidth="1"/>
    <col min="13" max="13" width="37.140625" bestFit="1" customWidth="1"/>
    <col min="14" max="14" width="38.28515625" bestFit="1" customWidth="1"/>
    <col min="15" max="15" width="8.85546875" customWidth="1"/>
    <col min="16" max="18" width="8" customWidth="1"/>
    <col min="19" max="19" width="6.140625" customWidth="1"/>
    <col min="20" max="20" width="6.42578125" customWidth="1"/>
    <col min="21" max="21" width="5" customWidth="1"/>
    <col min="22" max="22" width="6.140625" customWidth="1"/>
    <col min="23" max="23" width="5.28515625" customWidth="1"/>
    <col min="24" max="25" width="10.140625" customWidth="1"/>
    <col min="26" max="28" width="12.7109375" customWidth="1"/>
    <col min="29" max="29" width="10.7109375" customWidth="1"/>
    <col min="30" max="30" width="10.140625" customWidth="1"/>
    <col min="31" max="31" width="7.42578125" bestFit="1" customWidth="1"/>
    <col min="32" max="32" width="5.42578125" customWidth="1"/>
    <col min="34" max="34" width="6.5703125" style="4" customWidth="1"/>
    <col min="35" max="35" width="5.5703125" style="4" customWidth="1"/>
    <col min="36" max="45" width="3.7109375" customWidth="1"/>
    <col min="47" max="50" width="3.7109375" customWidth="1"/>
    <col min="51" max="86" width="3.7109375" style="4" customWidth="1"/>
  </cols>
  <sheetData>
    <row r="1" spans="1:86" ht="129" x14ac:dyDescent="0.25">
      <c r="A1" s="12" t="s">
        <v>2239</v>
      </c>
      <c r="O1" s="5" t="s">
        <v>771</v>
      </c>
      <c r="P1" s="5" t="s">
        <v>772</v>
      </c>
      <c r="Q1" s="5" t="s">
        <v>773</v>
      </c>
      <c r="R1" s="5" t="s">
        <v>774</v>
      </c>
      <c r="S1" s="4" t="s">
        <v>83</v>
      </c>
      <c r="T1" s="4" t="s">
        <v>37</v>
      </c>
      <c r="U1" s="4" t="s">
        <v>49</v>
      </c>
      <c r="V1" s="4" t="s">
        <v>149</v>
      </c>
      <c r="W1" s="4" t="s">
        <v>150</v>
      </c>
      <c r="X1" s="5" t="s">
        <v>775</v>
      </c>
      <c r="Y1" s="5" t="s">
        <v>2329</v>
      </c>
      <c r="Z1" s="5" t="s">
        <v>2327</v>
      </c>
      <c r="AA1" s="5" t="s">
        <v>2328</v>
      </c>
      <c r="AB1" s="5" t="s">
        <v>2330</v>
      </c>
      <c r="AC1" s="5" t="s">
        <v>2234</v>
      </c>
      <c r="AD1" s="5" t="s">
        <v>142</v>
      </c>
      <c r="AE1" s="4" t="s">
        <v>143</v>
      </c>
      <c r="AF1" s="4" t="s">
        <v>40</v>
      </c>
      <c r="AH1" s="4" t="s">
        <v>1992</v>
      </c>
      <c r="AI1" s="4" t="s">
        <v>1997</v>
      </c>
      <c r="AJ1" s="12" t="str">
        <f>[2]Cultures!D3</f>
        <v>Cosmopolitan</v>
      </c>
      <c r="AK1" s="12" t="str">
        <f>[2]Cultures!E3</f>
        <v>Harsh</v>
      </c>
      <c r="AL1" s="12" t="str">
        <f>[2]Cultures!F3</f>
        <v>Highland</v>
      </c>
      <c r="AM1" s="12" t="str">
        <f>[2]Cultures!G3</f>
        <v>Mariner</v>
      </c>
      <c r="AN1" s="12" t="str">
        <f>[2]Cultures!H3</f>
        <v>Nomad</v>
      </c>
      <c r="AO1" s="12" t="str">
        <f>[2]Cultures!I3</f>
        <v>Reaver</v>
      </c>
      <c r="AP1" s="12" t="str">
        <f>[2]Cultures!J3</f>
        <v>Rural</v>
      </c>
      <c r="AQ1" s="12" t="str">
        <f>[2]Cultures!K3</f>
        <v>Sylvan</v>
      </c>
      <c r="AR1" s="12" t="str">
        <f>[2]Cultures!L3</f>
        <v>Underground</v>
      </c>
      <c r="AS1" s="12" t="str">
        <f>[2]Cultures!M3</f>
        <v>Urban</v>
      </c>
      <c r="AU1" s="12" t="s">
        <v>149</v>
      </c>
      <c r="AV1" s="507" t="s">
        <v>152</v>
      </c>
      <c r="AW1" s="507"/>
      <c r="AX1" s="507"/>
      <c r="AY1" s="12" t="str">
        <f>[2]Professions!C1</f>
        <v>Cowboy</v>
      </c>
      <c r="AZ1" s="12" t="str">
        <f>[2]Professions!D1</f>
        <v>Gambler</v>
      </c>
      <c r="BA1" s="12" t="str">
        <f>[2]Professions!E1</f>
        <v>Gunslinger</v>
      </c>
      <c r="BB1" s="12" t="str">
        <f>[2]Professions!F1</f>
        <v>Lawman</v>
      </c>
      <c r="BC1" s="12" t="str">
        <f>[2]Professions!G1</f>
        <v>Private Detective</v>
      </c>
      <c r="BD1" s="12" t="str">
        <f>[2]Professions!H1</f>
        <v>Soldier</v>
      </c>
      <c r="BE1" s="12" t="str">
        <f>[2]Professions!I1</f>
        <v>Merchant</v>
      </c>
      <c r="BF1" s="12" t="str">
        <f>[2]Professions!J1</f>
        <v>Coachman</v>
      </c>
      <c r="BG1" s="12" t="str">
        <f>[2]Professions!K1</f>
        <v>Doctor</v>
      </c>
      <c r="BH1" s="12" t="str">
        <f>[2]Professions!L1</f>
        <v>Stableman</v>
      </c>
      <c r="BI1" s="12" t="str">
        <f>[2]Professions!M1</f>
        <v>Citizen</v>
      </c>
      <c r="BJ1" s="12" t="str">
        <f>[2]Professions!N1</f>
        <v>Fighter</v>
      </c>
      <c r="BK1" s="12" t="str">
        <f>[2]Professions!O1</f>
        <v>Warrior Monk</v>
      </c>
      <c r="BL1" s="12" t="str">
        <f>[2]Professions!P1</f>
        <v>Theif</v>
      </c>
      <c r="BM1" s="12" t="str">
        <f>[2]Professions!Q1</f>
        <v>Rogue</v>
      </c>
      <c r="BN1" s="12" t="str">
        <f>[2]Professions!R1</f>
        <v>Labourer</v>
      </c>
      <c r="BO1" s="12" t="str">
        <f>[2]Professions!S1</f>
        <v>Scholar</v>
      </c>
      <c r="BP1" s="12" t="str">
        <f>[2]Professions!T1</f>
        <v>Cleric</v>
      </c>
      <c r="BQ1" s="12" t="str">
        <f>[2]Professions!U1</f>
        <v>Druid</v>
      </c>
      <c r="BR1" s="12" t="str">
        <f>[2]Professions!V1</f>
        <v>Paladin</v>
      </c>
      <c r="BS1" s="12" t="str">
        <f>[2]Professions!W1</f>
        <v>Ranger</v>
      </c>
      <c r="BT1" s="12" t="str">
        <f>[2]Professions!X1</f>
        <v>Magician</v>
      </c>
      <c r="BU1" s="12" t="str">
        <f>[2]Professions!Y1</f>
        <v>Illusionist</v>
      </c>
      <c r="BV1" s="12" t="str">
        <f>[2]Professions!Z1</f>
        <v>Bard</v>
      </c>
      <c r="BW1" s="12" t="str">
        <f>[2]Professions!AA1</f>
        <v>Dabbler</v>
      </c>
      <c r="BX1" s="12" t="str">
        <f>[2]Professions!AB1</f>
        <v>Mentalist</v>
      </c>
      <c r="BY1" s="12" t="str">
        <f>[2]Professions!AC1</f>
        <v>Lay Healer</v>
      </c>
      <c r="BZ1" s="12" t="str">
        <f>[2]Professions!AD1</f>
        <v>Monk</v>
      </c>
      <c r="CA1" s="12" t="str">
        <f>[2]Professions!AE1</f>
        <v>Magent</v>
      </c>
      <c r="CB1" s="12" t="str">
        <f>[2]Professions!AF1</f>
        <v>Healer</v>
      </c>
      <c r="CC1" s="12" t="str">
        <f>[2]Professions!AG1</f>
        <v>Mystic</v>
      </c>
      <c r="CD1" s="12" t="str">
        <f>[2]Professions!AH1</f>
        <v>Sorcerer</v>
      </c>
      <c r="CE1" s="12" t="str">
        <f>[2]Professions!AI1</f>
        <v>Fatale</v>
      </c>
      <c r="CF1" s="12" t="str">
        <f>[2]Professions!AJ1</f>
        <v>Alchemist, Sanctifier</v>
      </c>
      <c r="CG1" s="12" t="str">
        <f>[2]Professions!AK1</f>
        <v>Alchemist, Adept</v>
      </c>
      <c r="CH1" s="12" t="str">
        <f>[2]Professions!AL1</f>
        <v>Alchemist, Psychographer</v>
      </c>
    </row>
    <row r="2" spans="1:86" x14ac:dyDescent="0.25">
      <c r="B2" s="4">
        <v>0</v>
      </c>
      <c r="E2" s="4"/>
      <c r="F2" s="4">
        <f>IF(AX2="x",1,0)</f>
        <v>0</v>
      </c>
      <c r="G2" s="4"/>
      <c r="H2" s="4" t="e">
        <f>I2</f>
        <v>#N/A</v>
      </c>
      <c r="I2" s="4" t="e">
        <f>IF($J$3=1,1,IF($J$5=1,1,IF($J$11=1,1,IF($J$17=1,1,IF($J$23=1,1,0)))))</f>
        <v>#N/A</v>
      </c>
      <c r="J2" s="4">
        <f t="shared" ref="J2:J65" si="0">IF(ISNUMBER(SEARCH("Skills",N2)),IF(AI2&gt;=1,1,0),0)</f>
        <v>0</v>
      </c>
      <c r="K2" s="4" t="e">
        <f t="shared" ref="K2:K33" si="1">IF(ISNUMBER(SEARCH("Category",N2)),K3,AI2)</f>
        <v>#N/A</v>
      </c>
      <c r="N2" s="3" t="s">
        <v>602</v>
      </c>
      <c r="O2" s="6" t="s">
        <v>782</v>
      </c>
      <c r="P2" s="6" t="s">
        <v>782</v>
      </c>
      <c r="Q2" s="4" t="str">
        <f t="shared" ref="Q2:Q30" si="2">IF(ISNUMBER(SEARCH("Category",N2)),"- -",IF(ISNUMBER(SEARCH("Skills",N2)),"- -",AH2+AI2))</f>
        <v>- -</v>
      </c>
      <c r="R2" s="4" t="str">
        <f>IF(ISNUMBER(SEARCH("Category",N2)),"- -",IF(ISNUMBER(SEARCH("Skills",N2)),"- -",'Level-up'!C20))</f>
        <v>- -</v>
      </c>
      <c r="S2" s="4" t="str">
        <f t="shared" ref="S2:S65" si="3">IF(ISNUMBER(SEARCH("Skills",N2)),"- -",IF(ISNUMBER(SEARCH("category",N2)),"- -",SUM(Q2:R2)))</f>
        <v>- -</v>
      </c>
      <c r="T2" s="4" t="str">
        <f t="shared" ref="T2:T65" si="4">IF(ISNUMBER(SEARCH("Skills",N2)),"- -",IF(ISNUMBER(SEARCH("category",N2)),"- -",IF(S2="",0,IF(S2=0,(IF(O2="- -",0,-25)),IF(S2&lt;11,S2*5,IF(S2&lt;21,((S2-10)*3)+50,IF(S2&lt;31,((S2-20)*2)+80,IF(S2&gt;30,(S2-30)+100))))))))</f>
        <v>- -</v>
      </c>
      <c r="U2" s="4" t="str">
        <f ca="1">IFERROR(INDIRECT(LEFT(O2,FIND("/",O2)-1))+INDIRECT(MID(O2,FIND("/",O2)+1,2))+INDIRECT(P2),"- -")</f>
        <v>- -</v>
      </c>
      <c r="V2" s="4" t="str">
        <f>IF(ISNUMBER(SEARCH("Category",N2)),"- -",IF(ISNUMBER(SEARCH("Skills",N2)),"- -",IF(AU2&gt;0,AU2,$AU$4)))</f>
        <v>- -</v>
      </c>
      <c r="W2" s="4" t="str">
        <f t="shared" ref="W2:W30" si="5">IF(ISNUMBER(SEARCH("Category",N2)),"- -",IF(ISNUMBER(SEARCH("Skills",N2)),"- -",IF(AW2=1,MIN(S2,30),0)))</f>
        <v>- -</v>
      </c>
      <c r="X2" s="4" t="str">
        <f>IF(ISNUMBER(SEARCH("Category",N2)),"- -",IF(ISNUMBER(SEARCH("Skills",N2)),"- -",0))</f>
        <v>- -</v>
      </c>
      <c r="Y2" s="4" t="str">
        <f>IF(ISNUMBER(SEARCH("Category",N2)),"- -",IF(ISNUMBER(SEARCH("Skills",N2)),"- -",0))</f>
        <v>- -</v>
      </c>
      <c r="Z2" s="4" t="str">
        <f>IF(ISNUMBER(SEARCH("Category",N2)),"- -",IF(ISNUMBER(SEARCH("Skills",N2)),"- -",0))</f>
        <v>- -</v>
      </c>
      <c r="AA2" s="4" t="str">
        <f>IF(ISNUMBER(SEARCH("Category",N2)),"- -",IF(ISNUMBER(SEARCH("Skills",N2)),"- -",0))</f>
        <v>- -</v>
      </c>
      <c r="AB2" s="4" t="str">
        <f>IF(ISNUMBER(SEARCH("Category",N2)),"- -",IF(ISNUMBER(SEARCH("Skills",N2)),"- -",0))</f>
        <v>- -</v>
      </c>
      <c r="AC2" s="8"/>
      <c r="AD2" s="4"/>
      <c r="AE2" s="4"/>
      <c r="AF2" s="4" t="str">
        <f t="shared" ref="AF2:AF65" si="6">IF(ISNUMBER(SEARCH("Skills",N2)),"- -",IF(ISNUMBER(SEARCH("category",N2)),"- -",SUM(T2:Y2)+SUM(AA2:AE2)&amp;IF(AA2=Z2,"","/"&amp;SUM(T2:AE2))))</f>
        <v>- -</v>
      </c>
      <c r="AG2" s="4"/>
      <c r="AH2" s="4">
        <f>IFERROR(VLOOKUP(M2,Calculations!$AC$2:$AD$251,2,FALSE),0)</f>
        <v>0</v>
      </c>
      <c r="AI2" s="4" t="e">
        <f>VLOOKUP(N2,$N$2:$AS$620,MATCH('Character Creation'!$Z$12,Skills!$N$1:$AS$1,0),FALSE)</f>
        <v>#N/A</v>
      </c>
      <c r="AJ2" s="4" t="e">
        <f>VLOOKUP($N2,[2]Cultures!$B$4:$M$283,MATCH(AJ$1,[2]Cultures!$B$3:$M$3,0),FALSE)</f>
        <v>#N/A</v>
      </c>
      <c r="AK2" s="4" t="e">
        <f>VLOOKUP($N2,[2]Cultures!$B$4:$M$283,MATCH(AK$1,[2]Cultures!$B$3:$M$3,0),FALSE)</f>
        <v>#N/A</v>
      </c>
      <c r="AL2" s="4" t="e">
        <f>VLOOKUP($N2,[2]Cultures!$B$4:$M$283,MATCH(AL$1,[2]Cultures!$B$3:$M$3,0),FALSE)</f>
        <v>#N/A</v>
      </c>
      <c r="AM2" s="4" t="e">
        <f>VLOOKUP($N2,[2]Cultures!$B$4:$M$283,MATCH(AM$1,[2]Cultures!$B$3:$M$3,0),FALSE)</f>
        <v>#N/A</v>
      </c>
      <c r="AN2" s="4" t="e">
        <f>VLOOKUP($N2,[2]Cultures!$B$4:$M$283,MATCH(AN$1,[2]Cultures!$B$3:$M$3,0),FALSE)</f>
        <v>#N/A</v>
      </c>
      <c r="AO2" s="4" t="e">
        <f>VLOOKUP($N2,[2]Cultures!$B$4:$M$283,MATCH(AO$1,[2]Cultures!$B$3:$M$3,0),FALSE)</f>
        <v>#N/A</v>
      </c>
      <c r="AP2" s="4" t="e">
        <f>VLOOKUP($N2,[2]Cultures!$B$4:$M$283,MATCH(AP$1,[2]Cultures!$B$3:$M$3,0),FALSE)</f>
        <v>#N/A</v>
      </c>
      <c r="AQ2" s="4" t="e">
        <f>VLOOKUP($N2,[2]Cultures!$B$4:$M$283,MATCH(AQ$1,[2]Cultures!$B$3:$M$3,0),FALSE)</f>
        <v>#N/A</v>
      </c>
      <c r="AR2" s="4" t="e">
        <f>VLOOKUP($N2,[2]Cultures!$B$4:$M$283,MATCH(AR$1,[2]Cultures!$B$3:$M$3,0),FALSE)</f>
        <v>#N/A</v>
      </c>
      <c r="AS2" s="4" t="e">
        <f>VLOOKUP($N2,[2]Cultures!$B$4:$M$283,MATCH(AS$1,[2]Cultures!$B$3:$M$3,0),FALSE)</f>
        <v>#N/A</v>
      </c>
      <c r="AT2" s="4"/>
      <c r="AU2" s="4">
        <f>IF(ISNUMBER(SEARCH(N2&amp;";",Calculations!$Q$19)),VLOOKUP(Skills!N2,Calculations!$Q$2:$T$16,4,FALSE),0)</f>
        <v>0</v>
      </c>
      <c r="AV2" s="4">
        <f>IF(ISNUMBER(SEARCH(N2&amp;";",Calculations!$Q$18)),1,0)</f>
        <v>0</v>
      </c>
      <c r="AW2" s="4"/>
      <c r="AX2" s="4">
        <f>VLOOKUP($N2,$N2:$CH2,MATCH('Character Sheet'!$BJ$3,Skills!$N$1:$CH$1,0),FALSE)</f>
        <v>0</v>
      </c>
    </row>
    <row r="3" spans="1:86" x14ac:dyDescent="0.25">
      <c r="B3" s="4">
        <f t="shared" ref="B3:B29" si="7">IF(A3="Y",B2+1,IF(A3="N",B2,IF(S3="- -",B2,IF(S3&gt;0,B2+1,B2))))</f>
        <v>0</v>
      </c>
      <c r="E3" s="4"/>
      <c r="F3" s="4">
        <f t="shared" ref="F3:F66" si="8">IF(AX3="x",F2+1,F2)</f>
        <v>0</v>
      </c>
      <c r="G3" s="4"/>
      <c r="H3" s="4" t="e">
        <f>H2+I3</f>
        <v>#N/A</v>
      </c>
      <c r="I3" s="4">
        <v>0</v>
      </c>
      <c r="J3" s="4" t="e">
        <f t="shared" si="0"/>
        <v>#N/A</v>
      </c>
      <c r="K3" s="4" t="e">
        <f t="shared" si="1"/>
        <v>#N/A</v>
      </c>
      <c r="N3" s="3" t="s">
        <v>603</v>
      </c>
      <c r="O3" s="6" t="s">
        <v>782</v>
      </c>
      <c r="P3" s="6" t="s">
        <v>782</v>
      </c>
      <c r="Q3" s="4" t="str">
        <f t="shared" si="2"/>
        <v>- -</v>
      </c>
      <c r="R3" s="4" t="str">
        <f>IF(ISNUMBER(SEARCH("Category",N3)),"- -",IF(ISNUMBER(SEARCH("Skills",N3)),"- -",'Level-up'!C21))</f>
        <v>- -</v>
      </c>
      <c r="S3" s="4" t="str">
        <f t="shared" si="3"/>
        <v>- -</v>
      </c>
      <c r="T3" s="4" t="str">
        <f t="shared" si="4"/>
        <v>- -</v>
      </c>
      <c r="U3" s="4" t="str">
        <f t="shared" ref="U3:U66" ca="1" si="9">IFERROR(INDIRECT(LEFT(O3,FIND("/",O3)-1))+INDIRECT(MID(O3,FIND("/",O3)+1,2))+INDIRECT(P3),"- -")</f>
        <v>- -</v>
      </c>
      <c r="V3" s="4" t="str">
        <f>IF(ISNUMBER(SEARCH("Category",N3)),"- -",IF(ISNUMBER(SEARCH("Skills",N3)),"- -",IF(AU3&gt;0,AU3,$AU$4)))</f>
        <v>- -</v>
      </c>
      <c r="W3" s="4" t="str">
        <f t="shared" si="5"/>
        <v>- -</v>
      </c>
      <c r="X3" s="4" t="str">
        <f t="shared" ref="X3:X66" si="10">IF(ISNUMBER(SEARCH("Category",N3)),"- -",IF(ISNUMBER(SEARCH("Skills",N3)),"- -",0))</f>
        <v>- -</v>
      </c>
      <c r="Y3" s="4" t="str">
        <f t="shared" ref="Y3:Y66" si="11">IF(ISNUMBER(SEARCH("Category",N3)),"- -",IF(ISNUMBER(SEARCH("Skills",N3)),"- -",0))</f>
        <v>- -</v>
      </c>
      <c r="Z3" s="4" t="str">
        <f t="shared" ref="Z3:Z66" si="12">IF(ISNUMBER(SEARCH("Category",N3)),"- -",IF(ISNUMBER(SEARCH("Skills",N3)),"- -",0))</f>
        <v>- -</v>
      </c>
      <c r="AA3" s="4" t="str">
        <f t="shared" ref="AA3:AA66" si="13">IF(ISNUMBER(SEARCH("Category",N3)),"- -",IF(ISNUMBER(SEARCH("Skills",N3)),"- -",0))</f>
        <v>- -</v>
      </c>
      <c r="AB3" s="4" t="str">
        <f t="shared" ref="AB3:AB66" si="14">IF(ISNUMBER(SEARCH("Category",N3)),"- -",IF(ISNUMBER(SEARCH("Skills",N3)),"- -",0))</f>
        <v>- -</v>
      </c>
      <c r="AC3" s="8"/>
      <c r="AD3" s="4"/>
      <c r="AE3" s="4"/>
      <c r="AF3" s="4" t="str">
        <f t="shared" si="6"/>
        <v>- -</v>
      </c>
      <c r="AG3" s="4"/>
      <c r="AH3" s="4">
        <f>IFERROR(VLOOKUP(M3,Calculations!$AC$2:$AD$251,2,FALSE),0)</f>
        <v>0</v>
      </c>
      <c r="AI3" s="4" t="e">
        <f>VLOOKUP(N3,$N$2:$AS$620,MATCH('Character Creation'!$Z$12,Skills!$N$1:$AS$1,0),FALSE)</f>
        <v>#N/A</v>
      </c>
      <c r="AJ3" s="4" t="e">
        <f>VLOOKUP($N3,[2]Cultures!$B$4:$M$283,MATCH(AJ$1,[2]Cultures!$B$3:$M$3,0),FALSE)</f>
        <v>#N/A</v>
      </c>
      <c r="AK3" s="4" t="e">
        <f>VLOOKUP($N3,[2]Cultures!$B$4:$M$283,MATCH(AK$1,[2]Cultures!$B$3:$M$3,0),FALSE)</f>
        <v>#N/A</v>
      </c>
      <c r="AL3" s="4" t="e">
        <f>VLOOKUP($N3,[2]Cultures!$B$4:$M$283,MATCH(AL$1,[2]Cultures!$B$3:$M$3,0),FALSE)</f>
        <v>#N/A</v>
      </c>
      <c r="AM3" s="4" t="e">
        <f>VLOOKUP($N3,[2]Cultures!$B$4:$M$283,MATCH(AM$1,[2]Cultures!$B$3:$M$3,0),FALSE)</f>
        <v>#N/A</v>
      </c>
      <c r="AN3" s="4" t="e">
        <f>VLOOKUP($N3,[2]Cultures!$B$4:$M$283,MATCH(AN$1,[2]Cultures!$B$3:$M$3,0),FALSE)</f>
        <v>#N/A</v>
      </c>
      <c r="AO3" s="4" t="e">
        <f>VLOOKUP($N3,[2]Cultures!$B$4:$M$283,MATCH(AO$1,[2]Cultures!$B$3:$M$3,0),FALSE)</f>
        <v>#N/A</v>
      </c>
      <c r="AP3" s="4" t="e">
        <f>VLOOKUP($N3,[2]Cultures!$B$4:$M$283,MATCH(AP$1,[2]Cultures!$B$3:$M$3,0),FALSE)</f>
        <v>#N/A</v>
      </c>
      <c r="AQ3" s="4" t="e">
        <f>VLOOKUP($N3,[2]Cultures!$B$4:$M$283,MATCH(AQ$1,[2]Cultures!$B$3:$M$3,0),FALSE)</f>
        <v>#N/A</v>
      </c>
      <c r="AR3" s="4" t="e">
        <f>VLOOKUP($N3,[2]Cultures!$B$4:$M$283,MATCH(AR$1,[2]Cultures!$B$3:$M$3,0),FALSE)</f>
        <v>#N/A</v>
      </c>
      <c r="AS3" s="4" t="e">
        <f>VLOOKUP($N3,[2]Cultures!$B$4:$M$283,MATCH(AS$1,[2]Cultures!$B$3:$M$3,0),FALSE)</f>
        <v>#N/A</v>
      </c>
      <c r="AT3" s="4"/>
      <c r="AU3" s="4">
        <f>IF(ISNUMBER(SEARCH(N3&amp;";",Calculations!$Q$19)),VLOOKUP(Skills!N3,Calculations!$Q$2:$T$16,4,FALSE),0)</f>
        <v>0</v>
      </c>
      <c r="AV3" s="4">
        <f>IF(ISNUMBER(SEARCH(N3&amp;";",Calculations!$Q$18)),1,0)</f>
        <v>0</v>
      </c>
      <c r="AW3" s="4"/>
      <c r="AX3" s="4">
        <f>VLOOKUP($N3,$N3:$CH3,MATCH('Character Sheet'!$BJ$3,Skills!$N$1:$CH$1,0),FALSE)</f>
        <v>0</v>
      </c>
    </row>
    <row r="4" spans="1:86" x14ac:dyDescent="0.25">
      <c r="B4" s="4">
        <f t="shared" si="7"/>
        <v>0</v>
      </c>
      <c r="E4" s="4"/>
      <c r="F4" s="4">
        <f t="shared" si="8"/>
        <v>0</v>
      </c>
      <c r="G4" s="4"/>
      <c r="H4" s="4" t="e">
        <f t="shared" ref="H4:H67" si="15">H3+I4</f>
        <v>#N/A</v>
      </c>
      <c r="I4" s="4" t="e">
        <f>IF($J$3=1,1,IF($J$5=1,1,0))</f>
        <v>#N/A</v>
      </c>
      <c r="J4" s="4">
        <f t="shared" si="0"/>
        <v>0</v>
      </c>
      <c r="K4" s="4" t="e">
        <f t="shared" si="1"/>
        <v>#N/A</v>
      </c>
      <c r="N4" s="3" t="s">
        <v>604</v>
      </c>
      <c r="O4" s="6" t="s">
        <v>782</v>
      </c>
      <c r="P4" s="6" t="s">
        <v>782</v>
      </c>
      <c r="Q4" s="4" t="str">
        <f t="shared" si="2"/>
        <v>- -</v>
      </c>
      <c r="R4" s="4" t="str">
        <f>IF(ISNUMBER(SEARCH("Category",N4)),"- -",IF(ISNUMBER(SEARCH("Skills",N4)),"- -",'Level-up'!C22))</f>
        <v>- -</v>
      </c>
      <c r="S4" s="4" t="str">
        <f t="shared" si="3"/>
        <v>- -</v>
      </c>
      <c r="T4" s="4" t="str">
        <f t="shared" si="4"/>
        <v>- -</v>
      </c>
      <c r="U4" s="4" t="str">
        <f t="shared" ca="1" si="9"/>
        <v>- -</v>
      </c>
      <c r="V4" s="4" t="str">
        <f>IF(ISNUMBER(SEARCH("Category",N4)),"- -",IF(ISNUMBER(SEARCH("Skills",N4)),"- -",IF(AU4&gt;0,AU4,$AU$4)))</f>
        <v>- -</v>
      </c>
      <c r="W4" s="4" t="str">
        <f t="shared" si="5"/>
        <v>- -</v>
      </c>
      <c r="X4" s="4" t="str">
        <f t="shared" si="10"/>
        <v>- -</v>
      </c>
      <c r="Y4" s="4" t="str">
        <f t="shared" si="11"/>
        <v>- -</v>
      </c>
      <c r="Z4" s="4" t="str">
        <f t="shared" si="12"/>
        <v>- -</v>
      </c>
      <c r="AA4" s="4" t="str">
        <f t="shared" si="13"/>
        <v>- -</v>
      </c>
      <c r="AB4" s="4" t="str">
        <f t="shared" si="14"/>
        <v>- -</v>
      </c>
      <c r="AC4" s="8"/>
      <c r="AD4" s="4"/>
      <c r="AE4" s="4"/>
      <c r="AF4" s="4" t="str">
        <f t="shared" si="6"/>
        <v>- -</v>
      </c>
      <c r="AG4" s="4"/>
      <c r="AH4" s="4">
        <f>IFERROR(VLOOKUP(M4,Calculations!$AC$2:$AD$251,2,FALSE),0)</f>
        <v>0</v>
      </c>
      <c r="AI4" s="4" t="e">
        <f>VLOOKUP(N4,$N$2:$AS$620,MATCH('Character Creation'!$Z$12,Skills!$N$1:$AS$1,0),FALSE)</f>
        <v>#N/A</v>
      </c>
      <c r="AJ4" s="4" t="e">
        <f>VLOOKUP($N4,[2]Cultures!$B$4:$M$283,MATCH(AJ$1,[2]Cultures!$B$3:$M$3,0),FALSE)</f>
        <v>#N/A</v>
      </c>
      <c r="AK4" s="4" t="e">
        <f>VLOOKUP($N4,[2]Cultures!$B$4:$M$283,MATCH(AK$1,[2]Cultures!$B$3:$M$3,0),FALSE)</f>
        <v>#N/A</v>
      </c>
      <c r="AL4" s="4" t="e">
        <f>VLOOKUP($N4,[2]Cultures!$B$4:$M$283,MATCH(AL$1,[2]Cultures!$B$3:$M$3,0),FALSE)</f>
        <v>#N/A</v>
      </c>
      <c r="AM4" s="4" t="e">
        <f>VLOOKUP($N4,[2]Cultures!$B$4:$M$283,MATCH(AM$1,[2]Cultures!$B$3:$M$3,0),FALSE)</f>
        <v>#N/A</v>
      </c>
      <c r="AN4" s="4" t="e">
        <f>VLOOKUP($N4,[2]Cultures!$B$4:$M$283,MATCH(AN$1,[2]Cultures!$B$3:$M$3,0),FALSE)</f>
        <v>#N/A</v>
      </c>
      <c r="AO4" s="4" t="e">
        <f>VLOOKUP($N4,[2]Cultures!$B$4:$M$283,MATCH(AO$1,[2]Cultures!$B$3:$M$3,0),FALSE)</f>
        <v>#N/A</v>
      </c>
      <c r="AP4" s="4" t="e">
        <f>VLOOKUP($N4,[2]Cultures!$B$4:$M$283,MATCH(AP$1,[2]Cultures!$B$3:$M$3,0),FALSE)</f>
        <v>#N/A</v>
      </c>
      <c r="AQ4" s="4" t="e">
        <f>VLOOKUP($N4,[2]Cultures!$B$4:$M$283,MATCH(AQ$1,[2]Cultures!$B$3:$M$3,0),FALSE)</f>
        <v>#N/A</v>
      </c>
      <c r="AR4" s="4" t="e">
        <f>VLOOKUP($N4,[2]Cultures!$B$4:$M$283,MATCH(AR$1,[2]Cultures!$B$3:$M$3,0),FALSE)</f>
        <v>#N/A</v>
      </c>
      <c r="AS4" s="4" t="e">
        <f>VLOOKUP($N4,[2]Cultures!$B$4:$M$283,MATCH(AS$1,[2]Cultures!$B$3:$M$3,0),FALSE)</f>
        <v>#N/A</v>
      </c>
      <c r="AT4" s="4"/>
      <c r="AU4" s="4">
        <f>IF(ISNUMBER(SEARCH(N4&amp;";",Calculations!$Q$19)),VLOOKUP(Skills!N4,Calculations!$Q$2:$T$16,4,FALSE),0)</f>
        <v>0</v>
      </c>
      <c r="AV4" s="4">
        <f>IF(ISNUMBER(SEARCH(N4&amp;";",Calculations!$Q$18)),1,0)</f>
        <v>0</v>
      </c>
      <c r="AW4" s="4"/>
      <c r="AX4" s="4">
        <f>VLOOKUP($N4,$N4:$CH4,MATCH('Character Sheet'!$BJ$3,Skills!$N$1:$CH$1,0),FALSE)</f>
        <v>0</v>
      </c>
    </row>
    <row r="5" spans="1:86" x14ac:dyDescent="0.25">
      <c r="B5" s="4">
        <f t="shared" si="7"/>
        <v>0</v>
      </c>
      <c r="E5" s="4"/>
      <c r="F5" s="4">
        <f t="shared" si="8"/>
        <v>0</v>
      </c>
      <c r="G5" s="4"/>
      <c r="H5" s="4" t="e">
        <f t="shared" si="15"/>
        <v>#N/A</v>
      </c>
      <c r="I5" s="4">
        <v>0</v>
      </c>
      <c r="J5" s="4" t="e">
        <f t="shared" si="0"/>
        <v>#N/A</v>
      </c>
      <c r="K5" s="4" t="e">
        <f t="shared" si="1"/>
        <v>#N/A</v>
      </c>
      <c r="N5" s="3" t="s">
        <v>605</v>
      </c>
      <c r="O5" s="6" t="s">
        <v>782</v>
      </c>
      <c r="P5" s="6" t="s">
        <v>782</v>
      </c>
      <c r="Q5" s="4" t="str">
        <f t="shared" si="2"/>
        <v>- -</v>
      </c>
      <c r="R5" s="4" t="str">
        <f>IF(ISNUMBER(SEARCH("Category",N5)),"- -",IF(ISNUMBER(SEARCH("Skills",N5)),"- -",'Level-up'!C23))</f>
        <v>- -</v>
      </c>
      <c r="S5" s="4" t="str">
        <f t="shared" si="3"/>
        <v>- -</v>
      </c>
      <c r="T5" s="4" t="str">
        <f t="shared" si="4"/>
        <v>- -</v>
      </c>
      <c r="U5" s="4" t="str">
        <f t="shared" ca="1" si="9"/>
        <v>- -</v>
      </c>
      <c r="V5" s="4" t="str">
        <f>IF(ISNUMBER(SEARCH("Category",N5)),"- -",IF(ISNUMBER(SEARCH("Skills",N5)),"- -",IF(AU5&gt;0,AU5,$AU$4)))</f>
        <v>- -</v>
      </c>
      <c r="W5" s="4" t="str">
        <f t="shared" si="5"/>
        <v>- -</v>
      </c>
      <c r="X5" s="4" t="str">
        <f t="shared" si="10"/>
        <v>- -</v>
      </c>
      <c r="Y5" s="4" t="str">
        <f t="shared" si="11"/>
        <v>- -</v>
      </c>
      <c r="Z5" s="4" t="str">
        <f t="shared" si="12"/>
        <v>- -</v>
      </c>
      <c r="AA5" s="4" t="str">
        <f t="shared" si="13"/>
        <v>- -</v>
      </c>
      <c r="AB5" s="4" t="str">
        <f t="shared" si="14"/>
        <v>- -</v>
      </c>
      <c r="AC5" s="8"/>
      <c r="AD5" s="4"/>
      <c r="AE5" s="4"/>
      <c r="AF5" s="4" t="str">
        <f t="shared" si="6"/>
        <v>- -</v>
      </c>
      <c r="AG5" s="4"/>
      <c r="AH5" s="4">
        <f>IFERROR(VLOOKUP(M5,Calculations!$AC$2:$AD$251,2,FALSE),0)</f>
        <v>0</v>
      </c>
      <c r="AI5" s="4" t="e">
        <f>VLOOKUP(N5,$N$2:$AS$620,MATCH('Character Creation'!$Z$12,Skills!$N$1:$AS$1,0),FALSE)</f>
        <v>#N/A</v>
      </c>
      <c r="AJ5" s="4" t="e">
        <f>VLOOKUP($N5,[2]Cultures!$B$4:$M$283,MATCH(AJ$1,[2]Cultures!$B$3:$M$3,0),FALSE)</f>
        <v>#N/A</v>
      </c>
      <c r="AK5" s="4" t="e">
        <f>VLOOKUP($N5,[2]Cultures!$B$4:$M$283,MATCH(AK$1,[2]Cultures!$B$3:$M$3,0),FALSE)</f>
        <v>#N/A</v>
      </c>
      <c r="AL5" s="4" t="e">
        <f>VLOOKUP($N5,[2]Cultures!$B$4:$M$283,MATCH(AL$1,[2]Cultures!$B$3:$M$3,0),FALSE)</f>
        <v>#N/A</v>
      </c>
      <c r="AM5" s="4" t="e">
        <f>VLOOKUP($N5,[2]Cultures!$B$4:$M$283,MATCH(AM$1,[2]Cultures!$B$3:$M$3,0),FALSE)</f>
        <v>#N/A</v>
      </c>
      <c r="AN5" s="4" t="e">
        <f>VLOOKUP($N5,[2]Cultures!$B$4:$M$283,MATCH(AN$1,[2]Cultures!$B$3:$M$3,0),FALSE)</f>
        <v>#N/A</v>
      </c>
      <c r="AO5" s="4" t="e">
        <f>VLOOKUP($N5,[2]Cultures!$B$4:$M$283,MATCH(AO$1,[2]Cultures!$B$3:$M$3,0),FALSE)</f>
        <v>#N/A</v>
      </c>
      <c r="AP5" s="4" t="e">
        <f>VLOOKUP($N5,[2]Cultures!$B$4:$M$283,MATCH(AP$1,[2]Cultures!$B$3:$M$3,0),FALSE)</f>
        <v>#N/A</v>
      </c>
      <c r="AQ5" s="4" t="e">
        <f>VLOOKUP($N5,[2]Cultures!$B$4:$M$283,MATCH(AQ$1,[2]Cultures!$B$3:$M$3,0),FALSE)</f>
        <v>#N/A</v>
      </c>
      <c r="AR5" s="4" t="e">
        <f>VLOOKUP($N5,[2]Cultures!$B$4:$M$283,MATCH(AR$1,[2]Cultures!$B$3:$M$3,0),FALSE)</f>
        <v>#N/A</v>
      </c>
      <c r="AS5" s="4" t="e">
        <f>VLOOKUP($N5,[2]Cultures!$B$4:$M$283,MATCH(AS$1,[2]Cultures!$B$3:$M$3,0),FALSE)</f>
        <v>#N/A</v>
      </c>
      <c r="AT5" s="4"/>
      <c r="AU5" s="4">
        <f>IF(ISNUMBER(SEARCH(N5&amp;";",Calculations!$Q$19)),VLOOKUP(Skills!N5,Calculations!$Q$2:$T$16,4,FALSE),0)</f>
        <v>0</v>
      </c>
      <c r="AV5" s="4">
        <f>IF(ISNUMBER(SEARCH(N5&amp;";",Calculations!$Q$18)),1,0)</f>
        <v>0</v>
      </c>
      <c r="AW5" s="4"/>
      <c r="AX5" s="4">
        <f>VLOOKUP($N5,$N5:$CH5,MATCH('Character Sheet'!$BJ$3,Skills!$N$1:$CH$1,0),FALSE)</f>
        <v>0</v>
      </c>
    </row>
    <row r="6" spans="1:86" x14ac:dyDescent="0.25">
      <c r="B6" s="4" t="e">
        <f t="shared" si="7"/>
        <v>#N/A</v>
      </c>
      <c r="E6" s="4"/>
      <c r="F6" s="4">
        <f t="shared" si="8"/>
        <v>0</v>
      </c>
      <c r="G6" s="4"/>
      <c r="H6" s="4" t="e">
        <f t="shared" si="15"/>
        <v>#N/A</v>
      </c>
      <c r="I6" s="4" t="e">
        <f>IF($J$3=1,1,IF($J$5=1,1,0))</f>
        <v>#N/A</v>
      </c>
      <c r="J6" s="4">
        <f t="shared" si="0"/>
        <v>0</v>
      </c>
      <c r="K6" s="4" t="e">
        <f t="shared" si="1"/>
        <v>#N/A</v>
      </c>
      <c r="M6" t="str">
        <f>"Handling, "&amp;N6</f>
        <v>Handling, Camel</v>
      </c>
      <c r="N6" s="3" t="str">
        <f>'Character Sheet'!NB5</f>
        <v>Camel</v>
      </c>
      <c r="O6" s="4" t="s">
        <v>780</v>
      </c>
      <c r="P6" s="4" t="s">
        <v>781</v>
      </c>
      <c r="Q6" s="4" t="e">
        <f t="shared" si="2"/>
        <v>#N/A</v>
      </c>
      <c r="R6" s="4">
        <f>IF(ISNUMBER(SEARCH("Category",N6)),"- -",IF(ISNUMBER(SEARCH("Skills",N6)),"- -",'Level-up'!C24))</f>
        <v>0</v>
      </c>
      <c r="S6" s="4" t="e">
        <f t="shared" si="3"/>
        <v>#N/A</v>
      </c>
      <c r="T6" s="4" t="e">
        <f t="shared" si="4"/>
        <v>#N/A</v>
      </c>
      <c r="U6" s="4">
        <f t="shared" ca="1" si="9"/>
        <v>4</v>
      </c>
      <c r="V6" s="4">
        <f t="shared" ref="V6:V11" si="16">IF(ISNUMBER(SEARCH("Category",N6)),"- -",IF(ISNUMBER(SEARCH("Skills",N6)),"- -",IF(AU6&gt;0,AU6,IF($AU$4&gt;0,$AU$4,$AU$2))))</f>
        <v>0</v>
      </c>
      <c r="W6" s="4">
        <f t="shared" si="5"/>
        <v>0</v>
      </c>
      <c r="X6" s="4">
        <f t="shared" si="10"/>
        <v>0</v>
      </c>
      <c r="Y6" s="4">
        <f t="shared" si="11"/>
        <v>0</v>
      </c>
      <c r="Z6" s="4">
        <f t="shared" si="12"/>
        <v>0</v>
      </c>
      <c r="AA6" s="4">
        <f t="shared" si="13"/>
        <v>0</v>
      </c>
      <c r="AB6" s="4">
        <f t="shared" si="14"/>
        <v>0</v>
      </c>
      <c r="AC6" s="8"/>
      <c r="AD6" s="4"/>
      <c r="AE6" s="4"/>
      <c r="AF6" s="4" t="e">
        <f t="shared" si="6"/>
        <v>#N/A</v>
      </c>
      <c r="AG6" s="4"/>
      <c r="AH6" s="4">
        <f>IFERROR(VLOOKUP(M6,Calculations!$AC$2:$AD$251,2,FALSE),0)</f>
        <v>0</v>
      </c>
      <c r="AI6" s="4" t="e">
        <f>VLOOKUP(N6,$N$2:$AS$620,MATCH('Character Creation'!$Z$12,Skills!$N$1:$AS$1,0),FALSE)</f>
        <v>#N/A</v>
      </c>
      <c r="AJ6" s="4" t="e">
        <f>VLOOKUP($N6,[2]Cultures!$B$4:$M$283,MATCH(AJ$1,[2]Cultures!$B$3:$M$3,0),FALSE)</f>
        <v>#N/A</v>
      </c>
      <c r="AK6" s="4" t="e">
        <f>VLOOKUP($N6,[2]Cultures!$B$4:$M$283,MATCH(AK$1,[2]Cultures!$B$3:$M$3,0),FALSE)</f>
        <v>#N/A</v>
      </c>
      <c r="AL6" s="4" t="e">
        <f>VLOOKUP($N6,[2]Cultures!$B$4:$M$283,MATCH(AL$1,[2]Cultures!$B$3:$M$3,0),FALSE)</f>
        <v>#N/A</v>
      </c>
      <c r="AM6" s="4" t="e">
        <f>VLOOKUP($N6,[2]Cultures!$B$4:$M$283,MATCH(AM$1,[2]Cultures!$B$3:$M$3,0),FALSE)</f>
        <v>#N/A</v>
      </c>
      <c r="AN6" s="4" t="e">
        <f>VLOOKUP($N6,[2]Cultures!$B$4:$M$283,MATCH(AN$1,[2]Cultures!$B$3:$M$3,0),FALSE)</f>
        <v>#N/A</v>
      </c>
      <c r="AO6" s="4" t="e">
        <f>VLOOKUP($N6,[2]Cultures!$B$4:$M$283,MATCH(AO$1,[2]Cultures!$B$3:$M$3,0),FALSE)</f>
        <v>#N/A</v>
      </c>
      <c r="AP6" s="4" t="e">
        <f>VLOOKUP($N6,[2]Cultures!$B$4:$M$283,MATCH(AP$1,[2]Cultures!$B$3:$M$3,0),FALSE)</f>
        <v>#N/A</v>
      </c>
      <c r="AQ6" s="4" t="e">
        <f>VLOOKUP($N6,[2]Cultures!$B$4:$M$283,MATCH(AQ$1,[2]Cultures!$B$3:$M$3,0),FALSE)</f>
        <v>#N/A</v>
      </c>
      <c r="AR6" s="4" t="e">
        <f>VLOOKUP($N6,[2]Cultures!$B$4:$M$283,MATCH(AR$1,[2]Cultures!$B$3:$M$3,0),FALSE)</f>
        <v>#N/A</v>
      </c>
      <c r="AS6" s="4" t="e">
        <f>VLOOKUP($N6,[2]Cultures!$B$4:$M$283,MATCH(AS$1,[2]Cultures!$B$3:$M$3,0),FALSE)</f>
        <v>#N/A</v>
      </c>
      <c r="AT6" s="4"/>
      <c r="AU6" s="4">
        <f>IF(ISNUMBER(SEARCH(N6&amp;";",Calculations!$Q$19)),VLOOKUP(Skills!N6,Calculations!$Q$2:$T$16,4,FALSE),0)</f>
        <v>0</v>
      </c>
      <c r="AV6" s="4">
        <f>IF(ISNUMBER(SEARCH(N6&amp;";",Calculations!$Q$18)),1,0)</f>
        <v>0</v>
      </c>
      <c r="AW6" s="4">
        <f>IF($AV$2=1,1,IF($AV$4=1,1,AV6))</f>
        <v>0</v>
      </c>
      <c r="AX6" s="4">
        <f>VLOOKUP($N6,$N6:$CH6,MATCH('Character Sheet'!$BJ$3,Skills!$N$1:$CH$1,0),FALSE)</f>
        <v>0</v>
      </c>
    </row>
    <row r="7" spans="1:86" x14ac:dyDescent="0.25">
      <c r="B7" s="4" t="e">
        <f t="shared" si="7"/>
        <v>#N/A</v>
      </c>
      <c r="E7" s="4"/>
      <c r="F7" s="4">
        <f t="shared" si="8"/>
        <v>0</v>
      </c>
      <c r="G7" s="4"/>
      <c r="H7" s="4" t="e">
        <f t="shared" si="15"/>
        <v>#N/A</v>
      </c>
      <c r="I7" s="4" t="e">
        <f>IF($J$3=1,1,IF($J$5=1,1,0))</f>
        <v>#N/A</v>
      </c>
      <c r="J7" s="4">
        <f t="shared" si="0"/>
        <v>0</v>
      </c>
      <c r="K7" s="4" t="e">
        <f t="shared" si="1"/>
        <v>#N/A</v>
      </c>
      <c r="M7" t="str">
        <f>"Handling, "&amp;N7</f>
        <v>Handling, Horse</v>
      </c>
      <c r="N7" s="3" t="str">
        <f>'Character Sheet'!NB6</f>
        <v>Horse</v>
      </c>
      <c r="O7" s="4" t="s">
        <v>780</v>
      </c>
      <c r="P7" s="4" t="s">
        <v>781</v>
      </c>
      <c r="Q7" s="4" t="e">
        <f t="shared" si="2"/>
        <v>#N/A</v>
      </c>
      <c r="R7" s="4">
        <f>IF(ISNUMBER(SEARCH("Category",N7)),"- -",IF(ISNUMBER(SEARCH("Skills",N7)),"- -",'Level-up'!C25))</f>
        <v>0</v>
      </c>
      <c r="S7" s="4" t="e">
        <f t="shared" si="3"/>
        <v>#N/A</v>
      </c>
      <c r="T7" s="4" t="e">
        <f t="shared" si="4"/>
        <v>#N/A</v>
      </c>
      <c r="U7" s="4">
        <f t="shared" ca="1" si="9"/>
        <v>4</v>
      </c>
      <c r="V7" s="4">
        <f t="shared" si="16"/>
        <v>0</v>
      </c>
      <c r="W7" s="4">
        <f t="shared" si="5"/>
        <v>0</v>
      </c>
      <c r="X7" s="4">
        <f t="shared" si="10"/>
        <v>0</v>
      </c>
      <c r="Y7" s="4">
        <f t="shared" si="11"/>
        <v>0</v>
      </c>
      <c r="Z7" s="4">
        <f t="shared" si="12"/>
        <v>0</v>
      </c>
      <c r="AA7" s="4">
        <f t="shared" si="13"/>
        <v>0</v>
      </c>
      <c r="AB7" s="4">
        <f t="shared" si="14"/>
        <v>0</v>
      </c>
      <c r="AC7" s="8"/>
      <c r="AD7" s="4"/>
      <c r="AE7" s="4"/>
      <c r="AF7" s="4" t="e">
        <f t="shared" si="6"/>
        <v>#N/A</v>
      </c>
      <c r="AG7" s="4"/>
      <c r="AH7" s="4">
        <f>IFERROR(VLOOKUP(M7,Calculations!$AC$2:$AD$251,2,FALSE),0)</f>
        <v>0</v>
      </c>
      <c r="AI7" s="4" t="e">
        <f>VLOOKUP(N7,$N$2:$AS$620,MATCH('Character Creation'!$Z$12,Skills!$N$1:$AS$1,0),FALSE)</f>
        <v>#N/A</v>
      </c>
      <c r="AJ7" s="4" t="e">
        <f>VLOOKUP($N7,[2]Cultures!$B$4:$M$283,MATCH(AJ$1,[2]Cultures!$B$3:$M$3,0),FALSE)</f>
        <v>#N/A</v>
      </c>
      <c r="AK7" s="4" t="e">
        <f>VLOOKUP($N7,[2]Cultures!$B$4:$M$283,MATCH(AK$1,[2]Cultures!$B$3:$M$3,0),FALSE)</f>
        <v>#N/A</v>
      </c>
      <c r="AL7" s="4" t="e">
        <f>VLOOKUP($N7,[2]Cultures!$B$4:$M$283,MATCH(AL$1,[2]Cultures!$B$3:$M$3,0),FALSE)</f>
        <v>#N/A</v>
      </c>
      <c r="AM7" s="4" t="e">
        <f>VLOOKUP($N7,[2]Cultures!$B$4:$M$283,MATCH(AM$1,[2]Cultures!$B$3:$M$3,0),FALSE)</f>
        <v>#N/A</v>
      </c>
      <c r="AN7" s="4" t="e">
        <f>VLOOKUP($N7,[2]Cultures!$B$4:$M$283,MATCH(AN$1,[2]Cultures!$B$3:$M$3,0),FALSE)</f>
        <v>#N/A</v>
      </c>
      <c r="AO7" s="4" t="e">
        <f>VLOOKUP($N7,[2]Cultures!$B$4:$M$283,MATCH(AO$1,[2]Cultures!$B$3:$M$3,0),FALSE)</f>
        <v>#N/A</v>
      </c>
      <c r="AP7" s="4" t="e">
        <f>VLOOKUP($N7,[2]Cultures!$B$4:$M$283,MATCH(AP$1,[2]Cultures!$B$3:$M$3,0),FALSE)</f>
        <v>#N/A</v>
      </c>
      <c r="AQ7" s="4" t="e">
        <f>VLOOKUP($N7,[2]Cultures!$B$4:$M$283,MATCH(AQ$1,[2]Cultures!$B$3:$M$3,0),FALSE)</f>
        <v>#N/A</v>
      </c>
      <c r="AR7" s="4" t="e">
        <f>VLOOKUP($N7,[2]Cultures!$B$4:$M$283,MATCH(AR$1,[2]Cultures!$B$3:$M$3,0),FALSE)</f>
        <v>#N/A</v>
      </c>
      <c r="AS7" s="4" t="e">
        <f>VLOOKUP($N7,[2]Cultures!$B$4:$M$283,MATCH(AS$1,[2]Cultures!$B$3:$M$3,0),FALSE)</f>
        <v>#N/A</v>
      </c>
      <c r="AT7" s="4"/>
      <c r="AU7" s="4">
        <f>IF(ISNUMBER(SEARCH(N7&amp;";",Calculations!$Q$19)),VLOOKUP(Skills!N7,Calculations!$Q$2:$T$16,4,FALSE),0)</f>
        <v>0</v>
      </c>
      <c r="AV7" s="4">
        <f>IF(ISNUMBER(SEARCH(N7&amp;";",Calculations!$Q$18)),1,0)</f>
        <v>0</v>
      </c>
      <c r="AW7" s="4">
        <f>IF($AV$2=1,1,IF($AV$4=1,1,AV7))</f>
        <v>0</v>
      </c>
      <c r="AX7" s="4">
        <f>VLOOKUP($N7,$N7:$CH7,MATCH('Character Sheet'!$BJ$3,Skills!$N$1:$CH$1,0),FALSE)</f>
        <v>0</v>
      </c>
    </row>
    <row r="8" spans="1:86" x14ac:dyDescent="0.25">
      <c r="B8" s="4" t="e">
        <f t="shared" si="7"/>
        <v>#N/A</v>
      </c>
      <c r="E8" s="4"/>
      <c r="F8" s="4">
        <f t="shared" si="8"/>
        <v>0</v>
      </c>
      <c r="G8" s="4"/>
      <c r="H8" s="4" t="e">
        <f t="shared" si="15"/>
        <v>#N/A</v>
      </c>
      <c r="I8" s="4" t="e">
        <f>IF($J$3=1,1,IF($J$5=1,1,0))</f>
        <v>#N/A</v>
      </c>
      <c r="J8" s="4">
        <f t="shared" si="0"/>
        <v>0</v>
      </c>
      <c r="K8" s="4" t="e">
        <f t="shared" si="1"/>
        <v>#N/A</v>
      </c>
      <c r="M8" t="str">
        <f>"Handling, "&amp;N8</f>
        <v>Handling, 0</v>
      </c>
      <c r="N8" s="3">
        <f>'Character Sheet'!NB7</f>
        <v>0</v>
      </c>
      <c r="O8" s="4" t="s">
        <v>780</v>
      </c>
      <c r="P8" s="4" t="s">
        <v>781</v>
      </c>
      <c r="Q8" s="4" t="e">
        <f t="shared" si="2"/>
        <v>#N/A</v>
      </c>
      <c r="R8" s="4">
        <f>IF(ISNUMBER(SEARCH("Category",N8)),"- -",IF(ISNUMBER(SEARCH("Skills",N8)),"- -",'Level-up'!C26))</f>
        <v>0</v>
      </c>
      <c r="S8" s="4" t="e">
        <f t="shared" si="3"/>
        <v>#N/A</v>
      </c>
      <c r="T8" s="4" t="e">
        <f t="shared" si="4"/>
        <v>#N/A</v>
      </c>
      <c r="U8" s="4">
        <f t="shared" ca="1" si="9"/>
        <v>4</v>
      </c>
      <c r="V8" s="4">
        <f t="shared" si="16"/>
        <v>0</v>
      </c>
      <c r="W8" s="4">
        <f t="shared" si="5"/>
        <v>0</v>
      </c>
      <c r="X8" s="4">
        <f t="shared" si="10"/>
        <v>0</v>
      </c>
      <c r="Y8" s="4">
        <f t="shared" si="11"/>
        <v>0</v>
      </c>
      <c r="Z8" s="4">
        <f t="shared" si="12"/>
        <v>0</v>
      </c>
      <c r="AA8" s="4">
        <f t="shared" si="13"/>
        <v>0</v>
      </c>
      <c r="AB8" s="4">
        <f t="shared" si="14"/>
        <v>0</v>
      </c>
      <c r="AC8" s="8"/>
      <c r="AD8" s="4"/>
      <c r="AE8" s="4"/>
      <c r="AF8" s="4" t="e">
        <f t="shared" si="6"/>
        <v>#N/A</v>
      </c>
      <c r="AG8" s="4"/>
      <c r="AH8" s="4">
        <f>IFERROR(VLOOKUP(M8,Calculations!$AC$2:$AD$251,2,FALSE),0)</f>
        <v>0</v>
      </c>
      <c r="AI8" s="4" t="e">
        <f>VLOOKUP(N8,$N$2:$AS$620,MATCH('Character Creation'!$Z$12,Skills!$N$1:$AS$1,0),FALSE)</f>
        <v>#N/A</v>
      </c>
      <c r="AJ8" s="4" t="e">
        <f>VLOOKUP($N8,[2]Cultures!$B$4:$M$283,MATCH(AJ$1,[2]Cultures!$B$3:$M$3,0),FALSE)</f>
        <v>#N/A</v>
      </c>
      <c r="AK8" s="4" t="e">
        <f>VLOOKUP($N8,[2]Cultures!$B$4:$M$283,MATCH(AK$1,[2]Cultures!$B$3:$M$3,0),FALSE)</f>
        <v>#N/A</v>
      </c>
      <c r="AL8" s="4" t="e">
        <f>VLOOKUP($N8,[2]Cultures!$B$4:$M$283,MATCH(AL$1,[2]Cultures!$B$3:$M$3,0),FALSE)</f>
        <v>#N/A</v>
      </c>
      <c r="AM8" s="4" t="e">
        <f>VLOOKUP($N8,[2]Cultures!$B$4:$M$283,MATCH(AM$1,[2]Cultures!$B$3:$M$3,0),FALSE)</f>
        <v>#N/A</v>
      </c>
      <c r="AN8" s="4" t="e">
        <f>VLOOKUP($N8,[2]Cultures!$B$4:$M$283,MATCH(AN$1,[2]Cultures!$B$3:$M$3,0),FALSE)</f>
        <v>#N/A</v>
      </c>
      <c r="AO8" s="4" t="e">
        <f>VLOOKUP($N8,[2]Cultures!$B$4:$M$283,MATCH(AO$1,[2]Cultures!$B$3:$M$3,0),FALSE)</f>
        <v>#N/A</v>
      </c>
      <c r="AP8" s="4" t="e">
        <f>VLOOKUP($N8,[2]Cultures!$B$4:$M$283,MATCH(AP$1,[2]Cultures!$B$3:$M$3,0),FALSE)</f>
        <v>#N/A</v>
      </c>
      <c r="AQ8" s="4" t="e">
        <f>VLOOKUP($N8,[2]Cultures!$B$4:$M$283,MATCH(AQ$1,[2]Cultures!$B$3:$M$3,0),FALSE)</f>
        <v>#N/A</v>
      </c>
      <c r="AR8" s="4" t="e">
        <f>VLOOKUP($N8,[2]Cultures!$B$4:$M$283,MATCH(AR$1,[2]Cultures!$B$3:$M$3,0),FALSE)</f>
        <v>#N/A</v>
      </c>
      <c r="AS8" s="4" t="e">
        <f>VLOOKUP($N8,[2]Cultures!$B$4:$M$283,MATCH(AS$1,[2]Cultures!$B$3:$M$3,0),FALSE)</f>
        <v>#N/A</v>
      </c>
      <c r="AT8" s="4"/>
      <c r="AU8" s="4">
        <f>IF(ISNUMBER(SEARCH(N8&amp;";",Calculations!$Q$19)),VLOOKUP(Skills!N8,Calculations!$Q$2:$T$16,4,FALSE),0)</f>
        <v>0</v>
      </c>
      <c r="AV8" s="4">
        <f>IF(ISNUMBER(SEARCH(N8&amp;";",Calculations!$Q$18)),1,0)</f>
        <v>0</v>
      </c>
      <c r="AW8" s="4">
        <f>IF($AV$2=1,1,IF($AV$4=1,1,AV8))</f>
        <v>0</v>
      </c>
      <c r="AX8" s="4">
        <f>VLOOKUP($N8,$N8:$CH8,MATCH('Character Sheet'!$BJ$3,Skills!$N$1:$CH$1,0),FALSE)</f>
        <v>0</v>
      </c>
    </row>
    <row r="9" spans="1:86" x14ac:dyDescent="0.25">
      <c r="B9" s="4" t="e">
        <f t="shared" si="7"/>
        <v>#N/A</v>
      </c>
      <c r="E9" s="4"/>
      <c r="F9" s="4">
        <f t="shared" si="8"/>
        <v>0</v>
      </c>
      <c r="G9" s="4"/>
      <c r="H9" s="4" t="e">
        <f t="shared" si="15"/>
        <v>#N/A</v>
      </c>
      <c r="I9" s="4" t="e">
        <f>IF($J$3=1,1,IF($J$5=1,1,0))</f>
        <v>#N/A</v>
      </c>
      <c r="J9" s="4">
        <f t="shared" si="0"/>
        <v>0</v>
      </c>
      <c r="K9" s="4" t="e">
        <f t="shared" si="1"/>
        <v>#N/A</v>
      </c>
      <c r="M9" t="str">
        <f>"Handling, "&amp;N9</f>
        <v>Handling, 0</v>
      </c>
      <c r="N9" s="3">
        <f>'Character Sheet'!NB8</f>
        <v>0</v>
      </c>
      <c r="O9" s="4" t="s">
        <v>780</v>
      </c>
      <c r="P9" s="4" t="s">
        <v>781</v>
      </c>
      <c r="Q9" s="4" t="e">
        <f t="shared" si="2"/>
        <v>#N/A</v>
      </c>
      <c r="R9" s="4">
        <f>IF(ISNUMBER(SEARCH("Category",N9)),"- -",IF(ISNUMBER(SEARCH("Skills",N9)),"- -",'Level-up'!C27))</f>
        <v>0</v>
      </c>
      <c r="S9" s="4" t="e">
        <f t="shared" si="3"/>
        <v>#N/A</v>
      </c>
      <c r="T9" s="4" t="e">
        <f t="shared" si="4"/>
        <v>#N/A</v>
      </c>
      <c r="U9" s="4">
        <f t="shared" ca="1" si="9"/>
        <v>4</v>
      </c>
      <c r="V9" s="4">
        <f t="shared" si="16"/>
        <v>0</v>
      </c>
      <c r="W9" s="4">
        <f t="shared" si="5"/>
        <v>0</v>
      </c>
      <c r="X9" s="4">
        <f t="shared" si="10"/>
        <v>0</v>
      </c>
      <c r="Y9" s="4">
        <f t="shared" si="11"/>
        <v>0</v>
      </c>
      <c r="Z9" s="4">
        <f t="shared" si="12"/>
        <v>0</v>
      </c>
      <c r="AA9" s="4">
        <f t="shared" si="13"/>
        <v>0</v>
      </c>
      <c r="AB9" s="4">
        <f t="shared" si="14"/>
        <v>0</v>
      </c>
      <c r="AC9" s="8"/>
      <c r="AD9" s="4"/>
      <c r="AE9" s="4"/>
      <c r="AF9" s="4" t="e">
        <f t="shared" si="6"/>
        <v>#N/A</v>
      </c>
      <c r="AG9" s="4"/>
      <c r="AH9" s="4">
        <f>IFERROR(VLOOKUP(M9,Calculations!$AC$2:$AD$251,2,FALSE),0)</f>
        <v>0</v>
      </c>
      <c r="AI9" s="4" t="e">
        <f>VLOOKUP(N9,$N$2:$AS$620,MATCH('Character Creation'!$Z$12,Skills!$N$1:$AS$1,0),FALSE)</f>
        <v>#N/A</v>
      </c>
      <c r="AJ9" s="4" t="e">
        <f>VLOOKUP($N9,[2]Cultures!$B$4:$M$283,MATCH(AJ$1,[2]Cultures!$B$3:$M$3,0),FALSE)</f>
        <v>#N/A</v>
      </c>
      <c r="AK9" s="4" t="e">
        <f>VLOOKUP($N9,[2]Cultures!$B$4:$M$283,MATCH(AK$1,[2]Cultures!$B$3:$M$3,0),FALSE)</f>
        <v>#N/A</v>
      </c>
      <c r="AL9" s="4" t="e">
        <f>VLOOKUP($N9,[2]Cultures!$B$4:$M$283,MATCH(AL$1,[2]Cultures!$B$3:$M$3,0),FALSE)</f>
        <v>#N/A</v>
      </c>
      <c r="AM9" s="4" t="e">
        <f>VLOOKUP($N9,[2]Cultures!$B$4:$M$283,MATCH(AM$1,[2]Cultures!$B$3:$M$3,0),FALSE)</f>
        <v>#N/A</v>
      </c>
      <c r="AN9" s="4" t="e">
        <f>VLOOKUP($N9,[2]Cultures!$B$4:$M$283,MATCH(AN$1,[2]Cultures!$B$3:$M$3,0),FALSE)</f>
        <v>#N/A</v>
      </c>
      <c r="AO9" s="4" t="e">
        <f>VLOOKUP($N9,[2]Cultures!$B$4:$M$283,MATCH(AO$1,[2]Cultures!$B$3:$M$3,0),FALSE)</f>
        <v>#N/A</v>
      </c>
      <c r="AP9" s="4" t="e">
        <f>VLOOKUP($N9,[2]Cultures!$B$4:$M$283,MATCH(AP$1,[2]Cultures!$B$3:$M$3,0),FALSE)</f>
        <v>#N/A</v>
      </c>
      <c r="AQ9" s="4" t="e">
        <f>VLOOKUP($N9,[2]Cultures!$B$4:$M$283,MATCH(AQ$1,[2]Cultures!$B$3:$M$3,0),FALSE)</f>
        <v>#N/A</v>
      </c>
      <c r="AR9" s="4" t="e">
        <f>VLOOKUP($N9,[2]Cultures!$B$4:$M$283,MATCH(AR$1,[2]Cultures!$B$3:$M$3,0),FALSE)</f>
        <v>#N/A</v>
      </c>
      <c r="AS9" s="4" t="e">
        <f>VLOOKUP($N9,[2]Cultures!$B$4:$M$283,MATCH(AS$1,[2]Cultures!$B$3:$M$3,0),FALSE)</f>
        <v>#N/A</v>
      </c>
      <c r="AT9" s="4"/>
      <c r="AU9" s="4">
        <f>IF(ISNUMBER(SEARCH(N9&amp;";",Calculations!$Q$19)),VLOOKUP(Skills!N9,Calculations!$Q$2:$T$16,4,FALSE),0)</f>
        <v>0</v>
      </c>
      <c r="AV9" s="4">
        <f>IF(ISNUMBER(SEARCH(N9&amp;";",Calculations!$Q$18)),1,0)</f>
        <v>0</v>
      </c>
      <c r="AW9" s="4">
        <f>IF($AV$2=1,1,IF($AV$4=1,1,AV9))</f>
        <v>0</v>
      </c>
      <c r="AX9" s="4">
        <f>VLOOKUP($N9,$N9:$CH9,MATCH('Character Sheet'!$BJ$3,Skills!$N$1:$CH$1,0),FALSE)</f>
        <v>0</v>
      </c>
    </row>
    <row r="10" spans="1:86" x14ac:dyDescent="0.25">
      <c r="B10" s="4" t="e">
        <f t="shared" si="7"/>
        <v>#N/A</v>
      </c>
      <c r="E10" s="4"/>
      <c r="F10" s="4">
        <f t="shared" si="8"/>
        <v>0</v>
      </c>
      <c r="G10" s="4"/>
      <c r="H10" s="4" t="e">
        <f t="shared" si="15"/>
        <v>#N/A</v>
      </c>
      <c r="I10" s="4" t="e">
        <f>IF($J$3=1,1,IF($J$11=1,1,0))</f>
        <v>#N/A</v>
      </c>
      <c r="J10" s="4">
        <f t="shared" si="0"/>
        <v>0</v>
      </c>
      <c r="K10" s="4" t="e">
        <f t="shared" si="1"/>
        <v>#N/A</v>
      </c>
      <c r="N10" s="3" t="s">
        <v>606</v>
      </c>
      <c r="O10" s="6" t="s">
        <v>782</v>
      </c>
      <c r="P10" s="6" t="s">
        <v>782</v>
      </c>
      <c r="Q10" s="4" t="str">
        <f t="shared" si="2"/>
        <v>- -</v>
      </c>
      <c r="R10" s="4" t="str">
        <f>IF(ISNUMBER(SEARCH("Category",N10)),"- -",IF(ISNUMBER(SEARCH("Skills",N10)),"- -",'Level-up'!C28))</f>
        <v>- -</v>
      </c>
      <c r="S10" s="4" t="str">
        <f t="shared" si="3"/>
        <v>- -</v>
      </c>
      <c r="T10" s="4" t="str">
        <f t="shared" si="4"/>
        <v>- -</v>
      </c>
      <c r="U10" s="4" t="str">
        <f t="shared" ca="1" si="9"/>
        <v>- -</v>
      </c>
      <c r="V10" s="4" t="str">
        <f t="shared" si="16"/>
        <v>- -</v>
      </c>
      <c r="W10" s="4" t="str">
        <f t="shared" si="5"/>
        <v>- -</v>
      </c>
      <c r="X10" s="4" t="str">
        <f t="shared" si="10"/>
        <v>- -</v>
      </c>
      <c r="Y10" s="4" t="str">
        <f t="shared" si="11"/>
        <v>- -</v>
      </c>
      <c r="Z10" s="4" t="str">
        <f t="shared" si="12"/>
        <v>- -</v>
      </c>
      <c r="AA10" s="4" t="str">
        <f t="shared" si="13"/>
        <v>- -</v>
      </c>
      <c r="AB10" s="4" t="str">
        <f t="shared" si="14"/>
        <v>- -</v>
      </c>
      <c r="AC10" s="8"/>
      <c r="AD10" s="4"/>
      <c r="AE10" s="4"/>
      <c r="AF10" s="4" t="str">
        <f t="shared" si="6"/>
        <v>- -</v>
      </c>
      <c r="AG10" s="4"/>
      <c r="AH10" s="4">
        <f>IFERROR(VLOOKUP(M10,Calculations!$AC$2:$AD$251,2,FALSE),0)</f>
        <v>0</v>
      </c>
      <c r="AI10" s="4" t="e">
        <f>VLOOKUP(N10,$N$2:$AS$620,MATCH('Character Creation'!$Z$12,Skills!$N$1:$AS$1,0),FALSE)</f>
        <v>#N/A</v>
      </c>
      <c r="AJ10" s="4" t="e">
        <f>VLOOKUP($N10,[2]Cultures!$B$4:$M$283,MATCH(AJ$1,[2]Cultures!$B$3:$M$3,0),FALSE)</f>
        <v>#N/A</v>
      </c>
      <c r="AK10" s="4" t="e">
        <f>VLOOKUP($N10,[2]Cultures!$B$4:$M$283,MATCH(AK$1,[2]Cultures!$B$3:$M$3,0),FALSE)</f>
        <v>#N/A</v>
      </c>
      <c r="AL10" s="4" t="e">
        <f>VLOOKUP($N10,[2]Cultures!$B$4:$M$283,MATCH(AL$1,[2]Cultures!$B$3:$M$3,0),FALSE)</f>
        <v>#N/A</v>
      </c>
      <c r="AM10" s="4" t="e">
        <f>VLOOKUP($N10,[2]Cultures!$B$4:$M$283,MATCH(AM$1,[2]Cultures!$B$3:$M$3,0),FALSE)</f>
        <v>#N/A</v>
      </c>
      <c r="AN10" s="4" t="e">
        <f>VLOOKUP($N10,[2]Cultures!$B$4:$M$283,MATCH(AN$1,[2]Cultures!$B$3:$M$3,0),FALSE)</f>
        <v>#N/A</v>
      </c>
      <c r="AO10" s="4" t="e">
        <f>VLOOKUP($N10,[2]Cultures!$B$4:$M$283,MATCH(AO$1,[2]Cultures!$B$3:$M$3,0),FALSE)</f>
        <v>#N/A</v>
      </c>
      <c r="AP10" s="4" t="e">
        <f>VLOOKUP($N10,[2]Cultures!$B$4:$M$283,MATCH(AP$1,[2]Cultures!$B$3:$M$3,0),FALSE)</f>
        <v>#N/A</v>
      </c>
      <c r="AQ10" s="4" t="e">
        <f>VLOOKUP($N10,[2]Cultures!$B$4:$M$283,MATCH(AQ$1,[2]Cultures!$B$3:$M$3,0),FALSE)</f>
        <v>#N/A</v>
      </c>
      <c r="AR10" s="4" t="e">
        <f>VLOOKUP($N10,[2]Cultures!$B$4:$M$283,MATCH(AR$1,[2]Cultures!$B$3:$M$3,0),FALSE)</f>
        <v>#N/A</v>
      </c>
      <c r="AS10" s="4" t="e">
        <f>VLOOKUP($N10,[2]Cultures!$B$4:$M$283,MATCH(AS$1,[2]Cultures!$B$3:$M$3,0),FALSE)</f>
        <v>#N/A</v>
      </c>
      <c r="AT10" s="4"/>
      <c r="AU10" s="4">
        <f>IF(ISNUMBER(SEARCH(N10&amp;";",Calculations!$Q$19)),VLOOKUP(Skills!N10,Calculations!$Q$2:$T$16,4,FALSE),0)</f>
        <v>0</v>
      </c>
      <c r="AV10" s="4">
        <f>IF(ISNUMBER(SEARCH(N10&amp;";",Calculations!$Q$18)),1,0)</f>
        <v>0</v>
      </c>
      <c r="AW10" s="4"/>
      <c r="AX10" s="4">
        <f>VLOOKUP($N10,$N10:$CH10,MATCH('Character Sheet'!$BJ$3,Skills!$N$1:$CH$1,0),FALSE)</f>
        <v>0</v>
      </c>
    </row>
    <row r="11" spans="1:86" x14ac:dyDescent="0.25">
      <c r="B11" s="4" t="e">
        <f t="shared" si="7"/>
        <v>#N/A</v>
      </c>
      <c r="E11" s="4"/>
      <c r="F11" s="4">
        <f t="shared" si="8"/>
        <v>0</v>
      </c>
      <c r="G11" s="4"/>
      <c r="H11" s="4" t="e">
        <f t="shared" si="15"/>
        <v>#N/A</v>
      </c>
      <c r="I11" s="6">
        <v>0</v>
      </c>
      <c r="J11" s="4" t="e">
        <f t="shared" si="0"/>
        <v>#N/A</v>
      </c>
      <c r="K11" s="4" t="e">
        <f t="shared" si="1"/>
        <v>#N/A</v>
      </c>
      <c r="N11" s="3" t="s">
        <v>607</v>
      </c>
      <c r="O11" s="6" t="s">
        <v>782</v>
      </c>
      <c r="P11" s="6" t="s">
        <v>782</v>
      </c>
      <c r="Q11" s="4" t="str">
        <f t="shared" si="2"/>
        <v>- -</v>
      </c>
      <c r="R11" s="4" t="str">
        <f>IF(ISNUMBER(SEARCH("Category",N11)),"- -",IF(ISNUMBER(SEARCH("Skills",N11)),"- -",'Level-up'!C29))</f>
        <v>- -</v>
      </c>
      <c r="S11" s="4" t="str">
        <f t="shared" si="3"/>
        <v>- -</v>
      </c>
      <c r="T11" s="4" t="str">
        <f t="shared" si="4"/>
        <v>- -</v>
      </c>
      <c r="U11" s="4" t="str">
        <f t="shared" ca="1" si="9"/>
        <v>- -</v>
      </c>
      <c r="V11" s="4" t="str">
        <f t="shared" si="16"/>
        <v>- -</v>
      </c>
      <c r="W11" s="4" t="str">
        <f t="shared" si="5"/>
        <v>- -</v>
      </c>
      <c r="X11" s="4" t="str">
        <f t="shared" si="10"/>
        <v>- -</v>
      </c>
      <c r="Y11" s="4" t="str">
        <f t="shared" si="11"/>
        <v>- -</v>
      </c>
      <c r="Z11" s="4" t="str">
        <f t="shared" si="12"/>
        <v>- -</v>
      </c>
      <c r="AA11" s="4" t="str">
        <f t="shared" si="13"/>
        <v>- -</v>
      </c>
      <c r="AB11" s="4" t="str">
        <f t="shared" si="14"/>
        <v>- -</v>
      </c>
      <c r="AC11" s="8"/>
      <c r="AD11" s="4"/>
      <c r="AE11" s="4"/>
      <c r="AF11" s="4" t="str">
        <f t="shared" si="6"/>
        <v>- -</v>
      </c>
      <c r="AG11" s="4"/>
      <c r="AH11" s="4">
        <f>IFERROR(VLOOKUP(M11,Calculations!$AC$2:$AD$251,2,FALSE),0)</f>
        <v>0</v>
      </c>
      <c r="AI11" s="4" t="e">
        <f>VLOOKUP(N11,$N$2:$AS$620,MATCH('Character Creation'!$Z$12,Skills!$N$1:$AS$1,0),FALSE)</f>
        <v>#N/A</v>
      </c>
      <c r="AJ11" s="4" t="e">
        <f>VLOOKUP($N11,[2]Cultures!$B$4:$M$283,MATCH(AJ$1,[2]Cultures!$B$3:$M$3,0),FALSE)</f>
        <v>#N/A</v>
      </c>
      <c r="AK11" s="4" t="e">
        <f>VLOOKUP($N11,[2]Cultures!$B$4:$M$283,MATCH(AK$1,[2]Cultures!$B$3:$M$3,0),FALSE)</f>
        <v>#N/A</v>
      </c>
      <c r="AL11" s="4" t="e">
        <f>VLOOKUP($N11,[2]Cultures!$B$4:$M$283,MATCH(AL$1,[2]Cultures!$B$3:$M$3,0),FALSE)</f>
        <v>#N/A</v>
      </c>
      <c r="AM11" s="4" t="e">
        <f>VLOOKUP($N11,[2]Cultures!$B$4:$M$283,MATCH(AM$1,[2]Cultures!$B$3:$M$3,0),FALSE)</f>
        <v>#N/A</v>
      </c>
      <c r="AN11" s="4" t="e">
        <f>VLOOKUP($N11,[2]Cultures!$B$4:$M$283,MATCH(AN$1,[2]Cultures!$B$3:$M$3,0),FALSE)</f>
        <v>#N/A</v>
      </c>
      <c r="AO11" s="4" t="e">
        <f>VLOOKUP($N11,[2]Cultures!$B$4:$M$283,MATCH(AO$1,[2]Cultures!$B$3:$M$3,0),FALSE)</f>
        <v>#N/A</v>
      </c>
      <c r="AP11" s="4" t="e">
        <f>VLOOKUP($N11,[2]Cultures!$B$4:$M$283,MATCH(AP$1,[2]Cultures!$B$3:$M$3,0),FALSE)</f>
        <v>#N/A</v>
      </c>
      <c r="AQ11" s="4" t="e">
        <f>VLOOKUP($N11,[2]Cultures!$B$4:$M$283,MATCH(AQ$1,[2]Cultures!$B$3:$M$3,0),FALSE)</f>
        <v>#N/A</v>
      </c>
      <c r="AR11" s="4" t="e">
        <f>VLOOKUP($N11,[2]Cultures!$B$4:$M$283,MATCH(AR$1,[2]Cultures!$B$3:$M$3,0),FALSE)</f>
        <v>#N/A</v>
      </c>
      <c r="AS11" s="4" t="e">
        <f>VLOOKUP($N11,[2]Cultures!$B$4:$M$283,MATCH(AS$1,[2]Cultures!$B$3:$M$3,0),FALSE)</f>
        <v>#N/A</v>
      </c>
      <c r="AT11" s="4"/>
      <c r="AU11" s="4">
        <f>IF(ISNUMBER(SEARCH(N11&amp;";",Calculations!$Q$19)),VLOOKUP(Skills!N11,Calculations!$Q$2:$T$16,4,FALSE),0)</f>
        <v>0</v>
      </c>
      <c r="AV11" s="4">
        <f>IF(ISNUMBER(SEARCH(N11&amp;";",Calculations!$Q$18)),1,0)</f>
        <v>0</v>
      </c>
      <c r="AW11" s="4"/>
      <c r="AX11" s="4">
        <f>VLOOKUP($N11,$N11:$CH11,MATCH('Character Sheet'!$BJ$3,Skills!$N$1:$CH$1,0),FALSE)</f>
        <v>0</v>
      </c>
    </row>
    <row r="12" spans="1:86" x14ac:dyDescent="0.25">
      <c r="B12" s="4" t="e">
        <f t="shared" si="7"/>
        <v>#N/A</v>
      </c>
      <c r="E12" s="4"/>
      <c r="F12" s="4">
        <f t="shared" si="8"/>
        <v>0</v>
      </c>
      <c r="G12" s="4"/>
      <c r="H12" s="4" t="e">
        <f t="shared" si="15"/>
        <v>#N/A</v>
      </c>
      <c r="I12" s="4" t="e">
        <f>IF($J$3=1,1,IF($J$11=1,1,0))</f>
        <v>#N/A</v>
      </c>
      <c r="J12" s="4">
        <f t="shared" si="0"/>
        <v>0</v>
      </c>
      <c r="K12" s="4" t="e">
        <f t="shared" si="1"/>
        <v>#N/A</v>
      </c>
      <c r="M12" t="str">
        <f>"Riding, "&amp;N12</f>
        <v>Riding, Camel</v>
      </c>
      <c r="N12" s="3" t="str">
        <f>'Character Sheet'!NB12</f>
        <v>Camel</v>
      </c>
      <c r="O12" s="4" t="s">
        <v>780</v>
      </c>
      <c r="P12" s="4" t="s">
        <v>781</v>
      </c>
      <c r="Q12" s="4" t="e">
        <f t="shared" si="2"/>
        <v>#N/A</v>
      </c>
      <c r="R12" s="4">
        <f>IF(ISNUMBER(SEARCH("Category",N12)),"- -",IF(ISNUMBER(SEARCH("Skills",N12)),"- -",'Level-up'!C30))</f>
        <v>0</v>
      </c>
      <c r="S12" s="4" t="e">
        <f t="shared" si="3"/>
        <v>#N/A</v>
      </c>
      <c r="T12" s="4" t="e">
        <f t="shared" si="4"/>
        <v>#N/A</v>
      </c>
      <c r="U12" s="4">
        <f t="shared" ca="1" si="9"/>
        <v>4</v>
      </c>
      <c r="V12" s="4">
        <f t="shared" ref="V12:V17" si="17">IF(ISNUMBER(SEARCH("Category",N12)),"- -",IF(ISNUMBER(SEARCH("Skills",N12)),"- -",IF(AU12&gt;0,AU12,IF($AU$10&gt;0,$AU$10,$AU$2))))</f>
        <v>0</v>
      </c>
      <c r="W12" s="4">
        <f t="shared" si="5"/>
        <v>0</v>
      </c>
      <c r="X12" s="4">
        <f t="shared" si="10"/>
        <v>0</v>
      </c>
      <c r="Y12" s="4">
        <f t="shared" si="11"/>
        <v>0</v>
      </c>
      <c r="Z12" s="4">
        <f t="shared" si="12"/>
        <v>0</v>
      </c>
      <c r="AA12" s="4">
        <f t="shared" si="13"/>
        <v>0</v>
      </c>
      <c r="AB12" s="4">
        <f t="shared" si="14"/>
        <v>0</v>
      </c>
      <c r="AC12" s="8"/>
      <c r="AD12" s="4"/>
      <c r="AE12" s="4"/>
      <c r="AF12" s="4" t="e">
        <f t="shared" si="6"/>
        <v>#N/A</v>
      </c>
      <c r="AG12" s="4"/>
      <c r="AH12" s="4">
        <f>IFERROR(VLOOKUP(M12,Calculations!$AC$2:$AD$251,2,FALSE),0)</f>
        <v>0</v>
      </c>
      <c r="AI12" s="4" t="e">
        <f>VLOOKUP(N12,$N$2:$AS$620,MATCH('Character Creation'!$Z$12,Skills!$N$1:$AS$1,0),FALSE)</f>
        <v>#N/A</v>
      </c>
      <c r="AJ12" s="4" t="e">
        <f>VLOOKUP($N12,[2]Cultures!$B$4:$M$283,MATCH(AJ$1,[2]Cultures!$B$3:$M$3,0),FALSE)</f>
        <v>#N/A</v>
      </c>
      <c r="AK12" s="4" t="e">
        <f>VLOOKUP($N12,[2]Cultures!$B$4:$M$283,MATCH(AK$1,[2]Cultures!$B$3:$M$3,0),FALSE)</f>
        <v>#N/A</v>
      </c>
      <c r="AL12" s="4" t="e">
        <f>VLOOKUP($N12,[2]Cultures!$B$4:$M$283,MATCH(AL$1,[2]Cultures!$B$3:$M$3,0),FALSE)</f>
        <v>#N/A</v>
      </c>
      <c r="AM12" s="4" t="e">
        <f>VLOOKUP($N12,[2]Cultures!$B$4:$M$283,MATCH(AM$1,[2]Cultures!$B$3:$M$3,0),FALSE)</f>
        <v>#N/A</v>
      </c>
      <c r="AN12" s="4" t="e">
        <f>VLOOKUP($N12,[2]Cultures!$B$4:$M$283,MATCH(AN$1,[2]Cultures!$B$3:$M$3,0),FALSE)</f>
        <v>#N/A</v>
      </c>
      <c r="AO12" s="4" t="e">
        <f>VLOOKUP($N12,[2]Cultures!$B$4:$M$283,MATCH(AO$1,[2]Cultures!$B$3:$M$3,0),FALSE)</f>
        <v>#N/A</v>
      </c>
      <c r="AP12" s="4" t="e">
        <f>VLOOKUP($N12,[2]Cultures!$B$4:$M$283,MATCH(AP$1,[2]Cultures!$B$3:$M$3,0),FALSE)</f>
        <v>#N/A</v>
      </c>
      <c r="AQ12" s="4" t="e">
        <f>VLOOKUP($N12,[2]Cultures!$B$4:$M$283,MATCH(AQ$1,[2]Cultures!$B$3:$M$3,0),FALSE)</f>
        <v>#N/A</v>
      </c>
      <c r="AR12" s="4" t="e">
        <f>VLOOKUP($N12,[2]Cultures!$B$4:$M$283,MATCH(AR$1,[2]Cultures!$B$3:$M$3,0),FALSE)</f>
        <v>#N/A</v>
      </c>
      <c r="AS12" s="4" t="e">
        <f>VLOOKUP($N12,[2]Cultures!$B$4:$M$283,MATCH(AS$1,[2]Cultures!$B$3:$M$3,0),FALSE)</f>
        <v>#N/A</v>
      </c>
      <c r="AT12" s="4"/>
      <c r="AU12" s="4">
        <f>IF(ISNUMBER(SEARCH(N12&amp;";",Calculations!$Q$19)),VLOOKUP(Skills!N12,Calculations!$Q$2:$T$16,4,FALSE),0)</f>
        <v>0</v>
      </c>
      <c r="AV12" s="4">
        <f>IF(ISNUMBER(SEARCH(N12&amp;";",Calculations!$Q$18)),1,0)</f>
        <v>0</v>
      </c>
      <c r="AW12" s="4">
        <f>IF($AV$2=1,1,IF($AV$10=1,1,AV12))</f>
        <v>0</v>
      </c>
      <c r="AX12" s="4">
        <f>VLOOKUP($N12,$N12:$CH12,MATCH('Character Sheet'!$BJ$3,Skills!$N$1:$CH$1,0),FALSE)</f>
        <v>0</v>
      </c>
    </row>
    <row r="13" spans="1:86" x14ac:dyDescent="0.25">
      <c r="B13" s="4" t="e">
        <f t="shared" si="7"/>
        <v>#N/A</v>
      </c>
      <c r="E13" s="4"/>
      <c r="F13" s="4">
        <f t="shared" si="8"/>
        <v>0</v>
      </c>
      <c r="G13" s="4"/>
      <c r="H13" s="4" t="e">
        <f t="shared" si="15"/>
        <v>#N/A</v>
      </c>
      <c r="I13" s="4" t="e">
        <f>IF($J$3=1,1,IF($J$11=1,1,0))</f>
        <v>#N/A</v>
      </c>
      <c r="J13" s="4">
        <f t="shared" si="0"/>
        <v>0</v>
      </c>
      <c r="K13" s="4" t="e">
        <f t="shared" si="1"/>
        <v>#N/A</v>
      </c>
      <c r="M13" t="str">
        <f>"Riding, "&amp;N13</f>
        <v>Riding, Horse</v>
      </c>
      <c r="N13" s="3" t="str">
        <f>'Character Sheet'!NB13</f>
        <v>Horse</v>
      </c>
      <c r="O13" s="4" t="s">
        <v>780</v>
      </c>
      <c r="P13" s="4" t="s">
        <v>781</v>
      </c>
      <c r="Q13" s="4" t="e">
        <f t="shared" si="2"/>
        <v>#N/A</v>
      </c>
      <c r="R13" s="4">
        <f>IF(ISNUMBER(SEARCH("Category",N13)),"- -",IF(ISNUMBER(SEARCH("Skills",N13)),"- -",'Level-up'!C31))</f>
        <v>0</v>
      </c>
      <c r="S13" s="4" t="e">
        <f t="shared" si="3"/>
        <v>#N/A</v>
      </c>
      <c r="T13" s="4" t="e">
        <f t="shared" si="4"/>
        <v>#N/A</v>
      </c>
      <c r="U13" s="4">
        <f t="shared" ca="1" si="9"/>
        <v>4</v>
      </c>
      <c r="V13" s="4">
        <f t="shared" si="17"/>
        <v>0</v>
      </c>
      <c r="W13" s="4">
        <f t="shared" si="5"/>
        <v>0</v>
      </c>
      <c r="X13" s="4">
        <f t="shared" si="10"/>
        <v>0</v>
      </c>
      <c r="Y13" s="4">
        <f t="shared" si="11"/>
        <v>0</v>
      </c>
      <c r="Z13" s="4">
        <f t="shared" si="12"/>
        <v>0</v>
      </c>
      <c r="AA13" s="4">
        <f t="shared" si="13"/>
        <v>0</v>
      </c>
      <c r="AB13" s="4">
        <f t="shared" si="14"/>
        <v>0</v>
      </c>
      <c r="AC13" s="8"/>
      <c r="AD13" s="4"/>
      <c r="AE13" s="4"/>
      <c r="AF13" s="4" t="e">
        <f t="shared" si="6"/>
        <v>#N/A</v>
      </c>
      <c r="AG13" s="4"/>
      <c r="AH13" s="4">
        <f>IFERROR(VLOOKUP(M13,Calculations!$AC$2:$AD$251,2,FALSE),0)</f>
        <v>0</v>
      </c>
      <c r="AI13" s="4" t="e">
        <f>VLOOKUP(N13,$N$2:$AS$620,MATCH('Character Creation'!$Z$12,Skills!$N$1:$AS$1,0),FALSE)</f>
        <v>#N/A</v>
      </c>
      <c r="AJ13" s="4" t="e">
        <f>VLOOKUP($N13,[2]Cultures!$B$4:$M$283,MATCH(AJ$1,[2]Cultures!$B$3:$M$3,0),FALSE)</f>
        <v>#N/A</v>
      </c>
      <c r="AK13" s="4" t="e">
        <f>VLOOKUP($N13,[2]Cultures!$B$4:$M$283,MATCH(AK$1,[2]Cultures!$B$3:$M$3,0),FALSE)</f>
        <v>#N/A</v>
      </c>
      <c r="AL13" s="4" t="e">
        <f>VLOOKUP($N13,[2]Cultures!$B$4:$M$283,MATCH(AL$1,[2]Cultures!$B$3:$M$3,0),FALSE)</f>
        <v>#N/A</v>
      </c>
      <c r="AM13" s="4" t="e">
        <f>VLOOKUP($N13,[2]Cultures!$B$4:$M$283,MATCH(AM$1,[2]Cultures!$B$3:$M$3,0),FALSE)</f>
        <v>#N/A</v>
      </c>
      <c r="AN13" s="4" t="e">
        <f>VLOOKUP($N13,[2]Cultures!$B$4:$M$283,MATCH(AN$1,[2]Cultures!$B$3:$M$3,0),FALSE)</f>
        <v>#N/A</v>
      </c>
      <c r="AO13" s="4" t="e">
        <f>VLOOKUP($N13,[2]Cultures!$B$4:$M$283,MATCH(AO$1,[2]Cultures!$B$3:$M$3,0),FALSE)</f>
        <v>#N/A</v>
      </c>
      <c r="AP13" s="4" t="e">
        <f>VLOOKUP($N13,[2]Cultures!$B$4:$M$283,MATCH(AP$1,[2]Cultures!$B$3:$M$3,0),FALSE)</f>
        <v>#N/A</v>
      </c>
      <c r="AQ13" s="4" t="e">
        <f>VLOOKUP($N13,[2]Cultures!$B$4:$M$283,MATCH(AQ$1,[2]Cultures!$B$3:$M$3,0),FALSE)</f>
        <v>#N/A</v>
      </c>
      <c r="AR13" s="4" t="e">
        <f>VLOOKUP($N13,[2]Cultures!$B$4:$M$283,MATCH(AR$1,[2]Cultures!$B$3:$M$3,0),FALSE)</f>
        <v>#N/A</v>
      </c>
      <c r="AS13" s="4" t="e">
        <f>VLOOKUP($N13,[2]Cultures!$B$4:$M$283,MATCH(AS$1,[2]Cultures!$B$3:$M$3,0),FALSE)</f>
        <v>#N/A</v>
      </c>
      <c r="AT13" s="4"/>
      <c r="AU13" s="4">
        <f>IF(ISNUMBER(SEARCH(N13&amp;";",Calculations!$Q$19)),VLOOKUP(Skills!N13,Calculations!$Q$2:$T$16,4,FALSE),0)</f>
        <v>0</v>
      </c>
      <c r="AV13" s="4">
        <f>IF(ISNUMBER(SEARCH(N13&amp;";",Calculations!$Q$18)),1,0)</f>
        <v>0</v>
      </c>
      <c r="AW13" s="4">
        <f>IF($AV$2=1,1,IF($AV$10=1,1,AV13))</f>
        <v>0</v>
      </c>
      <c r="AX13" s="4">
        <f>VLOOKUP($N13,$N13:$CH13,MATCH('Character Sheet'!$BJ$3,Skills!$N$1:$CH$1,0),FALSE)</f>
        <v>0</v>
      </c>
    </row>
    <row r="14" spans="1:86" x14ac:dyDescent="0.25">
      <c r="B14" s="4" t="e">
        <f t="shared" si="7"/>
        <v>#N/A</v>
      </c>
      <c r="E14" s="4"/>
      <c r="F14" s="4">
        <f t="shared" si="8"/>
        <v>0</v>
      </c>
      <c r="G14" s="4"/>
      <c r="H14" s="4" t="e">
        <f t="shared" si="15"/>
        <v>#N/A</v>
      </c>
      <c r="I14" s="4" t="e">
        <f>IF($J$3=1,1,IF($J$11=1,1,0))</f>
        <v>#N/A</v>
      </c>
      <c r="J14" s="4">
        <f t="shared" si="0"/>
        <v>0</v>
      </c>
      <c r="K14" s="4" t="e">
        <f t="shared" si="1"/>
        <v>#N/A</v>
      </c>
      <c r="M14" t="str">
        <f>"Riding, "&amp;N14</f>
        <v>Riding, 0</v>
      </c>
      <c r="N14" s="3">
        <f>'Character Sheet'!NB14</f>
        <v>0</v>
      </c>
      <c r="O14" s="4" t="s">
        <v>780</v>
      </c>
      <c r="P14" s="4" t="s">
        <v>781</v>
      </c>
      <c r="Q14" s="4" t="e">
        <f t="shared" si="2"/>
        <v>#N/A</v>
      </c>
      <c r="R14" s="4">
        <f>IF(ISNUMBER(SEARCH("Category",N14)),"- -",IF(ISNUMBER(SEARCH("Skills",N14)),"- -",'Level-up'!C32))</f>
        <v>0</v>
      </c>
      <c r="S14" s="4" t="e">
        <f t="shared" si="3"/>
        <v>#N/A</v>
      </c>
      <c r="T14" s="4" t="e">
        <f t="shared" si="4"/>
        <v>#N/A</v>
      </c>
      <c r="U14" s="4">
        <f t="shared" ca="1" si="9"/>
        <v>4</v>
      </c>
      <c r="V14" s="4">
        <f t="shared" si="17"/>
        <v>0</v>
      </c>
      <c r="W14" s="4">
        <f t="shared" si="5"/>
        <v>0</v>
      </c>
      <c r="X14" s="4">
        <f t="shared" si="10"/>
        <v>0</v>
      </c>
      <c r="Y14" s="4">
        <f t="shared" si="11"/>
        <v>0</v>
      </c>
      <c r="Z14" s="4">
        <f t="shared" si="12"/>
        <v>0</v>
      </c>
      <c r="AA14" s="4">
        <f t="shared" si="13"/>
        <v>0</v>
      </c>
      <c r="AB14" s="4">
        <f t="shared" si="14"/>
        <v>0</v>
      </c>
      <c r="AC14" s="8"/>
      <c r="AD14" s="4"/>
      <c r="AE14" s="4"/>
      <c r="AF14" s="4" t="e">
        <f t="shared" si="6"/>
        <v>#N/A</v>
      </c>
      <c r="AG14" s="4"/>
      <c r="AH14" s="4">
        <f>IFERROR(VLOOKUP(M14,Calculations!$AC$2:$AD$251,2,FALSE),0)</f>
        <v>0</v>
      </c>
      <c r="AI14" s="4" t="e">
        <f>VLOOKUP(N14,$N$2:$AS$620,MATCH('Character Creation'!$Z$12,Skills!$N$1:$AS$1,0),FALSE)</f>
        <v>#N/A</v>
      </c>
      <c r="AJ14" s="4" t="e">
        <f>VLOOKUP($N14,[2]Cultures!$B$4:$M$283,MATCH(AJ$1,[2]Cultures!$B$3:$M$3,0),FALSE)</f>
        <v>#N/A</v>
      </c>
      <c r="AK14" s="4" t="e">
        <f>VLOOKUP($N14,[2]Cultures!$B$4:$M$283,MATCH(AK$1,[2]Cultures!$B$3:$M$3,0),FALSE)</f>
        <v>#N/A</v>
      </c>
      <c r="AL14" s="4" t="e">
        <f>VLOOKUP($N14,[2]Cultures!$B$4:$M$283,MATCH(AL$1,[2]Cultures!$B$3:$M$3,0),FALSE)</f>
        <v>#N/A</v>
      </c>
      <c r="AM14" s="4" t="e">
        <f>VLOOKUP($N14,[2]Cultures!$B$4:$M$283,MATCH(AM$1,[2]Cultures!$B$3:$M$3,0),FALSE)</f>
        <v>#N/A</v>
      </c>
      <c r="AN14" s="4" t="e">
        <f>VLOOKUP($N14,[2]Cultures!$B$4:$M$283,MATCH(AN$1,[2]Cultures!$B$3:$M$3,0),FALSE)</f>
        <v>#N/A</v>
      </c>
      <c r="AO14" s="4" t="e">
        <f>VLOOKUP($N14,[2]Cultures!$B$4:$M$283,MATCH(AO$1,[2]Cultures!$B$3:$M$3,0),FALSE)</f>
        <v>#N/A</v>
      </c>
      <c r="AP14" s="4" t="e">
        <f>VLOOKUP($N14,[2]Cultures!$B$4:$M$283,MATCH(AP$1,[2]Cultures!$B$3:$M$3,0),FALSE)</f>
        <v>#N/A</v>
      </c>
      <c r="AQ14" s="4" t="e">
        <f>VLOOKUP($N14,[2]Cultures!$B$4:$M$283,MATCH(AQ$1,[2]Cultures!$B$3:$M$3,0),FALSE)</f>
        <v>#N/A</v>
      </c>
      <c r="AR14" s="4" t="e">
        <f>VLOOKUP($N14,[2]Cultures!$B$4:$M$283,MATCH(AR$1,[2]Cultures!$B$3:$M$3,0),FALSE)</f>
        <v>#N/A</v>
      </c>
      <c r="AS14" s="4" t="e">
        <f>VLOOKUP($N14,[2]Cultures!$B$4:$M$283,MATCH(AS$1,[2]Cultures!$B$3:$M$3,0),FALSE)</f>
        <v>#N/A</v>
      </c>
      <c r="AT14" s="4"/>
      <c r="AU14" s="4">
        <f>IF(ISNUMBER(SEARCH(N14&amp;";",Calculations!$Q$19)),VLOOKUP(Skills!N14,Calculations!$Q$2:$T$16,4,FALSE),0)</f>
        <v>0</v>
      </c>
      <c r="AV14" s="4">
        <f>IF(ISNUMBER(SEARCH(N14&amp;";",Calculations!$Q$18)),1,0)</f>
        <v>0</v>
      </c>
      <c r="AW14" s="4">
        <f>IF($AV$2=1,1,IF($AV$10=1,1,AV14))</f>
        <v>0</v>
      </c>
      <c r="AX14" s="4">
        <f>VLOOKUP($N14,$N14:$CH14,MATCH('Character Sheet'!$BJ$3,Skills!$N$1:$CH$1,0),FALSE)</f>
        <v>0</v>
      </c>
    </row>
    <row r="15" spans="1:86" x14ac:dyDescent="0.25">
      <c r="B15" s="4" t="e">
        <f t="shared" si="7"/>
        <v>#N/A</v>
      </c>
      <c r="E15" s="4"/>
      <c r="F15" s="4">
        <f t="shared" si="8"/>
        <v>0</v>
      </c>
      <c r="G15" s="4"/>
      <c r="H15" s="4" t="e">
        <f t="shared" si="15"/>
        <v>#N/A</v>
      </c>
      <c r="I15" s="4" t="e">
        <f>IF($J$3=1,1,IF($J$11=1,1,0))</f>
        <v>#N/A</v>
      </c>
      <c r="J15" s="4">
        <f t="shared" si="0"/>
        <v>0</v>
      </c>
      <c r="K15" s="4" t="e">
        <f t="shared" si="1"/>
        <v>#N/A</v>
      </c>
      <c r="M15" t="str">
        <f>"Riding, "&amp;N15</f>
        <v>Riding, 0</v>
      </c>
      <c r="N15" s="3">
        <f>'Character Sheet'!NB15</f>
        <v>0</v>
      </c>
      <c r="O15" s="4" t="s">
        <v>780</v>
      </c>
      <c r="P15" s="4" t="s">
        <v>781</v>
      </c>
      <c r="Q15" s="4" t="e">
        <f t="shared" si="2"/>
        <v>#N/A</v>
      </c>
      <c r="R15" s="4">
        <f>IF(ISNUMBER(SEARCH("Category",N15)),"- -",IF(ISNUMBER(SEARCH("Skills",N15)),"- -",'Level-up'!C33))</f>
        <v>0</v>
      </c>
      <c r="S15" s="4" t="e">
        <f t="shared" si="3"/>
        <v>#N/A</v>
      </c>
      <c r="T15" s="4" t="e">
        <f t="shared" si="4"/>
        <v>#N/A</v>
      </c>
      <c r="U15" s="4">
        <f t="shared" ca="1" si="9"/>
        <v>4</v>
      </c>
      <c r="V15" s="4">
        <f t="shared" si="17"/>
        <v>0</v>
      </c>
      <c r="W15" s="4">
        <f t="shared" si="5"/>
        <v>0</v>
      </c>
      <c r="X15" s="4">
        <f t="shared" si="10"/>
        <v>0</v>
      </c>
      <c r="Y15" s="4">
        <f t="shared" si="11"/>
        <v>0</v>
      </c>
      <c r="Z15" s="4">
        <f t="shared" si="12"/>
        <v>0</v>
      </c>
      <c r="AA15" s="4">
        <f t="shared" si="13"/>
        <v>0</v>
      </c>
      <c r="AB15" s="4">
        <f t="shared" si="14"/>
        <v>0</v>
      </c>
      <c r="AC15" s="8"/>
      <c r="AD15" s="4"/>
      <c r="AE15" s="4"/>
      <c r="AF15" s="4" t="e">
        <f t="shared" si="6"/>
        <v>#N/A</v>
      </c>
      <c r="AG15" s="4"/>
      <c r="AH15" s="4">
        <f>IFERROR(VLOOKUP(M15,Calculations!$AC$2:$AD$251,2,FALSE),0)</f>
        <v>0</v>
      </c>
      <c r="AI15" s="4" t="e">
        <f>VLOOKUP(N15,$N$2:$AS$620,MATCH('Character Creation'!$Z$12,Skills!$N$1:$AS$1,0),FALSE)</f>
        <v>#N/A</v>
      </c>
      <c r="AJ15" s="4" t="e">
        <f>VLOOKUP($N15,[2]Cultures!$B$4:$M$283,MATCH(AJ$1,[2]Cultures!$B$3:$M$3,0),FALSE)</f>
        <v>#N/A</v>
      </c>
      <c r="AK15" s="4" t="e">
        <f>VLOOKUP($N15,[2]Cultures!$B$4:$M$283,MATCH(AK$1,[2]Cultures!$B$3:$M$3,0),FALSE)</f>
        <v>#N/A</v>
      </c>
      <c r="AL15" s="4" t="e">
        <f>VLOOKUP($N15,[2]Cultures!$B$4:$M$283,MATCH(AL$1,[2]Cultures!$B$3:$M$3,0),FALSE)</f>
        <v>#N/A</v>
      </c>
      <c r="AM15" s="4" t="e">
        <f>VLOOKUP($N15,[2]Cultures!$B$4:$M$283,MATCH(AM$1,[2]Cultures!$B$3:$M$3,0),FALSE)</f>
        <v>#N/A</v>
      </c>
      <c r="AN15" s="4" t="e">
        <f>VLOOKUP($N15,[2]Cultures!$B$4:$M$283,MATCH(AN$1,[2]Cultures!$B$3:$M$3,0),FALSE)</f>
        <v>#N/A</v>
      </c>
      <c r="AO15" s="4" t="e">
        <f>VLOOKUP($N15,[2]Cultures!$B$4:$M$283,MATCH(AO$1,[2]Cultures!$B$3:$M$3,0),FALSE)</f>
        <v>#N/A</v>
      </c>
      <c r="AP15" s="4" t="e">
        <f>VLOOKUP($N15,[2]Cultures!$B$4:$M$283,MATCH(AP$1,[2]Cultures!$B$3:$M$3,0),FALSE)</f>
        <v>#N/A</v>
      </c>
      <c r="AQ15" s="4" t="e">
        <f>VLOOKUP($N15,[2]Cultures!$B$4:$M$283,MATCH(AQ$1,[2]Cultures!$B$3:$M$3,0),FALSE)</f>
        <v>#N/A</v>
      </c>
      <c r="AR15" s="4" t="e">
        <f>VLOOKUP($N15,[2]Cultures!$B$4:$M$283,MATCH(AR$1,[2]Cultures!$B$3:$M$3,0),FALSE)</f>
        <v>#N/A</v>
      </c>
      <c r="AS15" s="4" t="e">
        <f>VLOOKUP($N15,[2]Cultures!$B$4:$M$283,MATCH(AS$1,[2]Cultures!$B$3:$M$3,0),FALSE)</f>
        <v>#N/A</v>
      </c>
      <c r="AT15" s="4"/>
      <c r="AU15" s="4">
        <f>IF(ISNUMBER(SEARCH(N15&amp;";",Calculations!$Q$19)),VLOOKUP(Skills!N15,Calculations!$Q$2:$T$16,4,FALSE),0)</f>
        <v>0</v>
      </c>
      <c r="AV15" s="4">
        <f>IF(ISNUMBER(SEARCH(N15&amp;";",Calculations!$Q$18)),1,0)</f>
        <v>0</v>
      </c>
      <c r="AW15" s="4">
        <f>IF($AV$2=1,1,IF($AV$10=1,1,AV15))</f>
        <v>0</v>
      </c>
      <c r="AX15" s="4">
        <f>VLOOKUP($N15,$N15:$CH15,MATCH('Character Sheet'!$BJ$3,Skills!$N$1:$CH$1,0),FALSE)</f>
        <v>0</v>
      </c>
    </row>
    <row r="16" spans="1:86" x14ac:dyDescent="0.25">
      <c r="B16" s="4" t="e">
        <f t="shared" si="7"/>
        <v>#N/A</v>
      </c>
      <c r="E16" s="4"/>
      <c r="F16" s="4">
        <f t="shared" si="8"/>
        <v>0</v>
      </c>
      <c r="G16" s="4"/>
      <c r="H16" s="4" t="e">
        <f t="shared" si="15"/>
        <v>#N/A</v>
      </c>
      <c r="I16" s="4" t="e">
        <f>IF($J$3=1,1,IF($J$17=1,1,0))</f>
        <v>#N/A</v>
      </c>
      <c r="J16" s="4">
        <f t="shared" si="0"/>
        <v>0</v>
      </c>
      <c r="K16" s="4" t="e">
        <f t="shared" si="1"/>
        <v>#N/A</v>
      </c>
      <c r="N16" s="3" t="s">
        <v>608</v>
      </c>
      <c r="O16" s="6" t="s">
        <v>782</v>
      </c>
      <c r="P16" s="6" t="s">
        <v>782</v>
      </c>
      <c r="Q16" s="4" t="str">
        <f t="shared" si="2"/>
        <v>- -</v>
      </c>
      <c r="R16" s="4" t="str">
        <f>IF(ISNUMBER(SEARCH("Category",N16)),"- -",IF(ISNUMBER(SEARCH("Skills",N16)),"- -",'Level-up'!C34))</f>
        <v>- -</v>
      </c>
      <c r="S16" s="4" t="str">
        <f t="shared" si="3"/>
        <v>- -</v>
      </c>
      <c r="T16" s="4" t="str">
        <f t="shared" si="4"/>
        <v>- -</v>
      </c>
      <c r="U16" s="4" t="str">
        <f t="shared" ca="1" si="9"/>
        <v>- -</v>
      </c>
      <c r="V16" s="4" t="str">
        <f t="shared" si="17"/>
        <v>- -</v>
      </c>
      <c r="W16" s="4" t="str">
        <f t="shared" si="5"/>
        <v>- -</v>
      </c>
      <c r="X16" s="4" t="str">
        <f t="shared" si="10"/>
        <v>- -</v>
      </c>
      <c r="Y16" s="4" t="str">
        <f t="shared" si="11"/>
        <v>- -</v>
      </c>
      <c r="Z16" s="4" t="str">
        <f t="shared" si="12"/>
        <v>- -</v>
      </c>
      <c r="AA16" s="4" t="str">
        <f t="shared" si="13"/>
        <v>- -</v>
      </c>
      <c r="AB16" s="4" t="str">
        <f t="shared" si="14"/>
        <v>- -</v>
      </c>
      <c r="AC16" s="8"/>
      <c r="AD16" s="4"/>
      <c r="AE16" s="4"/>
      <c r="AF16" s="4" t="str">
        <f t="shared" si="6"/>
        <v>- -</v>
      </c>
      <c r="AG16" s="4"/>
      <c r="AH16" s="4">
        <f>IFERROR(VLOOKUP(M16,Calculations!$AC$2:$AD$251,2,FALSE),0)</f>
        <v>0</v>
      </c>
      <c r="AI16" s="4" t="e">
        <f>VLOOKUP(N16,$N$2:$AS$620,MATCH('Character Creation'!$Z$12,Skills!$N$1:$AS$1,0),FALSE)</f>
        <v>#N/A</v>
      </c>
      <c r="AJ16" s="4" t="e">
        <f>VLOOKUP($N16,[2]Cultures!$B$4:$M$283,MATCH(AJ$1,[2]Cultures!$B$3:$M$3,0),FALSE)</f>
        <v>#N/A</v>
      </c>
      <c r="AK16" s="4" t="e">
        <f>VLOOKUP($N16,[2]Cultures!$B$4:$M$283,MATCH(AK$1,[2]Cultures!$B$3:$M$3,0),FALSE)</f>
        <v>#N/A</v>
      </c>
      <c r="AL16" s="4" t="e">
        <f>VLOOKUP($N16,[2]Cultures!$B$4:$M$283,MATCH(AL$1,[2]Cultures!$B$3:$M$3,0),FALSE)</f>
        <v>#N/A</v>
      </c>
      <c r="AM16" s="4" t="e">
        <f>VLOOKUP($N16,[2]Cultures!$B$4:$M$283,MATCH(AM$1,[2]Cultures!$B$3:$M$3,0),FALSE)</f>
        <v>#N/A</v>
      </c>
      <c r="AN16" s="4" t="e">
        <f>VLOOKUP($N16,[2]Cultures!$B$4:$M$283,MATCH(AN$1,[2]Cultures!$B$3:$M$3,0),FALSE)</f>
        <v>#N/A</v>
      </c>
      <c r="AO16" s="4" t="e">
        <f>VLOOKUP($N16,[2]Cultures!$B$4:$M$283,MATCH(AO$1,[2]Cultures!$B$3:$M$3,0),FALSE)</f>
        <v>#N/A</v>
      </c>
      <c r="AP16" s="4" t="e">
        <f>VLOOKUP($N16,[2]Cultures!$B$4:$M$283,MATCH(AP$1,[2]Cultures!$B$3:$M$3,0),FALSE)</f>
        <v>#N/A</v>
      </c>
      <c r="AQ16" s="4" t="e">
        <f>VLOOKUP($N16,[2]Cultures!$B$4:$M$283,MATCH(AQ$1,[2]Cultures!$B$3:$M$3,0),FALSE)</f>
        <v>#N/A</v>
      </c>
      <c r="AR16" s="4" t="e">
        <f>VLOOKUP($N16,[2]Cultures!$B$4:$M$283,MATCH(AR$1,[2]Cultures!$B$3:$M$3,0),FALSE)</f>
        <v>#N/A</v>
      </c>
      <c r="AS16" s="4" t="e">
        <f>VLOOKUP($N16,[2]Cultures!$B$4:$M$283,MATCH(AS$1,[2]Cultures!$B$3:$M$3,0),FALSE)</f>
        <v>#N/A</v>
      </c>
      <c r="AT16" s="4"/>
      <c r="AU16" s="4">
        <f>IF(ISNUMBER(SEARCH(N16&amp;";",Calculations!$Q$19)),VLOOKUP(Skills!N16,Calculations!$Q$2:$T$16,4,FALSE),0)</f>
        <v>0</v>
      </c>
      <c r="AV16" s="4">
        <f>IF(ISNUMBER(SEARCH(N16&amp;";",Calculations!$Q$18)),1,0)</f>
        <v>0</v>
      </c>
      <c r="AW16" s="4"/>
      <c r="AX16" s="4">
        <f>VLOOKUP($N16,$N16:$CH16,MATCH('Character Sheet'!$BJ$3,Skills!$N$1:$CH$1,0),FALSE)</f>
        <v>0</v>
      </c>
    </row>
    <row r="17" spans="1:50" x14ac:dyDescent="0.25">
      <c r="B17" s="4" t="e">
        <f t="shared" si="7"/>
        <v>#N/A</v>
      </c>
      <c r="E17" s="4"/>
      <c r="F17" s="4">
        <f t="shared" si="8"/>
        <v>0</v>
      </c>
      <c r="G17" s="4"/>
      <c r="H17" s="4" t="e">
        <f t="shared" si="15"/>
        <v>#N/A</v>
      </c>
      <c r="I17" s="4">
        <v>0</v>
      </c>
      <c r="J17" s="4" t="e">
        <f t="shared" si="0"/>
        <v>#N/A</v>
      </c>
      <c r="K17" s="4" t="e">
        <f t="shared" si="1"/>
        <v>#N/A</v>
      </c>
      <c r="N17" s="3" t="s">
        <v>609</v>
      </c>
      <c r="O17" s="6" t="s">
        <v>782</v>
      </c>
      <c r="P17" s="6" t="s">
        <v>782</v>
      </c>
      <c r="Q17" s="4" t="str">
        <f t="shared" si="2"/>
        <v>- -</v>
      </c>
      <c r="R17" s="4" t="str">
        <f>IF(ISNUMBER(SEARCH("Category",N17)),"- -",IF(ISNUMBER(SEARCH("Skills",N17)),"- -",'Level-up'!C35))</f>
        <v>- -</v>
      </c>
      <c r="S17" s="4" t="str">
        <f t="shared" si="3"/>
        <v>- -</v>
      </c>
      <c r="T17" s="4" t="str">
        <f t="shared" si="4"/>
        <v>- -</v>
      </c>
      <c r="U17" s="4" t="str">
        <f t="shared" ca="1" si="9"/>
        <v>- -</v>
      </c>
      <c r="V17" s="4" t="str">
        <f t="shared" si="17"/>
        <v>- -</v>
      </c>
      <c r="W17" s="4" t="str">
        <f t="shared" si="5"/>
        <v>- -</v>
      </c>
      <c r="X17" s="4" t="str">
        <f t="shared" si="10"/>
        <v>- -</v>
      </c>
      <c r="Y17" s="4" t="str">
        <f t="shared" si="11"/>
        <v>- -</v>
      </c>
      <c r="Z17" s="4" t="str">
        <f t="shared" si="12"/>
        <v>- -</v>
      </c>
      <c r="AA17" s="4" t="str">
        <f t="shared" si="13"/>
        <v>- -</v>
      </c>
      <c r="AB17" s="4" t="str">
        <f t="shared" si="14"/>
        <v>- -</v>
      </c>
      <c r="AC17" s="8"/>
      <c r="AD17" s="4"/>
      <c r="AE17" s="4"/>
      <c r="AF17" s="4" t="str">
        <f t="shared" si="6"/>
        <v>- -</v>
      </c>
      <c r="AG17" s="4"/>
      <c r="AH17" s="4">
        <f>IFERROR(VLOOKUP(M17,Calculations!$AC$2:$AD$251,2,FALSE),0)</f>
        <v>0</v>
      </c>
      <c r="AI17" s="4" t="e">
        <f>VLOOKUP(N17,$N$2:$AS$620,MATCH('Character Creation'!$Z$12,Skills!$N$1:$AS$1,0),FALSE)</f>
        <v>#N/A</v>
      </c>
      <c r="AJ17" s="4" t="e">
        <f>VLOOKUP($N17,[2]Cultures!$B$4:$M$283,MATCH(AJ$1,[2]Cultures!$B$3:$M$3,0),FALSE)</f>
        <v>#N/A</v>
      </c>
      <c r="AK17" s="4" t="e">
        <f>VLOOKUP($N17,[2]Cultures!$B$4:$M$283,MATCH(AK$1,[2]Cultures!$B$3:$M$3,0),FALSE)</f>
        <v>#N/A</v>
      </c>
      <c r="AL17" s="4" t="e">
        <f>VLOOKUP($N17,[2]Cultures!$B$4:$M$283,MATCH(AL$1,[2]Cultures!$B$3:$M$3,0),FALSE)</f>
        <v>#N/A</v>
      </c>
      <c r="AM17" s="4" t="e">
        <f>VLOOKUP($N17,[2]Cultures!$B$4:$M$283,MATCH(AM$1,[2]Cultures!$B$3:$M$3,0),FALSE)</f>
        <v>#N/A</v>
      </c>
      <c r="AN17" s="4" t="e">
        <f>VLOOKUP($N17,[2]Cultures!$B$4:$M$283,MATCH(AN$1,[2]Cultures!$B$3:$M$3,0),FALSE)</f>
        <v>#N/A</v>
      </c>
      <c r="AO17" s="4" t="e">
        <f>VLOOKUP($N17,[2]Cultures!$B$4:$M$283,MATCH(AO$1,[2]Cultures!$B$3:$M$3,0),FALSE)</f>
        <v>#N/A</v>
      </c>
      <c r="AP17" s="4" t="e">
        <f>VLOOKUP($N17,[2]Cultures!$B$4:$M$283,MATCH(AP$1,[2]Cultures!$B$3:$M$3,0),FALSE)</f>
        <v>#N/A</v>
      </c>
      <c r="AQ17" s="4" t="e">
        <f>VLOOKUP($N17,[2]Cultures!$B$4:$M$283,MATCH(AQ$1,[2]Cultures!$B$3:$M$3,0),FALSE)</f>
        <v>#N/A</v>
      </c>
      <c r="AR17" s="4" t="e">
        <f>VLOOKUP($N17,[2]Cultures!$B$4:$M$283,MATCH(AR$1,[2]Cultures!$B$3:$M$3,0),FALSE)</f>
        <v>#N/A</v>
      </c>
      <c r="AS17" s="4" t="e">
        <f>VLOOKUP($N17,[2]Cultures!$B$4:$M$283,MATCH(AS$1,[2]Cultures!$B$3:$M$3,0),FALSE)</f>
        <v>#N/A</v>
      </c>
      <c r="AT17" s="4"/>
      <c r="AU17" s="4">
        <f>IF(ISNUMBER(SEARCH(N17&amp;";",Calculations!$Q$19)),VLOOKUP(Skills!N17,Calculations!$Q$2:$T$16,4,FALSE),0)</f>
        <v>0</v>
      </c>
      <c r="AV17" s="4">
        <f>IF(ISNUMBER(SEARCH(N17&amp;";",Calculations!$Q$18)),1,0)</f>
        <v>0</v>
      </c>
      <c r="AW17" s="4"/>
      <c r="AX17" s="4">
        <f>VLOOKUP($N17,$N17:$CH17,MATCH('Character Sheet'!$BJ$3,Skills!$N$1:$CH$1,0),FALSE)</f>
        <v>0</v>
      </c>
    </row>
    <row r="18" spans="1:50" x14ac:dyDescent="0.25">
      <c r="B18" s="4" t="e">
        <f t="shared" si="7"/>
        <v>#N/A</v>
      </c>
      <c r="E18" s="4"/>
      <c r="F18" s="4">
        <f t="shared" si="8"/>
        <v>0</v>
      </c>
      <c r="G18" s="4"/>
      <c r="H18" s="4" t="e">
        <f t="shared" si="15"/>
        <v>#N/A</v>
      </c>
      <c r="I18" s="4" t="e">
        <f>IF($J$3=1,1,IF($J$17=1,1,0))</f>
        <v>#N/A</v>
      </c>
      <c r="J18" s="4">
        <f t="shared" si="0"/>
        <v>0</v>
      </c>
      <c r="K18" s="4" t="e">
        <f t="shared" si="1"/>
        <v>#N/A</v>
      </c>
      <c r="M18" t="str">
        <f>"Training, "&amp;N18</f>
        <v>Training, Camel</v>
      </c>
      <c r="N18" s="3" t="str">
        <f>'Character Sheet'!NB19</f>
        <v>Camel</v>
      </c>
      <c r="O18" s="4" t="s">
        <v>780</v>
      </c>
      <c r="P18" s="4" t="s">
        <v>781</v>
      </c>
      <c r="Q18" s="4" t="e">
        <f t="shared" si="2"/>
        <v>#N/A</v>
      </c>
      <c r="R18" s="4">
        <f>IF(ISNUMBER(SEARCH("Category",N18)),"- -",IF(ISNUMBER(SEARCH("Skills",N18)),"- -",'Level-up'!C36))</f>
        <v>0</v>
      </c>
      <c r="S18" s="4" t="e">
        <f t="shared" si="3"/>
        <v>#N/A</v>
      </c>
      <c r="T18" s="4" t="e">
        <f t="shared" si="4"/>
        <v>#N/A</v>
      </c>
      <c r="U18" s="4">
        <f t="shared" ca="1" si="9"/>
        <v>4</v>
      </c>
      <c r="V18" s="4">
        <f t="shared" ref="V18:V23" si="18">IF(ISNUMBER(SEARCH("Category",N18)),"- -",IF(ISNUMBER(SEARCH("Skills",N18)),"- -",IF(AU18&gt;0,AU18,IF($AU$16&gt;0,$AU$16,$AU$2))))</f>
        <v>0</v>
      </c>
      <c r="W18" s="4">
        <f t="shared" si="5"/>
        <v>0</v>
      </c>
      <c r="X18" s="4">
        <f t="shared" si="10"/>
        <v>0</v>
      </c>
      <c r="Y18" s="4">
        <f t="shared" si="11"/>
        <v>0</v>
      </c>
      <c r="Z18" s="4">
        <f t="shared" si="12"/>
        <v>0</v>
      </c>
      <c r="AA18" s="4">
        <f t="shared" si="13"/>
        <v>0</v>
      </c>
      <c r="AB18" s="4">
        <f t="shared" si="14"/>
        <v>0</v>
      </c>
      <c r="AC18" s="8"/>
      <c r="AD18" s="4"/>
      <c r="AE18" s="4"/>
      <c r="AF18" s="4" t="e">
        <f t="shared" si="6"/>
        <v>#N/A</v>
      </c>
      <c r="AG18" s="4"/>
      <c r="AH18" s="4">
        <f>IFERROR(VLOOKUP(M18,Calculations!$AC$2:$AD$251,2,FALSE),0)</f>
        <v>0</v>
      </c>
      <c r="AI18" s="4" t="e">
        <f>VLOOKUP(N18,$N$2:$AS$620,MATCH('Character Creation'!$Z$12,Skills!$N$1:$AS$1,0),FALSE)</f>
        <v>#N/A</v>
      </c>
      <c r="AJ18" s="4" t="e">
        <f>VLOOKUP($N18,[2]Cultures!$B$4:$M$283,MATCH(AJ$1,[2]Cultures!$B$3:$M$3,0),FALSE)</f>
        <v>#N/A</v>
      </c>
      <c r="AK18" s="4" t="e">
        <f>VLOOKUP($N18,[2]Cultures!$B$4:$M$283,MATCH(AK$1,[2]Cultures!$B$3:$M$3,0),FALSE)</f>
        <v>#N/A</v>
      </c>
      <c r="AL18" s="4" t="e">
        <f>VLOOKUP($N18,[2]Cultures!$B$4:$M$283,MATCH(AL$1,[2]Cultures!$B$3:$M$3,0),FALSE)</f>
        <v>#N/A</v>
      </c>
      <c r="AM18" s="4" t="e">
        <f>VLOOKUP($N18,[2]Cultures!$B$4:$M$283,MATCH(AM$1,[2]Cultures!$B$3:$M$3,0),FALSE)</f>
        <v>#N/A</v>
      </c>
      <c r="AN18" s="4" t="e">
        <f>VLOOKUP($N18,[2]Cultures!$B$4:$M$283,MATCH(AN$1,[2]Cultures!$B$3:$M$3,0),FALSE)</f>
        <v>#N/A</v>
      </c>
      <c r="AO18" s="4" t="e">
        <f>VLOOKUP($N18,[2]Cultures!$B$4:$M$283,MATCH(AO$1,[2]Cultures!$B$3:$M$3,0),FALSE)</f>
        <v>#N/A</v>
      </c>
      <c r="AP18" s="4" t="e">
        <f>VLOOKUP($N18,[2]Cultures!$B$4:$M$283,MATCH(AP$1,[2]Cultures!$B$3:$M$3,0),FALSE)</f>
        <v>#N/A</v>
      </c>
      <c r="AQ18" s="4" t="e">
        <f>VLOOKUP($N18,[2]Cultures!$B$4:$M$283,MATCH(AQ$1,[2]Cultures!$B$3:$M$3,0),FALSE)</f>
        <v>#N/A</v>
      </c>
      <c r="AR18" s="4" t="e">
        <f>VLOOKUP($N18,[2]Cultures!$B$4:$M$283,MATCH(AR$1,[2]Cultures!$B$3:$M$3,0),FALSE)</f>
        <v>#N/A</v>
      </c>
      <c r="AS18" s="4" t="e">
        <f>VLOOKUP($N18,[2]Cultures!$B$4:$M$283,MATCH(AS$1,[2]Cultures!$B$3:$M$3,0),FALSE)</f>
        <v>#N/A</v>
      </c>
      <c r="AT18" s="4"/>
      <c r="AU18" s="4">
        <f>IF(ISNUMBER(SEARCH(N18&amp;";",Calculations!$Q$19)),VLOOKUP(Skills!N18,Calculations!$Q$2:$T$16,4,FALSE),0)</f>
        <v>0</v>
      </c>
      <c r="AV18" s="4">
        <f>IF(ISNUMBER(SEARCH(N18&amp;";",Calculations!$Q$18)),1,0)</f>
        <v>0</v>
      </c>
      <c r="AW18" s="4">
        <f>IF($AV$2=1,1,IF($AV$16=1,1,AV18))</f>
        <v>0</v>
      </c>
      <c r="AX18" s="4">
        <f>VLOOKUP($N18,$N18:$CH18,MATCH('Character Sheet'!$BJ$3,Skills!$N$1:$CH$1,0),FALSE)</f>
        <v>0</v>
      </c>
    </row>
    <row r="19" spans="1:50" x14ac:dyDescent="0.25">
      <c r="B19" s="4" t="e">
        <f t="shared" si="7"/>
        <v>#N/A</v>
      </c>
      <c r="E19" s="4"/>
      <c r="F19" s="4">
        <f t="shared" si="8"/>
        <v>0</v>
      </c>
      <c r="G19" s="4"/>
      <c r="H19" s="4" t="e">
        <f t="shared" si="15"/>
        <v>#N/A</v>
      </c>
      <c r="I19" s="4" t="e">
        <f>IF($J$3=1,1,IF($J$17=1,1,0))</f>
        <v>#N/A</v>
      </c>
      <c r="J19" s="4">
        <f t="shared" si="0"/>
        <v>0</v>
      </c>
      <c r="K19" s="4" t="e">
        <f t="shared" si="1"/>
        <v>#N/A</v>
      </c>
      <c r="M19" t="str">
        <f>"Training, "&amp;N19</f>
        <v>Training, Horse</v>
      </c>
      <c r="N19" s="3" t="str">
        <f>'Character Sheet'!NB20</f>
        <v>Horse</v>
      </c>
      <c r="O19" s="4" t="s">
        <v>780</v>
      </c>
      <c r="P19" s="4" t="s">
        <v>781</v>
      </c>
      <c r="Q19" s="4" t="e">
        <f t="shared" si="2"/>
        <v>#N/A</v>
      </c>
      <c r="R19" s="4">
        <f>IF(ISNUMBER(SEARCH("Category",N19)),"- -",IF(ISNUMBER(SEARCH("Skills",N19)),"- -",'Level-up'!C37))</f>
        <v>0</v>
      </c>
      <c r="S19" s="4" t="e">
        <f t="shared" si="3"/>
        <v>#N/A</v>
      </c>
      <c r="T19" s="4" t="e">
        <f t="shared" si="4"/>
        <v>#N/A</v>
      </c>
      <c r="U19" s="4">
        <f t="shared" ca="1" si="9"/>
        <v>4</v>
      </c>
      <c r="V19" s="4">
        <f t="shared" si="18"/>
        <v>0</v>
      </c>
      <c r="W19" s="4">
        <f t="shared" si="5"/>
        <v>0</v>
      </c>
      <c r="X19" s="4">
        <f t="shared" si="10"/>
        <v>0</v>
      </c>
      <c r="Y19" s="4">
        <f t="shared" si="11"/>
        <v>0</v>
      </c>
      <c r="Z19" s="4">
        <f t="shared" si="12"/>
        <v>0</v>
      </c>
      <c r="AA19" s="4">
        <f t="shared" si="13"/>
        <v>0</v>
      </c>
      <c r="AB19" s="4">
        <f t="shared" si="14"/>
        <v>0</v>
      </c>
      <c r="AC19" s="8"/>
      <c r="AD19" s="4"/>
      <c r="AE19" s="4"/>
      <c r="AF19" s="4" t="e">
        <f t="shared" si="6"/>
        <v>#N/A</v>
      </c>
      <c r="AG19" s="4"/>
      <c r="AH19" s="4">
        <f>IFERROR(VLOOKUP(M19,Calculations!$AC$2:$AD$251,2,FALSE),0)</f>
        <v>0</v>
      </c>
      <c r="AI19" s="4" t="e">
        <f>VLOOKUP(N19,$N$2:$AS$620,MATCH('Character Creation'!$Z$12,Skills!$N$1:$AS$1,0),FALSE)</f>
        <v>#N/A</v>
      </c>
      <c r="AJ19" s="4" t="e">
        <f>VLOOKUP($N19,[2]Cultures!$B$4:$M$283,MATCH(AJ$1,[2]Cultures!$B$3:$M$3,0),FALSE)</f>
        <v>#N/A</v>
      </c>
      <c r="AK19" s="4" t="e">
        <f>VLOOKUP($N19,[2]Cultures!$B$4:$M$283,MATCH(AK$1,[2]Cultures!$B$3:$M$3,0),FALSE)</f>
        <v>#N/A</v>
      </c>
      <c r="AL19" s="4" t="e">
        <f>VLOOKUP($N19,[2]Cultures!$B$4:$M$283,MATCH(AL$1,[2]Cultures!$B$3:$M$3,0),FALSE)</f>
        <v>#N/A</v>
      </c>
      <c r="AM19" s="4" t="e">
        <f>VLOOKUP($N19,[2]Cultures!$B$4:$M$283,MATCH(AM$1,[2]Cultures!$B$3:$M$3,0),FALSE)</f>
        <v>#N/A</v>
      </c>
      <c r="AN19" s="4" t="e">
        <f>VLOOKUP($N19,[2]Cultures!$B$4:$M$283,MATCH(AN$1,[2]Cultures!$B$3:$M$3,0),FALSE)</f>
        <v>#N/A</v>
      </c>
      <c r="AO19" s="4" t="e">
        <f>VLOOKUP($N19,[2]Cultures!$B$4:$M$283,MATCH(AO$1,[2]Cultures!$B$3:$M$3,0),FALSE)</f>
        <v>#N/A</v>
      </c>
      <c r="AP19" s="4" t="e">
        <f>VLOOKUP($N19,[2]Cultures!$B$4:$M$283,MATCH(AP$1,[2]Cultures!$B$3:$M$3,0),FALSE)</f>
        <v>#N/A</v>
      </c>
      <c r="AQ19" s="4" t="e">
        <f>VLOOKUP($N19,[2]Cultures!$B$4:$M$283,MATCH(AQ$1,[2]Cultures!$B$3:$M$3,0),FALSE)</f>
        <v>#N/A</v>
      </c>
      <c r="AR19" s="4" t="e">
        <f>VLOOKUP($N19,[2]Cultures!$B$4:$M$283,MATCH(AR$1,[2]Cultures!$B$3:$M$3,0),FALSE)</f>
        <v>#N/A</v>
      </c>
      <c r="AS19" s="4" t="e">
        <f>VLOOKUP($N19,[2]Cultures!$B$4:$M$283,MATCH(AS$1,[2]Cultures!$B$3:$M$3,0),FALSE)</f>
        <v>#N/A</v>
      </c>
      <c r="AT19" s="4"/>
      <c r="AU19" s="4">
        <f>IF(ISNUMBER(SEARCH(N19&amp;";",Calculations!$Q$19)),VLOOKUP(Skills!N19,Calculations!$Q$2:$T$16,4,FALSE),0)</f>
        <v>0</v>
      </c>
      <c r="AV19" s="4">
        <f>IF(ISNUMBER(SEARCH(N19&amp;";",Calculations!$Q$18)),1,0)</f>
        <v>0</v>
      </c>
      <c r="AW19" s="4">
        <f>IF($AV$2=1,1,IF($AV$16=1,1,AV19))</f>
        <v>0</v>
      </c>
      <c r="AX19" s="4">
        <f>VLOOKUP($N19,$N19:$CH19,MATCH('Character Sheet'!$BJ$3,Skills!$N$1:$CH$1,0),FALSE)</f>
        <v>0</v>
      </c>
    </row>
    <row r="20" spans="1:50" x14ac:dyDescent="0.25">
      <c r="B20" s="4" t="e">
        <f t="shared" si="7"/>
        <v>#N/A</v>
      </c>
      <c r="E20" s="4"/>
      <c r="F20" s="4">
        <f t="shared" si="8"/>
        <v>0</v>
      </c>
      <c r="G20" s="4"/>
      <c r="H20" s="4" t="e">
        <f t="shared" si="15"/>
        <v>#N/A</v>
      </c>
      <c r="I20" s="4" t="e">
        <f>IF($J$3=1,1,IF($J$17=1,1,0))</f>
        <v>#N/A</v>
      </c>
      <c r="J20" s="4">
        <f t="shared" si="0"/>
        <v>0</v>
      </c>
      <c r="K20" s="4" t="e">
        <f t="shared" si="1"/>
        <v>#N/A</v>
      </c>
      <c r="M20" t="str">
        <f>"Training, "&amp;N20</f>
        <v>Training, 0</v>
      </c>
      <c r="N20" s="3">
        <f>'Character Sheet'!NB21</f>
        <v>0</v>
      </c>
      <c r="O20" s="4" t="s">
        <v>780</v>
      </c>
      <c r="P20" s="4" t="s">
        <v>781</v>
      </c>
      <c r="Q20" s="4" t="e">
        <f t="shared" si="2"/>
        <v>#N/A</v>
      </c>
      <c r="R20" s="4">
        <f>IF(ISNUMBER(SEARCH("Category",N20)),"- -",IF(ISNUMBER(SEARCH("Skills",N20)),"- -",'Level-up'!C38))</f>
        <v>0</v>
      </c>
      <c r="S20" s="4" t="e">
        <f t="shared" si="3"/>
        <v>#N/A</v>
      </c>
      <c r="T20" s="4" t="e">
        <f t="shared" si="4"/>
        <v>#N/A</v>
      </c>
      <c r="U20" s="4">
        <f t="shared" ca="1" si="9"/>
        <v>4</v>
      </c>
      <c r="V20" s="4">
        <f t="shared" si="18"/>
        <v>0</v>
      </c>
      <c r="W20" s="4">
        <f t="shared" si="5"/>
        <v>0</v>
      </c>
      <c r="X20" s="4">
        <f t="shared" si="10"/>
        <v>0</v>
      </c>
      <c r="Y20" s="4">
        <f t="shared" si="11"/>
        <v>0</v>
      </c>
      <c r="Z20" s="4">
        <f t="shared" si="12"/>
        <v>0</v>
      </c>
      <c r="AA20" s="4">
        <f t="shared" si="13"/>
        <v>0</v>
      </c>
      <c r="AB20" s="4">
        <f t="shared" si="14"/>
        <v>0</v>
      </c>
      <c r="AC20" s="8"/>
      <c r="AD20" s="4"/>
      <c r="AE20" s="4"/>
      <c r="AF20" s="4" t="e">
        <f t="shared" si="6"/>
        <v>#N/A</v>
      </c>
      <c r="AG20" s="4"/>
      <c r="AH20" s="4">
        <f>IFERROR(VLOOKUP(M20,Calculations!$AC$2:$AD$251,2,FALSE),0)</f>
        <v>0</v>
      </c>
      <c r="AI20" s="4" t="e">
        <f>VLOOKUP(N20,$N$2:$AS$620,MATCH('Character Creation'!$Z$12,Skills!$N$1:$AS$1,0),FALSE)</f>
        <v>#N/A</v>
      </c>
      <c r="AJ20" s="4" t="e">
        <f>VLOOKUP($N20,[2]Cultures!$B$4:$M$283,MATCH(AJ$1,[2]Cultures!$B$3:$M$3,0),FALSE)</f>
        <v>#N/A</v>
      </c>
      <c r="AK20" s="4" t="e">
        <f>VLOOKUP($N20,[2]Cultures!$B$4:$M$283,MATCH(AK$1,[2]Cultures!$B$3:$M$3,0),FALSE)</f>
        <v>#N/A</v>
      </c>
      <c r="AL20" s="4" t="e">
        <f>VLOOKUP($N20,[2]Cultures!$B$4:$M$283,MATCH(AL$1,[2]Cultures!$B$3:$M$3,0),FALSE)</f>
        <v>#N/A</v>
      </c>
      <c r="AM20" s="4" t="e">
        <f>VLOOKUP($N20,[2]Cultures!$B$4:$M$283,MATCH(AM$1,[2]Cultures!$B$3:$M$3,0),FALSE)</f>
        <v>#N/A</v>
      </c>
      <c r="AN20" s="4" t="e">
        <f>VLOOKUP($N20,[2]Cultures!$B$4:$M$283,MATCH(AN$1,[2]Cultures!$B$3:$M$3,0),FALSE)</f>
        <v>#N/A</v>
      </c>
      <c r="AO20" s="4" t="e">
        <f>VLOOKUP($N20,[2]Cultures!$B$4:$M$283,MATCH(AO$1,[2]Cultures!$B$3:$M$3,0),FALSE)</f>
        <v>#N/A</v>
      </c>
      <c r="AP20" s="4" t="e">
        <f>VLOOKUP($N20,[2]Cultures!$B$4:$M$283,MATCH(AP$1,[2]Cultures!$B$3:$M$3,0),FALSE)</f>
        <v>#N/A</v>
      </c>
      <c r="AQ20" s="4" t="e">
        <f>VLOOKUP($N20,[2]Cultures!$B$4:$M$283,MATCH(AQ$1,[2]Cultures!$B$3:$M$3,0),FALSE)</f>
        <v>#N/A</v>
      </c>
      <c r="AR20" s="4" t="e">
        <f>VLOOKUP($N20,[2]Cultures!$B$4:$M$283,MATCH(AR$1,[2]Cultures!$B$3:$M$3,0),FALSE)</f>
        <v>#N/A</v>
      </c>
      <c r="AS20" s="4" t="e">
        <f>VLOOKUP($N20,[2]Cultures!$B$4:$M$283,MATCH(AS$1,[2]Cultures!$B$3:$M$3,0),FALSE)</f>
        <v>#N/A</v>
      </c>
      <c r="AT20" s="4"/>
      <c r="AU20" s="4">
        <f>IF(ISNUMBER(SEARCH(N20&amp;";",Calculations!$Q$19)),VLOOKUP(Skills!N20,Calculations!$Q$2:$T$16,4,FALSE),0)</f>
        <v>0</v>
      </c>
      <c r="AV20" s="4">
        <f>IF(ISNUMBER(SEARCH(N20&amp;";",Calculations!$Q$18)),1,0)</f>
        <v>0</v>
      </c>
      <c r="AW20" s="4">
        <f>IF($AV$2=1,1,IF($AV$16=1,1,AV20))</f>
        <v>0</v>
      </c>
      <c r="AX20" s="4">
        <f>VLOOKUP($N20,$N20:$CH20,MATCH('Character Sheet'!$BJ$3,Skills!$N$1:$CH$1,0),FALSE)</f>
        <v>0</v>
      </c>
    </row>
    <row r="21" spans="1:50" x14ac:dyDescent="0.25">
      <c r="B21" s="4" t="e">
        <f t="shared" si="7"/>
        <v>#N/A</v>
      </c>
      <c r="E21" s="4"/>
      <c r="F21" s="4">
        <f t="shared" si="8"/>
        <v>0</v>
      </c>
      <c r="G21" s="4"/>
      <c r="H21" s="4" t="e">
        <f t="shared" si="15"/>
        <v>#N/A</v>
      </c>
      <c r="I21" s="4" t="e">
        <f>IF($J$3=1,1,IF($J$17=1,1,0))</f>
        <v>#N/A</v>
      </c>
      <c r="J21" s="4">
        <f t="shared" si="0"/>
        <v>0</v>
      </c>
      <c r="K21" s="4" t="e">
        <f t="shared" si="1"/>
        <v>#N/A</v>
      </c>
      <c r="M21" t="str">
        <f>"Training, "&amp;N21</f>
        <v>Training, 0</v>
      </c>
      <c r="N21" s="3">
        <f>'Character Sheet'!NB22</f>
        <v>0</v>
      </c>
      <c r="O21" s="4" t="s">
        <v>780</v>
      </c>
      <c r="P21" s="4" t="s">
        <v>781</v>
      </c>
      <c r="Q21" s="4" t="e">
        <f t="shared" si="2"/>
        <v>#N/A</v>
      </c>
      <c r="R21" s="4">
        <f>IF(ISNUMBER(SEARCH("Category",N21)),"- -",IF(ISNUMBER(SEARCH("Skills",N21)),"- -",'Level-up'!C39))</f>
        <v>0</v>
      </c>
      <c r="S21" s="4" t="e">
        <f t="shared" si="3"/>
        <v>#N/A</v>
      </c>
      <c r="T21" s="4" t="e">
        <f t="shared" si="4"/>
        <v>#N/A</v>
      </c>
      <c r="U21" s="4">
        <f t="shared" ca="1" si="9"/>
        <v>4</v>
      </c>
      <c r="V21" s="4">
        <f t="shared" si="18"/>
        <v>0</v>
      </c>
      <c r="W21" s="4">
        <f t="shared" si="5"/>
        <v>0</v>
      </c>
      <c r="X21" s="4">
        <f t="shared" si="10"/>
        <v>0</v>
      </c>
      <c r="Y21" s="4">
        <f t="shared" si="11"/>
        <v>0</v>
      </c>
      <c r="Z21" s="4">
        <f t="shared" si="12"/>
        <v>0</v>
      </c>
      <c r="AA21" s="4">
        <f t="shared" si="13"/>
        <v>0</v>
      </c>
      <c r="AB21" s="4">
        <f t="shared" si="14"/>
        <v>0</v>
      </c>
      <c r="AC21" s="8"/>
      <c r="AD21" s="4"/>
      <c r="AE21" s="4"/>
      <c r="AF21" s="4" t="e">
        <f t="shared" si="6"/>
        <v>#N/A</v>
      </c>
      <c r="AG21" s="4"/>
      <c r="AH21" s="4">
        <f>IFERROR(VLOOKUP(M21,Calculations!$AC$2:$AD$251,2,FALSE),0)</f>
        <v>0</v>
      </c>
      <c r="AI21" s="4" t="e">
        <f>VLOOKUP(N21,$N$2:$AS$620,MATCH('Character Creation'!$Z$12,Skills!$N$1:$AS$1,0),FALSE)</f>
        <v>#N/A</v>
      </c>
      <c r="AJ21" s="4" t="e">
        <f>VLOOKUP($N21,[2]Cultures!$B$4:$M$283,MATCH(AJ$1,[2]Cultures!$B$3:$M$3,0),FALSE)</f>
        <v>#N/A</v>
      </c>
      <c r="AK21" s="4" t="e">
        <f>VLOOKUP($N21,[2]Cultures!$B$4:$M$283,MATCH(AK$1,[2]Cultures!$B$3:$M$3,0),FALSE)</f>
        <v>#N/A</v>
      </c>
      <c r="AL21" s="4" t="e">
        <f>VLOOKUP($N21,[2]Cultures!$B$4:$M$283,MATCH(AL$1,[2]Cultures!$B$3:$M$3,0),FALSE)</f>
        <v>#N/A</v>
      </c>
      <c r="AM21" s="4" t="e">
        <f>VLOOKUP($N21,[2]Cultures!$B$4:$M$283,MATCH(AM$1,[2]Cultures!$B$3:$M$3,0),FALSE)</f>
        <v>#N/A</v>
      </c>
      <c r="AN21" s="4" t="e">
        <f>VLOOKUP($N21,[2]Cultures!$B$4:$M$283,MATCH(AN$1,[2]Cultures!$B$3:$M$3,0),FALSE)</f>
        <v>#N/A</v>
      </c>
      <c r="AO21" s="4" t="e">
        <f>VLOOKUP($N21,[2]Cultures!$B$4:$M$283,MATCH(AO$1,[2]Cultures!$B$3:$M$3,0),FALSE)</f>
        <v>#N/A</v>
      </c>
      <c r="AP21" s="4" t="e">
        <f>VLOOKUP($N21,[2]Cultures!$B$4:$M$283,MATCH(AP$1,[2]Cultures!$B$3:$M$3,0),FALSE)</f>
        <v>#N/A</v>
      </c>
      <c r="AQ21" s="4" t="e">
        <f>VLOOKUP($N21,[2]Cultures!$B$4:$M$283,MATCH(AQ$1,[2]Cultures!$B$3:$M$3,0),FALSE)</f>
        <v>#N/A</v>
      </c>
      <c r="AR21" s="4" t="e">
        <f>VLOOKUP($N21,[2]Cultures!$B$4:$M$283,MATCH(AR$1,[2]Cultures!$B$3:$M$3,0),FALSE)</f>
        <v>#N/A</v>
      </c>
      <c r="AS21" s="4" t="e">
        <f>VLOOKUP($N21,[2]Cultures!$B$4:$M$283,MATCH(AS$1,[2]Cultures!$B$3:$M$3,0),FALSE)</f>
        <v>#N/A</v>
      </c>
      <c r="AT21" s="4"/>
      <c r="AU21" s="4">
        <f>IF(ISNUMBER(SEARCH(N21&amp;";",Calculations!$Q$19)),VLOOKUP(Skills!N21,Calculations!$Q$2:$T$16,4,FALSE),0)</f>
        <v>0</v>
      </c>
      <c r="AV21" s="4">
        <f>IF(ISNUMBER(SEARCH(N21&amp;";",Calculations!$Q$18)),1,0)</f>
        <v>0</v>
      </c>
      <c r="AW21" s="4">
        <f>IF($AV$2=1,1,IF($AV$16=1,1,AV21))</f>
        <v>0</v>
      </c>
      <c r="AX21" s="4">
        <f>VLOOKUP($N21,$N21:$CH21,MATCH('Character Sheet'!$BJ$3,Skills!$N$1:$CH$1,0),FALSE)</f>
        <v>0</v>
      </c>
    </row>
    <row r="22" spans="1:50" x14ac:dyDescent="0.25">
      <c r="B22" s="4" t="e">
        <f t="shared" si="7"/>
        <v>#N/A</v>
      </c>
      <c r="E22" s="4"/>
      <c r="F22" s="4">
        <f t="shared" si="8"/>
        <v>0</v>
      </c>
      <c r="G22" s="4"/>
      <c r="H22" s="4" t="e">
        <f t="shared" si="15"/>
        <v>#N/A</v>
      </c>
      <c r="I22" s="4" t="e">
        <f>IF($J$3=1,1,IF($J$23=1,1,0))</f>
        <v>#N/A</v>
      </c>
      <c r="J22" s="4">
        <f t="shared" si="0"/>
        <v>0</v>
      </c>
      <c r="K22" s="4" t="e">
        <f t="shared" si="1"/>
        <v>#N/A</v>
      </c>
      <c r="N22" s="3" t="s">
        <v>757</v>
      </c>
      <c r="O22" s="6" t="s">
        <v>782</v>
      </c>
      <c r="P22" s="6" t="s">
        <v>782</v>
      </c>
      <c r="Q22" s="4" t="str">
        <f t="shared" si="2"/>
        <v>- -</v>
      </c>
      <c r="R22" s="4" t="str">
        <f>IF(ISNUMBER(SEARCH("Category",N22)),"- -",IF(ISNUMBER(SEARCH("Skills",N22)),"- -",'Level-up'!C40))</f>
        <v>- -</v>
      </c>
      <c r="S22" s="4" t="str">
        <f t="shared" si="3"/>
        <v>- -</v>
      </c>
      <c r="T22" s="4" t="str">
        <f t="shared" si="4"/>
        <v>- -</v>
      </c>
      <c r="U22" s="4" t="str">
        <f t="shared" ca="1" si="9"/>
        <v>- -</v>
      </c>
      <c r="V22" s="4" t="str">
        <f t="shared" si="18"/>
        <v>- -</v>
      </c>
      <c r="W22" s="4" t="str">
        <f t="shared" si="5"/>
        <v>- -</v>
      </c>
      <c r="X22" s="4" t="str">
        <f t="shared" si="10"/>
        <v>- -</v>
      </c>
      <c r="Y22" s="4" t="str">
        <f t="shared" si="11"/>
        <v>- -</v>
      </c>
      <c r="Z22" s="4" t="str">
        <f t="shared" si="12"/>
        <v>- -</v>
      </c>
      <c r="AA22" s="4" t="str">
        <f t="shared" si="13"/>
        <v>- -</v>
      </c>
      <c r="AB22" s="4" t="str">
        <f t="shared" si="14"/>
        <v>- -</v>
      </c>
      <c r="AC22" s="8"/>
      <c r="AD22" s="4"/>
      <c r="AE22" s="4"/>
      <c r="AF22" s="4" t="str">
        <f t="shared" si="6"/>
        <v>- -</v>
      </c>
      <c r="AG22" s="4"/>
      <c r="AH22" s="4">
        <f>IFERROR(VLOOKUP(M22,Calculations!$AC$2:$AD$251,2,FALSE),0)</f>
        <v>0</v>
      </c>
      <c r="AI22" s="4" t="e">
        <f>VLOOKUP(N22,$N$2:$AS$620,MATCH('Character Creation'!$Z$12,Skills!$N$1:$AS$1,0),FALSE)</f>
        <v>#N/A</v>
      </c>
      <c r="AJ22" s="4" t="e">
        <f>VLOOKUP($N22,[2]Cultures!$B$4:$M$283,MATCH(AJ$1,[2]Cultures!$B$3:$M$3,0),FALSE)</f>
        <v>#N/A</v>
      </c>
      <c r="AK22" s="4" t="e">
        <f>VLOOKUP($N22,[2]Cultures!$B$4:$M$283,MATCH(AK$1,[2]Cultures!$B$3:$M$3,0),FALSE)</f>
        <v>#N/A</v>
      </c>
      <c r="AL22" s="4" t="e">
        <f>VLOOKUP($N22,[2]Cultures!$B$4:$M$283,MATCH(AL$1,[2]Cultures!$B$3:$M$3,0),FALSE)</f>
        <v>#N/A</v>
      </c>
      <c r="AM22" s="4" t="e">
        <f>VLOOKUP($N22,[2]Cultures!$B$4:$M$283,MATCH(AM$1,[2]Cultures!$B$3:$M$3,0),FALSE)</f>
        <v>#N/A</v>
      </c>
      <c r="AN22" s="4" t="e">
        <f>VLOOKUP($N22,[2]Cultures!$B$4:$M$283,MATCH(AN$1,[2]Cultures!$B$3:$M$3,0),FALSE)</f>
        <v>#N/A</v>
      </c>
      <c r="AO22" s="4" t="e">
        <f>VLOOKUP($N22,[2]Cultures!$B$4:$M$283,MATCH(AO$1,[2]Cultures!$B$3:$M$3,0),FALSE)</f>
        <v>#N/A</v>
      </c>
      <c r="AP22" s="4" t="e">
        <f>VLOOKUP($N22,[2]Cultures!$B$4:$M$283,MATCH(AP$1,[2]Cultures!$B$3:$M$3,0),FALSE)</f>
        <v>#N/A</v>
      </c>
      <c r="AQ22" s="4" t="e">
        <f>VLOOKUP($N22,[2]Cultures!$B$4:$M$283,MATCH(AQ$1,[2]Cultures!$B$3:$M$3,0),FALSE)</f>
        <v>#N/A</v>
      </c>
      <c r="AR22" s="4" t="e">
        <f>VLOOKUP($N22,[2]Cultures!$B$4:$M$283,MATCH(AR$1,[2]Cultures!$B$3:$M$3,0),FALSE)</f>
        <v>#N/A</v>
      </c>
      <c r="AS22" s="4" t="e">
        <f>VLOOKUP($N22,[2]Cultures!$B$4:$M$283,MATCH(AS$1,[2]Cultures!$B$3:$M$3,0),FALSE)</f>
        <v>#N/A</v>
      </c>
      <c r="AT22" s="4"/>
      <c r="AU22" s="4">
        <f>IF(ISNUMBER(SEARCH(N22&amp;";",Calculations!$Q$19)),VLOOKUP(Skills!N22,Calculations!$Q$2:$T$16,4,FALSE),0)</f>
        <v>0</v>
      </c>
      <c r="AV22" s="4">
        <f>IF(ISNUMBER(SEARCH(N22&amp;";",Calculations!$Q$18)),1,0)</f>
        <v>0</v>
      </c>
      <c r="AW22" s="4"/>
      <c r="AX22" s="4">
        <f>VLOOKUP($N22,$N22:$CH22,MATCH('Character Sheet'!$BJ$3,Skills!$N$1:$CH$1,0),FALSE)</f>
        <v>0</v>
      </c>
    </row>
    <row r="23" spans="1:50" x14ac:dyDescent="0.25">
      <c r="B23" s="4" t="e">
        <f t="shared" si="7"/>
        <v>#N/A</v>
      </c>
      <c r="E23" s="4"/>
      <c r="F23" s="4">
        <f t="shared" si="8"/>
        <v>0</v>
      </c>
      <c r="G23" s="4"/>
      <c r="H23" s="4" t="e">
        <f t="shared" si="15"/>
        <v>#N/A</v>
      </c>
      <c r="I23" s="4">
        <v>0</v>
      </c>
      <c r="J23" s="4" t="e">
        <f t="shared" si="0"/>
        <v>#N/A</v>
      </c>
      <c r="K23" s="4" t="e">
        <f t="shared" si="1"/>
        <v>#N/A</v>
      </c>
      <c r="N23" s="3" t="s">
        <v>758</v>
      </c>
      <c r="O23" s="6" t="s">
        <v>782</v>
      </c>
      <c r="P23" s="6" t="s">
        <v>782</v>
      </c>
      <c r="Q23" s="4" t="str">
        <f t="shared" si="2"/>
        <v>- -</v>
      </c>
      <c r="R23" s="4" t="str">
        <f>IF(ISNUMBER(SEARCH("Category",N23)),"- -",IF(ISNUMBER(SEARCH("Skills",N23)),"- -",'Level-up'!C41))</f>
        <v>- -</v>
      </c>
      <c r="S23" s="4" t="str">
        <f t="shared" si="3"/>
        <v>- -</v>
      </c>
      <c r="T23" s="4" t="str">
        <f t="shared" si="4"/>
        <v>- -</v>
      </c>
      <c r="U23" s="4" t="str">
        <f t="shared" ca="1" si="9"/>
        <v>- -</v>
      </c>
      <c r="V23" s="4" t="str">
        <f t="shared" si="18"/>
        <v>- -</v>
      </c>
      <c r="W23" s="4" t="str">
        <f t="shared" si="5"/>
        <v>- -</v>
      </c>
      <c r="X23" s="4" t="str">
        <f t="shared" si="10"/>
        <v>- -</v>
      </c>
      <c r="Y23" s="4" t="str">
        <f t="shared" si="11"/>
        <v>- -</v>
      </c>
      <c r="Z23" s="4" t="str">
        <f t="shared" si="12"/>
        <v>- -</v>
      </c>
      <c r="AA23" s="4" t="str">
        <f t="shared" si="13"/>
        <v>- -</v>
      </c>
      <c r="AB23" s="4" t="str">
        <f t="shared" si="14"/>
        <v>- -</v>
      </c>
      <c r="AC23" s="8"/>
      <c r="AD23" s="4"/>
      <c r="AE23" s="4"/>
      <c r="AF23" s="4" t="str">
        <f t="shared" si="6"/>
        <v>- -</v>
      </c>
      <c r="AG23" s="4"/>
      <c r="AH23" s="4">
        <f>IFERROR(VLOOKUP(M23,Calculations!$AC$2:$AD$251,2,FALSE),0)</f>
        <v>0</v>
      </c>
      <c r="AI23" s="4" t="e">
        <f>VLOOKUP(N23,$N$2:$AS$620,MATCH('Character Creation'!$Z$12,Skills!$N$1:$AS$1,0),FALSE)</f>
        <v>#N/A</v>
      </c>
      <c r="AJ23" s="4" t="e">
        <f>VLOOKUP($N23,[2]Cultures!$B$4:$M$283,MATCH(AJ$1,[2]Cultures!$B$3:$M$3,0),FALSE)</f>
        <v>#N/A</v>
      </c>
      <c r="AK23" s="4" t="e">
        <f>VLOOKUP($N23,[2]Cultures!$B$4:$M$283,MATCH(AK$1,[2]Cultures!$B$3:$M$3,0),FALSE)</f>
        <v>#N/A</v>
      </c>
      <c r="AL23" s="4" t="e">
        <f>VLOOKUP($N23,[2]Cultures!$B$4:$M$283,MATCH(AL$1,[2]Cultures!$B$3:$M$3,0),FALSE)</f>
        <v>#N/A</v>
      </c>
      <c r="AM23" s="4" t="e">
        <f>VLOOKUP($N23,[2]Cultures!$B$4:$M$283,MATCH(AM$1,[2]Cultures!$B$3:$M$3,0),FALSE)</f>
        <v>#N/A</v>
      </c>
      <c r="AN23" s="4" t="e">
        <f>VLOOKUP($N23,[2]Cultures!$B$4:$M$283,MATCH(AN$1,[2]Cultures!$B$3:$M$3,0),FALSE)</f>
        <v>#N/A</v>
      </c>
      <c r="AO23" s="4" t="e">
        <f>VLOOKUP($N23,[2]Cultures!$B$4:$M$283,MATCH(AO$1,[2]Cultures!$B$3:$M$3,0),FALSE)</f>
        <v>#N/A</v>
      </c>
      <c r="AP23" s="4" t="e">
        <f>VLOOKUP($N23,[2]Cultures!$B$4:$M$283,MATCH(AP$1,[2]Cultures!$B$3:$M$3,0),FALSE)</f>
        <v>#N/A</v>
      </c>
      <c r="AQ23" s="4" t="e">
        <f>VLOOKUP($N23,[2]Cultures!$B$4:$M$283,MATCH(AQ$1,[2]Cultures!$B$3:$M$3,0),FALSE)</f>
        <v>#N/A</v>
      </c>
      <c r="AR23" s="4" t="e">
        <f>VLOOKUP($N23,[2]Cultures!$B$4:$M$283,MATCH(AR$1,[2]Cultures!$B$3:$M$3,0),FALSE)</f>
        <v>#N/A</v>
      </c>
      <c r="AS23" s="4" t="e">
        <f>VLOOKUP($N23,[2]Cultures!$B$4:$M$283,MATCH(AS$1,[2]Cultures!$B$3:$M$3,0),FALSE)</f>
        <v>#N/A</v>
      </c>
      <c r="AT23" s="4"/>
      <c r="AU23" s="4">
        <f>IF(ISNUMBER(SEARCH(N23&amp;";",Calculations!$Q$19)),VLOOKUP(Skills!N23,Calculations!$Q$2:$T$16,4,FALSE),0)</f>
        <v>0</v>
      </c>
      <c r="AV23" s="4">
        <f>IF(ISNUMBER(SEARCH(N23&amp;";",Calculations!$Q$18)),1,0)</f>
        <v>0</v>
      </c>
      <c r="AW23" s="4"/>
      <c r="AX23" s="4">
        <f>VLOOKUP($N23,$N23:$CH23,MATCH('Character Sheet'!$BJ$3,Skills!$N$1:$CH$1,0),FALSE)</f>
        <v>0</v>
      </c>
    </row>
    <row r="24" spans="1:50" x14ac:dyDescent="0.25">
      <c r="B24" s="4" t="e">
        <f t="shared" si="7"/>
        <v>#N/A</v>
      </c>
      <c r="E24" s="4"/>
      <c r="F24" s="4">
        <f t="shared" si="8"/>
        <v>0</v>
      </c>
      <c r="G24" s="4"/>
      <c r="H24" s="4" t="e">
        <f t="shared" si="15"/>
        <v>#N/A</v>
      </c>
      <c r="I24" s="4" t="e">
        <f>IF($J$3=1,1,IF($J$23=1,1,0))</f>
        <v>#N/A</v>
      </c>
      <c r="J24" s="4">
        <f t="shared" si="0"/>
        <v>0</v>
      </c>
      <c r="K24" s="4" t="e">
        <f t="shared" si="1"/>
        <v>#N/A</v>
      </c>
      <c r="M24" t="str">
        <f>"Healing, "&amp;N24</f>
        <v>Healing, Camel</v>
      </c>
      <c r="N24" s="3" t="str">
        <f>'Character Sheet'!NB26</f>
        <v>Camel</v>
      </c>
      <c r="O24" s="4" t="s">
        <v>780</v>
      </c>
      <c r="P24" s="4" t="s">
        <v>781</v>
      </c>
      <c r="Q24" s="4" t="e">
        <f t="shared" si="2"/>
        <v>#N/A</v>
      </c>
      <c r="R24" s="4">
        <f>IF(ISNUMBER(SEARCH("Category",N24)),"- -",IF(ISNUMBER(SEARCH("Skills",N24)),"- -",'Level-up'!C42))</f>
        <v>0</v>
      </c>
      <c r="S24" s="4" t="e">
        <f t="shared" si="3"/>
        <v>#N/A</v>
      </c>
      <c r="T24" s="4" t="e">
        <f t="shared" si="4"/>
        <v>#N/A</v>
      </c>
      <c r="U24" s="4">
        <f t="shared" ca="1" si="9"/>
        <v>4</v>
      </c>
      <c r="V24" s="4">
        <f t="shared" ref="V24:V29" si="19">IF(ISNUMBER(SEARCH("Category",N24)),"- -",IF(ISNUMBER(SEARCH("Skills",N24)),"- -",IF(AU24&gt;0,AU24,IF($AU$22&gt;0,$AU$22,$AU$2))))</f>
        <v>0</v>
      </c>
      <c r="W24" s="4">
        <f t="shared" si="5"/>
        <v>0</v>
      </c>
      <c r="X24" s="4">
        <f t="shared" si="10"/>
        <v>0</v>
      </c>
      <c r="Y24" s="4">
        <f t="shared" si="11"/>
        <v>0</v>
      </c>
      <c r="Z24" s="4">
        <f t="shared" si="12"/>
        <v>0</v>
      </c>
      <c r="AA24" s="4">
        <f t="shared" si="13"/>
        <v>0</v>
      </c>
      <c r="AB24" s="4">
        <f t="shared" si="14"/>
        <v>0</v>
      </c>
      <c r="AC24" s="8"/>
      <c r="AD24" s="4"/>
      <c r="AE24" s="4"/>
      <c r="AF24" s="4" t="e">
        <f t="shared" si="6"/>
        <v>#N/A</v>
      </c>
      <c r="AG24" s="4"/>
      <c r="AH24" s="4">
        <f>IFERROR(VLOOKUP(M24,Calculations!$AC$2:$AD$251,2,FALSE),0)</f>
        <v>0</v>
      </c>
      <c r="AI24" s="4" t="e">
        <f>VLOOKUP(N24,$N$2:$AS$620,MATCH('Character Creation'!$Z$12,Skills!$N$1:$AS$1,0),FALSE)</f>
        <v>#N/A</v>
      </c>
      <c r="AJ24" s="4" t="e">
        <f>VLOOKUP($N24,[2]Cultures!$B$4:$M$283,MATCH(AJ$1,[2]Cultures!$B$3:$M$3,0),FALSE)</f>
        <v>#N/A</v>
      </c>
      <c r="AK24" s="4" t="e">
        <f>VLOOKUP($N24,[2]Cultures!$B$4:$M$283,MATCH(AK$1,[2]Cultures!$B$3:$M$3,0),FALSE)</f>
        <v>#N/A</v>
      </c>
      <c r="AL24" s="4" t="e">
        <f>VLOOKUP($N24,[2]Cultures!$B$4:$M$283,MATCH(AL$1,[2]Cultures!$B$3:$M$3,0),FALSE)</f>
        <v>#N/A</v>
      </c>
      <c r="AM24" s="4" t="e">
        <f>VLOOKUP($N24,[2]Cultures!$B$4:$M$283,MATCH(AM$1,[2]Cultures!$B$3:$M$3,0),FALSE)</f>
        <v>#N/A</v>
      </c>
      <c r="AN24" s="4" t="e">
        <f>VLOOKUP($N24,[2]Cultures!$B$4:$M$283,MATCH(AN$1,[2]Cultures!$B$3:$M$3,0),FALSE)</f>
        <v>#N/A</v>
      </c>
      <c r="AO24" s="4" t="e">
        <f>VLOOKUP($N24,[2]Cultures!$B$4:$M$283,MATCH(AO$1,[2]Cultures!$B$3:$M$3,0),FALSE)</f>
        <v>#N/A</v>
      </c>
      <c r="AP24" s="4" t="e">
        <f>VLOOKUP($N24,[2]Cultures!$B$4:$M$283,MATCH(AP$1,[2]Cultures!$B$3:$M$3,0),FALSE)</f>
        <v>#N/A</v>
      </c>
      <c r="AQ24" s="4" t="e">
        <f>VLOOKUP($N24,[2]Cultures!$B$4:$M$283,MATCH(AQ$1,[2]Cultures!$B$3:$M$3,0),FALSE)</f>
        <v>#N/A</v>
      </c>
      <c r="AR24" s="4" t="e">
        <f>VLOOKUP($N24,[2]Cultures!$B$4:$M$283,MATCH(AR$1,[2]Cultures!$B$3:$M$3,0),FALSE)</f>
        <v>#N/A</v>
      </c>
      <c r="AS24" s="4" t="e">
        <f>VLOOKUP($N24,[2]Cultures!$B$4:$M$283,MATCH(AS$1,[2]Cultures!$B$3:$M$3,0),FALSE)</f>
        <v>#N/A</v>
      </c>
      <c r="AT24" s="4"/>
      <c r="AU24" s="4">
        <f>IF(ISNUMBER(SEARCH(N24&amp;";",Calculations!$Q$19)),VLOOKUP(Skills!N24,Calculations!$Q$2:$T$16,4,FALSE),0)</f>
        <v>0</v>
      </c>
      <c r="AV24" s="4">
        <f>IF(ISNUMBER(SEARCH(N24&amp;";",Calculations!$Q$18)),1,0)</f>
        <v>0</v>
      </c>
      <c r="AW24" s="4">
        <f>IF($AV$2=1,1,IF($AV$22=1,1,AV24))</f>
        <v>0</v>
      </c>
      <c r="AX24" s="4">
        <f>VLOOKUP($N24,$N24:$CH24,MATCH('Character Sheet'!$BJ$3,Skills!$N$1:$CH$1,0),FALSE)</f>
        <v>0</v>
      </c>
    </row>
    <row r="25" spans="1:50" x14ac:dyDescent="0.25">
      <c r="B25" s="4" t="e">
        <f t="shared" si="7"/>
        <v>#N/A</v>
      </c>
      <c r="E25" s="4"/>
      <c r="F25" s="4">
        <f t="shared" si="8"/>
        <v>0</v>
      </c>
      <c r="G25" s="4"/>
      <c r="H25" s="4" t="e">
        <f t="shared" si="15"/>
        <v>#N/A</v>
      </c>
      <c r="I25" s="4" t="e">
        <f>IF($J$3=1,1,IF($J$23=1,1,0))</f>
        <v>#N/A</v>
      </c>
      <c r="J25" s="4">
        <f t="shared" si="0"/>
        <v>0</v>
      </c>
      <c r="K25" s="4" t="e">
        <f t="shared" si="1"/>
        <v>#N/A</v>
      </c>
      <c r="M25" t="str">
        <f>"Healing, "&amp;N25</f>
        <v>Healing, Horse</v>
      </c>
      <c r="N25" s="3" t="str">
        <f>'Character Sheet'!NB27</f>
        <v>Horse</v>
      </c>
      <c r="O25" s="4" t="s">
        <v>780</v>
      </c>
      <c r="P25" s="4" t="s">
        <v>781</v>
      </c>
      <c r="Q25" s="4" t="e">
        <f t="shared" si="2"/>
        <v>#N/A</v>
      </c>
      <c r="R25" s="4">
        <f>IF(ISNUMBER(SEARCH("Category",N25)),"- -",IF(ISNUMBER(SEARCH("Skills",N25)),"- -",'Level-up'!C43))</f>
        <v>0</v>
      </c>
      <c r="S25" s="4" t="e">
        <f t="shared" si="3"/>
        <v>#N/A</v>
      </c>
      <c r="T25" s="4" t="e">
        <f t="shared" si="4"/>
        <v>#N/A</v>
      </c>
      <c r="U25" s="4">
        <f t="shared" ca="1" si="9"/>
        <v>4</v>
      </c>
      <c r="V25" s="4">
        <f t="shared" si="19"/>
        <v>0</v>
      </c>
      <c r="W25" s="4">
        <f t="shared" si="5"/>
        <v>0</v>
      </c>
      <c r="X25" s="4">
        <f t="shared" si="10"/>
        <v>0</v>
      </c>
      <c r="Y25" s="4">
        <f t="shared" si="11"/>
        <v>0</v>
      </c>
      <c r="Z25" s="4">
        <f t="shared" si="12"/>
        <v>0</v>
      </c>
      <c r="AA25" s="4">
        <f t="shared" si="13"/>
        <v>0</v>
      </c>
      <c r="AB25" s="4">
        <f t="shared" si="14"/>
        <v>0</v>
      </c>
      <c r="AC25" s="8"/>
      <c r="AD25" s="4"/>
      <c r="AE25" s="4"/>
      <c r="AF25" s="4" t="e">
        <f t="shared" si="6"/>
        <v>#N/A</v>
      </c>
      <c r="AG25" s="4"/>
      <c r="AH25" s="4">
        <f>IFERROR(VLOOKUP(M25,Calculations!$AC$2:$AD$251,2,FALSE),0)</f>
        <v>0</v>
      </c>
      <c r="AI25" s="4" t="e">
        <f>VLOOKUP(N25,$N$2:$AS$620,MATCH('Character Creation'!$Z$12,Skills!$N$1:$AS$1,0),FALSE)</f>
        <v>#N/A</v>
      </c>
      <c r="AJ25" s="4" t="e">
        <f>VLOOKUP($N25,[2]Cultures!$B$4:$M$283,MATCH(AJ$1,[2]Cultures!$B$3:$M$3,0),FALSE)</f>
        <v>#N/A</v>
      </c>
      <c r="AK25" s="4" t="e">
        <f>VLOOKUP($N25,[2]Cultures!$B$4:$M$283,MATCH(AK$1,[2]Cultures!$B$3:$M$3,0),FALSE)</f>
        <v>#N/A</v>
      </c>
      <c r="AL25" s="4" t="e">
        <f>VLOOKUP($N25,[2]Cultures!$B$4:$M$283,MATCH(AL$1,[2]Cultures!$B$3:$M$3,0),FALSE)</f>
        <v>#N/A</v>
      </c>
      <c r="AM25" s="4" t="e">
        <f>VLOOKUP($N25,[2]Cultures!$B$4:$M$283,MATCH(AM$1,[2]Cultures!$B$3:$M$3,0),FALSE)</f>
        <v>#N/A</v>
      </c>
      <c r="AN25" s="4" t="e">
        <f>VLOOKUP($N25,[2]Cultures!$B$4:$M$283,MATCH(AN$1,[2]Cultures!$B$3:$M$3,0),FALSE)</f>
        <v>#N/A</v>
      </c>
      <c r="AO25" s="4" t="e">
        <f>VLOOKUP($N25,[2]Cultures!$B$4:$M$283,MATCH(AO$1,[2]Cultures!$B$3:$M$3,0),FALSE)</f>
        <v>#N/A</v>
      </c>
      <c r="AP25" s="4" t="e">
        <f>VLOOKUP($N25,[2]Cultures!$B$4:$M$283,MATCH(AP$1,[2]Cultures!$B$3:$M$3,0),FALSE)</f>
        <v>#N/A</v>
      </c>
      <c r="AQ25" s="4" t="e">
        <f>VLOOKUP($N25,[2]Cultures!$B$4:$M$283,MATCH(AQ$1,[2]Cultures!$B$3:$M$3,0),FALSE)</f>
        <v>#N/A</v>
      </c>
      <c r="AR25" s="4" t="e">
        <f>VLOOKUP($N25,[2]Cultures!$B$4:$M$283,MATCH(AR$1,[2]Cultures!$B$3:$M$3,0),FALSE)</f>
        <v>#N/A</v>
      </c>
      <c r="AS25" s="4" t="e">
        <f>VLOOKUP($N25,[2]Cultures!$B$4:$M$283,MATCH(AS$1,[2]Cultures!$B$3:$M$3,0),FALSE)</f>
        <v>#N/A</v>
      </c>
      <c r="AT25" s="4"/>
      <c r="AU25" s="4">
        <f>IF(ISNUMBER(SEARCH(N25&amp;";",Calculations!$Q$19)),VLOOKUP(Skills!N25,Calculations!$Q$2:$T$16,4,FALSE),0)</f>
        <v>0</v>
      </c>
      <c r="AV25" s="4">
        <f>IF(ISNUMBER(SEARCH(N25&amp;";",Calculations!$Q$18)),1,0)</f>
        <v>0</v>
      </c>
      <c r="AW25" s="4">
        <f>IF($AV$2=1,1,IF($AV$22=1,1,AV25))</f>
        <v>0</v>
      </c>
      <c r="AX25" s="4">
        <f>VLOOKUP($N25,$N25:$CH25,MATCH('Character Sheet'!$BJ$3,Skills!$N$1:$CH$1,0),FALSE)</f>
        <v>0</v>
      </c>
    </row>
    <row r="26" spans="1:50" x14ac:dyDescent="0.25">
      <c r="B26" s="4" t="e">
        <f t="shared" si="7"/>
        <v>#N/A</v>
      </c>
      <c r="E26" s="4"/>
      <c r="F26" s="4">
        <f t="shared" si="8"/>
        <v>0</v>
      </c>
      <c r="G26" s="4"/>
      <c r="H26" s="4" t="e">
        <f t="shared" si="15"/>
        <v>#N/A</v>
      </c>
      <c r="I26" s="4" t="e">
        <f>IF($J$3=1,1,IF($J$23=1,1,0))</f>
        <v>#N/A</v>
      </c>
      <c r="J26" s="4">
        <f t="shared" si="0"/>
        <v>0</v>
      </c>
      <c r="K26" s="4" t="e">
        <f t="shared" si="1"/>
        <v>#N/A</v>
      </c>
      <c r="M26" t="str">
        <f>"Healing, "&amp;N26</f>
        <v>Healing, 0</v>
      </c>
      <c r="N26" s="3">
        <f>'Character Sheet'!NB28</f>
        <v>0</v>
      </c>
      <c r="O26" s="4" t="s">
        <v>780</v>
      </c>
      <c r="P26" s="4" t="s">
        <v>781</v>
      </c>
      <c r="Q26" s="4" t="e">
        <f t="shared" si="2"/>
        <v>#N/A</v>
      </c>
      <c r="R26" s="4">
        <f>IF(ISNUMBER(SEARCH("Category",N26)),"- -",IF(ISNUMBER(SEARCH("Skills",N26)),"- -",'Level-up'!C44))</f>
        <v>0</v>
      </c>
      <c r="S26" s="4" t="e">
        <f t="shared" si="3"/>
        <v>#N/A</v>
      </c>
      <c r="T26" s="4" t="e">
        <f t="shared" si="4"/>
        <v>#N/A</v>
      </c>
      <c r="U26" s="4">
        <f t="shared" ca="1" si="9"/>
        <v>4</v>
      </c>
      <c r="V26" s="4">
        <f t="shared" si="19"/>
        <v>0</v>
      </c>
      <c r="W26" s="4">
        <f t="shared" si="5"/>
        <v>0</v>
      </c>
      <c r="X26" s="4">
        <f t="shared" si="10"/>
        <v>0</v>
      </c>
      <c r="Y26" s="4">
        <f t="shared" si="11"/>
        <v>0</v>
      </c>
      <c r="Z26" s="4">
        <f t="shared" si="12"/>
        <v>0</v>
      </c>
      <c r="AA26" s="4">
        <f t="shared" si="13"/>
        <v>0</v>
      </c>
      <c r="AB26" s="4">
        <f t="shared" si="14"/>
        <v>0</v>
      </c>
      <c r="AC26" s="8"/>
      <c r="AD26" s="4"/>
      <c r="AE26" s="4"/>
      <c r="AF26" s="4" t="e">
        <f t="shared" si="6"/>
        <v>#N/A</v>
      </c>
      <c r="AG26" s="4"/>
      <c r="AH26" s="4">
        <f>IFERROR(VLOOKUP(M26,Calculations!$AC$2:$AD$251,2,FALSE),0)</f>
        <v>0</v>
      </c>
      <c r="AI26" s="4" t="e">
        <f>VLOOKUP(N26,$N$2:$AS$620,MATCH('Character Creation'!$Z$12,Skills!$N$1:$AS$1,0),FALSE)</f>
        <v>#N/A</v>
      </c>
      <c r="AJ26" s="4" t="e">
        <f>VLOOKUP($N26,[2]Cultures!$B$4:$M$283,MATCH(AJ$1,[2]Cultures!$B$3:$M$3,0),FALSE)</f>
        <v>#N/A</v>
      </c>
      <c r="AK26" s="4" t="e">
        <f>VLOOKUP($N26,[2]Cultures!$B$4:$M$283,MATCH(AK$1,[2]Cultures!$B$3:$M$3,0),FALSE)</f>
        <v>#N/A</v>
      </c>
      <c r="AL26" s="4" t="e">
        <f>VLOOKUP($N26,[2]Cultures!$B$4:$M$283,MATCH(AL$1,[2]Cultures!$B$3:$M$3,0),FALSE)</f>
        <v>#N/A</v>
      </c>
      <c r="AM26" s="4" t="e">
        <f>VLOOKUP($N26,[2]Cultures!$B$4:$M$283,MATCH(AM$1,[2]Cultures!$B$3:$M$3,0),FALSE)</f>
        <v>#N/A</v>
      </c>
      <c r="AN26" s="4" t="e">
        <f>VLOOKUP($N26,[2]Cultures!$B$4:$M$283,MATCH(AN$1,[2]Cultures!$B$3:$M$3,0),FALSE)</f>
        <v>#N/A</v>
      </c>
      <c r="AO26" s="4" t="e">
        <f>VLOOKUP($N26,[2]Cultures!$B$4:$M$283,MATCH(AO$1,[2]Cultures!$B$3:$M$3,0),FALSE)</f>
        <v>#N/A</v>
      </c>
      <c r="AP26" s="4" t="e">
        <f>VLOOKUP($N26,[2]Cultures!$B$4:$M$283,MATCH(AP$1,[2]Cultures!$B$3:$M$3,0),FALSE)</f>
        <v>#N/A</v>
      </c>
      <c r="AQ26" s="4" t="e">
        <f>VLOOKUP($N26,[2]Cultures!$B$4:$M$283,MATCH(AQ$1,[2]Cultures!$B$3:$M$3,0),FALSE)</f>
        <v>#N/A</v>
      </c>
      <c r="AR26" s="4" t="e">
        <f>VLOOKUP($N26,[2]Cultures!$B$4:$M$283,MATCH(AR$1,[2]Cultures!$B$3:$M$3,0),FALSE)</f>
        <v>#N/A</v>
      </c>
      <c r="AS26" s="4" t="e">
        <f>VLOOKUP($N26,[2]Cultures!$B$4:$M$283,MATCH(AS$1,[2]Cultures!$B$3:$M$3,0),FALSE)</f>
        <v>#N/A</v>
      </c>
      <c r="AT26" s="4"/>
      <c r="AU26" s="4">
        <f>IF(ISNUMBER(SEARCH(N26&amp;";",Calculations!$Q$19)),VLOOKUP(Skills!N26,Calculations!$Q$2:$T$16,4,FALSE),0)</f>
        <v>0</v>
      </c>
      <c r="AV26" s="4">
        <f>IF(ISNUMBER(SEARCH(N26&amp;";",Calculations!$Q$18)),1,0)</f>
        <v>0</v>
      </c>
      <c r="AW26" s="4">
        <f>IF($AV$2=1,1,IF($AV$22=1,1,AV26))</f>
        <v>0</v>
      </c>
      <c r="AX26" s="4">
        <f>VLOOKUP($N26,$N26:$CH26,MATCH('Character Sheet'!$BJ$3,Skills!$N$1:$CH$1,0),FALSE)</f>
        <v>0</v>
      </c>
    </row>
    <row r="27" spans="1:50" x14ac:dyDescent="0.25">
      <c r="B27" s="4" t="e">
        <f t="shared" si="7"/>
        <v>#N/A</v>
      </c>
      <c r="E27" s="4"/>
      <c r="F27" s="4">
        <f t="shared" si="8"/>
        <v>0</v>
      </c>
      <c r="G27" s="4"/>
      <c r="H27" s="4" t="e">
        <f t="shared" si="15"/>
        <v>#N/A</v>
      </c>
      <c r="I27" s="4" t="e">
        <f>IF($J$3=1,1,IF($J$23=1,1,0))</f>
        <v>#N/A</v>
      </c>
      <c r="J27" s="4">
        <f t="shared" si="0"/>
        <v>0</v>
      </c>
      <c r="K27" s="4" t="e">
        <f t="shared" si="1"/>
        <v>#N/A</v>
      </c>
      <c r="M27" t="str">
        <f>"Healing, "&amp;N27</f>
        <v>Healing, 0</v>
      </c>
      <c r="N27" s="3">
        <f>'Character Sheet'!NB29</f>
        <v>0</v>
      </c>
      <c r="O27" s="4" t="s">
        <v>780</v>
      </c>
      <c r="P27" s="4" t="s">
        <v>781</v>
      </c>
      <c r="Q27" s="4" t="e">
        <f t="shared" si="2"/>
        <v>#N/A</v>
      </c>
      <c r="R27" s="4">
        <f>IF(ISNUMBER(SEARCH("Category",N27)),"- -",IF(ISNUMBER(SEARCH("Skills",N27)),"- -",'Level-up'!C45))</f>
        <v>0</v>
      </c>
      <c r="S27" s="4" t="e">
        <f t="shared" si="3"/>
        <v>#N/A</v>
      </c>
      <c r="T27" s="4" t="e">
        <f t="shared" si="4"/>
        <v>#N/A</v>
      </c>
      <c r="U27" s="4">
        <f t="shared" ca="1" si="9"/>
        <v>4</v>
      </c>
      <c r="V27" s="4">
        <f t="shared" si="19"/>
        <v>0</v>
      </c>
      <c r="W27" s="4">
        <f t="shared" si="5"/>
        <v>0</v>
      </c>
      <c r="X27" s="4">
        <f t="shared" si="10"/>
        <v>0</v>
      </c>
      <c r="Y27" s="4">
        <f t="shared" si="11"/>
        <v>0</v>
      </c>
      <c r="Z27" s="4">
        <f t="shared" si="12"/>
        <v>0</v>
      </c>
      <c r="AA27" s="4">
        <f t="shared" si="13"/>
        <v>0</v>
      </c>
      <c r="AB27" s="4">
        <f t="shared" si="14"/>
        <v>0</v>
      </c>
      <c r="AC27" s="8"/>
      <c r="AD27" s="4"/>
      <c r="AE27" s="4"/>
      <c r="AF27" s="4" t="e">
        <f t="shared" si="6"/>
        <v>#N/A</v>
      </c>
      <c r="AG27" s="4"/>
      <c r="AH27" s="4">
        <f>IFERROR(VLOOKUP(M27,Calculations!$AC$2:$AD$251,2,FALSE),0)</f>
        <v>0</v>
      </c>
      <c r="AI27" s="4" t="e">
        <f>VLOOKUP(N27,$N$2:$AS$620,MATCH('Character Creation'!$Z$12,Skills!$N$1:$AS$1,0),FALSE)</f>
        <v>#N/A</v>
      </c>
      <c r="AJ27" s="4" t="e">
        <f>VLOOKUP($N27,[2]Cultures!$B$4:$M$283,MATCH(AJ$1,[2]Cultures!$B$3:$M$3,0),FALSE)</f>
        <v>#N/A</v>
      </c>
      <c r="AK27" s="4" t="e">
        <f>VLOOKUP($N27,[2]Cultures!$B$4:$M$283,MATCH(AK$1,[2]Cultures!$B$3:$M$3,0),FALSE)</f>
        <v>#N/A</v>
      </c>
      <c r="AL27" s="4" t="e">
        <f>VLOOKUP($N27,[2]Cultures!$B$4:$M$283,MATCH(AL$1,[2]Cultures!$B$3:$M$3,0),FALSE)</f>
        <v>#N/A</v>
      </c>
      <c r="AM27" s="4" t="e">
        <f>VLOOKUP($N27,[2]Cultures!$B$4:$M$283,MATCH(AM$1,[2]Cultures!$B$3:$M$3,0),FALSE)</f>
        <v>#N/A</v>
      </c>
      <c r="AN27" s="4" t="e">
        <f>VLOOKUP($N27,[2]Cultures!$B$4:$M$283,MATCH(AN$1,[2]Cultures!$B$3:$M$3,0),FALSE)</f>
        <v>#N/A</v>
      </c>
      <c r="AO27" s="4" t="e">
        <f>VLOOKUP($N27,[2]Cultures!$B$4:$M$283,MATCH(AO$1,[2]Cultures!$B$3:$M$3,0),FALSE)</f>
        <v>#N/A</v>
      </c>
      <c r="AP27" s="4" t="e">
        <f>VLOOKUP($N27,[2]Cultures!$B$4:$M$283,MATCH(AP$1,[2]Cultures!$B$3:$M$3,0),FALSE)</f>
        <v>#N/A</v>
      </c>
      <c r="AQ27" s="4" t="e">
        <f>VLOOKUP($N27,[2]Cultures!$B$4:$M$283,MATCH(AQ$1,[2]Cultures!$B$3:$M$3,0),FALSE)</f>
        <v>#N/A</v>
      </c>
      <c r="AR27" s="4" t="e">
        <f>VLOOKUP($N27,[2]Cultures!$B$4:$M$283,MATCH(AR$1,[2]Cultures!$B$3:$M$3,0),FALSE)</f>
        <v>#N/A</v>
      </c>
      <c r="AS27" s="4" t="e">
        <f>VLOOKUP($N27,[2]Cultures!$B$4:$M$283,MATCH(AS$1,[2]Cultures!$B$3:$M$3,0),FALSE)</f>
        <v>#N/A</v>
      </c>
      <c r="AT27" s="4"/>
      <c r="AU27" s="4">
        <f>IF(ISNUMBER(SEARCH(N27&amp;";",Calculations!$Q$19)),VLOOKUP(Skills!N27,Calculations!$Q$2:$T$16,4,FALSE),0)</f>
        <v>0</v>
      </c>
      <c r="AV27" s="4">
        <f>IF(ISNUMBER(SEARCH(N27&amp;";",Calculations!$Q$18)),1,0)</f>
        <v>0</v>
      </c>
      <c r="AW27" s="4">
        <f>IF($AV$2=1,1,IF($AV$22=1,1,AV27))</f>
        <v>0</v>
      </c>
      <c r="AX27" s="4">
        <f>VLOOKUP($N27,$N27:$CH27,MATCH('Character Sheet'!$BJ$3,Skills!$N$1:$CH$1,0),FALSE)</f>
        <v>0</v>
      </c>
    </row>
    <row r="28" spans="1:50" x14ac:dyDescent="0.25">
      <c r="B28" s="4" t="e">
        <f t="shared" si="7"/>
        <v>#N/A</v>
      </c>
      <c r="E28" s="4"/>
      <c r="F28" s="4">
        <f t="shared" si="8"/>
        <v>0</v>
      </c>
      <c r="G28" s="4"/>
      <c r="H28" s="4" t="e">
        <f t="shared" si="15"/>
        <v>#N/A</v>
      </c>
      <c r="I28" s="4" t="e">
        <f>IF($J$29=1,1,0)</f>
        <v>#N/A</v>
      </c>
      <c r="J28" s="4">
        <f t="shared" si="0"/>
        <v>0</v>
      </c>
      <c r="K28" s="4" t="e">
        <f t="shared" si="1"/>
        <v>#N/A</v>
      </c>
      <c r="N28" s="3" t="s">
        <v>610</v>
      </c>
      <c r="O28" s="6" t="s">
        <v>782</v>
      </c>
      <c r="P28" s="6" t="s">
        <v>782</v>
      </c>
      <c r="Q28" s="4" t="str">
        <f t="shared" si="2"/>
        <v>- -</v>
      </c>
      <c r="R28" s="4" t="str">
        <f>IF(ISNUMBER(SEARCH("Category",N28)),"- -",IF(ISNUMBER(SEARCH("Skills",N28)),"- -",'Level-up'!C46))</f>
        <v>- -</v>
      </c>
      <c r="S28" s="4" t="str">
        <f t="shared" si="3"/>
        <v>- -</v>
      </c>
      <c r="T28" s="4" t="str">
        <f t="shared" si="4"/>
        <v>- -</v>
      </c>
      <c r="U28" s="4" t="str">
        <f t="shared" ca="1" si="9"/>
        <v>- -</v>
      </c>
      <c r="V28" s="4" t="str">
        <f t="shared" si="19"/>
        <v>- -</v>
      </c>
      <c r="W28" s="4" t="str">
        <f t="shared" si="5"/>
        <v>- -</v>
      </c>
      <c r="X28" s="4" t="str">
        <f t="shared" si="10"/>
        <v>- -</v>
      </c>
      <c r="Y28" s="4" t="str">
        <f t="shared" si="11"/>
        <v>- -</v>
      </c>
      <c r="Z28" s="4" t="str">
        <f t="shared" si="12"/>
        <v>- -</v>
      </c>
      <c r="AA28" s="4" t="str">
        <f t="shared" si="13"/>
        <v>- -</v>
      </c>
      <c r="AB28" s="4" t="str">
        <f t="shared" si="14"/>
        <v>- -</v>
      </c>
      <c r="AC28" s="8"/>
      <c r="AD28" s="4"/>
      <c r="AE28" s="4"/>
      <c r="AF28" s="4" t="str">
        <f t="shared" si="6"/>
        <v>- -</v>
      </c>
      <c r="AG28" s="4"/>
      <c r="AH28" s="4">
        <f>IFERROR(VLOOKUP(M28,Calculations!$AC$2:$AD$251,2,FALSE),0)</f>
        <v>0</v>
      </c>
      <c r="AI28" s="4" t="e">
        <f>VLOOKUP(N28,$N$2:$AS$620,MATCH('Character Creation'!$Z$12,Skills!$N$1:$AS$1,0),FALSE)</f>
        <v>#N/A</v>
      </c>
      <c r="AJ28" s="4" t="e">
        <f>VLOOKUP($N28,[2]Cultures!$B$4:$M$283,MATCH(AJ$1,[2]Cultures!$B$3:$M$3,0),FALSE)</f>
        <v>#N/A</v>
      </c>
      <c r="AK28" s="4" t="e">
        <f>VLOOKUP($N28,[2]Cultures!$B$4:$M$283,MATCH(AK$1,[2]Cultures!$B$3:$M$3,0),FALSE)</f>
        <v>#N/A</v>
      </c>
      <c r="AL28" s="4" t="e">
        <f>VLOOKUP($N28,[2]Cultures!$B$4:$M$283,MATCH(AL$1,[2]Cultures!$B$3:$M$3,0),FALSE)</f>
        <v>#N/A</v>
      </c>
      <c r="AM28" s="4" t="e">
        <f>VLOOKUP($N28,[2]Cultures!$B$4:$M$283,MATCH(AM$1,[2]Cultures!$B$3:$M$3,0),FALSE)</f>
        <v>#N/A</v>
      </c>
      <c r="AN28" s="4" t="e">
        <f>VLOOKUP($N28,[2]Cultures!$B$4:$M$283,MATCH(AN$1,[2]Cultures!$B$3:$M$3,0),FALSE)</f>
        <v>#N/A</v>
      </c>
      <c r="AO28" s="4" t="e">
        <f>VLOOKUP($N28,[2]Cultures!$B$4:$M$283,MATCH(AO$1,[2]Cultures!$B$3:$M$3,0),FALSE)</f>
        <v>#N/A</v>
      </c>
      <c r="AP28" s="4" t="e">
        <f>VLOOKUP($N28,[2]Cultures!$B$4:$M$283,MATCH(AP$1,[2]Cultures!$B$3:$M$3,0),FALSE)</f>
        <v>#N/A</v>
      </c>
      <c r="AQ28" s="4" t="e">
        <f>VLOOKUP($N28,[2]Cultures!$B$4:$M$283,MATCH(AQ$1,[2]Cultures!$B$3:$M$3,0),FALSE)</f>
        <v>#N/A</v>
      </c>
      <c r="AR28" s="4" t="e">
        <f>VLOOKUP($N28,[2]Cultures!$B$4:$M$283,MATCH(AR$1,[2]Cultures!$B$3:$M$3,0),FALSE)</f>
        <v>#N/A</v>
      </c>
      <c r="AS28" s="4" t="e">
        <f>VLOOKUP($N28,[2]Cultures!$B$4:$M$283,MATCH(AS$1,[2]Cultures!$B$3:$M$3,0),FALSE)</f>
        <v>#N/A</v>
      </c>
      <c r="AT28" s="4"/>
      <c r="AU28" s="4">
        <f>IF(ISNUMBER(SEARCH(N28&amp;";",Calculations!$Q$19)),VLOOKUP(Skills!N28,Calculations!$Q$2:$T$16,4,FALSE),0)</f>
        <v>0</v>
      </c>
      <c r="AV28" s="4">
        <f>IF(ISNUMBER(SEARCH(N28&amp;";",Calculations!$Q$18)),1,0)</f>
        <v>0</v>
      </c>
      <c r="AW28" s="4"/>
      <c r="AX28" s="4">
        <f>VLOOKUP($N28,$N28:$CH28,MATCH('Character Sheet'!$BJ$3,Skills!$N$1:$CH$1,0),FALSE)</f>
        <v>0</v>
      </c>
    </row>
    <row r="29" spans="1:50" x14ac:dyDescent="0.25">
      <c r="B29" s="4" t="e">
        <f t="shared" si="7"/>
        <v>#N/A</v>
      </c>
      <c r="E29" s="4"/>
      <c r="F29" s="4">
        <f t="shared" si="8"/>
        <v>0</v>
      </c>
      <c r="G29" s="4"/>
      <c r="H29" s="4" t="e">
        <f t="shared" si="15"/>
        <v>#N/A</v>
      </c>
      <c r="I29" s="4">
        <v>0</v>
      </c>
      <c r="J29" s="4" t="e">
        <f t="shared" si="0"/>
        <v>#N/A</v>
      </c>
      <c r="K29" s="4" t="e">
        <f t="shared" si="1"/>
        <v>#N/A</v>
      </c>
      <c r="N29" s="3" t="s">
        <v>611</v>
      </c>
      <c r="O29" s="6" t="s">
        <v>782</v>
      </c>
      <c r="P29" s="6" t="s">
        <v>782</v>
      </c>
      <c r="Q29" s="4" t="str">
        <f t="shared" si="2"/>
        <v>- -</v>
      </c>
      <c r="R29" s="4" t="str">
        <f>IF(ISNUMBER(SEARCH("Category",N29)),"- -",IF(ISNUMBER(SEARCH("Skills",N29)),"- -",'Level-up'!C47))</f>
        <v>- -</v>
      </c>
      <c r="S29" s="4" t="str">
        <f t="shared" si="3"/>
        <v>- -</v>
      </c>
      <c r="T29" s="4" t="str">
        <f t="shared" si="4"/>
        <v>- -</v>
      </c>
      <c r="U29" s="4" t="str">
        <f t="shared" ca="1" si="9"/>
        <v>- -</v>
      </c>
      <c r="V29" s="4" t="str">
        <f t="shared" si="19"/>
        <v>- -</v>
      </c>
      <c r="W29" s="4" t="str">
        <f t="shared" si="5"/>
        <v>- -</v>
      </c>
      <c r="X29" s="4" t="str">
        <f t="shared" si="10"/>
        <v>- -</v>
      </c>
      <c r="Y29" s="4" t="str">
        <f t="shared" si="11"/>
        <v>- -</v>
      </c>
      <c r="Z29" s="4" t="str">
        <f t="shared" si="12"/>
        <v>- -</v>
      </c>
      <c r="AA29" s="4" t="str">
        <f t="shared" si="13"/>
        <v>- -</v>
      </c>
      <c r="AB29" s="4" t="str">
        <f t="shared" si="14"/>
        <v>- -</v>
      </c>
      <c r="AC29" s="8"/>
      <c r="AD29" s="4"/>
      <c r="AE29" s="4"/>
      <c r="AF29" s="4" t="str">
        <f t="shared" si="6"/>
        <v>- -</v>
      </c>
      <c r="AG29" s="4"/>
      <c r="AH29" s="4">
        <f>IFERROR(VLOOKUP(M29,Calculations!$AC$2:$AD$251,2,FALSE),0)</f>
        <v>0</v>
      </c>
      <c r="AI29" s="4" t="e">
        <f>VLOOKUP(N29,$N$2:$AS$620,MATCH('Character Creation'!$Z$12,Skills!$N$1:$AS$1,0),FALSE)</f>
        <v>#N/A</v>
      </c>
      <c r="AJ29" s="4" t="e">
        <f>VLOOKUP($N29,[2]Cultures!$B$4:$M$283,MATCH(AJ$1,[2]Cultures!$B$3:$M$3,0),FALSE)</f>
        <v>#N/A</v>
      </c>
      <c r="AK29" s="4" t="e">
        <f>VLOOKUP($N29,[2]Cultures!$B$4:$M$283,MATCH(AK$1,[2]Cultures!$B$3:$M$3,0),FALSE)</f>
        <v>#N/A</v>
      </c>
      <c r="AL29" s="4" t="e">
        <f>VLOOKUP($N29,[2]Cultures!$B$4:$M$283,MATCH(AL$1,[2]Cultures!$B$3:$M$3,0),FALSE)</f>
        <v>#N/A</v>
      </c>
      <c r="AM29" s="4" t="e">
        <f>VLOOKUP($N29,[2]Cultures!$B$4:$M$283,MATCH(AM$1,[2]Cultures!$B$3:$M$3,0),FALSE)</f>
        <v>#N/A</v>
      </c>
      <c r="AN29" s="4" t="e">
        <f>VLOOKUP($N29,[2]Cultures!$B$4:$M$283,MATCH(AN$1,[2]Cultures!$B$3:$M$3,0),FALSE)</f>
        <v>#N/A</v>
      </c>
      <c r="AO29" s="4" t="e">
        <f>VLOOKUP($N29,[2]Cultures!$B$4:$M$283,MATCH(AO$1,[2]Cultures!$B$3:$M$3,0),FALSE)</f>
        <v>#N/A</v>
      </c>
      <c r="AP29" s="4" t="e">
        <f>VLOOKUP($N29,[2]Cultures!$B$4:$M$283,MATCH(AP$1,[2]Cultures!$B$3:$M$3,0),FALSE)</f>
        <v>#N/A</v>
      </c>
      <c r="AQ29" s="4" t="e">
        <f>VLOOKUP($N29,[2]Cultures!$B$4:$M$283,MATCH(AQ$1,[2]Cultures!$B$3:$M$3,0),FALSE)</f>
        <v>#N/A</v>
      </c>
      <c r="AR29" s="4" t="e">
        <f>VLOOKUP($N29,[2]Cultures!$B$4:$M$283,MATCH(AR$1,[2]Cultures!$B$3:$M$3,0),FALSE)</f>
        <v>#N/A</v>
      </c>
      <c r="AS29" s="4" t="e">
        <f>VLOOKUP($N29,[2]Cultures!$B$4:$M$283,MATCH(AS$1,[2]Cultures!$B$3:$M$3,0),FALSE)</f>
        <v>#N/A</v>
      </c>
      <c r="AT29" s="4"/>
      <c r="AU29" s="4">
        <f>IF(ISNUMBER(SEARCH(N29&amp;";",Calculations!$Q$19)),VLOOKUP(Skills!N29,Calculations!$Q$2:$T$16,4,FALSE),0)</f>
        <v>0</v>
      </c>
      <c r="AV29" s="4">
        <f>IF(ISNUMBER(SEARCH(N29&amp;";",Calculations!$Q$18)),1,0)</f>
        <v>0</v>
      </c>
      <c r="AW29" s="4"/>
      <c r="AX29" s="4">
        <f>VLOOKUP($N29,$N29:$CH29,MATCH('Character Sheet'!$BJ$3,Skills!$N$1:$CH$1,0),FALSE)</f>
        <v>0</v>
      </c>
    </row>
    <row r="30" spans="1:50" x14ac:dyDescent="0.25">
      <c r="A30" s="4" t="s">
        <v>2240</v>
      </c>
      <c r="B30" s="4" t="e">
        <f>IF(A30="Y",B29+1,IF(A30="N",B29,IF(S30="- -",B29,IF(S30&gt;0,B29+1,B29))))</f>
        <v>#N/A</v>
      </c>
      <c r="E30" s="4"/>
      <c r="F30" s="4">
        <f t="shared" si="8"/>
        <v>0</v>
      </c>
      <c r="G30" s="4"/>
      <c r="H30" s="4" t="e">
        <f t="shared" si="15"/>
        <v>#N/A</v>
      </c>
      <c r="I30" s="4" t="e">
        <f t="shared" ref="I30:I36" si="20">IF($J$29=1,1,0)</f>
        <v>#N/A</v>
      </c>
      <c r="J30" s="4">
        <f t="shared" si="0"/>
        <v>0</v>
      </c>
      <c r="K30" s="4">
        <f t="shared" si="1"/>
        <v>2</v>
      </c>
      <c r="M30" t="str">
        <f>N30</f>
        <v>Perception</v>
      </c>
      <c r="N30" s="3" t="s">
        <v>77</v>
      </c>
      <c r="O30" s="4" t="s">
        <v>783</v>
      </c>
      <c r="P30" s="4" t="s">
        <v>784</v>
      </c>
      <c r="Q30" s="4">
        <f t="shared" si="2"/>
        <v>2</v>
      </c>
      <c r="R30" s="4">
        <f>IF(ISNUMBER(SEARCH("Category",N30)),"- -",IF(ISNUMBER(SEARCH("Skills",N30)),"- -",'Level-up'!C48))</f>
        <v>0</v>
      </c>
      <c r="S30" s="4">
        <f t="shared" si="3"/>
        <v>2</v>
      </c>
      <c r="T30" s="4">
        <f t="shared" si="4"/>
        <v>10</v>
      </c>
      <c r="U30" s="4">
        <f t="shared" ca="1" si="9"/>
        <v>3</v>
      </c>
      <c r="V30" s="4">
        <f t="shared" ref="V30:V38" si="21">IF(ISNUMBER(SEARCH("Category",N30)),"- -",IF(ISNUMBER(SEARCH("Skills",N30)),"- -",IF(AU30&gt;0,AU30,$AU$28)))</f>
        <v>0</v>
      </c>
      <c r="W30" s="4">
        <f t="shared" si="5"/>
        <v>2</v>
      </c>
      <c r="X30" s="4">
        <f t="shared" si="10"/>
        <v>0</v>
      </c>
      <c r="Y30" s="4">
        <f t="shared" si="11"/>
        <v>0</v>
      </c>
      <c r="Z30" s="4">
        <f t="shared" si="12"/>
        <v>0</v>
      </c>
      <c r="AA30" s="4">
        <f t="shared" si="13"/>
        <v>0</v>
      </c>
      <c r="AB30" s="4">
        <f t="shared" si="14"/>
        <v>0</v>
      </c>
      <c r="AC30" s="8"/>
      <c r="AD30" s="4"/>
      <c r="AE30" s="4"/>
      <c r="AF30" s="4" t="str">
        <f t="shared" ca="1" si="6"/>
        <v>15</v>
      </c>
      <c r="AG30" s="4"/>
      <c r="AH30" s="4">
        <f>IFERROR(VLOOKUP(M30,Calculations!$AC$2:$AD$251,2,FALSE),0)</f>
        <v>0</v>
      </c>
      <c r="AI30" s="4">
        <f>VLOOKUP(N30,$N$2:$AS$620,MATCH('Character Creation'!$Z$12,Skills!$N$1:$AS$1,0),FALSE)</f>
        <v>2</v>
      </c>
      <c r="AJ30" s="4">
        <f>VLOOKUP($N30,[2]Cultures!$B$4:$M$283,MATCH(AJ$1,[2]Cultures!$B$3:$M$3,0),FALSE)</f>
        <v>2</v>
      </c>
      <c r="AK30" s="4">
        <f>VLOOKUP($N30,[2]Cultures!$B$4:$M$283,MATCH(AK$1,[2]Cultures!$B$3:$M$3,0),FALSE)</f>
        <v>2</v>
      </c>
      <c r="AL30" s="4">
        <f>VLOOKUP($N30,[2]Cultures!$B$4:$M$283,MATCH(AL$1,[2]Cultures!$B$3:$M$3,0),FALSE)</f>
        <v>1</v>
      </c>
      <c r="AM30" s="4">
        <f>VLOOKUP($N30,[2]Cultures!$B$4:$M$283,MATCH(AM$1,[2]Cultures!$B$3:$M$3,0),FALSE)</f>
        <v>2</v>
      </c>
      <c r="AN30" s="4">
        <f>VLOOKUP($N30,[2]Cultures!$B$4:$M$283,MATCH(AN$1,[2]Cultures!$B$3:$M$3,0),FALSE)</f>
        <v>1</v>
      </c>
      <c r="AO30" s="4">
        <f>VLOOKUP($N30,[2]Cultures!$B$4:$M$283,MATCH(AO$1,[2]Cultures!$B$3:$M$3,0),FALSE)</f>
        <v>1</v>
      </c>
      <c r="AP30" s="4">
        <f>VLOOKUP($N30,[2]Cultures!$B$4:$M$283,MATCH(AP$1,[2]Cultures!$B$3:$M$3,0),FALSE)</f>
        <v>1</v>
      </c>
      <c r="AQ30" s="4">
        <f>VLOOKUP($N30,[2]Cultures!$B$4:$M$283,MATCH(AQ$1,[2]Cultures!$B$3:$M$3,0),FALSE)</f>
        <v>1</v>
      </c>
      <c r="AR30" s="4">
        <f>VLOOKUP($N30,[2]Cultures!$B$4:$M$283,MATCH(AR$1,[2]Cultures!$B$3:$M$3,0),FALSE)</f>
        <v>2</v>
      </c>
      <c r="AS30" s="4">
        <f>VLOOKUP($N30,[2]Cultures!$B$4:$M$283,MATCH(AS$1,[2]Cultures!$B$3:$M$3,0),FALSE)</f>
        <v>2</v>
      </c>
      <c r="AT30" s="4"/>
      <c r="AU30" s="4">
        <f>IF(ISNUMBER(SEARCH(N30&amp;";",Calculations!$Q$19)),VLOOKUP(Skills!N30,Calculations!$Q$2:$T$16,4,FALSE),0)</f>
        <v>0</v>
      </c>
      <c r="AV30" s="4">
        <f>IF(ISNUMBER(SEARCH(N30&amp;";",Calculations!$Q$18)),1,0)</f>
        <v>1</v>
      </c>
      <c r="AW30" s="4">
        <f t="shared" ref="AW30:AW36" si="22">IF($AV$28=1,1,AV30)</f>
        <v>1</v>
      </c>
      <c r="AX30" s="4">
        <f>VLOOKUP($N30,$N30:$CH30,MATCH('Character Sheet'!$BJ$3,Skills!$N$1:$CH$1,0),FALSE)</f>
        <v>0</v>
      </c>
    </row>
    <row r="31" spans="1:50" x14ac:dyDescent="0.25">
      <c r="A31" s="4" t="str">
        <f ca="1">IF(AF31=$AF$30,"N","")</f>
        <v/>
      </c>
      <c r="B31" s="4" t="e">
        <f t="shared" ref="B31:B94" ca="1" si="23">IF(A31="Y",B30+1,IF(A31="N",B30,IF(S31="- -",B30,IF(S31&gt;0,B30+1,B30))))</f>
        <v>#N/A</v>
      </c>
      <c r="E31" s="4"/>
      <c r="F31" s="4">
        <f t="shared" si="8"/>
        <v>0</v>
      </c>
      <c r="G31" s="4"/>
      <c r="H31" s="4" t="e">
        <f t="shared" si="15"/>
        <v>#N/A</v>
      </c>
      <c r="I31" s="4" t="e">
        <f t="shared" si="20"/>
        <v>#N/A</v>
      </c>
      <c r="J31" s="4">
        <f t="shared" si="0"/>
        <v>0</v>
      </c>
      <c r="K31" s="4" t="e">
        <f t="shared" si="1"/>
        <v>#N/A</v>
      </c>
      <c r="M31" t="str">
        <f>"Perception, "&amp;N31</f>
        <v>Perception, Sight</v>
      </c>
      <c r="N31" s="3" t="s">
        <v>612</v>
      </c>
      <c r="O31" s="4" t="s">
        <v>783</v>
      </c>
      <c r="P31" s="4" t="s">
        <v>784</v>
      </c>
      <c r="Q31" s="4">
        <f t="shared" ref="Q31:R35" si="24">Q30</f>
        <v>2</v>
      </c>
      <c r="R31" s="4">
        <f t="shared" si="24"/>
        <v>0</v>
      </c>
      <c r="S31" s="4">
        <f t="shared" si="3"/>
        <v>2</v>
      </c>
      <c r="T31" s="4">
        <f t="shared" si="4"/>
        <v>10</v>
      </c>
      <c r="U31" s="4">
        <f t="shared" ca="1" si="9"/>
        <v>3</v>
      </c>
      <c r="V31" s="4">
        <f t="shared" si="21"/>
        <v>0</v>
      </c>
      <c r="W31" s="4">
        <f>W30</f>
        <v>2</v>
      </c>
      <c r="X31" s="4">
        <f t="shared" si="10"/>
        <v>0</v>
      </c>
      <c r="Y31" s="4">
        <f t="shared" si="11"/>
        <v>0</v>
      </c>
      <c r="Z31" s="4">
        <f t="shared" si="12"/>
        <v>0</v>
      </c>
      <c r="AA31" s="4">
        <f t="shared" si="13"/>
        <v>0</v>
      </c>
      <c r="AB31" s="4">
        <f>IF(ISNUMBER(SEARCH("Category",N31)),"- -",IF(ISNUMBER(SEARCH("Skills",N31)),"- -",SUM('Character Sheet'!$DQ$49:$DX$69)))</f>
        <v>-2</v>
      </c>
      <c r="AC31" s="8"/>
      <c r="AD31" s="4"/>
      <c r="AE31" s="4"/>
      <c r="AF31" s="4" t="str">
        <f t="shared" ca="1" si="6"/>
        <v>13</v>
      </c>
      <c r="AG31" s="4"/>
      <c r="AH31" s="4">
        <f>IFERROR(VLOOKUP(M31,Calculations!$AC$2:$AD$251,2,FALSE),0)</f>
        <v>0</v>
      </c>
      <c r="AI31" s="4" t="e">
        <f>VLOOKUP(N31,$N$2:$AS$620,MATCH('Character Creation'!$Z$12,Skills!$N$1:$AS$1,0),FALSE)</f>
        <v>#N/A</v>
      </c>
      <c r="AJ31" s="4" t="e">
        <f>VLOOKUP($N31,[2]Cultures!$B$4:$M$283,MATCH(AJ$1,[2]Cultures!$B$3:$M$3,0),FALSE)</f>
        <v>#N/A</v>
      </c>
      <c r="AK31" s="4" t="e">
        <f>VLOOKUP($N31,[2]Cultures!$B$4:$M$283,MATCH(AK$1,[2]Cultures!$B$3:$M$3,0),FALSE)</f>
        <v>#N/A</v>
      </c>
      <c r="AL31" s="4" t="e">
        <f>VLOOKUP($N31,[2]Cultures!$B$4:$M$283,MATCH(AL$1,[2]Cultures!$B$3:$M$3,0),FALSE)</f>
        <v>#N/A</v>
      </c>
      <c r="AM31" s="4" t="e">
        <f>VLOOKUP($N31,[2]Cultures!$B$4:$M$283,MATCH(AM$1,[2]Cultures!$B$3:$M$3,0),FALSE)</f>
        <v>#N/A</v>
      </c>
      <c r="AN31" s="4" t="e">
        <f>VLOOKUP($N31,[2]Cultures!$B$4:$M$283,MATCH(AN$1,[2]Cultures!$B$3:$M$3,0),FALSE)</f>
        <v>#N/A</v>
      </c>
      <c r="AO31" s="4" t="e">
        <f>VLOOKUP($N31,[2]Cultures!$B$4:$M$283,MATCH(AO$1,[2]Cultures!$B$3:$M$3,0),FALSE)</f>
        <v>#N/A</v>
      </c>
      <c r="AP31" s="4" t="e">
        <f>VLOOKUP($N31,[2]Cultures!$B$4:$M$283,MATCH(AP$1,[2]Cultures!$B$3:$M$3,0),FALSE)</f>
        <v>#N/A</v>
      </c>
      <c r="AQ31" s="4" t="e">
        <f>VLOOKUP($N31,[2]Cultures!$B$4:$M$283,MATCH(AQ$1,[2]Cultures!$B$3:$M$3,0),FALSE)</f>
        <v>#N/A</v>
      </c>
      <c r="AR31" s="4" t="e">
        <f>VLOOKUP($N31,[2]Cultures!$B$4:$M$283,MATCH(AR$1,[2]Cultures!$B$3:$M$3,0),FALSE)</f>
        <v>#N/A</v>
      </c>
      <c r="AS31" s="4" t="e">
        <f>VLOOKUP($N31,[2]Cultures!$B$4:$M$283,MATCH(AS$1,[2]Cultures!$B$3:$M$3,0),FALSE)</f>
        <v>#N/A</v>
      </c>
      <c r="AT31" s="4"/>
      <c r="AU31" s="4">
        <f>IF(ISNUMBER(SEARCH(N31&amp;";",Calculations!$Q$19)),VLOOKUP(Skills!N31,Calculations!$Q$2:$T$16,4,FALSE),0)</f>
        <v>0</v>
      </c>
      <c r="AV31" s="4">
        <f>IF(ISNUMBER(SEARCH(N31&amp;";",Calculations!$Q$18)),1,0)</f>
        <v>0</v>
      </c>
      <c r="AW31" s="4">
        <f t="shared" si="22"/>
        <v>0</v>
      </c>
      <c r="AX31" s="4">
        <f>VLOOKUP($N31,$N31:$CH31,MATCH('Character Sheet'!$BJ$3,Skills!$N$1:$CH$1,0),FALSE)</f>
        <v>0</v>
      </c>
    </row>
    <row r="32" spans="1:50" x14ac:dyDescent="0.25">
      <c r="A32" s="4" t="str">
        <f ca="1">IF(AF32=$AF$30,"N","")</f>
        <v>N</v>
      </c>
      <c r="B32" s="4" t="e">
        <f t="shared" ca="1" si="23"/>
        <v>#N/A</v>
      </c>
      <c r="E32" s="4"/>
      <c r="F32" s="4">
        <f t="shared" si="8"/>
        <v>0</v>
      </c>
      <c r="G32" s="4"/>
      <c r="H32" s="4" t="e">
        <f t="shared" si="15"/>
        <v>#N/A</v>
      </c>
      <c r="I32" s="4" t="e">
        <f t="shared" si="20"/>
        <v>#N/A</v>
      </c>
      <c r="J32" s="4">
        <f t="shared" si="0"/>
        <v>0</v>
      </c>
      <c r="K32" s="4" t="e">
        <f t="shared" si="1"/>
        <v>#N/A</v>
      </c>
      <c r="M32" t="str">
        <f>"Perception, "&amp;N32</f>
        <v>Perception, Hearing</v>
      </c>
      <c r="N32" s="3" t="s">
        <v>613</v>
      </c>
      <c r="O32" s="4" t="s">
        <v>783</v>
      </c>
      <c r="P32" s="4" t="s">
        <v>784</v>
      </c>
      <c r="Q32" s="4">
        <f t="shared" si="24"/>
        <v>2</v>
      </c>
      <c r="R32" s="4">
        <f t="shared" si="24"/>
        <v>0</v>
      </c>
      <c r="S32" s="4">
        <f t="shared" si="3"/>
        <v>2</v>
      </c>
      <c r="T32" s="4">
        <f t="shared" si="4"/>
        <v>10</v>
      </c>
      <c r="U32" s="4">
        <f t="shared" ca="1" si="9"/>
        <v>3</v>
      </c>
      <c r="V32" s="4">
        <f t="shared" si="21"/>
        <v>0</v>
      </c>
      <c r="W32" s="4">
        <f t="shared" ref="W32:W35" si="25">W31</f>
        <v>2</v>
      </c>
      <c r="X32" s="4">
        <f t="shared" si="10"/>
        <v>0</v>
      </c>
      <c r="Y32" s="4">
        <f t="shared" si="11"/>
        <v>0</v>
      </c>
      <c r="Z32" s="4">
        <f t="shared" si="12"/>
        <v>0</v>
      </c>
      <c r="AA32" s="4">
        <f t="shared" si="13"/>
        <v>0</v>
      </c>
      <c r="AB32" s="4">
        <f t="shared" si="14"/>
        <v>0</v>
      </c>
      <c r="AC32" s="8"/>
      <c r="AD32" s="4"/>
      <c r="AE32" s="4"/>
      <c r="AF32" s="4" t="str">
        <f t="shared" ca="1" si="6"/>
        <v>15</v>
      </c>
      <c r="AG32" s="4"/>
      <c r="AH32" s="4">
        <f>IFERROR(VLOOKUP(M32,Calculations!$AC$2:$AD$251,2,FALSE),0)</f>
        <v>0</v>
      </c>
      <c r="AI32" s="4" t="e">
        <f>VLOOKUP(N32,$N$2:$AS$620,MATCH('Character Creation'!$Z$12,Skills!$N$1:$AS$1,0),FALSE)</f>
        <v>#N/A</v>
      </c>
      <c r="AJ32" s="4" t="e">
        <f>VLOOKUP($N32,[2]Cultures!$B$4:$M$283,MATCH(AJ$1,[2]Cultures!$B$3:$M$3,0),FALSE)</f>
        <v>#N/A</v>
      </c>
      <c r="AK32" s="4" t="e">
        <f>VLOOKUP($N32,[2]Cultures!$B$4:$M$283,MATCH(AK$1,[2]Cultures!$B$3:$M$3,0),FALSE)</f>
        <v>#N/A</v>
      </c>
      <c r="AL32" s="4" t="e">
        <f>VLOOKUP($N32,[2]Cultures!$B$4:$M$283,MATCH(AL$1,[2]Cultures!$B$3:$M$3,0),FALSE)</f>
        <v>#N/A</v>
      </c>
      <c r="AM32" s="4" t="e">
        <f>VLOOKUP($N32,[2]Cultures!$B$4:$M$283,MATCH(AM$1,[2]Cultures!$B$3:$M$3,0),FALSE)</f>
        <v>#N/A</v>
      </c>
      <c r="AN32" s="4" t="e">
        <f>VLOOKUP($N32,[2]Cultures!$B$4:$M$283,MATCH(AN$1,[2]Cultures!$B$3:$M$3,0),FALSE)</f>
        <v>#N/A</v>
      </c>
      <c r="AO32" s="4" t="e">
        <f>VLOOKUP($N32,[2]Cultures!$B$4:$M$283,MATCH(AO$1,[2]Cultures!$B$3:$M$3,0),FALSE)</f>
        <v>#N/A</v>
      </c>
      <c r="AP32" s="4" t="e">
        <f>VLOOKUP($N32,[2]Cultures!$B$4:$M$283,MATCH(AP$1,[2]Cultures!$B$3:$M$3,0),FALSE)</f>
        <v>#N/A</v>
      </c>
      <c r="AQ32" s="4" t="e">
        <f>VLOOKUP($N32,[2]Cultures!$B$4:$M$283,MATCH(AQ$1,[2]Cultures!$B$3:$M$3,0),FALSE)</f>
        <v>#N/A</v>
      </c>
      <c r="AR32" s="4" t="e">
        <f>VLOOKUP($N32,[2]Cultures!$B$4:$M$283,MATCH(AR$1,[2]Cultures!$B$3:$M$3,0),FALSE)</f>
        <v>#N/A</v>
      </c>
      <c r="AS32" s="4" t="e">
        <f>VLOOKUP($N32,[2]Cultures!$B$4:$M$283,MATCH(AS$1,[2]Cultures!$B$3:$M$3,0),FALSE)</f>
        <v>#N/A</v>
      </c>
      <c r="AT32" s="4"/>
      <c r="AU32" s="4">
        <f>IF(ISNUMBER(SEARCH(N32&amp;";",Calculations!$Q$19)),VLOOKUP(Skills!N32,Calculations!$Q$2:$T$16,4,FALSE),0)</f>
        <v>0</v>
      </c>
      <c r="AV32" s="4">
        <f>IF(ISNUMBER(SEARCH(N32&amp;";",Calculations!$Q$18)),1,0)</f>
        <v>0</v>
      </c>
      <c r="AW32" s="4">
        <f t="shared" si="22"/>
        <v>0</v>
      </c>
      <c r="AX32" s="4">
        <f>VLOOKUP($N32,$N32:$CH32,MATCH('Character Sheet'!$BJ$3,Skills!$N$1:$CH$1,0),FALSE)</f>
        <v>0</v>
      </c>
    </row>
    <row r="33" spans="1:50" x14ac:dyDescent="0.25">
      <c r="A33" s="4" t="str">
        <f ca="1">IF(AF33=$AF$30,"N","")</f>
        <v>N</v>
      </c>
      <c r="B33" s="4" t="e">
        <f t="shared" ca="1" si="23"/>
        <v>#N/A</v>
      </c>
      <c r="E33" s="4"/>
      <c r="F33" s="4">
        <f t="shared" si="8"/>
        <v>0</v>
      </c>
      <c r="G33" s="4"/>
      <c r="H33" s="4" t="e">
        <f t="shared" si="15"/>
        <v>#N/A</v>
      </c>
      <c r="I33" s="4" t="e">
        <f t="shared" si="20"/>
        <v>#N/A</v>
      </c>
      <c r="J33" s="4">
        <f t="shared" si="0"/>
        <v>0</v>
      </c>
      <c r="K33" s="4" t="e">
        <f t="shared" si="1"/>
        <v>#N/A</v>
      </c>
      <c r="M33" t="str">
        <f>"Perception, "&amp;N33</f>
        <v>Perception, Smell</v>
      </c>
      <c r="N33" s="3" t="s">
        <v>614</v>
      </c>
      <c r="O33" s="4" t="s">
        <v>783</v>
      </c>
      <c r="P33" s="4" t="s">
        <v>784</v>
      </c>
      <c r="Q33" s="4">
        <f t="shared" si="24"/>
        <v>2</v>
      </c>
      <c r="R33" s="4">
        <f t="shared" si="24"/>
        <v>0</v>
      </c>
      <c r="S33" s="4">
        <f t="shared" si="3"/>
        <v>2</v>
      </c>
      <c r="T33" s="4">
        <f t="shared" si="4"/>
        <v>10</v>
      </c>
      <c r="U33" s="4">
        <f t="shared" ca="1" si="9"/>
        <v>3</v>
      </c>
      <c r="V33" s="4">
        <f t="shared" si="21"/>
        <v>0</v>
      </c>
      <c r="W33" s="4">
        <f t="shared" si="25"/>
        <v>2</v>
      </c>
      <c r="X33" s="4">
        <f t="shared" si="10"/>
        <v>0</v>
      </c>
      <c r="Y33" s="4">
        <f t="shared" si="11"/>
        <v>0</v>
      </c>
      <c r="Z33" s="4">
        <f t="shared" si="12"/>
        <v>0</v>
      </c>
      <c r="AA33" s="4">
        <f t="shared" si="13"/>
        <v>0</v>
      </c>
      <c r="AB33" s="4">
        <f t="shared" si="14"/>
        <v>0</v>
      </c>
      <c r="AC33" s="8"/>
      <c r="AD33" s="4"/>
      <c r="AE33" s="4"/>
      <c r="AF33" s="4" t="str">
        <f t="shared" ca="1" si="6"/>
        <v>15</v>
      </c>
      <c r="AG33" s="4"/>
      <c r="AH33" s="4">
        <f>IFERROR(VLOOKUP(M33,Calculations!$AC$2:$AD$251,2,FALSE),0)</f>
        <v>0</v>
      </c>
      <c r="AI33" s="4" t="e">
        <f>VLOOKUP(N33,$N$2:$AS$620,MATCH('Character Creation'!$Z$12,Skills!$N$1:$AS$1,0),FALSE)</f>
        <v>#N/A</v>
      </c>
      <c r="AJ33" s="4" t="e">
        <f>VLOOKUP($N33,[2]Cultures!$B$4:$M$283,MATCH(AJ$1,[2]Cultures!$B$3:$M$3,0),FALSE)</f>
        <v>#N/A</v>
      </c>
      <c r="AK33" s="4" t="e">
        <f>VLOOKUP($N33,[2]Cultures!$B$4:$M$283,MATCH(AK$1,[2]Cultures!$B$3:$M$3,0),FALSE)</f>
        <v>#N/A</v>
      </c>
      <c r="AL33" s="4" t="e">
        <f>VLOOKUP($N33,[2]Cultures!$B$4:$M$283,MATCH(AL$1,[2]Cultures!$B$3:$M$3,0),FALSE)</f>
        <v>#N/A</v>
      </c>
      <c r="AM33" s="4" t="e">
        <f>VLOOKUP($N33,[2]Cultures!$B$4:$M$283,MATCH(AM$1,[2]Cultures!$B$3:$M$3,0),FALSE)</f>
        <v>#N/A</v>
      </c>
      <c r="AN33" s="4" t="e">
        <f>VLOOKUP($N33,[2]Cultures!$B$4:$M$283,MATCH(AN$1,[2]Cultures!$B$3:$M$3,0),FALSE)</f>
        <v>#N/A</v>
      </c>
      <c r="AO33" s="4" t="e">
        <f>VLOOKUP($N33,[2]Cultures!$B$4:$M$283,MATCH(AO$1,[2]Cultures!$B$3:$M$3,0),FALSE)</f>
        <v>#N/A</v>
      </c>
      <c r="AP33" s="4" t="e">
        <f>VLOOKUP($N33,[2]Cultures!$B$4:$M$283,MATCH(AP$1,[2]Cultures!$B$3:$M$3,0),FALSE)</f>
        <v>#N/A</v>
      </c>
      <c r="AQ33" s="4" t="e">
        <f>VLOOKUP($N33,[2]Cultures!$B$4:$M$283,MATCH(AQ$1,[2]Cultures!$B$3:$M$3,0),FALSE)</f>
        <v>#N/A</v>
      </c>
      <c r="AR33" s="4" t="e">
        <f>VLOOKUP($N33,[2]Cultures!$B$4:$M$283,MATCH(AR$1,[2]Cultures!$B$3:$M$3,0),FALSE)</f>
        <v>#N/A</v>
      </c>
      <c r="AS33" s="4" t="e">
        <f>VLOOKUP($N33,[2]Cultures!$B$4:$M$283,MATCH(AS$1,[2]Cultures!$B$3:$M$3,0),FALSE)</f>
        <v>#N/A</v>
      </c>
      <c r="AT33" s="4"/>
      <c r="AU33" s="4">
        <f>IF(ISNUMBER(SEARCH(N33&amp;";",Calculations!$Q$19)),VLOOKUP(Skills!N33,Calculations!$Q$2:$T$16,4,FALSE),0)</f>
        <v>0</v>
      </c>
      <c r="AV33" s="4">
        <f>IF(ISNUMBER(SEARCH(N33&amp;";",Calculations!$Q$18)),1,0)</f>
        <v>0</v>
      </c>
      <c r="AW33" s="4">
        <f t="shared" si="22"/>
        <v>0</v>
      </c>
      <c r="AX33" s="4">
        <f>VLOOKUP($N33,$N33:$CH33,MATCH('Character Sheet'!$BJ$3,Skills!$N$1:$CH$1,0),FALSE)</f>
        <v>0</v>
      </c>
    </row>
    <row r="34" spans="1:50" x14ac:dyDescent="0.25">
      <c r="A34" s="4" t="str">
        <f ca="1">IF(AF34=$AF$30,"N","")</f>
        <v>N</v>
      </c>
      <c r="B34" s="4" t="e">
        <f t="shared" ca="1" si="23"/>
        <v>#N/A</v>
      </c>
      <c r="E34" s="4"/>
      <c r="F34" s="4">
        <f t="shared" si="8"/>
        <v>0</v>
      </c>
      <c r="G34" s="4"/>
      <c r="H34" s="4" t="e">
        <f t="shared" si="15"/>
        <v>#N/A</v>
      </c>
      <c r="I34" s="4" t="e">
        <f t="shared" si="20"/>
        <v>#N/A</v>
      </c>
      <c r="J34" s="4">
        <f t="shared" si="0"/>
        <v>0</v>
      </c>
      <c r="K34" s="4" t="e">
        <f t="shared" ref="K34:K65" si="26">IF(ISNUMBER(SEARCH("Category",N34)),K35,AI34)</f>
        <v>#N/A</v>
      </c>
      <c r="M34" t="str">
        <f>"Perception, "&amp;N34</f>
        <v>Perception, Taste</v>
      </c>
      <c r="N34" s="3" t="s">
        <v>615</v>
      </c>
      <c r="O34" s="4" t="s">
        <v>783</v>
      </c>
      <c r="P34" s="4" t="s">
        <v>784</v>
      </c>
      <c r="Q34" s="4">
        <f t="shared" si="24"/>
        <v>2</v>
      </c>
      <c r="R34" s="4">
        <f t="shared" si="24"/>
        <v>0</v>
      </c>
      <c r="S34" s="4">
        <f t="shared" si="3"/>
        <v>2</v>
      </c>
      <c r="T34" s="4">
        <f t="shared" si="4"/>
        <v>10</v>
      </c>
      <c r="U34" s="4">
        <f t="shared" ca="1" si="9"/>
        <v>3</v>
      </c>
      <c r="V34" s="4">
        <f t="shared" si="21"/>
        <v>0</v>
      </c>
      <c r="W34" s="4">
        <f t="shared" si="25"/>
        <v>2</v>
      </c>
      <c r="X34" s="4">
        <f t="shared" si="10"/>
        <v>0</v>
      </c>
      <c r="Y34" s="4">
        <f t="shared" si="11"/>
        <v>0</v>
      </c>
      <c r="Z34" s="4">
        <f t="shared" si="12"/>
        <v>0</v>
      </c>
      <c r="AA34" s="4">
        <f t="shared" si="13"/>
        <v>0</v>
      </c>
      <c r="AB34" s="4">
        <f t="shared" si="14"/>
        <v>0</v>
      </c>
      <c r="AC34" s="8"/>
      <c r="AD34" s="4"/>
      <c r="AE34" s="4"/>
      <c r="AF34" s="4" t="str">
        <f t="shared" ca="1" si="6"/>
        <v>15</v>
      </c>
      <c r="AG34" s="4"/>
      <c r="AH34" s="4">
        <f>IFERROR(VLOOKUP(M34,Calculations!$AC$2:$AD$251,2,FALSE),0)</f>
        <v>0</v>
      </c>
      <c r="AI34" s="4" t="e">
        <f>VLOOKUP(N34,$N$2:$AS$620,MATCH('Character Creation'!$Z$12,Skills!$N$1:$AS$1,0),FALSE)</f>
        <v>#N/A</v>
      </c>
      <c r="AJ34" s="4" t="e">
        <f>VLOOKUP($N34,[2]Cultures!$B$4:$M$283,MATCH(AJ$1,[2]Cultures!$B$3:$M$3,0),FALSE)</f>
        <v>#N/A</v>
      </c>
      <c r="AK34" s="4" t="e">
        <f>VLOOKUP($N34,[2]Cultures!$B$4:$M$283,MATCH(AK$1,[2]Cultures!$B$3:$M$3,0),FALSE)</f>
        <v>#N/A</v>
      </c>
      <c r="AL34" s="4" t="e">
        <f>VLOOKUP($N34,[2]Cultures!$B$4:$M$283,MATCH(AL$1,[2]Cultures!$B$3:$M$3,0),FALSE)</f>
        <v>#N/A</v>
      </c>
      <c r="AM34" s="4" t="e">
        <f>VLOOKUP($N34,[2]Cultures!$B$4:$M$283,MATCH(AM$1,[2]Cultures!$B$3:$M$3,0),FALSE)</f>
        <v>#N/A</v>
      </c>
      <c r="AN34" s="4" t="e">
        <f>VLOOKUP($N34,[2]Cultures!$B$4:$M$283,MATCH(AN$1,[2]Cultures!$B$3:$M$3,0),FALSE)</f>
        <v>#N/A</v>
      </c>
      <c r="AO34" s="4" t="e">
        <f>VLOOKUP($N34,[2]Cultures!$B$4:$M$283,MATCH(AO$1,[2]Cultures!$B$3:$M$3,0),FALSE)</f>
        <v>#N/A</v>
      </c>
      <c r="AP34" s="4" t="e">
        <f>VLOOKUP($N34,[2]Cultures!$B$4:$M$283,MATCH(AP$1,[2]Cultures!$B$3:$M$3,0),FALSE)</f>
        <v>#N/A</v>
      </c>
      <c r="AQ34" s="4" t="e">
        <f>VLOOKUP($N34,[2]Cultures!$B$4:$M$283,MATCH(AQ$1,[2]Cultures!$B$3:$M$3,0),FALSE)</f>
        <v>#N/A</v>
      </c>
      <c r="AR34" s="4" t="e">
        <f>VLOOKUP($N34,[2]Cultures!$B$4:$M$283,MATCH(AR$1,[2]Cultures!$B$3:$M$3,0),FALSE)</f>
        <v>#N/A</v>
      </c>
      <c r="AS34" s="4" t="e">
        <f>VLOOKUP($N34,[2]Cultures!$B$4:$M$283,MATCH(AS$1,[2]Cultures!$B$3:$M$3,0),FALSE)</f>
        <v>#N/A</v>
      </c>
      <c r="AT34" s="4"/>
      <c r="AU34" s="4">
        <f>IF(ISNUMBER(SEARCH(N34&amp;";",Calculations!$Q$19)),VLOOKUP(Skills!N34,Calculations!$Q$2:$T$16,4,FALSE),0)</f>
        <v>0</v>
      </c>
      <c r="AV34" s="4">
        <f>IF(ISNUMBER(SEARCH(N34&amp;";",Calculations!$Q$18)),1,0)</f>
        <v>0</v>
      </c>
      <c r="AW34" s="4">
        <f t="shared" si="22"/>
        <v>0</v>
      </c>
      <c r="AX34" s="4">
        <f>VLOOKUP($N34,$N34:$CH34,MATCH('Character Sheet'!$BJ$3,Skills!$N$1:$CH$1,0),FALSE)</f>
        <v>0</v>
      </c>
    </row>
    <row r="35" spans="1:50" x14ac:dyDescent="0.25">
      <c r="A35" s="4" t="str">
        <f ca="1">IF(AF35=$AF$30,"N","")</f>
        <v>N</v>
      </c>
      <c r="B35" s="4" t="e">
        <f t="shared" ca="1" si="23"/>
        <v>#N/A</v>
      </c>
      <c r="E35" s="4"/>
      <c r="F35" s="4">
        <f t="shared" si="8"/>
        <v>0</v>
      </c>
      <c r="G35" s="4"/>
      <c r="H35" s="4" t="e">
        <f t="shared" si="15"/>
        <v>#N/A</v>
      </c>
      <c r="I35" s="4" t="e">
        <f t="shared" si="20"/>
        <v>#N/A</v>
      </c>
      <c r="J35" s="4">
        <f t="shared" si="0"/>
        <v>0</v>
      </c>
      <c r="K35" s="4" t="e">
        <f t="shared" si="26"/>
        <v>#N/A</v>
      </c>
      <c r="M35" t="str">
        <f>"Perception, "&amp;N35</f>
        <v>Perception, Touch</v>
      </c>
      <c r="N35" s="3" t="s">
        <v>616</v>
      </c>
      <c r="O35" s="4" t="s">
        <v>783</v>
      </c>
      <c r="P35" s="4" t="s">
        <v>784</v>
      </c>
      <c r="Q35" s="4">
        <f t="shared" si="24"/>
        <v>2</v>
      </c>
      <c r="R35" s="4">
        <f t="shared" si="24"/>
        <v>0</v>
      </c>
      <c r="S35" s="4">
        <f t="shared" si="3"/>
        <v>2</v>
      </c>
      <c r="T35" s="4">
        <f t="shared" si="4"/>
        <v>10</v>
      </c>
      <c r="U35" s="4">
        <f t="shared" ca="1" si="9"/>
        <v>3</v>
      </c>
      <c r="V35" s="4">
        <f t="shared" si="21"/>
        <v>0</v>
      </c>
      <c r="W35" s="4">
        <f t="shared" si="25"/>
        <v>2</v>
      </c>
      <c r="X35" s="4">
        <f t="shared" si="10"/>
        <v>0</v>
      </c>
      <c r="Y35" s="4">
        <f t="shared" si="11"/>
        <v>0</v>
      </c>
      <c r="Z35" s="4">
        <f t="shared" si="12"/>
        <v>0</v>
      </c>
      <c r="AA35" s="4">
        <f t="shared" si="13"/>
        <v>0</v>
      </c>
      <c r="AB35" s="4">
        <f t="shared" si="14"/>
        <v>0</v>
      </c>
      <c r="AC35" s="8"/>
      <c r="AD35" s="4"/>
      <c r="AE35" s="4"/>
      <c r="AF35" s="4" t="str">
        <f t="shared" ca="1" si="6"/>
        <v>15</v>
      </c>
      <c r="AG35" s="4"/>
      <c r="AH35" s="4">
        <f>IFERROR(VLOOKUP(M35,Calculations!$AC$2:$AD$251,2,FALSE),0)</f>
        <v>0</v>
      </c>
      <c r="AI35" s="4" t="e">
        <f>VLOOKUP(N35,$N$2:$AS$620,MATCH('Character Creation'!$Z$12,Skills!$N$1:$AS$1,0),FALSE)</f>
        <v>#N/A</v>
      </c>
      <c r="AJ35" s="4" t="e">
        <f>VLOOKUP($N35,[2]Cultures!$B$4:$M$283,MATCH(AJ$1,[2]Cultures!$B$3:$M$3,0),FALSE)</f>
        <v>#N/A</v>
      </c>
      <c r="AK35" s="4" t="e">
        <f>VLOOKUP($N35,[2]Cultures!$B$4:$M$283,MATCH(AK$1,[2]Cultures!$B$3:$M$3,0),FALSE)</f>
        <v>#N/A</v>
      </c>
      <c r="AL35" s="4" t="e">
        <f>VLOOKUP($N35,[2]Cultures!$B$4:$M$283,MATCH(AL$1,[2]Cultures!$B$3:$M$3,0),FALSE)</f>
        <v>#N/A</v>
      </c>
      <c r="AM35" s="4" t="e">
        <f>VLOOKUP($N35,[2]Cultures!$B$4:$M$283,MATCH(AM$1,[2]Cultures!$B$3:$M$3,0),FALSE)</f>
        <v>#N/A</v>
      </c>
      <c r="AN35" s="4" t="e">
        <f>VLOOKUP($N35,[2]Cultures!$B$4:$M$283,MATCH(AN$1,[2]Cultures!$B$3:$M$3,0),FALSE)</f>
        <v>#N/A</v>
      </c>
      <c r="AO35" s="4" t="e">
        <f>VLOOKUP($N35,[2]Cultures!$B$4:$M$283,MATCH(AO$1,[2]Cultures!$B$3:$M$3,0),FALSE)</f>
        <v>#N/A</v>
      </c>
      <c r="AP35" s="4" t="e">
        <f>VLOOKUP($N35,[2]Cultures!$B$4:$M$283,MATCH(AP$1,[2]Cultures!$B$3:$M$3,0),FALSE)</f>
        <v>#N/A</v>
      </c>
      <c r="AQ35" s="4" t="e">
        <f>VLOOKUP($N35,[2]Cultures!$B$4:$M$283,MATCH(AQ$1,[2]Cultures!$B$3:$M$3,0),FALSE)</f>
        <v>#N/A</v>
      </c>
      <c r="AR35" s="4" t="e">
        <f>VLOOKUP($N35,[2]Cultures!$B$4:$M$283,MATCH(AR$1,[2]Cultures!$B$3:$M$3,0),FALSE)</f>
        <v>#N/A</v>
      </c>
      <c r="AS35" s="4" t="e">
        <f>VLOOKUP($N35,[2]Cultures!$B$4:$M$283,MATCH(AS$1,[2]Cultures!$B$3:$M$3,0),FALSE)</f>
        <v>#N/A</v>
      </c>
      <c r="AT35" s="4"/>
      <c r="AU35" s="4">
        <f>IF(ISNUMBER(SEARCH(N35&amp;";",Calculations!$Q$19)),VLOOKUP(Skills!N35,Calculations!$Q$2:$T$16,4,FALSE),0)</f>
        <v>0</v>
      </c>
      <c r="AV35" s="4">
        <f>IF(ISNUMBER(SEARCH(N35&amp;";",Calculations!$Q$18)),1,0)</f>
        <v>0</v>
      </c>
      <c r="AW35" s="4">
        <f t="shared" si="22"/>
        <v>0</v>
      </c>
      <c r="AX35" s="4">
        <f>VLOOKUP($N35,$N35:$CH35,MATCH('Character Sheet'!$BJ$3,Skills!$N$1:$CH$1,0),FALSE)</f>
        <v>0</v>
      </c>
    </row>
    <row r="36" spans="1:50" x14ac:dyDescent="0.25">
      <c r="A36" s="4" t="s">
        <v>2240</v>
      </c>
      <c r="B36" s="4" t="e">
        <f t="shared" ca="1" si="23"/>
        <v>#N/A</v>
      </c>
      <c r="E36" s="4"/>
      <c r="F36" s="4">
        <f t="shared" si="8"/>
        <v>0</v>
      </c>
      <c r="G36" s="4"/>
      <c r="H36" s="4" t="e">
        <f t="shared" si="15"/>
        <v>#N/A</v>
      </c>
      <c r="I36" s="4" t="e">
        <f t="shared" si="20"/>
        <v>#N/A</v>
      </c>
      <c r="J36" s="4">
        <f t="shared" si="0"/>
        <v>0</v>
      </c>
      <c r="K36" s="4">
        <f t="shared" si="26"/>
        <v>1</v>
      </c>
      <c r="M36" t="str">
        <f>N36</f>
        <v>Tracking</v>
      </c>
      <c r="N36" s="3" t="s">
        <v>157</v>
      </c>
      <c r="O36" s="4" t="s">
        <v>783</v>
      </c>
      <c r="P36" s="4" t="s">
        <v>784</v>
      </c>
      <c r="Q36" s="4">
        <f t="shared" ref="Q36:Q99" si="27">IF(ISNUMBER(SEARCH("Category",N36)),"- -",IF(ISNUMBER(SEARCH("Skills",N36)),"- -",AH36+AI36))</f>
        <v>1</v>
      </c>
      <c r="R36" s="4">
        <f>IF(ISNUMBER(SEARCH("Category",N36)),"- -",IF(ISNUMBER(SEARCH("Skills",N36)),"- -",'Level-up'!C54))</f>
        <v>0</v>
      </c>
      <c r="S36" s="4">
        <f t="shared" si="3"/>
        <v>1</v>
      </c>
      <c r="T36" s="4">
        <f t="shared" si="4"/>
        <v>5</v>
      </c>
      <c r="U36" s="4">
        <f t="shared" ca="1" si="9"/>
        <v>3</v>
      </c>
      <c r="V36" s="4">
        <f t="shared" si="21"/>
        <v>0</v>
      </c>
      <c r="W36" s="4">
        <f t="shared" ref="W36:W99" si="28">IF(ISNUMBER(SEARCH("Category",N36)),"- -",IF(ISNUMBER(SEARCH("Skills",N36)),"- -",IF(AW36=1,MIN(S36,30),0)))</f>
        <v>0</v>
      </c>
      <c r="X36" s="4">
        <f t="shared" si="10"/>
        <v>0</v>
      </c>
      <c r="Y36" s="4">
        <f t="shared" si="11"/>
        <v>0</v>
      </c>
      <c r="Z36" s="4">
        <f t="shared" si="12"/>
        <v>0</v>
      </c>
      <c r="AA36" s="4">
        <f t="shared" si="13"/>
        <v>0</v>
      </c>
      <c r="AB36" s="4">
        <f>IF(ISNUMBER(SEARCH("Category",N36)),"- -",IF(ISNUMBER(SEARCH("Skills",N36)),"- -",SUM('Character Sheet'!$DQ$49:$DX$69)))</f>
        <v>-2</v>
      </c>
      <c r="AC36" s="8"/>
      <c r="AD36" s="4"/>
      <c r="AE36" s="4"/>
      <c r="AF36" s="4" t="str">
        <f t="shared" ca="1" si="6"/>
        <v>6</v>
      </c>
      <c r="AG36" s="4"/>
      <c r="AH36" s="4">
        <f>IFERROR(VLOOKUP(M36,Calculations!$AC$2:$AD$251,2,FALSE),0)</f>
        <v>0</v>
      </c>
      <c r="AI36" s="4">
        <f>VLOOKUP(N36,$N$2:$AS$620,MATCH('Character Creation'!$Z$12,Skills!$N$1:$AS$1,0),FALSE)</f>
        <v>1</v>
      </c>
      <c r="AJ36" s="4">
        <f>VLOOKUP($N36,[2]Cultures!$B$4:$M$283,MATCH(AJ$1,[2]Cultures!$B$3:$M$3,0),FALSE)</f>
        <v>0</v>
      </c>
      <c r="AK36" s="4">
        <f>VLOOKUP($N36,[2]Cultures!$B$4:$M$283,MATCH(AK$1,[2]Cultures!$B$3:$M$3,0),FALSE)</f>
        <v>1</v>
      </c>
      <c r="AL36" s="4">
        <f>VLOOKUP($N36,[2]Cultures!$B$4:$M$283,MATCH(AL$1,[2]Cultures!$B$3:$M$3,0),FALSE)</f>
        <v>1</v>
      </c>
      <c r="AM36" s="4">
        <f>VLOOKUP($N36,[2]Cultures!$B$4:$M$283,MATCH(AM$1,[2]Cultures!$B$3:$M$3,0),FALSE)</f>
        <v>0</v>
      </c>
      <c r="AN36" s="4">
        <f>VLOOKUP($N36,[2]Cultures!$B$4:$M$283,MATCH(AN$1,[2]Cultures!$B$3:$M$3,0),FALSE)</f>
        <v>1</v>
      </c>
      <c r="AO36" s="4">
        <f>VLOOKUP($N36,[2]Cultures!$B$4:$M$283,MATCH(AO$1,[2]Cultures!$B$3:$M$3,0),FALSE)</f>
        <v>2</v>
      </c>
      <c r="AP36" s="4">
        <f>VLOOKUP($N36,[2]Cultures!$B$4:$M$283,MATCH(AP$1,[2]Cultures!$B$3:$M$3,0),FALSE)</f>
        <v>0</v>
      </c>
      <c r="AQ36" s="4">
        <f>VLOOKUP($N36,[2]Cultures!$B$4:$M$283,MATCH(AQ$1,[2]Cultures!$B$3:$M$3,0),FALSE)</f>
        <v>1</v>
      </c>
      <c r="AR36" s="4">
        <f>VLOOKUP($N36,[2]Cultures!$B$4:$M$283,MATCH(AR$1,[2]Cultures!$B$3:$M$3,0),FALSE)</f>
        <v>0</v>
      </c>
      <c r="AS36" s="4">
        <f>VLOOKUP($N36,[2]Cultures!$B$4:$M$283,MATCH(AS$1,[2]Cultures!$B$3:$M$3,0),FALSE)</f>
        <v>0</v>
      </c>
      <c r="AT36" s="4"/>
      <c r="AU36" s="4">
        <f>IF(ISNUMBER(SEARCH(N36&amp;";",Calculations!$Q$19)),VLOOKUP(Skills!N36,Calculations!$Q$2:$T$16,4,FALSE),0)</f>
        <v>0</v>
      </c>
      <c r="AV36" s="4">
        <f>IF(ISNUMBER(SEARCH(N36&amp;";",Calculations!$Q$18)),1,0)</f>
        <v>0</v>
      </c>
      <c r="AW36" s="4">
        <f t="shared" si="22"/>
        <v>0</v>
      </c>
      <c r="AX36" s="4">
        <f>VLOOKUP($N36,$N36:$CH36,MATCH('Character Sheet'!$BJ$3,Skills!$N$1:$CH$1,0),FALSE)</f>
        <v>0</v>
      </c>
    </row>
    <row r="37" spans="1:50" x14ac:dyDescent="0.25">
      <c r="B37" s="4" t="e">
        <f t="shared" ca="1" si="23"/>
        <v>#N/A</v>
      </c>
      <c r="E37" s="4"/>
      <c r="F37" s="4">
        <f t="shared" si="8"/>
        <v>0</v>
      </c>
      <c r="G37" s="4"/>
      <c r="H37" s="4" t="e">
        <f t="shared" si="15"/>
        <v>#N/A</v>
      </c>
      <c r="I37" s="4" t="e">
        <f>IF($J$38=1,1,0)</f>
        <v>#N/A</v>
      </c>
      <c r="J37" s="4">
        <f t="shared" si="0"/>
        <v>0</v>
      </c>
      <c r="K37" s="4" t="e">
        <f t="shared" si="26"/>
        <v>#N/A</v>
      </c>
      <c r="N37" s="3" t="s">
        <v>623</v>
      </c>
      <c r="O37" s="6" t="s">
        <v>782</v>
      </c>
      <c r="P37" s="6" t="s">
        <v>782</v>
      </c>
      <c r="Q37" s="4" t="str">
        <f t="shared" si="27"/>
        <v>- -</v>
      </c>
      <c r="R37" s="4" t="str">
        <f>IF(ISNUMBER(SEARCH("Category",N37)),"- -",IF(ISNUMBER(SEARCH("Skills",N37)),"- -",'Level-up'!C55))</f>
        <v>- -</v>
      </c>
      <c r="S37" s="4" t="str">
        <f t="shared" si="3"/>
        <v>- -</v>
      </c>
      <c r="T37" s="4" t="str">
        <f t="shared" si="4"/>
        <v>- -</v>
      </c>
      <c r="U37" s="4" t="str">
        <f t="shared" ca="1" si="9"/>
        <v>- -</v>
      </c>
      <c r="V37" s="4" t="str">
        <f t="shared" si="21"/>
        <v>- -</v>
      </c>
      <c r="W37" s="4" t="str">
        <f t="shared" si="28"/>
        <v>- -</v>
      </c>
      <c r="X37" s="4" t="str">
        <f t="shared" si="10"/>
        <v>- -</v>
      </c>
      <c r="Y37" s="4" t="str">
        <f t="shared" si="11"/>
        <v>- -</v>
      </c>
      <c r="Z37" s="4" t="str">
        <f t="shared" si="12"/>
        <v>- -</v>
      </c>
      <c r="AA37" s="4" t="str">
        <f t="shared" si="13"/>
        <v>- -</v>
      </c>
      <c r="AB37" s="4" t="str">
        <f t="shared" si="14"/>
        <v>- -</v>
      </c>
      <c r="AC37" s="8"/>
      <c r="AD37" s="4"/>
      <c r="AE37" s="4"/>
      <c r="AF37" s="4" t="str">
        <f t="shared" si="6"/>
        <v>- -</v>
      </c>
      <c r="AG37" s="4"/>
      <c r="AH37" s="4">
        <f>IFERROR(VLOOKUP(M37,Calculations!$AC$2:$AD$251,2,FALSE),0)</f>
        <v>0</v>
      </c>
      <c r="AI37" s="4" t="e">
        <f>VLOOKUP(N37,$N$2:$AS$620,MATCH('Character Creation'!$Z$12,Skills!$N$1:$AS$1,0),FALSE)</f>
        <v>#N/A</v>
      </c>
      <c r="AJ37" s="4" t="e">
        <f>VLOOKUP($N37,[2]Cultures!$B$4:$M$283,MATCH(AJ$1,[2]Cultures!$B$3:$M$3,0),FALSE)</f>
        <v>#N/A</v>
      </c>
      <c r="AK37" s="4" t="e">
        <f>VLOOKUP($N37,[2]Cultures!$B$4:$M$283,MATCH(AK$1,[2]Cultures!$B$3:$M$3,0),FALSE)</f>
        <v>#N/A</v>
      </c>
      <c r="AL37" s="4" t="e">
        <f>VLOOKUP($N37,[2]Cultures!$B$4:$M$283,MATCH(AL$1,[2]Cultures!$B$3:$M$3,0),FALSE)</f>
        <v>#N/A</v>
      </c>
      <c r="AM37" s="4" t="e">
        <f>VLOOKUP($N37,[2]Cultures!$B$4:$M$283,MATCH(AM$1,[2]Cultures!$B$3:$M$3,0),FALSE)</f>
        <v>#N/A</v>
      </c>
      <c r="AN37" s="4" t="e">
        <f>VLOOKUP($N37,[2]Cultures!$B$4:$M$283,MATCH(AN$1,[2]Cultures!$B$3:$M$3,0),FALSE)</f>
        <v>#N/A</v>
      </c>
      <c r="AO37" s="4" t="e">
        <f>VLOOKUP($N37,[2]Cultures!$B$4:$M$283,MATCH(AO$1,[2]Cultures!$B$3:$M$3,0),FALSE)</f>
        <v>#N/A</v>
      </c>
      <c r="AP37" s="4" t="e">
        <f>VLOOKUP($N37,[2]Cultures!$B$4:$M$283,MATCH(AP$1,[2]Cultures!$B$3:$M$3,0),FALSE)</f>
        <v>#N/A</v>
      </c>
      <c r="AQ37" s="4" t="e">
        <f>VLOOKUP($N37,[2]Cultures!$B$4:$M$283,MATCH(AQ$1,[2]Cultures!$B$3:$M$3,0),FALSE)</f>
        <v>#N/A</v>
      </c>
      <c r="AR37" s="4" t="e">
        <f>VLOOKUP($N37,[2]Cultures!$B$4:$M$283,MATCH(AR$1,[2]Cultures!$B$3:$M$3,0),FALSE)</f>
        <v>#N/A</v>
      </c>
      <c r="AS37" s="4" t="e">
        <f>VLOOKUP($N37,[2]Cultures!$B$4:$M$283,MATCH(AS$1,[2]Cultures!$B$3:$M$3,0),FALSE)</f>
        <v>#N/A</v>
      </c>
      <c r="AT37" s="4"/>
      <c r="AU37" s="4">
        <f>IF(ISNUMBER(SEARCH(N37&amp;";",Calculations!$Q$19)),VLOOKUP(Skills!N37,Calculations!$Q$2:$T$16,4,FALSE),0)</f>
        <v>0</v>
      </c>
      <c r="AV37" s="4">
        <f>IF(ISNUMBER(SEARCH(N37&amp;";",Calculations!$Q$18)),1,0)</f>
        <v>0</v>
      </c>
      <c r="AW37" s="4"/>
      <c r="AX37" s="4">
        <f>VLOOKUP($N37,$N37:$CH37,MATCH('Character Sheet'!$BJ$3,Skills!$N$1:$CH$1,0),FALSE)</f>
        <v>0</v>
      </c>
    </row>
    <row r="38" spans="1:50" x14ac:dyDescent="0.25">
      <c r="B38" s="4" t="e">
        <f t="shared" ca="1" si="23"/>
        <v>#N/A</v>
      </c>
      <c r="E38" s="4"/>
      <c r="F38" s="4">
        <f t="shared" si="8"/>
        <v>0</v>
      </c>
      <c r="G38" s="4"/>
      <c r="H38" s="4" t="e">
        <f t="shared" si="15"/>
        <v>#N/A</v>
      </c>
      <c r="I38" s="4">
        <v>0</v>
      </c>
      <c r="J38" s="4" t="e">
        <f t="shared" si="0"/>
        <v>#N/A</v>
      </c>
      <c r="K38" s="4" t="e">
        <f t="shared" si="26"/>
        <v>#N/A</v>
      </c>
      <c r="N38" s="3" t="s">
        <v>624</v>
      </c>
      <c r="O38" s="6" t="s">
        <v>782</v>
      </c>
      <c r="P38" s="6" t="s">
        <v>782</v>
      </c>
      <c r="Q38" s="4" t="str">
        <f t="shared" si="27"/>
        <v>- -</v>
      </c>
      <c r="R38" s="4" t="str">
        <f>IF(ISNUMBER(SEARCH("Category",N38)),"- -",IF(ISNUMBER(SEARCH("Skills",N38)),"- -",'Level-up'!C56))</f>
        <v>- -</v>
      </c>
      <c r="S38" s="4" t="str">
        <f t="shared" si="3"/>
        <v>- -</v>
      </c>
      <c r="T38" s="4" t="str">
        <f t="shared" si="4"/>
        <v>- -</v>
      </c>
      <c r="U38" s="4" t="str">
        <f t="shared" ca="1" si="9"/>
        <v>- -</v>
      </c>
      <c r="V38" s="4" t="str">
        <f t="shared" si="21"/>
        <v>- -</v>
      </c>
      <c r="W38" s="4" t="str">
        <f t="shared" si="28"/>
        <v>- -</v>
      </c>
      <c r="X38" s="4" t="str">
        <f t="shared" si="10"/>
        <v>- -</v>
      </c>
      <c r="Y38" s="4" t="str">
        <f t="shared" si="11"/>
        <v>- -</v>
      </c>
      <c r="Z38" s="4" t="str">
        <f t="shared" si="12"/>
        <v>- -</v>
      </c>
      <c r="AA38" s="4" t="str">
        <f t="shared" si="13"/>
        <v>- -</v>
      </c>
      <c r="AB38" s="4" t="str">
        <f t="shared" si="14"/>
        <v>- -</v>
      </c>
      <c r="AC38" s="8"/>
      <c r="AD38" s="4"/>
      <c r="AE38" s="4"/>
      <c r="AF38" s="4" t="str">
        <f t="shared" si="6"/>
        <v>- -</v>
      </c>
      <c r="AG38" s="4"/>
      <c r="AH38" s="4">
        <f>IFERROR(VLOOKUP(M38,Calculations!$AC$2:$AD$251,2,FALSE),0)</f>
        <v>0</v>
      </c>
      <c r="AI38" s="4" t="e">
        <f>VLOOKUP(N38,$N$2:$AS$620,MATCH('Character Creation'!$Z$12,Skills!$N$1:$AS$1,0),FALSE)</f>
        <v>#N/A</v>
      </c>
      <c r="AJ38" s="4" t="e">
        <f>VLOOKUP($N38,[2]Cultures!$B$4:$M$283,MATCH(AJ$1,[2]Cultures!$B$3:$M$3,0),FALSE)</f>
        <v>#N/A</v>
      </c>
      <c r="AK38" s="4" t="e">
        <f>VLOOKUP($N38,[2]Cultures!$B$4:$M$283,MATCH(AK$1,[2]Cultures!$B$3:$M$3,0),FALSE)</f>
        <v>#N/A</v>
      </c>
      <c r="AL38" s="4" t="e">
        <f>VLOOKUP($N38,[2]Cultures!$B$4:$M$283,MATCH(AL$1,[2]Cultures!$B$3:$M$3,0),FALSE)</f>
        <v>#N/A</v>
      </c>
      <c r="AM38" s="4" t="e">
        <f>VLOOKUP($N38,[2]Cultures!$B$4:$M$283,MATCH(AM$1,[2]Cultures!$B$3:$M$3,0),FALSE)</f>
        <v>#N/A</v>
      </c>
      <c r="AN38" s="4" t="e">
        <f>VLOOKUP($N38,[2]Cultures!$B$4:$M$283,MATCH(AN$1,[2]Cultures!$B$3:$M$3,0),FALSE)</f>
        <v>#N/A</v>
      </c>
      <c r="AO38" s="4" t="e">
        <f>VLOOKUP($N38,[2]Cultures!$B$4:$M$283,MATCH(AO$1,[2]Cultures!$B$3:$M$3,0),FALSE)</f>
        <v>#N/A</v>
      </c>
      <c r="AP38" s="4" t="e">
        <f>VLOOKUP($N38,[2]Cultures!$B$4:$M$283,MATCH(AP$1,[2]Cultures!$B$3:$M$3,0),FALSE)</f>
        <v>#N/A</v>
      </c>
      <c r="AQ38" s="4" t="e">
        <f>VLOOKUP($N38,[2]Cultures!$B$4:$M$283,MATCH(AQ$1,[2]Cultures!$B$3:$M$3,0),FALSE)</f>
        <v>#N/A</v>
      </c>
      <c r="AR38" s="4" t="e">
        <f>VLOOKUP($N38,[2]Cultures!$B$4:$M$283,MATCH(AR$1,[2]Cultures!$B$3:$M$3,0),FALSE)</f>
        <v>#N/A</v>
      </c>
      <c r="AS38" s="4" t="e">
        <f>VLOOKUP($N38,[2]Cultures!$B$4:$M$283,MATCH(AS$1,[2]Cultures!$B$3:$M$3,0),FALSE)</f>
        <v>#N/A</v>
      </c>
      <c r="AT38" s="4"/>
      <c r="AU38" s="4">
        <f>IF(ISNUMBER(SEARCH(N38&amp;";",Calculations!$Q$19)),VLOOKUP(Skills!N38,Calculations!$Q$2:$T$16,4,FALSE),0)</f>
        <v>0</v>
      </c>
      <c r="AV38" s="4">
        <f>IF(ISNUMBER(SEARCH(N38&amp;";",Calculations!$Q$18)),1,0)</f>
        <v>0</v>
      </c>
      <c r="AW38" s="4"/>
      <c r="AX38" s="4">
        <f>VLOOKUP($N38,$N38:$CH38,MATCH('Character Sheet'!$BJ$3,Skills!$N$1:$CH$1,0),FALSE)</f>
        <v>0</v>
      </c>
    </row>
    <row r="39" spans="1:50" x14ac:dyDescent="0.25">
      <c r="B39" s="4" t="e">
        <f t="shared" ca="1" si="23"/>
        <v>#N/A</v>
      </c>
      <c r="E39" s="4"/>
      <c r="F39" s="4">
        <f t="shared" si="8"/>
        <v>0</v>
      </c>
      <c r="G39" s="4"/>
      <c r="H39" s="4" t="e">
        <f t="shared" si="15"/>
        <v>#N/A</v>
      </c>
      <c r="I39" s="4" t="e">
        <f>IF($J$38=1,1,0)</f>
        <v>#N/A</v>
      </c>
      <c r="J39" s="4">
        <f t="shared" si="0"/>
        <v>0</v>
      </c>
      <c r="K39" s="4">
        <f t="shared" si="26"/>
        <v>0</v>
      </c>
      <c r="M39" t="str">
        <f>N39</f>
        <v>Maneuvering in Armour</v>
      </c>
      <c r="N39" s="3" t="str">
        <f>'Character Sheet'!UH5</f>
        <v>Maneuvering in Armour</v>
      </c>
      <c r="O39" s="6" t="s">
        <v>782</v>
      </c>
      <c r="P39" s="6" t="s">
        <v>782</v>
      </c>
      <c r="Q39" s="4">
        <f t="shared" si="27"/>
        <v>0</v>
      </c>
      <c r="R39" s="4">
        <f>IF(ISNUMBER(SEARCH("Category",N39)),"- -",IF(ISNUMBER(SEARCH("Skills",N39)),"- -",'Level-up'!C57))</f>
        <v>0</v>
      </c>
      <c r="S39" s="4">
        <f t="shared" si="3"/>
        <v>0</v>
      </c>
      <c r="T39" s="4">
        <f t="shared" si="4"/>
        <v>0</v>
      </c>
      <c r="U39" s="4" t="str">
        <f t="shared" ca="1" si="9"/>
        <v>- -</v>
      </c>
      <c r="V39" s="4">
        <f t="shared" ref="V39:V45" si="29">IF(ISNUMBER(SEARCH("Category",N39)),"- -",IF(ISNUMBER(SEARCH("Skills",N39)),"- -",IF(AU39&gt;0,AU39,$AU$37)))</f>
        <v>0</v>
      </c>
      <c r="W39" s="4">
        <f t="shared" si="28"/>
        <v>0</v>
      </c>
      <c r="X39" s="4">
        <f t="shared" si="10"/>
        <v>0</v>
      </c>
      <c r="Y39" s="4">
        <f t="shared" si="11"/>
        <v>0</v>
      </c>
      <c r="Z39" s="4">
        <f t="shared" si="12"/>
        <v>0</v>
      </c>
      <c r="AA39" s="4">
        <f t="shared" si="13"/>
        <v>0</v>
      </c>
      <c r="AB39" s="4">
        <f t="shared" si="14"/>
        <v>0</v>
      </c>
      <c r="AC39" s="8"/>
      <c r="AD39" s="4"/>
      <c r="AE39" s="4"/>
      <c r="AF39" s="4" t="str">
        <f t="shared" ca="1" si="6"/>
        <v>0</v>
      </c>
      <c r="AG39" s="4"/>
      <c r="AH39" s="4">
        <f>IFERROR(VLOOKUP(M39,Calculations!$AC$2:$AD$251,2,FALSE),0)</f>
        <v>0</v>
      </c>
      <c r="AI39" s="4">
        <f>VLOOKUP(N39,$N$2:$AS$620,MATCH('Character Creation'!$Z$12,Skills!$N$1:$AS$1,0),FALSE)</f>
        <v>0</v>
      </c>
      <c r="AJ39" s="4">
        <f>VLOOKUP($N39,[2]Cultures!$B$4:$M$283,MATCH(AJ$1,[2]Cultures!$B$3:$M$3,0),FALSE)</f>
        <v>0</v>
      </c>
      <c r="AK39" s="4">
        <f>VLOOKUP($N39,[2]Cultures!$B$4:$M$283,MATCH(AK$1,[2]Cultures!$B$3:$M$3,0),FALSE)</f>
        <v>0</v>
      </c>
      <c r="AL39" s="4">
        <f>VLOOKUP($N39,[2]Cultures!$B$4:$M$283,MATCH(AL$1,[2]Cultures!$B$3:$M$3,0),FALSE)</f>
        <v>0</v>
      </c>
      <c r="AM39" s="4">
        <f>VLOOKUP($N39,[2]Cultures!$B$4:$M$283,MATCH(AM$1,[2]Cultures!$B$3:$M$3,0),FALSE)</f>
        <v>0</v>
      </c>
      <c r="AN39" s="4">
        <f>VLOOKUP($N39,[2]Cultures!$B$4:$M$283,MATCH(AN$1,[2]Cultures!$B$3:$M$3,0),FALSE)</f>
        <v>0</v>
      </c>
      <c r="AO39" s="4">
        <f>VLOOKUP($N39,[2]Cultures!$B$4:$M$283,MATCH(AO$1,[2]Cultures!$B$3:$M$3,0),FALSE)</f>
        <v>1</v>
      </c>
      <c r="AP39" s="4">
        <f>VLOOKUP($N39,[2]Cultures!$B$4:$M$283,MATCH(AP$1,[2]Cultures!$B$3:$M$3,0),FALSE)</f>
        <v>0</v>
      </c>
      <c r="AQ39" s="4">
        <f>VLOOKUP($N39,[2]Cultures!$B$4:$M$283,MATCH(AQ$1,[2]Cultures!$B$3:$M$3,0),FALSE)</f>
        <v>0</v>
      </c>
      <c r="AR39" s="4">
        <f>VLOOKUP($N39,[2]Cultures!$B$4:$M$283,MATCH(AR$1,[2]Cultures!$B$3:$M$3,0),FALSE)</f>
        <v>0</v>
      </c>
      <c r="AS39" s="4">
        <f>VLOOKUP($N39,[2]Cultures!$B$4:$M$283,MATCH(AS$1,[2]Cultures!$B$3:$M$3,0),FALSE)</f>
        <v>0</v>
      </c>
      <c r="AT39" s="4"/>
      <c r="AU39" s="4">
        <f>IF(ISNUMBER(SEARCH(N39&amp;";",Calculations!$Q$19)),VLOOKUP(Skills!N39,Calculations!$Q$2:$T$16,4,FALSE),0)</f>
        <v>0</v>
      </c>
      <c r="AV39" s="4">
        <f>IF(ISNUMBER(SEARCH(N39&amp;";",Calculations!$Q$18)),1,0)</f>
        <v>0</v>
      </c>
      <c r="AW39" s="4">
        <f>IF($AV$37=1,1,AV39)</f>
        <v>0</v>
      </c>
      <c r="AX39" s="4">
        <f>VLOOKUP($N39,$N39:$CH39,MATCH('Character Sheet'!$BJ$3,Skills!$N$1:$CH$1,0),FALSE)</f>
        <v>0</v>
      </c>
    </row>
    <row r="40" spans="1:50" x14ac:dyDescent="0.25">
      <c r="B40" s="4" t="e">
        <f t="shared" ca="1" si="23"/>
        <v>#N/A</v>
      </c>
      <c r="E40" s="4"/>
      <c r="F40" s="4">
        <f t="shared" si="8"/>
        <v>0</v>
      </c>
      <c r="G40" s="4"/>
      <c r="H40" s="4" t="e">
        <f t="shared" si="15"/>
        <v>#N/A</v>
      </c>
      <c r="I40" s="4" t="e">
        <f>IF($J$38=1,1,0)</f>
        <v>#N/A</v>
      </c>
      <c r="J40" s="4">
        <f t="shared" si="0"/>
        <v>0</v>
      </c>
      <c r="K40" s="4">
        <f t="shared" si="26"/>
        <v>0</v>
      </c>
      <c r="M40" t="str">
        <f>N40</f>
        <v>Mounted Combat</v>
      </c>
      <c r="N40" s="3" t="str">
        <f>'Character Sheet'!UH6</f>
        <v>Mounted Combat</v>
      </c>
      <c r="O40" s="6" t="s">
        <v>782</v>
      </c>
      <c r="P40" s="6" t="s">
        <v>782</v>
      </c>
      <c r="Q40" s="4">
        <f t="shared" si="27"/>
        <v>0</v>
      </c>
      <c r="R40" s="4">
        <f>IF(ISNUMBER(SEARCH("Category",N40)),"- -",IF(ISNUMBER(SEARCH("Skills",N40)),"- -",'Level-up'!C58))</f>
        <v>0</v>
      </c>
      <c r="S40" s="4">
        <f t="shared" si="3"/>
        <v>0</v>
      </c>
      <c r="T40" s="4">
        <f t="shared" si="4"/>
        <v>0</v>
      </c>
      <c r="U40" s="4" t="str">
        <f t="shared" ca="1" si="9"/>
        <v>- -</v>
      </c>
      <c r="V40" s="4">
        <f t="shared" si="29"/>
        <v>0</v>
      </c>
      <c r="W40" s="4">
        <f t="shared" si="28"/>
        <v>0</v>
      </c>
      <c r="X40" s="4">
        <f t="shared" si="10"/>
        <v>0</v>
      </c>
      <c r="Y40" s="4">
        <f t="shared" si="11"/>
        <v>0</v>
      </c>
      <c r="Z40" s="4">
        <f t="shared" si="12"/>
        <v>0</v>
      </c>
      <c r="AA40" s="4">
        <f t="shared" si="13"/>
        <v>0</v>
      </c>
      <c r="AB40" s="4">
        <f t="shared" si="14"/>
        <v>0</v>
      </c>
      <c r="AC40" s="8"/>
      <c r="AD40" s="4"/>
      <c r="AE40" s="4"/>
      <c r="AF40" s="4" t="str">
        <f t="shared" ca="1" si="6"/>
        <v>0</v>
      </c>
      <c r="AG40" s="4"/>
      <c r="AH40" s="4">
        <f>IFERROR(VLOOKUP(M40,Calculations!$AC$2:$AD$251,2,FALSE),0)</f>
        <v>0</v>
      </c>
      <c r="AI40" s="4">
        <f>VLOOKUP(N40,$N$2:$AS$620,MATCH('Character Creation'!$Z$12,Skills!$N$1:$AS$1,0),FALSE)</f>
        <v>0</v>
      </c>
      <c r="AJ40" s="4">
        <f>VLOOKUP($N40,[2]Cultures!$B$4:$M$283,MATCH(AJ$1,[2]Cultures!$B$3:$M$3,0),FALSE)</f>
        <v>0</v>
      </c>
      <c r="AK40" s="4">
        <f>VLOOKUP($N40,[2]Cultures!$B$4:$M$283,MATCH(AK$1,[2]Cultures!$B$3:$M$3,0),FALSE)</f>
        <v>0</v>
      </c>
      <c r="AL40" s="4">
        <f>VLOOKUP($N40,[2]Cultures!$B$4:$M$283,MATCH(AL$1,[2]Cultures!$B$3:$M$3,0),FALSE)</f>
        <v>0</v>
      </c>
      <c r="AM40" s="4">
        <f>VLOOKUP($N40,[2]Cultures!$B$4:$M$283,MATCH(AM$1,[2]Cultures!$B$3:$M$3,0),FALSE)</f>
        <v>0</v>
      </c>
      <c r="AN40" s="4">
        <f>VLOOKUP($N40,[2]Cultures!$B$4:$M$283,MATCH(AN$1,[2]Cultures!$B$3:$M$3,0),FALSE)</f>
        <v>0</v>
      </c>
      <c r="AO40" s="4">
        <f>VLOOKUP($N40,[2]Cultures!$B$4:$M$283,MATCH(AO$1,[2]Cultures!$B$3:$M$3,0),FALSE)</f>
        <v>0</v>
      </c>
      <c r="AP40" s="4">
        <f>VLOOKUP($N40,[2]Cultures!$B$4:$M$283,MATCH(AP$1,[2]Cultures!$B$3:$M$3,0),FALSE)</f>
        <v>0</v>
      </c>
      <c r="AQ40" s="4">
        <f>VLOOKUP($N40,[2]Cultures!$B$4:$M$283,MATCH(AQ$1,[2]Cultures!$B$3:$M$3,0),FALSE)</f>
        <v>0</v>
      </c>
      <c r="AR40" s="4">
        <f>VLOOKUP($N40,[2]Cultures!$B$4:$M$283,MATCH(AR$1,[2]Cultures!$B$3:$M$3,0),FALSE)</f>
        <v>0</v>
      </c>
      <c r="AS40" s="4">
        <f>VLOOKUP($N40,[2]Cultures!$B$4:$M$283,MATCH(AS$1,[2]Cultures!$B$3:$M$3,0),FALSE)</f>
        <v>0</v>
      </c>
      <c r="AT40" s="4"/>
      <c r="AU40" s="4">
        <f>IF(ISNUMBER(SEARCH(N40&amp;";",Calculations!$Q$19)),VLOOKUP(Skills!N40,Calculations!$Q$2:$T$16,4,FALSE),0)</f>
        <v>0</v>
      </c>
      <c r="AV40" s="4">
        <f>IF(ISNUMBER(SEARCH(N40&amp;";",Calculations!$Q$18)),1,0)</f>
        <v>0</v>
      </c>
      <c r="AW40" s="4">
        <f>IF($AV$37=1,1,AV40)</f>
        <v>0</v>
      </c>
      <c r="AX40" s="4">
        <f>VLOOKUP($N40,$N40:$CH40,MATCH('Character Sheet'!$BJ$3,Skills!$N$1:$CH$1,0),FALSE)</f>
        <v>0</v>
      </c>
    </row>
    <row r="41" spans="1:50" x14ac:dyDescent="0.25">
      <c r="B41" s="4" t="e">
        <f t="shared" ca="1" si="23"/>
        <v>#N/A</v>
      </c>
      <c r="E41" s="4"/>
      <c r="F41" s="4">
        <f t="shared" si="8"/>
        <v>0</v>
      </c>
      <c r="G41" s="4"/>
      <c r="H41" s="4" t="e">
        <f t="shared" si="15"/>
        <v>#N/A</v>
      </c>
      <c r="I41" s="4" t="e">
        <f>IF($J$38=1,1,0)</f>
        <v>#N/A</v>
      </c>
      <c r="J41" s="4">
        <f t="shared" si="0"/>
        <v>0</v>
      </c>
      <c r="K41" s="4">
        <f t="shared" si="26"/>
        <v>0</v>
      </c>
      <c r="M41" t="str">
        <f>N41</f>
        <v>Protect</v>
      </c>
      <c r="N41" s="3" t="str">
        <f>'Character Sheet'!UH7</f>
        <v>Protect</v>
      </c>
      <c r="O41" s="6" t="s">
        <v>782</v>
      </c>
      <c r="P41" s="6" t="s">
        <v>782</v>
      </c>
      <c r="Q41" s="4">
        <f t="shared" si="27"/>
        <v>0</v>
      </c>
      <c r="R41" s="4">
        <f>IF(ISNUMBER(SEARCH("Category",N41)),"- -",IF(ISNUMBER(SEARCH("Skills",N41)),"- -",'Level-up'!C59))</f>
        <v>0</v>
      </c>
      <c r="S41" s="4">
        <f t="shared" si="3"/>
        <v>0</v>
      </c>
      <c r="T41" s="4">
        <f t="shared" si="4"/>
        <v>0</v>
      </c>
      <c r="U41" s="4" t="str">
        <f t="shared" ca="1" si="9"/>
        <v>- -</v>
      </c>
      <c r="V41" s="4">
        <f t="shared" si="29"/>
        <v>0</v>
      </c>
      <c r="W41" s="4">
        <f t="shared" si="28"/>
        <v>0</v>
      </c>
      <c r="X41" s="4">
        <f t="shared" si="10"/>
        <v>0</v>
      </c>
      <c r="Y41" s="4">
        <f t="shared" si="11"/>
        <v>0</v>
      </c>
      <c r="Z41" s="4">
        <f t="shared" si="12"/>
        <v>0</v>
      </c>
      <c r="AA41" s="4">
        <f t="shared" si="13"/>
        <v>0</v>
      </c>
      <c r="AB41" s="4">
        <f t="shared" si="14"/>
        <v>0</v>
      </c>
      <c r="AC41" s="8"/>
      <c r="AD41" s="4"/>
      <c r="AE41" s="4"/>
      <c r="AF41" s="4" t="str">
        <f t="shared" ca="1" si="6"/>
        <v>0</v>
      </c>
      <c r="AG41" s="4"/>
      <c r="AH41" s="4">
        <f>IFERROR(VLOOKUP(M41,Calculations!$AC$2:$AD$251,2,FALSE),0)</f>
        <v>0</v>
      </c>
      <c r="AI41" s="4">
        <f>VLOOKUP(N41,$N$2:$AS$620,MATCH('Character Creation'!$Z$12,Skills!$N$1:$AS$1,0),FALSE)</f>
        <v>0</v>
      </c>
      <c r="AJ41" s="4">
        <f>VLOOKUP($N41,[2]Cultures!$B$4:$M$283,MATCH(AJ$1,[2]Cultures!$B$3:$M$3,0),FALSE)</f>
        <v>0</v>
      </c>
      <c r="AK41" s="4">
        <f>VLOOKUP($N41,[2]Cultures!$B$4:$M$283,MATCH(AK$1,[2]Cultures!$B$3:$M$3,0),FALSE)</f>
        <v>0</v>
      </c>
      <c r="AL41" s="4">
        <f>VLOOKUP($N41,[2]Cultures!$B$4:$M$283,MATCH(AL$1,[2]Cultures!$B$3:$M$3,0),FALSE)</f>
        <v>0</v>
      </c>
      <c r="AM41" s="4">
        <f>VLOOKUP($N41,[2]Cultures!$B$4:$M$283,MATCH(AM$1,[2]Cultures!$B$3:$M$3,0),FALSE)</f>
        <v>0</v>
      </c>
      <c r="AN41" s="4">
        <f>VLOOKUP($N41,[2]Cultures!$B$4:$M$283,MATCH(AN$1,[2]Cultures!$B$3:$M$3,0),FALSE)</f>
        <v>0</v>
      </c>
      <c r="AO41" s="4">
        <f>VLOOKUP($N41,[2]Cultures!$B$4:$M$283,MATCH(AO$1,[2]Cultures!$B$3:$M$3,0),FALSE)</f>
        <v>0</v>
      </c>
      <c r="AP41" s="4">
        <f>VLOOKUP($N41,[2]Cultures!$B$4:$M$283,MATCH(AP$1,[2]Cultures!$B$3:$M$3,0),FALSE)</f>
        <v>0</v>
      </c>
      <c r="AQ41" s="4">
        <f>VLOOKUP($N41,[2]Cultures!$B$4:$M$283,MATCH(AQ$1,[2]Cultures!$B$3:$M$3,0),FALSE)</f>
        <v>0</v>
      </c>
      <c r="AR41" s="4">
        <f>VLOOKUP($N41,[2]Cultures!$B$4:$M$283,MATCH(AR$1,[2]Cultures!$B$3:$M$3,0),FALSE)</f>
        <v>0</v>
      </c>
      <c r="AS41" s="4">
        <f>VLOOKUP($N41,[2]Cultures!$B$4:$M$283,MATCH(AS$1,[2]Cultures!$B$3:$M$3,0),FALSE)</f>
        <v>0</v>
      </c>
      <c r="AT41" s="4"/>
      <c r="AU41" s="4">
        <f>IF(ISNUMBER(SEARCH(N41&amp;";",Calculations!$Q$19)),VLOOKUP(Skills!N41,Calculations!$Q$2:$T$16,4,FALSE),0)</f>
        <v>0</v>
      </c>
      <c r="AV41" s="4">
        <f>IF(ISNUMBER(SEARCH(N41&amp;";",Calculations!$Q$18)),1,0)</f>
        <v>0</v>
      </c>
      <c r="AW41" s="4">
        <f>IF($AV$37=1,1,AV41)</f>
        <v>0</v>
      </c>
      <c r="AX41" s="4">
        <f>VLOOKUP($N41,$N41:$CH41,MATCH('Character Sheet'!$BJ$3,Skills!$N$1:$CH$1,0),FALSE)</f>
        <v>0</v>
      </c>
    </row>
    <row r="42" spans="1:50" x14ac:dyDescent="0.25">
      <c r="B42" s="4" t="e">
        <f t="shared" ca="1" si="23"/>
        <v>#N/A</v>
      </c>
      <c r="E42" s="4"/>
      <c r="F42" s="4">
        <f t="shared" si="8"/>
        <v>0</v>
      </c>
      <c r="G42" s="4"/>
      <c r="H42" s="4" t="e">
        <f t="shared" si="15"/>
        <v>#N/A</v>
      </c>
      <c r="I42" s="4" t="e">
        <f>IF($J$38=1,1,0)</f>
        <v>#N/A</v>
      </c>
      <c r="J42" s="4">
        <f t="shared" si="0"/>
        <v>0</v>
      </c>
      <c r="K42" s="4">
        <f t="shared" si="26"/>
        <v>0</v>
      </c>
      <c r="M42" t="str">
        <f>N42</f>
        <v>Restricted Quarters</v>
      </c>
      <c r="N42" s="3" t="str">
        <f>'Character Sheet'!UH8</f>
        <v>Restricted Quarters</v>
      </c>
      <c r="O42" s="6" t="s">
        <v>782</v>
      </c>
      <c r="P42" s="6" t="s">
        <v>782</v>
      </c>
      <c r="Q42" s="4">
        <f t="shared" si="27"/>
        <v>0</v>
      </c>
      <c r="R42" s="4">
        <f>IF(ISNUMBER(SEARCH("Category",N42)),"- -",IF(ISNUMBER(SEARCH("Skills",N42)),"- -",'Level-up'!C60))</f>
        <v>0</v>
      </c>
      <c r="S42" s="4">
        <f t="shared" si="3"/>
        <v>0</v>
      </c>
      <c r="T42" s="4">
        <f t="shared" si="4"/>
        <v>0</v>
      </c>
      <c r="U42" s="4" t="str">
        <f t="shared" ca="1" si="9"/>
        <v>- -</v>
      </c>
      <c r="V42" s="4">
        <f t="shared" si="29"/>
        <v>0</v>
      </c>
      <c r="W42" s="4">
        <f t="shared" si="28"/>
        <v>0</v>
      </c>
      <c r="X42" s="4">
        <f t="shared" si="10"/>
        <v>0</v>
      </c>
      <c r="Y42" s="4">
        <f t="shared" si="11"/>
        <v>0</v>
      </c>
      <c r="Z42" s="4">
        <f t="shared" si="12"/>
        <v>0</v>
      </c>
      <c r="AA42" s="4">
        <f t="shared" si="13"/>
        <v>0</v>
      </c>
      <c r="AB42" s="4">
        <f t="shared" si="14"/>
        <v>0</v>
      </c>
      <c r="AC42" s="8"/>
      <c r="AD42" s="4"/>
      <c r="AE42" s="4"/>
      <c r="AF42" s="4" t="str">
        <f t="shared" ca="1" si="6"/>
        <v>0</v>
      </c>
      <c r="AG42" s="4"/>
      <c r="AH42" s="4">
        <f>IFERROR(VLOOKUP(M42,Calculations!$AC$2:$AD$251,2,FALSE),0)</f>
        <v>0</v>
      </c>
      <c r="AI42" s="4">
        <f>VLOOKUP(N42,$N$2:$AS$620,MATCH('Character Creation'!$Z$12,Skills!$N$1:$AS$1,0),FALSE)</f>
        <v>0</v>
      </c>
      <c r="AJ42" s="4">
        <f>VLOOKUP($N42,[2]Cultures!$B$4:$M$283,MATCH(AJ$1,[2]Cultures!$B$3:$M$3,0),FALSE)</f>
        <v>0</v>
      </c>
      <c r="AK42" s="4">
        <f>VLOOKUP($N42,[2]Cultures!$B$4:$M$283,MATCH(AK$1,[2]Cultures!$B$3:$M$3,0),FALSE)</f>
        <v>0</v>
      </c>
      <c r="AL42" s="4">
        <f>VLOOKUP($N42,[2]Cultures!$B$4:$M$283,MATCH(AL$1,[2]Cultures!$B$3:$M$3,0),FALSE)</f>
        <v>0</v>
      </c>
      <c r="AM42" s="4">
        <f>VLOOKUP($N42,[2]Cultures!$B$4:$M$283,MATCH(AM$1,[2]Cultures!$B$3:$M$3,0),FALSE)</f>
        <v>0</v>
      </c>
      <c r="AN42" s="4">
        <f>VLOOKUP($N42,[2]Cultures!$B$4:$M$283,MATCH(AN$1,[2]Cultures!$B$3:$M$3,0),FALSE)</f>
        <v>0</v>
      </c>
      <c r="AO42" s="4">
        <f>VLOOKUP($N42,[2]Cultures!$B$4:$M$283,MATCH(AO$1,[2]Cultures!$B$3:$M$3,0),FALSE)</f>
        <v>0</v>
      </c>
      <c r="AP42" s="4">
        <f>VLOOKUP($N42,[2]Cultures!$B$4:$M$283,MATCH(AP$1,[2]Cultures!$B$3:$M$3,0),FALSE)</f>
        <v>0</v>
      </c>
      <c r="AQ42" s="4">
        <f>VLOOKUP($N42,[2]Cultures!$B$4:$M$283,MATCH(AQ$1,[2]Cultures!$B$3:$M$3,0),FALSE)</f>
        <v>0</v>
      </c>
      <c r="AR42" s="4">
        <f>VLOOKUP($N42,[2]Cultures!$B$4:$M$283,MATCH(AR$1,[2]Cultures!$B$3:$M$3,0),FALSE)</f>
        <v>0</v>
      </c>
      <c r="AS42" s="4">
        <f>VLOOKUP($N42,[2]Cultures!$B$4:$M$283,MATCH(AS$1,[2]Cultures!$B$3:$M$3,0),FALSE)</f>
        <v>0</v>
      </c>
      <c r="AT42" s="4"/>
      <c r="AU42" s="4">
        <f>IF(ISNUMBER(SEARCH(N42&amp;";",Calculations!$Q$19)),VLOOKUP(Skills!N42,Calculations!$Q$2:$T$16,4,FALSE),0)</f>
        <v>0</v>
      </c>
      <c r="AV42" s="4">
        <f>IF(ISNUMBER(SEARCH(N42&amp;";",Calculations!$Q$18)),1,0)</f>
        <v>0</v>
      </c>
      <c r="AW42" s="4">
        <f>IF($AV$37=1,1,AV42)</f>
        <v>0</v>
      </c>
      <c r="AX42" s="4">
        <f>VLOOKUP($N42,$N42:$CH42,MATCH('Character Sheet'!$BJ$3,Skills!$N$1:$CH$1,0),FALSE)</f>
        <v>0</v>
      </c>
    </row>
    <row r="43" spans="1:50" x14ac:dyDescent="0.25">
      <c r="B43" s="4" t="e">
        <f t="shared" ca="1" si="23"/>
        <v>#N/A</v>
      </c>
      <c r="E43" s="4"/>
      <c r="F43" s="4">
        <f t="shared" si="8"/>
        <v>0</v>
      </c>
      <c r="G43" s="4"/>
      <c r="H43" s="4" t="e">
        <f t="shared" si="15"/>
        <v>#N/A</v>
      </c>
      <c r="I43" s="4" t="e">
        <f>IF($J$38=1,1,0)</f>
        <v>#N/A</v>
      </c>
      <c r="J43" s="4">
        <f t="shared" si="0"/>
        <v>0</v>
      </c>
      <c r="K43" s="4">
        <f t="shared" si="26"/>
        <v>0</v>
      </c>
      <c r="M43" t="str">
        <f>N43</f>
        <v>Subduing</v>
      </c>
      <c r="N43" s="3" t="str">
        <f>'Character Sheet'!UH9</f>
        <v>Subduing</v>
      </c>
      <c r="O43" s="6" t="s">
        <v>782</v>
      </c>
      <c r="P43" s="6" t="s">
        <v>782</v>
      </c>
      <c r="Q43" s="4">
        <f t="shared" si="27"/>
        <v>0</v>
      </c>
      <c r="R43" s="4">
        <f>IF(ISNUMBER(SEARCH("Category",N43)),"- -",IF(ISNUMBER(SEARCH("Skills",N43)),"- -",'Level-up'!C61))</f>
        <v>0</v>
      </c>
      <c r="S43" s="4">
        <f t="shared" si="3"/>
        <v>0</v>
      </c>
      <c r="T43" s="4">
        <f t="shared" si="4"/>
        <v>0</v>
      </c>
      <c r="U43" s="4" t="str">
        <f t="shared" ca="1" si="9"/>
        <v>- -</v>
      </c>
      <c r="V43" s="4">
        <f t="shared" si="29"/>
        <v>0</v>
      </c>
      <c r="W43" s="4">
        <f t="shared" si="28"/>
        <v>0</v>
      </c>
      <c r="X43" s="4">
        <f t="shared" si="10"/>
        <v>0</v>
      </c>
      <c r="Y43" s="4">
        <f t="shared" si="11"/>
        <v>0</v>
      </c>
      <c r="Z43" s="4">
        <f t="shared" si="12"/>
        <v>0</v>
      </c>
      <c r="AA43" s="4">
        <f t="shared" si="13"/>
        <v>0</v>
      </c>
      <c r="AB43" s="4">
        <f t="shared" si="14"/>
        <v>0</v>
      </c>
      <c r="AC43" s="8"/>
      <c r="AD43" s="4"/>
      <c r="AE43" s="4"/>
      <c r="AF43" s="4" t="str">
        <f t="shared" ca="1" si="6"/>
        <v>0</v>
      </c>
      <c r="AG43" s="4"/>
      <c r="AH43" s="4">
        <f>IFERROR(VLOOKUP(M43,Calculations!$AC$2:$AD$251,2,FALSE),0)</f>
        <v>0</v>
      </c>
      <c r="AI43" s="4">
        <f>VLOOKUP(N43,$N$2:$AS$620,MATCH('Character Creation'!$Z$12,Skills!$N$1:$AS$1,0),FALSE)</f>
        <v>0</v>
      </c>
      <c r="AJ43" s="4">
        <f>VLOOKUP($N43,[2]Cultures!$B$4:$M$283,MATCH(AJ$1,[2]Cultures!$B$3:$M$3,0),FALSE)</f>
        <v>0</v>
      </c>
      <c r="AK43" s="4">
        <f>VLOOKUP($N43,[2]Cultures!$B$4:$M$283,MATCH(AK$1,[2]Cultures!$B$3:$M$3,0),FALSE)</f>
        <v>0</v>
      </c>
      <c r="AL43" s="4">
        <f>VLOOKUP($N43,[2]Cultures!$B$4:$M$283,MATCH(AL$1,[2]Cultures!$B$3:$M$3,0),FALSE)</f>
        <v>0</v>
      </c>
      <c r="AM43" s="4">
        <f>VLOOKUP($N43,[2]Cultures!$B$4:$M$283,MATCH(AM$1,[2]Cultures!$B$3:$M$3,0),FALSE)</f>
        <v>0</v>
      </c>
      <c r="AN43" s="4">
        <f>VLOOKUP($N43,[2]Cultures!$B$4:$M$283,MATCH(AN$1,[2]Cultures!$B$3:$M$3,0),FALSE)</f>
        <v>0</v>
      </c>
      <c r="AO43" s="4">
        <f>VLOOKUP($N43,[2]Cultures!$B$4:$M$283,MATCH(AO$1,[2]Cultures!$B$3:$M$3,0),FALSE)</f>
        <v>0</v>
      </c>
      <c r="AP43" s="4">
        <f>VLOOKUP($N43,[2]Cultures!$B$4:$M$283,MATCH(AP$1,[2]Cultures!$B$3:$M$3,0),FALSE)</f>
        <v>0</v>
      </c>
      <c r="AQ43" s="4">
        <f>VLOOKUP($N43,[2]Cultures!$B$4:$M$283,MATCH(AQ$1,[2]Cultures!$B$3:$M$3,0),FALSE)</f>
        <v>0</v>
      </c>
      <c r="AR43" s="4">
        <f>VLOOKUP($N43,[2]Cultures!$B$4:$M$283,MATCH(AR$1,[2]Cultures!$B$3:$M$3,0),FALSE)</f>
        <v>0</v>
      </c>
      <c r="AS43" s="4">
        <f>VLOOKUP($N43,[2]Cultures!$B$4:$M$283,MATCH(AS$1,[2]Cultures!$B$3:$M$3,0),FALSE)</f>
        <v>0</v>
      </c>
      <c r="AT43" s="4"/>
      <c r="AU43" s="4">
        <f>IF(ISNUMBER(SEARCH(N43&amp;";",Calculations!$Q$19)),VLOOKUP(Skills!N43,Calculations!$Q$2:$T$16,4,FALSE),0)</f>
        <v>0</v>
      </c>
      <c r="AV43" s="4">
        <f>IF(ISNUMBER(SEARCH(N43&amp;";",Calculations!$Q$18)),1,0)</f>
        <v>0</v>
      </c>
      <c r="AW43" s="4">
        <f>IF($AV$37=1,1,AV43)</f>
        <v>0</v>
      </c>
      <c r="AX43" s="4">
        <f>VLOOKUP($N43,$N43:$CH43,MATCH('Character Sheet'!$BJ$3,Skills!$N$1:$CH$1,0),FALSE)</f>
        <v>0</v>
      </c>
    </row>
    <row r="44" spans="1:50" x14ac:dyDescent="0.25">
      <c r="B44" s="4" t="e">
        <f t="shared" ca="1" si="23"/>
        <v>#N/A</v>
      </c>
      <c r="E44" s="4"/>
      <c r="F44" s="4">
        <f t="shared" si="8"/>
        <v>0</v>
      </c>
      <c r="G44" s="4"/>
      <c r="H44" s="4" t="e">
        <f t="shared" si="15"/>
        <v>#N/A</v>
      </c>
      <c r="I44" s="4" t="e">
        <f>IF($J$45=1,1,0)</f>
        <v>#N/A</v>
      </c>
      <c r="J44" s="4">
        <f t="shared" si="0"/>
        <v>0</v>
      </c>
      <c r="K44" s="4" t="e">
        <f t="shared" si="26"/>
        <v>#N/A</v>
      </c>
      <c r="N44" s="3" t="s">
        <v>617</v>
      </c>
      <c r="O44" s="6" t="s">
        <v>782</v>
      </c>
      <c r="P44" s="6" t="s">
        <v>782</v>
      </c>
      <c r="Q44" s="4" t="str">
        <f t="shared" si="27"/>
        <v>- -</v>
      </c>
      <c r="R44" s="4" t="str">
        <f>IF(ISNUMBER(SEARCH("Category",N44)),"- -",IF(ISNUMBER(SEARCH("Skills",N44)),"- -",'Level-up'!C62))</f>
        <v>- -</v>
      </c>
      <c r="S44" s="4" t="str">
        <f t="shared" si="3"/>
        <v>- -</v>
      </c>
      <c r="T44" s="4" t="str">
        <f t="shared" si="4"/>
        <v>- -</v>
      </c>
      <c r="U44" s="4" t="str">
        <f t="shared" ca="1" si="9"/>
        <v>- -</v>
      </c>
      <c r="V44" s="4" t="str">
        <f t="shared" si="29"/>
        <v>- -</v>
      </c>
      <c r="W44" s="4" t="str">
        <f t="shared" si="28"/>
        <v>- -</v>
      </c>
      <c r="X44" s="4" t="str">
        <f t="shared" si="10"/>
        <v>- -</v>
      </c>
      <c r="Y44" s="4" t="str">
        <f t="shared" si="11"/>
        <v>- -</v>
      </c>
      <c r="Z44" s="4" t="str">
        <f t="shared" si="12"/>
        <v>- -</v>
      </c>
      <c r="AA44" s="4" t="str">
        <f t="shared" si="13"/>
        <v>- -</v>
      </c>
      <c r="AB44" s="4" t="str">
        <f t="shared" si="14"/>
        <v>- -</v>
      </c>
      <c r="AC44" s="8"/>
      <c r="AD44" s="4"/>
      <c r="AE44" s="4"/>
      <c r="AF44" s="4" t="str">
        <f t="shared" si="6"/>
        <v>- -</v>
      </c>
      <c r="AG44" s="4"/>
      <c r="AH44" s="4">
        <f>IFERROR(VLOOKUP(M44,Calculations!$AC$2:$AD$251,2,FALSE),0)</f>
        <v>0</v>
      </c>
      <c r="AI44" s="4" t="e">
        <f>VLOOKUP(N44,$N$2:$AS$620,MATCH('Character Creation'!$Z$12,Skills!$N$1:$AS$1,0),FALSE)</f>
        <v>#N/A</v>
      </c>
      <c r="AJ44" s="4" t="e">
        <f>VLOOKUP($N44,[2]Cultures!$B$4:$M$283,MATCH(AJ$1,[2]Cultures!$B$3:$M$3,0),FALSE)</f>
        <v>#N/A</v>
      </c>
      <c r="AK44" s="4" t="e">
        <f>VLOOKUP($N44,[2]Cultures!$B$4:$M$283,MATCH(AK$1,[2]Cultures!$B$3:$M$3,0),FALSE)</f>
        <v>#N/A</v>
      </c>
      <c r="AL44" s="4" t="e">
        <f>VLOOKUP($N44,[2]Cultures!$B$4:$M$283,MATCH(AL$1,[2]Cultures!$B$3:$M$3,0),FALSE)</f>
        <v>#N/A</v>
      </c>
      <c r="AM44" s="4" t="e">
        <f>VLOOKUP($N44,[2]Cultures!$B$4:$M$283,MATCH(AM$1,[2]Cultures!$B$3:$M$3,0),FALSE)</f>
        <v>#N/A</v>
      </c>
      <c r="AN44" s="4" t="e">
        <f>VLOOKUP($N44,[2]Cultures!$B$4:$M$283,MATCH(AN$1,[2]Cultures!$B$3:$M$3,0),FALSE)</f>
        <v>#N/A</v>
      </c>
      <c r="AO44" s="4" t="e">
        <f>VLOOKUP($N44,[2]Cultures!$B$4:$M$283,MATCH(AO$1,[2]Cultures!$B$3:$M$3,0),FALSE)</f>
        <v>#N/A</v>
      </c>
      <c r="AP44" s="4" t="e">
        <f>VLOOKUP($N44,[2]Cultures!$B$4:$M$283,MATCH(AP$1,[2]Cultures!$B$3:$M$3,0),FALSE)</f>
        <v>#N/A</v>
      </c>
      <c r="AQ44" s="4" t="e">
        <f>VLOOKUP($N44,[2]Cultures!$B$4:$M$283,MATCH(AQ$1,[2]Cultures!$B$3:$M$3,0),FALSE)</f>
        <v>#N/A</v>
      </c>
      <c r="AR44" s="4" t="e">
        <f>VLOOKUP($N44,[2]Cultures!$B$4:$M$283,MATCH(AR$1,[2]Cultures!$B$3:$M$3,0),FALSE)</f>
        <v>#N/A</v>
      </c>
      <c r="AS44" s="4" t="e">
        <f>VLOOKUP($N44,[2]Cultures!$B$4:$M$283,MATCH(AS$1,[2]Cultures!$B$3:$M$3,0),FALSE)</f>
        <v>#N/A</v>
      </c>
      <c r="AT44" s="4"/>
      <c r="AU44" s="4">
        <f>IF(ISNUMBER(SEARCH(N44&amp;";",Calculations!$Q$19)),VLOOKUP(Skills!N44,Calculations!$Q$2:$T$16,4,FALSE),0)</f>
        <v>0</v>
      </c>
      <c r="AV44" s="4">
        <f>IF(ISNUMBER(SEARCH(N44&amp;";",Calculations!$Q$18)),1,0)</f>
        <v>0</v>
      </c>
      <c r="AW44" s="4"/>
      <c r="AX44" s="4">
        <f>VLOOKUP($N44,$N44:$CH44,MATCH('Character Sheet'!$BJ$3,Skills!$N$1:$CH$1,0),FALSE)</f>
        <v>0</v>
      </c>
    </row>
    <row r="45" spans="1:50" x14ac:dyDescent="0.25">
      <c r="B45" s="4" t="e">
        <f t="shared" ca="1" si="23"/>
        <v>#N/A</v>
      </c>
      <c r="E45" s="4"/>
      <c r="F45" s="4">
        <f t="shared" si="8"/>
        <v>0</v>
      </c>
      <c r="G45" s="4"/>
      <c r="H45" s="4" t="e">
        <f t="shared" si="15"/>
        <v>#N/A</v>
      </c>
      <c r="I45" s="4">
        <v>0</v>
      </c>
      <c r="J45" s="4" t="e">
        <f t="shared" si="0"/>
        <v>#N/A</v>
      </c>
      <c r="K45" s="4" t="e">
        <f t="shared" si="26"/>
        <v>#N/A</v>
      </c>
      <c r="N45" s="3" t="s">
        <v>618</v>
      </c>
      <c r="O45" s="6" t="s">
        <v>782</v>
      </c>
      <c r="P45" s="6" t="s">
        <v>782</v>
      </c>
      <c r="Q45" s="4" t="str">
        <f t="shared" si="27"/>
        <v>- -</v>
      </c>
      <c r="R45" s="4" t="str">
        <f>IF(ISNUMBER(SEARCH("Category",N45)),"- -",IF(ISNUMBER(SEARCH("Skills",N45)),"- -",'Level-up'!C63))</f>
        <v>- -</v>
      </c>
      <c r="S45" s="4" t="str">
        <f t="shared" si="3"/>
        <v>- -</v>
      </c>
      <c r="T45" s="4" t="str">
        <f t="shared" si="4"/>
        <v>- -</v>
      </c>
      <c r="U45" s="4" t="str">
        <f t="shared" ca="1" si="9"/>
        <v>- -</v>
      </c>
      <c r="V45" s="4" t="str">
        <f t="shared" si="29"/>
        <v>- -</v>
      </c>
      <c r="W45" s="4" t="str">
        <f t="shared" si="28"/>
        <v>- -</v>
      </c>
      <c r="X45" s="4" t="str">
        <f t="shared" si="10"/>
        <v>- -</v>
      </c>
      <c r="Y45" s="4" t="str">
        <f t="shared" si="11"/>
        <v>- -</v>
      </c>
      <c r="Z45" s="4" t="str">
        <f t="shared" si="12"/>
        <v>- -</v>
      </c>
      <c r="AA45" s="4" t="str">
        <f t="shared" si="13"/>
        <v>- -</v>
      </c>
      <c r="AB45" s="4" t="str">
        <f t="shared" si="14"/>
        <v>- -</v>
      </c>
      <c r="AC45" s="8"/>
      <c r="AD45" s="4"/>
      <c r="AE45" s="4"/>
      <c r="AF45" s="4" t="str">
        <f t="shared" si="6"/>
        <v>- -</v>
      </c>
      <c r="AG45" s="4"/>
      <c r="AH45" s="4">
        <f>IFERROR(VLOOKUP(M45,Calculations!$AC$2:$AD$251,2,FALSE),0)</f>
        <v>0</v>
      </c>
      <c r="AI45" s="4" t="e">
        <f>VLOOKUP(N45,$N$2:$AS$620,MATCH('Character Creation'!$Z$12,Skills!$N$1:$AS$1,0),FALSE)</f>
        <v>#N/A</v>
      </c>
      <c r="AJ45" s="4" t="e">
        <f>VLOOKUP($N45,[2]Cultures!$B$4:$M$283,MATCH(AJ$1,[2]Cultures!$B$3:$M$3,0),FALSE)</f>
        <v>#N/A</v>
      </c>
      <c r="AK45" s="4" t="e">
        <f>VLOOKUP($N45,[2]Cultures!$B$4:$M$283,MATCH(AK$1,[2]Cultures!$B$3:$M$3,0),FALSE)</f>
        <v>#N/A</v>
      </c>
      <c r="AL45" s="4" t="e">
        <f>VLOOKUP($N45,[2]Cultures!$B$4:$M$283,MATCH(AL$1,[2]Cultures!$B$3:$M$3,0),FALSE)</f>
        <v>#N/A</v>
      </c>
      <c r="AM45" s="4" t="e">
        <f>VLOOKUP($N45,[2]Cultures!$B$4:$M$283,MATCH(AM$1,[2]Cultures!$B$3:$M$3,0),FALSE)</f>
        <v>#N/A</v>
      </c>
      <c r="AN45" s="4" t="e">
        <f>VLOOKUP($N45,[2]Cultures!$B$4:$M$283,MATCH(AN$1,[2]Cultures!$B$3:$M$3,0),FALSE)</f>
        <v>#N/A</v>
      </c>
      <c r="AO45" s="4" t="e">
        <f>VLOOKUP($N45,[2]Cultures!$B$4:$M$283,MATCH(AO$1,[2]Cultures!$B$3:$M$3,0),FALSE)</f>
        <v>#N/A</v>
      </c>
      <c r="AP45" s="4" t="e">
        <f>VLOOKUP($N45,[2]Cultures!$B$4:$M$283,MATCH(AP$1,[2]Cultures!$B$3:$M$3,0),FALSE)</f>
        <v>#N/A</v>
      </c>
      <c r="AQ45" s="4" t="e">
        <f>VLOOKUP($N45,[2]Cultures!$B$4:$M$283,MATCH(AQ$1,[2]Cultures!$B$3:$M$3,0),FALSE)</f>
        <v>#N/A</v>
      </c>
      <c r="AR45" s="4" t="e">
        <f>VLOOKUP($N45,[2]Cultures!$B$4:$M$283,MATCH(AR$1,[2]Cultures!$B$3:$M$3,0),FALSE)</f>
        <v>#N/A</v>
      </c>
      <c r="AS45" s="4" t="e">
        <f>VLOOKUP($N45,[2]Cultures!$B$4:$M$283,MATCH(AS$1,[2]Cultures!$B$3:$M$3,0),FALSE)</f>
        <v>#N/A</v>
      </c>
      <c r="AT45" s="4"/>
      <c r="AU45" s="4">
        <f>IF(ISNUMBER(SEARCH(N45&amp;";",Calculations!$Q$19)),VLOOKUP(Skills!N45,Calculations!$Q$2:$T$16,4,FALSE),0)</f>
        <v>0</v>
      </c>
      <c r="AV45" s="4">
        <f>IF(ISNUMBER(SEARCH(N45&amp;";",Calculations!$Q$18)),1,0)</f>
        <v>0</v>
      </c>
      <c r="AW45" s="4"/>
      <c r="AX45" s="4">
        <f>VLOOKUP($N45,$N45:$CH45,MATCH('Character Sheet'!$BJ$3,Skills!$N$1:$CH$1,0),FALSE)</f>
        <v>0</v>
      </c>
    </row>
    <row r="46" spans="1:50" x14ac:dyDescent="0.25">
      <c r="B46" s="4" t="e">
        <f t="shared" ca="1" si="23"/>
        <v>#N/A</v>
      </c>
      <c r="E46" s="4"/>
      <c r="F46" s="4">
        <f t="shared" si="8"/>
        <v>0</v>
      </c>
      <c r="G46" s="4"/>
      <c r="H46" s="4" t="e">
        <f t="shared" si="15"/>
        <v>#N/A</v>
      </c>
      <c r="I46" s="4" t="e">
        <f>IF($J$45=1,1,0)</f>
        <v>#N/A</v>
      </c>
      <c r="J46" s="4">
        <f t="shared" si="0"/>
        <v>0</v>
      </c>
      <c r="K46" s="4">
        <f t="shared" si="26"/>
        <v>0</v>
      </c>
      <c r="M46" t="str">
        <f>N46</f>
        <v>Adrenal Defense</v>
      </c>
      <c r="N46" s="3" t="str">
        <f>'Character Sheet'!XX5</f>
        <v>Adrenal Defense</v>
      </c>
      <c r="O46" s="4" t="s">
        <v>785</v>
      </c>
      <c r="P46" s="4" t="s">
        <v>786</v>
      </c>
      <c r="Q46" s="4">
        <f t="shared" si="27"/>
        <v>0</v>
      </c>
      <c r="R46" s="4">
        <f>IF(ISNUMBER(SEARCH("Category",N46)),"- -",IF(ISNUMBER(SEARCH("Skills",N46)),"- -",'Level-up'!C64))</f>
        <v>0</v>
      </c>
      <c r="S46" s="4">
        <f t="shared" si="3"/>
        <v>0</v>
      </c>
      <c r="T46" s="4">
        <f t="shared" si="4"/>
        <v>-25</v>
      </c>
      <c r="U46" s="4">
        <f t="shared" ca="1" si="9"/>
        <v>-2</v>
      </c>
      <c r="V46" s="4">
        <f t="shared" ref="V46:V52" si="30">IF(ISNUMBER(SEARCH("Category",N46)),"- -",IF(ISNUMBER(SEARCH("Skills",N46)),"- -",IF(AU46&gt;0,AU46,$AU$44)))</f>
        <v>0</v>
      </c>
      <c r="W46" s="4">
        <f t="shared" si="28"/>
        <v>0</v>
      </c>
      <c r="X46" s="4">
        <f t="shared" si="10"/>
        <v>0</v>
      </c>
      <c r="Y46" s="4">
        <f t="shared" si="11"/>
        <v>0</v>
      </c>
      <c r="Z46" s="4">
        <f t="shared" si="12"/>
        <v>0</v>
      </c>
      <c r="AA46" s="4">
        <f t="shared" si="13"/>
        <v>0</v>
      </c>
      <c r="AB46" s="4">
        <f t="shared" si="14"/>
        <v>0</v>
      </c>
      <c r="AC46" s="8"/>
      <c r="AD46" s="4"/>
      <c r="AE46" s="4"/>
      <c r="AF46" s="4" t="str">
        <f t="shared" ca="1" si="6"/>
        <v>-27</v>
      </c>
      <c r="AG46" s="4"/>
      <c r="AH46" s="4">
        <f>IFERROR(VLOOKUP(M46,Calculations!$AC$2:$AD$251,2,FALSE),0)</f>
        <v>0</v>
      </c>
      <c r="AI46" s="4">
        <f>VLOOKUP(N46,$N$2:$AS$620,MATCH('Character Creation'!$Z$12,Skills!$N$1:$AS$1,0),FALSE)</f>
        <v>0</v>
      </c>
      <c r="AJ46" s="4">
        <f>VLOOKUP($N46,[2]Cultures!$B$4:$M$283,MATCH(AJ$1,[2]Cultures!$B$3:$M$3,0),FALSE)</f>
        <v>0</v>
      </c>
      <c r="AK46" s="4">
        <f>VLOOKUP($N46,[2]Cultures!$B$4:$M$283,MATCH(AK$1,[2]Cultures!$B$3:$M$3,0),FALSE)</f>
        <v>0</v>
      </c>
      <c r="AL46" s="4">
        <f>VLOOKUP($N46,[2]Cultures!$B$4:$M$283,MATCH(AL$1,[2]Cultures!$B$3:$M$3,0),FALSE)</f>
        <v>0</v>
      </c>
      <c r="AM46" s="4">
        <f>VLOOKUP($N46,[2]Cultures!$B$4:$M$283,MATCH(AM$1,[2]Cultures!$B$3:$M$3,0),FALSE)</f>
        <v>0</v>
      </c>
      <c r="AN46" s="4">
        <f>VLOOKUP($N46,[2]Cultures!$B$4:$M$283,MATCH(AN$1,[2]Cultures!$B$3:$M$3,0),FALSE)</f>
        <v>0</v>
      </c>
      <c r="AO46" s="4">
        <f>VLOOKUP($N46,[2]Cultures!$B$4:$M$283,MATCH(AO$1,[2]Cultures!$B$3:$M$3,0),FALSE)</f>
        <v>0</v>
      </c>
      <c r="AP46" s="4">
        <f>VLOOKUP($N46,[2]Cultures!$B$4:$M$283,MATCH(AP$1,[2]Cultures!$B$3:$M$3,0),FALSE)</f>
        <v>0</v>
      </c>
      <c r="AQ46" s="4">
        <f>VLOOKUP($N46,[2]Cultures!$B$4:$M$283,MATCH(AQ$1,[2]Cultures!$B$3:$M$3,0),FALSE)</f>
        <v>0</v>
      </c>
      <c r="AR46" s="4">
        <f>VLOOKUP($N46,[2]Cultures!$B$4:$M$283,MATCH(AR$1,[2]Cultures!$B$3:$M$3,0),FALSE)</f>
        <v>0</v>
      </c>
      <c r="AS46" s="4">
        <f>VLOOKUP($N46,[2]Cultures!$B$4:$M$283,MATCH(AS$1,[2]Cultures!$B$3:$M$3,0),FALSE)</f>
        <v>0</v>
      </c>
      <c r="AT46" s="4"/>
      <c r="AU46" s="4">
        <f>IF(ISNUMBER(SEARCH(N46&amp;";",Calculations!$Q$19)),VLOOKUP(Skills!N46,Calculations!$Q$2:$T$16,4,FALSE),0)</f>
        <v>0</v>
      </c>
      <c r="AV46" s="4">
        <f>IF(ISNUMBER(SEARCH(N46&amp;";",Calculations!$Q$18)),1,0)</f>
        <v>0</v>
      </c>
      <c r="AW46" s="4">
        <f>IF($AV$44=1,1,AV46)</f>
        <v>0</v>
      </c>
      <c r="AX46" s="4">
        <f>VLOOKUP($N46,$N46:$CH46,MATCH('Character Sheet'!$BJ$3,Skills!$N$1:$CH$1,0),FALSE)</f>
        <v>0</v>
      </c>
    </row>
    <row r="47" spans="1:50" x14ac:dyDescent="0.25">
      <c r="B47" s="4" t="e">
        <f t="shared" ca="1" si="23"/>
        <v>#N/A</v>
      </c>
      <c r="E47" s="4"/>
      <c r="F47" s="4">
        <f t="shared" si="8"/>
        <v>0</v>
      </c>
      <c r="G47" s="4"/>
      <c r="H47" s="4" t="e">
        <f t="shared" si="15"/>
        <v>#N/A</v>
      </c>
      <c r="I47" s="4" t="e">
        <f>IF($J$45=1,1,0)</f>
        <v>#N/A</v>
      </c>
      <c r="J47" s="4">
        <f t="shared" si="0"/>
        <v>0</v>
      </c>
      <c r="K47" s="4">
        <f t="shared" si="26"/>
        <v>0</v>
      </c>
      <c r="M47" t="str">
        <f>N47</f>
        <v>Adrenal Focus</v>
      </c>
      <c r="N47" s="3" t="str">
        <f>'Character Sheet'!XX6</f>
        <v>Adrenal Focus</v>
      </c>
      <c r="O47" s="4" t="s">
        <v>785</v>
      </c>
      <c r="P47" s="4" t="s">
        <v>784</v>
      </c>
      <c r="Q47" s="4">
        <f t="shared" si="27"/>
        <v>0</v>
      </c>
      <c r="R47" s="4">
        <f>IF(ISNUMBER(SEARCH("Category",N47)),"- -",IF(ISNUMBER(SEARCH("Skills",N47)),"- -",'Level-up'!C65))</f>
        <v>0</v>
      </c>
      <c r="S47" s="4">
        <f t="shared" si="3"/>
        <v>0</v>
      </c>
      <c r="T47" s="4">
        <f t="shared" si="4"/>
        <v>-25</v>
      </c>
      <c r="U47" s="4">
        <f t="shared" ca="1" si="9"/>
        <v>-6</v>
      </c>
      <c r="V47" s="4">
        <f t="shared" si="30"/>
        <v>0</v>
      </c>
      <c r="W47" s="4">
        <f t="shared" si="28"/>
        <v>0</v>
      </c>
      <c r="X47" s="4">
        <f t="shared" si="10"/>
        <v>0</v>
      </c>
      <c r="Y47" s="4">
        <f t="shared" si="11"/>
        <v>0</v>
      </c>
      <c r="Z47" s="4">
        <f t="shared" si="12"/>
        <v>0</v>
      </c>
      <c r="AA47" s="4">
        <f t="shared" si="13"/>
        <v>0</v>
      </c>
      <c r="AB47" s="4">
        <f t="shared" si="14"/>
        <v>0</v>
      </c>
      <c r="AC47" s="8"/>
      <c r="AD47" s="4"/>
      <c r="AE47" s="4"/>
      <c r="AF47" s="4" t="str">
        <f t="shared" ca="1" si="6"/>
        <v>-31</v>
      </c>
      <c r="AG47" s="4"/>
      <c r="AH47" s="4">
        <f>IFERROR(VLOOKUP(M47,Calculations!$AC$2:$AD$251,2,FALSE),0)</f>
        <v>0</v>
      </c>
      <c r="AI47" s="4">
        <f>VLOOKUP(N47,$N$2:$AS$620,MATCH('Character Creation'!$Z$12,Skills!$N$1:$AS$1,0),FALSE)</f>
        <v>0</v>
      </c>
      <c r="AJ47" s="4">
        <f>VLOOKUP($N47,[2]Cultures!$B$4:$M$283,MATCH(AJ$1,[2]Cultures!$B$3:$M$3,0),FALSE)</f>
        <v>0</v>
      </c>
      <c r="AK47" s="4">
        <f>VLOOKUP($N47,[2]Cultures!$B$4:$M$283,MATCH(AK$1,[2]Cultures!$B$3:$M$3,0),FALSE)</f>
        <v>0</v>
      </c>
      <c r="AL47" s="4">
        <f>VLOOKUP($N47,[2]Cultures!$B$4:$M$283,MATCH(AL$1,[2]Cultures!$B$3:$M$3,0),FALSE)</f>
        <v>0</v>
      </c>
      <c r="AM47" s="4">
        <f>VLOOKUP($N47,[2]Cultures!$B$4:$M$283,MATCH(AM$1,[2]Cultures!$B$3:$M$3,0),FALSE)</f>
        <v>0</v>
      </c>
      <c r="AN47" s="4">
        <f>VLOOKUP($N47,[2]Cultures!$B$4:$M$283,MATCH(AN$1,[2]Cultures!$B$3:$M$3,0),FALSE)</f>
        <v>0</v>
      </c>
      <c r="AO47" s="4">
        <f>VLOOKUP($N47,[2]Cultures!$B$4:$M$283,MATCH(AO$1,[2]Cultures!$B$3:$M$3,0),FALSE)</f>
        <v>0</v>
      </c>
      <c r="AP47" s="4">
        <f>VLOOKUP($N47,[2]Cultures!$B$4:$M$283,MATCH(AP$1,[2]Cultures!$B$3:$M$3,0),FALSE)</f>
        <v>0</v>
      </c>
      <c r="AQ47" s="4">
        <f>VLOOKUP($N47,[2]Cultures!$B$4:$M$283,MATCH(AQ$1,[2]Cultures!$B$3:$M$3,0),FALSE)</f>
        <v>0</v>
      </c>
      <c r="AR47" s="4">
        <f>VLOOKUP($N47,[2]Cultures!$B$4:$M$283,MATCH(AR$1,[2]Cultures!$B$3:$M$3,0),FALSE)</f>
        <v>0</v>
      </c>
      <c r="AS47" s="4">
        <f>VLOOKUP($N47,[2]Cultures!$B$4:$M$283,MATCH(AS$1,[2]Cultures!$B$3:$M$3,0),FALSE)</f>
        <v>0</v>
      </c>
      <c r="AT47" s="4"/>
      <c r="AU47" s="4">
        <f>IF(ISNUMBER(SEARCH(N47&amp;";",Calculations!$Q$19)),VLOOKUP(Skills!N47,Calculations!$Q$2:$T$16,4,FALSE),0)</f>
        <v>0</v>
      </c>
      <c r="AV47" s="4">
        <f>IF(ISNUMBER(SEARCH(N47&amp;";",Calculations!$Q$18)),1,0)</f>
        <v>0</v>
      </c>
      <c r="AW47" s="4">
        <f>IF($AV$44=1,1,AV47)</f>
        <v>0</v>
      </c>
      <c r="AX47" s="4">
        <f>VLOOKUP($N47,$N47:$CH47,MATCH('Character Sheet'!$BJ$3,Skills!$N$1:$CH$1,0),FALSE)</f>
        <v>0</v>
      </c>
    </row>
    <row r="48" spans="1:50" x14ac:dyDescent="0.25">
      <c r="B48" s="4" t="e">
        <f t="shared" ca="1" si="23"/>
        <v>#N/A</v>
      </c>
      <c r="E48" s="4"/>
      <c r="F48" s="4">
        <f t="shared" si="8"/>
        <v>0</v>
      </c>
      <c r="G48" s="4"/>
      <c r="H48" s="4" t="e">
        <f t="shared" si="15"/>
        <v>#N/A</v>
      </c>
      <c r="I48" s="4" t="e">
        <f>IF($J$45=1,1,0)</f>
        <v>#N/A</v>
      </c>
      <c r="J48" s="4">
        <f t="shared" si="0"/>
        <v>0</v>
      </c>
      <c r="K48" s="4">
        <f t="shared" si="26"/>
        <v>0</v>
      </c>
      <c r="M48" t="str">
        <f>N48</f>
        <v>Adrenal Speed</v>
      </c>
      <c r="N48" s="3" t="str">
        <f>'Character Sheet'!XX7</f>
        <v>Adrenal Speed</v>
      </c>
      <c r="O48" s="4" t="s">
        <v>785</v>
      </c>
      <c r="P48" s="4" t="s">
        <v>787</v>
      </c>
      <c r="Q48" s="4">
        <f t="shared" si="27"/>
        <v>0</v>
      </c>
      <c r="R48" s="4">
        <f>IF(ISNUMBER(SEARCH("Category",N48)),"- -",IF(ISNUMBER(SEARCH("Skills",N48)),"- -",'Level-up'!C66))</f>
        <v>0</v>
      </c>
      <c r="S48" s="4">
        <f t="shared" si="3"/>
        <v>0</v>
      </c>
      <c r="T48" s="4">
        <f t="shared" si="4"/>
        <v>-25</v>
      </c>
      <c r="U48" s="4">
        <f t="shared" ca="1" si="9"/>
        <v>-5</v>
      </c>
      <c r="V48" s="4">
        <f t="shared" si="30"/>
        <v>0</v>
      </c>
      <c r="W48" s="4">
        <f t="shared" si="28"/>
        <v>0</v>
      </c>
      <c r="X48" s="4">
        <f t="shared" si="10"/>
        <v>0</v>
      </c>
      <c r="Y48" s="4">
        <f t="shared" si="11"/>
        <v>0</v>
      </c>
      <c r="Z48" s="4">
        <f t="shared" si="12"/>
        <v>0</v>
      </c>
      <c r="AA48" s="4">
        <f t="shared" si="13"/>
        <v>0</v>
      </c>
      <c r="AB48" s="4">
        <f t="shared" si="14"/>
        <v>0</v>
      </c>
      <c r="AC48" s="8"/>
      <c r="AD48" s="4"/>
      <c r="AE48" s="4"/>
      <c r="AF48" s="4" t="str">
        <f t="shared" ca="1" si="6"/>
        <v>-30</v>
      </c>
      <c r="AG48" s="4"/>
      <c r="AH48" s="4">
        <f>IFERROR(VLOOKUP(M48,Calculations!$AC$2:$AD$251,2,FALSE),0)</f>
        <v>0</v>
      </c>
      <c r="AI48" s="4">
        <f>VLOOKUP(N48,$N$2:$AS$620,MATCH('Character Creation'!$Z$12,Skills!$N$1:$AS$1,0),FALSE)</f>
        <v>0</v>
      </c>
      <c r="AJ48" s="4">
        <f>VLOOKUP($N48,[2]Cultures!$B$4:$M$283,MATCH(AJ$1,[2]Cultures!$B$3:$M$3,0),FALSE)</f>
        <v>0</v>
      </c>
      <c r="AK48" s="4">
        <f>VLOOKUP($N48,[2]Cultures!$B$4:$M$283,MATCH(AK$1,[2]Cultures!$B$3:$M$3,0),FALSE)</f>
        <v>0</v>
      </c>
      <c r="AL48" s="4">
        <f>VLOOKUP($N48,[2]Cultures!$B$4:$M$283,MATCH(AL$1,[2]Cultures!$B$3:$M$3,0),FALSE)</f>
        <v>0</v>
      </c>
      <c r="AM48" s="4">
        <f>VLOOKUP($N48,[2]Cultures!$B$4:$M$283,MATCH(AM$1,[2]Cultures!$B$3:$M$3,0),FALSE)</f>
        <v>0</v>
      </c>
      <c r="AN48" s="4">
        <f>VLOOKUP($N48,[2]Cultures!$B$4:$M$283,MATCH(AN$1,[2]Cultures!$B$3:$M$3,0),FALSE)</f>
        <v>0</v>
      </c>
      <c r="AO48" s="4">
        <f>VLOOKUP($N48,[2]Cultures!$B$4:$M$283,MATCH(AO$1,[2]Cultures!$B$3:$M$3,0),FALSE)</f>
        <v>0</v>
      </c>
      <c r="AP48" s="4">
        <f>VLOOKUP($N48,[2]Cultures!$B$4:$M$283,MATCH(AP$1,[2]Cultures!$B$3:$M$3,0),FALSE)</f>
        <v>0</v>
      </c>
      <c r="AQ48" s="4">
        <f>VLOOKUP($N48,[2]Cultures!$B$4:$M$283,MATCH(AQ$1,[2]Cultures!$B$3:$M$3,0),FALSE)</f>
        <v>0</v>
      </c>
      <c r="AR48" s="4">
        <f>VLOOKUP($N48,[2]Cultures!$B$4:$M$283,MATCH(AR$1,[2]Cultures!$B$3:$M$3,0),FALSE)</f>
        <v>0</v>
      </c>
      <c r="AS48" s="4">
        <f>VLOOKUP($N48,[2]Cultures!$B$4:$M$283,MATCH(AS$1,[2]Cultures!$B$3:$M$3,0),FALSE)</f>
        <v>0</v>
      </c>
      <c r="AT48" s="4"/>
      <c r="AU48" s="4">
        <f>IF(ISNUMBER(SEARCH(N48&amp;";",Calculations!$Q$19)),VLOOKUP(Skills!N48,Calculations!$Q$2:$T$16,4,FALSE),0)</f>
        <v>0</v>
      </c>
      <c r="AV48" s="4">
        <f>IF(ISNUMBER(SEARCH(N48&amp;";",Calculations!$Q$18)),1,0)</f>
        <v>0</v>
      </c>
      <c r="AW48" s="4">
        <f>IF($AV$44=1,1,AV48)</f>
        <v>0</v>
      </c>
      <c r="AX48" s="4">
        <f>VLOOKUP($N48,$N48:$CH48,MATCH('Character Sheet'!$BJ$3,Skills!$N$1:$CH$1,0),FALSE)</f>
        <v>0</v>
      </c>
    </row>
    <row r="49" spans="1:50" x14ac:dyDescent="0.25">
      <c r="B49" s="4" t="e">
        <f t="shared" ca="1" si="23"/>
        <v>#N/A</v>
      </c>
      <c r="E49" s="4"/>
      <c r="F49" s="4">
        <f t="shared" si="8"/>
        <v>0</v>
      </c>
      <c r="G49" s="4"/>
      <c r="H49" s="4" t="e">
        <f t="shared" si="15"/>
        <v>#N/A</v>
      </c>
      <c r="I49" s="4" t="e">
        <f>IF($J$45=1,1,0)</f>
        <v>#N/A</v>
      </c>
      <c r="J49" s="4">
        <f t="shared" si="0"/>
        <v>0</v>
      </c>
      <c r="K49" s="4">
        <f t="shared" si="26"/>
        <v>0</v>
      </c>
      <c r="M49" t="str">
        <f>N49</f>
        <v>Adrenal Strength</v>
      </c>
      <c r="N49" s="3" t="str">
        <f>'Character Sheet'!XX8</f>
        <v>Adrenal Strength</v>
      </c>
      <c r="O49" s="4" t="s">
        <v>785</v>
      </c>
      <c r="P49" s="4" t="s">
        <v>788</v>
      </c>
      <c r="Q49" s="4">
        <f t="shared" si="27"/>
        <v>0</v>
      </c>
      <c r="R49" s="4">
        <f>IF(ISNUMBER(SEARCH("Category",N49)),"- -",IF(ISNUMBER(SEARCH("Skills",N49)),"- -",'Level-up'!C67))</f>
        <v>0</v>
      </c>
      <c r="S49" s="4">
        <f t="shared" si="3"/>
        <v>0</v>
      </c>
      <c r="T49" s="4">
        <f t="shared" si="4"/>
        <v>-25</v>
      </c>
      <c r="U49" s="4">
        <f t="shared" ca="1" si="9"/>
        <v>-1</v>
      </c>
      <c r="V49" s="4">
        <f t="shared" si="30"/>
        <v>0</v>
      </c>
      <c r="W49" s="4">
        <f t="shared" si="28"/>
        <v>0</v>
      </c>
      <c r="X49" s="4">
        <f t="shared" si="10"/>
        <v>0</v>
      </c>
      <c r="Y49" s="4">
        <f t="shared" si="11"/>
        <v>0</v>
      </c>
      <c r="Z49" s="4">
        <f t="shared" si="12"/>
        <v>0</v>
      </c>
      <c r="AA49" s="4">
        <f t="shared" si="13"/>
        <v>0</v>
      </c>
      <c r="AB49" s="4">
        <f t="shared" si="14"/>
        <v>0</v>
      </c>
      <c r="AC49" s="8"/>
      <c r="AD49" s="4"/>
      <c r="AE49" s="4"/>
      <c r="AF49" s="4" t="str">
        <f t="shared" ca="1" si="6"/>
        <v>-26</v>
      </c>
      <c r="AG49" s="4"/>
      <c r="AH49" s="4">
        <f>IFERROR(VLOOKUP(M49,Calculations!$AC$2:$AD$251,2,FALSE),0)</f>
        <v>0</v>
      </c>
      <c r="AI49" s="4">
        <f>VLOOKUP(N49,$N$2:$AS$620,MATCH('Character Creation'!$Z$12,Skills!$N$1:$AS$1,0),FALSE)</f>
        <v>0</v>
      </c>
      <c r="AJ49" s="4">
        <f>VLOOKUP($N49,[2]Cultures!$B$4:$M$283,MATCH(AJ$1,[2]Cultures!$B$3:$M$3,0),FALSE)</f>
        <v>0</v>
      </c>
      <c r="AK49" s="4">
        <f>VLOOKUP($N49,[2]Cultures!$B$4:$M$283,MATCH(AK$1,[2]Cultures!$B$3:$M$3,0),FALSE)</f>
        <v>0</v>
      </c>
      <c r="AL49" s="4">
        <f>VLOOKUP($N49,[2]Cultures!$B$4:$M$283,MATCH(AL$1,[2]Cultures!$B$3:$M$3,0),FALSE)</f>
        <v>0</v>
      </c>
      <c r="AM49" s="4">
        <f>VLOOKUP($N49,[2]Cultures!$B$4:$M$283,MATCH(AM$1,[2]Cultures!$B$3:$M$3,0),FALSE)</f>
        <v>0</v>
      </c>
      <c r="AN49" s="4">
        <f>VLOOKUP($N49,[2]Cultures!$B$4:$M$283,MATCH(AN$1,[2]Cultures!$B$3:$M$3,0),FALSE)</f>
        <v>0</v>
      </c>
      <c r="AO49" s="4">
        <f>VLOOKUP($N49,[2]Cultures!$B$4:$M$283,MATCH(AO$1,[2]Cultures!$B$3:$M$3,0),FALSE)</f>
        <v>0</v>
      </c>
      <c r="AP49" s="4">
        <f>VLOOKUP($N49,[2]Cultures!$B$4:$M$283,MATCH(AP$1,[2]Cultures!$B$3:$M$3,0),FALSE)</f>
        <v>0</v>
      </c>
      <c r="AQ49" s="4">
        <f>VLOOKUP($N49,[2]Cultures!$B$4:$M$283,MATCH(AQ$1,[2]Cultures!$B$3:$M$3,0),FALSE)</f>
        <v>0</v>
      </c>
      <c r="AR49" s="4">
        <f>VLOOKUP($N49,[2]Cultures!$B$4:$M$283,MATCH(AR$1,[2]Cultures!$B$3:$M$3,0),FALSE)</f>
        <v>0</v>
      </c>
      <c r="AS49" s="4">
        <f>VLOOKUP($N49,[2]Cultures!$B$4:$M$283,MATCH(AS$1,[2]Cultures!$B$3:$M$3,0),FALSE)</f>
        <v>0</v>
      </c>
      <c r="AT49" s="4"/>
      <c r="AU49" s="4">
        <f>IF(ISNUMBER(SEARCH(N49&amp;";",Calculations!$Q$19)),VLOOKUP(Skills!N49,Calculations!$Q$2:$T$16,4,FALSE),0)</f>
        <v>0</v>
      </c>
      <c r="AV49" s="4">
        <f>IF(ISNUMBER(SEARCH(N49&amp;";",Calculations!$Q$18)),1,0)</f>
        <v>0</v>
      </c>
      <c r="AW49" s="4">
        <f>IF($AV$44=1,1,AV49)</f>
        <v>0</v>
      </c>
      <c r="AX49" s="4">
        <f>VLOOKUP($N49,$N49:$CH49,MATCH('Character Sheet'!$BJ$3,Skills!$N$1:$CH$1,0),FALSE)</f>
        <v>0</v>
      </c>
    </row>
    <row r="50" spans="1:50" x14ac:dyDescent="0.25">
      <c r="B50" s="4" t="e">
        <f t="shared" ca="1" si="23"/>
        <v>#N/A</v>
      </c>
      <c r="E50" s="4"/>
      <c r="F50" s="4">
        <f t="shared" si="8"/>
        <v>0</v>
      </c>
      <c r="G50" s="4"/>
      <c r="H50" s="4" t="e">
        <f t="shared" si="15"/>
        <v>#N/A</v>
      </c>
      <c r="I50" s="4" t="e">
        <f>IF($J$45=1,1,0)</f>
        <v>#N/A</v>
      </c>
      <c r="J50" s="4">
        <f t="shared" si="0"/>
        <v>0</v>
      </c>
      <c r="K50" s="4">
        <f t="shared" si="26"/>
        <v>0</v>
      </c>
      <c r="M50" t="str">
        <f>N50</f>
        <v>Quick-draw</v>
      </c>
      <c r="N50" s="3" t="str">
        <f>'Character Sheet'!XX9</f>
        <v>Quick-draw</v>
      </c>
      <c r="O50" s="4" t="s">
        <v>785</v>
      </c>
      <c r="P50" s="4" t="s">
        <v>781</v>
      </c>
      <c r="Q50" s="4">
        <f t="shared" si="27"/>
        <v>0</v>
      </c>
      <c r="R50" s="4">
        <f>IF(ISNUMBER(SEARCH("Category",N50)),"- -",IF(ISNUMBER(SEARCH("Skills",N50)),"- -",'Level-up'!C68))</f>
        <v>0</v>
      </c>
      <c r="S50" s="4">
        <f t="shared" si="3"/>
        <v>0</v>
      </c>
      <c r="T50" s="4">
        <f t="shared" si="4"/>
        <v>-25</v>
      </c>
      <c r="U50" s="4">
        <f t="shared" ca="1" si="9"/>
        <v>-7</v>
      </c>
      <c r="V50" s="4">
        <f t="shared" si="30"/>
        <v>0</v>
      </c>
      <c r="W50" s="4">
        <f t="shared" si="28"/>
        <v>0</v>
      </c>
      <c r="X50" s="4">
        <f t="shared" si="10"/>
        <v>0</v>
      </c>
      <c r="Y50" s="4">
        <f t="shared" si="11"/>
        <v>0</v>
      </c>
      <c r="Z50" s="4">
        <f t="shared" si="12"/>
        <v>0</v>
      </c>
      <c r="AA50" s="4">
        <f t="shared" si="13"/>
        <v>0</v>
      </c>
      <c r="AB50" s="4">
        <f t="shared" si="14"/>
        <v>0</v>
      </c>
      <c r="AC50" s="8"/>
      <c r="AD50" s="4"/>
      <c r="AE50" s="4"/>
      <c r="AF50" s="4" t="str">
        <f t="shared" ca="1" si="6"/>
        <v>-32</v>
      </c>
      <c r="AG50" s="4"/>
      <c r="AH50" s="4">
        <f>IFERROR(VLOOKUP(M50,Calculations!$AC$2:$AD$251,2,FALSE),0)</f>
        <v>0</v>
      </c>
      <c r="AI50" s="4">
        <f>VLOOKUP(N50,$N$2:$AS$620,MATCH('Character Creation'!$Z$12,Skills!$N$1:$AS$1,0),FALSE)</f>
        <v>0</v>
      </c>
      <c r="AJ50" s="4">
        <f>VLOOKUP($N50,[2]Cultures!$B$4:$M$283,MATCH(AJ$1,[2]Cultures!$B$3:$M$3,0),FALSE)</f>
        <v>0</v>
      </c>
      <c r="AK50" s="4">
        <f>VLOOKUP($N50,[2]Cultures!$B$4:$M$283,MATCH(AK$1,[2]Cultures!$B$3:$M$3,0),FALSE)</f>
        <v>0</v>
      </c>
      <c r="AL50" s="4">
        <f>VLOOKUP($N50,[2]Cultures!$B$4:$M$283,MATCH(AL$1,[2]Cultures!$B$3:$M$3,0),FALSE)</f>
        <v>0</v>
      </c>
      <c r="AM50" s="4">
        <f>VLOOKUP($N50,[2]Cultures!$B$4:$M$283,MATCH(AM$1,[2]Cultures!$B$3:$M$3,0),FALSE)</f>
        <v>0</v>
      </c>
      <c r="AN50" s="4">
        <f>VLOOKUP($N50,[2]Cultures!$B$4:$M$283,MATCH(AN$1,[2]Cultures!$B$3:$M$3,0),FALSE)</f>
        <v>0</v>
      </c>
      <c r="AO50" s="4">
        <f>VLOOKUP($N50,[2]Cultures!$B$4:$M$283,MATCH(AO$1,[2]Cultures!$B$3:$M$3,0),FALSE)</f>
        <v>0</v>
      </c>
      <c r="AP50" s="4">
        <f>VLOOKUP($N50,[2]Cultures!$B$4:$M$283,MATCH(AP$1,[2]Cultures!$B$3:$M$3,0),FALSE)</f>
        <v>0</v>
      </c>
      <c r="AQ50" s="4">
        <f>VLOOKUP($N50,[2]Cultures!$B$4:$M$283,MATCH(AQ$1,[2]Cultures!$B$3:$M$3,0),FALSE)</f>
        <v>0</v>
      </c>
      <c r="AR50" s="4">
        <f>VLOOKUP($N50,[2]Cultures!$B$4:$M$283,MATCH(AR$1,[2]Cultures!$B$3:$M$3,0),FALSE)</f>
        <v>0</v>
      </c>
      <c r="AS50" s="4">
        <f>VLOOKUP($N50,[2]Cultures!$B$4:$M$283,MATCH(AS$1,[2]Cultures!$B$3:$M$3,0),FALSE)</f>
        <v>0</v>
      </c>
      <c r="AT50" s="4"/>
      <c r="AU50" s="4">
        <f>IF(ISNUMBER(SEARCH(N50&amp;";",Calculations!$Q$19)),VLOOKUP(Skills!N50,Calculations!$Q$2:$T$16,4,FALSE),0)</f>
        <v>0</v>
      </c>
      <c r="AV50" s="4">
        <f>IF(ISNUMBER(SEARCH(N50&amp;";",Calculations!$Q$18)),1,0)</f>
        <v>0</v>
      </c>
      <c r="AW50" s="4">
        <f>IF($AV$44=1,1,AV50)</f>
        <v>0</v>
      </c>
      <c r="AX50" s="4">
        <f>VLOOKUP($N50,$N50:$CH50,MATCH('Character Sheet'!$BJ$3,Skills!$N$1:$CH$1,0),FALSE)</f>
        <v>0</v>
      </c>
    </row>
    <row r="51" spans="1:50" x14ac:dyDescent="0.25">
      <c r="B51" s="4" t="e">
        <f t="shared" ca="1" si="23"/>
        <v>#N/A</v>
      </c>
      <c r="E51" s="4"/>
      <c r="F51" s="4">
        <f t="shared" si="8"/>
        <v>0</v>
      </c>
      <c r="G51" s="4"/>
      <c r="H51" s="4" t="e">
        <f t="shared" si="15"/>
        <v>#N/A</v>
      </c>
      <c r="I51" s="4" t="e">
        <f>IF($J$52=1,1,IF($J$57=1,1,0))</f>
        <v>#N/A</v>
      </c>
      <c r="J51" s="4">
        <f t="shared" si="0"/>
        <v>0</v>
      </c>
      <c r="K51" s="4" t="e">
        <f t="shared" si="26"/>
        <v>#N/A</v>
      </c>
      <c r="N51" s="3" t="s">
        <v>619</v>
      </c>
      <c r="O51" s="6" t="s">
        <v>782</v>
      </c>
      <c r="P51" s="6" t="s">
        <v>782</v>
      </c>
      <c r="Q51" s="4" t="str">
        <f t="shared" si="27"/>
        <v>- -</v>
      </c>
      <c r="R51" s="4" t="str">
        <f>IF(ISNUMBER(SEARCH("Category",N51)),"- -",IF(ISNUMBER(SEARCH("Skills",N51)),"- -",'Level-up'!C69))</f>
        <v>- -</v>
      </c>
      <c r="S51" s="4" t="str">
        <f t="shared" si="3"/>
        <v>- -</v>
      </c>
      <c r="T51" s="4" t="str">
        <f t="shared" si="4"/>
        <v>- -</v>
      </c>
      <c r="U51" s="4" t="str">
        <f t="shared" ca="1" si="9"/>
        <v>- -</v>
      </c>
      <c r="V51" s="4" t="str">
        <f t="shared" si="30"/>
        <v>- -</v>
      </c>
      <c r="W51" s="4" t="str">
        <f t="shared" si="28"/>
        <v>- -</v>
      </c>
      <c r="X51" s="4" t="str">
        <f t="shared" si="10"/>
        <v>- -</v>
      </c>
      <c r="Y51" s="4" t="str">
        <f t="shared" si="11"/>
        <v>- -</v>
      </c>
      <c r="Z51" s="4" t="str">
        <f t="shared" si="12"/>
        <v>- -</v>
      </c>
      <c r="AA51" s="4" t="str">
        <f t="shared" si="13"/>
        <v>- -</v>
      </c>
      <c r="AB51" s="4" t="str">
        <f t="shared" si="14"/>
        <v>- -</v>
      </c>
      <c r="AC51" s="8"/>
      <c r="AD51" s="4"/>
      <c r="AE51" s="4"/>
      <c r="AF51" s="4" t="str">
        <f t="shared" si="6"/>
        <v>- -</v>
      </c>
      <c r="AG51" s="4"/>
      <c r="AH51" s="4">
        <f>IFERROR(VLOOKUP(M51,Calculations!$AC$2:$AD$251,2,FALSE),0)</f>
        <v>0</v>
      </c>
      <c r="AI51" s="4" t="e">
        <f>VLOOKUP(N51,$N$2:$AS$620,MATCH('Character Creation'!$Z$12,Skills!$N$1:$AS$1,0),FALSE)</f>
        <v>#N/A</v>
      </c>
      <c r="AJ51" s="4" t="e">
        <f>VLOOKUP($N51,[2]Cultures!$B$4:$M$283,MATCH(AJ$1,[2]Cultures!$B$3:$M$3,0),FALSE)</f>
        <v>#N/A</v>
      </c>
      <c r="AK51" s="4" t="e">
        <f>VLOOKUP($N51,[2]Cultures!$B$4:$M$283,MATCH(AK$1,[2]Cultures!$B$3:$M$3,0),FALSE)</f>
        <v>#N/A</v>
      </c>
      <c r="AL51" s="4" t="e">
        <f>VLOOKUP($N51,[2]Cultures!$B$4:$M$283,MATCH(AL$1,[2]Cultures!$B$3:$M$3,0),FALSE)</f>
        <v>#N/A</v>
      </c>
      <c r="AM51" s="4" t="e">
        <f>VLOOKUP($N51,[2]Cultures!$B$4:$M$283,MATCH(AM$1,[2]Cultures!$B$3:$M$3,0),FALSE)</f>
        <v>#N/A</v>
      </c>
      <c r="AN51" s="4" t="e">
        <f>VLOOKUP($N51,[2]Cultures!$B$4:$M$283,MATCH(AN$1,[2]Cultures!$B$3:$M$3,0),FALSE)</f>
        <v>#N/A</v>
      </c>
      <c r="AO51" s="4" t="e">
        <f>VLOOKUP($N51,[2]Cultures!$B$4:$M$283,MATCH(AO$1,[2]Cultures!$B$3:$M$3,0),FALSE)</f>
        <v>#N/A</v>
      </c>
      <c r="AP51" s="4" t="e">
        <f>VLOOKUP($N51,[2]Cultures!$B$4:$M$283,MATCH(AP$1,[2]Cultures!$B$3:$M$3,0),FALSE)</f>
        <v>#N/A</v>
      </c>
      <c r="AQ51" s="4" t="e">
        <f>VLOOKUP($N51,[2]Cultures!$B$4:$M$283,MATCH(AQ$1,[2]Cultures!$B$3:$M$3,0),FALSE)</f>
        <v>#N/A</v>
      </c>
      <c r="AR51" s="4" t="e">
        <f>VLOOKUP($N51,[2]Cultures!$B$4:$M$283,MATCH(AR$1,[2]Cultures!$B$3:$M$3,0),FALSE)</f>
        <v>#N/A</v>
      </c>
      <c r="AS51" s="4" t="e">
        <f>VLOOKUP($N51,[2]Cultures!$B$4:$M$283,MATCH(AS$1,[2]Cultures!$B$3:$M$3,0),FALSE)</f>
        <v>#N/A</v>
      </c>
      <c r="AT51" s="4"/>
      <c r="AU51" s="4">
        <f>IF(ISNUMBER(SEARCH(N51&amp;";",Calculations!$Q$19)),VLOOKUP(Skills!N51,Calculations!$Q$2:$T$16,4,FALSE),0)</f>
        <v>0</v>
      </c>
      <c r="AV51" s="4">
        <f>IF(ISNUMBER(SEARCH(N51&amp;";",Calculations!$Q$18)),1,0)</f>
        <v>0</v>
      </c>
      <c r="AW51" s="4"/>
      <c r="AX51" s="4">
        <f>VLOOKUP($N51,$N51:$CH51,MATCH('Character Sheet'!$BJ$3,Skills!$N$1:$CH$1,0),FALSE)</f>
        <v>0</v>
      </c>
    </row>
    <row r="52" spans="1:50" x14ac:dyDescent="0.25">
      <c r="B52" s="4" t="e">
        <f t="shared" ca="1" si="23"/>
        <v>#N/A</v>
      </c>
      <c r="E52" s="4"/>
      <c r="F52" s="4">
        <f t="shared" si="8"/>
        <v>0</v>
      </c>
      <c r="G52" s="4"/>
      <c r="H52" s="4" t="e">
        <f t="shared" si="15"/>
        <v>#N/A</v>
      </c>
      <c r="I52" s="4">
        <v>0</v>
      </c>
      <c r="J52" s="4" t="e">
        <f t="shared" si="0"/>
        <v>#N/A</v>
      </c>
      <c r="K52" s="4" t="e">
        <f t="shared" si="26"/>
        <v>#N/A</v>
      </c>
      <c r="N52" s="3" t="s">
        <v>620</v>
      </c>
      <c r="O52" s="6" t="s">
        <v>782</v>
      </c>
      <c r="P52" s="6" t="s">
        <v>782</v>
      </c>
      <c r="Q52" s="4" t="str">
        <f t="shared" si="27"/>
        <v>- -</v>
      </c>
      <c r="R52" s="4" t="str">
        <f>IF(ISNUMBER(SEARCH("Category",N52)),"- -",IF(ISNUMBER(SEARCH("Skills",N52)),"- -",'Level-up'!C70))</f>
        <v>- -</v>
      </c>
      <c r="S52" s="4" t="str">
        <f t="shared" si="3"/>
        <v>- -</v>
      </c>
      <c r="T52" s="4" t="str">
        <f t="shared" si="4"/>
        <v>- -</v>
      </c>
      <c r="U52" s="4" t="str">
        <f t="shared" ca="1" si="9"/>
        <v>- -</v>
      </c>
      <c r="V52" s="4" t="str">
        <f t="shared" si="30"/>
        <v>- -</v>
      </c>
      <c r="W52" s="4" t="str">
        <f t="shared" si="28"/>
        <v>- -</v>
      </c>
      <c r="X52" s="4" t="str">
        <f t="shared" si="10"/>
        <v>- -</v>
      </c>
      <c r="Y52" s="4" t="str">
        <f t="shared" si="11"/>
        <v>- -</v>
      </c>
      <c r="Z52" s="4" t="str">
        <f t="shared" si="12"/>
        <v>- -</v>
      </c>
      <c r="AA52" s="4" t="str">
        <f t="shared" si="13"/>
        <v>- -</v>
      </c>
      <c r="AB52" s="4" t="str">
        <f t="shared" si="14"/>
        <v>- -</v>
      </c>
      <c r="AC52" s="8"/>
      <c r="AD52" s="4"/>
      <c r="AE52" s="4"/>
      <c r="AF52" s="4" t="str">
        <f t="shared" si="6"/>
        <v>- -</v>
      </c>
      <c r="AG52" s="4"/>
      <c r="AH52" s="4">
        <f>IFERROR(VLOOKUP(M52,Calculations!$AC$2:$AD$251,2,FALSE),0)</f>
        <v>0</v>
      </c>
      <c r="AI52" s="4" t="e">
        <f>VLOOKUP(N52,$N$2:$AS$620,MATCH('Character Creation'!$Z$12,Skills!$N$1:$AS$1,0),FALSE)</f>
        <v>#N/A</v>
      </c>
      <c r="AJ52" s="4" t="e">
        <f>VLOOKUP($N52,[2]Cultures!$B$4:$M$283,MATCH(AJ$1,[2]Cultures!$B$3:$M$3,0),FALSE)</f>
        <v>#N/A</v>
      </c>
      <c r="AK52" s="4" t="e">
        <f>VLOOKUP($N52,[2]Cultures!$B$4:$M$283,MATCH(AK$1,[2]Cultures!$B$3:$M$3,0),FALSE)</f>
        <v>#N/A</v>
      </c>
      <c r="AL52" s="4" t="e">
        <f>VLOOKUP($N52,[2]Cultures!$B$4:$M$283,MATCH(AL$1,[2]Cultures!$B$3:$M$3,0),FALSE)</f>
        <v>#N/A</v>
      </c>
      <c r="AM52" s="4" t="e">
        <f>VLOOKUP($N52,[2]Cultures!$B$4:$M$283,MATCH(AM$1,[2]Cultures!$B$3:$M$3,0),FALSE)</f>
        <v>#N/A</v>
      </c>
      <c r="AN52" s="4" t="e">
        <f>VLOOKUP($N52,[2]Cultures!$B$4:$M$283,MATCH(AN$1,[2]Cultures!$B$3:$M$3,0),FALSE)</f>
        <v>#N/A</v>
      </c>
      <c r="AO52" s="4" t="e">
        <f>VLOOKUP($N52,[2]Cultures!$B$4:$M$283,MATCH(AO$1,[2]Cultures!$B$3:$M$3,0),FALSE)</f>
        <v>#N/A</v>
      </c>
      <c r="AP52" s="4" t="e">
        <f>VLOOKUP($N52,[2]Cultures!$B$4:$M$283,MATCH(AP$1,[2]Cultures!$B$3:$M$3,0),FALSE)</f>
        <v>#N/A</v>
      </c>
      <c r="AQ52" s="4" t="e">
        <f>VLOOKUP($N52,[2]Cultures!$B$4:$M$283,MATCH(AQ$1,[2]Cultures!$B$3:$M$3,0),FALSE)</f>
        <v>#N/A</v>
      </c>
      <c r="AR52" s="4" t="e">
        <f>VLOOKUP($N52,[2]Cultures!$B$4:$M$283,MATCH(AR$1,[2]Cultures!$B$3:$M$3,0),FALSE)</f>
        <v>#N/A</v>
      </c>
      <c r="AS52" s="4" t="e">
        <f>VLOOKUP($N52,[2]Cultures!$B$4:$M$283,MATCH(AS$1,[2]Cultures!$B$3:$M$3,0),FALSE)</f>
        <v>#N/A</v>
      </c>
      <c r="AT52" s="4"/>
      <c r="AU52" s="4">
        <f>IF(ISNUMBER(SEARCH(N52&amp;";",Calculations!$Q$19)),VLOOKUP(Skills!N52,Calculations!$Q$2:$T$16,4,FALSE),0)</f>
        <v>0</v>
      </c>
      <c r="AV52" s="4">
        <f>IF(ISNUMBER(SEARCH(N52&amp;";",Calculations!$Q$18)),1,0)</f>
        <v>0</v>
      </c>
      <c r="AW52" s="4"/>
      <c r="AX52" s="4">
        <f>VLOOKUP($N52,$N52:$CH52,MATCH('Character Sheet'!$BJ$3,Skills!$N$1:$CH$1,0),FALSE)</f>
        <v>0</v>
      </c>
    </row>
    <row r="53" spans="1:50" x14ac:dyDescent="0.25">
      <c r="A53" s="4" t="s">
        <v>2240</v>
      </c>
      <c r="B53" s="4" t="e">
        <f t="shared" ca="1" si="23"/>
        <v>#N/A</v>
      </c>
      <c r="E53" s="4"/>
      <c r="F53" s="4">
        <f t="shared" si="8"/>
        <v>0</v>
      </c>
      <c r="G53" s="4"/>
      <c r="H53" s="4" t="e">
        <f t="shared" si="15"/>
        <v>#N/A</v>
      </c>
      <c r="I53" s="4" t="e">
        <f>IF($J$52=1,1,0)</f>
        <v>#N/A</v>
      </c>
      <c r="J53" s="4">
        <f t="shared" si="0"/>
        <v>0</v>
      </c>
      <c r="K53" s="4">
        <f t="shared" si="26"/>
        <v>3</v>
      </c>
      <c r="M53" t="str">
        <f>N53</f>
        <v>Body Development</v>
      </c>
      <c r="N53" s="3" t="str">
        <f>'Character Sheet'!ABN5</f>
        <v>Body Development</v>
      </c>
      <c r="O53" s="4" t="s">
        <v>785</v>
      </c>
      <c r="P53" s="4" t="s">
        <v>789</v>
      </c>
      <c r="Q53" s="4">
        <f t="shared" si="27"/>
        <v>3</v>
      </c>
      <c r="R53" s="4">
        <f>IF(ISNUMBER(SEARCH("Category",N53)),"- -",IF(ISNUMBER(SEARCH("Skills",N53)),"- -",'Level-up'!C71))</f>
        <v>0</v>
      </c>
      <c r="S53" s="4">
        <f t="shared" si="3"/>
        <v>3</v>
      </c>
      <c r="T53" s="4">
        <f t="shared" si="4"/>
        <v>15</v>
      </c>
      <c r="U53" s="4">
        <f t="shared" ca="1" si="9"/>
        <v>-6</v>
      </c>
      <c r="V53" s="4">
        <f>IF(ISNUMBER(SEARCH("Category",N53)),"- -",IF(ISNUMBER(SEARCH("Skills",N53)),"- -",IF(AU53&gt;0,AU53,$AU$51)))</f>
        <v>0</v>
      </c>
      <c r="W53" s="4">
        <f t="shared" si="28"/>
        <v>0</v>
      </c>
      <c r="X53" s="4">
        <f t="shared" si="10"/>
        <v>0</v>
      </c>
      <c r="Y53" s="4">
        <f t="shared" si="11"/>
        <v>0</v>
      </c>
      <c r="Z53" s="4">
        <f t="shared" si="12"/>
        <v>0</v>
      </c>
      <c r="AA53" s="4">
        <f t="shared" si="13"/>
        <v>0</v>
      </c>
      <c r="AB53" s="4">
        <f t="shared" si="14"/>
        <v>0</v>
      </c>
      <c r="AC53" s="8"/>
      <c r="AD53" s="4"/>
      <c r="AE53" s="4"/>
      <c r="AF53" s="4" t="str">
        <f t="shared" ca="1" si="6"/>
        <v>9</v>
      </c>
      <c r="AG53" s="4"/>
      <c r="AH53" s="4">
        <f>IFERROR(VLOOKUP(M53,Calculations!$AC$2:$AD$251,2,FALSE),0)</f>
        <v>0</v>
      </c>
      <c r="AI53" s="4">
        <f>VLOOKUP(N53,$N$2:$AS$620,MATCH('Character Creation'!$Z$12,Skills!$N$1:$AS$1,0),FALSE)</f>
        <v>3</v>
      </c>
      <c r="AJ53" s="4">
        <f>VLOOKUP($N53,[2]Cultures!$B$4:$M$283,MATCH(AJ$1,[2]Cultures!$B$3:$M$3,0),FALSE)</f>
        <v>1</v>
      </c>
      <c r="AK53" s="4">
        <f>VLOOKUP($N53,[2]Cultures!$B$4:$M$283,MATCH(AK$1,[2]Cultures!$B$3:$M$3,0),FALSE)</f>
        <v>3</v>
      </c>
      <c r="AL53" s="4">
        <f>VLOOKUP($N53,[2]Cultures!$B$4:$M$283,MATCH(AL$1,[2]Cultures!$B$3:$M$3,0),FALSE)</f>
        <v>2</v>
      </c>
      <c r="AM53" s="4">
        <f>VLOOKUP($N53,[2]Cultures!$B$4:$M$283,MATCH(AM$1,[2]Cultures!$B$3:$M$3,0),FALSE)</f>
        <v>1</v>
      </c>
      <c r="AN53" s="4">
        <f>VLOOKUP($N53,[2]Cultures!$B$4:$M$283,MATCH(AN$1,[2]Cultures!$B$3:$M$3,0),FALSE)</f>
        <v>1</v>
      </c>
      <c r="AO53" s="4">
        <f>VLOOKUP($N53,[2]Cultures!$B$4:$M$283,MATCH(AO$1,[2]Cultures!$B$3:$M$3,0),FALSE)</f>
        <v>2</v>
      </c>
      <c r="AP53" s="4">
        <f>VLOOKUP($N53,[2]Cultures!$B$4:$M$283,MATCH(AP$1,[2]Cultures!$B$3:$M$3,0),FALSE)</f>
        <v>1</v>
      </c>
      <c r="AQ53" s="4">
        <f>VLOOKUP($N53,[2]Cultures!$B$4:$M$283,MATCH(AQ$1,[2]Cultures!$B$3:$M$3,0),FALSE)</f>
        <v>1</v>
      </c>
      <c r="AR53" s="4">
        <f>VLOOKUP($N53,[2]Cultures!$B$4:$M$283,MATCH(AR$1,[2]Cultures!$B$3:$M$3,0),FALSE)</f>
        <v>2</v>
      </c>
      <c r="AS53" s="4">
        <f>VLOOKUP($N53,[2]Cultures!$B$4:$M$283,MATCH(AS$1,[2]Cultures!$B$3:$M$3,0),FALSE)</f>
        <v>1</v>
      </c>
      <c r="AT53" s="4"/>
      <c r="AU53" s="4">
        <f>IF(ISNUMBER(SEARCH(N53&amp;";",Calculations!$Q$19)),VLOOKUP(Skills!N53,Calculations!$Q$2:$T$16,4,FALSE),0)</f>
        <v>0</v>
      </c>
      <c r="AV53" s="4">
        <f>IF(ISNUMBER(SEARCH(N53&amp;";",Calculations!$Q$18)),1,0)</f>
        <v>0</v>
      </c>
      <c r="AW53" s="4">
        <f>IF($AV$51=1,1,AV53)</f>
        <v>0</v>
      </c>
      <c r="AX53" s="4">
        <f>VLOOKUP($N53,$N53:$CH53,MATCH('Character Sheet'!$BJ$3,Skills!$N$1:$CH$1,0),FALSE)</f>
        <v>0</v>
      </c>
    </row>
    <row r="54" spans="1:50" x14ac:dyDescent="0.25">
      <c r="B54" s="4" t="e">
        <f t="shared" ca="1" si="23"/>
        <v>#N/A</v>
      </c>
      <c r="E54" s="4"/>
      <c r="F54" s="4">
        <f t="shared" si="8"/>
        <v>0</v>
      </c>
      <c r="G54" s="4"/>
      <c r="H54" s="4" t="e">
        <f t="shared" si="15"/>
        <v>#N/A</v>
      </c>
      <c r="I54" s="4" t="e">
        <f>IF($J$52=1,1,0)</f>
        <v>#N/A</v>
      </c>
      <c r="J54" s="4">
        <f t="shared" si="0"/>
        <v>0</v>
      </c>
      <c r="K54" s="4">
        <f t="shared" si="26"/>
        <v>0</v>
      </c>
      <c r="M54" t="str">
        <f>N54</f>
        <v>Fortitude</v>
      </c>
      <c r="N54" s="3" t="str">
        <f>'Character Sheet'!ABN6</f>
        <v>Fortitude</v>
      </c>
      <c r="O54" s="4" t="s">
        <v>785</v>
      </c>
      <c r="P54" s="4" t="s">
        <v>784</v>
      </c>
      <c r="Q54" s="4">
        <f t="shared" si="27"/>
        <v>0</v>
      </c>
      <c r="R54" s="4">
        <f>IF(ISNUMBER(SEARCH("Category",N54)),"- -",IF(ISNUMBER(SEARCH("Skills",N54)),"- -",'Level-up'!C72))</f>
        <v>0</v>
      </c>
      <c r="S54" s="4">
        <f t="shared" si="3"/>
        <v>0</v>
      </c>
      <c r="T54" s="4">
        <f t="shared" si="4"/>
        <v>-25</v>
      </c>
      <c r="U54" s="4">
        <f t="shared" ca="1" si="9"/>
        <v>-6</v>
      </c>
      <c r="V54" s="4">
        <f>IF(ISNUMBER(SEARCH("Category",N54)),"- -",IF(ISNUMBER(SEARCH("Skills",N54)),"- -",IF(AU54&gt;0,AU54,$AU$51)))</f>
        <v>0</v>
      </c>
      <c r="W54" s="4">
        <f t="shared" si="28"/>
        <v>0</v>
      </c>
      <c r="X54" s="4">
        <f t="shared" si="10"/>
        <v>0</v>
      </c>
      <c r="Y54" s="4">
        <f t="shared" si="11"/>
        <v>0</v>
      </c>
      <c r="Z54" s="4">
        <f t="shared" si="12"/>
        <v>0</v>
      </c>
      <c r="AA54" s="4">
        <f t="shared" si="13"/>
        <v>0</v>
      </c>
      <c r="AB54" s="4">
        <f t="shared" si="14"/>
        <v>0</v>
      </c>
      <c r="AC54" s="8"/>
      <c r="AD54" s="4"/>
      <c r="AE54" s="4"/>
      <c r="AF54" s="4" t="str">
        <f t="shared" ca="1" si="6"/>
        <v>-31</v>
      </c>
      <c r="AG54" s="4"/>
      <c r="AH54" s="4">
        <f>IFERROR(VLOOKUP(M54,Calculations!$AC$2:$AD$251,2,FALSE),0)</f>
        <v>0</v>
      </c>
      <c r="AI54" s="4">
        <f>VLOOKUP(N54,$N$2:$AS$620,MATCH('Character Creation'!$Z$12,Skills!$N$1:$AS$1,0),FALSE)</f>
        <v>0</v>
      </c>
      <c r="AJ54" s="4">
        <f>VLOOKUP($N54,[2]Cultures!$B$4:$M$283,MATCH(AJ$1,[2]Cultures!$B$3:$M$3,0),FALSE)</f>
        <v>0</v>
      </c>
      <c r="AK54" s="4">
        <f>VLOOKUP($N54,[2]Cultures!$B$4:$M$283,MATCH(AK$1,[2]Cultures!$B$3:$M$3,0),FALSE)</f>
        <v>0</v>
      </c>
      <c r="AL54" s="4">
        <f>VLOOKUP($N54,[2]Cultures!$B$4:$M$283,MATCH(AL$1,[2]Cultures!$B$3:$M$3,0),FALSE)</f>
        <v>0</v>
      </c>
      <c r="AM54" s="4">
        <f>VLOOKUP($N54,[2]Cultures!$B$4:$M$283,MATCH(AM$1,[2]Cultures!$B$3:$M$3,0),FALSE)</f>
        <v>0</v>
      </c>
      <c r="AN54" s="4">
        <f>VLOOKUP($N54,[2]Cultures!$B$4:$M$283,MATCH(AN$1,[2]Cultures!$B$3:$M$3,0),FALSE)</f>
        <v>0</v>
      </c>
      <c r="AO54" s="4">
        <f>VLOOKUP($N54,[2]Cultures!$B$4:$M$283,MATCH(AO$1,[2]Cultures!$B$3:$M$3,0),FALSE)</f>
        <v>0</v>
      </c>
      <c r="AP54" s="4">
        <f>VLOOKUP($N54,[2]Cultures!$B$4:$M$283,MATCH(AP$1,[2]Cultures!$B$3:$M$3,0),FALSE)</f>
        <v>0</v>
      </c>
      <c r="AQ54" s="4">
        <f>VLOOKUP($N54,[2]Cultures!$B$4:$M$283,MATCH(AQ$1,[2]Cultures!$B$3:$M$3,0),FALSE)</f>
        <v>0</v>
      </c>
      <c r="AR54" s="4">
        <f>VLOOKUP($N54,[2]Cultures!$B$4:$M$283,MATCH(AR$1,[2]Cultures!$B$3:$M$3,0),FALSE)</f>
        <v>0</v>
      </c>
      <c r="AS54" s="4">
        <f>VLOOKUP($N54,[2]Cultures!$B$4:$M$283,MATCH(AS$1,[2]Cultures!$B$3:$M$3,0),FALSE)</f>
        <v>0</v>
      </c>
      <c r="AT54" s="4"/>
      <c r="AU54" s="4">
        <f>IF(ISNUMBER(SEARCH(N54&amp;";",Calculations!$Q$19)),VLOOKUP(Skills!N54,Calculations!$Q$2:$T$16,4,FALSE),0)</f>
        <v>0</v>
      </c>
      <c r="AV54" s="4">
        <f>IF(ISNUMBER(SEARCH(N54&amp;";",Calculations!$Q$18)),1,0)</f>
        <v>0</v>
      </c>
      <c r="AW54" s="4">
        <f>IF($AV$51=1,1,AV54)</f>
        <v>0</v>
      </c>
      <c r="AX54" s="4">
        <f>VLOOKUP($N54,$N54:$CH54,MATCH('Character Sheet'!$BJ$3,Skills!$N$1:$CH$1,0),FALSE)</f>
        <v>0</v>
      </c>
    </row>
    <row r="55" spans="1:50" x14ac:dyDescent="0.25">
      <c r="A55" s="4" t="s">
        <v>2240</v>
      </c>
      <c r="B55" s="4" t="e">
        <f t="shared" ca="1" si="23"/>
        <v>#N/A</v>
      </c>
      <c r="E55" s="4"/>
      <c r="F55" s="4">
        <f t="shared" si="8"/>
        <v>0</v>
      </c>
      <c r="G55" s="4"/>
      <c r="H55" s="4" t="e">
        <f t="shared" si="15"/>
        <v>#N/A</v>
      </c>
      <c r="I55" s="4" t="e">
        <f>IF($J$52=1,1,0)</f>
        <v>#N/A</v>
      </c>
      <c r="J55" s="4">
        <f t="shared" si="0"/>
        <v>0</v>
      </c>
      <c r="K55" s="4">
        <f t="shared" si="26"/>
        <v>0</v>
      </c>
      <c r="M55" t="str">
        <f>N55</f>
        <v>Weight-training</v>
      </c>
      <c r="N55" s="3" t="str">
        <f>'Character Sheet'!ABN7</f>
        <v>Weight-training</v>
      </c>
      <c r="O55" s="4" t="s">
        <v>785</v>
      </c>
      <c r="P55" s="4" t="s">
        <v>788</v>
      </c>
      <c r="Q55" s="4">
        <f t="shared" si="27"/>
        <v>0</v>
      </c>
      <c r="R55" s="4">
        <f>IF(ISNUMBER(SEARCH("Category",N55)),"- -",IF(ISNUMBER(SEARCH("Skills",N55)),"- -",'Level-up'!C73))</f>
        <v>0</v>
      </c>
      <c r="S55" s="4">
        <f t="shared" si="3"/>
        <v>0</v>
      </c>
      <c r="T55" s="4">
        <f t="shared" si="4"/>
        <v>-25</v>
      </c>
      <c r="U55" s="4">
        <f t="shared" ca="1" si="9"/>
        <v>-1</v>
      </c>
      <c r="V55" s="4">
        <f>IF(ISNUMBER(SEARCH("Category",N55)),"- -",IF(ISNUMBER(SEARCH("Skills",N55)),"- -",IF(AU55&gt;0,AU55,$AU$51)))</f>
        <v>0</v>
      </c>
      <c r="W55" s="4">
        <f t="shared" si="28"/>
        <v>0</v>
      </c>
      <c r="X55" s="4">
        <f t="shared" si="10"/>
        <v>0</v>
      </c>
      <c r="Y55" s="4">
        <f t="shared" si="11"/>
        <v>0</v>
      </c>
      <c r="Z55" s="4">
        <f t="shared" si="12"/>
        <v>0</v>
      </c>
      <c r="AA55" s="4">
        <f t="shared" si="13"/>
        <v>0</v>
      </c>
      <c r="AB55" s="4">
        <f t="shared" si="14"/>
        <v>0</v>
      </c>
      <c r="AC55" s="8"/>
      <c r="AD55" s="4"/>
      <c r="AE55" s="4"/>
      <c r="AF55" s="4" t="str">
        <f t="shared" ca="1" si="6"/>
        <v>-26</v>
      </c>
      <c r="AG55" s="4"/>
      <c r="AH55" s="4">
        <f>IFERROR(VLOOKUP(M55,Calculations!$AC$2:$AD$251,2,FALSE),0)</f>
        <v>0</v>
      </c>
      <c r="AI55" s="4">
        <f>VLOOKUP(N55,$N$2:$AS$620,MATCH('Character Creation'!$Z$12,Skills!$N$1:$AS$1,0),FALSE)</f>
        <v>0</v>
      </c>
      <c r="AJ55" s="4">
        <f>VLOOKUP($N55,[2]Cultures!$B$4:$M$283,MATCH(AJ$1,[2]Cultures!$B$3:$M$3,0),FALSE)</f>
        <v>0</v>
      </c>
      <c r="AK55" s="4">
        <f>VLOOKUP($N55,[2]Cultures!$B$4:$M$283,MATCH(AK$1,[2]Cultures!$B$3:$M$3,0),FALSE)</f>
        <v>0</v>
      </c>
      <c r="AL55" s="4">
        <f>VLOOKUP($N55,[2]Cultures!$B$4:$M$283,MATCH(AL$1,[2]Cultures!$B$3:$M$3,0),FALSE)</f>
        <v>0</v>
      </c>
      <c r="AM55" s="4">
        <f>VLOOKUP($N55,[2]Cultures!$B$4:$M$283,MATCH(AM$1,[2]Cultures!$B$3:$M$3,0),FALSE)</f>
        <v>1</v>
      </c>
      <c r="AN55" s="4">
        <f>VLOOKUP($N55,[2]Cultures!$B$4:$M$283,MATCH(AN$1,[2]Cultures!$B$3:$M$3,0),FALSE)</f>
        <v>0</v>
      </c>
      <c r="AO55" s="4">
        <f>VLOOKUP($N55,[2]Cultures!$B$4:$M$283,MATCH(AO$1,[2]Cultures!$B$3:$M$3,0),FALSE)</f>
        <v>0</v>
      </c>
      <c r="AP55" s="4">
        <f>VLOOKUP($N55,[2]Cultures!$B$4:$M$283,MATCH(AP$1,[2]Cultures!$B$3:$M$3,0),FALSE)</f>
        <v>1</v>
      </c>
      <c r="AQ55" s="4">
        <f>VLOOKUP($N55,[2]Cultures!$B$4:$M$283,MATCH(AQ$1,[2]Cultures!$B$3:$M$3,0),FALSE)</f>
        <v>0</v>
      </c>
      <c r="AR55" s="4">
        <f>VLOOKUP($N55,[2]Cultures!$B$4:$M$283,MATCH(AR$1,[2]Cultures!$B$3:$M$3,0),FALSE)</f>
        <v>1</v>
      </c>
      <c r="AS55" s="4">
        <f>VLOOKUP($N55,[2]Cultures!$B$4:$M$283,MATCH(AS$1,[2]Cultures!$B$3:$M$3,0),FALSE)</f>
        <v>0</v>
      </c>
      <c r="AT55" s="4"/>
      <c r="AU55" s="4">
        <f>IF(ISNUMBER(SEARCH(N55&amp;";",Calculations!$Q$19)),VLOOKUP(Skills!N55,Calculations!$Q$2:$T$16,4,FALSE),0)</f>
        <v>0</v>
      </c>
      <c r="AV55" s="4">
        <f>IF(ISNUMBER(SEARCH(N55&amp;";",Calculations!$Q$18)),1,0)</f>
        <v>0</v>
      </c>
      <c r="AW55" s="4">
        <f>IF($AV$51=1,1,AV55)</f>
        <v>0</v>
      </c>
      <c r="AX55" s="4">
        <f>VLOOKUP($N55,$N55:$CH55,MATCH('Character Sheet'!$BJ$3,Skills!$N$1:$CH$1,0),FALSE)</f>
        <v>0</v>
      </c>
    </row>
    <row r="56" spans="1:50" x14ac:dyDescent="0.25">
      <c r="B56" s="4" t="e">
        <f t="shared" ca="1" si="23"/>
        <v>#N/A</v>
      </c>
      <c r="E56" s="4"/>
      <c r="F56" s="4">
        <f t="shared" si="8"/>
        <v>0</v>
      </c>
      <c r="G56" s="4"/>
      <c r="H56" s="4" t="e">
        <f t="shared" si="15"/>
        <v>#N/A</v>
      </c>
      <c r="I56" s="4" t="e">
        <f>IF($J$57=1,1,0)</f>
        <v>#N/A</v>
      </c>
      <c r="J56" s="4">
        <f t="shared" si="0"/>
        <v>0</v>
      </c>
      <c r="K56" s="4" t="e">
        <f t="shared" si="26"/>
        <v>#N/A</v>
      </c>
      <c r="N56" s="3" t="s">
        <v>621</v>
      </c>
      <c r="O56" s="6" t="s">
        <v>782</v>
      </c>
      <c r="P56" s="6" t="s">
        <v>782</v>
      </c>
      <c r="Q56" s="4" t="str">
        <f t="shared" si="27"/>
        <v>- -</v>
      </c>
      <c r="R56" s="4" t="str">
        <f>IF(ISNUMBER(SEARCH("Category",N56)),"- -",IF(ISNUMBER(SEARCH("Skills",N56)),"- -",'Level-up'!C74))</f>
        <v>- -</v>
      </c>
      <c r="S56" s="4" t="str">
        <f t="shared" si="3"/>
        <v>- -</v>
      </c>
      <c r="T56" s="4" t="str">
        <f t="shared" si="4"/>
        <v>- -</v>
      </c>
      <c r="U56" s="4" t="str">
        <f t="shared" ca="1" si="9"/>
        <v>- -</v>
      </c>
      <c r="V56" s="4" t="str">
        <f>IF(ISNUMBER(SEARCH("Category",N56)),"- -",IF(ISNUMBER(SEARCH("Skills",N56)),"- -",IF(AU56&gt;0,AU56,$AU$51)))</f>
        <v>- -</v>
      </c>
      <c r="W56" s="4" t="str">
        <f t="shared" si="28"/>
        <v>- -</v>
      </c>
      <c r="X56" s="4" t="str">
        <f t="shared" si="10"/>
        <v>- -</v>
      </c>
      <c r="Y56" s="4" t="str">
        <f t="shared" si="11"/>
        <v>- -</v>
      </c>
      <c r="Z56" s="4" t="str">
        <f t="shared" si="12"/>
        <v>- -</v>
      </c>
      <c r="AA56" s="4" t="str">
        <f t="shared" si="13"/>
        <v>- -</v>
      </c>
      <c r="AB56" s="4" t="str">
        <f t="shared" si="14"/>
        <v>- -</v>
      </c>
      <c r="AC56" s="8"/>
      <c r="AD56" s="4"/>
      <c r="AE56" s="4"/>
      <c r="AF56" s="4" t="str">
        <f t="shared" si="6"/>
        <v>- -</v>
      </c>
      <c r="AG56" s="4"/>
      <c r="AH56" s="4">
        <f>IFERROR(VLOOKUP(M56,Calculations!$AC$2:$AD$251,2,FALSE),0)</f>
        <v>0</v>
      </c>
      <c r="AI56" s="4" t="e">
        <f>VLOOKUP(N56,$N$2:$AS$620,MATCH('Character Creation'!$Z$12,Skills!$N$1:$AS$1,0),FALSE)</f>
        <v>#N/A</v>
      </c>
      <c r="AJ56" s="4" t="e">
        <f>VLOOKUP($N56,[2]Cultures!$B$4:$M$283,MATCH(AJ$1,[2]Cultures!$B$3:$M$3,0),FALSE)</f>
        <v>#N/A</v>
      </c>
      <c r="AK56" s="4" t="e">
        <f>VLOOKUP($N56,[2]Cultures!$B$4:$M$283,MATCH(AK$1,[2]Cultures!$B$3:$M$3,0),FALSE)</f>
        <v>#N/A</v>
      </c>
      <c r="AL56" s="4" t="e">
        <f>VLOOKUP($N56,[2]Cultures!$B$4:$M$283,MATCH(AL$1,[2]Cultures!$B$3:$M$3,0),FALSE)</f>
        <v>#N/A</v>
      </c>
      <c r="AM56" s="4" t="e">
        <f>VLOOKUP($N56,[2]Cultures!$B$4:$M$283,MATCH(AM$1,[2]Cultures!$B$3:$M$3,0),FALSE)</f>
        <v>#N/A</v>
      </c>
      <c r="AN56" s="4" t="e">
        <f>VLOOKUP($N56,[2]Cultures!$B$4:$M$283,MATCH(AN$1,[2]Cultures!$B$3:$M$3,0),FALSE)</f>
        <v>#N/A</v>
      </c>
      <c r="AO56" s="4" t="e">
        <f>VLOOKUP($N56,[2]Cultures!$B$4:$M$283,MATCH(AO$1,[2]Cultures!$B$3:$M$3,0),FALSE)</f>
        <v>#N/A</v>
      </c>
      <c r="AP56" s="4" t="e">
        <f>VLOOKUP($N56,[2]Cultures!$B$4:$M$283,MATCH(AP$1,[2]Cultures!$B$3:$M$3,0),FALSE)</f>
        <v>#N/A</v>
      </c>
      <c r="AQ56" s="4" t="e">
        <f>VLOOKUP($N56,[2]Cultures!$B$4:$M$283,MATCH(AQ$1,[2]Cultures!$B$3:$M$3,0),FALSE)</f>
        <v>#N/A</v>
      </c>
      <c r="AR56" s="4" t="e">
        <f>VLOOKUP($N56,[2]Cultures!$B$4:$M$283,MATCH(AR$1,[2]Cultures!$B$3:$M$3,0),FALSE)</f>
        <v>#N/A</v>
      </c>
      <c r="AS56" s="4" t="e">
        <f>VLOOKUP($N56,[2]Cultures!$B$4:$M$283,MATCH(AS$1,[2]Cultures!$B$3:$M$3,0),FALSE)</f>
        <v>#N/A</v>
      </c>
      <c r="AT56" s="4"/>
      <c r="AU56" s="4">
        <f>IF(ISNUMBER(SEARCH(N56&amp;";",Calculations!$Q$19)),VLOOKUP(Skills!N56,Calculations!$Q$2:$T$16,4,FALSE),0)</f>
        <v>0</v>
      </c>
      <c r="AV56" s="4">
        <f>IF(ISNUMBER(SEARCH(N56&amp;";",Calculations!$Q$18)),1,0)</f>
        <v>0</v>
      </c>
      <c r="AW56" s="4"/>
      <c r="AX56" s="4">
        <f>VLOOKUP($N56,$N56:$CH56,MATCH('Character Sheet'!$BJ$3,Skills!$N$1:$CH$1,0),FALSE)</f>
        <v>0</v>
      </c>
    </row>
    <row r="57" spans="1:50" x14ac:dyDescent="0.25">
      <c r="B57" s="4" t="e">
        <f t="shared" ca="1" si="23"/>
        <v>#N/A</v>
      </c>
      <c r="E57" s="4"/>
      <c r="F57" s="4">
        <f t="shared" si="8"/>
        <v>0</v>
      </c>
      <c r="G57" s="4"/>
      <c r="H57" s="4" t="e">
        <f t="shared" si="15"/>
        <v>#N/A</v>
      </c>
      <c r="I57" s="4">
        <v>0</v>
      </c>
      <c r="J57" s="4" t="e">
        <f t="shared" si="0"/>
        <v>#N/A</v>
      </c>
      <c r="K57" s="4" t="e">
        <f t="shared" si="26"/>
        <v>#N/A</v>
      </c>
      <c r="N57" s="3" t="s">
        <v>622</v>
      </c>
      <c r="O57" s="6" t="s">
        <v>782</v>
      </c>
      <c r="P57" s="6" t="s">
        <v>782</v>
      </c>
      <c r="Q57" s="4" t="str">
        <f t="shared" si="27"/>
        <v>- -</v>
      </c>
      <c r="R57" s="4" t="str">
        <f>IF(ISNUMBER(SEARCH("Category",N57)),"- -",IF(ISNUMBER(SEARCH("Skills",N57)),"- -",'Level-up'!C75))</f>
        <v>- -</v>
      </c>
      <c r="S57" s="4" t="str">
        <f t="shared" si="3"/>
        <v>- -</v>
      </c>
      <c r="T57" s="4" t="str">
        <f t="shared" si="4"/>
        <v>- -</v>
      </c>
      <c r="U57" s="4" t="str">
        <f t="shared" ca="1" si="9"/>
        <v>- -</v>
      </c>
      <c r="V57" s="4" t="str">
        <f>IF(ISNUMBER(SEARCH("Category",N57)),"- -",IF(ISNUMBER(SEARCH("Skills",N57)),"- -",IF(AU57&gt;0,AU57,$AU$51)))</f>
        <v>- -</v>
      </c>
      <c r="W57" s="4" t="str">
        <f t="shared" si="28"/>
        <v>- -</v>
      </c>
      <c r="X57" s="4" t="str">
        <f t="shared" si="10"/>
        <v>- -</v>
      </c>
      <c r="Y57" s="4" t="str">
        <f t="shared" si="11"/>
        <v>- -</v>
      </c>
      <c r="Z57" s="4" t="str">
        <f t="shared" si="12"/>
        <v>- -</v>
      </c>
      <c r="AA57" s="4" t="str">
        <f t="shared" si="13"/>
        <v>- -</v>
      </c>
      <c r="AB57" s="4" t="str">
        <f t="shared" si="14"/>
        <v>- -</v>
      </c>
      <c r="AC57" s="8"/>
      <c r="AD57" s="4"/>
      <c r="AE57" s="4"/>
      <c r="AF57" s="4" t="str">
        <f t="shared" si="6"/>
        <v>- -</v>
      </c>
      <c r="AG57" s="4"/>
      <c r="AH57" s="4">
        <f>IFERROR(VLOOKUP(M57,Calculations!$AC$2:$AD$251,2,FALSE),0)</f>
        <v>0</v>
      </c>
      <c r="AI57" s="4" t="e">
        <f>VLOOKUP(N57,$N$2:$AS$620,MATCH('Character Creation'!$Z$12,Skills!$N$1:$AS$1,0),FALSE)</f>
        <v>#N/A</v>
      </c>
      <c r="AJ57" s="4" t="e">
        <f>VLOOKUP($N57,[2]Cultures!$B$4:$M$283,MATCH(AJ$1,[2]Cultures!$B$3:$M$3,0),FALSE)</f>
        <v>#N/A</v>
      </c>
      <c r="AK57" s="4" t="e">
        <f>VLOOKUP($N57,[2]Cultures!$B$4:$M$283,MATCH(AK$1,[2]Cultures!$B$3:$M$3,0),FALSE)</f>
        <v>#N/A</v>
      </c>
      <c r="AL57" s="4" t="e">
        <f>VLOOKUP($N57,[2]Cultures!$B$4:$M$283,MATCH(AL$1,[2]Cultures!$B$3:$M$3,0),FALSE)</f>
        <v>#N/A</v>
      </c>
      <c r="AM57" s="4" t="e">
        <f>VLOOKUP($N57,[2]Cultures!$B$4:$M$283,MATCH(AM$1,[2]Cultures!$B$3:$M$3,0),FALSE)</f>
        <v>#N/A</v>
      </c>
      <c r="AN57" s="4" t="e">
        <f>VLOOKUP($N57,[2]Cultures!$B$4:$M$283,MATCH(AN$1,[2]Cultures!$B$3:$M$3,0),FALSE)</f>
        <v>#N/A</v>
      </c>
      <c r="AO57" s="4" t="e">
        <f>VLOOKUP($N57,[2]Cultures!$B$4:$M$283,MATCH(AO$1,[2]Cultures!$B$3:$M$3,0),FALSE)</f>
        <v>#N/A</v>
      </c>
      <c r="AP57" s="4" t="e">
        <f>VLOOKUP($N57,[2]Cultures!$B$4:$M$283,MATCH(AP$1,[2]Cultures!$B$3:$M$3,0),FALSE)</f>
        <v>#N/A</v>
      </c>
      <c r="AQ57" s="4" t="e">
        <f>VLOOKUP($N57,[2]Cultures!$B$4:$M$283,MATCH(AQ$1,[2]Cultures!$B$3:$M$3,0),FALSE)</f>
        <v>#N/A</v>
      </c>
      <c r="AR57" s="4" t="e">
        <f>VLOOKUP($N57,[2]Cultures!$B$4:$M$283,MATCH(AR$1,[2]Cultures!$B$3:$M$3,0),FALSE)</f>
        <v>#N/A</v>
      </c>
      <c r="AS57" s="4" t="e">
        <f>VLOOKUP($N57,[2]Cultures!$B$4:$M$283,MATCH(AS$1,[2]Cultures!$B$3:$M$3,0),FALSE)</f>
        <v>#N/A</v>
      </c>
      <c r="AT57" s="4"/>
      <c r="AU57" s="4">
        <f>IF(ISNUMBER(SEARCH(N57&amp;";",Calculations!$Q$19)),VLOOKUP(Skills!N57,Calculations!$Q$2:$T$16,4,FALSE),0)</f>
        <v>0</v>
      </c>
      <c r="AV57" s="4">
        <f>IF(ISNUMBER(SEARCH(N57&amp;";",Calculations!$Q$18)),1,0)</f>
        <v>0</v>
      </c>
      <c r="AW57" s="4"/>
      <c r="AX57" s="4">
        <f>VLOOKUP($N57,$N57:$CH57,MATCH('Character Sheet'!$BJ$3,Skills!$N$1:$CH$1,0),FALSE)</f>
        <v>0</v>
      </c>
    </row>
    <row r="58" spans="1:50" x14ac:dyDescent="0.25">
      <c r="B58" s="4" t="e">
        <f t="shared" si="23"/>
        <v>#N/A</v>
      </c>
      <c r="E58" s="4"/>
      <c r="F58" s="4">
        <f t="shared" si="8"/>
        <v>0</v>
      </c>
      <c r="G58" s="4"/>
      <c r="H58" s="4" t="e">
        <f t="shared" si="15"/>
        <v>#N/A</v>
      </c>
      <c r="I58" s="4" t="e">
        <f>IF($J$57=1,1,0)</f>
        <v>#N/A</v>
      </c>
      <c r="J58" s="4">
        <f t="shared" si="0"/>
        <v>0</v>
      </c>
      <c r="K58" s="4" t="e">
        <f t="shared" si="26"/>
        <v>#N/A</v>
      </c>
      <c r="M58" t="str">
        <f>"Substance Tolerance, "&amp;N58</f>
        <v>Substance Tolerance, Alcohol</v>
      </c>
      <c r="N58" s="3" t="str">
        <f>'Character Sheet'!ABN11</f>
        <v>Alcohol</v>
      </c>
      <c r="O58" s="4" t="s">
        <v>785</v>
      </c>
      <c r="P58" s="4" t="s">
        <v>784</v>
      </c>
      <c r="Q58" s="4" t="e">
        <f t="shared" si="27"/>
        <v>#N/A</v>
      </c>
      <c r="R58" s="4">
        <f>IF(ISNUMBER(SEARCH("Category",N58)),"- -",IF(ISNUMBER(SEARCH("Skills",N58)),"- -",'Level-up'!C76))</f>
        <v>0</v>
      </c>
      <c r="S58" s="4" t="e">
        <f t="shared" si="3"/>
        <v>#N/A</v>
      </c>
      <c r="T58" s="4" t="e">
        <f t="shared" si="4"/>
        <v>#N/A</v>
      </c>
      <c r="U58" s="4">
        <f t="shared" ca="1" si="9"/>
        <v>-6</v>
      </c>
      <c r="V58" s="4">
        <f>IF(ISNUMBER(SEARCH("Category",N58)),"- -",IF(ISNUMBER(SEARCH("Skills",N58)),"- -",IF(AU58&gt;0,AU58,IF($AU$56&gt;0,$AU$56,$AU$51))))</f>
        <v>0</v>
      </c>
      <c r="W58" s="4">
        <f t="shared" si="28"/>
        <v>0</v>
      </c>
      <c r="X58" s="4">
        <f t="shared" si="10"/>
        <v>0</v>
      </c>
      <c r="Y58" s="4">
        <f t="shared" si="11"/>
        <v>0</v>
      </c>
      <c r="Z58" s="4">
        <f t="shared" si="12"/>
        <v>0</v>
      </c>
      <c r="AA58" s="4">
        <f t="shared" si="13"/>
        <v>0</v>
      </c>
      <c r="AB58" s="4">
        <f t="shared" si="14"/>
        <v>0</v>
      </c>
      <c r="AC58" s="8"/>
      <c r="AD58" s="4"/>
      <c r="AE58" s="4"/>
      <c r="AF58" s="4" t="e">
        <f t="shared" si="6"/>
        <v>#N/A</v>
      </c>
      <c r="AG58" s="4"/>
      <c r="AH58" s="4">
        <f>IFERROR(VLOOKUP(M58,Calculations!$AC$2:$AD$251,2,FALSE),0)</f>
        <v>0</v>
      </c>
      <c r="AI58" s="4" t="e">
        <f>VLOOKUP(N58,$N$2:$AS$620,MATCH('Character Creation'!$Z$12,Skills!$N$1:$AS$1,0),FALSE)</f>
        <v>#N/A</v>
      </c>
      <c r="AJ58" s="4" t="e">
        <f>VLOOKUP($N58,[2]Cultures!$B$4:$M$283,MATCH(AJ$1,[2]Cultures!$B$3:$M$3,0),FALSE)</f>
        <v>#N/A</v>
      </c>
      <c r="AK58" s="4" t="e">
        <f>VLOOKUP($N58,[2]Cultures!$B$4:$M$283,MATCH(AK$1,[2]Cultures!$B$3:$M$3,0),FALSE)</f>
        <v>#N/A</v>
      </c>
      <c r="AL58" s="4" t="e">
        <f>VLOOKUP($N58,[2]Cultures!$B$4:$M$283,MATCH(AL$1,[2]Cultures!$B$3:$M$3,0),FALSE)</f>
        <v>#N/A</v>
      </c>
      <c r="AM58" s="4" t="e">
        <f>VLOOKUP($N58,[2]Cultures!$B$4:$M$283,MATCH(AM$1,[2]Cultures!$B$3:$M$3,0),FALSE)</f>
        <v>#N/A</v>
      </c>
      <c r="AN58" s="4" t="e">
        <f>VLOOKUP($N58,[2]Cultures!$B$4:$M$283,MATCH(AN$1,[2]Cultures!$B$3:$M$3,0),FALSE)</f>
        <v>#N/A</v>
      </c>
      <c r="AO58" s="4" t="e">
        <f>VLOOKUP($N58,[2]Cultures!$B$4:$M$283,MATCH(AO$1,[2]Cultures!$B$3:$M$3,0),FALSE)</f>
        <v>#N/A</v>
      </c>
      <c r="AP58" s="4" t="e">
        <f>VLOOKUP($N58,[2]Cultures!$B$4:$M$283,MATCH(AP$1,[2]Cultures!$B$3:$M$3,0),FALSE)</f>
        <v>#N/A</v>
      </c>
      <c r="AQ58" s="4" t="e">
        <f>VLOOKUP($N58,[2]Cultures!$B$4:$M$283,MATCH(AQ$1,[2]Cultures!$B$3:$M$3,0),FALSE)</f>
        <v>#N/A</v>
      </c>
      <c r="AR58" s="4" t="e">
        <f>VLOOKUP($N58,[2]Cultures!$B$4:$M$283,MATCH(AR$1,[2]Cultures!$B$3:$M$3,0),FALSE)</f>
        <v>#N/A</v>
      </c>
      <c r="AS58" s="4" t="e">
        <f>VLOOKUP($N58,[2]Cultures!$B$4:$M$283,MATCH(AS$1,[2]Cultures!$B$3:$M$3,0),FALSE)</f>
        <v>#N/A</v>
      </c>
      <c r="AT58" s="4"/>
      <c r="AU58" s="4">
        <f>IF(ISNUMBER(SEARCH(N58&amp;";",Calculations!$Q$19)),VLOOKUP(Skills!N58,Calculations!$Q$2:$T$16,4,FALSE),0)</f>
        <v>0</v>
      </c>
      <c r="AV58" s="4">
        <f>IF(ISNUMBER(SEARCH(N58&amp;";",Calculations!$Q$18)),1,0)</f>
        <v>0</v>
      </c>
      <c r="AW58" s="4">
        <f>IF($AV$51=1,1,IF($AV$56=1,1,AV58))</f>
        <v>0</v>
      </c>
      <c r="AX58" s="4">
        <f>VLOOKUP($N58,$N58:$CH58,MATCH('Character Sheet'!$BJ$3,Skills!$N$1:$CH$1,0),FALSE)</f>
        <v>0</v>
      </c>
    </row>
    <row r="59" spans="1:50" x14ac:dyDescent="0.25">
      <c r="B59" s="4" t="e">
        <f t="shared" si="23"/>
        <v>#N/A</v>
      </c>
      <c r="E59" s="4"/>
      <c r="F59" s="4">
        <f t="shared" si="8"/>
        <v>0</v>
      </c>
      <c r="G59" s="4"/>
      <c r="H59" s="4" t="e">
        <f t="shared" si="15"/>
        <v>#N/A</v>
      </c>
      <c r="I59" s="4" t="e">
        <f>IF($J$57=1,1,0)</f>
        <v>#N/A</v>
      </c>
      <c r="J59" s="4">
        <f t="shared" si="0"/>
        <v>0</v>
      </c>
      <c r="K59" s="4" t="e">
        <f t="shared" si="26"/>
        <v>#N/A</v>
      </c>
      <c r="M59" t="str">
        <f>"Substance Tolerance, "&amp;N59</f>
        <v>Substance Tolerance, Drugs</v>
      </c>
      <c r="N59" s="3" t="str">
        <f>'Character Sheet'!ABN12</f>
        <v>Drugs</v>
      </c>
      <c r="O59" s="4" t="s">
        <v>785</v>
      </c>
      <c r="P59" s="4" t="s">
        <v>784</v>
      </c>
      <c r="Q59" s="4" t="e">
        <f t="shared" si="27"/>
        <v>#N/A</v>
      </c>
      <c r="R59" s="4">
        <f>IF(ISNUMBER(SEARCH("Category",N59)),"- -",IF(ISNUMBER(SEARCH("Skills",N59)),"- -",'Level-up'!C77))</f>
        <v>0</v>
      </c>
      <c r="S59" s="4" t="e">
        <f t="shared" si="3"/>
        <v>#N/A</v>
      </c>
      <c r="T59" s="4" t="e">
        <f t="shared" si="4"/>
        <v>#N/A</v>
      </c>
      <c r="U59" s="4">
        <f t="shared" ca="1" si="9"/>
        <v>-6</v>
      </c>
      <c r="V59" s="4">
        <f>IF(ISNUMBER(SEARCH("Category",N59)),"- -",IF(ISNUMBER(SEARCH("Skills",N59)),"- -",IF(AU59&gt;0,AU59,IF($AU$56&gt;0,$AU$56,$AU$51))))</f>
        <v>0</v>
      </c>
      <c r="W59" s="4">
        <f t="shared" si="28"/>
        <v>0</v>
      </c>
      <c r="X59" s="4">
        <f t="shared" si="10"/>
        <v>0</v>
      </c>
      <c r="Y59" s="4">
        <f t="shared" si="11"/>
        <v>0</v>
      </c>
      <c r="Z59" s="4">
        <f t="shared" si="12"/>
        <v>0</v>
      </c>
      <c r="AA59" s="4">
        <f t="shared" si="13"/>
        <v>0</v>
      </c>
      <c r="AB59" s="4">
        <f t="shared" si="14"/>
        <v>0</v>
      </c>
      <c r="AC59" s="8"/>
      <c r="AD59" s="4"/>
      <c r="AE59" s="4"/>
      <c r="AF59" s="4" t="e">
        <f t="shared" si="6"/>
        <v>#N/A</v>
      </c>
      <c r="AG59" s="4"/>
      <c r="AH59" s="4">
        <f>IFERROR(VLOOKUP(M59,Calculations!$AC$2:$AD$251,2,FALSE),0)</f>
        <v>0</v>
      </c>
      <c r="AI59" s="4" t="e">
        <f>VLOOKUP(N59,$N$2:$AS$620,MATCH('Character Creation'!$Z$12,Skills!$N$1:$AS$1,0),FALSE)</f>
        <v>#N/A</v>
      </c>
      <c r="AJ59" s="4" t="e">
        <f>VLOOKUP($N59,[2]Cultures!$B$4:$M$283,MATCH(AJ$1,[2]Cultures!$B$3:$M$3,0),FALSE)</f>
        <v>#N/A</v>
      </c>
      <c r="AK59" s="4" t="e">
        <f>VLOOKUP($N59,[2]Cultures!$B$4:$M$283,MATCH(AK$1,[2]Cultures!$B$3:$M$3,0),FALSE)</f>
        <v>#N/A</v>
      </c>
      <c r="AL59" s="4" t="e">
        <f>VLOOKUP($N59,[2]Cultures!$B$4:$M$283,MATCH(AL$1,[2]Cultures!$B$3:$M$3,0),FALSE)</f>
        <v>#N/A</v>
      </c>
      <c r="AM59" s="4" t="e">
        <f>VLOOKUP($N59,[2]Cultures!$B$4:$M$283,MATCH(AM$1,[2]Cultures!$B$3:$M$3,0),FALSE)</f>
        <v>#N/A</v>
      </c>
      <c r="AN59" s="4" t="e">
        <f>VLOOKUP($N59,[2]Cultures!$B$4:$M$283,MATCH(AN$1,[2]Cultures!$B$3:$M$3,0),FALSE)</f>
        <v>#N/A</v>
      </c>
      <c r="AO59" s="4" t="e">
        <f>VLOOKUP($N59,[2]Cultures!$B$4:$M$283,MATCH(AO$1,[2]Cultures!$B$3:$M$3,0),FALSE)</f>
        <v>#N/A</v>
      </c>
      <c r="AP59" s="4" t="e">
        <f>VLOOKUP($N59,[2]Cultures!$B$4:$M$283,MATCH(AP$1,[2]Cultures!$B$3:$M$3,0),FALSE)</f>
        <v>#N/A</v>
      </c>
      <c r="AQ59" s="4" t="e">
        <f>VLOOKUP($N59,[2]Cultures!$B$4:$M$283,MATCH(AQ$1,[2]Cultures!$B$3:$M$3,0),FALSE)</f>
        <v>#N/A</v>
      </c>
      <c r="AR59" s="4" t="e">
        <f>VLOOKUP($N59,[2]Cultures!$B$4:$M$283,MATCH(AR$1,[2]Cultures!$B$3:$M$3,0),FALSE)</f>
        <v>#N/A</v>
      </c>
      <c r="AS59" s="4" t="e">
        <f>VLOOKUP($N59,[2]Cultures!$B$4:$M$283,MATCH(AS$1,[2]Cultures!$B$3:$M$3,0),FALSE)</f>
        <v>#N/A</v>
      </c>
      <c r="AT59" s="4"/>
      <c r="AU59" s="4">
        <f>IF(ISNUMBER(SEARCH(N59&amp;";",Calculations!$Q$19)),VLOOKUP(Skills!N59,Calculations!$Q$2:$T$16,4,FALSE),0)</f>
        <v>0</v>
      </c>
      <c r="AV59" s="4">
        <f>IF(ISNUMBER(SEARCH(N59&amp;";",Calculations!$Q$18)),1,0)</f>
        <v>0</v>
      </c>
      <c r="AW59" s="4">
        <f>IF($AV$51=1,1,IF($AV$56=1,1,AV59))</f>
        <v>0</v>
      </c>
      <c r="AX59" s="4">
        <f>VLOOKUP($N59,$N59:$CH59,MATCH('Character Sheet'!$BJ$3,Skills!$N$1:$CH$1,0),FALSE)</f>
        <v>0</v>
      </c>
    </row>
    <row r="60" spans="1:50" x14ac:dyDescent="0.25">
      <c r="B60" s="4" t="e">
        <f t="shared" si="23"/>
        <v>#N/A</v>
      </c>
      <c r="E60" s="4"/>
      <c r="F60" s="4">
        <f t="shared" si="8"/>
        <v>0</v>
      </c>
      <c r="G60" s="4"/>
      <c r="H60" s="4" t="e">
        <f t="shared" si="15"/>
        <v>#N/A</v>
      </c>
      <c r="I60" s="4" t="e">
        <f>IF($J$57=1,1,0)</f>
        <v>#N/A</v>
      </c>
      <c r="J60" s="4">
        <f t="shared" si="0"/>
        <v>0</v>
      </c>
      <c r="K60" s="4" t="e">
        <f t="shared" si="26"/>
        <v>#N/A</v>
      </c>
      <c r="M60" t="str">
        <f>"Substance Tolerance, "&amp;N60</f>
        <v>Substance Tolerance, Tobacco</v>
      </c>
      <c r="N60" s="3" t="str">
        <f>'Character Sheet'!ABN13</f>
        <v>Tobacco</v>
      </c>
      <c r="O60" s="4" t="s">
        <v>785</v>
      </c>
      <c r="P60" s="4" t="s">
        <v>784</v>
      </c>
      <c r="Q60" s="4" t="e">
        <f t="shared" si="27"/>
        <v>#N/A</v>
      </c>
      <c r="R60" s="4">
        <f>IF(ISNUMBER(SEARCH("Category",N60)),"- -",IF(ISNUMBER(SEARCH("Skills",N60)),"- -",'Level-up'!C78))</f>
        <v>0</v>
      </c>
      <c r="S60" s="4" t="e">
        <f t="shared" si="3"/>
        <v>#N/A</v>
      </c>
      <c r="T60" s="4" t="e">
        <f t="shared" si="4"/>
        <v>#N/A</v>
      </c>
      <c r="U60" s="4">
        <f t="shared" ca="1" si="9"/>
        <v>-6</v>
      </c>
      <c r="V60" s="4">
        <f>IF(ISNUMBER(SEARCH("Category",N60)),"- -",IF(ISNUMBER(SEARCH("Skills",N60)),"- -",IF(AU60&gt;0,AU60,IF($AU$56&gt;0,$AU$56,$AU$51))))</f>
        <v>0</v>
      </c>
      <c r="W60" s="4">
        <f t="shared" si="28"/>
        <v>0</v>
      </c>
      <c r="X60" s="4">
        <f t="shared" si="10"/>
        <v>0</v>
      </c>
      <c r="Y60" s="4">
        <f t="shared" si="11"/>
        <v>0</v>
      </c>
      <c r="Z60" s="4">
        <f t="shared" si="12"/>
        <v>0</v>
      </c>
      <c r="AA60" s="4">
        <f t="shared" si="13"/>
        <v>0</v>
      </c>
      <c r="AB60" s="4">
        <f t="shared" si="14"/>
        <v>0</v>
      </c>
      <c r="AC60" s="8"/>
      <c r="AD60" s="4"/>
      <c r="AE60" s="4"/>
      <c r="AF60" s="4" t="e">
        <f t="shared" si="6"/>
        <v>#N/A</v>
      </c>
      <c r="AG60" s="4"/>
      <c r="AH60" s="4">
        <f>IFERROR(VLOOKUP(M60,Calculations!$AC$2:$AD$251,2,FALSE),0)</f>
        <v>0</v>
      </c>
      <c r="AI60" s="4" t="e">
        <f>VLOOKUP(N60,$N$2:$AS$620,MATCH('Character Creation'!$Z$12,Skills!$N$1:$AS$1,0),FALSE)</f>
        <v>#N/A</v>
      </c>
      <c r="AJ60" s="4" t="e">
        <f>VLOOKUP($N60,[2]Cultures!$B$4:$M$283,MATCH(AJ$1,[2]Cultures!$B$3:$M$3,0),FALSE)</f>
        <v>#N/A</v>
      </c>
      <c r="AK60" s="4" t="e">
        <f>VLOOKUP($N60,[2]Cultures!$B$4:$M$283,MATCH(AK$1,[2]Cultures!$B$3:$M$3,0),FALSE)</f>
        <v>#N/A</v>
      </c>
      <c r="AL60" s="4" t="e">
        <f>VLOOKUP($N60,[2]Cultures!$B$4:$M$283,MATCH(AL$1,[2]Cultures!$B$3:$M$3,0),FALSE)</f>
        <v>#N/A</v>
      </c>
      <c r="AM60" s="4" t="e">
        <f>VLOOKUP($N60,[2]Cultures!$B$4:$M$283,MATCH(AM$1,[2]Cultures!$B$3:$M$3,0),FALSE)</f>
        <v>#N/A</v>
      </c>
      <c r="AN60" s="4" t="e">
        <f>VLOOKUP($N60,[2]Cultures!$B$4:$M$283,MATCH(AN$1,[2]Cultures!$B$3:$M$3,0),FALSE)</f>
        <v>#N/A</v>
      </c>
      <c r="AO60" s="4" t="e">
        <f>VLOOKUP($N60,[2]Cultures!$B$4:$M$283,MATCH(AO$1,[2]Cultures!$B$3:$M$3,0),FALSE)</f>
        <v>#N/A</v>
      </c>
      <c r="AP60" s="4" t="e">
        <f>VLOOKUP($N60,[2]Cultures!$B$4:$M$283,MATCH(AP$1,[2]Cultures!$B$3:$M$3,0),FALSE)</f>
        <v>#N/A</v>
      </c>
      <c r="AQ60" s="4" t="e">
        <f>VLOOKUP($N60,[2]Cultures!$B$4:$M$283,MATCH(AQ$1,[2]Cultures!$B$3:$M$3,0),FALSE)</f>
        <v>#N/A</v>
      </c>
      <c r="AR60" s="4" t="e">
        <f>VLOOKUP($N60,[2]Cultures!$B$4:$M$283,MATCH(AR$1,[2]Cultures!$B$3:$M$3,0),FALSE)</f>
        <v>#N/A</v>
      </c>
      <c r="AS60" s="4" t="e">
        <f>VLOOKUP($N60,[2]Cultures!$B$4:$M$283,MATCH(AS$1,[2]Cultures!$B$3:$M$3,0),FALSE)</f>
        <v>#N/A</v>
      </c>
      <c r="AT60" s="4"/>
      <c r="AU60" s="4">
        <f>IF(ISNUMBER(SEARCH(N60&amp;";",Calculations!$Q$19)),VLOOKUP(Skills!N60,Calculations!$Q$2:$T$16,4,FALSE),0)</f>
        <v>0</v>
      </c>
      <c r="AV60" s="4">
        <f>IF(ISNUMBER(SEARCH(N60&amp;";",Calculations!$Q$18)),1,0)</f>
        <v>0</v>
      </c>
      <c r="AW60" s="4">
        <f>IF($AV$51=1,1,IF($AV$56=1,1,AV60))</f>
        <v>0</v>
      </c>
      <c r="AX60" s="4">
        <f>VLOOKUP($N60,$N60:$CH60,MATCH('Character Sheet'!$BJ$3,Skills!$N$1:$CH$1,0),FALSE)</f>
        <v>0</v>
      </c>
    </row>
    <row r="61" spans="1:50" x14ac:dyDescent="0.25">
      <c r="B61" s="4" t="e">
        <f t="shared" si="23"/>
        <v>#N/A</v>
      </c>
      <c r="E61" s="4"/>
      <c r="F61" s="4">
        <f t="shared" si="8"/>
        <v>0</v>
      </c>
      <c r="G61" s="4"/>
      <c r="H61" s="4" t="e">
        <f t="shared" si="15"/>
        <v>#N/A</v>
      </c>
      <c r="I61" s="4" t="e">
        <f>IF($J$62=1,1,0)</f>
        <v>#N/A</v>
      </c>
      <c r="J61" s="4">
        <f t="shared" si="0"/>
        <v>0</v>
      </c>
      <c r="K61" s="4" t="e">
        <f t="shared" si="26"/>
        <v>#N/A</v>
      </c>
      <c r="N61" s="3" t="s">
        <v>625</v>
      </c>
      <c r="O61" s="6" t="s">
        <v>782</v>
      </c>
      <c r="P61" s="6" t="s">
        <v>782</v>
      </c>
      <c r="Q61" s="4" t="str">
        <f t="shared" si="27"/>
        <v>- -</v>
      </c>
      <c r="R61" s="4" t="str">
        <f>IF(ISNUMBER(SEARCH("Category",N61)),"- -",IF(ISNUMBER(SEARCH("Skills",N61)),"- -",'Level-up'!C79))</f>
        <v>- -</v>
      </c>
      <c r="S61" s="4" t="str">
        <f t="shared" si="3"/>
        <v>- -</v>
      </c>
      <c r="T61" s="4" t="str">
        <f t="shared" si="4"/>
        <v>- -</v>
      </c>
      <c r="U61" s="4" t="str">
        <f t="shared" ca="1" si="9"/>
        <v>- -</v>
      </c>
      <c r="V61" s="4" t="str">
        <f>IF(ISNUMBER(SEARCH("Category",N61)),"- -",IF(ISNUMBER(SEARCH("Skills",N61)),"- -",IF(AU61&gt;0,AU61,IF($AU$56&gt;0,$AU$56,$AU$51))))</f>
        <v>- -</v>
      </c>
      <c r="W61" s="4" t="str">
        <f t="shared" si="28"/>
        <v>- -</v>
      </c>
      <c r="X61" s="4" t="str">
        <f t="shared" si="10"/>
        <v>- -</v>
      </c>
      <c r="Y61" s="4" t="str">
        <f t="shared" si="11"/>
        <v>- -</v>
      </c>
      <c r="Z61" s="4" t="str">
        <f t="shared" si="12"/>
        <v>- -</v>
      </c>
      <c r="AA61" s="4" t="str">
        <f t="shared" si="13"/>
        <v>- -</v>
      </c>
      <c r="AB61" s="4" t="str">
        <f t="shared" si="14"/>
        <v>- -</v>
      </c>
      <c r="AC61" s="8"/>
      <c r="AD61" s="4"/>
      <c r="AE61" s="4"/>
      <c r="AF61" s="4" t="str">
        <f t="shared" si="6"/>
        <v>- -</v>
      </c>
      <c r="AG61" s="4"/>
      <c r="AH61" s="4">
        <f>IFERROR(VLOOKUP(M61,Calculations!$AC$2:$AD$251,2,FALSE),0)</f>
        <v>0</v>
      </c>
      <c r="AI61" s="4" t="e">
        <f>VLOOKUP(N61,$N$2:$AS$620,MATCH('Character Creation'!$Z$12,Skills!$N$1:$AS$1,0),FALSE)</f>
        <v>#N/A</v>
      </c>
      <c r="AJ61" s="4" t="e">
        <f>VLOOKUP($N61,[2]Cultures!$B$4:$M$283,MATCH(AJ$1,[2]Cultures!$B$3:$M$3,0),FALSE)</f>
        <v>#N/A</v>
      </c>
      <c r="AK61" s="4" t="e">
        <f>VLOOKUP($N61,[2]Cultures!$B$4:$M$283,MATCH(AK$1,[2]Cultures!$B$3:$M$3,0),FALSE)</f>
        <v>#N/A</v>
      </c>
      <c r="AL61" s="4" t="e">
        <f>VLOOKUP($N61,[2]Cultures!$B$4:$M$283,MATCH(AL$1,[2]Cultures!$B$3:$M$3,0),FALSE)</f>
        <v>#N/A</v>
      </c>
      <c r="AM61" s="4" t="e">
        <f>VLOOKUP($N61,[2]Cultures!$B$4:$M$283,MATCH(AM$1,[2]Cultures!$B$3:$M$3,0),FALSE)</f>
        <v>#N/A</v>
      </c>
      <c r="AN61" s="4" t="e">
        <f>VLOOKUP($N61,[2]Cultures!$B$4:$M$283,MATCH(AN$1,[2]Cultures!$B$3:$M$3,0),FALSE)</f>
        <v>#N/A</v>
      </c>
      <c r="AO61" s="4" t="e">
        <f>VLOOKUP($N61,[2]Cultures!$B$4:$M$283,MATCH(AO$1,[2]Cultures!$B$3:$M$3,0),FALSE)</f>
        <v>#N/A</v>
      </c>
      <c r="AP61" s="4" t="e">
        <f>VLOOKUP($N61,[2]Cultures!$B$4:$M$283,MATCH(AP$1,[2]Cultures!$B$3:$M$3,0),FALSE)</f>
        <v>#N/A</v>
      </c>
      <c r="AQ61" s="4" t="e">
        <f>VLOOKUP($N61,[2]Cultures!$B$4:$M$283,MATCH(AQ$1,[2]Cultures!$B$3:$M$3,0),FALSE)</f>
        <v>#N/A</v>
      </c>
      <c r="AR61" s="4" t="e">
        <f>VLOOKUP($N61,[2]Cultures!$B$4:$M$283,MATCH(AR$1,[2]Cultures!$B$3:$M$3,0),FALSE)</f>
        <v>#N/A</v>
      </c>
      <c r="AS61" s="4" t="e">
        <f>VLOOKUP($N61,[2]Cultures!$B$4:$M$283,MATCH(AS$1,[2]Cultures!$B$3:$M$3,0),FALSE)</f>
        <v>#N/A</v>
      </c>
      <c r="AT61" s="4"/>
      <c r="AU61" s="4">
        <f>IF(ISNUMBER(SEARCH(N61&amp;";",Calculations!$Q$19)),VLOOKUP(Skills!N61,Calculations!$Q$2:$T$16,4,FALSE),0)</f>
        <v>0</v>
      </c>
      <c r="AV61" s="4">
        <f>IF(ISNUMBER(SEARCH(N61&amp;";",Calculations!$Q$18)),1,0)</f>
        <v>0</v>
      </c>
      <c r="AW61" s="4"/>
      <c r="AX61" s="4">
        <f>VLOOKUP($N61,$N61:$CH61,MATCH('Character Sheet'!$BJ$3,Skills!$N$1:$CH$1,0),FALSE)</f>
        <v>0</v>
      </c>
    </row>
    <row r="62" spans="1:50" x14ac:dyDescent="0.25">
      <c r="B62" s="4" t="e">
        <f t="shared" si="23"/>
        <v>#N/A</v>
      </c>
      <c r="E62" s="4"/>
      <c r="F62" s="4">
        <f t="shared" si="8"/>
        <v>0</v>
      </c>
      <c r="G62" s="4"/>
      <c r="H62" s="4" t="e">
        <f t="shared" si="15"/>
        <v>#N/A</v>
      </c>
      <c r="I62" s="4">
        <v>0</v>
      </c>
      <c r="J62" s="4" t="e">
        <f t="shared" si="0"/>
        <v>#N/A</v>
      </c>
      <c r="K62" s="4" t="e">
        <f t="shared" si="26"/>
        <v>#N/A</v>
      </c>
      <c r="N62" s="3" t="s">
        <v>626</v>
      </c>
      <c r="O62" s="6" t="s">
        <v>782</v>
      </c>
      <c r="P62" s="6" t="s">
        <v>782</v>
      </c>
      <c r="Q62" s="4" t="str">
        <f t="shared" si="27"/>
        <v>- -</v>
      </c>
      <c r="R62" s="4" t="str">
        <f>IF(ISNUMBER(SEARCH("Category",N62)),"- -",IF(ISNUMBER(SEARCH("Skills",N62)),"- -",'Level-up'!C80))</f>
        <v>- -</v>
      </c>
      <c r="S62" s="4" t="str">
        <f t="shared" si="3"/>
        <v>- -</v>
      </c>
      <c r="T62" s="4" t="str">
        <f t="shared" si="4"/>
        <v>- -</v>
      </c>
      <c r="U62" s="4" t="str">
        <f t="shared" ca="1" si="9"/>
        <v>- -</v>
      </c>
      <c r="V62" s="4" t="str">
        <f>IF(ISNUMBER(SEARCH("Category",N62)),"- -",IF(ISNUMBER(SEARCH("Skills",N62)),"- -",IF(AU62&gt;0,AU62,IF($AU$56&gt;0,$AU$56,$AU$51))))</f>
        <v>- -</v>
      </c>
      <c r="W62" s="4" t="str">
        <f t="shared" si="28"/>
        <v>- -</v>
      </c>
      <c r="X62" s="4" t="str">
        <f t="shared" si="10"/>
        <v>- -</v>
      </c>
      <c r="Y62" s="4" t="str">
        <f t="shared" si="11"/>
        <v>- -</v>
      </c>
      <c r="Z62" s="4" t="str">
        <f t="shared" si="12"/>
        <v>- -</v>
      </c>
      <c r="AA62" s="4" t="str">
        <f t="shared" si="13"/>
        <v>- -</v>
      </c>
      <c r="AB62" s="4" t="str">
        <f t="shared" si="14"/>
        <v>- -</v>
      </c>
      <c r="AC62" s="8"/>
      <c r="AD62" s="4"/>
      <c r="AE62" s="4"/>
      <c r="AF62" s="4" t="str">
        <f t="shared" si="6"/>
        <v>- -</v>
      </c>
      <c r="AG62" s="4"/>
      <c r="AH62" s="4">
        <f>IFERROR(VLOOKUP(M62,Calculations!$AC$2:$AD$251,2,FALSE),0)</f>
        <v>0</v>
      </c>
      <c r="AI62" s="4" t="e">
        <f>VLOOKUP(N62,$N$2:$AS$620,MATCH('Character Creation'!$Z$12,Skills!$N$1:$AS$1,0),FALSE)</f>
        <v>#N/A</v>
      </c>
      <c r="AJ62" s="4" t="e">
        <f>VLOOKUP($N62,[2]Cultures!$B$4:$M$283,MATCH(AJ$1,[2]Cultures!$B$3:$M$3,0),FALSE)</f>
        <v>#N/A</v>
      </c>
      <c r="AK62" s="4" t="e">
        <f>VLOOKUP($N62,[2]Cultures!$B$4:$M$283,MATCH(AK$1,[2]Cultures!$B$3:$M$3,0),FALSE)</f>
        <v>#N/A</v>
      </c>
      <c r="AL62" s="4" t="e">
        <f>VLOOKUP($N62,[2]Cultures!$B$4:$M$283,MATCH(AL$1,[2]Cultures!$B$3:$M$3,0),FALSE)</f>
        <v>#N/A</v>
      </c>
      <c r="AM62" s="4" t="e">
        <f>VLOOKUP($N62,[2]Cultures!$B$4:$M$283,MATCH(AM$1,[2]Cultures!$B$3:$M$3,0),FALSE)</f>
        <v>#N/A</v>
      </c>
      <c r="AN62" s="4" t="e">
        <f>VLOOKUP($N62,[2]Cultures!$B$4:$M$283,MATCH(AN$1,[2]Cultures!$B$3:$M$3,0),FALSE)</f>
        <v>#N/A</v>
      </c>
      <c r="AO62" s="4" t="e">
        <f>VLOOKUP($N62,[2]Cultures!$B$4:$M$283,MATCH(AO$1,[2]Cultures!$B$3:$M$3,0),FALSE)</f>
        <v>#N/A</v>
      </c>
      <c r="AP62" s="4" t="e">
        <f>VLOOKUP($N62,[2]Cultures!$B$4:$M$283,MATCH(AP$1,[2]Cultures!$B$3:$M$3,0),FALSE)</f>
        <v>#N/A</v>
      </c>
      <c r="AQ62" s="4" t="e">
        <f>VLOOKUP($N62,[2]Cultures!$B$4:$M$283,MATCH(AQ$1,[2]Cultures!$B$3:$M$3,0),FALSE)</f>
        <v>#N/A</v>
      </c>
      <c r="AR62" s="4" t="e">
        <f>VLOOKUP($N62,[2]Cultures!$B$4:$M$283,MATCH(AR$1,[2]Cultures!$B$3:$M$3,0),FALSE)</f>
        <v>#N/A</v>
      </c>
      <c r="AS62" s="4" t="e">
        <f>VLOOKUP($N62,[2]Cultures!$B$4:$M$283,MATCH(AS$1,[2]Cultures!$B$3:$M$3,0),FALSE)</f>
        <v>#N/A</v>
      </c>
      <c r="AT62" s="4"/>
      <c r="AU62" s="4">
        <f>IF(ISNUMBER(SEARCH(N62&amp;";",Calculations!$Q$19)),VLOOKUP(Skills!N62,Calculations!$Q$2:$T$16,4,FALSE),0)</f>
        <v>0</v>
      </c>
      <c r="AV62" s="4">
        <f>IF(ISNUMBER(SEARCH(N62&amp;";",Calculations!$Q$18)),1,0)</f>
        <v>0</v>
      </c>
      <c r="AW62" s="4"/>
      <c r="AX62" s="4">
        <f>VLOOKUP($N62,$N62:$CH62,MATCH('Character Sheet'!$BJ$3,Skills!$N$1:$CH$1,0),FALSE)</f>
        <v>0</v>
      </c>
    </row>
    <row r="63" spans="1:50" x14ac:dyDescent="0.25">
      <c r="B63" s="4" t="e">
        <f t="shared" si="23"/>
        <v>#N/A</v>
      </c>
      <c r="E63" s="4"/>
      <c r="F63" s="4">
        <f t="shared" si="8"/>
        <v>0</v>
      </c>
      <c r="G63" s="4"/>
      <c r="H63" s="4" t="e">
        <f t="shared" si="15"/>
        <v>#N/A</v>
      </c>
      <c r="I63" s="4" t="e">
        <f>IF($J$62=1,1,0)</f>
        <v>#N/A</v>
      </c>
      <c r="J63" s="4">
        <f t="shared" si="0"/>
        <v>0</v>
      </c>
      <c r="K63" s="4">
        <f t="shared" si="26"/>
        <v>0</v>
      </c>
      <c r="M63" t="str">
        <f>N63</f>
        <v>Blind Fighting</v>
      </c>
      <c r="N63" s="3" t="str">
        <f>'Character Sheet'!AFD5</f>
        <v>Blind Fighting</v>
      </c>
      <c r="O63" s="6" t="s">
        <v>782</v>
      </c>
      <c r="P63" s="6" t="s">
        <v>782</v>
      </c>
      <c r="Q63" s="4">
        <f t="shared" si="27"/>
        <v>0</v>
      </c>
      <c r="R63" s="4">
        <f>IF(ISNUMBER(SEARCH("Category",N63)),"- -",IF(ISNUMBER(SEARCH("Skills",N63)),"- -",'Level-up'!C81))</f>
        <v>0</v>
      </c>
      <c r="S63" s="4">
        <f t="shared" si="3"/>
        <v>0</v>
      </c>
      <c r="T63" s="4">
        <f t="shared" si="4"/>
        <v>0</v>
      </c>
      <c r="U63" s="4" t="str">
        <f t="shared" ca="1" si="9"/>
        <v>- -</v>
      </c>
      <c r="V63" s="4">
        <f t="shared" ref="V63:V71" si="31">IF(ISNUMBER(SEARCH("Category",N63)),"- -",IF(ISNUMBER(SEARCH("Skills",N63)),"- -",IF(AU63&gt;0,AU63,$AU$61)))</f>
        <v>0</v>
      </c>
      <c r="W63" s="4">
        <f t="shared" si="28"/>
        <v>0</v>
      </c>
      <c r="X63" s="4">
        <f t="shared" si="10"/>
        <v>0</v>
      </c>
      <c r="Y63" s="4">
        <f t="shared" si="11"/>
        <v>0</v>
      </c>
      <c r="Z63" s="4">
        <f t="shared" si="12"/>
        <v>0</v>
      </c>
      <c r="AA63" s="4">
        <f t="shared" si="13"/>
        <v>0</v>
      </c>
      <c r="AB63" s="4">
        <f t="shared" si="14"/>
        <v>0</v>
      </c>
      <c r="AC63" s="8"/>
      <c r="AD63" s="4"/>
      <c r="AE63" s="4"/>
      <c r="AF63" s="4" t="str">
        <f t="shared" ca="1" si="6"/>
        <v>0</v>
      </c>
      <c r="AG63" s="4"/>
      <c r="AH63" s="4">
        <f>IFERROR(VLOOKUP(M63,Calculations!$AC$2:$AD$251,2,FALSE),0)</f>
        <v>0</v>
      </c>
      <c r="AI63" s="4">
        <f>VLOOKUP(N63,$N$2:$AS$620,MATCH('Character Creation'!$Z$12,Skills!$N$1:$AS$1,0),FALSE)</f>
        <v>0</v>
      </c>
      <c r="AJ63" s="4">
        <f>VLOOKUP($N63,[2]Cultures!$B$4:$M$283,MATCH(AJ$1,[2]Cultures!$B$3:$M$3,0),FALSE)</f>
        <v>0</v>
      </c>
      <c r="AK63" s="4">
        <f>VLOOKUP($N63,[2]Cultures!$B$4:$M$283,MATCH(AK$1,[2]Cultures!$B$3:$M$3,0),FALSE)</f>
        <v>0</v>
      </c>
      <c r="AL63" s="4">
        <f>VLOOKUP($N63,[2]Cultures!$B$4:$M$283,MATCH(AL$1,[2]Cultures!$B$3:$M$3,0),FALSE)</f>
        <v>0</v>
      </c>
      <c r="AM63" s="4">
        <f>VLOOKUP($N63,[2]Cultures!$B$4:$M$283,MATCH(AM$1,[2]Cultures!$B$3:$M$3,0),FALSE)</f>
        <v>0</v>
      </c>
      <c r="AN63" s="4">
        <f>VLOOKUP($N63,[2]Cultures!$B$4:$M$283,MATCH(AN$1,[2]Cultures!$B$3:$M$3,0),FALSE)</f>
        <v>0</v>
      </c>
      <c r="AO63" s="4">
        <f>VLOOKUP($N63,[2]Cultures!$B$4:$M$283,MATCH(AO$1,[2]Cultures!$B$3:$M$3,0),FALSE)</f>
        <v>0</v>
      </c>
      <c r="AP63" s="4">
        <f>VLOOKUP($N63,[2]Cultures!$B$4:$M$283,MATCH(AP$1,[2]Cultures!$B$3:$M$3,0),FALSE)</f>
        <v>0</v>
      </c>
      <c r="AQ63" s="4">
        <f>VLOOKUP($N63,[2]Cultures!$B$4:$M$283,MATCH(AQ$1,[2]Cultures!$B$3:$M$3,0),FALSE)</f>
        <v>0</v>
      </c>
      <c r="AR63" s="4">
        <f>VLOOKUP($N63,[2]Cultures!$B$4:$M$283,MATCH(AR$1,[2]Cultures!$B$3:$M$3,0),FALSE)</f>
        <v>0</v>
      </c>
      <c r="AS63" s="4">
        <f>VLOOKUP($N63,[2]Cultures!$B$4:$M$283,MATCH(AS$1,[2]Cultures!$B$3:$M$3,0),FALSE)</f>
        <v>0</v>
      </c>
      <c r="AT63" s="4"/>
      <c r="AU63" s="4">
        <f>IF(ISNUMBER(SEARCH(N63&amp;";",Calculations!$Q$19)),VLOOKUP(Skills!N63,Calculations!$Q$2:$T$16,4,FALSE),0)</f>
        <v>0</v>
      </c>
      <c r="AV63" s="4">
        <f>IF(ISNUMBER(SEARCH(N63&amp;";",Calculations!$Q$18)),1,0)</f>
        <v>0</v>
      </c>
      <c r="AW63" s="4">
        <f>IF($AV$61=1,1,AV63)</f>
        <v>0</v>
      </c>
      <c r="AX63" s="4">
        <f>VLOOKUP($N63,$N63:$CH63,MATCH('Character Sheet'!$BJ$3,Skills!$N$1:$CH$1,0),FALSE)</f>
        <v>0</v>
      </c>
    </row>
    <row r="64" spans="1:50" x14ac:dyDescent="0.25">
      <c r="B64" s="4" t="e">
        <f t="shared" si="23"/>
        <v>#N/A</v>
      </c>
      <c r="E64" s="4"/>
      <c r="F64" s="4">
        <f t="shared" si="8"/>
        <v>0</v>
      </c>
      <c r="G64" s="4"/>
      <c r="H64" s="4" t="e">
        <f t="shared" si="15"/>
        <v>#N/A</v>
      </c>
      <c r="I64" s="4" t="e">
        <f>IF($J$62=1,1,0)</f>
        <v>#N/A</v>
      </c>
      <c r="J64" s="4">
        <f t="shared" si="0"/>
        <v>0</v>
      </c>
      <c r="K64" s="4">
        <f t="shared" si="26"/>
        <v>0</v>
      </c>
      <c r="M64" t="str">
        <f>N64</f>
        <v>Disarm</v>
      </c>
      <c r="N64" s="3" t="str">
        <f>'Character Sheet'!AFD6</f>
        <v>Disarm</v>
      </c>
      <c r="O64" s="6" t="s">
        <v>782</v>
      </c>
      <c r="P64" s="6" t="s">
        <v>782</v>
      </c>
      <c r="Q64" s="4">
        <f t="shared" si="27"/>
        <v>0</v>
      </c>
      <c r="R64" s="4">
        <f>IF(ISNUMBER(SEARCH("Category",N64)),"- -",IF(ISNUMBER(SEARCH("Skills",N64)),"- -",'Level-up'!C82))</f>
        <v>0</v>
      </c>
      <c r="S64" s="4">
        <f t="shared" si="3"/>
        <v>0</v>
      </c>
      <c r="T64" s="4">
        <f t="shared" si="4"/>
        <v>0</v>
      </c>
      <c r="U64" s="4" t="str">
        <f t="shared" ca="1" si="9"/>
        <v>- -</v>
      </c>
      <c r="V64" s="4">
        <f t="shared" si="31"/>
        <v>0</v>
      </c>
      <c r="W64" s="4">
        <f t="shared" si="28"/>
        <v>0</v>
      </c>
      <c r="X64" s="4">
        <f t="shared" si="10"/>
        <v>0</v>
      </c>
      <c r="Y64" s="4">
        <f t="shared" si="11"/>
        <v>0</v>
      </c>
      <c r="Z64" s="4">
        <f t="shared" si="12"/>
        <v>0</v>
      </c>
      <c r="AA64" s="4">
        <f t="shared" si="13"/>
        <v>0</v>
      </c>
      <c r="AB64" s="4">
        <f t="shared" si="14"/>
        <v>0</v>
      </c>
      <c r="AC64" s="8"/>
      <c r="AD64" s="4"/>
      <c r="AE64" s="4"/>
      <c r="AF64" s="4" t="str">
        <f t="shared" ca="1" si="6"/>
        <v>0</v>
      </c>
      <c r="AG64" s="4"/>
      <c r="AH64" s="4">
        <f>IFERROR(VLOOKUP(M64,Calculations!$AC$2:$AD$251,2,FALSE),0)</f>
        <v>0</v>
      </c>
      <c r="AI64" s="4">
        <f>VLOOKUP(N64,$N$2:$AS$620,MATCH('Character Creation'!$Z$12,Skills!$N$1:$AS$1,0),FALSE)</f>
        <v>0</v>
      </c>
      <c r="AJ64" s="4">
        <f>VLOOKUP($N64,[2]Cultures!$B$4:$M$283,MATCH(AJ$1,[2]Cultures!$B$3:$M$3,0),FALSE)</f>
        <v>0</v>
      </c>
      <c r="AK64" s="4">
        <f>VLOOKUP($N64,[2]Cultures!$B$4:$M$283,MATCH(AK$1,[2]Cultures!$B$3:$M$3,0),FALSE)</f>
        <v>0</v>
      </c>
      <c r="AL64" s="4">
        <f>VLOOKUP($N64,[2]Cultures!$B$4:$M$283,MATCH(AL$1,[2]Cultures!$B$3:$M$3,0),FALSE)</f>
        <v>0</v>
      </c>
      <c r="AM64" s="4">
        <f>VLOOKUP($N64,[2]Cultures!$B$4:$M$283,MATCH(AM$1,[2]Cultures!$B$3:$M$3,0),FALSE)</f>
        <v>0</v>
      </c>
      <c r="AN64" s="4">
        <f>VLOOKUP($N64,[2]Cultures!$B$4:$M$283,MATCH(AN$1,[2]Cultures!$B$3:$M$3,0),FALSE)</f>
        <v>0</v>
      </c>
      <c r="AO64" s="4">
        <f>VLOOKUP($N64,[2]Cultures!$B$4:$M$283,MATCH(AO$1,[2]Cultures!$B$3:$M$3,0),FALSE)</f>
        <v>0</v>
      </c>
      <c r="AP64" s="4">
        <f>VLOOKUP($N64,[2]Cultures!$B$4:$M$283,MATCH(AP$1,[2]Cultures!$B$3:$M$3,0),FALSE)</f>
        <v>0</v>
      </c>
      <c r="AQ64" s="4">
        <f>VLOOKUP($N64,[2]Cultures!$B$4:$M$283,MATCH(AQ$1,[2]Cultures!$B$3:$M$3,0),FALSE)</f>
        <v>0</v>
      </c>
      <c r="AR64" s="4">
        <f>VLOOKUP($N64,[2]Cultures!$B$4:$M$283,MATCH(AR$1,[2]Cultures!$B$3:$M$3,0),FALSE)</f>
        <v>0</v>
      </c>
      <c r="AS64" s="4">
        <f>VLOOKUP($N64,[2]Cultures!$B$4:$M$283,MATCH(AS$1,[2]Cultures!$B$3:$M$3,0),FALSE)</f>
        <v>0</v>
      </c>
      <c r="AT64" s="4"/>
      <c r="AU64" s="4">
        <f>IF(ISNUMBER(SEARCH(N64&amp;";",Calculations!$Q$19)),VLOOKUP(Skills!N64,Calculations!$Q$2:$T$16,4,FALSE),0)</f>
        <v>0</v>
      </c>
      <c r="AV64" s="4">
        <f>IF(ISNUMBER(SEARCH(N64&amp;";",Calculations!$Q$18)),1,0)</f>
        <v>0</v>
      </c>
      <c r="AW64" s="4">
        <f>IF($AV$61=1,1,AV64)</f>
        <v>0</v>
      </c>
      <c r="AX64" s="4">
        <f>VLOOKUP($N64,$N64:$CH64,MATCH('Character Sheet'!$BJ$3,Skills!$N$1:$CH$1,0),FALSE)</f>
        <v>0</v>
      </c>
    </row>
    <row r="65" spans="1:50" x14ac:dyDescent="0.25">
      <c r="B65" s="4" t="e">
        <f t="shared" si="23"/>
        <v>#N/A</v>
      </c>
      <c r="E65" s="4"/>
      <c r="F65" s="4">
        <f t="shared" si="8"/>
        <v>0</v>
      </c>
      <c r="G65" s="4"/>
      <c r="H65" s="4" t="e">
        <f t="shared" si="15"/>
        <v>#N/A</v>
      </c>
      <c r="I65" s="4" t="e">
        <f>IF($J$62=1,1,0)</f>
        <v>#N/A</v>
      </c>
      <c r="J65" s="4">
        <f t="shared" si="0"/>
        <v>0</v>
      </c>
      <c r="K65" s="4">
        <f t="shared" si="26"/>
        <v>0</v>
      </c>
      <c r="M65" t="str">
        <f>N65</f>
        <v>Footwork</v>
      </c>
      <c r="N65" s="3" t="str">
        <f>'Character Sheet'!AFD7</f>
        <v>Footwork</v>
      </c>
      <c r="O65" s="6" t="s">
        <v>782</v>
      </c>
      <c r="P65" s="6" t="s">
        <v>782</v>
      </c>
      <c r="Q65" s="4">
        <f t="shared" si="27"/>
        <v>0</v>
      </c>
      <c r="R65" s="4">
        <f>IF(ISNUMBER(SEARCH("Category",N65)),"- -",IF(ISNUMBER(SEARCH("Skills",N65)),"- -",'Level-up'!C83))</f>
        <v>0</v>
      </c>
      <c r="S65" s="4">
        <f t="shared" si="3"/>
        <v>0</v>
      </c>
      <c r="T65" s="4">
        <f t="shared" si="4"/>
        <v>0</v>
      </c>
      <c r="U65" s="4" t="str">
        <f t="shared" ca="1" si="9"/>
        <v>- -</v>
      </c>
      <c r="V65" s="4">
        <f t="shared" si="31"/>
        <v>0</v>
      </c>
      <c r="W65" s="4">
        <f t="shared" si="28"/>
        <v>0</v>
      </c>
      <c r="X65" s="4">
        <f t="shared" si="10"/>
        <v>0</v>
      </c>
      <c r="Y65" s="4">
        <f t="shared" si="11"/>
        <v>0</v>
      </c>
      <c r="Z65" s="4">
        <f t="shared" si="12"/>
        <v>0</v>
      </c>
      <c r="AA65" s="4">
        <f t="shared" si="13"/>
        <v>0</v>
      </c>
      <c r="AB65" s="4">
        <f t="shared" si="14"/>
        <v>0</v>
      </c>
      <c r="AC65" s="8"/>
      <c r="AD65" s="4"/>
      <c r="AE65" s="4"/>
      <c r="AF65" s="4" t="str">
        <f t="shared" ca="1" si="6"/>
        <v>0</v>
      </c>
      <c r="AG65" s="4"/>
      <c r="AH65" s="4">
        <f>IFERROR(VLOOKUP(M65,Calculations!$AC$2:$AD$251,2,FALSE),0)</f>
        <v>0</v>
      </c>
      <c r="AI65" s="4">
        <f>VLOOKUP(N65,$N$2:$AS$620,MATCH('Character Creation'!$Z$12,Skills!$N$1:$AS$1,0),FALSE)</f>
        <v>0</v>
      </c>
      <c r="AJ65" s="4">
        <f>VLOOKUP($N65,[2]Cultures!$B$4:$M$283,MATCH(AJ$1,[2]Cultures!$B$3:$M$3,0),FALSE)</f>
        <v>0</v>
      </c>
      <c r="AK65" s="4">
        <f>VLOOKUP($N65,[2]Cultures!$B$4:$M$283,MATCH(AK$1,[2]Cultures!$B$3:$M$3,0),FALSE)</f>
        <v>0</v>
      </c>
      <c r="AL65" s="4">
        <f>VLOOKUP($N65,[2]Cultures!$B$4:$M$283,MATCH(AL$1,[2]Cultures!$B$3:$M$3,0),FALSE)</f>
        <v>0</v>
      </c>
      <c r="AM65" s="4">
        <f>VLOOKUP($N65,[2]Cultures!$B$4:$M$283,MATCH(AM$1,[2]Cultures!$B$3:$M$3,0),FALSE)</f>
        <v>0</v>
      </c>
      <c r="AN65" s="4">
        <f>VLOOKUP($N65,[2]Cultures!$B$4:$M$283,MATCH(AN$1,[2]Cultures!$B$3:$M$3,0),FALSE)</f>
        <v>0</v>
      </c>
      <c r="AO65" s="4">
        <f>VLOOKUP($N65,[2]Cultures!$B$4:$M$283,MATCH(AO$1,[2]Cultures!$B$3:$M$3,0),FALSE)</f>
        <v>0</v>
      </c>
      <c r="AP65" s="4">
        <f>VLOOKUP($N65,[2]Cultures!$B$4:$M$283,MATCH(AP$1,[2]Cultures!$B$3:$M$3,0),FALSE)</f>
        <v>0</v>
      </c>
      <c r="AQ65" s="4">
        <f>VLOOKUP($N65,[2]Cultures!$B$4:$M$283,MATCH(AQ$1,[2]Cultures!$B$3:$M$3,0),FALSE)</f>
        <v>0</v>
      </c>
      <c r="AR65" s="4">
        <f>VLOOKUP($N65,[2]Cultures!$B$4:$M$283,MATCH(AR$1,[2]Cultures!$B$3:$M$3,0),FALSE)</f>
        <v>0</v>
      </c>
      <c r="AS65" s="4">
        <f>VLOOKUP($N65,[2]Cultures!$B$4:$M$283,MATCH(AS$1,[2]Cultures!$B$3:$M$3,0),FALSE)</f>
        <v>0</v>
      </c>
      <c r="AT65" s="4"/>
      <c r="AU65" s="4">
        <f>IF(ISNUMBER(SEARCH(N65&amp;";",Calculations!$Q$19)),VLOOKUP(Skills!N65,Calculations!$Q$2:$T$16,4,FALSE),0)</f>
        <v>0</v>
      </c>
      <c r="AV65" s="4">
        <f>IF(ISNUMBER(SEARCH(N65&amp;";",Calculations!$Q$18)),1,0)</f>
        <v>0</v>
      </c>
      <c r="AW65" s="4">
        <f>IF($AV$61=1,1,AV65)</f>
        <v>0</v>
      </c>
      <c r="AX65" s="4">
        <f>VLOOKUP($N65,$N65:$CH65,MATCH('Character Sheet'!$BJ$3,Skills!$N$1:$CH$1,0),FALSE)</f>
        <v>0</v>
      </c>
    </row>
    <row r="66" spans="1:50" x14ac:dyDescent="0.25">
      <c r="B66" s="4" t="e">
        <f t="shared" si="23"/>
        <v>#N/A</v>
      </c>
      <c r="E66" s="4"/>
      <c r="F66" s="4">
        <f t="shared" si="8"/>
        <v>0</v>
      </c>
      <c r="G66" s="4"/>
      <c r="H66" s="4" t="e">
        <f t="shared" si="15"/>
        <v>#N/A</v>
      </c>
      <c r="I66" s="4" t="e">
        <f>IF($J$62=1,1,0)</f>
        <v>#N/A</v>
      </c>
      <c r="J66" s="4">
        <f t="shared" ref="J66:J129" si="32">IF(ISNUMBER(SEARCH("Skills",N66)),IF(AI66&gt;=1,1,0),0)</f>
        <v>0</v>
      </c>
      <c r="K66" s="4">
        <f t="shared" ref="K66:K97" si="33">IF(ISNUMBER(SEARCH("Category",N66)),K67,AI66)</f>
        <v>0</v>
      </c>
      <c r="M66" t="str">
        <f>N66</f>
        <v>Multiple Attacks</v>
      </c>
      <c r="N66" s="3" t="str">
        <f>'Character Sheet'!AFD8</f>
        <v>Multiple Attacks</v>
      </c>
      <c r="O66" s="6" t="s">
        <v>782</v>
      </c>
      <c r="P66" s="6" t="s">
        <v>782</v>
      </c>
      <c r="Q66" s="4">
        <f t="shared" si="27"/>
        <v>0</v>
      </c>
      <c r="R66" s="4">
        <f>IF(ISNUMBER(SEARCH("Category",N66)),"- -",IF(ISNUMBER(SEARCH("Skills",N66)),"- -",'Level-up'!C84))</f>
        <v>0</v>
      </c>
      <c r="S66" s="4">
        <f t="shared" ref="S66:S129" si="34">IF(ISNUMBER(SEARCH("Skills",N66)),"- -",IF(ISNUMBER(SEARCH("category",N66)),"- -",SUM(Q66:R66)))</f>
        <v>0</v>
      </c>
      <c r="T66" s="4">
        <f t="shared" ref="T66:T129" si="35">IF(ISNUMBER(SEARCH("Skills",N66)),"- -",IF(ISNUMBER(SEARCH("category",N66)),"- -",IF(S66="",0,IF(S66=0,(IF(O66="- -",0,-25)),IF(S66&lt;11,S66*5,IF(S66&lt;21,((S66-10)*3)+50,IF(S66&lt;31,((S66-20)*2)+80,IF(S66&gt;30,(S66-30)+100))))))))</f>
        <v>0</v>
      </c>
      <c r="U66" s="4" t="str">
        <f t="shared" ca="1" si="9"/>
        <v>- -</v>
      </c>
      <c r="V66" s="4">
        <f t="shared" si="31"/>
        <v>0</v>
      </c>
      <c r="W66" s="4">
        <f t="shared" si="28"/>
        <v>0</v>
      </c>
      <c r="X66" s="4">
        <f t="shared" si="10"/>
        <v>0</v>
      </c>
      <c r="Y66" s="4">
        <f t="shared" si="11"/>
        <v>0</v>
      </c>
      <c r="Z66" s="4">
        <f t="shared" si="12"/>
        <v>0</v>
      </c>
      <c r="AA66" s="4">
        <f t="shared" si="13"/>
        <v>0</v>
      </c>
      <c r="AB66" s="4">
        <f t="shared" si="14"/>
        <v>0</v>
      </c>
      <c r="AC66" s="8"/>
      <c r="AD66" s="4"/>
      <c r="AE66" s="4"/>
      <c r="AF66" s="4" t="str">
        <f t="shared" ref="AF66:AF71" ca="1" si="36">IF(ISNUMBER(SEARCH("Skills",N66)),"- -",IF(ISNUMBER(SEARCH("category",N66)),"- -",SUM(T66:Y66)+SUM(AA66:AE66)&amp;IF(AA66=Z66,"","/"&amp;SUM(T66:AE66))))</f>
        <v>0</v>
      </c>
      <c r="AG66" s="4"/>
      <c r="AH66" s="4">
        <f>IFERROR(VLOOKUP(M66,Calculations!$AC$2:$AD$251,2,FALSE),0)</f>
        <v>0</v>
      </c>
      <c r="AI66" s="4">
        <f>VLOOKUP(N66,$N$2:$AS$620,MATCH('Character Creation'!$Z$12,Skills!$N$1:$AS$1,0),FALSE)</f>
        <v>0</v>
      </c>
      <c r="AJ66" s="4">
        <f>VLOOKUP($N66,[2]Cultures!$B$4:$M$283,MATCH(AJ$1,[2]Cultures!$B$3:$M$3,0),FALSE)</f>
        <v>0</v>
      </c>
      <c r="AK66" s="4">
        <f>VLOOKUP($N66,[2]Cultures!$B$4:$M$283,MATCH(AK$1,[2]Cultures!$B$3:$M$3,0),FALSE)</f>
        <v>0</v>
      </c>
      <c r="AL66" s="4">
        <f>VLOOKUP($N66,[2]Cultures!$B$4:$M$283,MATCH(AL$1,[2]Cultures!$B$3:$M$3,0),FALSE)</f>
        <v>0</v>
      </c>
      <c r="AM66" s="4">
        <f>VLOOKUP($N66,[2]Cultures!$B$4:$M$283,MATCH(AM$1,[2]Cultures!$B$3:$M$3,0),FALSE)</f>
        <v>0</v>
      </c>
      <c r="AN66" s="4">
        <f>VLOOKUP($N66,[2]Cultures!$B$4:$M$283,MATCH(AN$1,[2]Cultures!$B$3:$M$3,0),FALSE)</f>
        <v>0</v>
      </c>
      <c r="AO66" s="4">
        <f>VLOOKUP($N66,[2]Cultures!$B$4:$M$283,MATCH(AO$1,[2]Cultures!$B$3:$M$3,0),FALSE)</f>
        <v>0</v>
      </c>
      <c r="AP66" s="4">
        <f>VLOOKUP($N66,[2]Cultures!$B$4:$M$283,MATCH(AP$1,[2]Cultures!$B$3:$M$3,0),FALSE)</f>
        <v>0</v>
      </c>
      <c r="AQ66" s="4">
        <f>VLOOKUP($N66,[2]Cultures!$B$4:$M$283,MATCH(AQ$1,[2]Cultures!$B$3:$M$3,0),FALSE)</f>
        <v>0</v>
      </c>
      <c r="AR66" s="4">
        <f>VLOOKUP($N66,[2]Cultures!$B$4:$M$283,MATCH(AR$1,[2]Cultures!$B$3:$M$3,0),FALSE)</f>
        <v>0</v>
      </c>
      <c r="AS66" s="4">
        <f>VLOOKUP($N66,[2]Cultures!$B$4:$M$283,MATCH(AS$1,[2]Cultures!$B$3:$M$3,0),FALSE)</f>
        <v>0</v>
      </c>
      <c r="AT66" s="4"/>
      <c r="AU66" s="4">
        <f>IF(ISNUMBER(SEARCH(N66&amp;";",Calculations!$Q$19)),VLOOKUP(Skills!N66,Calculations!$Q$2:$T$16,4,FALSE),0)</f>
        <v>0</v>
      </c>
      <c r="AV66" s="4">
        <f>IF(ISNUMBER(SEARCH(N66&amp;";",Calculations!$Q$18)),1,0)</f>
        <v>0</v>
      </c>
      <c r="AW66" s="4">
        <f>IF($AV$61=1,1,AV66)</f>
        <v>0</v>
      </c>
      <c r="AX66" s="4">
        <f>VLOOKUP($N66,$N66:$CH66,MATCH('Character Sheet'!$BJ$3,Skills!$N$1:$CH$1,0),FALSE)</f>
        <v>0</v>
      </c>
    </row>
    <row r="67" spans="1:50" x14ac:dyDescent="0.25">
      <c r="B67" s="4" t="e">
        <f t="shared" si="23"/>
        <v>#N/A</v>
      </c>
      <c r="E67" s="4"/>
      <c r="F67" s="4">
        <f t="shared" ref="F67:F130" si="37">IF(AX67="x",F66+1,F66)</f>
        <v>0</v>
      </c>
      <c r="G67" s="4"/>
      <c r="H67" s="4" t="e">
        <f t="shared" si="15"/>
        <v>#N/A</v>
      </c>
      <c r="I67" s="4" t="e">
        <f>IF($J$62=1,1,0)</f>
        <v>#N/A</v>
      </c>
      <c r="J67" s="4">
        <f t="shared" si="32"/>
        <v>0</v>
      </c>
      <c r="K67" s="4">
        <f t="shared" si="33"/>
        <v>0</v>
      </c>
      <c r="M67" t="str">
        <f>N67</f>
        <v>Reverse Strike</v>
      </c>
      <c r="N67" s="3" t="str">
        <f>'Character Sheet'!AFD9</f>
        <v>Reverse Strike</v>
      </c>
      <c r="O67" s="6" t="s">
        <v>782</v>
      </c>
      <c r="P67" s="6" t="s">
        <v>782</v>
      </c>
      <c r="Q67" s="4">
        <f t="shared" si="27"/>
        <v>0</v>
      </c>
      <c r="R67" s="4">
        <f>IF(ISNUMBER(SEARCH("Category",N67)),"- -",IF(ISNUMBER(SEARCH("Skills",N67)),"- -",'Level-up'!C85))</f>
        <v>0</v>
      </c>
      <c r="S67" s="4">
        <f t="shared" si="34"/>
        <v>0</v>
      </c>
      <c r="T67" s="4">
        <f t="shared" si="35"/>
        <v>0</v>
      </c>
      <c r="U67" s="4" t="str">
        <f t="shared" ref="U67:U130" ca="1" si="38">IFERROR(INDIRECT(LEFT(O67,FIND("/",O67)-1))+INDIRECT(MID(O67,FIND("/",O67)+1,2))+INDIRECT(P67),"- -")</f>
        <v>- -</v>
      </c>
      <c r="V67" s="4">
        <f t="shared" si="31"/>
        <v>0</v>
      </c>
      <c r="W67" s="4">
        <f t="shared" si="28"/>
        <v>0</v>
      </c>
      <c r="X67" s="4">
        <f t="shared" ref="X67:X87" si="39">IF(ISNUMBER(SEARCH("Category",N67)),"- -",IF(ISNUMBER(SEARCH("Skills",N67)),"- -",0))</f>
        <v>0</v>
      </c>
      <c r="Y67" s="4">
        <f>IF(ISNUMBER(SEARCH("Category",N67)),"- -",IF(ISNUMBER(SEARCH("Skills",N67)),"- -",0))</f>
        <v>0</v>
      </c>
      <c r="Z67" s="4">
        <f>IF(ISNUMBER(SEARCH("Category",N67)),"- -",IF(ISNUMBER(SEARCH("Skills",N67)),"- -",0))</f>
        <v>0</v>
      </c>
      <c r="AA67" s="4">
        <f>IF(ISNUMBER(SEARCH("Category",N67)),"- -",IF(ISNUMBER(SEARCH("Skills",N67)),"- -",0))</f>
        <v>0</v>
      </c>
      <c r="AB67" s="4">
        <f>IF(ISNUMBER(SEARCH("Category",N67)),"- -",IF(ISNUMBER(SEARCH("Skills",N67)),"- -",0))</f>
        <v>0</v>
      </c>
      <c r="AC67" s="8"/>
      <c r="AD67" s="4"/>
      <c r="AE67" s="4"/>
      <c r="AF67" s="4" t="str">
        <f t="shared" ca="1" si="36"/>
        <v>0</v>
      </c>
      <c r="AG67" s="4"/>
      <c r="AH67" s="4">
        <f>IFERROR(VLOOKUP(M67,Calculations!$AC$2:$AD$251,2,FALSE),0)</f>
        <v>0</v>
      </c>
      <c r="AI67" s="4">
        <f>VLOOKUP(N67,$N$2:$AS$620,MATCH('Character Creation'!$Z$12,Skills!$N$1:$AS$1,0),FALSE)</f>
        <v>0</v>
      </c>
      <c r="AJ67" s="4">
        <f>VLOOKUP($N67,[2]Cultures!$B$4:$M$283,MATCH(AJ$1,[2]Cultures!$B$3:$M$3,0),FALSE)</f>
        <v>0</v>
      </c>
      <c r="AK67" s="4">
        <f>VLOOKUP($N67,[2]Cultures!$B$4:$M$283,MATCH(AK$1,[2]Cultures!$B$3:$M$3,0),FALSE)</f>
        <v>0</v>
      </c>
      <c r="AL67" s="4">
        <f>VLOOKUP($N67,[2]Cultures!$B$4:$M$283,MATCH(AL$1,[2]Cultures!$B$3:$M$3,0),FALSE)</f>
        <v>0</v>
      </c>
      <c r="AM67" s="4">
        <f>VLOOKUP($N67,[2]Cultures!$B$4:$M$283,MATCH(AM$1,[2]Cultures!$B$3:$M$3,0),FALSE)</f>
        <v>0</v>
      </c>
      <c r="AN67" s="4">
        <f>VLOOKUP($N67,[2]Cultures!$B$4:$M$283,MATCH(AN$1,[2]Cultures!$B$3:$M$3,0),FALSE)</f>
        <v>0</v>
      </c>
      <c r="AO67" s="4">
        <f>VLOOKUP($N67,[2]Cultures!$B$4:$M$283,MATCH(AO$1,[2]Cultures!$B$3:$M$3,0),FALSE)</f>
        <v>0</v>
      </c>
      <c r="AP67" s="4">
        <f>VLOOKUP($N67,[2]Cultures!$B$4:$M$283,MATCH(AP$1,[2]Cultures!$B$3:$M$3,0),FALSE)</f>
        <v>0</v>
      </c>
      <c r="AQ67" s="4">
        <f>VLOOKUP($N67,[2]Cultures!$B$4:$M$283,MATCH(AQ$1,[2]Cultures!$B$3:$M$3,0),FALSE)</f>
        <v>0</v>
      </c>
      <c r="AR67" s="4">
        <f>VLOOKUP($N67,[2]Cultures!$B$4:$M$283,MATCH(AR$1,[2]Cultures!$B$3:$M$3,0),FALSE)</f>
        <v>0</v>
      </c>
      <c r="AS67" s="4">
        <f>VLOOKUP($N67,[2]Cultures!$B$4:$M$283,MATCH(AS$1,[2]Cultures!$B$3:$M$3,0),FALSE)</f>
        <v>0</v>
      </c>
      <c r="AT67" s="4"/>
      <c r="AU67" s="4">
        <f>IF(ISNUMBER(SEARCH(N67&amp;";",Calculations!$Q$19)),VLOOKUP(Skills!N67,Calculations!$Q$2:$T$16,4,FALSE),0)</f>
        <v>0</v>
      </c>
      <c r="AV67" s="4">
        <f>IF(ISNUMBER(SEARCH(N67&amp;";",Calculations!$Q$18)),1,0)</f>
        <v>0</v>
      </c>
      <c r="AW67" s="4">
        <f>IF($AV$61=1,1,AV67)</f>
        <v>0</v>
      </c>
      <c r="AX67" s="4">
        <f>VLOOKUP($N67,$N67:$CH67,MATCH('Character Sheet'!$BJ$3,Skills!$N$1:$CH$1,0),FALSE)</f>
        <v>0</v>
      </c>
    </row>
    <row r="68" spans="1:50" x14ac:dyDescent="0.25">
      <c r="B68" s="4" t="e">
        <f t="shared" si="23"/>
        <v>#N/A</v>
      </c>
      <c r="E68" s="4"/>
      <c r="F68" s="4">
        <f t="shared" si="37"/>
        <v>0</v>
      </c>
      <c r="G68" s="4"/>
      <c r="H68" s="4" t="e">
        <f t="shared" ref="H68:H131" si="40">H67+I68</f>
        <v>#N/A</v>
      </c>
      <c r="I68" s="4" t="e">
        <f>IF($J$69=1,1,IF($J$84=1,1,IF($J$87=1,1,IF($J$98=1,1,IF($J$103=1,1,0)))))</f>
        <v>#N/A</v>
      </c>
      <c r="J68" s="4">
        <f t="shared" si="32"/>
        <v>0</v>
      </c>
      <c r="K68" s="4" t="e">
        <f t="shared" si="33"/>
        <v>#N/A</v>
      </c>
      <c r="N68" s="3" t="s">
        <v>627</v>
      </c>
      <c r="O68" s="6" t="s">
        <v>782</v>
      </c>
      <c r="P68" s="6" t="s">
        <v>782</v>
      </c>
      <c r="Q68" s="4" t="str">
        <f t="shared" si="27"/>
        <v>- -</v>
      </c>
      <c r="R68" s="4" t="str">
        <f>IF(ISNUMBER(SEARCH("Category",N68)),"- -",IF(ISNUMBER(SEARCH("Skills",N68)),"- -",'Level-up'!C86))</f>
        <v>- -</v>
      </c>
      <c r="S68" s="4" t="str">
        <f t="shared" si="34"/>
        <v>- -</v>
      </c>
      <c r="T68" s="4" t="str">
        <f t="shared" si="35"/>
        <v>- -</v>
      </c>
      <c r="U68" s="4" t="str">
        <f t="shared" ca="1" si="38"/>
        <v>- -</v>
      </c>
      <c r="V68" s="4" t="str">
        <f t="shared" si="31"/>
        <v>- -</v>
      </c>
      <c r="W68" s="4" t="str">
        <f t="shared" si="28"/>
        <v>- -</v>
      </c>
      <c r="X68" s="4" t="str">
        <f t="shared" si="39"/>
        <v>- -</v>
      </c>
      <c r="Y68" s="4" t="str">
        <f>IF(ISNUMBER(SEARCH("Category",N68)),"- -",IF(ISNUMBER(SEARCH("Skills",N68)),"- -",0))</f>
        <v>- -</v>
      </c>
      <c r="Z68" s="4" t="str">
        <f>IF(ISNUMBER(SEARCH("Category",N68)),"- -",IF(ISNUMBER(SEARCH("Skills",N68)),"- -",0))</f>
        <v>- -</v>
      </c>
      <c r="AA68" s="4" t="str">
        <f>IF(ISNUMBER(SEARCH("Category",N68)),"- -",IF(ISNUMBER(SEARCH("Skills",N68)),"- -",0))</f>
        <v>- -</v>
      </c>
      <c r="AB68" s="4" t="str">
        <f>IF(ISNUMBER(SEARCH("Category",N68)),"- -",IF(ISNUMBER(SEARCH("Skills",N68)),"- -",0))</f>
        <v>- -</v>
      </c>
      <c r="AC68" s="8"/>
      <c r="AD68" s="4"/>
      <c r="AE68" s="4"/>
      <c r="AF68" s="4" t="str">
        <f t="shared" si="36"/>
        <v>- -</v>
      </c>
      <c r="AG68" s="4"/>
      <c r="AH68" s="4">
        <f>IFERROR(VLOOKUP(M68,Calculations!$AC$2:$AD$251,2,FALSE),0)</f>
        <v>0</v>
      </c>
      <c r="AI68" s="4" t="e">
        <f>VLOOKUP(N68,$N$2:$AS$620,MATCH('Character Creation'!$Z$12,Skills!$N$1:$AS$1,0),FALSE)</f>
        <v>#N/A</v>
      </c>
      <c r="AJ68" s="4" t="e">
        <f>VLOOKUP($N68,[2]Cultures!$B$4:$M$283,MATCH(AJ$1,[2]Cultures!$B$3:$M$3,0),FALSE)</f>
        <v>#N/A</v>
      </c>
      <c r="AK68" s="4" t="e">
        <f>VLOOKUP($N68,[2]Cultures!$B$4:$M$283,MATCH(AK$1,[2]Cultures!$B$3:$M$3,0),FALSE)</f>
        <v>#N/A</v>
      </c>
      <c r="AL68" s="4" t="e">
        <f>VLOOKUP($N68,[2]Cultures!$B$4:$M$283,MATCH(AL$1,[2]Cultures!$B$3:$M$3,0),FALSE)</f>
        <v>#N/A</v>
      </c>
      <c r="AM68" s="4" t="e">
        <f>VLOOKUP($N68,[2]Cultures!$B$4:$M$283,MATCH(AM$1,[2]Cultures!$B$3:$M$3,0),FALSE)</f>
        <v>#N/A</v>
      </c>
      <c r="AN68" s="4" t="e">
        <f>VLOOKUP($N68,[2]Cultures!$B$4:$M$283,MATCH(AN$1,[2]Cultures!$B$3:$M$3,0),FALSE)</f>
        <v>#N/A</v>
      </c>
      <c r="AO68" s="4" t="e">
        <f>VLOOKUP($N68,[2]Cultures!$B$4:$M$283,MATCH(AO$1,[2]Cultures!$B$3:$M$3,0),FALSE)</f>
        <v>#N/A</v>
      </c>
      <c r="AP68" s="4" t="e">
        <f>VLOOKUP($N68,[2]Cultures!$B$4:$M$283,MATCH(AP$1,[2]Cultures!$B$3:$M$3,0),FALSE)</f>
        <v>#N/A</v>
      </c>
      <c r="AQ68" s="4" t="e">
        <f>VLOOKUP($N68,[2]Cultures!$B$4:$M$283,MATCH(AQ$1,[2]Cultures!$B$3:$M$3,0),FALSE)</f>
        <v>#N/A</v>
      </c>
      <c r="AR68" s="4" t="e">
        <f>VLOOKUP($N68,[2]Cultures!$B$4:$M$283,MATCH(AR$1,[2]Cultures!$B$3:$M$3,0),FALSE)</f>
        <v>#N/A</v>
      </c>
      <c r="AS68" s="4" t="e">
        <f>VLOOKUP($N68,[2]Cultures!$B$4:$M$283,MATCH(AS$1,[2]Cultures!$B$3:$M$3,0),FALSE)</f>
        <v>#N/A</v>
      </c>
      <c r="AT68" s="4"/>
      <c r="AU68" s="4">
        <f>IF(ISNUMBER(SEARCH(N68&amp;";",Calculations!$Q$19)),VLOOKUP(Skills!N68,Calculations!$Q$2:$T$16,4,FALSE),0)</f>
        <v>0</v>
      </c>
      <c r="AV68" s="4">
        <f>IF(ISNUMBER(SEARCH(N68&amp;";",Calculations!$Q$18)),1,0)</f>
        <v>0</v>
      </c>
      <c r="AW68" s="4"/>
      <c r="AX68" s="4">
        <f>VLOOKUP($N68,$N68:$CH68,MATCH('Character Sheet'!$BJ$3,Skills!$N$1:$CH$1,0),FALSE)</f>
        <v>0</v>
      </c>
    </row>
    <row r="69" spans="1:50" x14ac:dyDescent="0.25">
      <c r="B69" s="4" t="e">
        <f t="shared" si="23"/>
        <v>#N/A</v>
      </c>
      <c r="E69" s="4"/>
      <c r="F69" s="4">
        <f t="shared" si="37"/>
        <v>0</v>
      </c>
      <c r="G69" s="4"/>
      <c r="H69" s="4" t="e">
        <f t="shared" si="40"/>
        <v>#N/A</v>
      </c>
      <c r="I69" s="4">
        <v>0</v>
      </c>
      <c r="J69" s="4" t="e">
        <f t="shared" si="32"/>
        <v>#N/A</v>
      </c>
      <c r="K69" s="4" t="e">
        <f t="shared" si="33"/>
        <v>#N/A</v>
      </c>
      <c r="N69" s="3" t="s">
        <v>628</v>
      </c>
      <c r="O69" s="6" t="s">
        <v>782</v>
      </c>
      <c r="P69" s="6" t="s">
        <v>782</v>
      </c>
      <c r="Q69" s="4" t="str">
        <f t="shared" si="27"/>
        <v>- -</v>
      </c>
      <c r="R69" s="4" t="str">
        <f>IF(ISNUMBER(SEARCH("Category",N69)),"- -",IF(ISNUMBER(SEARCH("Skills",N69)),"- -",'Level-up'!C87))</f>
        <v>- -</v>
      </c>
      <c r="S69" s="4" t="str">
        <f t="shared" si="34"/>
        <v>- -</v>
      </c>
      <c r="T69" s="4" t="str">
        <f t="shared" si="35"/>
        <v>- -</v>
      </c>
      <c r="U69" s="4" t="str">
        <f t="shared" ca="1" si="38"/>
        <v>- -</v>
      </c>
      <c r="V69" s="4" t="str">
        <f t="shared" si="31"/>
        <v>- -</v>
      </c>
      <c r="W69" s="4" t="str">
        <f t="shared" si="28"/>
        <v>- -</v>
      </c>
      <c r="X69" s="4" t="str">
        <f t="shared" si="39"/>
        <v>- -</v>
      </c>
      <c r="Y69" s="4" t="str">
        <f>IF(ISNUMBER(SEARCH("Category",N69)),"- -",IF(ISNUMBER(SEARCH("Skills",N69)),"- -",0))</f>
        <v>- -</v>
      </c>
      <c r="Z69" s="4" t="str">
        <f>IF(ISNUMBER(SEARCH("Category",N69)),"- -",IF(ISNUMBER(SEARCH("Skills",N69)),"- -",0))</f>
        <v>- -</v>
      </c>
      <c r="AA69" s="4" t="str">
        <f>IF(ISNUMBER(SEARCH("Category",N69)),"- -",IF(ISNUMBER(SEARCH("Skills",N69)),"- -",0))</f>
        <v>- -</v>
      </c>
      <c r="AB69" s="4" t="str">
        <f>IF(ISNUMBER(SEARCH("Category",N69)),"- -",IF(ISNUMBER(SEARCH("Skills",N69)),"- -",0))</f>
        <v>- -</v>
      </c>
      <c r="AC69" s="8"/>
      <c r="AD69" s="4"/>
      <c r="AE69" s="4"/>
      <c r="AF69" s="4" t="str">
        <f t="shared" si="36"/>
        <v>- -</v>
      </c>
      <c r="AG69" s="4"/>
      <c r="AH69" s="4">
        <f>IFERROR(VLOOKUP(M69,Calculations!$AC$2:$AD$251,2,FALSE),0)</f>
        <v>0</v>
      </c>
      <c r="AI69" s="4" t="e">
        <f>VLOOKUP(N69,$N$2:$AS$620,MATCH('Character Creation'!$Z$12,Skills!$N$1:$AS$1,0),FALSE)</f>
        <v>#N/A</v>
      </c>
      <c r="AJ69" s="4" t="e">
        <f>VLOOKUP($N69,[2]Cultures!$B$4:$M$283,MATCH(AJ$1,[2]Cultures!$B$3:$M$3,0),FALSE)</f>
        <v>#N/A</v>
      </c>
      <c r="AK69" s="4" t="e">
        <f>VLOOKUP($N69,[2]Cultures!$B$4:$M$283,MATCH(AK$1,[2]Cultures!$B$3:$M$3,0),FALSE)</f>
        <v>#N/A</v>
      </c>
      <c r="AL69" s="4" t="e">
        <f>VLOOKUP($N69,[2]Cultures!$B$4:$M$283,MATCH(AL$1,[2]Cultures!$B$3:$M$3,0),FALSE)</f>
        <v>#N/A</v>
      </c>
      <c r="AM69" s="4" t="e">
        <f>VLOOKUP($N69,[2]Cultures!$B$4:$M$283,MATCH(AM$1,[2]Cultures!$B$3:$M$3,0),FALSE)</f>
        <v>#N/A</v>
      </c>
      <c r="AN69" s="4" t="e">
        <f>VLOOKUP($N69,[2]Cultures!$B$4:$M$283,MATCH(AN$1,[2]Cultures!$B$3:$M$3,0),FALSE)</f>
        <v>#N/A</v>
      </c>
      <c r="AO69" s="4" t="e">
        <f>VLOOKUP($N69,[2]Cultures!$B$4:$M$283,MATCH(AO$1,[2]Cultures!$B$3:$M$3,0),FALSE)</f>
        <v>#N/A</v>
      </c>
      <c r="AP69" s="4" t="e">
        <f>VLOOKUP($N69,[2]Cultures!$B$4:$M$283,MATCH(AP$1,[2]Cultures!$B$3:$M$3,0),FALSE)</f>
        <v>#N/A</v>
      </c>
      <c r="AQ69" s="4" t="e">
        <f>VLOOKUP($N69,[2]Cultures!$B$4:$M$283,MATCH(AQ$1,[2]Cultures!$B$3:$M$3,0),FALSE)</f>
        <v>#N/A</v>
      </c>
      <c r="AR69" s="4" t="e">
        <f>VLOOKUP($N69,[2]Cultures!$B$4:$M$283,MATCH(AR$1,[2]Cultures!$B$3:$M$3,0),FALSE)</f>
        <v>#N/A</v>
      </c>
      <c r="AS69" s="4" t="e">
        <f>VLOOKUP($N69,[2]Cultures!$B$4:$M$283,MATCH(AS$1,[2]Cultures!$B$3:$M$3,0),FALSE)</f>
        <v>#N/A</v>
      </c>
      <c r="AT69" s="4"/>
      <c r="AU69" s="4">
        <f>IF(ISNUMBER(SEARCH(N69&amp;";",Calculations!$Q$19)),VLOOKUP(Skills!N69,Calculations!$Q$2:$T$16,4,FALSE),0)</f>
        <v>0</v>
      </c>
      <c r="AV69" s="4">
        <f>IF(ISNUMBER(SEARCH(N69&amp;";",Calculations!$Q$18)),1,0)</f>
        <v>0</v>
      </c>
      <c r="AW69" s="4"/>
      <c r="AX69" s="4">
        <f>VLOOKUP($N69,$N69:$CH69,MATCH('Character Sheet'!$BJ$3,Skills!$N$1:$CH$1,0),FALSE)</f>
        <v>0</v>
      </c>
    </row>
    <row r="70" spans="1:50" x14ac:dyDescent="0.25">
      <c r="B70" s="4" t="e">
        <f t="shared" si="23"/>
        <v>#N/A</v>
      </c>
      <c r="E70" s="4"/>
      <c r="F70" s="4">
        <f t="shared" si="37"/>
        <v>0</v>
      </c>
      <c r="G70" s="4"/>
      <c r="H70" s="4" t="e">
        <f t="shared" si="40"/>
        <v>#N/A</v>
      </c>
      <c r="I70" s="4">
        <f>IF($J$71=1,1,0)</f>
        <v>1</v>
      </c>
      <c r="J70" s="4">
        <f t="shared" si="32"/>
        <v>0</v>
      </c>
      <c r="K70" s="4">
        <f t="shared" si="33"/>
        <v>1</v>
      </c>
      <c r="N70" s="3" t="s">
        <v>629</v>
      </c>
      <c r="O70" s="6" t="s">
        <v>782</v>
      </c>
      <c r="P70" s="6" t="s">
        <v>782</v>
      </c>
      <c r="Q70" s="4" t="str">
        <f t="shared" si="27"/>
        <v>- -</v>
      </c>
      <c r="R70" s="4" t="str">
        <f>IF(ISNUMBER(SEARCH("Category",N70)),"- -",IF(ISNUMBER(SEARCH("Skills",N70)),"- -",'Level-up'!C88))</f>
        <v>- -</v>
      </c>
      <c r="S70" s="4" t="str">
        <f t="shared" si="34"/>
        <v>- -</v>
      </c>
      <c r="T70" s="4" t="str">
        <f t="shared" si="35"/>
        <v>- -</v>
      </c>
      <c r="U70" s="4" t="str">
        <f t="shared" ca="1" si="38"/>
        <v>- -</v>
      </c>
      <c r="V70" s="4" t="str">
        <f t="shared" si="31"/>
        <v>- -</v>
      </c>
      <c r="W70" s="4" t="str">
        <f t="shared" si="28"/>
        <v>- -</v>
      </c>
      <c r="X70" s="4" t="str">
        <f t="shared" si="39"/>
        <v>- -</v>
      </c>
      <c r="Y70" s="4" t="str">
        <f>IF(ISNUMBER(SEARCH("Category",N70)),"- -",IF(ISNUMBER(SEARCH("Skills",N70)),"- -",0))</f>
        <v>- -</v>
      </c>
      <c r="Z70" s="4" t="str">
        <f>IF(ISNUMBER(SEARCH("Category",N70)),"- -",IF(ISNUMBER(SEARCH("Skills",N70)),"- -",0))</f>
        <v>- -</v>
      </c>
      <c r="AA70" s="4" t="str">
        <f>IF(ISNUMBER(SEARCH("Category",N70)),"- -",IF(ISNUMBER(SEARCH("Skills",N70)),"- -",0))</f>
        <v>- -</v>
      </c>
      <c r="AB70" s="4" t="str">
        <f>IF(ISNUMBER(SEARCH("Category",N70)),"- -",IF(ISNUMBER(SEARCH("Skills",N70)),"- -",0))</f>
        <v>- -</v>
      </c>
      <c r="AC70" s="8"/>
      <c r="AD70" s="4"/>
      <c r="AE70" s="4"/>
      <c r="AF70" s="4" t="str">
        <f t="shared" si="36"/>
        <v>- -</v>
      </c>
      <c r="AG70" s="4"/>
      <c r="AH70" s="4">
        <f>IFERROR(VLOOKUP(M70,Calculations!$AC$2:$AD$251,2,FALSE),0)</f>
        <v>0</v>
      </c>
      <c r="AI70" s="4" t="e">
        <f>VLOOKUP(N70,$N$2:$AS$620,MATCH('Character Creation'!$Z$12,Skills!$N$1:$AS$1,0),FALSE)</f>
        <v>#N/A</v>
      </c>
      <c r="AJ70" s="4" t="e">
        <f>VLOOKUP($N70,[2]Cultures!$B$4:$M$283,MATCH(AJ$1,[2]Cultures!$B$3:$M$3,0),FALSE)</f>
        <v>#N/A</v>
      </c>
      <c r="AK70" s="4" t="e">
        <f>VLOOKUP($N70,[2]Cultures!$B$4:$M$283,MATCH(AK$1,[2]Cultures!$B$3:$M$3,0),FALSE)</f>
        <v>#N/A</v>
      </c>
      <c r="AL70" s="4" t="e">
        <f>VLOOKUP($N70,[2]Cultures!$B$4:$M$283,MATCH(AL$1,[2]Cultures!$B$3:$M$3,0),FALSE)</f>
        <v>#N/A</v>
      </c>
      <c r="AM70" s="4" t="e">
        <f>VLOOKUP($N70,[2]Cultures!$B$4:$M$283,MATCH(AM$1,[2]Cultures!$B$3:$M$3,0),FALSE)</f>
        <v>#N/A</v>
      </c>
      <c r="AN70" s="4" t="e">
        <f>VLOOKUP($N70,[2]Cultures!$B$4:$M$283,MATCH(AN$1,[2]Cultures!$B$3:$M$3,0),FALSE)</f>
        <v>#N/A</v>
      </c>
      <c r="AO70" s="4" t="e">
        <f>VLOOKUP($N70,[2]Cultures!$B$4:$M$283,MATCH(AO$1,[2]Cultures!$B$3:$M$3,0),FALSE)</f>
        <v>#N/A</v>
      </c>
      <c r="AP70" s="4" t="e">
        <f>VLOOKUP($N70,[2]Cultures!$B$4:$M$283,MATCH(AP$1,[2]Cultures!$B$3:$M$3,0),FALSE)</f>
        <v>#N/A</v>
      </c>
      <c r="AQ70" s="4" t="e">
        <f>VLOOKUP($N70,[2]Cultures!$B$4:$M$283,MATCH(AQ$1,[2]Cultures!$B$3:$M$3,0),FALSE)</f>
        <v>#N/A</v>
      </c>
      <c r="AR70" s="4" t="e">
        <f>VLOOKUP($N70,[2]Cultures!$B$4:$M$283,MATCH(AR$1,[2]Cultures!$B$3:$M$3,0),FALSE)</f>
        <v>#N/A</v>
      </c>
      <c r="AS70" s="4" t="e">
        <f>VLOOKUP($N70,[2]Cultures!$B$4:$M$283,MATCH(AS$1,[2]Cultures!$B$3:$M$3,0),FALSE)</f>
        <v>#N/A</v>
      </c>
      <c r="AT70" s="4"/>
      <c r="AU70" s="4">
        <f>IF(ISNUMBER(SEARCH(N70&amp;";",Calculations!$Q$19)),VLOOKUP(Skills!N70,Calculations!$Q$2:$T$16,4,FALSE),0)</f>
        <v>0</v>
      </c>
      <c r="AV70" s="4">
        <f>IF(ISNUMBER(SEARCH(N70&amp;";",Calculations!$Q$18)),1,0)</f>
        <v>0</v>
      </c>
      <c r="AW70" s="4"/>
      <c r="AX70" s="4">
        <f>VLOOKUP($N70,$N70:$CH70,MATCH('Character Sheet'!$BJ$3,Skills!$N$1:$CH$1,0),FALSE)</f>
        <v>0</v>
      </c>
    </row>
    <row r="71" spans="1:50" x14ac:dyDescent="0.25">
      <c r="B71" s="4" t="e">
        <f t="shared" si="23"/>
        <v>#N/A</v>
      </c>
      <c r="E71" s="4"/>
      <c r="F71" s="4">
        <f t="shared" si="37"/>
        <v>0</v>
      </c>
      <c r="G71" s="4"/>
      <c r="H71" s="4" t="e">
        <f t="shared" si="40"/>
        <v>#N/A</v>
      </c>
      <c r="I71" s="4">
        <v>0</v>
      </c>
      <c r="J71" s="4">
        <f t="shared" si="32"/>
        <v>1</v>
      </c>
      <c r="K71" s="4">
        <f t="shared" si="33"/>
        <v>1</v>
      </c>
      <c r="N71" s="3" t="s">
        <v>630</v>
      </c>
      <c r="O71" s="6" t="s">
        <v>782</v>
      </c>
      <c r="P71" s="6" t="s">
        <v>782</v>
      </c>
      <c r="Q71" s="4" t="str">
        <f t="shared" si="27"/>
        <v>- -</v>
      </c>
      <c r="R71" s="4" t="str">
        <f>IF(ISNUMBER(SEARCH("Category",N71)),"- -",IF(ISNUMBER(SEARCH("Skills",N71)),"- -",'Level-up'!C89))</f>
        <v>- -</v>
      </c>
      <c r="S71" s="4" t="str">
        <f t="shared" si="34"/>
        <v>- -</v>
      </c>
      <c r="T71" s="4" t="str">
        <f t="shared" si="35"/>
        <v>- -</v>
      </c>
      <c r="U71" s="4" t="str">
        <f t="shared" ca="1" si="38"/>
        <v>- -</v>
      </c>
      <c r="V71" s="4" t="str">
        <f t="shared" si="31"/>
        <v>- -</v>
      </c>
      <c r="W71" s="4" t="str">
        <f t="shared" si="28"/>
        <v>- -</v>
      </c>
      <c r="X71" s="4" t="str">
        <f t="shared" si="39"/>
        <v>- -</v>
      </c>
      <c r="Y71" s="4" t="str">
        <f>IF(ISNUMBER(SEARCH("Category",N71)),"- -",IF(ISNUMBER(SEARCH("Skills",N71)),"- -",0))</f>
        <v>- -</v>
      </c>
      <c r="Z71" s="4" t="str">
        <f>IF(ISNUMBER(SEARCH("Category",N71)),"- -",IF(ISNUMBER(SEARCH("Skills",N71)),"- -",0))</f>
        <v>- -</v>
      </c>
      <c r="AA71" s="4" t="str">
        <f>IF(ISNUMBER(SEARCH("Category",N71)),"- -",IF(ISNUMBER(SEARCH("Skills",N71)),"- -",0))</f>
        <v>- -</v>
      </c>
      <c r="AB71" s="4" t="str">
        <f>IF(ISNUMBER(SEARCH("Category",N71)),"- -",IF(ISNUMBER(SEARCH("Skills",N71)),"- -",0))</f>
        <v>- -</v>
      </c>
      <c r="AC71" s="8"/>
      <c r="AD71" s="4"/>
      <c r="AE71" s="4"/>
      <c r="AF71" s="4" t="str">
        <f t="shared" si="36"/>
        <v>- -</v>
      </c>
      <c r="AG71" s="4"/>
      <c r="AH71" s="4">
        <f>IFERROR(VLOOKUP(M71,Calculations!$AC$2:$AD$251,2,FALSE),0)</f>
        <v>0</v>
      </c>
      <c r="AI71" s="4">
        <f>VLOOKUP(N71,$N$2:$AS$620,MATCH('Character Creation'!$Z$12,Skills!$N$1:$AS$1,0),FALSE)</f>
        <v>1</v>
      </c>
      <c r="AJ71" s="4">
        <f>VLOOKUP($N71,[2]Cultures!$B$4:$M$283,MATCH(AJ$1,[2]Cultures!$B$3:$M$3,0),FALSE)</f>
        <v>0</v>
      </c>
      <c r="AK71" s="4">
        <f>VLOOKUP($N71,[2]Cultures!$B$4:$M$283,MATCH(AK$1,[2]Cultures!$B$3:$M$3,0),FALSE)</f>
        <v>1</v>
      </c>
      <c r="AL71" s="4">
        <f>VLOOKUP($N71,[2]Cultures!$B$4:$M$283,MATCH(AL$1,[2]Cultures!$B$3:$M$3,0),FALSE)</f>
        <v>0</v>
      </c>
      <c r="AM71" s="4">
        <f>VLOOKUP($N71,[2]Cultures!$B$4:$M$283,MATCH(AM$1,[2]Cultures!$B$3:$M$3,0),FALSE)</f>
        <v>0</v>
      </c>
      <c r="AN71" s="4">
        <f>VLOOKUP($N71,[2]Cultures!$B$4:$M$283,MATCH(AN$1,[2]Cultures!$B$3:$M$3,0),FALSE)</f>
        <v>0</v>
      </c>
      <c r="AO71" s="4">
        <f>VLOOKUP($N71,[2]Cultures!$B$4:$M$283,MATCH(AO$1,[2]Cultures!$B$3:$M$3,0),FALSE)</f>
        <v>1</v>
      </c>
      <c r="AP71" s="4">
        <f>VLOOKUP($N71,[2]Cultures!$B$4:$M$283,MATCH(AP$1,[2]Cultures!$B$3:$M$3,0),FALSE)</f>
        <v>0</v>
      </c>
      <c r="AQ71" s="4">
        <f>VLOOKUP($N71,[2]Cultures!$B$4:$M$283,MATCH(AQ$1,[2]Cultures!$B$3:$M$3,0),FALSE)</f>
        <v>0</v>
      </c>
      <c r="AR71" s="4">
        <f>VLOOKUP($N71,[2]Cultures!$B$4:$M$283,MATCH(AR$1,[2]Cultures!$B$3:$M$3,0),FALSE)</f>
        <v>1</v>
      </c>
      <c r="AS71" s="4">
        <f>VLOOKUP($N71,[2]Cultures!$B$4:$M$283,MATCH(AS$1,[2]Cultures!$B$3:$M$3,0),FALSE)</f>
        <v>0</v>
      </c>
      <c r="AT71" s="4"/>
      <c r="AU71" s="4">
        <f>IF(ISNUMBER(SEARCH(N71&amp;";",Calculations!$Q$19)),VLOOKUP(Skills!N71,Calculations!$Q$2:$T$16,4,FALSE),0)</f>
        <v>0</v>
      </c>
      <c r="AV71" s="4">
        <f>IF(ISNUMBER(SEARCH(N71&amp;";",Calculations!$Q$18)),1,0)</f>
        <v>0</v>
      </c>
      <c r="AW71" s="4"/>
      <c r="AX71" s="4">
        <f>VLOOKUP($N71,$N71:$CH71,MATCH('Character Sheet'!$BJ$3,Skills!$N$1:$CH$1,0),FALSE)</f>
        <v>0</v>
      </c>
    </row>
    <row r="72" spans="1:50" x14ac:dyDescent="0.25">
      <c r="A72" s="4" t="s">
        <v>2241</v>
      </c>
      <c r="B72" s="4" t="e">
        <f t="shared" si="23"/>
        <v>#N/A</v>
      </c>
      <c r="E72" s="4"/>
      <c r="F72" s="4">
        <f t="shared" si="37"/>
        <v>0</v>
      </c>
      <c r="G72" s="4"/>
      <c r="H72" s="4" t="e">
        <f t="shared" si="40"/>
        <v>#N/A</v>
      </c>
      <c r="I72" s="4">
        <f t="shared" ref="I72:I82" si="41">IF($J$71=1,1,0)</f>
        <v>1</v>
      </c>
      <c r="J72" s="4">
        <f t="shared" si="32"/>
        <v>0</v>
      </c>
      <c r="K72" s="4" t="e">
        <f t="shared" si="33"/>
        <v>#N/A</v>
      </c>
      <c r="M72" t="str">
        <f>"Melee, "&amp;N72</f>
        <v>Melee, Blade</v>
      </c>
      <c r="N72" s="3" t="str">
        <f>'Character Sheet'!AIT5</f>
        <v>Blade</v>
      </c>
      <c r="O72" s="4" t="s">
        <v>790</v>
      </c>
      <c r="P72" s="4" t="s">
        <v>788</v>
      </c>
      <c r="Q72" s="4" t="e">
        <f t="shared" si="27"/>
        <v>#N/A</v>
      </c>
      <c r="R72" s="4">
        <f>IF(ISNUMBER(SEARCH("Category",N72)),"- -",IF(ISNUMBER(SEARCH("Skills",N72)),"- -",'Level-up'!C90))</f>
        <v>0</v>
      </c>
      <c r="S72" s="4" t="e">
        <f t="shared" si="34"/>
        <v>#N/A</v>
      </c>
      <c r="T72" s="4" t="e">
        <f t="shared" si="35"/>
        <v>#N/A</v>
      </c>
      <c r="U72" s="4">
        <f t="shared" ca="1" si="38"/>
        <v>8</v>
      </c>
      <c r="V72" s="4">
        <f t="shared" ref="V72:V84" si="42">IF(ISNUMBER(SEARCH("Category",N72)),"- -",IF(ISNUMBER(SEARCH("Skills",N72)),"- -",IF(AU72&gt;0,AU72,IF($AU$70&gt;0,$AU$70,$AU$68))))</f>
        <v>0</v>
      </c>
      <c r="W72" s="4">
        <f t="shared" si="28"/>
        <v>0</v>
      </c>
      <c r="X72" s="4">
        <f t="shared" si="39"/>
        <v>0</v>
      </c>
      <c r="Y72" s="4">
        <f t="shared" ref="Y72:Y107" si="43">IF(ISNUMBER(SEARCH("Category",N72)),"- -",IF(ISNUMBER(SEARCH("Skills",N72)),"- -",0))</f>
        <v>0</v>
      </c>
      <c r="Z72" s="4">
        <f t="shared" ref="Z72:Z107" si="44">IF(ISNUMBER(SEARCH("Category",N72)),"- -",IF(ISNUMBER(SEARCH("Skills",N72)),"- -",0))</f>
        <v>0</v>
      </c>
      <c r="AA72" s="4">
        <f t="shared" ref="AA72:AA107" si="45">IF(ISNUMBER(SEARCH("Category",N72)),"- -",IF(ISNUMBER(SEARCH("Skills",N72)),"- -",0))</f>
        <v>0</v>
      </c>
      <c r="AB72" s="4">
        <f t="shared" ref="AB72:AB107" si="46">IF(ISNUMBER(SEARCH("Category",N72)),"- -",IF(ISNUMBER(SEARCH("Skills",N72)),"- -",0))</f>
        <v>0</v>
      </c>
      <c r="AC72" s="8"/>
      <c r="AD72" s="4"/>
      <c r="AE72" s="4"/>
      <c r="AF72" s="4" t="e">
        <f>IF(ISNUMBER(SEARCH("Skills",N72)),"- -",IF(ISNUMBER(SEARCH("category",N72)),"- -",SUM(T72:Y72)+SUM(AA72:AE72)&amp;IF(AA72=Z72,"","/"&amp;SUM(T72:AE72))))</f>
        <v>#N/A</v>
      </c>
      <c r="AG72" s="4"/>
      <c r="AH72" s="4">
        <f>IFERROR(VLOOKUP(M72,Calculations!$AC$2:$AD$251,2,FALSE),0)</f>
        <v>0</v>
      </c>
      <c r="AI72" s="4" t="e">
        <f>VLOOKUP(N72,$N$2:$AS$620,MATCH('Character Creation'!$Z$12,Skills!$N$1:$AS$1,0),FALSE)</f>
        <v>#N/A</v>
      </c>
      <c r="AJ72" s="4" t="e">
        <f>VLOOKUP($N72,[2]Cultures!$B$4:$M$283,MATCH(AJ$1,[2]Cultures!$B$3:$M$3,0),FALSE)</f>
        <v>#N/A</v>
      </c>
      <c r="AK72" s="4" t="e">
        <f>VLOOKUP($N72,[2]Cultures!$B$4:$M$283,MATCH(AK$1,[2]Cultures!$B$3:$M$3,0),FALSE)</f>
        <v>#N/A</v>
      </c>
      <c r="AL72" s="4" t="e">
        <f>VLOOKUP($N72,[2]Cultures!$B$4:$M$283,MATCH(AL$1,[2]Cultures!$B$3:$M$3,0),FALSE)</f>
        <v>#N/A</v>
      </c>
      <c r="AM72" s="4" t="e">
        <f>VLOOKUP($N72,[2]Cultures!$B$4:$M$283,MATCH(AM$1,[2]Cultures!$B$3:$M$3,0),FALSE)</f>
        <v>#N/A</v>
      </c>
      <c r="AN72" s="4" t="e">
        <f>VLOOKUP($N72,[2]Cultures!$B$4:$M$283,MATCH(AN$1,[2]Cultures!$B$3:$M$3,0),FALSE)</f>
        <v>#N/A</v>
      </c>
      <c r="AO72" s="4" t="e">
        <f>VLOOKUP($N72,[2]Cultures!$B$4:$M$283,MATCH(AO$1,[2]Cultures!$B$3:$M$3,0),FALSE)</f>
        <v>#N/A</v>
      </c>
      <c r="AP72" s="4" t="e">
        <f>VLOOKUP($N72,[2]Cultures!$B$4:$M$283,MATCH(AP$1,[2]Cultures!$B$3:$M$3,0),FALSE)</f>
        <v>#N/A</v>
      </c>
      <c r="AQ72" s="4" t="e">
        <f>VLOOKUP($N72,[2]Cultures!$B$4:$M$283,MATCH(AQ$1,[2]Cultures!$B$3:$M$3,0),FALSE)</f>
        <v>#N/A</v>
      </c>
      <c r="AR72" s="4" t="e">
        <f>VLOOKUP($N72,[2]Cultures!$B$4:$M$283,MATCH(AR$1,[2]Cultures!$B$3:$M$3,0),FALSE)</f>
        <v>#N/A</v>
      </c>
      <c r="AS72" s="4" t="e">
        <f>VLOOKUP($N72,[2]Cultures!$B$4:$M$283,MATCH(AS$1,[2]Cultures!$B$3:$M$3,0),FALSE)</f>
        <v>#N/A</v>
      </c>
      <c r="AT72" s="4"/>
      <c r="AU72" s="4">
        <f>IF(ISNUMBER(SEARCH(N72&amp;";",Calculations!$Q$19)),VLOOKUP(Skills!N72,Calculations!$Q$2:$T$16,4,FALSE),0)</f>
        <v>0</v>
      </c>
      <c r="AV72" s="4">
        <f>IF(ISNUMBER(SEARCH(N72&amp;";",Calculations!$Q$18)),1,0)</f>
        <v>0</v>
      </c>
      <c r="AW72" s="4">
        <f t="shared" ref="AW72:AW82" si="47">IF($AV$68=1,1,IF($AV$70=1,1,AV72))</f>
        <v>0</v>
      </c>
      <c r="AX72" s="4">
        <f>VLOOKUP($N72,$N72:$CH72,MATCH('Character Sheet'!$BJ$3,Skills!$N$1:$CH$1,0),FALSE)</f>
        <v>0</v>
      </c>
    </row>
    <row r="73" spans="1:50" x14ac:dyDescent="0.25">
      <c r="A73" s="4" t="s">
        <v>2241</v>
      </c>
      <c r="B73" s="4" t="e">
        <f t="shared" si="23"/>
        <v>#N/A</v>
      </c>
      <c r="E73" s="4"/>
      <c r="F73" s="4">
        <f t="shared" si="37"/>
        <v>0</v>
      </c>
      <c r="G73" s="4"/>
      <c r="H73" s="4" t="e">
        <f t="shared" si="40"/>
        <v>#N/A</v>
      </c>
      <c r="I73" s="4">
        <f t="shared" si="41"/>
        <v>1</v>
      </c>
      <c r="J73" s="4">
        <f t="shared" si="32"/>
        <v>0</v>
      </c>
      <c r="K73" s="4" t="e">
        <f t="shared" si="33"/>
        <v>#N/A</v>
      </c>
      <c r="M73" t="str">
        <f t="shared" ref="M73:M82" si="48">"Melee, "&amp;N73</f>
        <v>Melee, Greater Blade</v>
      </c>
      <c r="N73" s="3" t="str">
        <f>'Character Sheet'!AIT6</f>
        <v>Greater Blade</v>
      </c>
      <c r="O73" s="4" t="s">
        <v>790</v>
      </c>
      <c r="P73" s="4" t="s">
        <v>788</v>
      </c>
      <c r="Q73" s="4" t="e">
        <f t="shared" si="27"/>
        <v>#N/A</v>
      </c>
      <c r="R73" s="4">
        <f>IF(ISNUMBER(SEARCH("Category",N73)),"- -",IF(ISNUMBER(SEARCH("Skills",N73)),"- -",'Level-up'!C91))</f>
        <v>0</v>
      </c>
      <c r="S73" s="4" t="e">
        <f t="shared" si="34"/>
        <v>#N/A</v>
      </c>
      <c r="T73" s="4" t="e">
        <f t="shared" si="35"/>
        <v>#N/A</v>
      </c>
      <c r="U73" s="4">
        <f t="shared" ca="1" si="38"/>
        <v>8</v>
      </c>
      <c r="V73" s="4">
        <f t="shared" si="42"/>
        <v>0</v>
      </c>
      <c r="W73" s="4">
        <f t="shared" si="28"/>
        <v>0</v>
      </c>
      <c r="X73" s="4">
        <f t="shared" si="39"/>
        <v>0</v>
      </c>
      <c r="Y73" s="4">
        <f t="shared" si="43"/>
        <v>0</v>
      </c>
      <c r="Z73" s="4">
        <f t="shared" si="44"/>
        <v>0</v>
      </c>
      <c r="AA73" s="4">
        <f t="shared" si="45"/>
        <v>0</v>
      </c>
      <c r="AB73" s="4">
        <f t="shared" si="46"/>
        <v>0</v>
      </c>
      <c r="AC73" s="8"/>
      <c r="AD73" s="4"/>
      <c r="AE73" s="4"/>
      <c r="AF73" s="4" t="e">
        <f t="shared" ref="AF73:AF136" si="49">IF(ISNUMBER(SEARCH("Skills",N73)),"- -",IF(ISNUMBER(SEARCH("category",N73)),"- -",SUM(T73:Y73)+SUM(AA73:AE73)&amp;IF(AA73=Z73,"","/"&amp;SUM(T73:AE73))))</f>
        <v>#N/A</v>
      </c>
      <c r="AG73" s="4"/>
      <c r="AH73" s="4">
        <f>IFERROR(VLOOKUP(M73,Calculations!$AC$2:$AD$251,2,FALSE),0)</f>
        <v>0</v>
      </c>
      <c r="AI73" s="4" t="e">
        <f>VLOOKUP(N73,$N$2:$AS$620,MATCH('Character Creation'!$Z$12,Skills!$N$1:$AS$1,0),FALSE)</f>
        <v>#N/A</v>
      </c>
      <c r="AJ73" s="4" t="e">
        <f>VLOOKUP($N73,[2]Cultures!$B$4:$M$283,MATCH(AJ$1,[2]Cultures!$B$3:$M$3,0),FALSE)</f>
        <v>#N/A</v>
      </c>
      <c r="AK73" s="4" t="e">
        <f>VLOOKUP($N73,[2]Cultures!$B$4:$M$283,MATCH(AK$1,[2]Cultures!$B$3:$M$3,0),FALSE)</f>
        <v>#N/A</v>
      </c>
      <c r="AL73" s="4" t="e">
        <f>VLOOKUP($N73,[2]Cultures!$B$4:$M$283,MATCH(AL$1,[2]Cultures!$B$3:$M$3,0),FALSE)</f>
        <v>#N/A</v>
      </c>
      <c r="AM73" s="4" t="e">
        <f>VLOOKUP($N73,[2]Cultures!$B$4:$M$283,MATCH(AM$1,[2]Cultures!$B$3:$M$3,0),FALSE)</f>
        <v>#N/A</v>
      </c>
      <c r="AN73" s="4" t="e">
        <f>VLOOKUP($N73,[2]Cultures!$B$4:$M$283,MATCH(AN$1,[2]Cultures!$B$3:$M$3,0),FALSE)</f>
        <v>#N/A</v>
      </c>
      <c r="AO73" s="4" t="e">
        <f>VLOOKUP($N73,[2]Cultures!$B$4:$M$283,MATCH(AO$1,[2]Cultures!$B$3:$M$3,0),FALSE)</f>
        <v>#N/A</v>
      </c>
      <c r="AP73" s="4" t="e">
        <f>VLOOKUP($N73,[2]Cultures!$B$4:$M$283,MATCH(AP$1,[2]Cultures!$B$3:$M$3,0),FALSE)</f>
        <v>#N/A</v>
      </c>
      <c r="AQ73" s="4" t="e">
        <f>VLOOKUP($N73,[2]Cultures!$B$4:$M$283,MATCH(AQ$1,[2]Cultures!$B$3:$M$3,0),FALSE)</f>
        <v>#N/A</v>
      </c>
      <c r="AR73" s="4" t="e">
        <f>VLOOKUP($N73,[2]Cultures!$B$4:$M$283,MATCH(AR$1,[2]Cultures!$B$3:$M$3,0),FALSE)</f>
        <v>#N/A</v>
      </c>
      <c r="AS73" s="4" t="e">
        <f>VLOOKUP($N73,[2]Cultures!$B$4:$M$283,MATCH(AS$1,[2]Cultures!$B$3:$M$3,0),FALSE)</f>
        <v>#N/A</v>
      </c>
      <c r="AT73" s="4"/>
      <c r="AU73" s="4">
        <f>IF(ISNUMBER(SEARCH(N73&amp;";",Calculations!$Q$19)),VLOOKUP(Skills!N73,Calculations!$Q$2:$T$16,4,FALSE),0)</f>
        <v>0</v>
      </c>
      <c r="AV73" s="4">
        <f>IF(ISNUMBER(SEARCH(N73&amp;";",Calculations!$Q$18)),1,0)</f>
        <v>0</v>
      </c>
      <c r="AW73" s="4">
        <f t="shared" si="47"/>
        <v>0</v>
      </c>
      <c r="AX73" s="4">
        <f>VLOOKUP($N73,$N73:$CH73,MATCH('Character Sheet'!$BJ$3,Skills!$N$1:$CH$1,0),FALSE)</f>
        <v>0</v>
      </c>
    </row>
    <row r="74" spans="1:50" x14ac:dyDescent="0.25">
      <c r="A74" s="4" t="s">
        <v>2241</v>
      </c>
      <c r="B74" s="4" t="e">
        <f t="shared" si="23"/>
        <v>#N/A</v>
      </c>
      <c r="E74" s="4"/>
      <c r="F74" s="4">
        <f t="shared" si="37"/>
        <v>0</v>
      </c>
      <c r="G74" s="4"/>
      <c r="H74" s="4" t="e">
        <f t="shared" si="40"/>
        <v>#N/A</v>
      </c>
      <c r="I74" s="4">
        <f t="shared" si="41"/>
        <v>1</v>
      </c>
      <c r="J74" s="4">
        <f t="shared" si="32"/>
        <v>0</v>
      </c>
      <c r="K74" s="4" t="e">
        <f t="shared" si="33"/>
        <v>#N/A</v>
      </c>
      <c r="M74" t="str">
        <f t="shared" si="48"/>
        <v>Melee, Chain</v>
      </c>
      <c r="N74" s="3" t="str">
        <f>'Character Sheet'!AIT7</f>
        <v>Chain</v>
      </c>
      <c r="O74" s="4" t="s">
        <v>790</v>
      </c>
      <c r="P74" s="4" t="s">
        <v>788</v>
      </c>
      <c r="Q74" s="4" t="e">
        <f t="shared" si="27"/>
        <v>#N/A</v>
      </c>
      <c r="R74" s="4">
        <f>IF(ISNUMBER(SEARCH("Category",N74)),"- -",IF(ISNUMBER(SEARCH("Skills",N74)),"- -",'Level-up'!C92))</f>
        <v>0</v>
      </c>
      <c r="S74" s="4" t="e">
        <f t="shared" si="34"/>
        <v>#N/A</v>
      </c>
      <c r="T74" s="4" t="e">
        <f t="shared" si="35"/>
        <v>#N/A</v>
      </c>
      <c r="U74" s="4">
        <f t="shared" ca="1" si="38"/>
        <v>8</v>
      </c>
      <c r="V74" s="4">
        <f t="shared" si="42"/>
        <v>0</v>
      </c>
      <c r="W74" s="4">
        <f t="shared" si="28"/>
        <v>0</v>
      </c>
      <c r="X74" s="4">
        <f t="shared" si="39"/>
        <v>0</v>
      </c>
      <c r="Y74" s="4">
        <f t="shared" si="43"/>
        <v>0</v>
      </c>
      <c r="Z74" s="4">
        <f t="shared" si="44"/>
        <v>0</v>
      </c>
      <c r="AA74" s="4">
        <f t="shared" si="45"/>
        <v>0</v>
      </c>
      <c r="AB74" s="4">
        <f t="shared" si="46"/>
        <v>0</v>
      </c>
      <c r="AC74" s="8"/>
      <c r="AD74" s="4"/>
      <c r="AE74" s="4"/>
      <c r="AF74" s="4" t="e">
        <f t="shared" si="49"/>
        <v>#N/A</v>
      </c>
      <c r="AG74" s="4"/>
      <c r="AH74" s="4">
        <f>IFERROR(VLOOKUP(M74,Calculations!$AC$2:$AD$251,2,FALSE),0)</f>
        <v>0</v>
      </c>
      <c r="AI74" s="4" t="e">
        <f>VLOOKUP(N74,$N$2:$AS$620,MATCH('Character Creation'!$Z$12,Skills!$N$1:$AS$1,0),FALSE)</f>
        <v>#N/A</v>
      </c>
      <c r="AJ74" s="4" t="e">
        <f>VLOOKUP($N74,[2]Cultures!$B$4:$M$283,MATCH(AJ$1,[2]Cultures!$B$3:$M$3,0),FALSE)</f>
        <v>#N/A</v>
      </c>
      <c r="AK74" s="4" t="e">
        <f>VLOOKUP($N74,[2]Cultures!$B$4:$M$283,MATCH(AK$1,[2]Cultures!$B$3:$M$3,0),FALSE)</f>
        <v>#N/A</v>
      </c>
      <c r="AL74" s="4" t="e">
        <f>VLOOKUP($N74,[2]Cultures!$B$4:$M$283,MATCH(AL$1,[2]Cultures!$B$3:$M$3,0),FALSE)</f>
        <v>#N/A</v>
      </c>
      <c r="AM74" s="4" t="e">
        <f>VLOOKUP($N74,[2]Cultures!$B$4:$M$283,MATCH(AM$1,[2]Cultures!$B$3:$M$3,0),FALSE)</f>
        <v>#N/A</v>
      </c>
      <c r="AN74" s="4" t="e">
        <f>VLOOKUP($N74,[2]Cultures!$B$4:$M$283,MATCH(AN$1,[2]Cultures!$B$3:$M$3,0),FALSE)</f>
        <v>#N/A</v>
      </c>
      <c r="AO74" s="4" t="e">
        <f>VLOOKUP($N74,[2]Cultures!$B$4:$M$283,MATCH(AO$1,[2]Cultures!$B$3:$M$3,0),FALSE)</f>
        <v>#N/A</v>
      </c>
      <c r="AP74" s="4" t="e">
        <f>VLOOKUP($N74,[2]Cultures!$B$4:$M$283,MATCH(AP$1,[2]Cultures!$B$3:$M$3,0),FALSE)</f>
        <v>#N/A</v>
      </c>
      <c r="AQ74" s="4" t="e">
        <f>VLOOKUP($N74,[2]Cultures!$B$4:$M$283,MATCH(AQ$1,[2]Cultures!$B$3:$M$3,0),FALSE)</f>
        <v>#N/A</v>
      </c>
      <c r="AR74" s="4" t="e">
        <f>VLOOKUP($N74,[2]Cultures!$B$4:$M$283,MATCH(AR$1,[2]Cultures!$B$3:$M$3,0),FALSE)</f>
        <v>#N/A</v>
      </c>
      <c r="AS74" s="4" t="e">
        <f>VLOOKUP($N74,[2]Cultures!$B$4:$M$283,MATCH(AS$1,[2]Cultures!$B$3:$M$3,0),FALSE)</f>
        <v>#N/A</v>
      </c>
      <c r="AT74" s="4"/>
      <c r="AU74" s="4">
        <f>IF(ISNUMBER(SEARCH(N74&amp;";",Calculations!$Q$19)),VLOOKUP(Skills!N74,Calculations!$Q$2:$T$16,4,FALSE),0)</f>
        <v>0</v>
      </c>
      <c r="AV74" s="4">
        <f>IF(ISNUMBER(SEARCH(N74&amp;";",Calculations!$Q$18)),1,0)</f>
        <v>0</v>
      </c>
      <c r="AW74" s="4">
        <f t="shared" si="47"/>
        <v>0</v>
      </c>
      <c r="AX74" s="4">
        <f>VLOOKUP($N74,$N74:$CH74,MATCH('Character Sheet'!$BJ$3,Skills!$N$1:$CH$1,0),FALSE)</f>
        <v>0</v>
      </c>
    </row>
    <row r="75" spans="1:50" x14ac:dyDescent="0.25">
      <c r="A75" s="4" t="s">
        <v>2241</v>
      </c>
      <c r="B75" s="4" t="e">
        <f t="shared" si="23"/>
        <v>#N/A</v>
      </c>
      <c r="E75" s="4"/>
      <c r="F75" s="4">
        <f t="shared" si="37"/>
        <v>0</v>
      </c>
      <c r="G75" s="4"/>
      <c r="H75" s="4" t="e">
        <f t="shared" si="40"/>
        <v>#N/A</v>
      </c>
      <c r="I75" s="4">
        <f t="shared" si="41"/>
        <v>1</v>
      </c>
      <c r="J75" s="4">
        <f t="shared" si="32"/>
        <v>0</v>
      </c>
      <c r="K75" s="4" t="e">
        <f t="shared" si="33"/>
        <v>#N/A</v>
      </c>
      <c r="M75" t="str">
        <f t="shared" si="48"/>
        <v>Melee, Greater Chain</v>
      </c>
      <c r="N75" s="3" t="str">
        <f>'Character Sheet'!AIT8</f>
        <v>Greater Chain</v>
      </c>
      <c r="O75" s="4" t="s">
        <v>790</v>
      </c>
      <c r="P75" s="4" t="s">
        <v>788</v>
      </c>
      <c r="Q75" s="4" t="e">
        <f t="shared" si="27"/>
        <v>#N/A</v>
      </c>
      <c r="R75" s="4">
        <f>IF(ISNUMBER(SEARCH("Category",N75)),"- -",IF(ISNUMBER(SEARCH("Skills",N75)),"- -",'Level-up'!C93))</f>
        <v>0</v>
      </c>
      <c r="S75" s="4" t="e">
        <f t="shared" si="34"/>
        <v>#N/A</v>
      </c>
      <c r="T75" s="4" t="e">
        <f t="shared" si="35"/>
        <v>#N/A</v>
      </c>
      <c r="U75" s="4">
        <f t="shared" ca="1" si="38"/>
        <v>8</v>
      </c>
      <c r="V75" s="4">
        <f t="shared" si="42"/>
        <v>0</v>
      </c>
      <c r="W75" s="4">
        <f t="shared" si="28"/>
        <v>0</v>
      </c>
      <c r="X75" s="4">
        <f t="shared" si="39"/>
        <v>0</v>
      </c>
      <c r="Y75" s="4">
        <f t="shared" si="43"/>
        <v>0</v>
      </c>
      <c r="Z75" s="4">
        <f t="shared" si="44"/>
        <v>0</v>
      </c>
      <c r="AA75" s="4">
        <f t="shared" si="45"/>
        <v>0</v>
      </c>
      <c r="AB75" s="4">
        <f t="shared" si="46"/>
        <v>0</v>
      </c>
      <c r="AC75" s="8"/>
      <c r="AD75" s="4"/>
      <c r="AE75" s="4"/>
      <c r="AF75" s="4" t="e">
        <f t="shared" si="49"/>
        <v>#N/A</v>
      </c>
      <c r="AG75" s="4"/>
      <c r="AH75" s="4">
        <f>IFERROR(VLOOKUP(M75,Calculations!$AC$2:$AD$251,2,FALSE),0)</f>
        <v>0</v>
      </c>
      <c r="AI75" s="4" t="e">
        <f>VLOOKUP(N75,$N$2:$AS$620,MATCH('Character Creation'!$Z$12,Skills!$N$1:$AS$1,0),FALSE)</f>
        <v>#N/A</v>
      </c>
      <c r="AJ75" s="4" t="e">
        <f>VLOOKUP($N75,[2]Cultures!$B$4:$M$283,MATCH(AJ$1,[2]Cultures!$B$3:$M$3,0),FALSE)</f>
        <v>#N/A</v>
      </c>
      <c r="AK75" s="4" t="e">
        <f>VLOOKUP($N75,[2]Cultures!$B$4:$M$283,MATCH(AK$1,[2]Cultures!$B$3:$M$3,0),FALSE)</f>
        <v>#N/A</v>
      </c>
      <c r="AL75" s="4" t="e">
        <f>VLOOKUP($N75,[2]Cultures!$B$4:$M$283,MATCH(AL$1,[2]Cultures!$B$3:$M$3,0),FALSE)</f>
        <v>#N/A</v>
      </c>
      <c r="AM75" s="4" t="e">
        <f>VLOOKUP($N75,[2]Cultures!$B$4:$M$283,MATCH(AM$1,[2]Cultures!$B$3:$M$3,0),FALSE)</f>
        <v>#N/A</v>
      </c>
      <c r="AN75" s="4" t="e">
        <f>VLOOKUP($N75,[2]Cultures!$B$4:$M$283,MATCH(AN$1,[2]Cultures!$B$3:$M$3,0),FALSE)</f>
        <v>#N/A</v>
      </c>
      <c r="AO75" s="4" t="e">
        <f>VLOOKUP($N75,[2]Cultures!$B$4:$M$283,MATCH(AO$1,[2]Cultures!$B$3:$M$3,0),FALSE)</f>
        <v>#N/A</v>
      </c>
      <c r="AP75" s="4" t="e">
        <f>VLOOKUP($N75,[2]Cultures!$B$4:$M$283,MATCH(AP$1,[2]Cultures!$B$3:$M$3,0),FALSE)</f>
        <v>#N/A</v>
      </c>
      <c r="AQ75" s="4" t="e">
        <f>VLOOKUP($N75,[2]Cultures!$B$4:$M$283,MATCH(AQ$1,[2]Cultures!$B$3:$M$3,0),FALSE)</f>
        <v>#N/A</v>
      </c>
      <c r="AR75" s="4" t="e">
        <f>VLOOKUP($N75,[2]Cultures!$B$4:$M$283,MATCH(AR$1,[2]Cultures!$B$3:$M$3,0),FALSE)</f>
        <v>#N/A</v>
      </c>
      <c r="AS75" s="4" t="e">
        <f>VLOOKUP($N75,[2]Cultures!$B$4:$M$283,MATCH(AS$1,[2]Cultures!$B$3:$M$3,0),FALSE)</f>
        <v>#N/A</v>
      </c>
      <c r="AT75" s="4"/>
      <c r="AU75" s="4">
        <f>IF(ISNUMBER(SEARCH(N75&amp;";",Calculations!$Q$19)),VLOOKUP(Skills!N75,Calculations!$Q$2:$T$16,4,FALSE),0)</f>
        <v>0</v>
      </c>
      <c r="AV75" s="4">
        <f>IF(ISNUMBER(SEARCH(N75&amp;";",Calculations!$Q$18)),1,0)</f>
        <v>0</v>
      </c>
      <c r="AW75" s="4">
        <f t="shared" si="47"/>
        <v>0</v>
      </c>
      <c r="AX75" s="4">
        <f>VLOOKUP($N75,$N75:$CH75,MATCH('Character Sheet'!$BJ$3,Skills!$N$1:$CH$1,0),FALSE)</f>
        <v>0</v>
      </c>
    </row>
    <row r="76" spans="1:50" x14ac:dyDescent="0.25">
      <c r="A76" s="4" t="s">
        <v>2241</v>
      </c>
      <c r="B76" s="4" t="e">
        <f t="shared" si="23"/>
        <v>#N/A</v>
      </c>
      <c r="E76" s="4"/>
      <c r="F76" s="4">
        <f t="shared" si="37"/>
        <v>0</v>
      </c>
      <c r="G76" s="4"/>
      <c r="H76" s="4" t="e">
        <f t="shared" si="40"/>
        <v>#N/A</v>
      </c>
      <c r="I76" s="4">
        <f t="shared" si="41"/>
        <v>1</v>
      </c>
      <c r="J76" s="4">
        <f t="shared" si="32"/>
        <v>0</v>
      </c>
      <c r="K76" s="4" t="e">
        <f t="shared" si="33"/>
        <v>#N/A</v>
      </c>
      <c r="M76" t="str">
        <f t="shared" si="48"/>
        <v>Melee, Hafted</v>
      </c>
      <c r="N76" s="3" t="str">
        <f>'Character Sheet'!AIT9</f>
        <v>Hafted</v>
      </c>
      <c r="O76" s="4" t="s">
        <v>790</v>
      </c>
      <c r="P76" s="4" t="s">
        <v>788</v>
      </c>
      <c r="Q76" s="4" t="e">
        <f t="shared" si="27"/>
        <v>#N/A</v>
      </c>
      <c r="R76" s="4">
        <f>IF(ISNUMBER(SEARCH("Category",N76)),"- -",IF(ISNUMBER(SEARCH("Skills",N76)),"- -",'Level-up'!C94))</f>
        <v>0</v>
      </c>
      <c r="S76" s="4" t="e">
        <f t="shared" si="34"/>
        <v>#N/A</v>
      </c>
      <c r="T76" s="4" t="e">
        <f t="shared" si="35"/>
        <v>#N/A</v>
      </c>
      <c r="U76" s="4">
        <f t="shared" ca="1" si="38"/>
        <v>8</v>
      </c>
      <c r="V76" s="4">
        <f t="shared" si="42"/>
        <v>0</v>
      </c>
      <c r="W76" s="4">
        <f t="shared" si="28"/>
        <v>0</v>
      </c>
      <c r="X76" s="4">
        <f t="shared" si="39"/>
        <v>0</v>
      </c>
      <c r="Y76" s="4">
        <f t="shared" si="43"/>
        <v>0</v>
      </c>
      <c r="Z76" s="4">
        <f t="shared" si="44"/>
        <v>0</v>
      </c>
      <c r="AA76" s="4">
        <f t="shared" si="45"/>
        <v>0</v>
      </c>
      <c r="AB76" s="4">
        <f t="shared" si="46"/>
        <v>0</v>
      </c>
      <c r="AC76" s="8"/>
      <c r="AD76" s="4"/>
      <c r="AE76" s="4"/>
      <c r="AF76" s="4" t="e">
        <f t="shared" si="49"/>
        <v>#N/A</v>
      </c>
      <c r="AG76" s="4"/>
      <c r="AH76" s="4">
        <f>IFERROR(VLOOKUP(M76,Calculations!$AC$2:$AD$251,2,FALSE),0)</f>
        <v>0</v>
      </c>
      <c r="AI76" s="4" t="e">
        <f>VLOOKUP(N76,$N$2:$AS$620,MATCH('Character Creation'!$Z$12,Skills!$N$1:$AS$1,0),FALSE)</f>
        <v>#N/A</v>
      </c>
      <c r="AJ76" s="4" t="e">
        <f>VLOOKUP($N76,[2]Cultures!$B$4:$M$283,MATCH(AJ$1,[2]Cultures!$B$3:$M$3,0),FALSE)</f>
        <v>#N/A</v>
      </c>
      <c r="AK76" s="4" t="e">
        <f>VLOOKUP($N76,[2]Cultures!$B$4:$M$283,MATCH(AK$1,[2]Cultures!$B$3:$M$3,0),FALSE)</f>
        <v>#N/A</v>
      </c>
      <c r="AL76" s="4" t="e">
        <f>VLOOKUP($N76,[2]Cultures!$B$4:$M$283,MATCH(AL$1,[2]Cultures!$B$3:$M$3,0),FALSE)</f>
        <v>#N/A</v>
      </c>
      <c r="AM76" s="4" t="e">
        <f>VLOOKUP($N76,[2]Cultures!$B$4:$M$283,MATCH(AM$1,[2]Cultures!$B$3:$M$3,0),FALSE)</f>
        <v>#N/A</v>
      </c>
      <c r="AN76" s="4" t="e">
        <f>VLOOKUP($N76,[2]Cultures!$B$4:$M$283,MATCH(AN$1,[2]Cultures!$B$3:$M$3,0),FALSE)</f>
        <v>#N/A</v>
      </c>
      <c r="AO76" s="4" t="e">
        <f>VLOOKUP($N76,[2]Cultures!$B$4:$M$283,MATCH(AO$1,[2]Cultures!$B$3:$M$3,0),FALSE)</f>
        <v>#N/A</v>
      </c>
      <c r="AP76" s="4" t="e">
        <f>VLOOKUP($N76,[2]Cultures!$B$4:$M$283,MATCH(AP$1,[2]Cultures!$B$3:$M$3,0),FALSE)</f>
        <v>#N/A</v>
      </c>
      <c r="AQ76" s="4" t="e">
        <f>VLOOKUP($N76,[2]Cultures!$B$4:$M$283,MATCH(AQ$1,[2]Cultures!$B$3:$M$3,0),FALSE)</f>
        <v>#N/A</v>
      </c>
      <c r="AR76" s="4" t="e">
        <f>VLOOKUP($N76,[2]Cultures!$B$4:$M$283,MATCH(AR$1,[2]Cultures!$B$3:$M$3,0),FALSE)</f>
        <v>#N/A</v>
      </c>
      <c r="AS76" s="4" t="e">
        <f>VLOOKUP($N76,[2]Cultures!$B$4:$M$283,MATCH(AS$1,[2]Cultures!$B$3:$M$3,0),FALSE)</f>
        <v>#N/A</v>
      </c>
      <c r="AT76" s="4"/>
      <c r="AU76" s="4">
        <f>IF(ISNUMBER(SEARCH(N76&amp;";",Calculations!$Q$19)),VLOOKUP(Skills!N76,Calculations!$Q$2:$T$16,4,FALSE),0)</f>
        <v>0</v>
      </c>
      <c r="AV76" s="4">
        <f>IF(ISNUMBER(SEARCH(N76&amp;";",Calculations!$Q$18)),1,0)</f>
        <v>0</v>
      </c>
      <c r="AW76" s="4">
        <f t="shared" si="47"/>
        <v>0</v>
      </c>
      <c r="AX76" s="4">
        <f>VLOOKUP($N76,$N76:$CH76,MATCH('Character Sheet'!$BJ$3,Skills!$N$1:$CH$1,0),FALSE)</f>
        <v>0</v>
      </c>
    </row>
    <row r="77" spans="1:50" x14ac:dyDescent="0.25">
      <c r="A77" s="4" t="s">
        <v>2241</v>
      </c>
      <c r="B77" s="4" t="e">
        <f t="shared" si="23"/>
        <v>#N/A</v>
      </c>
      <c r="E77" s="4"/>
      <c r="F77" s="4">
        <f t="shared" si="37"/>
        <v>0</v>
      </c>
      <c r="G77" s="4"/>
      <c r="H77" s="4" t="e">
        <f t="shared" si="40"/>
        <v>#N/A</v>
      </c>
      <c r="I77" s="4">
        <f t="shared" si="41"/>
        <v>1</v>
      </c>
      <c r="J77" s="4">
        <f t="shared" si="32"/>
        <v>0</v>
      </c>
      <c r="K77" s="4" t="e">
        <f t="shared" si="33"/>
        <v>#N/A</v>
      </c>
      <c r="M77" t="str">
        <f t="shared" si="48"/>
        <v>Melee, Greater Hafted</v>
      </c>
      <c r="N77" s="3" t="str">
        <f>'Character Sheet'!AIT10</f>
        <v>Greater Hafted</v>
      </c>
      <c r="O77" s="4" t="s">
        <v>790</v>
      </c>
      <c r="P77" s="4" t="s">
        <v>788</v>
      </c>
      <c r="Q77" s="4" t="e">
        <f t="shared" si="27"/>
        <v>#N/A</v>
      </c>
      <c r="R77" s="4">
        <f>IF(ISNUMBER(SEARCH("Category",N77)),"- -",IF(ISNUMBER(SEARCH("Skills",N77)),"- -",'Level-up'!C95))</f>
        <v>0</v>
      </c>
      <c r="S77" s="4" t="e">
        <f t="shared" si="34"/>
        <v>#N/A</v>
      </c>
      <c r="T77" s="4" t="e">
        <f t="shared" si="35"/>
        <v>#N/A</v>
      </c>
      <c r="U77" s="4">
        <f t="shared" ca="1" si="38"/>
        <v>8</v>
      </c>
      <c r="V77" s="4">
        <f t="shared" si="42"/>
        <v>0</v>
      </c>
      <c r="W77" s="4">
        <f t="shared" si="28"/>
        <v>0</v>
      </c>
      <c r="X77" s="4">
        <f t="shared" si="39"/>
        <v>0</v>
      </c>
      <c r="Y77" s="4">
        <f t="shared" si="43"/>
        <v>0</v>
      </c>
      <c r="Z77" s="4">
        <f t="shared" si="44"/>
        <v>0</v>
      </c>
      <c r="AA77" s="4">
        <f t="shared" si="45"/>
        <v>0</v>
      </c>
      <c r="AB77" s="4">
        <f t="shared" si="46"/>
        <v>0</v>
      </c>
      <c r="AC77" s="8"/>
      <c r="AD77" s="4"/>
      <c r="AE77" s="4"/>
      <c r="AF77" s="4" t="e">
        <f t="shared" si="49"/>
        <v>#N/A</v>
      </c>
      <c r="AG77" s="4"/>
      <c r="AH77" s="4">
        <f>IFERROR(VLOOKUP(M77,Calculations!$AC$2:$AD$251,2,FALSE),0)</f>
        <v>0</v>
      </c>
      <c r="AI77" s="4" t="e">
        <f>VLOOKUP(N77,$N$2:$AS$620,MATCH('Character Creation'!$Z$12,Skills!$N$1:$AS$1,0),FALSE)</f>
        <v>#N/A</v>
      </c>
      <c r="AJ77" s="4" t="e">
        <f>VLOOKUP($N77,[2]Cultures!$B$4:$M$283,MATCH(AJ$1,[2]Cultures!$B$3:$M$3,0),FALSE)</f>
        <v>#N/A</v>
      </c>
      <c r="AK77" s="4" t="e">
        <f>VLOOKUP($N77,[2]Cultures!$B$4:$M$283,MATCH(AK$1,[2]Cultures!$B$3:$M$3,0),FALSE)</f>
        <v>#N/A</v>
      </c>
      <c r="AL77" s="4" t="e">
        <f>VLOOKUP($N77,[2]Cultures!$B$4:$M$283,MATCH(AL$1,[2]Cultures!$B$3:$M$3,0),FALSE)</f>
        <v>#N/A</v>
      </c>
      <c r="AM77" s="4" t="e">
        <f>VLOOKUP($N77,[2]Cultures!$B$4:$M$283,MATCH(AM$1,[2]Cultures!$B$3:$M$3,0),FALSE)</f>
        <v>#N/A</v>
      </c>
      <c r="AN77" s="4" t="e">
        <f>VLOOKUP($N77,[2]Cultures!$B$4:$M$283,MATCH(AN$1,[2]Cultures!$B$3:$M$3,0),FALSE)</f>
        <v>#N/A</v>
      </c>
      <c r="AO77" s="4" t="e">
        <f>VLOOKUP($N77,[2]Cultures!$B$4:$M$283,MATCH(AO$1,[2]Cultures!$B$3:$M$3,0),FALSE)</f>
        <v>#N/A</v>
      </c>
      <c r="AP77" s="4" t="e">
        <f>VLOOKUP($N77,[2]Cultures!$B$4:$M$283,MATCH(AP$1,[2]Cultures!$B$3:$M$3,0),FALSE)</f>
        <v>#N/A</v>
      </c>
      <c r="AQ77" s="4" t="e">
        <f>VLOOKUP($N77,[2]Cultures!$B$4:$M$283,MATCH(AQ$1,[2]Cultures!$B$3:$M$3,0),FALSE)</f>
        <v>#N/A</v>
      </c>
      <c r="AR77" s="4" t="e">
        <f>VLOOKUP($N77,[2]Cultures!$B$4:$M$283,MATCH(AR$1,[2]Cultures!$B$3:$M$3,0),FALSE)</f>
        <v>#N/A</v>
      </c>
      <c r="AS77" s="4" t="e">
        <f>VLOOKUP($N77,[2]Cultures!$B$4:$M$283,MATCH(AS$1,[2]Cultures!$B$3:$M$3,0),FALSE)</f>
        <v>#N/A</v>
      </c>
      <c r="AT77" s="4"/>
      <c r="AU77" s="4">
        <f>IF(ISNUMBER(SEARCH(N77&amp;";",Calculations!$Q$19)),VLOOKUP(Skills!N77,Calculations!$Q$2:$T$16,4,FALSE),0)</f>
        <v>0</v>
      </c>
      <c r="AV77" s="4">
        <f>IF(ISNUMBER(SEARCH(N77&amp;";",Calculations!$Q$18)),1,0)</f>
        <v>0</v>
      </c>
      <c r="AW77" s="4">
        <f t="shared" si="47"/>
        <v>0</v>
      </c>
      <c r="AX77" s="4">
        <f>VLOOKUP($N77,$N77:$CH77,MATCH('Character Sheet'!$BJ$3,Skills!$N$1:$CH$1,0),FALSE)</f>
        <v>0</v>
      </c>
    </row>
    <row r="78" spans="1:50" x14ac:dyDescent="0.25">
      <c r="A78" s="4" t="s">
        <v>2241</v>
      </c>
      <c r="B78" s="4" t="e">
        <f t="shared" si="23"/>
        <v>#N/A</v>
      </c>
      <c r="E78" s="4"/>
      <c r="F78" s="4">
        <f t="shared" si="37"/>
        <v>0</v>
      </c>
      <c r="G78" s="4"/>
      <c r="H78" s="4" t="e">
        <f t="shared" si="40"/>
        <v>#N/A</v>
      </c>
      <c r="I78" s="4">
        <f t="shared" si="41"/>
        <v>1</v>
      </c>
      <c r="J78" s="4">
        <f t="shared" si="32"/>
        <v>0</v>
      </c>
      <c r="K78" s="4" t="e">
        <f t="shared" si="33"/>
        <v>#N/A</v>
      </c>
      <c r="M78" t="str">
        <f t="shared" si="48"/>
        <v>Melee, Pole-arm</v>
      </c>
      <c r="N78" s="3" t="str">
        <f>'Character Sheet'!AIT11</f>
        <v>Pole-arm</v>
      </c>
      <c r="O78" s="4" t="s">
        <v>790</v>
      </c>
      <c r="P78" s="4" t="s">
        <v>788</v>
      </c>
      <c r="Q78" s="4" t="e">
        <f t="shared" si="27"/>
        <v>#N/A</v>
      </c>
      <c r="R78" s="4">
        <f>IF(ISNUMBER(SEARCH("Category",N78)),"- -",IF(ISNUMBER(SEARCH("Skills",N78)),"- -",'Level-up'!C96))</f>
        <v>0</v>
      </c>
      <c r="S78" s="4" t="e">
        <f t="shared" si="34"/>
        <v>#N/A</v>
      </c>
      <c r="T78" s="4" t="e">
        <f t="shared" si="35"/>
        <v>#N/A</v>
      </c>
      <c r="U78" s="4">
        <f t="shared" ca="1" si="38"/>
        <v>8</v>
      </c>
      <c r="V78" s="4">
        <f t="shared" si="42"/>
        <v>0</v>
      </c>
      <c r="W78" s="4">
        <f t="shared" si="28"/>
        <v>0</v>
      </c>
      <c r="X78" s="4">
        <f t="shared" si="39"/>
        <v>0</v>
      </c>
      <c r="Y78" s="4">
        <f t="shared" si="43"/>
        <v>0</v>
      </c>
      <c r="Z78" s="4">
        <f t="shared" si="44"/>
        <v>0</v>
      </c>
      <c r="AA78" s="4">
        <f t="shared" si="45"/>
        <v>0</v>
      </c>
      <c r="AB78" s="4">
        <f t="shared" si="46"/>
        <v>0</v>
      </c>
      <c r="AC78" s="8"/>
      <c r="AD78" s="4"/>
      <c r="AE78" s="4"/>
      <c r="AF78" s="4" t="e">
        <f t="shared" si="49"/>
        <v>#N/A</v>
      </c>
      <c r="AG78" s="4"/>
      <c r="AH78" s="4">
        <f>IFERROR(VLOOKUP(M78,Calculations!$AC$2:$AD$251,2,FALSE),0)</f>
        <v>0</v>
      </c>
      <c r="AI78" s="4" t="e">
        <f>VLOOKUP(N78,$N$2:$AS$620,MATCH('Character Creation'!$Z$12,Skills!$N$1:$AS$1,0),FALSE)</f>
        <v>#N/A</v>
      </c>
      <c r="AJ78" s="4" t="e">
        <f>VLOOKUP($N78,[2]Cultures!$B$4:$M$283,MATCH(AJ$1,[2]Cultures!$B$3:$M$3,0),FALSE)</f>
        <v>#N/A</v>
      </c>
      <c r="AK78" s="4" t="e">
        <f>VLOOKUP($N78,[2]Cultures!$B$4:$M$283,MATCH(AK$1,[2]Cultures!$B$3:$M$3,0),FALSE)</f>
        <v>#N/A</v>
      </c>
      <c r="AL78" s="4" t="e">
        <f>VLOOKUP($N78,[2]Cultures!$B$4:$M$283,MATCH(AL$1,[2]Cultures!$B$3:$M$3,0),FALSE)</f>
        <v>#N/A</v>
      </c>
      <c r="AM78" s="4" t="e">
        <f>VLOOKUP($N78,[2]Cultures!$B$4:$M$283,MATCH(AM$1,[2]Cultures!$B$3:$M$3,0),FALSE)</f>
        <v>#N/A</v>
      </c>
      <c r="AN78" s="4" t="e">
        <f>VLOOKUP($N78,[2]Cultures!$B$4:$M$283,MATCH(AN$1,[2]Cultures!$B$3:$M$3,0),FALSE)</f>
        <v>#N/A</v>
      </c>
      <c r="AO78" s="4" t="e">
        <f>VLOOKUP($N78,[2]Cultures!$B$4:$M$283,MATCH(AO$1,[2]Cultures!$B$3:$M$3,0),FALSE)</f>
        <v>#N/A</v>
      </c>
      <c r="AP78" s="4" t="e">
        <f>VLOOKUP($N78,[2]Cultures!$B$4:$M$283,MATCH(AP$1,[2]Cultures!$B$3:$M$3,0),FALSE)</f>
        <v>#N/A</v>
      </c>
      <c r="AQ78" s="4" t="e">
        <f>VLOOKUP($N78,[2]Cultures!$B$4:$M$283,MATCH(AQ$1,[2]Cultures!$B$3:$M$3,0),FALSE)</f>
        <v>#N/A</v>
      </c>
      <c r="AR78" s="4" t="e">
        <f>VLOOKUP($N78,[2]Cultures!$B$4:$M$283,MATCH(AR$1,[2]Cultures!$B$3:$M$3,0),FALSE)</f>
        <v>#N/A</v>
      </c>
      <c r="AS78" s="4" t="e">
        <f>VLOOKUP($N78,[2]Cultures!$B$4:$M$283,MATCH(AS$1,[2]Cultures!$B$3:$M$3,0),FALSE)</f>
        <v>#N/A</v>
      </c>
      <c r="AT78" s="4"/>
      <c r="AU78" s="4">
        <f>IF(ISNUMBER(SEARCH(N78&amp;";",Calculations!$Q$19)),VLOOKUP(Skills!N78,Calculations!$Q$2:$T$16,4,FALSE),0)</f>
        <v>0</v>
      </c>
      <c r="AV78" s="4">
        <f>IF(ISNUMBER(SEARCH(N78&amp;";",Calculations!$Q$18)),1,0)</f>
        <v>0</v>
      </c>
      <c r="AW78" s="4">
        <f t="shared" si="47"/>
        <v>0</v>
      </c>
      <c r="AX78" s="4">
        <f>VLOOKUP($N78,$N78:$CH78,MATCH('Character Sheet'!$BJ$3,Skills!$N$1:$CH$1,0),FALSE)</f>
        <v>0</v>
      </c>
    </row>
    <row r="79" spans="1:50" x14ac:dyDescent="0.25">
      <c r="A79" s="4" t="s">
        <v>2241</v>
      </c>
      <c r="B79" s="4" t="e">
        <f t="shared" si="23"/>
        <v>#N/A</v>
      </c>
      <c r="E79" s="4"/>
      <c r="F79" s="4">
        <f t="shared" si="37"/>
        <v>0</v>
      </c>
      <c r="G79" s="4"/>
      <c r="H79" s="4" t="e">
        <f t="shared" si="40"/>
        <v>#N/A</v>
      </c>
      <c r="I79" s="4">
        <f t="shared" si="41"/>
        <v>1</v>
      </c>
      <c r="J79" s="4">
        <f t="shared" si="32"/>
        <v>0</v>
      </c>
      <c r="K79" s="4" t="e">
        <f t="shared" si="33"/>
        <v>#N/A</v>
      </c>
      <c r="M79" t="str">
        <f t="shared" si="48"/>
        <v>Melee, Shield Bash</v>
      </c>
      <c r="N79" s="3" t="str">
        <f>'Character Sheet'!AIT12</f>
        <v>Shield Bash</v>
      </c>
      <c r="O79" s="4" t="s">
        <v>790</v>
      </c>
      <c r="P79" s="4" t="s">
        <v>788</v>
      </c>
      <c r="Q79" s="4" t="e">
        <f t="shared" si="27"/>
        <v>#N/A</v>
      </c>
      <c r="R79" s="4">
        <f>IF(ISNUMBER(SEARCH("Category",N79)),"- -",IF(ISNUMBER(SEARCH("Skills",N79)),"- -",'Level-up'!C97))</f>
        <v>0</v>
      </c>
      <c r="S79" s="4" t="e">
        <f t="shared" si="34"/>
        <v>#N/A</v>
      </c>
      <c r="T79" s="4" t="e">
        <f t="shared" si="35"/>
        <v>#N/A</v>
      </c>
      <c r="U79" s="4">
        <f t="shared" ca="1" si="38"/>
        <v>8</v>
      </c>
      <c r="V79" s="4">
        <f t="shared" si="42"/>
        <v>0</v>
      </c>
      <c r="W79" s="4">
        <f t="shared" si="28"/>
        <v>0</v>
      </c>
      <c r="X79" s="4">
        <f t="shared" si="39"/>
        <v>0</v>
      </c>
      <c r="Y79" s="4">
        <f t="shared" si="43"/>
        <v>0</v>
      </c>
      <c r="Z79" s="4">
        <f t="shared" si="44"/>
        <v>0</v>
      </c>
      <c r="AA79" s="4">
        <f t="shared" si="45"/>
        <v>0</v>
      </c>
      <c r="AB79" s="4">
        <f t="shared" si="46"/>
        <v>0</v>
      </c>
      <c r="AC79" s="8"/>
      <c r="AD79" s="4"/>
      <c r="AE79" s="4"/>
      <c r="AF79" s="4" t="e">
        <f t="shared" si="49"/>
        <v>#N/A</v>
      </c>
      <c r="AG79" s="4"/>
      <c r="AH79" s="4">
        <f>IFERROR(VLOOKUP(M79,Calculations!$AC$2:$AD$251,2,FALSE),0)</f>
        <v>0</v>
      </c>
      <c r="AI79" s="4" t="e">
        <f>VLOOKUP(N79,$N$2:$AS$620,MATCH('Character Creation'!$Z$12,Skills!$N$1:$AS$1,0),FALSE)</f>
        <v>#N/A</v>
      </c>
      <c r="AJ79" s="4" t="e">
        <f>VLOOKUP($N79,[2]Cultures!$B$4:$M$283,MATCH(AJ$1,[2]Cultures!$B$3:$M$3,0),FALSE)</f>
        <v>#N/A</v>
      </c>
      <c r="AK79" s="4" t="e">
        <f>VLOOKUP($N79,[2]Cultures!$B$4:$M$283,MATCH(AK$1,[2]Cultures!$B$3:$M$3,0),FALSE)</f>
        <v>#N/A</v>
      </c>
      <c r="AL79" s="4" t="e">
        <f>VLOOKUP($N79,[2]Cultures!$B$4:$M$283,MATCH(AL$1,[2]Cultures!$B$3:$M$3,0),FALSE)</f>
        <v>#N/A</v>
      </c>
      <c r="AM79" s="4" t="e">
        <f>VLOOKUP($N79,[2]Cultures!$B$4:$M$283,MATCH(AM$1,[2]Cultures!$B$3:$M$3,0),FALSE)</f>
        <v>#N/A</v>
      </c>
      <c r="AN79" s="4" t="e">
        <f>VLOOKUP($N79,[2]Cultures!$B$4:$M$283,MATCH(AN$1,[2]Cultures!$B$3:$M$3,0),FALSE)</f>
        <v>#N/A</v>
      </c>
      <c r="AO79" s="4" t="e">
        <f>VLOOKUP($N79,[2]Cultures!$B$4:$M$283,MATCH(AO$1,[2]Cultures!$B$3:$M$3,0),FALSE)</f>
        <v>#N/A</v>
      </c>
      <c r="AP79" s="4" t="e">
        <f>VLOOKUP($N79,[2]Cultures!$B$4:$M$283,MATCH(AP$1,[2]Cultures!$B$3:$M$3,0),FALSE)</f>
        <v>#N/A</v>
      </c>
      <c r="AQ79" s="4" t="e">
        <f>VLOOKUP($N79,[2]Cultures!$B$4:$M$283,MATCH(AQ$1,[2]Cultures!$B$3:$M$3,0),FALSE)</f>
        <v>#N/A</v>
      </c>
      <c r="AR79" s="4" t="e">
        <f>VLOOKUP($N79,[2]Cultures!$B$4:$M$283,MATCH(AR$1,[2]Cultures!$B$3:$M$3,0),FALSE)</f>
        <v>#N/A</v>
      </c>
      <c r="AS79" s="4" t="e">
        <f>VLOOKUP($N79,[2]Cultures!$B$4:$M$283,MATCH(AS$1,[2]Cultures!$B$3:$M$3,0),FALSE)</f>
        <v>#N/A</v>
      </c>
      <c r="AT79" s="4"/>
      <c r="AU79" s="4">
        <f>IF(ISNUMBER(SEARCH(N79&amp;";",Calculations!$Q$19)),VLOOKUP(Skills!N79,Calculations!$Q$2:$T$16,4,FALSE),0)</f>
        <v>0</v>
      </c>
      <c r="AV79" s="4">
        <f>IF(ISNUMBER(SEARCH(N79&amp;";",Calculations!$Q$18)),1,0)</f>
        <v>0</v>
      </c>
      <c r="AW79" s="4">
        <f t="shared" si="47"/>
        <v>0</v>
      </c>
      <c r="AX79" s="4">
        <f>VLOOKUP($N79,$N79:$CH79,MATCH('Character Sheet'!$BJ$3,Skills!$N$1:$CH$1,0),FALSE)</f>
        <v>0</v>
      </c>
    </row>
    <row r="80" spans="1:50" x14ac:dyDescent="0.25">
      <c r="A80" s="4" t="s">
        <v>2241</v>
      </c>
      <c r="B80" s="4" t="e">
        <f t="shared" si="23"/>
        <v>#N/A</v>
      </c>
      <c r="E80" s="4"/>
      <c r="F80" s="4">
        <f t="shared" si="37"/>
        <v>0</v>
      </c>
      <c r="G80" s="4"/>
      <c r="H80" s="4" t="e">
        <f t="shared" si="40"/>
        <v>#N/A</v>
      </c>
      <c r="I80" s="4">
        <f t="shared" si="41"/>
        <v>1</v>
      </c>
      <c r="J80" s="4">
        <f t="shared" si="32"/>
        <v>0</v>
      </c>
      <c r="K80" s="4" t="e">
        <f t="shared" si="33"/>
        <v>#N/A</v>
      </c>
      <c r="M80" t="str">
        <f t="shared" si="48"/>
        <v>Melee, Net</v>
      </c>
      <c r="N80" s="3" t="str">
        <f>'Character Sheet'!AIT13</f>
        <v>Net</v>
      </c>
      <c r="O80" s="4" t="s">
        <v>790</v>
      </c>
      <c r="P80" s="4" t="s">
        <v>788</v>
      </c>
      <c r="Q80" s="4" t="e">
        <f t="shared" si="27"/>
        <v>#N/A</v>
      </c>
      <c r="R80" s="4">
        <f>IF(ISNUMBER(SEARCH("Category",N80)),"- -",IF(ISNUMBER(SEARCH("Skills",N80)),"- -",'Level-up'!C98))</f>
        <v>0</v>
      </c>
      <c r="S80" s="4" t="e">
        <f t="shared" si="34"/>
        <v>#N/A</v>
      </c>
      <c r="T80" s="4" t="e">
        <f t="shared" si="35"/>
        <v>#N/A</v>
      </c>
      <c r="U80" s="4">
        <f t="shared" ca="1" si="38"/>
        <v>8</v>
      </c>
      <c r="V80" s="4">
        <f t="shared" si="42"/>
        <v>0</v>
      </c>
      <c r="W80" s="4">
        <f t="shared" si="28"/>
        <v>0</v>
      </c>
      <c r="X80" s="4">
        <f t="shared" si="39"/>
        <v>0</v>
      </c>
      <c r="Y80" s="4">
        <f t="shared" si="43"/>
        <v>0</v>
      </c>
      <c r="Z80" s="4">
        <f t="shared" si="44"/>
        <v>0</v>
      </c>
      <c r="AA80" s="4">
        <f t="shared" si="45"/>
        <v>0</v>
      </c>
      <c r="AB80" s="4">
        <f t="shared" si="46"/>
        <v>0</v>
      </c>
      <c r="AC80" s="8"/>
      <c r="AD80" s="4"/>
      <c r="AE80" s="4"/>
      <c r="AF80" s="4" t="e">
        <f t="shared" si="49"/>
        <v>#N/A</v>
      </c>
      <c r="AG80" s="4"/>
      <c r="AH80" s="4">
        <f>IFERROR(VLOOKUP(M80,Calculations!$AC$2:$AD$251,2,FALSE),0)</f>
        <v>0</v>
      </c>
      <c r="AI80" s="4" t="e">
        <f>VLOOKUP(N80,$N$2:$AS$620,MATCH('Character Creation'!$Z$12,Skills!$N$1:$AS$1,0),FALSE)</f>
        <v>#N/A</v>
      </c>
      <c r="AJ80" s="4" t="e">
        <f>VLOOKUP($N80,[2]Cultures!$B$4:$M$283,MATCH(AJ$1,[2]Cultures!$B$3:$M$3,0),FALSE)</f>
        <v>#N/A</v>
      </c>
      <c r="AK80" s="4" t="e">
        <f>VLOOKUP($N80,[2]Cultures!$B$4:$M$283,MATCH(AK$1,[2]Cultures!$B$3:$M$3,0),FALSE)</f>
        <v>#N/A</v>
      </c>
      <c r="AL80" s="4" t="e">
        <f>VLOOKUP($N80,[2]Cultures!$B$4:$M$283,MATCH(AL$1,[2]Cultures!$B$3:$M$3,0),FALSE)</f>
        <v>#N/A</v>
      </c>
      <c r="AM80" s="4" t="e">
        <f>VLOOKUP($N80,[2]Cultures!$B$4:$M$283,MATCH(AM$1,[2]Cultures!$B$3:$M$3,0),FALSE)</f>
        <v>#N/A</v>
      </c>
      <c r="AN80" s="4" t="e">
        <f>VLOOKUP($N80,[2]Cultures!$B$4:$M$283,MATCH(AN$1,[2]Cultures!$B$3:$M$3,0),FALSE)</f>
        <v>#N/A</v>
      </c>
      <c r="AO80" s="4" t="e">
        <f>VLOOKUP($N80,[2]Cultures!$B$4:$M$283,MATCH(AO$1,[2]Cultures!$B$3:$M$3,0),FALSE)</f>
        <v>#N/A</v>
      </c>
      <c r="AP80" s="4" t="e">
        <f>VLOOKUP($N80,[2]Cultures!$B$4:$M$283,MATCH(AP$1,[2]Cultures!$B$3:$M$3,0),FALSE)</f>
        <v>#N/A</v>
      </c>
      <c r="AQ80" s="4" t="e">
        <f>VLOOKUP($N80,[2]Cultures!$B$4:$M$283,MATCH(AQ$1,[2]Cultures!$B$3:$M$3,0),FALSE)</f>
        <v>#N/A</v>
      </c>
      <c r="AR80" s="4" t="e">
        <f>VLOOKUP($N80,[2]Cultures!$B$4:$M$283,MATCH(AR$1,[2]Cultures!$B$3:$M$3,0),FALSE)</f>
        <v>#N/A</v>
      </c>
      <c r="AS80" s="4" t="e">
        <f>VLOOKUP($N80,[2]Cultures!$B$4:$M$283,MATCH(AS$1,[2]Cultures!$B$3:$M$3,0),FALSE)</f>
        <v>#N/A</v>
      </c>
      <c r="AT80" s="4"/>
      <c r="AU80" s="4">
        <f>IF(ISNUMBER(SEARCH(N80&amp;";",Calculations!$Q$19)),VLOOKUP(Skills!N80,Calculations!$Q$2:$T$16,4,FALSE),0)</f>
        <v>0</v>
      </c>
      <c r="AV80" s="4">
        <f>IF(ISNUMBER(SEARCH(N80&amp;";",Calculations!$Q$18)),1,0)</f>
        <v>0</v>
      </c>
      <c r="AW80" s="4">
        <f t="shared" si="47"/>
        <v>0</v>
      </c>
      <c r="AX80" s="4">
        <f>VLOOKUP($N80,$N80:$CH80,MATCH('Character Sheet'!$BJ$3,Skills!$N$1:$CH$1,0),FALSE)</f>
        <v>0</v>
      </c>
    </row>
    <row r="81" spans="1:50" x14ac:dyDescent="0.25">
      <c r="A81" s="4" t="s">
        <v>2241</v>
      </c>
      <c r="B81" s="4" t="e">
        <f t="shared" si="23"/>
        <v>#N/A</v>
      </c>
      <c r="E81" s="4"/>
      <c r="F81" s="4">
        <f t="shared" si="37"/>
        <v>0</v>
      </c>
      <c r="G81" s="4"/>
      <c r="H81" s="4" t="e">
        <f t="shared" si="40"/>
        <v>#N/A</v>
      </c>
      <c r="I81" s="4">
        <f t="shared" si="41"/>
        <v>1</v>
      </c>
      <c r="J81" s="4">
        <f t="shared" si="32"/>
        <v>0</v>
      </c>
      <c r="K81" s="4" t="e">
        <f t="shared" si="33"/>
        <v>#N/A</v>
      </c>
      <c r="M81" t="str">
        <f t="shared" si="48"/>
        <v>Melee, Rock</v>
      </c>
      <c r="N81" s="3" t="str">
        <f>'Character Sheet'!AIT14</f>
        <v>Rock</v>
      </c>
      <c r="O81" s="4" t="s">
        <v>790</v>
      </c>
      <c r="P81" s="4" t="s">
        <v>788</v>
      </c>
      <c r="Q81" s="4" t="e">
        <f t="shared" si="27"/>
        <v>#N/A</v>
      </c>
      <c r="R81" s="4">
        <f>IF(ISNUMBER(SEARCH("Category",N81)),"- -",IF(ISNUMBER(SEARCH("Skills",N81)),"- -",'Level-up'!C99))</f>
        <v>0</v>
      </c>
      <c r="S81" s="4" t="e">
        <f t="shared" si="34"/>
        <v>#N/A</v>
      </c>
      <c r="T81" s="4" t="e">
        <f t="shared" si="35"/>
        <v>#N/A</v>
      </c>
      <c r="U81" s="4">
        <f t="shared" ca="1" si="38"/>
        <v>8</v>
      </c>
      <c r="V81" s="4">
        <f t="shared" si="42"/>
        <v>0</v>
      </c>
      <c r="W81" s="4">
        <f t="shared" si="28"/>
        <v>0</v>
      </c>
      <c r="X81" s="4">
        <f t="shared" si="39"/>
        <v>0</v>
      </c>
      <c r="Y81" s="4">
        <f t="shared" si="43"/>
        <v>0</v>
      </c>
      <c r="Z81" s="4">
        <f t="shared" si="44"/>
        <v>0</v>
      </c>
      <c r="AA81" s="4">
        <f t="shared" si="45"/>
        <v>0</v>
      </c>
      <c r="AB81" s="4">
        <f t="shared" si="46"/>
        <v>0</v>
      </c>
      <c r="AC81" s="8"/>
      <c r="AD81" s="4"/>
      <c r="AE81" s="4"/>
      <c r="AF81" s="4" t="e">
        <f t="shared" si="49"/>
        <v>#N/A</v>
      </c>
      <c r="AG81" s="4"/>
      <c r="AH81" s="4">
        <f>IFERROR(VLOOKUP(M81,Calculations!$AC$2:$AD$251,2,FALSE),0)</f>
        <v>0</v>
      </c>
      <c r="AI81" s="4" t="e">
        <f>VLOOKUP(N81,$N$2:$AS$620,MATCH('Character Creation'!$Z$12,Skills!$N$1:$AS$1,0),FALSE)</f>
        <v>#N/A</v>
      </c>
      <c r="AJ81" s="4" t="e">
        <f>VLOOKUP($N81,[2]Cultures!$B$4:$M$283,MATCH(AJ$1,[2]Cultures!$B$3:$M$3,0),FALSE)</f>
        <v>#N/A</v>
      </c>
      <c r="AK81" s="4" t="e">
        <f>VLOOKUP($N81,[2]Cultures!$B$4:$M$283,MATCH(AK$1,[2]Cultures!$B$3:$M$3,0),FALSE)</f>
        <v>#N/A</v>
      </c>
      <c r="AL81" s="4" t="e">
        <f>VLOOKUP($N81,[2]Cultures!$B$4:$M$283,MATCH(AL$1,[2]Cultures!$B$3:$M$3,0),FALSE)</f>
        <v>#N/A</v>
      </c>
      <c r="AM81" s="4" t="e">
        <f>VLOOKUP($N81,[2]Cultures!$B$4:$M$283,MATCH(AM$1,[2]Cultures!$B$3:$M$3,0),FALSE)</f>
        <v>#N/A</v>
      </c>
      <c r="AN81" s="4" t="e">
        <f>VLOOKUP($N81,[2]Cultures!$B$4:$M$283,MATCH(AN$1,[2]Cultures!$B$3:$M$3,0),FALSE)</f>
        <v>#N/A</v>
      </c>
      <c r="AO81" s="4" t="e">
        <f>VLOOKUP($N81,[2]Cultures!$B$4:$M$283,MATCH(AO$1,[2]Cultures!$B$3:$M$3,0),FALSE)</f>
        <v>#N/A</v>
      </c>
      <c r="AP81" s="4" t="e">
        <f>VLOOKUP($N81,[2]Cultures!$B$4:$M$283,MATCH(AP$1,[2]Cultures!$B$3:$M$3,0),FALSE)</f>
        <v>#N/A</v>
      </c>
      <c r="AQ81" s="4" t="e">
        <f>VLOOKUP($N81,[2]Cultures!$B$4:$M$283,MATCH(AQ$1,[2]Cultures!$B$3:$M$3,0),FALSE)</f>
        <v>#N/A</v>
      </c>
      <c r="AR81" s="4" t="e">
        <f>VLOOKUP($N81,[2]Cultures!$B$4:$M$283,MATCH(AR$1,[2]Cultures!$B$3:$M$3,0),FALSE)</f>
        <v>#N/A</v>
      </c>
      <c r="AS81" s="4" t="e">
        <f>VLOOKUP($N81,[2]Cultures!$B$4:$M$283,MATCH(AS$1,[2]Cultures!$B$3:$M$3,0),FALSE)</f>
        <v>#N/A</v>
      </c>
      <c r="AT81" s="4"/>
      <c r="AU81" s="4">
        <f>IF(ISNUMBER(SEARCH(N81&amp;";",Calculations!$Q$19)),VLOOKUP(Skills!N81,Calculations!$Q$2:$T$16,4,FALSE),0)</f>
        <v>0</v>
      </c>
      <c r="AV81" s="4">
        <f>IF(ISNUMBER(SEARCH(N81&amp;";",Calculations!$Q$18)),1,0)</f>
        <v>0</v>
      </c>
      <c r="AW81" s="4">
        <f t="shared" si="47"/>
        <v>0</v>
      </c>
      <c r="AX81" s="4">
        <f>VLOOKUP($N81,$N81:$CH81,MATCH('Character Sheet'!$BJ$3,Skills!$N$1:$CH$1,0),FALSE)</f>
        <v>0</v>
      </c>
    </row>
    <row r="82" spans="1:50" x14ac:dyDescent="0.25">
      <c r="A82" s="4" t="s">
        <v>2241</v>
      </c>
      <c r="B82" s="4" t="e">
        <f t="shared" si="23"/>
        <v>#N/A</v>
      </c>
      <c r="E82" s="4"/>
      <c r="F82" s="4">
        <f t="shared" si="37"/>
        <v>0</v>
      </c>
      <c r="G82" s="4"/>
      <c r="H82" s="4" t="e">
        <f t="shared" si="40"/>
        <v>#N/A</v>
      </c>
      <c r="I82" s="4">
        <f t="shared" si="41"/>
        <v>1</v>
      </c>
      <c r="J82" s="4">
        <f t="shared" si="32"/>
        <v>0</v>
      </c>
      <c r="K82" s="4" t="e">
        <f t="shared" si="33"/>
        <v>#N/A</v>
      </c>
      <c r="M82" t="str">
        <f t="shared" si="48"/>
        <v>Melee, Whip</v>
      </c>
      <c r="N82" s="3" t="str">
        <f>'Character Sheet'!AIT15</f>
        <v>Whip</v>
      </c>
      <c r="O82" s="4" t="s">
        <v>790</v>
      </c>
      <c r="P82" s="4" t="s">
        <v>788</v>
      </c>
      <c r="Q82" s="4" t="e">
        <f t="shared" si="27"/>
        <v>#N/A</v>
      </c>
      <c r="R82" s="4">
        <f>IF(ISNUMBER(SEARCH("Category",N82)),"- -",IF(ISNUMBER(SEARCH("Skills",N82)),"- -",'Level-up'!C100))</f>
        <v>0</v>
      </c>
      <c r="S82" s="4" t="e">
        <f t="shared" si="34"/>
        <v>#N/A</v>
      </c>
      <c r="T82" s="4" t="e">
        <f t="shared" si="35"/>
        <v>#N/A</v>
      </c>
      <c r="U82" s="4">
        <f t="shared" ca="1" si="38"/>
        <v>8</v>
      </c>
      <c r="V82" s="4">
        <f t="shared" si="42"/>
        <v>0</v>
      </c>
      <c r="W82" s="4">
        <f t="shared" si="28"/>
        <v>0</v>
      </c>
      <c r="X82" s="4">
        <f t="shared" si="39"/>
        <v>0</v>
      </c>
      <c r="Y82" s="4">
        <f t="shared" si="43"/>
        <v>0</v>
      </c>
      <c r="Z82" s="4">
        <f t="shared" si="44"/>
        <v>0</v>
      </c>
      <c r="AA82" s="4">
        <f t="shared" si="45"/>
        <v>0</v>
      </c>
      <c r="AB82" s="4">
        <f t="shared" si="46"/>
        <v>0</v>
      </c>
      <c r="AC82" s="8"/>
      <c r="AD82" s="4"/>
      <c r="AE82" s="4"/>
      <c r="AF82" s="4" t="e">
        <f t="shared" si="49"/>
        <v>#N/A</v>
      </c>
      <c r="AG82" s="4"/>
      <c r="AH82" s="4">
        <f>IFERROR(VLOOKUP(M82,Calculations!$AC$2:$AD$251,2,FALSE),0)</f>
        <v>0</v>
      </c>
      <c r="AI82" s="4" t="e">
        <f>VLOOKUP(N82,$N$2:$AS$620,MATCH('Character Creation'!$Z$12,Skills!$N$1:$AS$1,0),FALSE)</f>
        <v>#N/A</v>
      </c>
      <c r="AJ82" s="4" t="e">
        <f>VLOOKUP($N82,[2]Cultures!$B$4:$M$283,MATCH(AJ$1,[2]Cultures!$B$3:$M$3,0),FALSE)</f>
        <v>#N/A</v>
      </c>
      <c r="AK82" s="4" t="e">
        <f>VLOOKUP($N82,[2]Cultures!$B$4:$M$283,MATCH(AK$1,[2]Cultures!$B$3:$M$3,0),FALSE)</f>
        <v>#N/A</v>
      </c>
      <c r="AL82" s="4" t="e">
        <f>VLOOKUP($N82,[2]Cultures!$B$4:$M$283,MATCH(AL$1,[2]Cultures!$B$3:$M$3,0),FALSE)</f>
        <v>#N/A</v>
      </c>
      <c r="AM82" s="4" t="e">
        <f>VLOOKUP($N82,[2]Cultures!$B$4:$M$283,MATCH(AM$1,[2]Cultures!$B$3:$M$3,0),FALSE)</f>
        <v>#N/A</v>
      </c>
      <c r="AN82" s="4" t="e">
        <f>VLOOKUP($N82,[2]Cultures!$B$4:$M$283,MATCH(AN$1,[2]Cultures!$B$3:$M$3,0),FALSE)</f>
        <v>#N/A</v>
      </c>
      <c r="AO82" s="4" t="e">
        <f>VLOOKUP($N82,[2]Cultures!$B$4:$M$283,MATCH(AO$1,[2]Cultures!$B$3:$M$3,0),FALSE)</f>
        <v>#N/A</v>
      </c>
      <c r="AP82" s="4" t="e">
        <f>VLOOKUP($N82,[2]Cultures!$B$4:$M$283,MATCH(AP$1,[2]Cultures!$B$3:$M$3,0),FALSE)</f>
        <v>#N/A</v>
      </c>
      <c r="AQ82" s="4" t="e">
        <f>VLOOKUP($N82,[2]Cultures!$B$4:$M$283,MATCH(AQ$1,[2]Cultures!$B$3:$M$3,0),FALSE)</f>
        <v>#N/A</v>
      </c>
      <c r="AR82" s="4" t="e">
        <f>VLOOKUP($N82,[2]Cultures!$B$4:$M$283,MATCH(AR$1,[2]Cultures!$B$3:$M$3,0),FALSE)</f>
        <v>#N/A</v>
      </c>
      <c r="AS82" s="4" t="e">
        <f>VLOOKUP($N82,[2]Cultures!$B$4:$M$283,MATCH(AS$1,[2]Cultures!$B$3:$M$3,0),FALSE)</f>
        <v>#N/A</v>
      </c>
      <c r="AT82" s="4"/>
      <c r="AU82" s="4">
        <f>IF(ISNUMBER(SEARCH(N82&amp;";",Calculations!$Q$19)),VLOOKUP(Skills!N82,Calculations!$Q$2:$T$16,4,FALSE),0)</f>
        <v>0</v>
      </c>
      <c r="AV82" s="4">
        <f>IF(ISNUMBER(SEARCH(N82&amp;";",Calculations!$Q$18)),1,0)</f>
        <v>0</v>
      </c>
      <c r="AW82" s="4">
        <f t="shared" si="47"/>
        <v>0</v>
      </c>
      <c r="AX82" s="4">
        <f>VLOOKUP($N82,$N82:$CH82,MATCH('Character Sheet'!$BJ$3,Skills!$N$1:$CH$1,0),FALSE)</f>
        <v>0</v>
      </c>
    </row>
    <row r="83" spans="1:50" x14ac:dyDescent="0.25">
      <c r="B83" s="4" t="e">
        <f t="shared" si="23"/>
        <v>#N/A</v>
      </c>
      <c r="E83" s="4"/>
      <c r="F83" s="4">
        <f t="shared" si="37"/>
        <v>0</v>
      </c>
      <c r="G83" s="4"/>
      <c r="H83" s="4" t="e">
        <f t="shared" si="40"/>
        <v>#N/A</v>
      </c>
      <c r="I83" s="4" t="e">
        <f>IF($J$84=1,1,0)</f>
        <v>#N/A</v>
      </c>
      <c r="J83" s="4">
        <f t="shared" si="32"/>
        <v>0</v>
      </c>
      <c r="K83" s="4" t="e">
        <f t="shared" si="33"/>
        <v>#N/A</v>
      </c>
      <c r="N83" s="3" t="s">
        <v>631</v>
      </c>
      <c r="O83" s="6" t="s">
        <v>782</v>
      </c>
      <c r="P83" s="6" t="s">
        <v>782</v>
      </c>
      <c r="Q83" s="4" t="str">
        <f t="shared" si="27"/>
        <v>- -</v>
      </c>
      <c r="R83" s="4" t="str">
        <f>IF(ISNUMBER(SEARCH("Category",N83)),"- -",IF(ISNUMBER(SEARCH("Skills",N83)),"- -",'Level-up'!C101))</f>
        <v>- -</v>
      </c>
      <c r="S83" s="4" t="str">
        <f t="shared" si="34"/>
        <v>- -</v>
      </c>
      <c r="T83" s="4" t="str">
        <f t="shared" si="35"/>
        <v>- -</v>
      </c>
      <c r="U83" s="4" t="str">
        <f t="shared" ca="1" si="38"/>
        <v>- -</v>
      </c>
      <c r="V83" s="4" t="str">
        <f t="shared" si="42"/>
        <v>- -</v>
      </c>
      <c r="W83" s="4" t="str">
        <f t="shared" si="28"/>
        <v>- -</v>
      </c>
      <c r="X83" s="4" t="str">
        <f t="shared" si="39"/>
        <v>- -</v>
      </c>
      <c r="Y83" s="4" t="str">
        <f t="shared" si="43"/>
        <v>- -</v>
      </c>
      <c r="Z83" s="4" t="str">
        <f t="shared" si="44"/>
        <v>- -</v>
      </c>
      <c r="AA83" s="4" t="str">
        <f t="shared" si="45"/>
        <v>- -</v>
      </c>
      <c r="AB83" s="4" t="str">
        <f t="shared" si="46"/>
        <v>- -</v>
      </c>
      <c r="AC83" s="8"/>
      <c r="AD83" s="4"/>
      <c r="AE83" s="4"/>
      <c r="AF83" s="4" t="str">
        <f t="shared" si="49"/>
        <v>- -</v>
      </c>
      <c r="AG83" s="4"/>
      <c r="AH83" s="4">
        <f>IFERROR(VLOOKUP(M83,Calculations!$AC$2:$AD$251,2,FALSE),0)</f>
        <v>0</v>
      </c>
      <c r="AI83" s="4" t="e">
        <f>VLOOKUP(N83,$N$2:$AS$620,MATCH('Character Creation'!$Z$12,Skills!$N$1:$AS$1,0),FALSE)</f>
        <v>#N/A</v>
      </c>
      <c r="AJ83" s="4" t="e">
        <f>VLOOKUP($N83,[2]Cultures!$B$4:$M$283,MATCH(AJ$1,[2]Cultures!$B$3:$M$3,0),FALSE)</f>
        <v>#N/A</v>
      </c>
      <c r="AK83" s="4" t="e">
        <f>VLOOKUP($N83,[2]Cultures!$B$4:$M$283,MATCH(AK$1,[2]Cultures!$B$3:$M$3,0),FALSE)</f>
        <v>#N/A</v>
      </c>
      <c r="AL83" s="4" t="e">
        <f>VLOOKUP($N83,[2]Cultures!$B$4:$M$283,MATCH(AL$1,[2]Cultures!$B$3:$M$3,0),FALSE)</f>
        <v>#N/A</v>
      </c>
      <c r="AM83" s="4" t="e">
        <f>VLOOKUP($N83,[2]Cultures!$B$4:$M$283,MATCH(AM$1,[2]Cultures!$B$3:$M$3,0),FALSE)</f>
        <v>#N/A</v>
      </c>
      <c r="AN83" s="4" t="e">
        <f>VLOOKUP($N83,[2]Cultures!$B$4:$M$283,MATCH(AN$1,[2]Cultures!$B$3:$M$3,0),FALSE)</f>
        <v>#N/A</v>
      </c>
      <c r="AO83" s="4" t="e">
        <f>VLOOKUP($N83,[2]Cultures!$B$4:$M$283,MATCH(AO$1,[2]Cultures!$B$3:$M$3,0),FALSE)</f>
        <v>#N/A</v>
      </c>
      <c r="AP83" s="4" t="e">
        <f>VLOOKUP($N83,[2]Cultures!$B$4:$M$283,MATCH(AP$1,[2]Cultures!$B$3:$M$3,0),FALSE)</f>
        <v>#N/A</v>
      </c>
      <c r="AQ83" s="4" t="e">
        <f>VLOOKUP($N83,[2]Cultures!$B$4:$M$283,MATCH(AQ$1,[2]Cultures!$B$3:$M$3,0),FALSE)</f>
        <v>#N/A</v>
      </c>
      <c r="AR83" s="4" t="e">
        <f>VLOOKUP($N83,[2]Cultures!$B$4:$M$283,MATCH(AR$1,[2]Cultures!$B$3:$M$3,0),FALSE)</f>
        <v>#N/A</v>
      </c>
      <c r="AS83" s="4" t="e">
        <f>VLOOKUP($N83,[2]Cultures!$B$4:$M$283,MATCH(AS$1,[2]Cultures!$B$3:$M$3,0),FALSE)</f>
        <v>#N/A</v>
      </c>
      <c r="AT83" s="4"/>
      <c r="AU83" s="4">
        <f>IF(ISNUMBER(SEARCH(N83&amp;";",Calculations!$Q$19)),VLOOKUP(Skills!N83,Calculations!$Q$2:$T$16,4,FALSE),0)</f>
        <v>0</v>
      </c>
      <c r="AV83" s="4">
        <f>IF(ISNUMBER(SEARCH(N83&amp;";",Calculations!$Q$18)),1,0)</f>
        <v>0</v>
      </c>
      <c r="AW83" s="4"/>
      <c r="AX83" s="4">
        <f>VLOOKUP($N83,$N83:$CH83,MATCH('Character Sheet'!$BJ$3,Skills!$N$1:$CH$1,0),FALSE)</f>
        <v>0</v>
      </c>
    </row>
    <row r="84" spans="1:50" x14ac:dyDescent="0.25">
      <c r="B84" s="4" t="e">
        <f t="shared" si="23"/>
        <v>#N/A</v>
      </c>
      <c r="E84" s="4"/>
      <c r="F84" s="4">
        <f t="shared" si="37"/>
        <v>0</v>
      </c>
      <c r="G84" s="4"/>
      <c r="H84" s="4" t="e">
        <f t="shared" si="40"/>
        <v>#N/A</v>
      </c>
      <c r="I84" s="4">
        <v>0</v>
      </c>
      <c r="J84" s="4" t="e">
        <f t="shared" si="32"/>
        <v>#N/A</v>
      </c>
      <c r="K84" s="4" t="e">
        <f t="shared" si="33"/>
        <v>#N/A</v>
      </c>
      <c r="N84" s="3" t="s">
        <v>632</v>
      </c>
      <c r="O84" s="6" t="s">
        <v>782</v>
      </c>
      <c r="P84" s="6" t="s">
        <v>782</v>
      </c>
      <c r="Q84" s="4" t="str">
        <f t="shared" si="27"/>
        <v>- -</v>
      </c>
      <c r="R84" s="4" t="str">
        <f>IF(ISNUMBER(SEARCH("Category",N84)),"- -",IF(ISNUMBER(SEARCH("Skills",N84)),"- -",'Level-up'!C102))</f>
        <v>- -</v>
      </c>
      <c r="S84" s="4" t="str">
        <f t="shared" si="34"/>
        <v>- -</v>
      </c>
      <c r="T84" s="4" t="str">
        <f t="shared" si="35"/>
        <v>- -</v>
      </c>
      <c r="U84" s="4" t="str">
        <f t="shared" ca="1" si="38"/>
        <v>- -</v>
      </c>
      <c r="V84" s="4" t="str">
        <f t="shared" si="42"/>
        <v>- -</v>
      </c>
      <c r="W84" s="4" t="str">
        <f t="shared" si="28"/>
        <v>- -</v>
      </c>
      <c r="X84" s="4" t="str">
        <f t="shared" si="39"/>
        <v>- -</v>
      </c>
      <c r="Y84" s="4" t="str">
        <f t="shared" si="43"/>
        <v>- -</v>
      </c>
      <c r="Z84" s="4" t="str">
        <f t="shared" si="44"/>
        <v>- -</v>
      </c>
      <c r="AA84" s="4" t="str">
        <f t="shared" si="45"/>
        <v>- -</v>
      </c>
      <c r="AB84" s="4" t="str">
        <f t="shared" si="46"/>
        <v>- -</v>
      </c>
      <c r="AC84" s="8"/>
      <c r="AD84" s="4"/>
      <c r="AE84" s="4"/>
      <c r="AF84" s="4" t="str">
        <f t="shared" si="49"/>
        <v>- -</v>
      </c>
      <c r="AG84" s="4"/>
      <c r="AH84" s="4">
        <f>IFERROR(VLOOKUP(M84,Calculations!$AC$2:$AD$251,2,FALSE),0)</f>
        <v>0</v>
      </c>
      <c r="AI84" s="4" t="e">
        <f>VLOOKUP(N84,$N$2:$AS$620,MATCH('Character Creation'!$Z$12,Skills!$N$1:$AS$1,0),FALSE)</f>
        <v>#N/A</v>
      </c>
      <c r="AJ84" s="4" t="e">
        <f>VLOOKUP($N84,[2]Cultures!$B$4:$M$283,MATCH(AJ$1,[2]Cultures!$B$3:$M$3,0),FALSE)</f>
        <v>#N/A</v>
      </c>
      <c r="AK84" s="4" t="e">
        <f>VLOOKUP($N84,[2]Cultures!$B$4:$M$283,MATCH(AK$1,[2]Cultures!$B$3:$M$3,0),FALSE)</f>
        <v>#N/A</v>
      </c>
      <c r="AL84" s="4" t="e">
        <f>VLOOKUP($N84,[2]Cultures!$B$4:$M$283,MATCH(AL$1,[2]Cultures!$B$3:$M$3,0),FALSE)</f>
        <v>#N/A</v>
      </c>
      <c r="AM84" s="4" t="e">
        <f>VLOOKUP($N84,[2]Cultures!$B$4:$M$283,MATCH(AM$1,[2]Cultures!$B$3:$M$3,0),FALSE)</f>
        <v>#N/A</v>
      </c>
      <c r="AN84" s="4" t="e">
        <f>VLOOKUP($N84,[2]Cultures!$B$4:$M$283,MATCH(AN$1,[2]Cultures!$B$3:$M$3,0),FALSE)</f>
        <v>#N/A</v>
      </c>
      <c r="AO84" s="4" t="e">
        <f>VLOOKUP($N84,[2]Cultures!$B$4:$M$283,MATCH(AO$1,[2]Cultures!$B$3:$M$3,0),FALSE)</f>
        <v>#N/A</v>
      </c>
      <c r="AP84" s="4" t="e">
        <f>VLOOKUP($N84,[2]Cultures!$B$4:$M$283,MATCH(AP$1,[2]Cultures!$B$3:$M$3,0),FALSE)</f>
        <v>#N/A</v>
      </c>
      <c r="AQ84" s="4" t="e">
        <f>VLOOKUP($N84,[2]Cultures!$B$4:$M$283,MATCH(AQ$1,[2]Cultures!$B$3:$M$3,0),FALSE)</f>
        <v>#N/A</v>
      </c>
      <c r="AR84" s="4" t="e">
        <f>VLOOKUP($N84,[2]Cultures!$B$4:$M$283,MATCH(AR$1,[2]Cultures!$B$3:$M$3,0),FALSE)</f>
        <v>#N/A</v>
      </c>
      <c r="AS84" s="4" t="e">
        <f>VLOOKUP($N84,[2]Cultures!$B$4:$M$283,MATCH(AS$1,[2]Cultures!$B$3:$M$3,0),FALSE)</f>
        <v>#N/A</v>
      </c>
      <c r="AT84" s="4"/>
      <c r="AU84" s="4">
        <f>IF(ISNUMBER(SEARCH(N84&amp;";",Calculations!$Q$19)),VLOOKUP(Skills!N84,Calculations!$Q$2:$T$16,4,FALSE),0)</f>
        <v>0</v>
      </c>
      <c r="AV84" s="4">
        <f>IF(ISNUMBER(SEARCH(N84&amp;";",Calculations!$Q$18)),1,0)</f>
        <v>0</v>
      </c>
      <c r="AW84" s="4"/>
      <c r="AX84" s="4">
        <f>VLOOKUP($N84,$N84:$CH84,MATCH('Character Sheet'!$BJ$3,Skills!$N$1:$CH$1,0),FALSE)</f>
        <v>0</v>
      </c>
    </row>
    <row r="85" spans="1:50" x14ac:dyDescent="0.25">
      <c r="A85" s="4" t="s">
        <v>2241</v>
      </c>
      <c r="B85" s="4" t="e">
        <f t="shared" si="23"/>
        <v>#N/A</v>
      </c>
      <c r="E85" s="4"/>
      <c r="F85" s="4">
        <f t="shared" si="37"/>
        <v>0</v>
      </c>
      <c r="G85" s="4"/>
      <c r="H85" s="4" t="e">
        <f t="shared" si="40"/>
        <v>#N/A</v>
      </c>
      <c r="I85" s="4" t="e">
        <f>IF($J$84=1,1,0)</f>
        <v>#N/A</v>
      </c>
      <c r="J85" s="4">
        <f t="shared" si="32"/>
        <v>0</v>
      </c>
      <c r="K85" s="4" t="e">
        <f t="shared" si="33"/>
        <v>#N/A</v>
      </c>
      <c r="M85" t="str">
        <f>N85</f>
        <v>Shield</v>
      </c>
      <c r="N85" s="3" t="str">
        <f>'Character Sheet'!AIT19</f>
        <v>Shield</v>
      </c>
      <c r="O85" s="4" t="s">
        <v>790</v>
      </c>
      <c r="P85" s="4" t="s">
        <v>788</v>
      </c>
      <c r="Q85" s="4" t="e">
        <f t="shared" si="27"/>
        <v>#N/A</v>
      </c>
      <c r="R85" s="4">
        <f>IF(ISNUMBER(SEARCH("Category",N85)),"- -",IF(ISNUMBER(SEARCH("Skills",N85)),"- -",'Level-up'!C103))</f>
        <v>0</v>
      </c>
      <c r="S85" s="4" t="e">
        <f t="shared" si="34"/>
        <v>#N/A</v>
      </c>
      <c r="T85" s="4" t="e">
        <f t="shared" si="35"/>
        <v>#N/A</v>
      </c>
      <c r="U85" s="4">
        <f t="shared" ca="1" si="38"/>
        <v>8</v>
      </c>
      <c r="V85" s="4">
        <f>IF(ISNUMBER(SEARCH("Category",N85)),"- -",IF(ISNUMBER(SEARCH("Skills",N85)),"- -",IF(AU85&gt;0,AU85,IF($AU$83&gt;0,$AU$83,$AU$68))))</f>
        <v>0</v>
      </c>
      <c r="W85" s="4">
        <f t="shared" si="28"/>
        <v>0</v>
      </c>
      <c r="X85" s="4">
        <f t="shared" si="39"/>
        <v>0</v>
      </c>
      <c r="Y85" s="4">
        <f t="shared" si="43"/>
        <v>0</v>
      </c>
      <c r="Z85" s="4">
        <f t="shared" si="44"/>
        <v>0</v>
      </c>
      <c r="AA85" s="4">
        <f t="shared" si="45"/>
        <v>0</v>
      </c>
      <c r="AB85" s="4">
        <f t="shared" si="46"/>
        <v>0</v>
      </c>
      <c r="AC85" s="8"/>
      <c r="AD85" s="4"/>
      <c r="AE85" s="4"/>
      <c r="AF85" s="4" t="e">
        <f t="shared" si="49"/>
        <v>#N/A</v>
      </c>
      <c r="AG85" s="4"/>
      <c r="AH85" s="4">
        <f>IFERROR(VLOOKUP(M85,Calculations!$AC$2:$AD$251,2,FALSE),0)</f>
        <v>0</v>
      </c>
      <c r="AI85" s="4" t="e">
        <f>VLOOKUP(N85,$N$2:$AS$620,MATCH('Character Creation'!$Z$12,Skills!$N$1:$AS$1,0),FALSE)</f>
        <v>#N/A</v>
      </c>
      <c r="AJ85" s="4" t="e">
        <f>VLOOKUP($N85,[2]Cultures!$B$4:$M$283,MATCH(AJ$1,[2]Cultures!$B$3:$M$3,0),FALSE)</f>
        <v>#N/A</v>
      </c>
      <c r="AK85" s="4" t="e">
        <f>VLOOKUP($N85,[2]Cultures!$B$4:$M$283,MATCH(AK$1,[2]Cultures!$B$3:$M$3,0),FALSE)</f>
        <v>#N/A</v>
      </c>
      <c r="AL85" s="4" t="e">
        <f>VLOOKUP($N85,[2]Cultures!$B$4:$M$283,MATCH(AL$1,[2]Cultures!$B$3:$M$3,0),FALSE)</f>
        <v>#N/A</v>
      </c>
      <c r="AM85" s="4" t="e">
        <f>VLOOKUP($N85,[2]Cultures!$B$4:$M$283,MATCH(AM$1,[2]Cultures!$B$3:$M$3,0),FALSE)</f>
        <v>#N/A</v>
      </c>
      <c r="AN85" s="4" t="e">
        <f>VLOOKUP($N85,[2]Cultures!$B$4:$M$283,MATCH(AN$1,[2]Cultures!$B$3:$M$3,0),FALSE)</f>
        <v>#N/A</v>
      </c>
      <c r="AO85" s="4" t="e">
        <f>VLOOKUP($N85,[2]Cultures!$B$4:$M$283,MATCH(AO$1,[2]Cultures!$B$3:$M$3,0),FALSE)</f>
        <v>#N/A</v>
      </c>
      <c r="AP85" s="4" t="e">
        <f>VLOOKUP($N85,[2]Cultures!$B$4:$M$283,MATCH(AP$1,[2]Cultures!$B$3:$M$3,0),FALSE)</f>
        <v>#N/A</v>
      </c>
      <c r="AQ85" s="4" t="e">
        <f>VLOOKUP($N85,[2]Cultures!$B$4:$M$283,MATCH(AQ$1,[2]Cultures!$B$3:$M$3,0),FALSE)</f>
        <v>#N/A</v>
      </c>
      <c r="AR85" s="4" t="e">
        <f>VLOOKUP($N85,[2]Cultures!$B$4:$M$283,MATCH(AR$1,[2]Cultures!$B$3:$M$3,0),FALSE)</f>
        <v>#N/A</v>
      </c>
      <c r="AS85" s="4" t="e">
        <f>VLOOKUP($N85,[2]Cultures!$B$4:$M$283,MATCH(AS$1,[2]Cultures!$B$3:$M$3,0),FALSE)</f>
        <v>#N/A</v>
      </c>
      <c r="AT85" s="4"/>
      <c r="AU85" s="4">
        <f>IF(ISNUMBER(SEARCH(N85&amp;";",Calculations!$Q$19)),VLOOKUP(Skills!N85,Calculations!$Q$2:$T$16,4,FALSE),0)</f>
        <v>0</v>
      </c>
      <c r="AV85" s="4">
        <f>IF(ISNUMBER(SEARCH(N85&amp;";",Calculations!$Q$18)),1,0)</f>
        <v>0</v>
      </c>
      <c r="AW85" s="4">
        <f>IF($AV$68=1,1,IF($AV$83=1,1,AV85))</f>
        <v>0</v>
      </c>
      <c r="AX85" s="4">
        <f>VLOOKUP($N85,$N85:$CH85,MATCH('Character Sheet'!$BJ$3,Skills!$N$1:$CH$1,0),FALSE)</f>
        <v>0</v>
      </c>
    </row>
    <row r="86" spans="1:50" x14ac:dyDescent="0.25">
      <c r="B86" s="4" t="e">
        <f t="shared" si="23"/>
        <v>#N/A</v>
      </c>
      <c r="E86" s="4"/>
      <c r="F86" s="4">
        <f t="shared" si="37"/>
        <v>0</v>
      </c>
      <c r="G86" s="4"/>
      <c r="H86" s="4" t="e">
        <f t="shared" si="40"/>
        <v>#N/A</v>
      </c>
      <c r="I86" s="4">
        <f>IF($J$87=1,1,0)</f>
        <v>1</v>
      </c>
      <c r="J86" s="4">
        <f t="shared" si="32"/>
        <v>0</v>
      </c>
      <c r="K86" s="4">
        <f t="shared" si="33"/>
        <v>1</v>
      </c>
      <c r="N86" s="3" t="s">
        <v>633</v>
      </c>
      <c r="O86" s="6" t="s">
        <v>782</v>
      </c>
      <c r="P86" s="6" t="s">
        <v>782</v>
      </c>
      <c r="Q86" s="4" t="str">
        <f t="shared" si="27"/>
        <v>- -</v>
      </c>
      <c r="R86" s="4" t="str">
        <f>IF(ISNUMBER(SEARCH("Category",N86)),"- -",IF(ISNUMBER(SEARCH("Skills",N86)),"- -",'Level-up'!C104))</f>
        <v>- -</v>
      </c>
      <c r="S86" s="4" t="str">
        <f t="shared" si="34"/>
        <v>- -</v>
      </c>
      <c r="T86" s="4" t="str">
        <f t="shared" si="35"/>
        <v>- -</v>
      </c>
      <c r="U86" s="4" t="str">
        <f t="shared" ca="1" si="38"/>
        <v>- -</v>
      </c>
      <c r="V86" s="4" t="str">
        <f>IF(ISNUMBER(SEARCH("Category",N86)),"- -",IF(ISNUMBER(SEARCH("Skills",N86)),"- -",IF(AU86&gt;0,AU86,IF($AU$83&gt;0,$AU$83,$AU$68))))</f>
        <v>- -</v>
      </c>
      <c r="W86" s="4" t="str">
        <f t="shared" si="28"/>
        <v>- -</v>
      </c>
      <c r="X86" s="4" t="str">
        <f t="shared" si="39"/>
        <v>- -</v>
      </c>
      <c r="Y86" s="4" t="str">
        <f t="shared" si="43"/>
        <v>- -</v>
      </c>
      <c r="Z86" s="4" t="str">
        <f t="shared" si="44"/>
        <v>- -</v>
      </c>
      <c r="AA86" s="4" t="str">
        <f t="shared" si="45"/>
        <v>- -</v>
      </c>
      <c r="AB86" s="4" t="str">
        <f t="shared" si="46"/>
        <v>- -</v>
      </c>
      <c r="AC86" s="8"/>
      <c r="AD86" s="4"/>
      <c r="AE86" s="4"/>
      <c r="AF86" s="4" t="str">
        <f t="shared" si="49"/>
        <v>- -</v>
      </c>
      <c r="AG86" s="4"/>
      <c r="AH86" s="4">
        <f>IFERROR(VLOOKUP(M86,Calculations!$AC$2:$AD$251,2,FALSE),0)</f>
        <v>0</v>
      </c>
      <c r="AI86" s="4" t="e">
        <f>VLOOKUP(N86,$N$2:$AS$620,MATCH('Character Creation'!$Z$12,Skills!$N$1:$AS$1,0),FALSE)</f>
        <v>#N/A</v>
      </c>
      <c r="AJ86" s="4" t="e">
        <f>VLOOKUP($N86,[2]Cultures!$B$4:$M$283,MATCH(AJ$1,[2]Cultures!$B$3:$M$3,0),FALSE)</f>
        <v>#N/A</v>
      </c>
      <c r="AK86" s="4" t="e">
        <f>VLOOKUP($N86,[2]Cultures!$B$4:$M$283,MATCH(AK$1,[2]Cultures!$B$3:$M$3,0),FALSE)</f>
        <v>#N/A</v>
      </c>
      <c r="AL86" s="4" t="e">
        <f>VLOOKUP($N86,[2]Cultures!$B$4:$M$283,MATCH(AL$1,[2]Cultures!$B$3:$M$3,0),FALSE)</f>
        <v>#N/A</v>
      </c>
      <c r="AM86" s="4" t="e">
        <f>VLOOKUP($N86,[2]Cultures!$B$4:$M$283,MATCH(AM$1,[2]Cultures!$B$3:$M$3,0),FALSE)</f>
        <v>#N/A</v>
      </c>
      <c r="AN86" s="4" t="e">
        <f>VLOOKUP($N86,[2]Cultures!$B$4:$M$283,MATCH(AN$1,[2]Cultures!$B$3:$M$3,0),FALSE)</f>
        <v>#N/A</v>
      </c>
      <c r="AO86" s="4" t="e">
        <f>VLOOKUP($N86,[2]Cultures!$B$4:$M$283,MATCH(AO$1,[2]Cultures!$B$3:$M$3,0),FALSE)</f>
        <v>#N/A</v>
      </c>
      <c r="AP86" s="4" t="e">
        <f>VLOOKUP($N86,[2]Cultures!$B$4:$M$283,MATCH(AP$1,[2]Cultures!$B$3:$M$3,0),FALSE)</f>
        <v>#N/A</v>
      </c>
      <c r="AQ86" s="4" t="e">
        <f>VLOOKUP($N86,[2]Cultures!$B$4:$M$283,MATCH(AQ$1,[2]Cultures!$B$3:$M$3,0),FALSE)</f>
        <v>#N/A</v>
      </c>
      <c r="AR86" s="4" t="e">
        <f>VLOOKUP($N86,[2]Cultures!$B$4:$M$283,MATCH(AR$1,[2]Cultures!$B$3:$M$3,0),FALSE)</f>
        <v>#N/A</v>
      </c>
      <c r="AS86" s="4" t="e">
        <f>VLOOKUP($N86,[2]Cultures!$B$4:$M$283,MATCH(AS$1,[2]Cultures!$B$3:$M$3,0),FALSE)</f>
        <v>#N/A</v>
      </c>
      <c r="AT86" s="4"/>
      <c r="AU86" s="4">
        <f>IF(ISNUMBER(SEARCH(N86&amp;";",Calculations!$Q$19)),VLOOKUP(Skills!N86,Calculations!$Q$2:$T$16,4,FALSE),0)</f>
        <v>0</v>
      </c>
      <c r="AV86" s="4">
        <f>IF(ISNUMBER(SEARCH(N86&amp;";",Calculations!$Q$18)),1,0)</f>
        <v>1</v>
      </c>
      <c r="AW86" s="4"/>
      <c r="AX86" s="4">
        <f>VLOOKUP($N86,$N86:$CH86,MATCH('Character Sheet'!$BJ$3,Skills!$N$1:$CH$1,0),FALSE)</f>
        <v>0</v>
      </c>
    </row>
    <row r="87" spans="1:50" x14ac:dyDescent="0.25">
      <c r="B87" s="4" t="e">
        <f t="shared" si="23"/>
        <v>#N/A</v>
      </c>
      <c r="E87" s="4"/>
      <c r="F87" s="4">
        <f t="shared" si="37"/>
        <v>0</v>
      </c>
      <c r="G87" s="4"/>
      <c r="H87" s="4" t="e">
        <f t="shared" si="40"/>
        <v>#N/A</v>
      </c>
      <c r="I87" s="4">
        <v>0</v>
      </c>
      <c r="J87" s="4">
        <f t="shared" si="32"/>
        <v>1</v>
      </c>
      <c r="K87" s="4">
        <f t="shared" si="33"/>
        <v>1</v>
      </c>
      <c r="N87" s="3" t="s">
        <v>634</v>
      </c>
      <c r="O87" s="6" t="s">
        <v>782</v>
      </c>
      <c r="P87" s="6" t="s">
        <v>782</v>
      </c>
      <c r="Q87" s="4" t="str">
        <f t="shared" si="27"/>
        <v>- -</v>
      </c>
      <c r="R87" s="4" t="str">
        <f>IF(ISNUMBER(SEARCH("Category",N87)),"- -",IF(ISNUMBER(SEARCH("Skills",N87)),"- -",'Level-up'!C105))</f>
        <v>- -</v>
      </c>
      <c r="S87" s="4" t="str">
        <f t="shared" si="34"/>
        <v>- -</v>
      </c>
      <c r="T87" s="4" t="str">
        <f t="shared" si="35"/>
        <v>- -</v>
      </c>
      <c r="U87" s="4" t="str">
        <f t="shared" ca="1" si="38"/>
        <v>- -</v>
      </c>
      <c r="V87" s="4" t="str">
        <f>IF(ISNUMBER(SEARCH("Category",N87)),"- -",IF(ISNUMBER(SEARCH("Skills",N87)),"- -",IF(AU87&gt;0,AU87,IF($AU$83&gt;0,$AU$83,$AU$68))))</f>
        <v>- -</v>
      </c>
      <c r="W87" s="4" t="str">
        <f t="shared" si="28"/>
        <v>- -</v>
      </c>
      <c r="X87" s="4" t="str">
        <f t="shared" si="39"/>
        <v>- -</v>
      </c>
      <c r="Y87" s="4" t="str">
        <f t="shared" si="43"/>
        <v>- -</v>
      </c>
      <c r="Z87" s="4" t="str">
        <f t="shared" si="44"/>
        <v>- -</v>
      </c>
      <c r="AA87" s="4" t="str">
        <f t="shared" si="45"/>
        <v>- -</v>
      </c>
      <c r="AB87" s="4" t="str">
        <f t="shared" si="46"/>
        <v>- -</v>
      </c>
      <c r="AC87" s="8"/>
      <c r="AD87" s="4"/>
      <c r="AE87" s="4"/>
      <c r="AF87" s="4" t="str">
        <f t="shared" si="49"/>
        <v>- -</v>
      </c>
      <c r="AG87" s="4"/>
      <c r="AH87" s="4">
        <f>IFERROR(VLOOKUP(M87,Calculations!$AC$2:$AD$251,2,FALSE),0)</f>
        <v>0</v>
      </c>
      <c r="AI87" s="4">
        <f>VLOOKUP(N87,$N$2:$AS$620,MATCH('Character Creation'!$Z$12,Skills!$N$1:$AS$1,0),FALSE)</f>
        <v>1</v>
      </c>
      <c r="AJ87" s="4">
        <f>VLOOKUP($N87,[2]Cultures!$B$4:$M$283,MATCH(AJ$1,[2]Cultures!$B$3:$M$3,0),FALSE)</f>
        <v>1</v>
      </c>
      <c r="AK87" s="4">
        <f>VLOOKUP($N87,[2]Cultures!$B$4:$M$283,MATCH(AK$1,[2]Cultures!$B$3:$M$3,0),FALSE)</f>
        <v>1</v>
      </c>
      <c r="AL87" s="4">
        <f>VLOOKUP($N87,[2]Cultures!$B$4:$M$283,MATCH(AL$1,[2]Cultures!$B$3:$M$3,0),FALSE)</f>
        <v>1</v>
      </c>
      <c r="AM87" s="4">
        <f>VLOOKUP($N87,[2]Cultures!$B$4:$M$283,MATCH(AM$1,[2]Cultures!$B$3:$M$3,0),FALSE)</f>
        <v>0</v>
      </c>
      <c r="AN87" s="4">
        <f>VLOOKUP($N87,[2]Cultures!$B$4:$M$283,MATCH(AN$1,[2]Cultures!$B$3:$M$3,0),FALSE)</f>
        <v>1</v>
      </c>
      <c r="AO87" s="4">
        <f>VLOOKUP($N87,[2]Cultures!$B$4:$M$283,MATCH(AO$1,[2]Cultures!$B$3:$M$3,0),FALSE)</f>
        <v>1</v>
      </c>
      <c r="AP87" s="4">
        <f>VLOOKUP($N87,[2]Cultures!$B$4:$M$283,MATCH(AP$1,[2]Cultures!$B$3:$M$3,0),FALSE)</f>
        <v>1</v>
      </c>
      <c r="AQ87" s="4">
        <f>VLOOKUP($N87,[2]Cultures!$B$4:$M$283,MATCH(AQ$1,[2]Cultures!$B$3:$M$3,0),FALSE)</f>
        <v>1</v>
      </c>
      <c r="AR87" s="4">
        <f>VLOOKUP($N87,[2]Cultures!$B$4:$M$283,MATCH(AR$1,[2]Cultures!$B$3:$M$3,0),FALSE)</f>
        <v>0</v>
      </c>
      <c r="AS87" s="4">
        <f>VLOOKUP($N87,[2]Cultures!$B$4:$M$283,MATCH(AS$1,[2]Cultures!$B$3:$M$3,0),FALSE)</f>
        <v>1</v>
      </c>
      <c r="AT87" s="4"/>
      <c r="AU87" s="4">
        <f>IF(ISNUMBER(SEARCH(N87&amp;";",Calculations!$Q$19)),VLOOKUP(Skills!N87,Calculations!$Q$2:$T$16,4,FALSE),0)</f>
        <v>0</v>
      </c>
      <c r="AV87" s="4">
        <f>IF(ISNUMBER(SEARCH(N87&amp;";",Calculations!$Q$18)),1,0)</f>
        <v>0</v>
      </c>
      <c r="AW87" s="4"/>
      <c r="AX87" s="4">
        <f>VLOOKUP($N87,$N87:$CH87,MATCH('Character Sheet'!$BJ$3,Skills!$N$1:$CH$1,0),FALSE)</f>
        <v>0</v>
      </c>
    </row>
    <row r="88" spans="1:50" x14ac:dyDescent="0.25">
      <c r="A88" s="4" t="s">
        <v>2241</v>
      </c>
      <c r="B88" s="4" t="e">
        <f t="shared" si="23"/>
        <v>#N/A</v>
      </c>
      <c r="E88" s="4"/>
      <c r="F88" s="4">
        <f t="shared" si="37"/>
        <v>0</v>
      </c>
      <c r="G88" s="4"/>
      <c r="H88" s="4" t="e">
        <f t="shared" si="40"/>
        <v>#N/A</v>
      </c>
      <c r="I88" s="4">
        <f t="shared" ref="I88:I96" si="50">IF($J$87=1,1,0)</f>
        <v>1</v>
      </c>
      <c r="J88" s="4">
        <f t="shared" si="32"/>
        <v>0</v>
      </c>
      <c r="K88" s="4" t="e">
        <f t="shared" si="33"/>
        <v>#N/A</v>
      </c>
      <c r="M88" t="str">
        <f>"Ranged, "&amp;N88</f>
        <v>Ranged, Bow</v>
      </c>
      <c r="N88" s="3" t="str">
        <f>'Character Sheet'!AIT23</f>
        <v>Bow</v>
      </c>
      <c r="O88" s="4" t="s">
        <v>790</v>
      </c>
      <c r="P88" s="4" t="s">
        <v>786</v>
      </c>
      <c r="Q88" s="4" t="e">
        <f t="shared" si="27"/>
        <v>#N/A</v>
      </c>
      <c r="R88" s="4">
        <f>IF(ISNUMBER(SEARCH("Category",N88)),"- -",IF(ISNUMBER(SEARCH("Skills",N88)),"- -",'Level-up'!C106))</f>
        <v>0</v>
      </c>
      <c r="S88" s="4" t="e">
        <f t="shared" si="34"/>
        <v>#N/A</v>
      </c>
      <c r="T88" s="4" t="e">
        <f t="shared" si="35"/>
        <v>#N/A</v>
      </c>
      <c r="U88" s="4">
        <f t="shared" ca="1" si="38"/>
        <v>7</v>
      </c>
      <c r="V88" s="4">
        <f t="shared" ref="V88:V98" si="51">IF(ISNUMBER(SEARCH("Category",N88)),"- -",IF(ISNUMBER(SEARCH("Skills",N88)),"- -",IF(AU88&gt;0,AU88,IF($AU$86&gt;0,$AU$86,$AU$68))))</f>
        <v>0</v>
      </c>
      <c r="W88" s="4" t="e">
        <f t="shared" si="28"/>
        <v>#N/A</v>
      </c>
      <c r="X88" s="4">
        <f>IF(ISNUMBER(SEARCH("Category",N88)),"- -",IF(ISNUMBER(SEARCH("Skills",N88)),"- -",'Character Sheet'!$EG$12))</f>
        <v>-1</v>
      </c>
      <c r="Y88" s="4">
        <f t="shared" si="43"/>
        <v>0</v>
      </c>
      <c r="Z88" s="4">
        <f t="shared" si="44"/>
        <v>0</v>
      </c>
      <c r="AA88" s="4">
        <f t="shared" si="45"/>
        <v>0</v>
      </c>
      <c r="AB88" s="4">
        <f t="shared" si="46"/>
        <v>0</v>
      </c>
      <c r="AC88" s="8"/>
      <c r="AD88" s="4"/>
      <c r="AE88" s="4"/>
      <c r="AF88" s="4" t="e">
        <f t="shared" si="49"/>
        <v>#N/A</v>
      </c>
      <c r="AG88" s="4"/>
      <c r="AH88" s="4">
        <f>IFERROR(VLOOKUP(M88,Calculations!$AC$2:$AD$251,2,FALSE),0)</f>
        <v>0</v>
      </c>
      <c r="AI88" s="4" t="e">
        <f>VLOOKUP(N88,$N$2:$AS$620,MATCH('Character Creation'!$Z$12,Skills!$N$1:$AS$1,0),FALSE)</f>
        <v>#N/A</v>
      </c>
      <c r="AJ88" s="4" t="e">
        <f>VLOOKUP($N88,[2]Cultures!$B$4:$M$283,MATCH(AJ$1,[2]Cultures!$B$3:$M$3,0),FALSE)</f>
        <v>#N/A</v>
      </c>
      <c r="AK88" s="4" t="e">
        <f>VLOOKUP($N88,[2]Cultures!$B$4:$M$283,MATCH(AK$1,[2]Cultures!$B$3:$M$3,0),FALSE)</f>
        <v>#N/A</v>
      </c>
      <c r="AL88" s="4" t="e">
        <f>VLOOKUP($N88,[2]Cultures!$B$4:$M$283,MATCH(AL$1,[2]Cultures!$B$3:$M$3,0),FALSE)</f>
        <v>#N/A</v>
      </c>
      <c r="AM88" s="4" t="e">
        <f>VLOOKUP($N88,[2]Cultures!$B$4:$M$283,MATCH(AM$1,[2]Cultures!$B$3:$M$3,0),FALSE)</f>
        <v>#N/A</v>
      </c>
      <c r="AN88" s="4" t="e">
        <f>VLOOKUP($N88,[2]Cultures!$B$4:$M$283,MATCH(AN$1,[2]Cultures!$B$3:$M$3,0),FALSE)</f>
        <v>#N/A</v>
      </c>
      <c r="AO88" s="4" t="e">
        <f>VLOOKUP($N88,[2]Cultures!$B$4:$M$283,MATCH(AO$1,[2]Cultures!$B$3:$M$3,0),FALSE)</f>
        <v>#N/A</v>
      </c>
      <c r="AP88" s="4" t="e">
        <f>VLOOKUP($N88,[2]Cultures!$B$4:$M$283,MATCH(AP$1,[2]Cultures!$B$3:$M$3,0),FALSE)</f>
        <v>#N/A</v>
      </c>
      <c r="AQ88" s="4" t="e">
        <f>VLOOKUP($N88,[2]Cultures!$B$4:$M$283,MATCH(AQ$1,[2]Cultures!$B$3:$M$3,0),FALSE)</f>
        <v>#N/A</v>
      </c>
      <c r="AR88" s="4" t="e">
        <f>VLOOKUP($N88,[2]Cultures!$B$4:$M$283,MATCH(AR$1,[2]Cultures!$B$3:$M$3,0),FALSE)</f>
        <v>#N/A</v>
      </c>
      <c r="AS88" s="4" t="e">
        <f>VLOOKUP($N88,[2]Cultures!$B$4:$M$283,MATCH(AS$1,[2]Cultures!$B$3:$M$3,0),FALSE)</f>
        <v>#N/A</v>
      </c>
      <c r="AT88" s="4"/>
      <c r="AU88" s="4">
        <f>IF(ISNUMBER(SEARCH(N88&amp;";",Calculations!$Q$19)),VLOOKUP(Skills!N88,Calculations!$Q$2:$T$16,4,FALSE),0)</f>
        <v>0</v>
      </c>
      <c r="AV88" s="4">
        <f>IF(ISNUMBER(SEARCH(N88&amp;";",Calculations!$Q$18)),1,0)</f>
        <v>0</v>
      </c>
      <c r="AW88" s="4">
        <f t="shared" ref="AW88:AW96" si="52">IF($AV$68=1,1,IF($AV$86=1,1,AV88))</f>
        <v>1</v>
      </c>
      <c r="AX88" s="4">
        <f>VLOOKUP($N88,$N88:$CH88,MATCH('Character Sheet'!$BJ$3,Skills!$N$1:$CH$1,0),FALSE)</f>
        <v>0</v>
      </c>
    </row>
    <row r="89" spans="1:50" x14ac:dyDescent="0.25">
      <c r="A89" s="4" t="s">
        <v>2241</v>
      </c>
      <c r="B89" s="4" t="e">
        <f t="shared" si="23"/>
        <v>#N/A</v>
      </c>
      <c r="E89" s="4"/>
      <c r="F89" s="4">
        <f t="shared" si="37"/>
        <v>0</v>
      </c>
      <c r="G89" s="4"/>
      <c r="H89" s="4" t="e">
        <f t="shared" si="40"/>
        <v>#N/A</v>
      </c>
      <c r="I89" s="4">
        <f t="shared" si="50"/>
        <v>1</v>
      </c>
      <c r="J89" s="4">
        <f t="shared" si="32"/>
        <v>0</v>
      </c>
      <c r="K89" s="4" t="e">
        <f t="shared" si="33"/>
        <v>#N/A</v>
      </c>
      <c r="M89" t="str">
        <f t="shared" ref="M89:M96" si="53">"Ranged, "&amp;N89</f>
        <v>Ranged, Crossbow</v>
      </c>
      <c r="N89" s="3" t="str">
        <f>'Character Sheet'!AIT24</f>
        <v>Crossbow</v>
      </c>
      <c r="O89" s="4" t="s">
        <v>790</v>
      </c>
      <c r="P89" s="4" t="s">
        <v>786</v>
      </c>
      <c r="Q89" s="4" t="e">
        <f t="shared" si="27"/>
        <v>#N/A</v>
      </c>
      <c r="R89" s="4">
        <f>IF(ISNUMBER(SEARCH("Category",N89)),"- -",IF(ISNUMBER(SEARCH("Skills",N89)),"- -",'Level-up'!C107))</f>
        <v>0</v>
      </c>
      <c r="S89" s="4" t="e">
        <f t="shared" si="34"/>
        <v>#N/A</v>
      </c>
      <c r="T89" s="4" t="e">
        <f t="shared" si="35"/>
        <v>#N/A</v>
      </c>
      <c r="U89" s="4">
        <f t="shared" ca="1" si="38"/>
        <v>7</v>
      </c>
      <c r="V89" s="4">
        <f t="shared" si="51"/>
        <v>0</v>
      </c>
      <c r="W89" s="4" t="e">
        <f t="shared" si="28"/>
        <v>#N/A</v>
      </c>
      <c r="X89" s="4">
        <f>IF(ISNUMBER(SEARCH("Category",N89)),"- -",IF(ISNUMBER(SEARCH("Skills",N89)),"- -",'Character Sheet'!$EG$12))</f>
        <v>-1</v>
      </c>
      <c r="Y89" s="4">
        <f t="shared" si="43"/>
        <v>0</v>
      </c>
      <c r="Z89" s="4">
        <f t="shared" si="44"/>
        <v>0</v>
      </c>
      <c r="AA89" s="4">
        <f t="shared" si="45"/>
        <v>0</v>
      </c>
      <c r="AB89" s="4">
        <f t="shared" si="46"/>
        <v>0</v>
      </c>
      <c r="AC89" s="8"/>
      <c r="AD89" s="4"/>
      <c r="AE89" s="4"/>
      <c r="AF89" s="4" t="e">
        <f t="shared" si="49"/>
        <v>#N/A</v>
      </c>
      <c r="AG89" s="4"/>
      <c r="AH89" s="4">
        <f>IFERROR(VLOOKUP(M89,Calculations!$AC$2:$AD$251,2,FALSE),0)</f>
        <v>0</v>
      </c>
      <c r="AI89" s="4" t="e">
        <f>VLOOKUP(N89,$N$2:$AS$620,MATCH('Character Creation'!$Z$12,Skills!$N$1:$AS$1,0),FALSE)</f>
        <v>#N/A</v>
      </c>
      <c r="AJ89" s="4" t="e">
        <f>VLOOKUP($N89,[2]Cultures!$B$4:$M$283,MATCH(AJ$1,[2]Cultures!$B$3:$M$3,0),FALSE)</f>
        <v>#N/A</v>
      </c>
      <c r="AK89" s="4" t="e">
        <f>VLOOKUP($N89,[2]Cultures!$B$4:$M$283,MATCH(AK$1,[2]Cultures!$B$3:$M$3,0),FALSE)</f>
        <v>#N/A</v>
      </c>
      <c r="AL89" s="4" t="e">
        <f>VLOOKUP($N89,[2]Cultures!$B$4:$M$283,MATCH(AL$1,[2]Cultures!$B$3:$M$3,0),FALSE)</f>
        <v>#N/A</v>
      </c>
      <c r="AM89" s="4" t="e">
        <f>VLOOKUP($N89,[2]Cultures!$B$4:$M$283,MATCH(AM$1,[2]Cultures!$B$3:$M$3,0),FALSE)</f>
        <v>#N/A</v>
      </c>
      <c r="AN89" s="4" t="e">
        <f>VLOOKUP($N89,[2]Cultures!$B$4:$M$283,MATCH(AN$1,[2]Cultures!$B$3:$M$3,0),FALSE)</f>
        <v>#N/A</v>
      </c>
      <c r="AO89" s="4" t="e">
        <f>VLOOKUP($N89,[2]Cultures!$B$4:$M$283,MATCH(AO$1,[2]Cultures!$B$3:$M$3,0),FALSE)</f>
        <v>#N/A</v>
      </c>
      <c r="AP89" s="4" t="e">
        <f>VLOOKUP($N89,[2]Cultures!$B$4:$M$283,MATCH(AP$1,[2]Cultures!$B$3:$M$3,0),FALSE)</f>
        <v>#N/A</v>
      </c>
      <c r="AQ89" s="4" t="e">
        <f>VLOOKUP($N89,[2]Cultures!$B$4:$M$283,MATCH(AQ$1,[2]Cultures!$B$3:$M$3,0),FALSE)</f>
        <v>#N/A</v>
      </c>
      <c r="AR89" s="4" t="e">
        <f>VLOOKUP($N89,[2]Cultures!$B$4:$M$283,MATCH(AR$1,[2]Cultures!$B$3:$M$3,0),FALSE)</f>
        <v>#N/A</v>
      </c>
      <c r="AS89" s="4" t="e">
        <f>VLOOKUP($N89,[2]Cultures!$B$4:$M$283,MATCH(AS$1,[2]Cultures!$B$3:$M$3,0),FALSE)</f>
        <v>#N/A</v>
      </c>
      <c r="AT89" s="4"/>
      <c r="AU89" s="4">
        <f>IF(ISNUMBER(SEARCH(N89&amp;";",Calculations!$Q$19)),VLOOKUP(Skills!N89,Calculations!$Q$2:$T$16,4,FALSE),0)</f>
        <v>0</v>
      </c>
      <c r="AV89" s="4">
        <f>IF(ISNUMBER(SEARCH(N89&amp;";",Calculations!$Q$18)),1,0)</f>
        <v>0</v>
      </c>
      <c r="AW89" s="4">
        <f t="shared" si="52"/>
        <v>1</v>
      </c>
      <c r="AX89" s="4">
        <f>VLOOKUP($N89,$N89:$CH89,MATCH('Character Sheet'!$BJ$3,Skills!$N$1:$CH$1,0),FALSE)</f>
        <v>0</v>
      </c>
    </row>
    <row r="90" spans="1:50" x14ac:dyDescent="0.25">
      <c r="A90" s="4" t="s">
        <v>2241</v>
      </c>
      <c r="B90" s="4" t="e">
        <f t="shared" si="23"/>
        <v>#N/A</v>
      </c>
      <c r="E90" s="4"/>
      <c r="F90" s="4">
        <f t="shared" si="37"/>
        <v>0</v>
      </c>
      <c r="G90" s="4"/>
      <c r="H90" s="4" t="e">
        <f t="shared" si="40"/>
        <v>#N/A</v>
      </c>
      <c r="I90" s="4">
        <f t="shared" si="50"/>
        <v>1</v>
      </c>
      <c r="J90" s="4">
        <f t="shared" si="32"/>
        <v>0</v>
      </c>
      <c r="K90" s="4" t="e">
        <f t="shared" si="33"/>
        <v>#N/A</v>
      </c>
      <c r="M90" t="str">
        <f t="shared" si="53"/>
        <v>Ranged, Sling</v>
      </c>
      <c r="N90" s="3" t="str">
        <f>'Character Sheet'!AIT25</f>
        <v>Sling</v>
      </c>
      <c r="O90" s="4" t="s">
        <v>790</v>
      </c>
      <c r="P90" s="4" t="s">
        <v>786</v>
      </c>
      <c r="Q90" s="4" t="e">
        <f t="shared" si="27"/>
        <v>#N/A</v>
      </c>
      <c r="R90" s="4">
        <f>IF(ISNUMBER(SEARCH("Category",N90)),"- -",IF(ISNUMBER(SEARCH("Skills",N90)),"- -",'Level-up'!C108))</f>
        <v>0</v>
      </c>
      <c r="S90" s="4" t="e">
        <f t="shared" si="34"/>
        <v>#N/A</v>
      </c>
      <c r="T90" s="4" t="e">
        <f t="shared" si="35"/>
        <v>#N/A</v>
      </c>
      <c r="U90" s="4">
        <f t="shared" ca="1" si="38"/>
        <v>7</v>
      </c>
      <c r="V90" s="4">
        <f t="shared" si="51"/>
        <v>0</v>
      </c>
      <c r="W90" s="4" t="e">
        <f t="shared" si="28"/>
        <v>#N/A</v>
      </c>
      <c r="X90" s="4">
        <f>IF(ISNUMBER(SEARCH("Category",N90)),"- -",IF(ISNUMBER(SEARCH("Skills",N90)),"- -",'Character Sheet'!$EG$12))</f>
        <v>-1</v>
      </c>
      <c r="Y90" s="4">
        <f t="shared" si="43"/>
        <v>0</v>
      </c>
      <c r="Z90" s="4">
        <f t="shared" si="44"/>
        <v>0</v>
      </c>
      <c r="AA90" s="4">
        <f t="shared" si="45"/>
        <v>0</v>
      </c>
      <c r="AB90" s="4">
        <f t="shared" si="46"/>
        <v>0</v>
      </c>
      <c r="AC90" s="8"/>
      <c r="AD90" s="4"/>
      <c r="AE90" s="4"/>
      <c r="AF90" s="4" t="e">
        <f t="shared" si="49"/>
        <v>#N/A</v>
      </c>
      <c r="AG90" s="4"/>
      <c r="AH90" s="4">
        <f>IFERROR(VLOOKUP(M90,Calculations!$AC$2:$AD$251,2,FALSE),0)</f>
        <v>0</v>
      </c>
      <c r="AI90" s="4" t="e">
        <f>VLOOKUP(N90,$N$2:$AS$620,MATCH('Character Creation'!$Z$12,Skills!$N$1:$AS$1,0),FALSE)</f>
        <v>#N/A</v>
      </c>
      <c r="AJ90" s="4" t="e">
        <f>VLOOKUP($N90,[2]Cultures!$B$4:$M$283,MATCH(AJ$1,[2]Cultures!$B$3:$M$3,0),FALSE)</f>
        <v>#N/A</v>
      </c>
      <c r="AK90" s="4" t="e">
        <f>VLOOKUP($N90,[2]Cultures!$B$4:$M$283,MATCH(AK$1,[2]Cultures!$B$3:$M$3,0),FALSE)</f>
        <v>#N/A</v>
      </c>
      <c r="AL90" s="4" t="e">
        <f>VLOOKUP($N90,[2]Cultures!$B$4:$M$283,MATCH(AL$1,[2]Cultures!$B$3:$M$3,0),FALSE)</f>
        <v>#N/A</v>
      </c>
      <c r="AM90" s="4" t="e">
        <f>VLOOKUP($N90,[2]Cultures!$B$4:$M$283,MATCH(AM$1,[2]Cultures!$B$3:$M$3,0),FALSE)</f>
        <v>#N/A</v>
      </c>
      <c r="AN90" s="4" t="e">
        <f>VLOOKUP($N90,[2]Cultures!$B$4:$M$283,MATCH(AN$1,[2]Cultures!$B$3:$M$3,0),FALSE)</f>
        <v>#N/A</v>
      </c>
      <c r="AO90" s="4" t="e">
        <f>VLOOKUP($N90,[2]Cultures!$B$4:$M$283,MATCH(AO$1,[2]Cultures!$B$3:$M$3,0),FALSE)</f>
        <v>#N/A</v>
      </c>
      <c r="AP90" s="4" t="e">
        <f>VLOOKUP($N90,[2]Cultures!$B$4:$M$283,MATCH(AP$1,[2]Cultures!$B$3:$M$3,0),FALSE)</f>
        <v>#N/A</v>
      </c>
      <c r="AQ90" s="4" t="e">
        <f>VLOOKUP($N90,[2]Cultures!$B$4:$M$283,MATCH(AQ$1,[2]Cultures!$B$3:$M$3,0),FALSE)</f>
        <v>#N/A</v>
      </c>
      <c r="AR90" s="4" t="e">
        <f>VLOOKUP($N90,[2]Cultures!$B$4:$M$283,MATCH(AR$1,[2]Cultures!$B$3:$M$3,0),FALSE)</f>
        <v>#N/A</v>
      </c>
      <c r="AS90" s="4" t="e">
        <f>VLOOKUP($N90,[2]Cultures!$B$4:$M$283,MATCH(AS$1,[2]Cultures!$B$3:$M$3,0),FALSE)</f>
        <v>#N/A</v>
      </c>
      <c r="AT90" s="4"/>
      <c r="AU90" s="4">
        <f>IF(ISNUMBER(SEARCH(N90&amp;";",Calculations!$Q$19)),VLOOKUP(Skills!N90,Calculations!$Q$2:$T$16,4,FALSE),0)</f>
        <v>0</v>
      </c>
      <c r="AV90" s="4">
        <f>IF(ISNUMBER(SEARCH(N90&amp;";",Calculations!$Q$18)),1,0)</f>
        <v>0</v>
      </c>
      <c r="AW90" s="4">
        <f t="shared" si="52"/>
        <v>1</v>
      </c>
      <c r="AX90" s="4">
        <f>VLOOKUP($N90,$N90:$CH90,MATCH('Character Sheet'!$BJ$3,Skills!$N$1:$CH$1,0),FALSE)</f>
        <v>0</v>
      </c>
    </row>
    <row r="91" spans="1:50" x14ac:dyDescent="0.25">
      <c r="A91" s="4" t="s">
        <v>2241</v>
      </c>
      <c r="B91" s="4" t="e">
        <f t="shared" si="23"/>
        <v>#N/A</v>
      </c>
      <c r="E91" s="4"/>
      <c r="F91" s="4">
        <f t="shared" si="37"/>
        <v>0</v>
      </c>
      <c r="G91" s="4"/>
      <c r="H91" s="4" t="e">
        <f t="shared" si="40"/>
        <v>#N/A</v>
      </c>
      <c r="I91" s="4">
        <f t="shared" si="50"/>
        <v>1</v>
      </c>
      <c r="J91" s="4">
        <f t="shared" si="32"/>
        <v>0</v>
      </c>
      <c r="K91" s="4" t="e">
        <f t="shared" si="33"/>
        <v>#N/A</v>
      </c>
      <c r="M91" t="str">
        <f t="shared" si="53"/>
        <v>Ranged, Thrown</v>
      </c>
      <c r="N91" s="3" t="str">
        <f>'Character Sheet'!AIT26</f>
        <v>Thrown</v>
      </c>
      <c r="O91" s="4" t="s">
        <v>790</v>
      </c>
      <c r="P91" s="4" t="s">
        <v>786</v>
      </c>
      <c r="Q91" s="4" t="e">
        <f t="shared" si="27"/>
        <v>#N/A</v>
      </c>
      <c r="R91" s="4">
        <f>IF(ISNUMBER(SEARCH("Category",N91)),"- -",IF(ISNUMBER(SEARCH("Skills",N91)),"- -",'Level-up'!C109))</f>
        <v>0</v>
      </c>
      <c r="S91" s="4" t="e">
        <f t="shared" si="34"/>
        <v>#N/A</v>
      </c>
      <c r="T91" s="4" t="e">
        <f t="shared" si="35"/>
        <v>#N/A</v>
      </c>
      <c r="U91" s="4">
        <f t="shared" ca="1" si="38"/>
        <v>7</v>
      </c>
      <c r="V91" s="4">
        <f t="shared" si="51"/>
        <v>0</v>
      </c>
      <c r="W91" s="4" t="e">
        <f t="shared" si="28"/>
        <v>#N/A</v>
      </c>
      <c r="X91" s="4">
        <f>IF(ISNUMBER(SEARCH("Category",N91)),"- -",IF(ISNUMBER(SEARCH("Skills",N91)),"- -",'Character Sheet'!$EG$12))</f>
        <v>-1</v>
      </c>
      <c r="Y91" s="4">
        <f t="shared" si="43"/>
        <v>0</v>
      </c>
      <c r="Z91" s="4">
        <f t="shared" si="44"/>
        <v>0</v>
      </c>
      <c r="AA91" s="4">
        <f t="shared" si="45"/>
        <v>0</v>
      </c>
      <c r="AB91" s="4">
        <f t="shared" si="46"/>
        <v>0</v>
      </c>
      <c r="AC91" s="8"/>
      <c r="AD91" s="4"/>
      <c r="AE91" s="4"/>
      <c r="AF91" s="4" t="e">
        <f t="shared" si="49"/>
        <v>#N/A</v>
      </c>
      <c r="AG91" s="4"/>
      <c r="AH91" s="4">
        <f>IFERROR(VLOOKUP(M91,Calculations!$AC$2:$AD$251,2,FALSE),0)</f>
        <v>0</v>
      </c>
      <c r="AI91" s="4" t="e">
        <f>VLOOKUP(N91,$N$2:$AS$620,MATCH('Character Creation'!$Z$12,Skills!$N$1:$AS$1,0),FALSE)</f>
        <v>#N/A</v>
      </c>
      <c r="AJ91" s="4" t="e">
        <f>VLOOKUP($N91,[2]Cultures!$B$4:$M$283,MATCH(AJ$1,[2]Cultures!$B$3:$M$3,0),FALSE)</f>
        <v>#N/A</v>
      </c>
      <c r="AK91" s="4" t="e">
        <f>VLOOKUP($N91,[2]Cultures!$B$4:$M$283,MATCH(AK$1,[2]Cultures!$B$3:$M$3,0),FALSE)</f>
        <v>#N/A</v>
      </c>
      <c r="AL91" s="4" t="e">
        <f>VLOOKUP($N91,[2]Cultures!$B$4:$M$283,MATCH(AL$1,[2]Cultures!$B$3:$M$3,0),FALSE)</f>
        <v>#N/A</v>
      </c>
      <c r="AM91" s="4" t="e">
        <f>VLOOKUP($N91,[2]Cultures!$B$4:$M$283,MATCH(AM$1,[2]Cultures!$B$3:$M$3,0),FALSE)</f>
        <v>#N/A</v>
      </c>
      <c r="AN91" s="4" t="e">
        <f>VLOOKUP($N91,[2]Cultures!$B$4:$M$283,MATCH(AN$1,[2]Cultures!$B$3:$M$3,0),FALSE)</f>
        <v>#N/A</v>
      </c>
      <c r="AO91" s="4" t="e">
        <f>VLOOKUP($N91,[2]Cultures!$B$4:$M$283,MATCH(AO$1,[2]Cultures!$B$3:$M$3,0),FALSE)</f>
        <v>#N/A</v>
      </c>
      <c r="AP91" s="4" t="e">
        <f>VLOOKUP($N91,[2]Cultures!$B$4:$M$283,MATCH(AP$1,[2]Cultures!$B$3:$M$3,0),FALSE)</f>
        <v>#N/A</v>
      </c>
      <c r="AQ91" s="4" t="e">
        <f>VLOOKUP($N91,[2]Cultures!$B$4:$M$283,MATCH(AQ$1,[2]Cultures!$B$3:$M$3,0),FALSE)</f>
        <v>#N/A</v>
      </c>
      <c r="AR91" s="4" t="e">
        <f>VLOOKUP($N91,[2]Cultures!$B$4:$M$283,MATCH(AR$1,[2]Cultures!$B$3:$M$3,0),FALSE)</f>
        <v>#N/A</v>
      </c>
      <c r="AS91" s="4" t="e">
        <f>VLOOKUP($N91,[2]Cultures!$B$4:$M$283,MATCH(AS$1,[2]Cultures!$B$3:$M$3,0),FALSE)</f>
        <v>#N/A</v>
      </c>
      <c r="AT91" s="4"/>
      <c r="AU91" s="4">
        <f>IF(ISNUMBER(SEARCH(N91&amp;";",Calculations!$Q$19)),VLOOKUP(Skills!N91,Calculations!$Q$2:$T$16,4,FALSE),0)</f>
        <v>0</v>
      </c>
      <c r="AV91" s="4">
        <f>IF(ISNUMBER(SEARCH(N91&amp;";",Calculations!$Q$18)),1,0)</f>
        <v>0</v>
      </c>
      <c r="AW91" s="4">
        <f t="shared" si="52"/>
        <v>1</v>
      </c>
      <c r="AX91" s="4">
        <f>VLOOKUP($N91,$N91:$CH91,MATCH('Character Sheet'!$BJ$3,Skills!$N$1:$CH$1,0),FALSE)</f>
        <v>0</v>
      </c>
    </row>
    <row r="92" spans="1:50" x14ac:dyDescent="0.25">
      <c r="A92" s="4" t="s">
        <v>2241</v>
      </c>
      <c r="B92" s="4" t="e">
        <f t="shared" si="23"/>
        <v>#N/A</v>
      </c>
      <c r="E92" s="4"/>
      <c r="F92" s="4">
        <f t="shared" si="37"/>
        <v>0</v>
      </c>
      <c r="G92" s="4"/>
      <c r="H92" s="4" t="e">
        <f t="shared" si="40"/>
        <v>#N/A</v>
      </c>
      <c r="I92" s="4">
        <f t="shared" si="50"/>
        <v>1</v>
      </c>
      <c r="J92" s="4">
        <f t="shared" si="32"/>
        <v>0</v>
      </c>
      <c r="K92" s="4" t="e">
        <f t="shared" si="33"/>
        <v>#N/A</v>
      </c>
      <c r="M92" t="str">
        <f t="shared" si="53"/>
        <v>Ranged, Blowpipe</v>
      </c>
      <c r="N92" s="3" t="str">
        <f>'Character Sheet'!AIT27</f>
        <v>Blowpipe</v>
      </c>
      <c r="O92" s="4" t="s">
        <v>790</v>
      </c>
      <c r="P92" s="4" t="s">
        <v>786</v>
      </c>
      <c r="Q92" s="4" t="e">
        <f t="shared" si="27"/>
        <v>#N/A</v>
      </c>
      <c r="R92" s="4">
        <f>IF(ISNUMBER(SEARCH("Category",N92)),"- -",IF(ISNUMBER(SEARCH("Skills",N92)),"- -",'Level-up'!C110))</f>
        <v>0</v>
      </c>
      <c r="S92" s="4" t="e">
        <f t="shared" si="34"/>
        <v>#N/A</v>
      </c>
      <c r="T92" s="4" t="e">
        <f t="shared" si="35"/>
        <v>#N/A</v>
      </c>
      <c r="U92" s="4">
        <f t="shared" ca="1" si="38"/>
        <v>7</v>
      </c>
      <c r="V92" s="4">
        <f t="shared" si="51"/>
        <v>0</v>
      </c>
      <c r="W92" s="4" t="e">
        <f t="shared" si="28"/>
        <v>#N/A</v>
      </c>
      <c r="X92" s="4">
        <f>IF(ISNUMBER(SEARCH("Category",N92)),"- -",IF(ISNUMBER(SEARCH("Skills",N92)),"- -",'Character Sheet'!$EG$12))</f>
        <v>-1</v>
      </c>
      <c r="Y92" s="4">
        <f t="shared" si="43"/>
        <v>0</v>
      </c>
      <c r="Z92" s="4">
        <f t="shared" si="44"/>
        <v>0</v>
      </c>
      <c r="AA92" s="4">
        <f t="shared" si="45"/>
        <v>0</v>
      </c>
      <c r="AB92" s="4">
        <f t="shared" si="46"/>
        <v>0</v>
      </c>
      <c r="AC92" s="8"/>
      <c r="AD92" s="4"/>
      <c r="AE92" s="4"/>
      <c r="AF92" s="4" t="e">
        <f t="shared" si="49"/>
        <v>#N/A</v>
      </c>
      <c r="AG92" s="4"/>
      <c r="AH92" s="4">
        <f>IFERROR(VLOOKUP(M92,Calculations!$AC$2:$AD$251,2,FALSE),0)</f>
        <v>0</v>
      </c>
      <c r="AI92" s="4" t="e">
        <f>VLOOKUP(N92,$N$2:$AS$620,MATCH('Character Creation'!$Z$12,Skills!$N$1:$AS$1,0),FALSE)</f>
        <v>#N/A</v>
      </c>
      <c r="AJ92" s="4" t="e">
        <f>VLOOKUP($N92,[2]Cultures!$B$4:$M$283,MATCH(AJ$1,[2]Cultures!$B$3:$M$3,0),FALSE)</f>
        <v>#N/A</v>
      </c>
      <c r="AK92" s="4" t="e">
        <f>VLOOKUP($N92,[2]Cultures!$B$4:$M$283,MATCH(AK$1,[2]Cultures!$B$3:$M$3,0),FALSE)</f>
        <v>#N/A</v>
      </c>
      <c r="AL92" s="4" t="e">
        <f>VLOOKUP($N92,[2]Cultures!$B$4:$M$283,MATCH(AL$1,[2]Cultures!$B$3:$M$3,0),FALSE)</f>
        <v>#N/A</v>
      </c>
      <c r="AM92" s="4" t="e">
        <f>VLOOKUP($N92,[2]Cultures!$B$4:$M$283,MATCH(AM$1,[2]Cultures!$B$3:$M$3,0),FALSE)</f>
        <v>#N/A</v>
      </c>
      <c r="AN92" s="4" t="e">
        <f>VLOOKUP($N92,[2]Cultures!$B$4:$M$283,MATCH(AN$1,[2]Cultures!$B$3:$M$3,0),FALSE)</f>
        <v>#N/A</v>
      </c>
      <c r="AO92" s="4" t="e">
        <f>VLOOKUP($N92,[2]Cultures!$B$4:$M$283,MATCH(AO$1,[2]Cultures!$B$3:$M$3,0),FALSE)</f>
        <v>#N/A</v>
      </c>
      <c r="AP92" s="4" t="e">
        <f>VLOOKUP($N92,[2]Cultures!$B$4:$M$283,MATCH(AP$1,[2]Cultures!$B$3:$M$3,0),FALSE)</f>
        <v>#N/A</v>
      </c>
      <c r="AQ92" s="4" t="e">
        <f>VLOOKUP($N92,[2]Cultures!$B$4:$M$283,MATCH(AQ$1,[2]Cultures!$B$3:$M$3,0),FALSE)</f>
        <v>#N/A</v>
      </c>
      <c r="AR92" s="4" t="e">
        <f>VLOOKUP($N92,[2]Cultures!$B$4:$M$283,MATCH(AR$1,[2]Cultures!$B$3:$M$3,0),FALSE)</f>
        <v>#N/A</v>
      </c>
      <c r="AS92" s="4" t="e">
        <f>VLOOKUP($N92,[2]Cultures!$B$4:$M$283,MATCH(AS$1,[2]Cultures!$B$3:$M$3,0),FALSE)</f>
        <v>#N/A</v>
      </c>
      <c r="AT92" s="4"/>
      <c r="AU92" s="4">
        <f>IF(ISNUMBER(SEARCH(N92&amp;";",Calculations!$Q$19)),VLOOKUP(Skills!N92,Calculations!$Q$2:$T$16,4,FALSE),0)</f>
        <v>0</v>
      </c>
      <c r="AV92" s="4">
        <f>IF(ISNUMBER(SEARCH(N92&amp;";",Calculations!$Q$18)),1,0)</f>
        <v>0</v>
      </c>
      <c r="AW92" s="4">
        <f t="shared" si="52"/>
        <v>1</v>
      </c>
      <c r="AX92" s="4">
        <f>VLOOKUP($N92,$N92:$CH92,MATCH('Character Sheet'!$BJ$3,Skills!$N$1:$CH$1,0),FALSE)</f>
        <v>0</v>
      </c>
    </row>
    <row r="93" spans="1:50" x14ac:dyDescent="0.25">
      <c r="A93" s="4" t="s">
        <v>2241</v>
      </c>
      <c r="B93" s="4" t="e">
        <f t="shared" si="23"/>
        <v>#N/A</v>
      </c>
      <c r="E93" s="4"/>
      <c r="F93" s="4">
        <f t="shared" si="37"/>
        <v>0</v>
      </c>
      <c r="G93" s="4"/>
      <c r="H93" s="4" t="e">
        <f t="shared" si="40"/>
        <v>#N/A</v>
      </c>
      <c r="I93" s="4">
        <f t="shared" si="50"/>
        <v>1</v>
      </c>
      <c r="J93" s="4">
        <f t="shared" si="32"/>
        <v>0</v>
      </c>
      <c r="K93" s="4" t="e">
        <f t="shared" si="33"/>
        <v>#N/A</v>
      </c>
      <c r="M93" t="str">
        <f t="shared" si="53"/>
        <v>Ranged, Bola</v>
      </c>
      <c r="N93" s="3" t="str">
        <f>'Character Sheet'!AIT28</f>
        <v>Bola</v>
      </c>
      <c r="O93" s="4" t="s">
        <v>790</v>
      </c>
      <c r="P93" s="4" t="s">
        <v>786</v>
      </c>
      <c r="Q93" s="4" t="e">
        <f t="shared" si="27"/>
        <v>#N/A</v>
      </c>
      <c r="R93" s="4">
        <f>IF(ISNUMBER(SEARCH("Category",N93)),"- -",IF(ISNUMBER(SEARCH("Skills",N93)),"- -",'Level-up'!C111))</f>
        <v>0</v>
      </c>
      <c r="S93" s="4" t="e">
        <f t="shared" si="34"/>
        <v>#N/A</v>
      </c>
      <c r="T93" s="4" t="e">
        <f t="shared" si="35"/>
        <v>#N/A</v>
      </c>
      <c r="U93" s="4">
        <f t="shared" ca="1" si="38"/>
        <v>7</v>
      </c>
      <c r="V93" s="4">
        <f t="shared" si="51"/>
        <v>0</v>
      </c>
      <c r="W93" s="4" t="e">
        <f t="shared" si="28"/>
        <v>#N/A</v>
      </c>
      <c r="X93" s="4">
        <f>IF(ISNUMBER(SEARCH("Category",N93)),"- -",IF(ISNUMBER(SEARCH("Skills",N93)),"- -",'Character Sheet'!$EG$12))</f>
        <v>-1</v>
      </c>
      <c r="Y93" s="4">
        <f t="shared" si="43"/>
        <v>0</v>
      </c>
      <c r="Z93" s="4">
        <f t="shared" si="44"/>
        <v>0</v>
      </c>
      <c r="AA93" s="4">
        <f t="shared" si="45"/>
        <v>0</v>
      </c>
      <c r="AB93" s="4">
        <f t="shared" si="46"/>
        <v>0</v>
      </c>
      <c r="AC93" s="8"/>
      <c r="AD93" s="4"/>
      <c r="AE93" s="4"/>
      <c r="AF93" s="4" t="e">
        <f t="shared" si="49"/>
        <v>#N/A</v>
      </c>
      <c r="AG93" s="4"/>
      <c r="AH93" s="4">
        <f>IFERROR(VLOOKUP(M93,Calculations!$AC$2:$AD$251,2,FALSE),0)</f>
        <v>0</v>
      </c>
      <c r="AI93" s="4" t="e">
        <f>VLOOKUP(N93,$N$2:$AS$620,MATCH('Character Creation'!$Z$12,Skills!$N$1:$AS$1,0),FALSE)</f>
        <v>#N/A</v>
      </c>
      <c r="AJ93" s="4" t="e">
        <f>VLOOKUP($N93,[2]Cultures!$B$4:$M$283,MATCH(AJ$1,[2]Cultures!$B$3:$M$3,0),FALSE)</f>
        <v>#N/A</v>
      </c>
      <c r="AK93" s="4" t="e">
        <f>VLOOKUP($N93,[2]Cultures!$B$4:$M$283,MATCH(AK$1,[2]Cultures!$B$3:$M$3,0),FALSE)</f>
        <v>#N/A</v>
      </c>
      <c r="AL93" s="4" t="e">
        <f>VLOOKUP($N93,[2]Cultures!$B$4:$M$283,MATCH(AL$1,[2]Cultures!$B$3:$M$3,0),FALSE)</f>
        <v>#N/A</v>
      </c>
      <c r="AM93" s="4" t="e">
        <f>VLOOKUP($N93,[2]Cultures!$B$4:$M$283,MATCH(AM$1,[2]Cultures!$B$3:$M$3,0),FALSE)</f>
        <v>#N/A</v>
      </c>
      <c r="AN93" s="4" t="e">
        <f>VLOOKUP($N93,[2]Cultures!$B$4:$M$283,MATCH(AN$1,[2]Cultures!$B$3:$M$3,0),FALSE)</f>
        <v>#N/A</v>
      </c>
      <c r="AO93" s="4" t="e">
        <f>VLOOKUP($N93,[2]Cultures!$B$4:$M$283,MATCH(AO$1,[2]Cultures!$B$3:$M$3,0),FALSE)</f>
        <v>#N/A</v>
      </c>
      <c r="AP93" s="4" t="e">
        <f>VLOOKUP($N93,[2]Cultures!$B$4:$M$283,MATCH(AP$1,[2]Cultures!$B$3:$M$3,0),FALSE)</f>
        <v>#N/A</v>
      </c>
      <c r="AQ93" s="4" t="e">
        <f>VLOOKUP($N93,[2]Cultures!$B$4:$M$283,MATCH(AQ$1,[2]Cultures!$B$3:$M$3,0),FALSE)</f>
        <v>#N/A</v>
      </c>
      <c r="AR93" s="4" t="e">
        <f>VLOOKUP($N93,[2]Cultures!$B$4:$M$283,MATCH(AR$1,[2]Cultures!$B$3:$M$3,0),FALSE)</f>
        <v>#N/A</v>
      </c>
      <c r="AS93" s="4" t="e">
        <f>VLOOKUP($N93,[2]Cultures!$B$4:$M$283,MATCH(AS$1,[2]Cultures!$B$3:$M$3,0),FALSE)</f>
        <v>#N/A</v>
      </c>
      <c r="AT93" s="4"/>
      <c r="AU93" s="4">
        <f>IF(ISNUMBER(SEARCH(N93&amp;";",Calculations!$Q$19)),VLOOKUP(Skills!N93,Calculations!$Q$2:$T$16,4,FALSE),0)</f>
        <v>0</v>
      </c>
      <c r="AV93" s="4">
        <f>IF(ISNUMBER(SEARCH(N93&amp;";",Calculations!$Q$18)),1,0)</f>
        <v>0</v>
      </c>
      <c r="AW93" s="4">
        <f t="shared" si="52"/>
        <v>1</v>
      </c>
      <c r="AX93" s="4">
        <f>VLOOKUP($N93,$N93:$CH93,MATCH('Character Sheet'!$BJ$3,Skills!$N$1:$CH$1,0),FALSE)</f>
        <v>0</v>
      </c>
    </row>
    <row r="94" spans="1:50" x14ac:dyDescent="0.25">
      <c r="A94" s="4" t="s">
        <v>2241</v>
      </c>
      <c r="B94" s="4" t="e">
        <f t="shared" si="23"/>
        <v>#N/A</v>
      </c>
      <c r="E94" s="4"/>
      <c r="F94" s="4">
        <f t="shared" si="37"/>
        <v>0</v>
      </c>
      <c r="G94" s="4"/>
      <c r="H94" s="4" t="e">
        <f t="shared" si="40"/>
        <v>#N/A</v>
      </c>
      <c r="I94" s="4">
        <f t="shared" si="50"/>
        <v>1</v>
      </c>
      <c r="J94" s="4">
        <f t="shared" si="32"/>
        <v>0</v>
      </c>
      <c r="K94" s="4" t="e">
        <f t="shared" si="33"/>
        <v>#N/A</v>
      </c>
      <c r="M94" t="str">
        <f t="shared" si="53"/>
        <v>Ranged, Boomerang</v>
      </c>
      <c r="N94" s="3" t="str">
        <f>'Character Sheet'!AIT29</f>
        <v>Boomerang</v>
      </c>
      <c r="O94" s="4" t="s">
        <v>790</v>
      </c>
      <c r="P94" s="4" t="s">
        <v>786</v>
      </c>
      <c r="Q94" s="4" t="e">
        <f t="shared" si="27"/>
        <v>#N/A</v>
      </c>
      <c r="R94" s="4">
        <f>IF(ISNUMBER(SEARCH("Category",N94)),"- -",IF(ISNUMBER(SEARCH("Skills",N94)),"- -",'Level-up'!C112))</f>
        <v>0</v>
      </c>
      <c r="S94" s="4" t="e">
        <f t="shared" si="34"/>
        <v>#N/A</v>
      </c>
      <c r="T94" s="4" t="e">
        <f t="shared" si="35"/>
        <v>#N/A</v>
      </c>
      <c r="U94" s="4">
        <f t="shared" ca="1" si="38"/>
        <v>7</v>
      </c>
      <c r="V94" s="4">
        <f t="shared" si="51"/>
        <v>0</v>
      </c>
      <c r="W94" s="4" t="e">
        <f t="shared" si="28"/>
        <v>#N/A</v>
      </c>
      <c r="X94" s="4">
        <f>IF(ISNUMBER(SEARCH("Category",N94)),"- -",IF(ISNUMBER(SEARCH("Skills",N94)),"- -",'Character Sheet'!$EG$12))</f>
        <v>-1</v>
      </c>
      <c r="Y94" s="4">
        <f t="shared" si="43"/>
        <v>0</v>
      </c>
      <c r="Z94" s="4">
        <f t="shared" si="44"/>
        <v>0</v>
      </c>
      <c r="AA94" s="4">
        <f t="shared" si="45"/>
        <v>0</v>
      </c>
      <c r="AB94" s="4">
        <f t="shared" si="46"/>
        <v>0</v>
      </c>
      <c r="AC94" s="8"/>
      <c r="AD94" s="4"/>
      <c r="AE94" s="4"/>
      <c r="AF94" s="4" t="e">
        <f t="shared" si="49"/>
        <v>#N/A</v>
      </c>
      <c r="AG94" s="4"/>
      <c r="AH94" s="4">
        <f>IFERROR(VLOOKUP(M94,Calculations!$AC$2:$AD$251,2,FALSE),0)</f>
        <v>0</v>
      </c>
      <c r="AI94" s="4" t="e">
        <f>VLOOKUP(N94,$N$2:$AS$620,MATCH('Character Creation'!$Z$12,Skills!$N$1:$AS$1,0),FALSE)</f>
        <v>#N/A</v>
      </c>
      <c r="AJ94" s="4" t="e">
        <f>VLOOKUP($N94,[2]Cultures!$B$4:$M$283,MATCH(AJ$1,[2]Cultures!$B$3:$M$3,0),FALSE)</f>
        <v>#N/A</v>
      </c>
      <c r="AK94" s="4" t="e">
        <f>VLOOKUP($N94,[2]Cultures!$B$4:$M$283,MATCH(AK$1,[2]Cultures!$B$3:$M$3,0),FALSE)</f>
        <v>#N/A</v>
      </c>
      <c r="AL94" s="4" t="e">
        <f>VLOOKUP($N94,[2]Cultures!$B$4:$M$283,MATCH(AL$1,[2]Cultures!$B$3:$M$3,0),FALSE)</f>
        <v>#N/A</v>
      </c>
      <c r="AM94" s="4" t="e">
        <f>VLOOKUP($N94,[2]Cultures!$B$4:$M$283,MATCH(AM$1,[2]Cultures!$B$3:$M$3,0),FALSE)</f>
        <v>#N/A</v>
      </c>
      <c r="AN94" s="4" t="e">
        <f>VLOOKUP($N94,[2]Cultures!$B$4:$M$283,MATCH(AN$1,[2]Cultures!$B$3:$M$3,0),FALSE)</f>
        <v>#N/A</v>
      </c>
      <c r="AO94" s="4" t="e">
        <f>VLOOKUP($N94,[2]Cultures!$B$4:$M$283,MATCH(AO$1,[2]Cultures!$B$3:$M$3,0),FALSE)</f>
        <v>#N/A</v>
      </c>
      <c r="AP94" s="4" t="e">
        <f>VLOOKUP($N94,[2]Cultures!$B$4:$M$283,MATCH(AP$1,[2]Cultures!$B$3:$M$3,0),FALSE)</f>
        <v>#N/A</v>
      </c>
      <c r="AQ94" s="4" t="e">
        <f>VLOOKUP($N94,[2]Cultures!$B$4:$M$283,MATCH(AQ$1,[2]Cultures!$B$3:$M$3,0),FALSE)</f>
        <v>#N/A</v>
      </c>
      <c r="AR94" s="4" t="e">
        <f>VLOOKUP($N94,[2]Cultures!$B$4:$M$283,MATCH(AR$1,[2]Cultures!$B$3:$M$3,0),FALSE)</f>
        <v>#N/A</v>
      </c>
      <c r="AS94" s="4" t="e">
        <f>VLOOKUP($N94,[2]Cultures!$B$4:$M$283,MATCH(AS$1,[2]Cultures!$B$3:$M$3,0),FALSE)</f>
        <v>#N/A</v>
      </c>
      <c r="AT94" s="4"/>
      <c r="AU94" s="4">
        <f>IF(ISNUMBER(SEARCH(N94&amp;";",Calculations!$Q$19)),VLOOKUP(Skills!N94,Calculations!$Q$2:$T$16,4,FALSE),0)</f>
        <v>0</v>
      </c>
      <c r="AV94" s="4">
        <f>IF(ISNUMBER(SEARCH(N94&amp;";",Calculations!$Q$18)),1,0)</f>
        <v>0</v>
      </c>
      <c r="AW94" s="4">
        <f t="shared" si="52"/>
        <v>1</v>
      </c>
      <c r="AX94" s="4">
        <f>VLOOKUP($N94,$N94:$CH94,MATCH('Character Sheet'!$BJ$3,Skills!$N$1:$CH$1,0),FALSE)</f>
        <v>0</v>
      </c>
    </row>
    <row r="95" spans="1:50" x14ac:dyDescent="0.25">
      <c r="A95" s="4" t="s">
        <v>2241</v>
      </c>
      <c r="B95" s="4" t="e">
        <f t="shared" ref="B95:B158" si="54">IF(A95="Y",B94+1,IF(A95="N",B94,IF(S95="- -",B94,IF(S95&gt;0,B94+1,B94))))</f>
        <v>#N/A</v>
      </c>
      <c r="E95" s="4"/>
      <c r="F95" s="4">
        <f t="shared" si="37"/>
        <v>0</v>
      </c>
      <c r="G95" s="4"/>
      <c r="H95" s="4" t="e">
        <f t="shared" si="40"/>
        <v>#N/A</v>
      </c>
      <c r="I95" s="4">
        <f t="shared" si="50"/>
        <v>1</v>
      </c>
      <c r="J95" s="4">
        <f t="shared" si="32"/>
        <v>0</v>
      </c>
      <c r="K95" s="4" t="e">
        <f t="shared" si="33"/>
        <v>#N/A</v>
      </c>
      <c r="M95" t="str">
        <f t="shared" si="53"/>
        <v>Ranged, Firearm</v>
      </c>
      <c r="N95" s="3" t="str">
        <f>'Character Sheet'!AIT30</f>
        <v>Firearm</v>
      </c>
      <c r="O95" s="4" t="s">
        <v>790</v>
      </c>
      <c r="P95" s="4" t="s">
        <v>788</v>
      </c>
      <c r="Q95" s="4" t="e">
        <f t="shared" si="27"/>
        <v>#N/A</v>
      </c>
      <c r="R95" s="4">
        <f>IF(ISNUMBER(SEARCH("Category",N95)),"- -",IF(ISNUMBER(SEARCH("Skills",N95)),"- -",'Level-up'!C113))</f>
        <v>0</v>
      </c>
      <c r="S95" s="4" t="e">
        <f t="shared" si="34"/>
        <v>#N/A</v>
      </c>
      <c r="T95" s="4" t="e">
        <f t="shared" si="35"/>
        <v>#N/A</v>
      </c>
      <c r="U95" s="4">
        <f t="shared" ca="1" si="38"/>
        <v>8</v>
      </c>
      <c r="V95" s="4">
        <f t="shared" si="51"/>
        <v>0</v>
      </c>
      <c r="W95" s="4" t="e">
        <f t="shared" si="28"/>
        <v>#N/A</v>
      </c>
      <c r="X95" s="4">
        <f>IF(ISNUMBER(SEARCH("Category",N95)),"- -",IF(ISNUMBER(SEARCH("Skills",N95)),"- -",'Character Sheet'!$EG$12))</f>
        <v>-1</v>
      </c>
      <c r="Y95" s="4">
        <f t="shared" si="43"/>
        <v>0</v>
      </c>
      <c r="Z95" s="4">
        <f t="shared" si="44"/>
        <v>0</v>
      </c>
      <c r="AA95" s="4">
        <f t="shared" si="45"/>
        <v>0</v>
      </c>
      <c r="AB95" s="4">
        <f t="shared" si="46"/>
        <v>0</v>
      </c>
      <c r="AC95" s="8"/>
      <c r="AD95" s="4"/>
      <c r="AE95" s="4"/>
      <c r="AF95" s="4" t="e">
        <f t="shared" si="49"/>
        <v>#N/A</v>
      </c>
      <c r="AG95" s="4"/>
      <c r="AH95" s="4">
        <f>IFERROR(VLOOKUP(M95,Calculations!$AC$2:$AD$251,2,FALSE),0)</f>
        <v>0</v>
      </c>
      <c r="AI95" s="4" t="e">
        <f>VLOOKUP(N95,$N$2:$AS$620,MATCH('Character Creation'!$Z$12,Skills!$N$1:$AS$1,0),FALSE)</f>
        <v>#N/A</v>
      </c>
      <c r="AJ95" s="4" t="e">
        <f>VLOOKUP($N95,[2]Cultures!$B$4:$M$283,MATCH(AJ$1,[2]Cultures!$B$3:$M$3,0),FALSE)</f>
        <v>#N/A</v>
      </c>
      <c r="AK95" s="4" t="e">
        <f>VLOOKUP($N95,[2]Cultures!$B$4:$M$283,MATCH(AK$1,[2]Cultures!$B$3:$M$3,0),FALSE)</f>
        <v>#N/A</v>
      </c>
      <c r="AL95" s="4" t="e">
        <f>VLOOKUP($N95,[2]Cultures!$B$4:$M$283,MATCH(AL$1,[2]Cultures!$B$3:$M$3,0),FALSE)</f>
        <v>#N/A</v>
      </c>
      <c r="AM95" s="4" t="e">
        <f>VLOOKUP($N95,[2]Cultures!$B$4:$M$283,MATCH(AM$1,[2]Cultures!$B$3:$M$3,0),FALSE)</f>
        <v>#N/A</v>
      </c>
      <c r="AN95" s="4" t="e">
        <f>VLOOKUP($N95,[2]Cultures!$B$4:$M$283,MATCH(AN$1,[2]Cultures!$B$3:$M$3,0),FALSE)</f>
        <v>#N/A</v>
      </c>
      <c r="AO95" s="4" t="e">
        <f>VLOOKUP($N95,[2]Cultures!$B$4:$M$283,MATCH(AO$1,[2]Cultures!$B$3:$M$3,0),FALSE)</f>
        <v>#N/A</v>
      </c>
      <c r="AP95" s="4" t="e">
        <f>VLOOKUP($N95,[2]Cultures!$B$4:$M$283,MATCH(AP$1,[2]Cultures!$B$3:$M$3,0),FALSE)</f>
        <v>#N/A</v>
      </c>
      <c r="AQ95" s="4" t="e">
        <f>VLOOKUP($N95,[2]Cultures!$B$4:$M$283,MATCH(AQ$1,[2]Cultures!$B$3:$M$3,0),FALSE)</f>
        <v>#N/A</v>
      </c>
      <c r="AR95" s="4" t="e">
        <f>VLOOKUP($N95,[2]Cultures!$B$4:$M$283,MATCH(AR$1,[2]Cultures!$B$3:$M$3,0),FALSE)</f>
        <v>#N/A</v>
      </c>
      <c r="AS95" s="4" t="e">
        <f>VLOOKUP($N95,[2]Cultures!$B$4:$M$283,MATCH(AS$1,[2]Cultures!$B$3:$M$3,0),FALSE)</f>
        <v>#N/A</v>
      </c>
      <c r="AT95" s="4"/>
      <c r="AU95" s="4">
        <f>IF(ISNUMBER(SEARCH(N95&amp;";",Calculations!$Q$19)),VLOOKUP(Skills!N95,Calculations!$Q$2:$T$16,4,FALSE),0)</f>
        <v>0</v>
      </c>
      <c r="AV95" s="4">
        <f>IF(ISNUMBER(SEARCH(N95&amp;";",Calculations!$Q$18)),1,0)</f>
        <v>0</v>
      </c>
      <c r="AW95" s="4">
        <f t="shared" si="52"/>
        <v>1</v>
      </c>
      <c r="AX95" s="4">
        <f>VLOOKUP($N95,$N95:$CH95,MATCH('Character Sheet'!$BJ$3,Skills!$N$1:$CH$1,0),FALSE)</f>
        <v>0</v>
      </c>
    </row>
    <row r="96" spans="1:50" x14ac:dyDescent="0.25">
      <c r="A96" s="4" t="s">
        <v>2241</v>
      </c>
      <c r="B96" s="4" t="e">
        <f t="shared" si="54"/>
        <v>#N/A</v>
      </c>
      <c r="E96" s="4"/>
      <c r="F96" s="4">
        <f t="shared" si="37"/>
        <v>0</v>
      </c>
      <c r="G96" s="4"/>
      <c r="H96" s="4" t="e">
        <f t="shared" si="40"/>
        <v>#N/A</v>
      </c>
      <c r="I96" s="4">
        <f t="shared" si="50"/>
        <v>1</v>
      </c>
      <c r="J96" s="4">
        <f t="shared" si="32"/>
        <v>0</v>
      </c>
      <c r="K96" s="4" t="e">
        <f t="shared" si="33"/>
        <v>#N/A</v>
      </c>
      <c r="M96" t="str">
        <f t="shared" si="53"/>
        <v>Ranged, Greater Firearm</v>
      </c>
      <c r="N96" s="3" t="str">
        <f>'Character Sheet'!AIT31</f>
        <v>Greater Firearm</v>
      </c>
      <c r="O96" s="4" t="s">
        <v>790</v>
      </c>
      <c r="P96" s="4" t="s">
        <v>788</v>
      </c>
      <c r="Q96" s="4" t="e">
        <f t="shared" si="27"/>
        <v>#N/A</v>
      </c>
      <c r="R96" s="4">
        <f>IF(ISNUMBER(SEARCH("Category",N96)),"- -",IF(ISNUMBER(SEARCH("Skills",N96)),"- -",'Level-up'!C114))</f>
        <v>0</v>
      </c>
      <c r="S96" s="4" t="e">
        <f t="shared" si="34"/>
        <v>#N/A</v>
      </c>
      <c r="T96" s="4" t="e">
        <f t="shared" si="35"/>
        <v>#N/A</v>
      </c>
      <c r="U96" s="4">
        <f t="shared" ca="1" si="38"/>
        <v>8</v>
      </c>
      <c r="V96" s="4">
        <f t="shared" si="51"/>
        <v>0</v>
      </c>
      <c r="W96" s="4" t="e">
        <f t="shared" si="28"/>
        <v>#N/A</v>
      </c>
      <c r="X96" s="4">
        <f>IF(ISNUMBER(SEARCH("Category",N96)),"- -",IF(ISNUMBER(SEARCH("Skills",N96)),"- -",'Character Sheet'!$EG$12))</f>
        <v>-1</v>
      </c>
      <c r="Y96" s="4">
        <f t="shared" si="43"/>
        <v>0</v>
      </c>
      <c r="Z96" s="4">
        <f t="shared" si="44"/>
        <v>0</v>
      </c>
      <c r="AA96" s="4">
        <f t="shared" si="45"/>
        <v>0</v>
      </c>
      <c r="AB96" s="4">
        <f t="shared" si="46"/>
        <v>0</v>
      </c>
      <c r="AC96" s="8"/>
      <c r="AD96" s="4"/>
      <c r="AE96" s="4"/>
      <c r="AF96" s="4" t="e">
        <f t="shared" si="49"/>
        <v>#N/A</v>
      </c>
      <c r="AG96" s="4"/>
      <c r="AH96" s="4">
        <f>IFERROR(VLOOKUP(M96,Calculations!$AC$2:$AD$251,2,FALSE),0)</f>
        <v>0</v>
      </c>
      <c r="AI96" s="4" t="e">
        <f>VLOOKUP(N96,$N$2:$AS$620,MATCH('Character Creation'!$Z$12,Skills!$N$1:$AS$1,0),FALSE)</f>
        <v>#N/A</v>
      </c>
      <c r="AJ96" s="4" t="e">
        <f>VLOOKUP($N96,[2]Cultures!$B$4:$M$283,MATCH(AJ$1,[2]Cultures!$B$3:$M$3,0),FALSE)</f>
        <v>#N/A</v>
      </c>
      <c r="AK96" s="4" t="e">
        <f>VLOOKUP($N96,[2]Cultures!$B$4:$M$283,MATCH(AK$1,[2]Cultures!$B$3:$M$3,0),FALSE)</f>
        <v>#N/A</v>
      </c>
      <c r="AL96" s="4" t="e">
        <f>VLOOKUP($N96,[2]Cultures!$B$4:$M$283,MATCH(AL$1,[2]Cultures!$B$3:$M$3,0),FALSE)</f>
        <v>#N/A</v>
      </c>
      <c r="AM96" s="4" t="e">
        <f>VLOOKUP($N96,[2]Cultures!$B$4:$M$283,MATCH(AM$1,[2]Cultures!$B$3:$M$3,0),FALSE)</f>
        <v>#N/A</v>
      </c>
      <c r="AN96" s="4" t="e">
        <f>VLOOKUP($N96,[2]Cultures!$B$4:$M$283,MATCH(AN$1,[2]Cultures!$B$3:$M$3,0),FALSE)</f>
        <v>#N/A</v>
      </c>
      <c r="AO96" s="4" t="e">
        <f>VLOOKUP($N96,[2]Cultures!$B$4:$M$283,MATCH(AO$1,[2]Cultures!$B$3:$M$3,0),FALSE)</f>
        <v>#N/A</v>
      </c>
      <c r="AP96" s="4" t="e">
        <f>VLOOKUP($N96,[2]Cultures!$B$4:$M$283,MATCH(AP$1,[2]Cultures!$B$3:$M$3,0),FALSE)</f>
        <v>#N/A</v>
      </c>
      <c r="AQ96" s="4" t="e">
        <f>VLOOKUP($N96,[2]Cultures!$B$4:$M$283,MATCH(AQ$1,[2]Cultures!$B$3:$M$3,0),FALSE)</f>
        <v>#N/A</v>
      </c>
      <c r="AR96" s="4" t="e">
        <f>VLOOKUP($N96,[2]Cultures!$B$4:$M$283,MATCH(AR$1,[2]Cultures!$B$3:$M$3,0),FALSE)</f>
        <v>#N/A</v>
      </c>
      <c r="AS96" s="4" t="e">
        <f>VLOOKUP($N96,[2]Cultures!$B$4:$M$283,MATCH(AS$1,[2]Cultures!$B$3:$M$3,0),FALSE)</f>
        <v>#N/A</v>
      </c>
      <c r="AT96" s="4"/>
      <c r="AU96" s="4">
        <f>IF(ISNUMBER(SEARCH(N96&amp;";",Calculations!$Q$19)),VLOOKUP(Skills!N96,Calculations!$Q$2:$T$16,4,FALSE),0)</f>
        <v>0</v>
      </c>
      <c r="AV96" s="4">
        <f>IF(ISNUMBER(SEARCH(N96&amp;";",Calculations!$Q$18)),1,0)</f>
        <v>0</v>
      </c>
      <c r="AW96" s="4">
        <f t="shared" si="52"/>
        <v>1</v>
      </c>
      <c r="AX96" s="4">
        <f>VLOOKUP($N96,$N96:$CH96,MATCH('Character Sheet'!$BJ$3,Skills!$N$1:$CH$1,0),FALSE)</f>
        <v>0</v>
      </c>
    </row>
    <row r="97" spans="1:50" x14ac:dyDescent="0.25">
      <c r="B97" s="4" t="e">
        <f t="shared" si="54"/>
        <v>#N/A</v>
      </c>
      <c r="E97" s="4"/>
      <c r="F97" s="4">
        <f t="shared" si="37"/>
        <v>0</v>
      </c>
      <c r="G97" s="4"/>
      <c r="H97" s="4" t="e">
        <f t="shared" si="40"/>
        <v>#N/A</v>
      </c>
      <c r="I97" s="4">
        <f>IF($J$98=1,1,0)</f>
        <v>1</v>
      </c>
      <c r="J97" s="4">
        <f t="shared" si="32"/>
        <v>0</v>
      </c>
      <c r="K97" s="4">
        <f t="shared" si="33"/>
        <v>1</v>
      </c>
      <c r="N97" s="3" t="s">
        <v>635</v>
      </c>
      <c r="O97" s="6" t="s">
        <v>782</v>
      </c>
      <c r="P97" s="6" t="s">
        <v>782</v>
      </c>
      <c r="Q97" s="4" t="str">
        <f t="shared" si="27"/>
        <v>- -</v>
      </c>
      <c r="R97" s="4" t="str">
        <f>IF(ISNUMBER(SEARCH("Category",N97)),"- -",IF(ISNUMBER(SEARCH("Skills",N97)),"- -",'Level-up'!C115))</f>
        <v>- -</v>
      </c>
      <c r="S97" s="4" t="str">
        <f t="shared" si="34"/>
        <v>- -</v>
      </c>
      <c r="T97" s="4" t="str">
        <f t="shared" si="35"/>
        <v>- -</v>
      </c>
      <c r="U97" s="4" t="str">
        <f t="shared" ca="1" si="38"/>
        <v>- -</v>
      </c>
      <c r="V97" s="4" t="str">
        <f t="shared" si="51"/>
        <v>- -</v>
      </c>
      <c r="W97" s="4" t="str">
        <f t="shared" si="28"/>
        <v>- -</v>
      </c>
      <c r="X97" s="4" t="str">
        <f t="shared" ref="X97:X160" si="55">IF(ISNUMBER(SEARCH("Category",N97)),"- -",IF(ISNUMBER(SEARCH("Skills",N97)),"- -",0))</f>
        <v>- -</v>
      </c>
      <c r="Y97" s="4" t="str">
        <f t="shared" si="43"/>
        <v>- -</v>
      </c>
      <c r="Z97" s="4" t="str">
        <f t="shared" si="44"/>
        <v>- -</v>
      </c>
      <c r="AA97" s="4" t="str">
        <f t="shared" si="45"/>
        <v>- -</v>
      </c>
      <c r="AB97" s="4" t="str">
        <f t="shared" si="46"/>
        <v>- -</v>
      </c>
      <c r="AC97" s="8"/>
      <c r="AD97" s="4"/>
      <c r="AE97" s="4"/>
      <c r="AF97" s="4" t="str">
        <f t="shared" si="49"/>
        <v>- -</v>
      </c>
      <c r="AG97" s="4"/>
      <c r="AH97" s="4">
        <f>IFERROR(VLOOKUP(M97,Calculations!$AC$2:$AD$251,2,FALSE),0)</f>
        <v>0</v>
      </c>
      <c r="AI97" s="4" t="e">
        <f>VLOOKUP(N97,$N$2:$AS$620,MATCH('Character Creation'!$Z$12,Skills!$N$1:$AS$1,0),FALSE)</f>
        <v>#N/A</v>
      </c>
      <c r="AJ97" s="4" t="e">
        <f>VLOOKUP($N97,[2]Cultures!$B$4:$M$283,MATCH(AJ$1,[2]Cultures!$B$3:$M$3,0),FALSE)</f>
        <v>#N/A</v>
      </c>
      <c r="AK97" s="4" t="e">
        <f>VLOOKUP($N97,[2]Cultures!$B$4:$M$283,MATCH(AK$1,[2]Cultures!$B$3:$M$3,0),FALSE)</f>
        <v>#N/A</v>
      </c>
      <c r="AL97" s="4" t="e">
        <f>VLOOKUP($N97,[2]Cultures!$B$4:$M$283,MATCH(AL$1,[2]Cultures!$B$3:$M$3,0),FALSE)</f>
        <v>#N/A</v>
      </c>
      <c r="AM97" s="4" t="e">
        <f>VLOOKUP($N97,[2]Cultures!$B$4:$M$283,MATCH(AM$1,[2]Cultures!$B$3:$M$3,0),FALSE)</f>
        <v>#N/A</v>
      </c>
      <c r="AN97" s="4" t="e">
        <f>VLOOKUP($N97,[2]Cultures!$B$4:$M$283,MATCH(AN$1,[2]Cultures!$B$3:$M$3,0),FALSE)</f>
        <v>#N/A</v>
      </c>
      <c r="AO97" s="4" t="e">
        <f>VLOOKUP($N97,[2]Cultures!$B$4:$M$283,MATCH(AO$1,[2]Cultures!$B$3:$M$3,0),FALSE)</f>
        <v>#N/A</v>
      </c>
      <c r="AP97" s="4" t="e">
        <f>VLOOKUP($N97,[2]Cultures!$B$4:$M$283,MATCH(AP$1,[2]Cultures!$B$3:$M$3,0),FALSE)</f>
        <v>#N/A</v>
      </c>
      <c r="AQ97" s="4" t="e">
        <f>VLOOKUP($N97,[2]Cultures!$B$4:$M$283,MATCH(AQ$1,[2]Cultures!$B$3:$M$3,0),FALSE)</f>
        <v>#N/A</v>
      </c>
      <c r="AR97" s="4" t="e">
        <f>VLOOKUP($N97,[2]Cultures!$B$4:$M$283,MATCH(AR$1,[2]Cultures!$B$3:$M$3,0),FALSE)</f>
        <v>#N/A</v>
      </c>
      <c r="AS97" s="4" t="e">
        <f>VLOOKUP($N97,[2]Cultures!$B$4:$M$283,MATCH(AS$1,[2]Cultures!$B$3:$M$3,0),FALSE)</f>
        <v>#N/A</v>
      </c>
      <c r="AT97" s="4"/>
      <c r="AU97" s="4">
        <f>IF(ISNUMBER(SEARCH(N97&amp;";",Calculations!$Q$19)),VLOOKUP(Skills!N97,Calculations!$Q$2:$T$16,4,FALSE),0)</f>
        <v>0</v>
      </c>
      <c r="AV97" s="4">
        <f>IF(ISNUMBER(SEARCH(N97&amp;";",Calculations!$Q$18)),1,0)</f>
        <v>0</v>
      </c>
      <c r="AW97" s="4"/>
      <c r="AX97" s="4">
        <f>VLOOKUP($N97,$N97:$CH97,MATCH('Character Sheet'!$BJ$3,Skills!$N$1:$CH$1,0),FALSE)</f>
        <v>0</v>
      </c>
    </row>
    <row r="98" spans="1:50" x14ac:dyDescent="0.25">
      <c r="B98" s="4" t="e">
        <f t="shared" si="54"/>
        <v>#N/A</v>
      </c>
      <c r="E98" s="4"/>
      <c r="F98" s="4">
        <f t="shared" si="37"/>
        <v>0</v>
      </c>
      <c r="G98" s="4"/>
      <c r="H98" s="4" t="e">
        <f t="shared" si="40"/>
        <v>#N/A</v>
      </c>
      <c r="I98" s="4">
        <v>0</v>
      </c>
      <c r="J98" s="4">
        <f t="shared" si="32"/>
        <v>1</v>
      </c>
      <c r="K98" s="4">
        <f t="shared" ref="K98:K129" si="56">IF(ISNUMBER(SEARCH("Category",N98)),K99,AI98)</f>
        <v>1</v>
      </c>
      <c r="N98" s="3" t="s">
        <v>636</v>
      </c>
      <c r="O98" s="6" t="s">
        <v>782</v>
      </c>
      <c r="P98" s="6" t="s">
        <v>782</v>
      </c>
      <c r="Q98" s="4" t="str">
        <f t="shared" si="27"/>
        <v>- -</v>
      </c>
      <c r="R98" s="4" t="str">
        <f>IF(ISNUMBER(SEARCH("Category",N98)),"- -",IF(ISNUMBER(SEARCH("Skills",N98)),"- -",'Level-up'!C116))</f>
        <v>- -</v>
      </c>
      <c r="S98" s="4" t="str">
        <f t="shared" si="34"/>
        <v>- -</v>
      </c>
      <c r="T98" s="4" t="str">
        <f t="shared" si="35"/>
        <v>- -</v>
      </c>
      <c r="U98" s="4" t="str">
        <f t="shared" ca="1" si="38"/>
        <v>- -</v>
      </c>
      <c r="V98" s="4" t="str">
        <f t="shared" si="51"/>
        <v>- -</v>
      </c>
      <c r="W98" s="4" t="str">
        <f t="shared" si="28"/>
        <v>- -</v>
      </c>
      <c r="X98" s="4" t="str">
        <f t="shared" si="55"/>
        <v>- -</v>
      </c>
      <c r="Y98" s="4" t="str">
        <f t="shared" si="43"/>
        <v>- -</v>
      </c>
      <c r="Z98" s="4" t="str">
        <f t="shared" si="44"/>
        <v>- -</v>
      </c>
      <c r="AA98" s="4" t="str">
        <f t="shared" si="45"/>
        <v>- -</v>
      </c>
      <c r="AB98" s="4" t="str">
        <f t="shared" si="46"/>
        <v>- -</v>
      </c>
      <c r="AC98" s="8"/>
      <c r="AD98" s="4"/>
      <c r="AE98" s="4"/>
      <c r="AF98" s="4" t="str">
        <f t="shared" si="49"/>
        <v>- -</v>
      </c>
      <c r="AG98" s="4"/>
      <c r="AH98" s="4">
        <f>IFERROR(VLOOKUP(M98,Calculations!$AC$2:$AD$251,2,FALSE),0)</f>
        <v>0</v>
      </c>
      <c r="AI98" s="4">
        <f>VLOOKUP(N98,$N$2:$AS$620,MATCH('Character Creation'!$Z$12,Skills!$N$1:$AS$1,0),FALSE)</f>
        <v>1</v>
      </c>
      <c r="AJ98" s="4">
        <f>VLOOKUP($N98,[2]Cultures!$B$4:$M$283,MATCH(AJ$1,[2]Cultures!$B$3:$M$3,0),FALSE)</f>
        <v>1</v>
      </c>
      <c r="AK98" s="4">
        <f>VLOOKUP($N98,[2]Cultures!$B$4:$M$283,MATCH(AK$1,[2]Cultures!$B$3:$M$3,0),FALSE)</f>
        <v>1</v>
      </c>
      <c r="AL98" s="4">
        <f>VLOOKUP($N98,[2]Cultures!$B$4:$M$283,MATCH(AL$1,[2]Cultures!$B$3:$M$3,0),FALSE)</f>
        <v>1</v>
      </c>
      <c r="AM98" s="4">
        <f>VLOOKUP($N98,[2]Cultures!$B$4:$M$283,MATCH(AM$1,[2]Cultures!$B$3:$M$3,0),FALSE)</f>
        <v>1</v>
      </c>
      <c r="AN98" s="4">
        <f>VLOOKUP($N98,[2]Cultures!$B$4:$M$283,MATCH(AN$1,[2]Cultures!$B$3:$M$3,0),FALSE)</f>
        <v>1</v>
      </c>
      <c r="AO98" s="4">
        <f>VLOOKUP($N98,[2]Cultures!$B$4:$M$283,MATCH(AO$1,[2]Cultures!$B$3:$M$3,0),FALSE)</f>
        <v>2</v>
      </c>
      <c r="AP98" s="4">
        <f>VLOOKUP($N98,[2]Cultures!$B$4:$M$283,MATCH(AP$1,[2]Cultures!$B$3:$M$3,0),FALSE)</f>
        <v>1</v>
      </c>
      <c r="AQ98" s="4">
        <f>VLOOKUP($N98,[2]Cultures!$B$4:$M$283,MATCH(AQ$1,[2]Cultures!$B$3:$M$3,0),FALSE)</f>
        <v>1</v>
      </c>
      <c r="AR98" s="4">
        <f>VLOOKUP($N98,[2]Cultures!$B$4:$M$283,MATCH(AR$1,[2]Cultures!$B$3:$M$3,0),FALSE)</f>
        <v>1</v>
      </c>
      <c r="AS98" s="4">
        <f>VLOOKUP($N98,[2]Cultures!$B$4:$M$283,MATCH(AS$1,[2]Cultures!$B$3:$M$3,0),FALSE)</f>
        <v>1</v>
      </c>
      <c r="AT98" s="4"/>
      <c r="AU98" s="4">
        <f>IF(ISNUMBER(SEARCH(N98&amp;";",Calculations!$Q$19)),VLOOKUP(Skills!N98,Calculations!$Q$2:$T$16,4,FALSE),0)</f>
        <v>0</v>
      </c>
      <c r="AV98" s="4">
        <f>IF(ISNUMBER(SEARCH(N98&amp;";",Calculations!$Q$18)),1,0)</f>
        <v>0</v>
      </c>
      <c r="AW98" s="4"/>
      <c r="AX98" s="4">
        <f>VLOOKUP($N98,$N98:$CH98,MATCH('Character Sheet'!$BJ$3,Skills!$N$1:$CH$1,0),FALSE)</f>
        <v>0</v>
      </c>
    </row>
    <row r="99" spans="1:50" x14ac:dyDescent="0.25">
      <c r="A99" s="4" t="s">
        <v>2241</v>
      </c>
      <c r="B99" s="4" t="e">
        <f t="shared" si="54"/>
        <v>#N/A</v>
      </c>
      <c r="E99" s="4"/>
      <c r="F99" s="4">
        <f t="shared" si="37"/>
        <v>0</v>
      </c>
      <c r="G99" s="4"/>
      <c r="H99" s="4" t="e">
        <f t="shared" si="40"/>
        <v>#N/A</v>
      </c>
      <c r="I99" s="4">
        <f>IF($J$98=1,1,0)</f>
        <v>1</v>
      </c>
      <c r="J99" s="4">
        <f t="shared" si="32"/>
        <v>0</v>
      </c>
      <c r="K99" s="4" t="e">
        <f t="shared" si="56"/>
        <v>#N/A</v>
      </c>
      <c r="M99" t="str">
        <f>"Unarmed, "&amp;N99</f>
        <v>Unarmed, Strikes</v>
      </c>
      <c r="N99" s="3" t="str">
        <f>'Character Sheet'!AIT35</f>
        <v>Strikes</v>
      </c>
      <c r="O99" s="4" t="s">
        <v>790</v>
      </c>
      <c r="P99" s="4" t="s">
        <v>788</v>
      </c>
      <c r="Q99" s="4" t="e">
        <f t="shared" si="27"/>
        <v>#N/A</v>
      </c>
      <c r="R99" s="4">
        <f>IF(ISNUMBER(SEARCH("Category",N99)),"- -",IF(ISNUMBER(SEARCH("Skills",N99)),"- -",'Level-up'!C117))</f>
        <v>0</v>
      </c>
      <c r="S99" s="4" t="e">
        <f t="shared" si="34"/>
        <v>#N/A</v>
      </c>
      <c r="T99" s="4" t="e">
        <f t="shared" si="35"/>
        <v>#N/A</v>
      </c>
      <c r="U99" s="4">
        <f t="shared" ca="1" si="38"/>
        <v>8</v>
      </c>
      <c r="V99" s="4">
        <f>IF(ISNUMBER(SEARCH("Category",N99)),"- -",IF(ISNUMBER(SEARCH("Skills",N99)),"- -",IF(AU99&gt;0,AU99,IF($AU$97&gt;0,$AU$97,$AU$68))))</f>
        <v>0</v>
      </c>
      <c r="W99" s="4">
        <f t="shared" si="28"/>
        <v>0</v>
      </c>
      <c r="X99" s="4">
        <f t="shared" si="55"/>
        <v>0</v>
      </c>
      <c r="Y99" s="4">
        <f t="shared" si="43"/>
        <v>0</v>
      </c>
      <c r="Z99" s="4">
        <f t="shared" si="44"/>
        <v>0</v>
      </c>
      <c r="AA99" s="4">
        <f t="shared" si="45"/>
        <v>0</v>
      </c>
      <c r="AB99" s="4">
        <f t="shared" si="46"/>
        <v>0</v>
      </c>
      <c r="AC99" s="8"/>
      <c r="AD99" s="4"/>
      <c r="AE99" s="4"/>
      <c r="AF99" s="4" t="e">
        <f t="shared" si="49"/>
        <v>#N/A</v>
      </c>
      <c r="AG99" s="4"/>
      <c r="AH99" s="4">
        <f>IFERROR(VLOOKUP(M99,Calculations!$AC$2:$AD$251,2,FALSE),0)</f>
        <v>0</v>
      </c>
      <c r="AI99" s="4" t="e">
        <f>VLOOKUP(N99,$N$2:$AS$620,MATCH('Character Creation'!$Z$12,Skills!$N$1:$AS$1,0),FALSE)</f>
        <v>#N/A</v>
      </c>
      <c r="AJ99" s="4" t="e">
        <f>VLOOKUP($N99,[2]Cultures!$B$4:$M$283,MATCH(AJ$1,[2]Cultures!$B$3:$M$3,0),FALSE)</f>
        <v>#N/A</v>
      </c>
      <c r="AK99" s="4" t="e">
        <f>VLOOKUP($N99,[2]Cultures!$B$4:$M$283,MATCH(AK$1,[2]Cultures!$B$3:$M$3,0),FALSE)</f>
        <v>#N/A</v>
      </c>
      <c r="AL99" s="4" t="e">
        <f>VLOOKUP($N99,[2]Cultures!$B$4:$M$283,MATCH(AL$1,[2]Cultures!$B$3:$M$3,0),FALSE)</f>
        <v>#N/A</v>
      </c>
      <c r="AM99" s="4" t="e">
        <f>VLOOKUP($N99,[2]Cultures!$B$4:$M$283,MATCH(AM$1,[2]Cultures!$B$3:$M$3,0),FALSE)</f>
        <v>#N/A</v>
      </c>
      <c r="AN99" s="4" t="e">
        <f>VLOOKUP($N99,[2]Cultures!$B$4:$M$283,MATCH(AN$1,[2]Cultures!$B$3:$M$3,0),FALSE)</f>
        <v>#N/A</v>
      </c>
      <c r="AO99" s="4" t="e">
        <f>VLOOKUP($N99,[2]Cultures!$B$4:$M$283,MATCH(AO$1,[2]Cultures!$B$3:$M$3,0),FALSE)</f>
        <v>#N/A</v>
      </c>
      <c r="AP99" s="4" t="e">
        <f>VLOOKUP($N99,[2]Cultures!$B$4:$M$283,MATCH(AP$1,[2]Cultures!$B$3:$M$3,0),FALSE)</f>
        <v>#N/A</v>
      </c>
      <c r="AQ99" s="4" t="e">
        <f>VLOOKUP($N99,[2]Cultures!$B$4:$M$283,MATCH(AQ$1,[2]Cultures!$B$3:$M$3,0),FALSE)</f>
        <v>#N/A</v>
      </c>
      <c r="AR99" s="4" t="e">
        <f>VLOOKUP($N99,[2]Cultures!$B$4:$M$283,MATCH(AR$1,[2]Cultures!$B$3:$M$3,0),FALSE)</f>
        <v>#N/A</v>
      </c>
      <c r="AS99" s="4" t="e">
        <f>VLOOKUP($N99,[2]Cultures!$B$4:$M$283,MATCH(AS$1,[2]Cultures!$B$3:$M$3,0),FALSE)</f>
        <v>#N/A</v>
      </c>
      <c r="AT99" s="4"/>
      <c r="AU99" s="4">
        <f>IF(ISNUMBER(SEARCH(N99&amp;";",Calculations!$Q$19)),VLOOKUP(Skills!N99,Calculations!$Q$2:$T$16,4,FALSE),0)</f>
        <v>0</v>
      </c>
      <c r="AV99" s="4">
        <f>IF(ISNUMBER(SEARCH(N99&amp;";",Calculations!$Q$18)),1,0)</f>
        <v>0</v>
      </c>
      <c r="AW99" s="4">
        <f>IF($AV$68=1,1,IF($AV$97=1,1,AV99))</f>
        <v>0</v>
      </c>
      <c r="AX99" s="4">
        <f>VLOOKUP($N99,$N99:$CH99,MATCH('Character Sheet'!$BJ$3,Skills!$N$1:$CH$1,0),FALSE)</f>
        <v>0</v>
      </c>
    </row>
    <row r="100" spans="1:50" x14ac:dyDescent="0.25">
      <c r="A100" s="4" t="s">
        <v>2241</v>
      </c>
      <c r="B100" s="4" t="e">
        <f t="shared" si="54"/>
        <v>#N/A</v>
      </c>
      <c r="E100" s="4"/>
      <c r="F100" s="4">
        <f t="shared" si="37"/>
        <v>0</v>
      </c>
      <c r="G100" s="4"/>
      <c r="H100" s="4" t="e">
        <f t="shared" si="40"/>
        <v>#N/A</v>
      </c>
      <c r="I100" s="4">
        <f>IF($J$98=1,1,0)</f>
        <v>1</v>
      </c>
      <c r="J100" s="4">
        <f t="shared" si="32"/>
        <v>0</v>
      </c>
      <c r="K100" s="4" t="e">
        <f t="shared" si="56"/>
        <v>#N/A</v>
      </c>
      <c r="M100" t="str">
        <f>"Unarmed, "&amp;N100</f>
        <v>Unarmed, Sweeps &amp; Throws</v>
      </c>
      <c r="N100" s="3" t="str">
        <f>'Character Sheet'!AIT36</f>
        <v>Sweeps &amp; Throws</v>
      </c>
      <c r="O100" s="4" t="s">
        <v>790</v>
      </c>
      <c r="P100" s="4" t="s">
        <v>786</v>
      </c>
      <c r="Q100" s="4" t="e">
        <f t="shared" ref="Q100:Q163" si="57">IF(ISNUMBER(SEARCH("Category",N100)),"- -",IF(ISNUMBER(SEARCH("Skills",N100)),"- -",AH100+AI100))</f>
        <v>#N/A</v>
      </c>
      <c r="R100" s="4">
        <f>IF(ISNUMBER(SEARCH("Category",N100)),"- -",IF(ISNUMBER(SEARCH("Skills",N100)),"- -",'Level-up'!C118))</f>
        <v>0</v>
      </c>
      <c r="S100" s="4" t="e">
        <f t="shared" si="34"/>
        <v>#N/A</v>
      </c>
      <c r="T100" s="4" t="e">
        <f t="shared" si="35"/>
        <v>#N/A</v>
      </c>
      <c r="U100" s="4">
        <f t="shared" ca="1" si="38"/>
        <v>7</v>
      </c>
      <c r="V100" s="4">
        <f>IF(ISNUMBER(SEARCH("Category",N100)),"- -",IF(ISNUMBER(SEARCH("Skills",N100)),"- -",IF(AU100&gt;0,AU100,IF($AU$97&gt;0,$AU$97,$AU$68))))</f>
        <v>0</v>
      </c>
      <c r="W100" s="4">
        <f t="shared" ref="W100:W163" si="58">IF(ISNUMBER(SEARCH("Category",N100)),"- -",IF(ISNUMBER(SEARCH("Skills",N100)),"- -",IF(AW100=1,MIN(S100,30),0)))</f>
        <v>0</v>
      </c>
      <c r="X100" s="4">
        <f t="shared" si="55"/>
        <v>0</v>
      </c>
      <c r="Y100" s="4">
        <f t="shared" si="43"/>
        <v>0</v>
      </c>
      <c r="Z100" s="4">
        <f t="shared" si="44"/>
        <v>0</v>
      </c>
      <c r="AA100" s="4">
        <f t="shared" si="45"/>
        <v>0</v>
      </c>
      <c r="AB100" s="4">
        <f t="shared" si="46"/>
        <v>0</v>
      </c>
      <c r="AC100" s="8"/>
      <c r="AD100" s="4"/>
      <c r="AE100" s="4"/>
      <c r="AF100" s="4" t="e">
        <f t="shared" si="49"/>
        <v>#N/A</v>
      </c>
      <c r="AG100" s="4"/>
      <c r="AH100" s="4">
        <f>IFERROR(VLOOKUP(M100,Calculations!$AC$2:$AD$251,2,FALSE),0)</f>
        <v>0</v>
      </c>
      <c r="AI100" s="4" t="e">
        <f>VLOOKUP(N100,$N$2:$AS$620,MATCH('Character Creation'!$Z$12,Skills!$N$1:$AS$1,0),FALSE)</f>
        <v>#N/A</v>
      </c>
      <c r="AJ100" s="4" t="e">
        <f>VLOOKUP($N100,[2]Cultures!$B$4:$M$283,MATCH(AJ$1,[2]Cultures!$B$3:$M$3,0),FALSE)</f>
        <v>#N/A</v>
      </c>
      <c r="AK100" s="4" t="e">
        <f>VLOOKUP($N100,[2]Cultures!$B$4:$M$283,MATCH(AK$1,[2]Cultures!$B$3:$M$3,0),FALSE)</f>
        <v>#N/A</v>
      </c>
      <c r="AL100" s="4" t="e">
        <f>VLOOKUP($N100,[2]Cultures!$B$4:$M$283,MATCH(AL$1,[2]Cultures!$B$3:$M$3,0),FALSE)</f>
        <v>#N/A</v>
      </c>
      <c r="AM100" s="4" t="e">
        <f>VLOOKUP($N100,[2]Cultures!$B$4:$M$283,MATCH(AM$1,[2]Cultures!$B$3:$M$3,0),FALSE)</f>
        <v>#N/A</v>
      </c>
      <c r="AN100" s="4" t="e">
        <f>VLOOKUP($N100,[2]Cultures!$B$4:$M$283,MATCH(AN$1,[2]Cultures!$B$3:$M$3,0),FALSE)</f>
        <v>#N/A</v>
      </c>
      <c r="AO100" s="4" t="e">
        <f>VLOOKUP($N100,[2]Cultures!$B$4:$M$283,MATCH(AO$1,[2]Cultures!$B$3:$M$3,0),FALSE)</f>
        <v>#N/A</v>
      </c>
      <c r="AP100" s="4" t="e">
        <f>VLOOKUP($N100,[2]Cultures!$B$4:$M$283,MATCH(AP$1,[2]Cultures!$B$3:$M$3,0),FALSE)</f>
        <v>#N/A</v>
      </c>
      <c r="AQ100" s="4" t="e">
        <f>VLOOKUP($N100,[2]Cultures!$B$4:$M$283,MATCH(AQ$1,[2]Cultures!$B$3:$M$3,0),FALSE)</f>
        <v>#N/A</v>
      </c>
      <c r="AR100" s="4" t="e">
        <f>VLOOKUP($N100,[2]Cultures!$B$4:$M$283,MATCH(AR$1,[2]Cultures!$B$3:$M$3,0),FALSE)</f>
        <v>#N/A</v>
      </c>
      <c r="AS100" s="4" t="e">
        <f>VLOOKUP($N100,[2]Cultures!$B$4:$M$283,MATCH(AS$1,[2]Cultures!$B$3:$M$3,0),FALSE)</f>
        <v>#N/A</v>
      </c>
      <c r="AT100" s="4"/>
      <c r="AU100" s="4">
        <f>IF(ISNUMBER(SEARCH(N100&amp;";",Calculations!$Q$19)),VLOOKUP(Skills!N100,Calculations!$Q$2:$T$16,4,FALSE),0)</f>
        <v>0</v>
      </c>
      <c r="AV100" s="4">
        <f>IF(ISNUMBER(SEARCH(N100&amp;";",Calculations!$Q$18)),1,0)</f>
        <v>0</v>
      </c>
      <c r="AW100" s="4">
        <f>IF($AV$68=1,1,IF($AV$97=1,1,AV100))</f>
        <v>0</v>
      </c>
      <c r="AX100" s="4">
        <f>VLOOKUP($N100,$N100:$CH100,MATCH('Character Sheet'!$BJ$3,Skills!$N$1:$CH$1,0),FALSE)</f>
        <v>0</v>
      </c>
    </row>
    <row r="101" spans="1:50" x14ac:dyDescent="0.25">
      <c r="A101" s="4" t="s">
        <v>2241</v>
      </c>
      <c r="B101" s="4" t="e">
        <f t="shared" si="54"/>
        <v>#N/A</v>
      </c>
      <c r="E101" s="4"/>
      <c r="F101" s="4">
        <f t="shared" si="37"/>
        <v>0</v>
      </c>
      <c r="G101" s="4"/>
      <c r="H101" s="4" t="e">
        <f t="shared" si="40"/>
        <v>#N/A</v>
      </c>
      <c r="I101" s="4">
        <f>IF($J$98=1,1,0)</f>
        <v>1</v>
      </c>
      <c r="J101" s="4">
        <f t="shared" si="32"/>
        <v>0</v>
      </c>
      <c r="K101" s="4" t="e">
        <f t="shared" si="56"/>
        <v>#N/A</v>
      </c>
      <c r="M101" t="str">
        <f>"Unarmed, "&amp;N101</f>
        <v>Unarmed, Wrestling</v>
      </c>
      <c r="N101" s="3" t="str">
        <f>'Character Sheet'!AIT37</f>
        <v>Wrestling</v>
      </c>
      <c r="O101" s="4" t="s">
        <v>790</v>
      </c>
      <c r="P101" s="4" t="s">
        <v>786</v>
      </c>
      <c r="Q101" s="4" t="e">
        <f t="shared" si="57"/>
        <v>#N/A</v>
      </c>
      <c r="R101" s="4">
        <f>IF(ISNUMBER(SEARCH("Category",N101)),"- -",IF(ISNUMBER(SEARCH("Skills",N101)),"- -",'Level-up'!C119))</f>
        <v>0</v>
      </c>
      <c r="S101" s="4" t="e">
        <f t="shared" si="34"/>
        <v>#N/A</v>
      </c>
      <c r="T101" s="4" t="e">
        <f t="shared" si="35"/>
        <v>#N/A</v>
      </c>
      <c r="U101" s="4">
        <f t="shared" ca="1" si="38"/>
        <v>7</v>
      </c>
      <c r="V101" s="4">
        <f>IF(ISNUMBER(SEARCH("Category",N101)),"- -",IF(ISNUMBER(SEARCH("Skills",N101)),"- -",IF(AU101&gt;0,AU101,IF($AU$97&gt;0,$AU$97,$AU$68))))</f>
        <v>0</v>
      </c>
      <c r="W101" s="4">
        <f t="shared" si="58"/>
        <v>0</v>
      </c>
      <c r="X101" s="4">
        <f t="shared" si="55"/>
        <v>0</v>
      </c>
      <c r="Y101" s="4">
        <f t="shared" si="43"/>
        <v>0</v>
      </c>
      <c r="Z101" s="4">
        <f t="shared" si="44"/>
        <v>0</v>
      </c>
      <c r="AA101" s="4">
        <f t="shared" si="45"/>
        <v>0</v>
      </c>
      <c r="AB101" s="4">
        <f t="shared" si="46"/>
        <v>0</v>
      </c>
      <c r="AC101" s="8"/>
      <c r="AD101" s="4"/>
      <c r="AE101" s="4"/>
      <c r="AF101" s="4" t="e">
        <f t="shared" si="49"/>
        <v>#N/A</v>
      </c>
      <c r="AG101" s="4"/>
      <c r="AH101" s="4">
        <f>IFERROR(VLOOKUP(M101,Calculations!$AC$2:$AD$251,2,FALSE),0)</f>
        <v>0</v>
      </c>
      <c r="AI101" s="4" t="e">
        <f>VLOOKUP(N101,$N$2:$AS$620,MATCH('Character Creation'!$Z$12,Skills!$N$1:$AS$1,0),FALSE)</f>
        <v>#N/A</v>
      </c>
      <c r="AJ101" s="4" t="e">
        <f>VLOOKUP($N101,[2]Cultures!$B$4:$M$283,MATCH(AJ$1,[2]Cultures!$B$3:$M$3,0),FALSE)</f>
        <v>#N/A</v>
      </c>
      <c r="AK101" s="4" t="e">
        <f>VLOOKUP($N101,[2]Cultures!$B$4:$M$283,MATCH(AK$1,[2]Cultures!$B$3:$M$3,0),FALSE)</f>
        <v>#N/A</v>
      </c>
      <c r="AL101" s="4" t="e">
        <f>VLOOKUP($N101,[2]Cultures!$B$4:$M$283,MATCH(AL$1,[2]Cultures!$B$3:$M$3,0),FALSE)</f>
        <v>#N/A</v>
      </c>
      <c r="AM101" s="4" t="e">
        <f>VLOOKUP($N101,[2]Cultures!$B$4:$M$283,MATCH(AM$1,[2]Cultures!$B$3:$M$3,0),FALSE)</f>
        <v>#N/A</v>
      </c>
      <c r="AN101" s="4" t="e">
        <f>VLOOKUP($N101,[2]Cultures!$B$4:$M$283,MATCH(AN$1,[2]Cultures!$B$3:$M$3,0),FALSE)</f>
        <v>#N/A</v>
      </c>
      <c r="AO101" s="4" t="e">
        <f>VLOOKUP($N101,[2]Cultures!$B$4:$M$283,MATCH(AO$1,[2]Cultures!$B$3:$M$3,0),FALSE)</f>
        <v>#N/A</v>
      </c>
      <c r="AP101" s="4" t="e">
        <f>VLOOKUP($N101,[2]Cultures!$B$4:$M$283,MATCH(AP$1,[2]Cultures!$B$3:$M$3,0),FALSE)</f>
        <v>#N/A</v>
      </c>
      <c r="AQ101" s="4" t="e">
        <f>VLOOKUP($N101,[2]Cultures!$B$4:$M$283,MATCH(AQ$1,[2]Cultures!$B$3:$M$3,0),FALSE)</f>
        <v>#N/A</v>
      </c>
      <c r="AR101" s="4" t="e">
        <f>VLOOKUP($N101,[2]Cultures!$B$4:$M$283,MATCH(AR$1,[2]Cultures!$B$3:$M$3,0),FALSE)</f>
        <v>#N/A</v>
      </c>
      <c r="AS101" s="4" t="e">
        <f>VLOOKUP($N101,[2]Cultures!$B$4:$M$283,MATCH(AS$1,[2]Cultures!$B$3:$M$3,0),FALSE)</f>
        <v>#N/A</v>
      </c>
      <c r="AT101" s="4"/>
      <c r="AU101" s="4">
        <f>IF(ISNUMBER(SEARCH(N101&amp;";",Calculations!$Q$19)),VLOOKUP(Skills!N101,Calculations!$Q$2:$T$16,4,FALSE),0)</f>
        <v>0</v>
      </c>
      <c r="AV101" s="4">
        <f>IF(ISNUMBER(SEARCH(N101&amp;";",Calculations!$Q$18)),1,0)</f>
        <v>0</v>
      </c>
      <c r="AW101" s="4">
        <f>IF($AV$68=1,1,IF($AV$97=1,1,AV101))</f>
        <v>0</v>
      </c>
      <c r="AX101" s="4">
        <f>VLOOKUP($N101,$N101:$CH101,MATCH('Character Sheet'!$BJ$3,Skills!$N$1:$CH$1,0),FALSE)</f>
        <v>0</v>
      </c>
    </row>
    <row r="102" spans="1:50" x14ac:dyDescent="0.25">
      <c r="B102" s="4" t="e">
        <f t="shared" si="54"/>
        <v>#N/A</v>
      </c>
      <c r="E102" s="4"/>
      <c r="F102" s="4">
        <f t="shared" si="37"/>
        <v>0</v>
      </c>
      <c r="G102" s="4"/>
      <c r="H102" s="4" t="e">
        <f t="shared" si="40"/>
        <v>#N/A</v>
      </c>
      <c r="I102" s="4" t="e">
        <f>IF($J$103=1,1,0)</f>
        <v>#N/A</v>
      </c>
      <c r="J102" s="4">
        <f t="shared" si="32"/>
        <v>0</v>
      </c>
      <c r="K102" s="4" t="e">
        <f t="shared" si="56"/>
        <v>#N/A</v>
      </c>
      <c r="N102" s="3" t="s">
        <v>637</v>
      </c>
      <c r="O102" s="6" t="s">
        <v>782</v>
      </c>
      <c r="P102" s="6" t="s">
        <v>782</v>
      </c>
      <c r="Q102" s="4" t="str">
        <f t="shared" si="57"/>
        <v>- -</v>
      </c>
      <c r="R102" s="4" t="str">
        <f>IF(ISNUMBER(SEARCH("Category",N102)),"- -",IF(ISNUMBER(SEARCH("Skills",N102)),"- -",'Level-up'!C120))</f>
        <v>- -</v>
      </c>
      <c r="S102" s="4" t="str">
        <f t="shared" si="34"/>
        <v>- -</v>
      </c>
      <c r="T102" s="4" t="str">
        <f t="shared" si="35"/>
        <v>- -</v>
      </c>
      <c r="U102" s="4" t="str">
        <f t="shared" ca="1" si="38"/>
        <v>- -</v>
      </c>
      <c r="V102" s="4" t="str">
        <f>IF(ISNUMBER(SEARCH("Category",N102)),"- -",IF(ISNUMBER(SEARCH("Skills",N102)),"- -",IF(AU102&gt;0,AU102,IF($AU$97&gt;0,$AU$97,$AU$68))))</f>
        <v>- -</v>
      </c>
      <c r="W102" s="4" t="str">
        <f t="shared" si="58"/>
        <v>- -</v>
      </c>
      <c r="X102" s="4" t="str">
        <f t="shared" si="55"/>
        <v>- -</v>
      </c>
      <c r="Y102" s="4" t="str">
        <f t="shared" si="43"/>
        <v>- -</v>
      </c>
      <c r="Z102" s="4" t="str">
        <f t="shared" si="44"/>
        <v>- -</v>
      </c>
      <c r="AA102" s="4" t="str">
        <f t="shared" si="45"/>
        <v>- -</v>
      </c>
      <c r="AB102" s="4" t="str">
        <f t="shared" si="46"/>
        <v>- -</v>
      </c>
      <c r="AC102" s="8"/>
      <c r="AD102" s="4"/>
      <c r="AE102" s="4"/>
      <c r="AF102" s="4" t="str">
        <f t="shared" si="49"/>
        <v>- -</v>
      </c>
      <c r="AG102" s="4"/>
      <c r="AH102" s="4">
        <f>IFERROR(VLOOKUP(M102,Calculations!$AC$2:$AD$251,2,FALSE),0)</f>
        <v>0</v>
      </c>
      <c r="AI102" s="4" t="e">
        <f>VLOOKUP(N102,$N$2:$AS$620,MATCH('Character Creation'!$Z$12,Skills!$N$1:$AS$1,0),FALSE)</f>
        <v>#N/A</v>
      </c>
      <c r="AJ102" s="4" t="e">
        <f>VLOOKUP($N102,[2]Cultures!$B$4:$M$283,MATCH(AJ$1,[2]Cultures!$B$3:$M$3,0),FALSE)</f>
        <v>#N/A</v>
      </c>
      <c r="AK102" s="4" t="e">
        <f>VLOOKUP($N102,[2]Cultures!$B$4:$M$283,MATCH(AK$1,[2]Cultures!$B$3:$M$3,0),FALSE)</f>
        <v>#N/A</v>
      </c>
      <c r="AL102" s="4" t="e">
        <f>VLOOKUP($N102,[2]Cultures!$B$4:$M$283,MATCH(AL$1,[2]Cultures!$B$3:$M$3,0),FALSE)</f>
        <v>#N/A</v>
      </c>
      <c r="AM102" s="4" t="e">
        <f>VLOOKUP($N102,[2]Cultures!$B$4:$M$283,MATCH(AM$1,[2]Cultures!$B$3:$M$3,0),FALSE)</f>
        <v>#N/A</v>
      </c>
      <c r="AN102" s="4" t="e">
        <f>VLOOKUP($N102,[2]Cultures!$B$4:$M$283,MATCH(AN$1,[2]Cultures!$B$3:$M$3,0),FALSE)</f>
        <v>#N/A</v>
      </c>
      <c r="AO102" s="4" t="e">
        <f>VLOOKUP($N102,[2]Cultures!$B$4:$M$283,MATCH(AO$1,[2]Cultures!$B$3:$M$3,0),FALSE)</f>
        <v>#N/A</v>
      </c>
      <c r="AP102" s="4" t="e">
        <f>VLOOKUP($N102,[2]Cultures!$B$4:$M$283,MATCH(AP$1,[2]Cultures!$B$3:$M$3,0),FALSE)</f>
        <v>#N/A</v>
      </c>
      <c r="AQ102" s="4" t="e">
        <f>VLOOKUP($N102,[2]Cultures!$B$4:$M$283,MATCH(AQ$1,[2]Cultures!$B$3:$M$3,0),FALSE)</f>
        <v>#N/A</v>
      </c>
      <c r="AR102" s="4" t="e">
        <f>VLOOKUP($N102,[2]Cultures!$B$4:$M$283,MATCH(AR$1,[2]Cultures!$B$3:$M$3,0),FALSE)</f>
        <v>#N/A</v>
      </c>
      <c r="AS102" s="4" t="e">
        <f>VLOOKUP($N102,[2]Cultures!$B$4:$M$283,MATCH(AS$1,[2]Cultures!$B$3:$M$3,0),FALSE)</f>
        <v>#N/A</v>
      </c>
      <c r="AT102" s="4"/>
      <c r="AU102" s="4">
        <f>IF(ISNUMBER(SEARCH(N102&amp;";",Calculations!$Q$19)),VLOOKUP(Skills!N102,Calculations!$Q$2:$T$16,4,FALSE),0)</f>
        <v>0</v>
      </c>
      <c r="AV102" s="4">
        <f>IF(ISNUMBER(SEARCH(N102&amp;";",Calculations!$Q$18)),1,0)</f>
        <v>0</v>
      </c>
      <c r="AW102" s="4"/>
      <c r="AX102" s="4">
        <f>VLOOKUP($N102,$N102:$CH102,MATCH('Character Sheet'!$BJ$3,Skills!$N$1:$CH$1,0),FALSE)</f>
        <v>0</v>
      </c>
    </row>
    <row r="103" spans="1:50" x14ac:dyDescent="0.25">
      <c r="B103" s="4" t="e">
        <f t="shared" si="54"/>
        <v>#N/A</v>
      </c>
      <c r="E103" s="4"/>
      <c r="F103" s="4">
        <f t="shared" si="37"/>
        <v>0</v>
      </c>
      <c r="G103" s="4"/>
      <c r="H103" s="4" t="e">
        <f t="shared" si="40"/>
        <v>#N/A</v>
      </c>
      <c r="I103" s="4">
        <v>0</v>
      </c>
      <c r="J103" s="4" t="e">
        <f t="shared" si="32"/>
        <v>#N/A</v>
      </c>
      <c r="K103" s="4" t="e">
        <f t="shared" si="56"/>
        <v>#N/A</v>
      </c>
      <c r="N103" s="3" t="s">
        <v>638</v>
      </c>
      <c r="O103" s="6" t="s">
        <v>782</v>
      </c>
      <c r="P103" s="6" t="s">
        <v>782</v>
      </c>
      <c r="Q103" s="4" t="str">
        <f t="shared" si="57"/>
        <v>- -</v>
      </c>
      <c r="R103" s="4" t="str">
        <f>IF(ISNUMBER(SEARCH("Category",N103)),"- -",IF(ISNUMBER(SEARCH("Skills",N103)),"- -",'Level-up'!C121))</f>
        <v>- -</v>
      </c>
      <c r="S103" s="4" t="str">
        <f t="shared" si="34"/>
        <v>- -</v>
      </c>
      <c r="T103" s="4" t="str">
        <f t="shared" si="35"/>
        <v>- -</v>
      </c>
      <c r="U103" s="4" t="str">
        <f t="shared" ca="1" si="38"/>
        <v>- -</v>
      </c>
      <c r="V103" s="4" t="str">
        <f>IF(ISNUMBER(SEARCH("Category",N103)),"- -",IF(ISNUMBER(SEARCH("Skills",N103)),"- -",IF(AU103&gt;0,AU103,IF($AU$97&gt;0,$AU$97,$AU$68))))</f>
        <v>- -</v>
      </c>
      <c r="W103" s="4" t="str">
        <f t="shared" si="58"/>
        <v>- -</v>
      </c>
      <c r="X103" s="4" t="str">
        <f t="shared" si="55"/>
        <v>- -</v>
      </c>
      <c r="Y103" s="4" t="str">
        <f t="shared" si="43"/>
        <v>- -</v>
      </c>
      <c r="Z103" s="4" t="str">
        <f t="shared" si="44"/>
        <v>- -</v>
      </c>
      <c r="AA103" s="4" t="str">
        <f t="shared" si="45"/>
        <v>- -</v>
      </c>
      <c r="AB103" s="4" t="str">
        <f t="shared" si="46"/>
        <v>- -</v>
      </c>
      <c r="AC103" s="8"/>
      <c r="AD103" s="4"/>
      <c r="AE103" s="4"/>
      <c r="AF103" s="4" t="str">
        <f t="shared" si="49"/>
        <v>- -</v>
      </c>
      <c r="AG103" s="4"/>
      <c r="AH103" s="4">
        <f>IFERROR(VLOOKUP(M103,Calculations!$AC$2:$AD$251,2,FALSE),0)</f>
        <v>0</v>
      </c>
      <c r="AI103" s="4" t="e">
        <f>VLOOKUP(N103,$N$2:$AS$620,MATCH('Character Creation'!$Z$12,Skills!$N$1:$AS$1,0),FALSE)</f>
        <v>#N/A</v>
      </c>
      <c r="AJ103" s="4" t="e">
        <f>VLOOKUP($N103,[2]Cultures!$B$4:$M$283,MATCH(AJ$1,[2]Cultures!$B$3:$M$3,0),FALSE)</f>
        <v>#N/A</v>
      </c>
      <c r="AK103" s="4" t="e">
        <f>VLOOKUP($N103,[2]Cultures!$B$4:$M$283,MATCH(AK$1,[2]Cultures!$B$3:$M$3,0),FALSE)</f>
        <v>#N/A</v>
      </c>
      <c r="AL103" s="4" t="e">
        <f>VLOOKUP($N103,[2]Cultures!$B$4:$M$283,MATCH(AL$1,[2]Cultures!$B$3:$M$3,0),FALSE)</f>
        <v>#N/A</v>
      </c>
      <c r="AM103" s="4" t="e">
        <f>VLOOKUP($N103,[2]Cultures!$B$4:$M$283,MATCH(AM$1,[2]Cultures!$B$3:$M$3,0),FALSE)</f>
        <v>#N/A</v>
      </c>
      <c r="AN103" s="4" t="e">
        <f>VLOOKUP($N103,[2]Cultures!$B$4:$M$283,MATCH(AN$1,[2]Cultures!$B$3:$M$3,0),FALSE)</f>
        <v>#N/A</v>
      </c>
      <c r="AO103" s="4" t="e">
        <f>VLOOKUP($N103,[2]Cultures!$B$4:$M$283,MATCH(AO$1,[2]Cultures!$B$3:$M$3,0),FALSE)</f>
        <v>#N/A</v>
      </c>
      <c r="AP103" s="4" t="e">
        <f>VLOOKUP($N103,[2]Cultures!$B$4:$M$283,MATCH(AP$1,[2]Cultures!$B$3:$M$3,0),FALSE)</f>
        <v>#N/A</v>
      </c>
      <c r="AQ103" s="4" t="e">
        <f>VLOOKUP($N103,[2]Cultures!$B$4:$M$283,MATCH(AQ$1,[2]Cultures!$B$3:$M$3,0),FALSE)</f>
        <v>#N/A</v>
      </c>
      <c r="AR103" s="4" t="e">
        <f>VLOOKUP($N103,[2]Cultures!$B$4:$M$283,MATCH(AR$1,[2]Cultures!$B$3:$M$3,0),FALSE)</f>
        <v>#N/A</v>
      </c>
      <c r="AS103" s="4" t="e">
        <f>VLOOKUP($N103,[2]Cultures!$B$4:$M$283,MATCH(AS$1,[2]Cultures!$B$3:$M$3,0),FALSE)</f>
        <v>#N/A</v>
      </c>
      <c r="AT103" s="4"/>
      <c r="AU103" s="4">
        <f>IF(ISNUMBER(SEARCH(N103&amp;";",Calculations!$Q$19)),VLOOKUP(Skills!N103,Calculations!$Q$2:$T$16,4,FALSE),0)</f>
        <v>0</v>
      </c>
      <c r="AV103" s="4">
        <f>IF(ISNUMBER(SEARCH(N103&amp;";",Calculations!$Q$18)),1,0)</f>
        <v>0</v>
      </c>
      <c r="AW103" s="4"/>
      <c r="AX103" s="4">
        <f>VLOOKUP($N103,$N103:$CH103,MATCH('Character Sheet'!$BJ$3,Skills!$N$1:$CH$1,0),FALSE)</f>
        <v>0</v>
      </c>
    </row>
    <row r="104" spans="1:50" x14ac:dyDescent="0.25">
      <c r="A104" s="4" t="s">
        <v>2241</v>
      </c>
      <c r="B104" s="4" t="e">
        <f t="shared" si="54"/>
        <v>#N/A</v>
      </c>
      <c r="E104" s="4"/>
      <c r="F104" s="4">
        <f t="shared" si="37"/>
        <v>0</v>
      </c>
      <c r="G104" s="4"/>
      <c r="H104" s="4" t="e">
        <f t="shared" si="40"/>
        <v>#N/A</v>
      </c>
      <c r="I104" s="4" t="e">
        <f>IF($J$103=1,1,0)</f>
        <v>#N/A</v>
      </c>
      <c r="J104" s="4">
        <f t="shared" si="32"/>
        <v>0</v>
      </c>
      <c r="K104" s="4" t="e">
        <f t="shared" si="56"/>
        <v>#N/A</v>
      </c>
      <c r="M104" t="str">
        <f>"Heavy Weapons, "&amp;N104</f>
        <v>Heavy Weapons, 0</v>
      </c>
      <c r="N104" s="3">
        <f>'Character Sheet'!AIT41</f>
        <v>0</v>
      </c>
      <c r="O104" s="4" t="s">
        <v>790</v>
      </c>
      <c r="P104" s="4" t="s">
        <v>788</v>
      </c>
      <c r="Q104" s="4" t="e">
        <f t="shared" si="57"/>
        <v>#N/A</v>
      </c>
      <c r="R104" s="4">
        <f>IF(ISNUMBER(SEARCH("Category",N104)),"- -",IF(ISNUMBER(SEARCH("Skills",N104)),"- -",'Level-up'!C122))</f>
        <v>0</v>
      </c>
      <c r="S104" s="4" t="e">
        <f t="shared" si="34"/>
        <v>#N/A</v>
      </c>
      <c r="T104" s="4" t="e">
        <f t="shared" si="35"/>
        <v>#N/A</v>
      </c>
      <c r="U104" s="4">
        <f t="shared" ca="1" si="38"/>
        <v>8</v>
      </c>
      <c r="V104" s="4">
        <f t="shared" ref="V104:V110" si="59">IF(ISNUMBER(SEARCH("Category",N104)),"- -",IF(ISNUMBER(SEARCH("Skills",N104)),"- -",IF(AU104&gt;0,AU104,IF($AU$102&gt;0,$AU$102,$AU$68))))</f>
        <v>0</v>
      </c>
      <c r="W104" s="4">
        <f t="shared" si="58"/>
        <v>0</v>
      </c>
      <c r="X104" s="4">
        <f t="shared" si="55"/>
        <v>0</v>
      </c>
      <c r="Y104" s="4">
        <f t="shared" si="43"/>
        <v>0</v>
      </c>
      <c r="Z104" s="4">
        <f t="shared" si="44"/>
        <v>0</v>
      </c>
      <c r="AA104" s="4">
        <f t="shared" si="45"/>
        <v>0</v>
      </c>
      <c r="AB104" s="4">
        <f t="shared" si="46"/>
        <v>0</v>
      </c>
      <c r="AC104" s="8"/>
      <c r="AD104" s="4"/>
      <c r="AE104" s="4"/>
      <c r="AF104" s="4" t="e">
        <f t="shared" si="49"/>
        <v>#N/A</v>
      </c>
      <c r="AG104" s="4"/>
      <c r="AH104" s="4">
        <f>IFERROR(VLOOKUP(M104,Calculations!$AC$2:$AD$251,2,FALSE),0)</f>
        <v>0</v>
      </c>
      <c r="AI104" s="4" t="e">
        <f>VLOOKUP(N104,$N$2:$AS$620,MATCH('Character Creation'!$Z$12,Skills!$N$1:$AS$1,0),FALSE)</f>
        <v>#N/A</v>
      </c>
      <c r="AJ104" s="4" t="e">
        <f>VLOOKUP($N104,[2]Cultures!$B$4:$M$283,MATCH(AJ$1,[2]Cultures!$B$3:$M$3,0),FALSE)</f>
        <v>#N/A</v>
      </c>
      <c r="AK104" s="4" t="e">
        <f>VLOOKUP($N104,[2]Cultures!$B$4:$M$283,MATCH(AK$1,[2]Cultures!$B$3:$M$3,0),FALSE)</f>
        <v>#N/A</v>
      </c>
      <c r="AL104" s="4" t="e">
        <f>VLOOKUP($N104,[2]Cultures!$B$4:$M$283,MATCH(AL$1,[2]Cultures!$B$3:$M$3,0),FALSE)</f>
        <v>#N/A</v>
      </c>
      <c r="AM104" s="4" t="e">
        <f>VLOOKUP($N104,[2]Cultures!$B$4:$M$283,MATCH(AM$1,[2]Cultures!$B$3:$M$3,0),FALSE)</f>
        <v>#N/A</v>
      </c>
      <c r="AN104" s="4" t="e">
        <f>VLOOKUP($N104,[2]Cultures!$B$4:$M$283,MATCH(AN$1,[2]Cultures!$B$3:$M$3,0),FALSE)</f>
        <v>#N/A</v>
      </c>
      <c r="AO104" s="4" t="e">
        <f>VLOOKUP($N104,[2]Cultures!$B$4:$M$283,MATCH(AO$1,[2]Cultures!$B$3:$M$3,0),FALSE)</f>
        <v>#N/A</v>
      </c>
      <c r="AP104" s="4" t="e">
        <f>VLOOKUP($N104,[2]Cultures!$B$4:$M$283,MATCH(AP$1,[2]Cultures!$B$3:$M$3,0),FALSE)</f>
        <v>#N/A</v>
      </c>
      <c r="AQ104" s="4" t="e">
        <f>VLOOKUP($N104,[2]Cultures!$B$4:$M$283,MATCH(AQ$1,[2]Cultures!$B$3:$M$3,0),FALSE)</f>
        <v>#N/A</v>
      </c>
      <c r="AR104" s="4" t="e">
        <f>VLOOKUP($N104,[2]Cultures!$B$4:$M$283,MATCH(AR$1,[2]Cultures!$B$3:$M$3,0),FALSE)</f>
        <v>#N/A</v>
      </c>
      <c r="AS104" s="4" t="e">
        <f>VLOOKUP($N104,[2]Cultures!$B$4:$M$283,MATCH(AS$1,[2]Cultures!$B$3:$M$3,0),FALSE)</f>
        <v>#N/A</v>
      </c>
      <c r="AT104" s="4"/>
      <c r="AU104" s="4">
        <f>IF(ISNUMBER(SEARCH(N104&amp;";",Calculations!$Q$19)),VLOOKUP(Skills!N104,Calculations!$Q$2:$T$16,4,FALSE),0)</f>
        <v>0</v>
      </c>
      <c r="AV104" s="4">
        <f>IF(ISNUMBER(SEARCH(N104&amp;";",Calculations!$Q$18)),1,0)</f>
        <v>0</v>
      </c>
      <c r="AW104" s="4">
        <f>IF($AV$68=1,1,IF($AV$102=1,1,AV104))</f>
        <v>0</v>
      </c>
      <c r="AX104" s="4">
        <f>VLOOKUP($N104,$N104:$CH104,MATCH('Character Sheet'!$BJ$3,Skills!$N$1:$CH$1,0),FALSE)</f>
        <v>0</v>
      </c>
    </row>
    <row r="105" spans="1:50" x14ac:dyDescent="0.25">
      <c r="A105" s="4" t="s">
        <v>2241</v>
      </c>
      <c r="B105" s="4" t="e">
        <f t="shared" si="54"/>
        <v>#N/A</v>
      </c>
      <c r="E105" s="4"/>
      <c r="F105" s="4">
        <f t="shared" si="37"/>
        <v>0</v>
      </c>
      <c r="G105" s="4"/>
      <c r="H105" s="4" t="e">
        <f t="shared" si="40"/>
        <v>#N/A</v>
      </c>
      <c r="I105" s="4" t="e">
        <f>IF($J$103=1,1,0)</f>
        <v>#N/A</v>
      </c>
      <c r="J105" s="4">
        <f t="shared" si="32"/>
        <v>0</v>
      </c>
      <c r="K105" s="4" t="e">
        <f t="shared" si="56"/>
        <v>#N/A</v>
      </c>
      <c r="M105" t="str">
        <f>"Heavy Weapons, "&amp;N105</f>
        <v>Heavy Weapons, 0</v>
      </c>
      <c r="N105" s="3">
        <f>'Character Sheet'!AIT42</f>
        <v>0</v>
      </c>
      <c r="O105" s="4" t="s">
        <v>790</v>
      </c>
      <c r="P105" s="4" t="s">
        <v>788</v>
      </c>
      <c r="Q105" s="4" t="e">
        <f t="shared" si="57"/>
        <v>#N/A</v>
      </c>
      <c r="R105" s="4">
        <f>IF(ISNUMBER(SEARCH("Category",N105)),"- -",IF(ISNUMBER(SEARCH("Skills",N105)),"- -",'Level-up'!C123))</f>
        <v>0</v>
      </c>
      <c r="S105" s="4" t="e">
        <f t="shared" si="34"/>
        <v>#N/A</v>
      </c>
      <c r="T105" s="4" t="e">
        <f t="shared" si="35"/>
        <v>#N/A</v>
      </c>
      <c r="U105" s="4">
        <f t="shared" ca="1" si="38"/>
        <v>8</v>
      </c>
      <c r="V105" s="4">
        <f t="shared" si="59"/>
        <v>0</v>
      </c>
      <c r="W105" s="4">
        <f t="shared" si="58"/>
        <v>0</v>
      </c>
      <c r="X105" s="4">
        <f t="shared" si="55"/>
        <v>0</v>
      </c>
      <c r="Y105" s="4">
        <f t="shared" si="43"/>
        <v>0</v>
      </c>
      <c r="Z105" s="4">
        <f t="shared" si="44"/>
        <v>0</v>
      </c>
      <c r="AA105" s="4">
        <f t="shared" si="45"/>
        <v>0</v>
      </c>
      <c r="AB105" s="4">
        <f t="shared" si="46"/>
        <v>0</v>
      </c>
      <c r="AC105" s="8"/>
      <c r="AD105" s="4"/>
      <c r="AE105" s="4"/>
      <c r="AF105" s="4" t="e">
        <f t="shared" si="49"/>
        <v>#N/A</v>
      </c>
      <c r="AG105" s="4"/>
      <c r="AH105" s="4">
        <f>IFERROR(VLOOKUP(M105,Calculations!$AC$2:$AD$251,2,FALSE),0)</f>
        <v>0</v>
      </c>
      <c r="AI105" s="4" t="e">
        <f>VLOOKUP(N105,$N$2:$AS$620,MATCH('Character Creation'!$Z$12,Skills!$N$1:$AS$1,0),FALSE)</f>
        <v>#N/A</v>
      </c>
      <c r="AJ105" s="4" t="e">
        <f>VLOOKUP($N105,[2]Cultures!$B$4:$M$283,MATCH(AJ$1,[2]Cultures!$B$3:$M$3,0),FALSE)</f>
        <v>#N/A</v>
      </c>
      <c r="AK105" s="4" t="e">
        <f>VLOOKUP($N105,[2]Cultures!$B$4:$M$283,MATCH(AK$1,[2]Cultures!$B$3:$M$3,0),FALSE)</f>
        <v>#N/A</v>
      </c>
      <c r="AL105" s="4" t="e">
        <f>VLOOKUP($N105,[2]Cultures!$B$4:$M$283,MATCH(AL$1,[2]Cultures!$B$3:$M$3,0),FALSE)</f>
        <v>#N/A</v>
      </c>
      <c r="AM105" s="4" t="e">
        <f>VLOOKUP($N105,[2]Cultures!$B$4:$M$283,MATCH(AM$1,[2]Cultures!$B$3:$M$3,0),FALSE)</f>
        <v>#N/A</v>
      </c>
      <c r="AN105" s="4" t="e">
        <f>VLOOKUP($N105,[2]Cultures!$B$4:$M$283,MATCH(AN$1,[2]Cultures!$B$3:$M$3,0),FALSE)</f>
        <v>#N/A</v>
      </c>
      <c r="AO105" s="4" t="e">
        <f>VLOOKUP($N105,[2]Cultures!$B$4:$M$283,MATCH(AO$1,[2]Cultures!$B$3:$M$3,0),FALSE)</f>
        <v>#N/A</v>
      </c>
      <c r="AP105" s="4" t="e">
        <f>VLOOKUP($N105,[2]Cultures!$B$4:$M$283,MATCH(AP$1,[2]Cultures!$B$3:$M$3,0),FALSE)</f>
        <v>#N/A</v>
      </c>
      <c r="AQ105" s="4" t="e">
        <f>VLOOKUP($N105,[2]Cultures!$B$4:$M$283,MATCH(AQ$1,[2]Cultures!$B$3:$M$3,0),FALSE)</f>
        <v>#N/A</v>
      </c>
      <c r="AR105" s="4" t="e">
        <f>VLOOKUP($N105,[2]Cultures!$B$4:$M$283,MATCH(AR$1,[2]Cultures!$B$3:$M$3,0),FALSE)</f>
        <v>#N/A</v>
      </c>
      <c r="AS105" s="4" t="e">
        <f>VLOOKUP($N105,[2]Cultures!$B$4:$M$283,MATCH(AS$1,[2]Cultures!$B$3:$M$3,0),FALSE)</f>
        <v>#N/A</v>
      </c>
      <c r="AT105" s="4"/>
      <c r="AU105" s="4">
        <f>IF(ISNUMBER(SEARCH(N105&amp;";",Calculations!$Q$19)),VLOOKUP(Skills!N105,Calculations!$Q$2:$T$16,4,FALSE),0)</f>
        <v>0</v>
      </c>
      <c r="AV105" s="4">
        <f>IF(ISNUMBER(SEARCH(N105&amp;";",Calculations!$Q$18)),1,0)</f>
        <v>0</v>
      </c>
      <c r="AW105" s="4">
        <f>IF($AV$68=1,1,IF($AV$102=1,1,AV105))</f>
        <v>0</v>
      </c>
      <c r="AX105" s="4">
        <f>VLOOKUP($N105,$N105:$CH105,MATCH('Character Sheet'!$BJ$3,Skills!$N$1:$CH$1,0),FALSE)</f>
        <v>0</v>
      </c>
    </row>
    <row r="106" spans="1:50" x14ac:dyDescent="0.25">
      <c r="A106" s="4" t="s">
        <v>2241</v>
      </c>
      <c r="B106" s="4" t="e">
        <f t="shared" si="54"/>
        <v>#N/A</v>
      </c>
      <c r="E106" s="4"/>
      <c r="F106" s="4">
        <f t="shared" si="37"/>
        <v>0</v>
      </c>
      <c r="G106" s="4"/>
      <c r="H106" s="4" t="e">
        <f t="shared" si="40"/>
        <v>#N/A</v>
      </c>
      <c r="I106" s="4" t="e">
        <f>IF($J$103=1,1,0)</f>
        <v>#N/A</v>
      </c>
      <c r="J106" s="4">
        <f t="shared" si="32"/>
        <v>0</v>
      </c>
      <c r="K106" s="4" t="e">
        <f t="shared" si="56"/>
        <v>#N/A</v>
      </c>
      <c r="M106" t="str">
        <f>"Heavy Weapons, "&amp;N106</f>
        <v>Heavy Weapons, 0</v>
      </c>
      <c r="N106" s="3">
        <f>'Character Sheet'!AIT43</f>
        <v>0</v>
      </c>
      <c r="O106" s="4" t="s">
        <v>790</v>
      </c>
      <c r="P106" s="4" t="s">
        <v>788</v>
      </c>
      <c r="Q106" s="4" t="e">
        <f t="shared" si="57"/>
        <v>#N/A</v>
      </c>
      <c r="R106" s="4">
        <f>IF(ISNUMBER(SEARCH("Category",N106)),"- -",IF(ISNUMBER(SEARCH("Skills",N106)),"- -",'Level-up'!C124))</f>
        <v>0</v>
      </c>
      <c r="S106" s="4" t="e">
        <f t="shared" si="34"/>
        <v>#N/A</v>
      </c>
      <c r="T106" s="4" t="e">
        <f t="shared" si="35"/>
        <v>#N/A</v>
      </c>
      <c r="U106" s="4">
        <f t="shared" ca="1" si="38"/>
        <v>8</v>
      </c>
      <c r="V106" s="4">
        <f t="shared" si="59"/>
        <v>0</v>
      </c>
      <c r="W106" s="4">
        <f t="shared" si="58"/>
        <v>0</v>
      </c>
      <c r="X106" s="4">
        <f t="shared" si="55"/>
        <v>0</v>
      </c>
      <c r="Y106" s="4">
        <f t="shared" si="43"/>
        <v>0</v>
      </c>
      <c r="Z106" s="4">
        <f t="shared" si="44"/>
        <v>0</v>
      </c>
      <c r="AA106" s="4">
        <f t="shared" si="45"/>
        <v>0</v>
      </c>
      <c r="AB106" s="4">
        <f t="shared" si="46"/>
        <v>0</v>
      </c>
      <c r="AC106" s="8"/>
      <c r="AD106" s="4"/>
      <c r="AE106" s="4"/>
      <c r="AF106" s="4" t="e">
        <f t="shared" si="49"/>
        <v>#N/A</v>
      </c>
      <c r="AG106" s="4"/>
      <c r="AH106" s="4">
        <f>IFERROR(VLOOKUP(M106,Calculations!$AC$2:$AD$251,2,FALSE),0)</f>
        <v>0</v>
      </c>
      <c r="AI106" s="4" t="e">
        <f>VLOOKUP(N106,$N$2:$AS$620,MATCH('Character Creation'!$Z$12,Skills!$N$1:$AS$1,0),FALSE)</f>
        <v>#N/A</v>
      </c>
      <c r="AJ106" s="4" t="e">
        <f>VLOOKUP($N106,[2]Cultures!$B$4:$M$283,MATCH(AJ$1,[2]Cultures!$B$3:$M$3,0),FALSE)</f>
        <v>#N/A</v>
      </c>
      <c r="AK106" s="4" t="e">
        <f>VLOOKUP($N106,[2]Cultures!$B$4:$M$283,MATCH(AK$1,[2]Cultures!$B$3:$M$3,0),FALSE)</f>
        <v>#N/A</v>
      </c>
      <c r="AL106" s="4" t="e">
        <f>VLOOKUP($N106,[2]Cultures!$B$4:$M$283,MATCH(AL$1,[2]Cultures!$B$3:$M$3,0),FALSE)</f>
        <v>#N/A</v>
      </c>
      <c r="AM106" s="4" t="e">
        <f>VLOOKUP($N106,[2]Cultures!$B$4:$M$283,MATCH(AM$1,[2]Cultures!$B$3:$M$3,0),FALSE)</f>
        <v>#N/A</v>
      </c>
      <c r="AN106" s="4" t="e">
        <f>VLOOKUP($N106,[2]Cultures!$B$4:$M$283,MATCH(AN$1,[2]Cultures!$B$3:$M$3,0),FALSE)</f>
        <v>#N/A</v>
      </c>
      <c r="AO106" s="4" t="e">
        <f>VLOOKUP($N106,[2]Cultures!$B$4:$M$283,MATCH(AO$1,[2]Cultures!$B$3:$M$3,0),FALSE)</f>
        <v>#N/A</v>
      </c>
      <c r="AP106" s="4" t="e">
        <f>VLOOKUP($N106,[2]Cultures!$B$4:$M$283,MATCH(AP$1,[2]Cultures!$B$3:$M$3,0),FALSE)</f>
        <v>#N/A</v>
      </c>
      <c r="AQ106" s="4" t="e">
        <f>VLOOKUP($N106,[2]Cultures!$B$4:$M$283,MATCH(AQ$1,[2]Cultures!$B$3:$M$3,0),FALSE)</f>
        <v>#N/A</v>
      </c>
      <c r="AR106" s="4" t="e">
        <f>VLOOKUP($N106,[2]Cultures!$B$4:$M$283,MATCH(AR$1,[2]Cultures!$B$3:$M$3,0),FALSE)</f>
        <v>#N/A</v>
      </c>
      <c r="AS106" s="4" t="e">
        <f>VLOOKUP($N106,[2]Cultures!$B$4:$M$283,MATCH(AS$1,[2]Cultures!$B$3:$M$3,0),FALSE)</f>
        <v>#N/A</v>
      </c>
      <c r="AT106" s="4"/>
      <c r="AU106" s="4">
        <f>IF(ISNUMBER(SEARCH(N106&amp;";",Calculations!$Q$19)),VLOOKUP(Skills!N106,Calculations!$Q$2:$T$16,4,FALSE),0)</f>
        <v>0</v>
      </c>
      <c r="AV106" s="4">
        <f>IF(ISNUMBER(SEARCH(N106&amp;";",Calculations!$Q$18)),1,0)</f>
        <v>0</v>
      </c>
      <c r="AW106" s="4">
        <f>IF($AV$68=1,1,IF($AV$102=1,1,AV106))</f>
        <v>0</v>
      </c>
      <c r="AX106" s="4">
        <f>VLOOKUP($N106,$N106:$CH106,MATCH('Character Sheet'!$BJ$3,Skills!$N$1:$CH$1,0),FALSE)</f>
        <v>0</v>
      </c>
    </row>
    <row r="107" spans="1:50" x14ac:dyDescent="0.25">
      <c r="A107" s="4" t="s">
        <v>2241</v>
      </c>
      <c r="B107" s="4" t="e">
        <f t="shared" si="54"/>
        <v>#N/A</v>
      </c>
      <c r="E107" s="4"/>
      <c r="F107" s="4">
        <f t="shared" si="37"/>
        <v>0</v>
      </c>
      <c r="G107" s="4"/>
      <c r="H107" s="4" t="e">
        <f t="shared" si="40"/>
        <v>#N/A</v>
      </c>
      <c r="I107" s="4" t="e">
        <f>IF($J$103=1,1,0)</f>
        <v>#N/A</v>
      </c>
      <c r="J107" s="4">
        <f t="shared" si="32"/>
        <v>0</v>
      </c>
      <c r="K107" s="4" t="e">
        <f t="shared" si="56"/>
        <v>#N/A</v>
      </c>
      <c r="M107" t="str">
        <f>"Heavy Weapons, "&amp;N107</f>
        <v>Heavy Weapons, 0</v>
      </c>
      <c r="N107" s="3">
        <f>'Character Sheet'!AIT44</f>
        <v>0</v>
      </c>
      <c r="O107" s="4" t="s">
        <v>790</v>
      </c>
      <c r="P107" s="4" t="s">
        <v>788</v>
      </c>
      <c r="Q107" s="4" t="e">
        <f t="shared" si="57"/>
        <v>#N/A</v>
      </c>
      <c r="R107" s="4">
        <f>IF(ISNUMBER(SEARCH("Category",N107)),"- -",IF(ISNUMBER(SEARCH("Skills",N107)),"- -",'Level-up'!C125))</f>
        <v>0</v>
      </c>
      <c r="S107" s="4" t="e">
        <f t="shared" si="34"/>
        <v>#N/A</v>
      </c>
      <c r="T107" s="4" t="e">
        <f t="shared" si="35"/>
        <v>#N/A</v>
      </c>
      <c r="U107" s="4">
        <f t="shared" ca="1" si="38"/>
        <v>8</v>
      </c>
      <c r="V107" s="4">
        <f t="shared" si="59"/>
        <v>0</v>
      </c>
      <c r="W107" s="4">
        <f t="shared" si="58"/>
        <v>0</v>
      </c>
      <c r="X107" s="4">
        <f t="shared" si="55"/>
        <v>0</v>
      </c>
      <c r="Y107" s="4">
        <f t="shared" si="43"/>
        <v>0</v>
      </c>
      <c r="Z107" s="4">
        <f t="shared" si="44"/>
        <v>0</v>
      </c>
      <c r="AA107" s="4">
        <f t="shared" si="45"/>
        <v>0</v>
      </c>
      <c r="AB107" s="4">
        <f t="shared" si="46"/>
        <v>0</v>
      </c>
      <c r="AC107" s="8"/>
      <c r="AD107" s="4"/>
      <c r="AE107" s="4"/>
      <c r="AF107" s="4" t="e">
        <f t="shared" si="49"/>
        <v>#N/A</v>
      </c>
      <c r="AG107" s="4"/>
      <c r="AH107" s="4">
        <f>IFERROR(VLOOKUP(M107,Calculations!$AC$2:$AD$251,2,FALSE),0)</f>
        <v>0</v>
      </c>
      <c r="AI107" s="4" t="e">
        <f>VLOOKUP(N107,$N$2:$AS$620,MATCH('Character Creation'!$Z$12,Skills!$N$1:$AS$1,0),FALSE)</f>
        <v>#N/A</v>
      </c>
      <c r="AJ107" s="4" t="e">
        <f>VLOOKUP($N107,[2]Cultures!$B$4:$M$283,MATCH(AJ$1,[2]Cultures!$B$3:$M$3,0),FALSE)</f>
        <v>#N/A</v>
      </c>
      <c r="AK107" s="4" t="e">
        <f>VLOOKUP($N107,[2]Cultures!$B$4:$M$283,MATCH(AK$1,[2]Cultures!$B$3:$M$3,0),FALSE)</f>
        <v>#N/A</v>
      </c>
      <c r="AL107" s="4" t="e">
        <f>VLOOKUP($N107,[2]Cultures!$B$4:$M$283,MATCH(AL$1,[2]Cultures!$B$3:$M$3,0),FALSE)</f>
        <v>#N/A</v>
      </c>
      <c r="AM107" s="4" t="e">
        <f>VLOOKUP($N107,[2]Cultures!$B$4:$M$283,MATCH(AM$1,[2]Cultures!$B$3:$M$3,0),FALSE)</f>
        <v>#N/A</v>
      </c>
      <c r="AN107" s="4" t="e">
        <f>VLOOKUP($N107,[2]Cultures!$B$4:$M$283,MATCH(AN$1,[2]Cultures!$B$3:$M$3,0),FALSE)</f>
        <v>#N/A</v>
      </c>
      <c r="AO107" s="4" t="e">
        <f>VLOOKUP($N107,[2]Cultures!$B$4:$M$283,MATCH(AO$1,[2]Cultures!$B$3:$M$3,0),FALSE)</f>
        <v>#N/A</v>
      </c>
      <c r="AP107" s="4" t="e">
        <f>VLOOKUP($N107,[2]Cultures!$B$4:$M$283,MATCH(AP$1,[2]Cultures!$B$3:$M$3,0),FALSE)</f>
        <v>#N/A</v>
      </c>
      <c r="AQ107" s="4" t="e">
        <f>VLOOKUP($N107,[2]Cultures!$B$4:$M$283,MATCH(AQ$1,[2]Cultures!$B$3:$M$3,0),FALSE)</f>
        <v>#N/A</v>
      </c>
      <c r="AR107" s="4" t="e">
        <f>VLOOKUP($N107,[2]Cultures!$B$4:$M$283,MATCH(AR$1,[2]Cultures!$B$3:$M$3,0),FALSE)</f>
        <v>#N/A</v>
      </c>
      <c r="AS107" s="4" t="e">
        <f>VLOOKUP($N107,[2]Cultures!$B$4:$M$283,MATCH(AS$1,[2]Cultures!$B$3:$M$3,0),FALSE)</f>
        <v>#N/A</v>
      </c>
      <c r="AT107" s="4"/>
      <c r="AU107" s="4">
        <f>IF(ISNUMBER(SEARCH(N107&amp;";",Calculations!$Q$19)),VLOOKUP(Skills!N107,Calculations!$Q$2:$T$16,4,FALSE),0)</f>
        <v>0</v>
      </c>
      <c r="AV107" s="4">
        <f>IF(ISNUMBER(SEARCH(N107&amp;";",Calculations!$Q$18)),1,0)</f>
        <v>0</v>
      </c>
      <c r="AW107" s="4">
        <f>IF($AV$68=1,1,IF($AV$102=1,1,AV107))</f>
        <v>0</v>
      </c>
      <c r="AX107" s="4">
        <f>VLOOKUP($N107,$N107:$CH107,MATCH('Character Sheet'!$BJ$3,Skills!$N$1:$CH$1,0),FALSE)</f>
        <v>0</v>
      </c>
    </row>
    <row r="108" spans="1:50" x14ac:dyDescent="0.25">
      <c r="B108" s="4" t="e">
        <f t="shared" si="54"/>
        <v>#N/A</v>
      </c>
      <c r="E108" s="4"/>
      <c r="F108" s="4">
        <f t="shared" si="37"/>
        <v>0</v>
      </c>
      <c r="G108" s="4"/>
      <c r="H108" s="4" t="e">
        <f t="shared" si="40"/>
        <v>#N/A</v>
      </c>
      <c r="I108" s="4">
        <f>IF($J$108=1,1,0)</f>
        <v>0</v>
      </c>
      <c r="J108" s="4">
        <f t="shared" si="32"/>
        <v>0</v>
      </c>
      <c r="K108" s="4">
        <f t="shared" si="56"/>
        <v>0</v>
      </c>
      <c r="N108" s="3" t="s">
        <v>639</v>
      </c>
      <c r="O108" s="6" t="s">
        <v>782</v>
      </c>
      <c r="P108" s="6" t="s">
        <v>782</v>
      </c>
      <c r="Q108" s="4" t="str">
        <f t="shared" si="57"/>
        <v>- -</v>
      </c>
      <c r="R108" s="4" t="str">
        <f>IF(ISNUMBER(SEARCH("Category",N108)),"- -",IF(ISNUMBER(SEARCH("Skills",N108)),"- -",'Level-up'!C126))</f>
        <v>- -</v>
      </c>
      <c r="S108" s="4" t="str">
        <f t="shared" si="34"/>
        <v>- -</v>
      </c>
      <c r="T108" s="4" t="str">
        <f t="shared" si="35"/>
        <v>- -</v>
      </c>
      <c r="U108" s="4" t="str">
        <f t="shared" ca="1" si="38"/>
        <v>- -</v>
      </c>
      <c r="V108" s="4" t="str">
        <f t="shared" si="59"/>
        <v>- -</v>
      </c>
      <c r="W108" s="4" t="str">
        <f t="shared" si="58"/>
        <v>- -</v>
      </c>
      <c r="X108" s="4" t="str">
        <f t="shared" si="55"/>
        <v>- -</v>
      </c>
      <c r="Y108" s="4" t="str">
        <f t="shared" ref="Y108:Y130" si="60">IF(ISNUMBER(SEARCH("Category",N108)),"- -",IF(ISNUMBER(SEARCH("Skills",N108)),"- -",0))</f>
        <v>- -</v>
      </c>
      <c r="Z108" s="4" t="str">
        <f t="shared" ref="Z108:Z130" si="61">IF(ISNUMBER(SEARCH("Category",N108)),"- -",IF(ISNUMBER(SEARCH("Skills",N108)),"- -",0))</f>
        <v>- -</v>
      </c>
      <c r="AA108" s="4" t="str">
        <f t="shared" ref="AA108:AA130" si="62">IF(ISNUMBER(SEARCH("Category",N108)),"- -",IF(ISNUMBER(SEARCH("Skills",N108)),"- -",0))</f>
        <v>- -</v>
      </c>
      <c r="AB108" s="4" t="str">
        <f t="shared" ref="AB108:AB130" si="63">IF(ISNUMBER(SEARCH("Category",N108)),"- -",IF(ISNUMBER(SEARCH("Skills",N108)),"- -",0))</f>
        <v>- -</v>
      </c>
      <c r="AC108" s="8"/>
      <c r="AD108" s="4"/>
      <c r="AE108" s="4"/>
      <c r="AF108" s="4" t="str">
        <f t="shared" si="49"/>
        <v>- -</v>
      </c>
      <c r="AG108" s="4"/>
      <c r="AH108" s="4">
        <f>IFERROR(VLOOKUP(M108,Calculations!$AC$2:$AD$251,2,FALSE),0)</f>
        <v>0</v>
      </c>
      <c r="AI108" s="4">
        <f>VLOOKUP(N108,$N$2:$AS$620,MATCH('Character Creation'!$Z$12,Skills!$N$1:$AS$1,0),FALSE)</f>
        <v>0</v>
      </c>
      <c r="AJ108" s="4">
        <f>VLOOKUP($N108,[2]Cultures!$B$4:$M$283,MATCH(AJ$1,[2]Cultures!$B$3:$M$3,0),FALSE)</f>
        <v>4</v>
      </c>
      <c r="AK108" s="4">
        <f>VLOOKUP($N108,[2]Cultures!$B$4:$M$283,MATCH(AK$1,[2]Cultures!$B$3:$M$3,0),FALSE)</f>
        <v>0</v>
      </c>
      <c r="AL108" s="4">
        <f>VLOOKUP($N108,[2]Cultures!$B$4:$M$283,MATCH(AL$1,[2]Cultures!$B$3:$M$3,0),FALSE)</f>
        <v>1</v>
      </c>
      <c r="AM108" s="4">
        <f>VLOOKUP($N108,[2]Cultures!$B$4:$M$283,MATCH(AM$1,[2]Cultures!$B$3:$M$3,0),FALSE)</f>
        <v>1</v>
      </c>
      <c r="AN108" s="4">
        <f>VLOOKUP($N108,[2]Cultures!$B$4:$M$283,MATCH(AN$1,[2]Cultures!$B$3:$M$3,0),FALSE)</f>
        <v>1</v>
      </c>
      <c r="AO108" s="4">
        <f>VLOOKUP($N108,[2]Cultures!$B$4:$M$283,MATCH(AO$1,[2]Cultures!$B$3:$M$3,0),FALSE)</f>
        <v>0</v>
      </c>
      <c r="AP108" s="4">
        <f>VLOOKUP($N108,[2]Cultures!$B$4:$M$283,MATCH(AP$1,[2]Cultures!$B$3:$M$3,0),FALSE)</f>
        <v>1</v>
      </c>
      <c r="AQ108" s="4">
        <f>VLOOKUP($N108,[2]Cultures!$B$4:$M$283,MATCH(AQ$1,[2]Cultures!$B$3:$M$3,0),FALSE)</f>
        <v>0</v>
      </c>
      <c r="AR108" s="4">
        <f>VLOOKUP($N108,[2]Cultures!$B$4:$M$283,MATCH(AR$1,[2]Cultures!$B$3:$M$3,0),FALSE)</f>
        <v>0</v>
      </c>
      <c r="AS108" s="4">
        <f>VLOOKUP($N108,[2]Cultures!$B$4:$M$283,MATCH(AS$1,[2]Cultures!$B$3:$M$3,0),FALSE)</f>
        <v>3</v>
      </c>
      <c r="AT108" s="4"/>
      <c r="AU108" s="4">
        <f>IF(ISNUMBER(SEARCH(N108&amp;";",Calculations!$Q$19)),VLOOKUP(Skills!N108,Calculations!$Q$2:$T$16,4,FALSE),0)</f>
        <v>0</v>
      </c>
      <c r="AV108" s="4">
        <f>IF(ISNUMBER(SEARCH(N108&amp;";",Calculations!$Q$18)),1,0)</f>
        <v>0</v>
      </c>
      <c r="AW108" s="4"/>
      <c r="AX108" s="4">
        <f>VLOOKUP($N108,$N108:$CH108,MATCH('Character Sheet'!$BJ$3,Skills!$N$1:$CH$1,0),FALSE)</f>
        <v>0</v>
      </c>
    </row>
    <row r="109" spans="1:50" x14ac:dyDescent="0.25">
      <c r="B109" s="4" t="e">
        <f t="shared" si="54"/>
        <v>#N/A</v>
      </c>
      <c r="E109" s="4"/>
      <c r="F109" s="4">
        <f t="shared" si="37"/>
        <v>0</v>
      </c>
      <c r="G109" s="4"/>
      <c r="H109" s="4" t="e">
        <f t="shared" si="40"/>
        <v>#N/A</v>
      </c>
      <c r="I109" s="4" t="e">
        <f>IF($J$108=1,1,IF($J$110=1,1,0))</f>
        <v>#N/A</v>
      </c>
      <c r="J109" s="4">
        <f t="shared" si="32"/>
        <v>0</v>
      </c>
      <c r="K109" s="4" t="e">
        <f t="shared" si="56"/>
        <v>#N/A</v>
      </c>
      <c r="N109" s="3" t="s">
        <v>640</v>
      </c>
      <c r="O109" s="6" t="s">
        <v>782</v>
      </c>
      <c r="P109" s="6" t="s">
        <v>782</v>
      </c>
      <c r="Q109" s="4" t="str">
        <f t="shared" si="57"/>
        <v>- -</v>
      </c>
      <c r="R109" s="4" t="str">
        <f>IF(ISNUMBER(SEARCH("Category",N109)),"- -",IF(ISNUMBER(SEARCH("Skills",N109)),"- -",'Level-up'!C127))</f>
        <v>- -</v>
      </c>
      <c r="S109" s="4" t="str">
        <f t="shared" si="34"/>
        <v>- -</v>
      </c>
      <c r="T109" s="4" t="str">
        <f t="shared" si="35"/>
        <v>- -</v>
      </c>
      <c r="U109" s="4" t="str">
        <f t="shared" ca="1" si="38"/>
        <v>- -</v>
      </c>
      <c r="V109" s="4" t="str">
        <f t="shared" si="59"/>
        <v>- -</v>
      </c>
      <c r="W109" s="4" t="str">
        <f t="shared" si="58"/>
        <v>- -</v>
      </c>
      <c r="X109" s="4" t="str">
        <f t="shared" si="55"/>
        <v>- -</v>
      </c>
      <c r="Y109" s="4" t="str">
        <f t="shared" si="60"/>
        <v>- -</v>
      </c>
      <c r="Z109" s="4" t="str">
        <f t="shared" si="61"/>
        <v>- -</v>
      </c>
      <c r="AA109" s="4" t="str">
        <f t="shared" si="62"/>
        <v>- -</v>
      </c>
      <c r="AB109" s="4" t="str">
        <f t="shared" si="63"/>
        <v>- -</v>
      </c>
      <c r="AC109" s="8"/>
      <c r="AD109" s="4"/>
      <c r="AE109" s="4"/>
      <c r="AF109" s="4" t="str">
        <f t="shared" si="49"/>
        <v>- -</v>
      </c>
      <c r="AG109" s="4"/>
      <c r="AH109" s="4">
        <f>IFERROR(VLOOKUP(M109,Calculations!$AC$2:$AD$251,2,FALSE),0)</f>
        <v>0</v>
      </c>
      <c r="AI109" s="4" t="e">
        <f>VLOOKUP(N109,$N$2:$AS$620,MATCH('Character Creation'!$Z$12,Skills!$N$1:$AS$1,0),FALSE)</f>
        <v>#N/A</v>
      </c>
      <c r="AJ109" s="4" t="e">
        <f>VLOOKUP($N109,[2]Cultures!$B$4:$M$283,MATCH(AJ$1,[2]Cultures!$B$3:$M$3,0),FALSE)</f>
        <v>#N/A</v>
      </c>
      <c r="AK109" s="4" t="e">
        <f>VLOOKUP($N109,[2]Cultures!$B$4:$M$283,MATCH(AK$1,[2]Cultures!$B$3:$M$3,0),FALSE)</f>
        <v>#N/A</v>
      </c>
      <c r="AL109" s="4" t="e">
        <f>VLOOKUP($N109,[2]Cultures!$B$4:$M$283,MATCH(AL$1,[2]Cultures!$B$3:$M$3,0),FALSE)</f>
        <v>#N/A</v>
      </c>
      <c r="AM109" s="4" t="e">
        <f>VLOOKUP($N109,[2]Cultures!$B$4:$M$283,MATCH(AM$1,[2]Cultures!$B$3:$M$3,0),FALSE)</f>
        <v>#N/A</v>
      </c>
      <c r="AN109" s="4" t="e">
        <f>VLOOKUP($N109,[2]Cultures!$B$4:$M$283,MATCH(AN$1,[2]Cultures!$B$3:$M$3,0),FALSE)</f>
        <v>#N/A</v>
      </c>
      <c r="AO109" s="4" t="e">
        <f>VLOOKUP($N109,[2]Cultures!$B$4:$M$283,MATCH(AO$1,[2]Cultures!$B$3:$M$3,0),FALSE)</f>
        <v>#N/A</v>
      </c>
      <c r="AP109" s="4" t="e">
        <f>VLOOKUP($N109,[2]Cultures!$B$4:$M$283,MATCH(AP$1,[2]Cultures!$B$3:$M$3,0),FALSE)</f>
        <v>#N/A</v>
      </c>
      <c r="AQ109" s="4" t="e">
        <f>VLOOKUP($N109,[2]Cultures!$B$4:$M$283,MATCH(AQ$1,[2]Cultures!$B$3:$M$3,0),FALSE)</f>
        <v>#N/A</v>
      </c>
      <c r="AR109" s="4" t="e">
        <f>VLOOKUP($N109,[2]Cultures!$B$4:$M$283,MATCH(AR$1,[2]Cultures!$B$3:$M$3,0),FALSE)</f>
        <v>#N/A</v>
      </c>
      <c r="AS109" s="4" t="e">
        <f>VLOOKUP($N109,[2]Cultures!$B$4:$M$283,MATCH(AS$1,[2]Cultures!$B$3:$M$3,0),FALSE)</f>
        <v>#N/A</v>
      </c>
      <c r="AT109" s="4"/>
      <c r="AU109" s="4">
        <f>IF(ISNUMBER(SEARCH(N109&amp;";",Calculations!$Q$19)),VLOOKUP(Skills!N109,Calculations!$Q$2:$T$16,4,FALSE),0)</f>
        <v>0</v>
      </c>
      <c r="AV109" s="4">
        <f>IF(ISNUMBER(SEARCH(N109&amp;";",Calculations!$Q$18)),1,0)</f>
        <v>0</v>
      </c>
      <c r="AW109" s="4"/>
      <c r="AX109" s="4">
        <f>VLOOKUP($N109,$N109:$CH109,MATCH('Character Sheet'!$BJ$3,Skills!$N$1:$CH$1,0),FALSE)</f>
        <v>0</v>
      </c>
    </row>
    <row r="110" spans="1:50" x14ac:dyDescent="0.25">
      <c r="B110" s="4" t="e">
        <f t="shared" si="54"/>
        <v>#N/A</v>
      </c>
      <c r="E110" s="4"/>
      <c r="F110" s="4">
        <f t="shared" si="37"/>
        <v>0</v>
      </c>
      <c r="G110" s="4"/>
      <c r="H110" s="4" t="e">
        <f t="shared" si="40"/>
        <v>#N/A</v>
      </c>
      <c r="I110" s="4">
        <v>0</v>
      </c>
      <c r="J110" s="4" t="e">
        <f t="shared" si="32"/>
        <v>#N/A</v>
      </c>
      <c r="K110" s="4" t="e">
        <f t="shared" si="56"/>
        <v>#N/A</v>
      </c>
      <c r="N110" s="3" t="s">
        <v>759</v>
      </c>
      <c r="O110" s="6" t="s">
        <v>782</v>
      </c>
      <c r="P110" s="6" t="s">
        <v>782</v>
      </c>
      <c r="Q110" s="4" t="str">
        <f t="shared" si="57"/>
        <v>- -</v>
      </c>
      <c r="R110" s="4" t="str">
        <f>IF(ISNUMBER(SEARCH("Category",N110)),"- -",IF(ISNUMBER(SEARCH("Skills",N110)),"- -",'Level-up'!C128))</f>
        <v>- -</v>
      </c>
      <c r="S110" s="4" t="str">
        <f t="shared" si="34"/>
        <v>- -</v>
      </c>
      <c r="T110" s="4" t="str">
        <f t="shared" si="35"/>
        <v>- -</v>
      </c>
      <c r="U110" s="4" t="str">
        <f t="shared" ca="1" si="38"/>
        <v>- -</v>
      </c>
      <c r="V110" s="4" t="str">
        <f t="shared" si="59"/>
        <v>- -</v>
      </c>
      <c r="W110" s="4" t="str">
        <f t="shared" si="58"/>
        <v>- -</v>
      </c>
      <c r="X110" s="4" t="str">
        <f t="shared" si="55"/>
        <v>- -</v>
      </c>
      <c r="Y110" s="4" t="str">
        <f t="shared" si="60"/>
        <v>- -</v>
      </c>
      <c r="Z110" s="4" t="str">
        <f t="shared" si="61"/>
        <v>- -</v>
      </c>
      <c r="AA110" s="4" t="str">
        <f t="shared" si="62"/>
        <v>- -</v>
      </c>
      <c r="AB110" s="4" t="str">
        <f t="shared" si="63"/>
        <v>- -</v>
      </c>
      <c r="AC110" s="8"/>
      <c r="AD110" s="4"/>
      <c r="AE110" s="4"/>
      <c r="AF110" s="4" t="str">
        <f t="shared" si="49"/>
        <v>- -</v>
      </c>
      <c r="AG110" s="4"/>
      <c r="AH110" s="4">
        <f>IFERROR(VLOOKUP(M110,Calculations!$AC$2:$AD$251,2,FALSE),0)</f>
        <v>0</v>
      </c>
      <c r="AI110" s="4" t="e">
        <f>VLOOKUP(N110,$N$2:$AS$620,MATCH('Character Creation'!$Z$12,Skills!$N$1:$AS$1,0),FALSE)</f>
        <v>#N/A</v>
      </c>
      <c r="AJ110" s="4" t="e">
        <f>VLOOKUP($N110,[2]Cultures!$B$4:$M$283,MATCH(AJ$1,[2]Cultures!$B$3:$M$3,0),FALSE)</f>
        <v>#N/A</v>
      </c>
      <c r="AK110" s="4" t="e">
        <f>VLOOKUP($N110,[2]Cultures!$B$4:$M$283,MATCH(AK$1,[2]Cultures!$B$3:$M$3,0),FALSE)</f>
        <v>#N/A</v>
      </c>
      <c r="AL110" s="4" t="e">
        <f>VLOOKUP($N110,[2]Cultures!$B$4:$M$283,MATCH(AL$1,[2]Cultures!$B$3:$M$3,0),FALSE)</f>
        <v>#N/A</v>
      </c>
      <c r="AM110" s="4" t="e">
        <f>VLOOKUP($N110,[2]Cultures!$B$4:$M$283,MATCH(AM$1,[2]Cultures!$B$3:$M$3,0),FALSE)</f>
        <v>#N/A</v>
      </c>
      <c r="AN110" s="4" t="e">
        <f>VLOOKUP($N110,[2]Cultures!$B$4:$M$283,MATCH(AN$1,[2]Cultures!$B$3:$M$3,0),FALSE)</f>
        <v>#N/A</v>
      </c>
      <c r="AO110" s="4" t="e">
        <f>VLOOKUP($N110,[2]Cultures!$B$4:$M$283,MATCH(AO$1,[2]Cultures!$B$3:$M$3,0),FALSE)</f>
        <v>#N/A</v>
      </c>
      <c r="AP110" s="4" t="e">
        <f>VLOOKUP($N110,[2]Cultures!$B$4:$M$283,MATCH(AP$1,[2]Cultures!$B$3:$M$3,0),FALSE)</f>
        <v>#N/A</v>
      </c>
      <c r="AQ110" s="4" t="e">
        <f>VLOOKUP($N110,[2]Cultures!$B$4:$M$283,MATCH(AQ$1,[2]Cultures!$B$3:$M$3,0),FALSE)</f>
        <v>#N/A</v>
      </c>
      <c r="AR110" s="4" t="e">
        <f>VLOOKUP($N110,[2]Cultures!$B$4:$M$283,MATCH(AR$1,[2]Cultures!$B$3:$M$3,0),FALSE)</f>
        <v>#N/A</v>
      </c>
      <c r="AS110" s="4" t="e">
        <f>VLOOKUP($N110,[2]Cultures!$B$4:$M$283,MATCH(AS$1,[2]Cultures!$B$3:$M$3,0),FALSE)</f>
        <v>#N/A</v>
      </c>
      <c r="AT110" s="4"/>
      <c r="AU110" s="4">
        <f>IF(ISNUMBER(SEARCH(N110&amp;";",Calculations!$Q$19)),VLOOKUP(Skills!N110,Calculations!$Q$2:$T$16,4,FALSE),0)</f>
        <v>0</v>
      </c>
      <c r="AV110" s="4">
        <f>IF(ISNUMBER(SEARCH(N110&amp;";",Calculations!$Q$18)),1,0)</f>
        <v>0</v>
      </c>
      <c r="AW110" s="4"/>
      <c r="AX110" s="4">
        <f>VLOOKUP($N110,$N110:$CH110,MATCH('Character Sheet'!$BJ$3,Skills!$N$1:$CH$1,0),FALSE)</f>
        <v>0</v>
      </c>
    </row>
    <row r="111" spans="1:50" x14ac:dyDescent="0.25">
      <c r="B111" s="4" t="e">
        <f t="shared" si="54"/>
        <v>#N/A</v>
      </c>
      <c r="E111" s="4"/>
      <c r="F111" s="4">
        <f t="shared" si="37"/>
        <v>0</v>
      </c>
      <c r="G111" s="4"/>
      <c r="H111" s="4" t="e">
        <f t="shared" si="40"/>
        <v>#N/A</v>
      </c>
      <c r="I111" s="4" t="e">
        <f t="shared" ref="I111:I117" si="64">IF($J$108=1,1,IF($J$110=1,1,0))</f>
        <v>#N/A</v>
      </c>
      <c r="J111" s="4">
        <f t="shared" si="32"/>
        <v>0</v>
      </c>
      <c r="K111" s="4">
        <f t="shared" si="56"/>
        <v>0</v>
      </c>
      <c r="M111" t="str">
        <f>N111</f>
        <v>Illusion Crafting</v>
      </c>
      <c r="N111" s="3" t="str">
        <f>'Character Sheet'!AMJ5</f>
        <v>Illusion Crafting</v>
      </c>
      <c r="O111" s="4" t="s">
        <v>791</v>
      </c>
      <c r="P111" s="4" t="s">
        <v>781</v>
      </c>
      <c r="Q111" s="4">
        <f t="shared" si="57"/>
        <v>0</v>
      </c>
      <c r="R111" s="4">
        <f>IF(ISNUMBER(SEARCH("Category",N111)),"- -",IF(ISNUMBER(SEARCH("Skills",N111)),"- -",'Level-up'!C129))</f>
        <v>0</v>
      </c>
      <c r="S111" s="4">
        <f t="shared" si="34"/>
        <v>0</v>
      </c>
      <c r="T111" s="4">
        <f t="shared" si="35"/>
        <v>-25</v>
      </c>
      <c r="U111" s="4">
        <f t="shared" ca="1" si="38"/>
        <v>4</v>
      </c>
      <c r="V111" s="4">
        <f t="shared" ref="V111:V120" si="65">IF(ISNUMBER(SEARCH("Category",N111)),"- -",IF(ISNUMBER(SEARCH("Skills",N111)),"- -",IF(AU111&gt;0,AU111,$AU$109)))</f>
        <v>0</v>
      </c>
      <c r="W111" s="4">
        <f t="shared" si="58"/>
        <v>0</v>
      </c>
      <c r="X111" s="4">
        <f t="shared" si="55"/>
        <v>0</v>
      </c>
      <c r="Y111" s="4">
        <f t="shared" si="60"/>
        <v>0</v>
      </c>
      <c r="Z111" s="4">
        <f t="shared" si="61"/>
        <v>0</v>
      </c>
      <c r="AA111" s="4">
        <f t="shared" si="62"/>
        <v>0</v>
      </c>
      <c r="AB111" s="4">
        <f t="shared" si="63"/>
        <v>0</v>
      </c>
      <c r="AC111" s="8"/>
      <c r="AD111" s="4"/>
      <c r="AE111" s="4"/>
      <c r="AF111" s="4" t="str">
        <f t="shared" ca="1" si="49"/>
        <v>-21</v>
      </c>
      <c r="AG111" s="4"/>
      <c r="AH111" s="4">
        <f>IFERROR(VLOOKUP(M111,Calculations!$AC$2:$AD$251,2,FALSE),0)</f>
        <v>0</v>
      </c>
      <c r="AI111" s="4">
        <f>VLOOKUP(N111,$N$2:$AS$620,MATCH('Character Creation'!$Z$12,Skills!$N$1:$AS$1,0),FALSE)</f>
        <v>0</v>
      </c>
      <c r="AJ111" s="4">
        <f>VLOOKUP($N111,[2]Cultures!$B$4:$M$283,MATCH(AJ$1,[2]Cultures!$B$3:$M$3,0),FALSE)</f>
        <v>0</v>
      </c>
      <c r="AK111" s="4">
        <f>VLOOKUP($N111,[2]Cultures!$B$4:$M$283,MATCH(AK$1,[2]Cultures!$B$3:$M$3,0),FALSE)</f>
        <v>0</v>
      </c>
      <c r="AL111" s="4">
        <f>VLOOKUP($N111,[2]Cultures!$B$4:$M$283,MATCH(AL$1,[2]Cultures!$B$3:$M$3,0),FALSE)</f>
        <v>0</v>
      </c>
      <c r="AM111" s="4">
        <f>VLOOKUP($N111,[2]Cultures!$B$4:$M$283,MATCH(AM$1,[2]Cultures!$B$3:$M$3,0),FALSE)</f>
        <v>0</v>
      </c>
      <c r="AN111" s="4">
        <f>VLOOKUP($N111,[2]Cultures!$B$4:$M$283,MATCH(AN$1,[2]Cultures!$B$3:$M$3,0),FALSE)</f>
        <v>0</v>
      </c>
      <c r="AO111" s="4">
        <f>VLOOKUP($N111,[2]Cultures!$B$4:$M$283,MATCH(AO$1,[2]Cultures!$B$3:$M$3,0),FALSE)</f>
        <v>0</v>
      </c>
      <c r="AP111" s="4">
        <f>VLOOKUP($N111,[2]Cultures!$B$4:$M$283,MATCH(AP$1,[2]Cultures!$B$3:$M$3,0),FALSE)</f>
        <v>0</v>
      </c>
      <c r="AQ111" s="4">
        <f>VLOOKUP($N111,[2]Cultures!$B$4:$M$283,MATCH(AQ$1,[2]Cultures!$B$3:$M$3,0),FALSE)</f>
        <v>0</v>
      </c>
      <c r="AR111" s="4">
        <f>VLOOKUP($N111,[2]Cultures!$B$4:$M$283,MATCH(AR$1,[2]Cultures!$B$3:$M$3,0),FALSE)</f>
        <v>0</v>
      </c>
      <c r="AS111" s="4">
        <f>VLOOKUP($N111,[2]Cultures!$B$4:$M$283,MATCH(AS$1,[2]Cultures!$B$3:$M$3,0),FALSE)</f>
        <v>0</v>
      </c>
      <c r="AT111" s="4"/>
      <c r="AU111" s="4">
        <f>IF(ISNUMBER(SEARCH(N111&amp;";",Calculations!$Q$19)),VLOOKUP(Skills!N111,Calculations!$Q$2:$T$16,4,FALSE),0)</f>
        <v>0</v>
      </c>
      <c r="AV111" s="4">
        <f>IF(ISNUMBER(SEARCH(N111&amp;";",Calculations!$Q$18)),1,0)</f>
        <v>0</v>
      </c>
      <c r="AW111" s="4">
        <f t="shared" ref="AW111:AW117" si="66">IF($AV$109=1,1,AV111)</f>
        <v>0</v>
      </c>
      <c r="AX111" s="4">
        <f>VLOOKUP($N111,$N111:$CH111,MATCH('Character Sheet'!$BJ$3,Skills!$N$1:$CH$1,0),FALSE)</f>
        <v>0</v>
      </c>
    </row>
    <row r="112" spans="1:50" x14ac:dyDescent="0.25">
      <c r="B112" s="4" t="e">
        <f t="shared" si="54"/>
        <v>#N/A</v>
      </c>
      <c r="E112" s="4"/>
      <c r="F112" s="4">
        <f t="shared" si="37"/>
        <v>0</v>
      </c>
      <c r="G112" s="4"/>
      <c r="H112" s="4" t="e">
        <f t="shared" si="40"/>
        <v>#N/A</v>
      </c>
      <c r="I112" s="4" t="e">
        <f t="shared" si="64"/>
        <v>#N/A</v>
      </c>
      <c r="J112" s="4">
        <f t="shared" si="32"/>
        <v>0</v>
      </c>
      <c r="K112" s="4">
        <f t="shared" si="56"/>
        <v>0</v>
      </c>
      <c r="M112" t="str">
        <f t="shared" ref="M112:M117" si="67">N112</f>
        <v>Journalism</v>
      </c>
      <c r="N112" s="3" t="str">
        <f>'Character Sheet'!AMJ6</f>
        <v>Journalism</v>
      </c>
      <c r="O112" s="4" t="s">
        <v>791</v>
      </c>
      <c r="P112" s="4" t="s">
        <v>792</v>
      </c>
      <c r="Q112" s="4">
        <f t="shared" si="57"/>
        <v>0</v>
      </c>
      <c r="R112" s="4">
        <f>IF(ISNUMBER(SEARCH("Category",N112)),"- -",IF(ISNUMBER(SEARCH("Skills",N112)),"- -",'Level-up'!C130))</f>
        <v>0</v>
      </c>
      <c r="S112" s="4">
        <f t="shared" si="34"/>
        <v>0</v>
      </c>
      <c r="T112" s="4">
        <f t="shared" si="35"/>
        <v>-25</v>
      </c>
      <c r="U112" s="4">
        <f t="shared" ca="1" si="38"/>
        <v>10</v>
      </c>
      <c r="V112" s="4">
        <f t="shared" si="65"/>
        <v>0</v>
      </c>
      <c r="W112" s="4">
        <f t="shared" si="58"/>
        <v>0</v>
      </c>
      <c r="X112" s="4">
        <f t="shared" si="55"/>
        <v>0</v>
      </c>
      <c r="Y112" s="4">
        <f t="shared" si="60"/>
        <v>0</v>
      </c>
      <c r="Z112" s="4">
        <f t="shared" si="61"/>
        <v>0</v>
      </c>
      <c r="AA112" s="4">
        <f t="shared" si="62"/>
        <v>0</v>
      </c>
      <c r="AB112" s="4">
        <f t="shared" si="63"/>
        <v>0</v>
      </c>
      <c r="AC112" s="8"/>
      <c r="AD112" s="4"/>
      <c r="AE112" s="4"/>
      <c r="AF112" s="4" t="str">
        <f t="shared" ca="1" si="49"/>
        <v>-15</v>
      </c>
      <c r="AG112" s="4"/>
      <c r="AH112" s="4">
        <f>IFERROR(VLOOKUP(M112,Calculations!$AC$2:$AD$251,2,FALSE),0)</f>
        <v>0</v>
      </c>
      <c r="AI112" s="4">
        <f>VLOOKUP(N112,$N$2:$AS$620,MATCH('Character Creation'!$Z$12,Skills!$N$1:$AS$1,0),FALSE)</f>
        <v>0</v>
      </c>
      <c r="AJ112" s="4">
        <f>VLOOKUP($N112,[2]Cultures!$B$4:$M$283,MATCH(AJ$1,[2]Cultures!$B$3:$M$3,0),FALSE)</f>
        <v>0</v>
      </c>
      <c r="AK112" s="4">
        <f>VLOOKUP($N112,[2]Cultures!$B$4:$M$283,MATCH(AK$1,[2]Cultures!$B$3:$M$3,0),FALSE)</f>
        <v>0</v>
      </c>
      <c r="AL112" s="4">
        <f>VLOOKUP($N112,[2]Cultures!$B$4:$M$283,MATCH(AL$1,[2]Cultures!$B$3:$M$3,0),FALSE)</f>
        <v>0</v>
      </c>
      <c r="AM112" s="4">
        <f>VLOOKUP($N112,[2]Cultures!$B$4:$M$283,MATCH(AM$1,[2]Cultures!$B$3:$M$3,0),FALSE)</f>
        <v>0</v>
      </c>
      <c r="AN112" s="4">
        <f>VLOOKUP($N112,[2]Cultures!$B$4:$M$283,MATCH(AN$1,[2]Cultures!$B$3:$M$3,0),FALSE)</f>
        <v>0</v>
      </c>
      <c r="AO112" s="4">
        <f>VLOOKUP($N112,[2]Cultures!$B$4:$M$283,MATCH(AO$1,[2]Cultures!$B$3:$M$3,0),FALSE)</f>
        <v>0</v>
      </c>
      <c r="AP112" s="4">
        <f>VLOOKUP($N112,[2]Cultures!$B$4:$M$283,MATCH(AP$1,[2]Cultures!$B$3:$M$3,0),FALSE)</f>
        <v>0</v>
      </c>
      <c r="AQ112" s="4">
        <f>VLOOKUP($N112,[2]Cultures!$B$4:$M$283,MATCH(AQ$1,[2]Cultures!$B$3:$M$3,0),FALSE)</f>
        <v>0</v>
      </c>
      <c r="AR112" s="4">
        <f>VLOOKUP($N112,[2]Cultures!$B$4:$M$283,MATCH(AR$1,[2]Cultures!$B$3:$M$3,0),FALSE)</f>
        <v>0</v>
      </c>
      <c r="AS112" s="4">
        <f>VLOOKUP($N112,[2]Cultures!$B$4:$M$283,MATCH(AS$1,[2]Cultures!$B$3:$M$3,0),FALSE)</f>
        <v>0</v>
      </c>
      <c r="AT112" s="4"/>
      <c r="AU112" s="4">
        <f>IF(ISNUMBER(SEARCH(N112&amp;";",Calculations!$Q$19)),VLOOKUP(Skills!N112,Calculations!$Q$2:$T$16,4,FALSE),0)</f>
        <v>0</v>
      </c>
      <c r="AV112" s="4">
        <f>IF(ISNUMBER(SEARCH(N112&amp;";",Calculations!$Q$18)),1,0)</f>
        <v>0</v>
      </c>
      <c r="AW112" s="4">
        <f t="shared" si="66"/>
        <v>0</v>
      </c>
      <c r="AX112" s="4">
        <f>VLOOKUP($N112,$N112:$CH112,MATCH('Character Sheet'!$BJ$3,Skills!$N$1:$CH$1,0),FALSE)</f>
        <v>0</v>
      </c>
    </row>
    <row r="113" spans="2:50" x14ac:dyDescent="0.25">
      <c r="B113" s="4" t="e">
        <f t="shared" si="54"/>
        <v>#N/A</v>
      </c>
      <c r="E113" s="4"/>
      <c r="F113" s="4">
        <f t="shared" si="37"/>
        <v>0</v>
      </c>
      <c r="G113" s="4"/>
      <c r="H113" s="4" t="e">
        <f t="shared" si="40"/>
        <v>#N/A</v>
      </c>
      <c r="I113" s="4" t="e">
        <f t="shared" si="64"/>
        <v>#N/A</v>
      </c>
      <c r="J113" s="4">
        <f t="shared" si="32"/>
        <v>0</v>
      </c>
      <c r="K113" s="4">
        <f t="shared" si="56"/>
        <v>0</v>
      </c>
      <c r="M113" t="str">
        <f t="shared" si="67"/>
        <v>Musical Composition</v>
      </c>
      <c r="N113" s="3" t="str">
        <f>'Character Sheet'!AMJ7</f>
        <v>Musical Composition</v>
      </c>
      <c r="O113" s="4" t="s">
        <v>791</v>
      </c>
      <c r="P113" s="4" t="s">
        <v>781</v>
      </c>
      <c r="Q113" s="4">
        <f t="shared" si="57"/>
        <v>0</v>
      </c>
      <c r="R113" s="4">
        <f>IF(ISNUMBER(SEARCH("Category",N113)),"- -",IF(ISNUMBER(SEARCH("Skills",N113)),"- -",'Level-up'!C131))</f>
        <v>0</v>
      </c>
      <c r="S113" s="4">
        <f t="shared" si="34"/>
        <v>0</v>
      </c>
      <c r="T113" s="4">
        <f t="shared" si="35"/>
        <v>-25</v>
      </c>
      <c r="U113" s="4">
        <f t="shared" ca="1" si="38"/>
        <v>4</v>
      </c>
      <c r="V113" s="4">
        <f t="shared" si="65"/>
        <v>0</v>
      </c>
      <c r="W113" s="4">
        <f t="shared" si="58"/>
        <v>0</v>
      </c>
      <c r="X113" s="4">
        <f t="shared" si="55"/>
        <v>0</v>
      </c>
      <c r="Y113" s="4">
        <f t="shared" si="60"/>
        <v>0</v>
      </c>
      <c r="Z113" s="4">
        <f t="shared" si="61"/>
        <v>0</v>
      </c>
      <c r="AA113" s="4">
        <f t="shared" si="62"/>
        <v>0</v>
      </c>
      <c r="AB113" s="4">
        <f t="shared" si="63"/>
        <v>0</v>
      </c>
      <c r="AC113" s="8"/>
      <c r="AD113" s="4"/>
      <c r="AE113" s="4"/>
      <c r="AF113" s="4" t="str">
        <f t="shared" ca="1" si="49"/>
        <v>-21</v>
      </c>
      <c r="AG113" s="4"/>
      <c r="AH113" s="4">
        <f>IFERROR(VLOOKUP(M113,Calculations!$AC$2:$AD$251,2,FALSE),0)</f>
        <v>0</v>
      </c>
      <c r="AI113" s="4">
        <f>VLOOKUP(N113,$N$2:$AS$620,MATCH('Character Creation'!$Z$12,Skills!$N$1:$AS$1,0),FALSE)</f>
        <v>0</v>
      </c>
      <c r="AJ113" s="4">
        <f>VLOOKUP($N113,[2]Cultures!$B$4:$M$283,MATCH(AJ$1,[2]Cultures!$B$3:$M$3,0),FALSE)</f>
        <v>0</v>
      </c>
      <c r="AK113" s="4">
        <f>VLOOKUP($N113,[2]Cultures!$B$4:$M$283,MATCH(AK$1,[2]Cultures!$B$3:$M$3,0),FALSE)</f>
        <v>0</v>
      </c>
      <c r="AL113" s="4">
        <f>VLOOKUP($N113,[2]Cultures!$B$4:$M$283,MATCH(AL$1,[2]Cultures!$B$3:$M$3,0),FALSE)</f>
        <v>0</v>
      </c>
      <c r="AM113" s="4">
        <f>VLOOKUP($N113,[2]Cultures!$B$4:$M$283,MATCH(AM$1,[2]Cultures!$B$3:$M$3,0),FALSE)</f>
        <v>0</v>
      </c>
      <c r="AN113" s="4">
        <f>VLOOKUP($N113,[2]Cultures!$B$4:$M$283,MATCH(AN$1,[2]Cultures!$B$3:$M$3,0),FALSE)</f>
        <v>0</v>
      </c>
      <c r="AO113" s="4">
        <f>VLOOKUP($N113,[2]Cultures!$B$4:$M$283,MATCH(AO$1,[2]Cultures!$B$3:$M$3,0),FALSE)</f>
        <v>0</v>
      </c>
      <c r="AP113" s="4">
        <f>VLOOKUP($N113,[2]Cultures!$B$4:$M$283,MATCH(AP$1,[2]Cultures!$B$3:$M$3,0),FALSE)</f>
        <v>0</v>
      </c>
      <c r="AQ113" s="4">
        <f>VLOOKUP($N113,[2]Cultures!$B$4:$M$283,MATCH(AQ$1,[2]Cultures!$B$3:$M$3,0),FALSE)</f>
        <v>0</v>
      </c>
      <c r="AR113" s="4">
        <f>VLOOKUP($N113,[2]Cultures!$B$4:$M$283,MATCH(AR$1,[2]Cultures!$B$3:$M$3,0),FALSE)</f>
        <v>0</v>
      </c>
      <c r="AS113" s="4">
        <f>VLOOKUP($N113,[2]Cultures!$B$4:$M$283,MATCH(AS$1,[2]Cultures!$B$3:$M$3,0),FALSE)</f>
        <v>0</v>
      </c>
      <c r="AT113" s="4"/>
      <c r="AU113" s="4">
        <f>IF(ISNUMBER(SEARCH(N113&amp;";",Calculations!$Q$19)),VLOOKUP(Skills!N113,Calculations!$Q$2:$T$16,4,FALSE),0)</f>
        <v>0</v>
      </c>
      <c r="AV113" s="4">
        <f>IF(ISNUMBER(SEARCH(N113&amp;";",Calculations!$Q$18)),1,0)</f>
        <v>1</v>
      </c>
      <c r="AW113" s="4">
        <f t="shared" si="66"/>
        <v>1</v>
      </c>
      <c r="AX113" s="4">
        <f>VLOOKUP($N113,$N113:$CH113,MATCH('Character Sheet'!$BJ$3,Skills!$N$1:$CH$1,0),FALSE)</f>
        <v>0</v>
      </c>
    </row>
    <row r="114" spans="2:50" x14ac:dyDescent="0.25">
      <c r="B114" s="4" t="e">
        <f t="shared" si="54"/>
        <v>#N/A</v>
      </c>
      <c r="E114" s="4"/>
      <c r="F114" s="4">
        <f t="shared" si="37"/>
        <v>0</v>
      </c>
      <c r="G114" s="4"/>
      <c r="H114" s="4" t="e">
        <f t="shared" si="40"/>
        <v>#N/A</v>
      </c>
      <c r="I114" s="4" t="e">
        <f t="shared" si="64"/>
        <v>#N/A</v>
      </c>
      <c r="J114" s="4">
        <f t="shared" si="32"/>
        <v>0</v>
      </c>
      <c r="K114" s="4">
        <f t="shared" si="56"/>
        <v>0</v>
      </c>
      <c r="M114" t="str">
        <f t="shared" si="67"/>
        <v>Playright</v>
      </c>
      <c r="N114" s="3" t="str">
        <f>'Character Sheet'!AMJ8</f>
        <v>Playright</v>
      </c>
      <c r="O114" s="4" t="s">
        <v>791</v>
      </c>
      <c r="P114" s="4" t="s">
        <v>792</v>
      </c>
      <c r="Q114" s="4">
        <f t="shared" si="57"/>
        <v>0</v>
      </c>
      <c r="R114" s="4">
        <f>IF(ISNUMBER(SEARCH("Category",N114)),"- -",IF(ISNUMBER(SEARCH("Skills",N114)),"- -",'Level-up'!C132))</f>
        <v>0</v>
      </c>
      <c r="S114" s="4">
        <f t="shared" si="34"/>
        <v>0</v>
      </c>
      <c r="T114" s="4">
        <f t="shared" si="35"/>
        <v>-25</v>
      </c>
      <c r="U114" s="4">
        <f t="shared" ca="1" si="38"/>
        <v>10</v>
      </c>
      <c r="V114" s="4">
        <f t="shared" si="65"/>
        <v>0</v>
      </c>
      <c r="W114" s="4">
        <f t="shared" si="58"/>
        <v>0</v>
      </c>
      <c r="X114" s="4">
        <f t="shared" si="55"/>
        <v>0</v>
      </c>
      <c r="Y114" s="4">
        <f t="shared" si="60"/>
        <v>0</v>
      </c>
      <c r="Z114" s="4">
        <f t="shared" si="61"/>
        <v>0</v>
      </c>
      <c r="AA114" s="4">
        <f t="shared" si="62"/>
        <v>0</v>
      </c>
      <c r="AB114" s="4">
        <f t="shared" si="63"/>
        <v>0</v>
      </c>
      <c r="AC114" s="8"/>
      <c r="AD114" s="4"/>
      <c r="AE114" s="4"/>
      <c r="AF114" s="4" t="str">
        <f t="shared" ca="1" si="49"/>
        <v>-15</v>
      </c>
      <c r="AG114" s="4"/>
      <c r="AH114" s="4">
        <f>IFERROR(VLOOKUP(M114,Calculations!$AC$2:$AD$251,2,FALSE),0)</f>
        <v>0</v>
      </c>
      <c r="AI114" s="4">
        <f>VLOOKUP(N114,$N$2:$AS$620,MATCH('Character Creation'!$Z$12,Skills!$N$1:$AS$1,0),FALSE)</f>
        <v>0</v>
      </c>
      <c r="AJ114" s="4">
        <f>VLOOKUP($N114,[2]Cultures!$B$4:$M$283,MATCH(AJ$1,[2]Cultures!$B$3:$M$3,0),FALSE)</f>
        <v>0</v>
      </c>
      <c r="AK114" s="4">
        <f>VLOOKUP($N114,[2]Cultures!$B$4:$M$283,MATCH(AK$1,[2]Cultures!$B$3:$M$3,0),FALSE)</f>
        <v>0</v>
      </c>
      <c r="AL114" s="4">
        <f>VLOOKUP($N114,[2]Cultures!$B$4:$M$283,MATCH(AL$1,[2]Cultures!$B$3:$M$3,0),FALSE)</f>
        <v>0</v>
      </c>
      <c r="AM114" s="4">
        <f>VLOOKUP($N114,[2]Cultures!$B$4:$M$283,MATCH(AM$1,[2]Cultures!$B$3:$M$3,0),FALSE)</f>
        <v>0</v>
      </c>
      <c r="AN114" s="4">
        <f>VLOOKUP($N114,[2]Cultures!$B$4:$M$283,MATCH(AN$1,[2]Cultures!$B$3:$M$3,0),FALSE)</f>
        <v>0</v>
      </c>
      <c r="AO114" s="4">
        <f>VLOOKUP($N114,[2]Cultures!$B$4:$M$283,MATCH(AO$1,[2]Cultures!$B$3:$M$3,0),FALSE)</f>
        <v>0</v>
      </c>
      <c r="AP114" s="4">
        <f>VLOOKUP($N114,[2]Cultures!$B$4:$M$283,MATCH(AP$1,[2]Cultures!$B$3:$M$3,0),FALSE)</f>
        <v>0</v>
      </c>
      <c r="AQ114" s="4">
        <f>VLOOKUP($N114,[2]Cultures!$B$4:$M$283,MATCH(AQ$1,[2]Cultures!$B$3:$M$3,0),FALSE)</f>
        <v>0</v>
      </c>
      <c r="AR114" s="4">
        <f>VLOOKUP($N114,[2]Cultures!$B$4:$M$283,MATCH(AR$1,[2]Cultures!$B$3:$M$3,0),FALSE)</f>
        <v>0</v>
      </c>
      <c r="AS114" s="4">
        <f>VLOOKUP($N114,[2]Cultures!$B$4:$M$283,MATCH(AS$1,[2]Cultures!$B$3:$M$3,0),FALSE)</f>
        <v>0</v>
      </c>
      <c r="AT114" s="4"/>
      <c r="AU114" s="4">
        <f>IF(ISNUMBER(SEARCH(N114&amp;";",Calculations!$Q$19)),VLOOKUP(Skills!N114,Calculations!$Q$2:$T$16,4,FALSE),0)</f>
        <v>0</v>
      </c>
      <c r="AV114" s="4">
        <f>IF(ISNUMBER(SEARCH(N114&amp;";",Calculations!$Q$18)),1,0)</f>
        <v>0</v>
      </c>
      <c r="AW114" s="4">
        <f t="shared" si="66"/>
        <v>0</v>
      </c>
      <c r="AX114" s="4">
        <f>VLOOKUP($N114,$N114:$CH114,MATCH('Character Sheet'!$BJ$3,Skills!$N$1:$CH$1,0),FALSE)</f>
        <v>0</v>
      </c>
    </row>
    <row r="115" spans="2:50" x14ac:dyDescent="0.25">
      <c r="B115" s="4" t="e">
        <f t="shared" si="54"/>
        <v>#N/A</v>
      </c>
      <c r="E115" s="4"/>
      <c r="F115" s="4">
        <f t="shared" si="37"/>
        <v>0</v>
      </c>
      <c r="G115" s="4"/>
      <c r="H115" s="4" t="e">
        <f t="shared" si="40"/>
        <v>#N/A</v>
      </c>
      <c r="I115" s="4" t="e">
        <f t="shared" si="64"/>
        <v>#N/A</v>
      </c>
      <c r="J115" s="4">
        <f t="shared" si="32"/>
        <v>0</v>
      </c>
      <c r="K115" s="4">
        <f t="shared" si="56"/>
        <v>0</v>
      </c>
      <c r="M115" t="str">
        <f t="shared" si="67"/>
        <v>Poetic Improvisation</v>
      </c>
      <c r="N115" s="3" t="str">
        <f>'Character Sheet'!AMJ9</f>
        <v>Poetic Improvisation</v>
      </c>
      <c r="O115" s="4" t="s">
        <v>791</v>
      </c>
      <c r="P115" s="4" t="s">
        <v>792</v>
      </c>
      <c r="Q115" s="4">
        <f t="shared" si="57"/>
        <v>0</v>
      </c>
      <c r="R115" s="4">
        <f>IF(ISNUMBER(SEARCH("Category",N115)),"- -",IF(ISNUMBER(SEARCH("Skills",N115)),"- -",'Level-up'!C133))</f>
        <v>0</v>
      </c>
      <c r="S115" s="4">
        <f t="shared" si="34"/>
        <v>0</v>
      </c>
      <c r="T115" s="4">
        <f t="shared" si="35"/>
        <v>-25</v>
      </c>
      <c r="U115" s="4">
        <f t="shared" ca="1" si="38"/>
        <v>10</v>
      </c>
      <c r="V115" s="4">
        <f t="shared" si="65"/>
        <v>0</v>
      </c>
      <c r="W115" s="4">
        <f t="shared" si="58"/>
        <v>0</v>
      </c>
      <c r="X115" s="4">
        <f t="shared" si="55"/>
        <v>0</v>
      </c>
      <c r="Y115" s="4">
        <f t="shared" si="60"/>
        <v>0</v>
      </c>
      <c r="Z115" s="4">
        <f t="shared" si="61"/>
        <v>0</v>
      </c>
      <c r="AA115" s="4">
        <f t="shared" si="62"/>
        <v>0</v>
      </c>
      <c r="AB115" s="4">
        <f t="shared" si="63"/>
        <v>0</v>
      </c>
      <c r="AC115" s="8"/>
      <c r="AD115" s="4"/>
      <c r="AE115" s="4"/>
      <c r="AF115" s="4" t="str">
        <f t="shared" ca="1" si="49"/>
        <v>-15</v>
      </c>
      <c r="AG115" s="4"/>
      <c r="AH115" s="4">
        <f>IFERROR(VLOOKUP(M115,Calculations!$AC$2:$AD$251,2,FALSE),0)</f>
        <v>0</v>
      </c>
      <c r="AI115" s="4">
        <f>VLOOKUP(N115,$N$2:$AS$620,MATCH('Character Creation'!$Z$12,Skills!$N$1:$AS$1,0),FALSE)</f>
        <v>0</v>
      </c>
      <c r="AJ115" s="4">
        <f>VLOOKUP($N115,[2]Cultures!$B$4:$M$283,MATCH(AJ$1,[2]Cultures!$B$3:$M$3,0),FALSE)</f>
        <v>0</v>
      </c>
      <c r="AK115" s="4">
        <f>VLOOKUP($N115,[2]Cultures!$B$4:$M$283,MATCH(AK$1,[2]Cultures!$B$3:$M$3,0),FALSE)</f>
        <v>0</v>
      </c>
      <c r="AL115" s="4">
        <f>VLOOKUP($N115,[2]Cultures!$B$4:$M$283,MATCH(AL$1,[2]Cultures!$B$3:$M$3,0),FALSE)</f>
        <v>0</v>
      </c>
      <c r="AM115" s="4">
        <f>VLOOKUP($N115,[2]Cultures!$B$4:$M$283,MATCH(AM$1,[2]Cultures!$B$3:$M$3,0),FALSE)</f>
        <v>0</v>
      </c>
      <c r="AN115" s="4">
        <f>VLOOKUP($N115,[2]Cultures!$B$4:$M$283,MATCH(AN$1,[2]Cultures!$B$3:$M$3,0),FALSE)</f>
        <v>0</v>
      </c>
      <c r="AO115" s="4">
        <f>VLOOKUP($N115,[2]Cultures!$B$4:$M$283,MATCH(AO$1,[2]Cultures!$B$3:$M$3,0),FALSE)</f>
        <v>0</v>
      </c>
      <c r="AP115" s="4">
        <f>VLOOKUP($N115,[2]Cultures!$B$4:$M$283,MATCH(AP$1,[2]Cultures!$B$3:$M$3,0),FALSE)</f>
        <v>0</v>
      </c>
      <c r="AQ115" s="4">
        <f>VLOOKUP($N115,[2]Cultures!$B$4:$M$283,MATCH(AQ$1,[2]Cultures!$B$3:$M$3,0),FALSE)</f>
        <v>0</v>
      </c>
      <c r="AR115" s="4">
        <f>VLOOKUP($N115,[2]Cultures!$B$4:$M$283,MATCH(AR$1,[2]Cultures!$B$3:$M$3,0),FALSE)</f>
        <v>0</v>
      </c>
      <c r="AS115" s="4">
        <f>VLOOKUP($N115,[2]Cultures!$B$4:$M$283,MATCH(AS$1,[2]Cultures!$B$3:$M$3,0),FALSE)</f>
        <v>0</v>
      </c>
      <c r="AT115" s="4"/>
      <c r="AU115" s="4">
        <f>IF(ISNUMBER(SEARCH(N115&amp;";",Calculations!$Q$19)),VLOOKUP(Skills!N115,Calculations!$Q$2:$T$16,4,FALSE),0)</f>
        <v>0</v>
      </c>
      <c r="AV115" s="4">
        <f>IF(ISNUMBER(SEARCH(N115&amp;";",Calculations!$Q$18)),1,0)</f>
        <v>0</v>
      </c>
      <c r="AW115" s="4">
        <f t="shared" si="66"/>
        <v>0</v>
      </c>
      <c r="AX115" s="4">
        <f>VLOOKUP($N115,$N115:$CH115,MATCH('Character Sheet'!$BJ$3,Skills!$N$1:$CH$1,0),FALSE)</f>
        <v>0</v>
      </c>
    </row>
    <row r="116" spans="2:50" x14ac:dyDescent="0.25">
      <c r="B116" s="4" t="e">
        <f t="shared" si="54"/>
        <v>#N/A</v>
      </c>
      <c r="E116" s="4"/>
      <c r="F116" s="4">
        <f t="shared" si="37"/>
        <v>0</v>
      </c>
      <c r="G116" s="4"/>
      <c r="H116" s="4" t="e">
        <f t="shared" si="40"/>
        <v>#N/A</v>
      </c>
      <c r="I116" s="4" t="e">
        <f t="shared" si="64"/>
        <v>#N/A</v>
      </c>
      <c r="J116" s="4">
        <f t="shared" si="32"/>
        <v>0</v>
      </c>
      <c r="K116" s="4">
        <f t="shared" si="56"/>
        <v>0</v>
      </c>
      <c r="M116" t="str">
        <f t="shared" si="67"/>
        <v>Reporting</v>
      </c>
      <c r="N116" s="3" t="str">
        <f>'Character Sheet'!AMJ10</f>
        <v>Reporting</v>
      </c>
      <c r="O116" s="4" t="s">
        <v>791</v>
      </c>
      <c r="P116" s="4" t="s">
        <v>792</v>
      </c>
      <c r="Q116" s="4">
        <f t="shared" si="57"/>
        <v>0</v>
      </c>
      <c r="R116" s="4">
        <f>IF(ISNUMBER(SEARCH("Category",N116)),"- -",IF(ISNUMBER(SEARCH("Skills",N116)),"- -",'Level-up'!C134))</f>
        <v>0</v>
      </c>
      <c r="S116" s="4">
        <f t="shared" si="34"/>
        <v>0</v>
      </c>
      <c r="T116" s="4">
        <f t="shared" si="35"/>
        <v>-25</v>
      </c>
      <c r="U116" s="4">
        <f t="shared" ca="1" si="38"/>
        <v>10</v>
      </c>
      <c r="V116" s="4">
        <f t="shared" si="65"/>
        <v>0</v>
      </c>
      <c r="W116" s="4">
        <f t="shared" si="58"/>
        <v>0</v>
      </c>
      <c r="X116" s="4">
        <f t="shared" si="55"/>
        <v>0</v>
      </c>
      <c r="Y116" s="4">
        <f t="shared" si="60"/>
        <v>0</v>
      </c>
      <c r="Z116" s="4">
        <f t="shared" si="61"/>
        <v>0</v>
      </c>
      <c r="AA116" s="4">
        <f t="shared" si="62"/>
        <v>0</v>
      </c>
      <c r="AB116" s="4">
        <f t="shared" si="63"/>
        <v>0</v>
      </c>
      <c r="AC116" s="8"/>
      <c r="AD116" s="4"/>
      <c r="AE116" s="4"/>
      <c r="AF116" s="4" t="str">
        <f t="shared" ca="1" si="49"/>
        <v>-15</v>
      </c>
      <c r="AG116" s="4"/>
      <c r="AH116" s="4">
        <f>IFERROR(VLOOKUP(M116,Calculations!$AC$2:$AD$251,2,FALSE),0)</f>
        <v>0</v>
      </c>
      <c r="AI116" s="4">
        <f>VLOOKUP(N116,$N$2:$AS$620,MATCH('Character Creation'!$Z$12,Skills!$N$1:$AS$1,0),FALSE)</f>
        <v>0</v>
      </c>
      <c r="AJ116" s="4">
        <f>VLOOKUP($N116,[2]Cultures!$B$4:$M$283,MATCH(AJ$1,[2]Cultures!$B$3:$M$3,0),FALSE)</f>
        <v>0</v>
      </c>
      <c r="AK116" s="4">
        <f>VLOOKUP($N116,[2]Cultures!$B$4:$M$283,MATCH(AK$1,[2]Cultures!$B$3:$M$3,0),FALSE)</f>
        <v>0</v>
      </c>
      <c r="AL116" s="4">
        <f>VLOOKUP($N116,[2]Cultures!$B$4:$M$283,MATCH(AL$1,[2]Cultures!$B$3:$M$3,0),FALSE)</f>
        <v>0</v>
      </c>
      <c r="AM116" s="4">
        <f>VLOOKUP($N116,[2]Cultures!$B$4:$M$283,MATCH(AM$1,[2]Cultures!$B$3:$M$3,0),FALSE)</f>
        <v>0</v>
      </c>
      <c r="AN116" s="4">
        <f>VLOOKUP($N116,[2]Cultures!$B$4:$M$283,MATCH(AN$1,[2]Cultures!$B$3:$M$3,0),FALSE)</f>
        <v>0</v>
      </c>
      <c r="AO116" s="4">
        <f>VLOOKUP($N116,[2]Cultures!$B$4:$M$283,MATCH(AO$1,[2]Cultures!$B$3:$M$3,0),FALSE)</f>
        <v>0</v>
      </c>
      <c r="AP116" s="4">
        <f>VLOOKUP($N116,[2]Cultures!$B$4:$M$283,MATCH(AP$1,[2]Cultures!$B$3:$M$3,0),FALSE)</f>
        <v>0</v>
      </c>
      <c r="AQ116" s="4">
        <f>VLOOKUP($N116,[2]Cultures!$B$4:$M$283,MATCH(AQ$1,[2]Cultures!$B$3:$M$3,0),FALSE)</f>
        <v>0</v>
      </c>
      <c r="AR116" s="4">
        <f>VLOOKUP($N116,[2]Cultures!$B$4:$M$283,MATCH(AR$1,[2]Cultures!$B$3:$M$3,0),FALSE)</f>
        <v>0</v>
      </c>
      <c r="AS116" s="4">
        <f>VLOOKUP($N116,[2]Cultures!$B$4:$M$283,MATCH(AS$1,[2]Cultures!$B$3:$M$3,0),FALSE)</f>
        <v>0</v>
      </c>
      <c r="AT116" s="4"/>
      <c r="AU116" s="4">
        <f>IF(ISNUMBER(SEARCH(N116&amp;";",Calculations!$Q$19)),VLOOKUP(Skills!N116,Calculations!$Q$2:$T$16,4,FALSE),0)</f>
        <v>0</v>
      </c>
      <c r="AV116" s="4">
        <f>IF(ISNUMBER(SEARCH(N116&amp;";",Calculations!$Q$18)),1,0)</f>
        <v>0</v>
      </c>
      <c r="AW116" s="4">
        <f t="shared" si="66"/>
        <v>0</v>
      </c>
      <c r="AX116" s="4">
        <f>VLOOKUP($N116,$N116:$CH116,MATCH('Character Sheet'!$BJ$3,Skills!$N$1:$CH$1,0),FALSE)</f>
        <v>0</v>
      </c>
    </row>
    <row r="117" spans="2:50" x14ac:dyDescent="0.25">
      <c r="B117" s="4" t="e">
        <f t="shared" si="54"/>
        <v>#N/A</v>
      </c>
      <c r="E117" s="4"/>
      <c r="F117" s="4">
        <f t="shared" si="37"/>
        <v>0</v>
      </c>
      <c r="G117" s="4"/>
      <c r="H117" s="4" t="e">
        <f t="shared" si="40"/>
        <v>#N/A</v>
      </c>
      <c r="I117" s="4" t="e">
        <f t="shared" si="64"/>
        <v>#N/A</v>
      </c>
      <c r="J117" s="4">
        <f t="shared" si="32"/>
        <v>0</v>
      </c>
      <c r="K117" s="4">
        <f t="shared" si="56"/>
        <v>0</v>
      </c>
      <c r="M117" t="str">
        <f t="shared" si="67"/>
        <v>Writing</v>
      </c>
      <c r="N117" s="3" t="str">
        <f>'Character Sheet'!AMJ11</f>
        <v>Writing</v>
      </c>
      <c r="O117" s="4" t="s">
        <v>791</v>
      </c>
      <c r="P117" s="4" t="s">
        <v>792</v>
      </c>
      <c r="Q117" s="4">
        <f t="shared" si="57"/>
        <v>0</v>
      </c>
      <c r="R117" s="4">
        <f>IF(ISNUMBER(SEARCH("Category",N117)),"- -",IF(ISNUMBER(SEARCH("Skills",N117)),"- -",'Level-up'!C135))</f>
        <v>0</v>
      </c>
      <c r="S117" s="4">
        <f t="shared" si="34"/>
        <v>0</v>
      </c>
      <c r="T117" s="4">
        <f t="shared" si="35"/>
        <v>-25</v>
      </c>
      <c r="U117" s="4">
        <f t="shared" ca="1" si="38"/>
        <v>10</v>
      </c>
      <c r="V117" s="4">
        <f t="shared" si="65"/>
        <v>0</v>
      </c>
      <c r="W117" s="4">
        <f t="shared" si="58"/>
        <v>0</v>
      </c>
      <c r="X117" s="4">
        <f t="shared" si="55"/>
        <v>0</v>
      </c>
      <c r="Y117" s="4">
        <f t="shared" si="60"/>
        <v>0</v>
      </c>
      <c r="Z117" s="4">
        <f t="shared" si="61"/>
        <v>0</v>
      </c>
      <c r="AA117" s="4">
        <f t="shared" si="62"/>
        <v>0</v>
      </c>
      <c r="AB117" s="4">
        <f t="shared" si="63"/>
        <v>0</v>
      </c>
      <c r="AC117" s="8"/>
      <c r="AD117" s="4"/>
      <c r="AE117" s="4"/>
      <c r="AF117" s="4" t="str">
        <f t="shared" ca="1" si="49"/>
        <v>-15</v>
      </c>
      <c r="AG117" s="4"/>
      <c r="AH117" s="4">
        <f>IFERROR(VLOOKUP(M117,Calculations!$AC$2:$AD$251,2,FALSE),0)</f>
        <v>0</v>
      </c>
      <c r="AI117" s="4">
        <f>VLOOKUP(N117,$N$2:$AS$620,MATCH('Character Creation'!$Z$12,Skills!$N$1:$AS$1,0),FALSE)</f>
        <v>0</v>
      </c>
      <c r="AJ117" s="4">
        <f>VLOOKUP($N117,[2]Cultures!$B$4:$M$283,MATCH(AJ$1,[2]Cultures!$B$3:$M$3,0),FALSE)</f>
        <v>0</v>
      </c>
      <c r="AK117" s="4">
        <f>VLOOKUP($N117,[2]Cultures!$B$4:$M$283,MATCH(AK$1,[2]Cultures!$B$3:$M$3,0),FALSE)</f>
        <v>0</v>
      </c>
      <c r="AL117" s="4">
        <f>VLOOKUP($N117,[2]Cultures!$B$4:$M$283,MATCH(AL$1,[2]Cultures!$B$3:$M$3,0),FALSE)</f>
        <v>0</v>
      </c>
      <c r="AM117" s="4">
        <f>VLOOKUP($N117,[2]Cultures!$B$4:$M$283,MATCH(AM$1,[2]Cultures!$B$3:$M$3,0),FALSE)</f>
        <v>0</v>
      </c>
      <c r="AN117" s="4">
        <f>VLOOKUP($N117,[2]Cultures!$B$4:$M$283,MATCH(AN$1,[2]Cultures!$B$3:$M$3,0),FALSE)</f>
        <v>0</v>
      </c>
      <c r="AO117" s="4">
        <f>VLOOKUP($N117,[2]Cultures!$B$4:$M$283,MATCH(AO$1,[2]Cultures!$B$3:$M$3,0),FALSE)</f>
        <v>0</v>
      </c>
      <c r="AP117" s="4">
        <f>VLOOKUP($N117,[2]Cultures!$B$4:$M$283,MATCH(AP$1,[2]Cultures!$B$3:$M$3,0),FALSE)</f>
        <v>0</v>
      </c>
      <c r="AQ117" s="4">
        <f>VLOOKUP($N117,[2]Cultures!$B$4:$M$283,MATCH(AQ$1,[2]Cultures!$B$3:$M$3,0),FALSE)</f>
        <v>0</v>
      </c>
      <c r="AR117" s="4">
        <f>VLOOKUP($N117,[2]Cultures!$B$4:$M$283,MATCH(AR$1,[2]Cultures!$B$3:$M$3,0),FALSE)</f>
        <v>0</v>
      </c>
      <c r="AS117" s="4">
        <f>VLOOKUP($N117,[2]Cultures!$B$4:$M$283,MATCH(AS$1,[2]Cultures!$B$3:$M$3,0),FALSE)</f>
        <v>0</v>
      </c>
      <c r="AT117" s="4"/>
      <c r="AU117" s="4">
        <f>IF(ISNUMBER(SEARCH(N117&amp;";",Calculations!$Q$19)),VLOOKUP(Skills!N117,Calculations!$Q$2:$T$16,4,FALSE),0)</f>
        <v>0</v>
      </c>
      <c r="AV117" s="4">
        <f>IF(ISNUMBER(SEARCH(N117&amp;";",Calculations!$Q$18)),1,0)</f>
        <v>0</v>
      </c>
      <c r="AW117" s="4">
        <f t="shared" si="66"/>
        <v>0</v>
      </c>
      <c r="AX117" s="4">
        <f>VLOOKUP($N117,$N117:$CH117,MATCH('Character Sheet'!$BJ$3,Skills!$N$1:$CH$1,0),FALSE)</f>
        <v>0</v>
      </c>
    </row>
    <row r="118" spans="2:50" x14ac:dyDescent="0.25">
      <c r="B118" s="4" t="e">
        <f t="shared" si="54"/>
        <v>#N/A</v>
      </c>
      <c r="E118" s="4"/>
      <c r="F118" s="4">
        <f t="shared" si="37"/>
        <v>0</v>
      </c>
      <c r="G118" s="4"/>
      <c r="H118" s="4" t="e">
        <f t="shared" si="40"/>
        <v>#N/A</v>
      </c>
      <c r="I118" s="4">
        <f>IF($J$118=1,1,0)</f>
        <v>1</v>
      </c>
      <c r="J118" s="4">
        <f t="shared" si="32"/>
        <v>1</v>
      </c>
      <c r="K118" s="4">
        <f t="shared" si="56"/>
        <v>4</v>
      </c>
      <c r="N118" s="3" t="s">
        <v>641</v>
      </c>
      <c r="O118" s="6" t="s">
        <v>782</v>
      </c>
      <c r="P118" s="6" t="s">
        <v>782</v>
      </c>
      <c r="Q118" s="4" t="str">
        <f t="shared" si="57"/>
        <v>- -</v>
      </c>
      <c r="R118" s="4" t="str">
        <f>IF(ISNUMBER(SEARCH("Category",N118)),"- -",IF(ISNUMBER(SEARCH("Skills",N118)),"- -",'Level-up'!C136))</f>
        <v>- -</v>
      </c>
      <c r="S118" s="4" t="str">
        <f t="shared" si="34"/>
        <v>- -</v>
      </c>
      <c r="T118" s="4" t="str">
        <f t="shared" si="35"/>
        <v>- -</v>
      </c>
      <c r="U118" s="4" t="str">
        <f t="shared" ca="1" si="38"/>
        <v>- -</v>
      </c>
      <c r="V118" s="4" t="str">
        <f t="shared" si="65"/>
        <v>- -</v>
      </c>
      <c r="W118" s="4" t="str">
        <f t="shared" si="58"/>
        <v>- -</v>
      </c>
      <c r="X118" s="4" t="str">
        <f t="shared" si="55"/>
        <v>- -</v>
      </c>
      <c r="Y118" s="4" t="str">
        <f t="shared" si="60"/>
        <v>- -</v>
      </c>
      <c r="Z118" s="4" t="str">
        <f t="shared" si="61"/>
        <v>- -</v>
      </c>
      <c r="AA118" s="4" t="str">
        <f t="shared" si="62"/>
        <v>- -</v>
      </c>
      <c r="AB118" s="4" t="str">
        <f t="shared" si="63"/>
        <v>- -</v>
      </c>
      <c r="AC118" s="8"/>
      <c r="AD118" s="4"/>
      <c r="AE118" s="4"/>
      <c r="AF118" s="4" t="str">
        <f t="shared" si="49"/>
        <v>- -</v>
      </c>
      <c r="AG118" s="4"/>
      <c r="AH118" s="4">
        <f>IFERROR(VLOOKUP(M118,Calculations!$AC$2:$AD$251,2,FALSE),0)</f>
        <v>0</v>
      </c>
      <c r="AI118" s="4">
        <f>VLOOKUP(N118,$N$2:$AS$620,MATCH('Character Creation'!$Z$12,Skills!$N$1:$AS$1,0),FALSE)</f>
        <v>4</v>
      </c>
      <c r="AJ118" s="4">
        <f>VLOOKUP($N118,[2]Cultures!$B$4:$M$283,MATCH(AJ$1,[2]Cultures!$B$3:$M$3,0),FALSE)</f>
        <v>5</v>
      </c>
      <c r="AK118" s="4">
        <f>VLOOKUP($N118,[2]Cultures!$B$4:$M$283,MATCH(AK$1,[2]Cultures!$B$3:$M$3,0),FALSE)</f>
        <v>4</v>
      </c>
      <c r="AL118" s="4">
        <f>VLOOKUP($N118,[2]Cultures!$B$4:$M$283,MATCH(AL$1,[2]Cultures!$B$3:$M$3,0),FALSE)</f>
        <v>4</v>
      </c>
      <c r="AM118" s="4">
        <f>VLOOKUP($N118,[2]Cultures!$B$4:$M$283,MATCH(AM$1,[2]Cultures!$B$3:$M$3,0),FALSE)</f>
        <v>4</v>
      </c>
      <c r="AN118" s="4">
        <f>VLOOKUP($N118,[2]Cultures!$B$4:$M$283,MATCH(AN$1,[2]Cultures!$B$3:$M$3,0),FALSE)</f>
        <v>4</v>
      </c>
      <c r="AO118" s="4">
        <f>VLOOKUP($N118,[2]Cultures!$B$4:$M$283,MATCH(AO$1,[2]Cultures!$B$3:$M$3,0),FALSE)</f>
        <v>3</v>
      </c>
      <c r="AP118" s="4">
        <f>VLOOKUP($N118,[2]Cultures!$B$4:$M$283,MATCH(AP$1,[2]Cultures!$B$3:$M$3,0),FALSE)</f>
        <v>4</v>
      </c>
      <c r="AQ118" s="4">
        <f>VLOOKUP($N118,[2]Cultures!$B$4:$M$283,MATCH(AQ$1,[2]Cultures!$B$3:$M$3,0),FALSE)</f>
        <v>4</v>
      </c>
      <c r="AR118" s="4">
        <f>VLOOKUP($N118,[2]Cultures!$B$4:$M$283,MATCH(AR$1,[2]Cultures!$B$3:$M$3,0),FALSE)</f>
        <v>5</v>
      </c>
      <c r="AS118" s="4">
        <f>VLOOKUP($N118,[2]Cultures!$B$4:$M$283,MATCH(AS$1,[2]Cultures!$B$3:$M$3,0),FALSE)</f>
        <v>6</v>
      </c>
      <c r="AT118" s="4"/>
      <c r="AU118" s="4">
        <f>IF(ISNUMBER(SEARCH(N118&amp;";",Calculations!$Q$19)),VLOOKUP(Skills!N118,Calculations!$Q$2:$T$16,4,FALSE),0)</f>
        <v>0</v>
      </c>
      <c r="AV118" s="4">
        <f>IF(ISNUMBER(SEARCH(N118&amp;";",Calculations!$Q$18)),1,0)</f>
        <v>0</v>
      </c>
      <c r="AW118" s="4"/>
      <c r="AX118" s="4">
        <f>VLOOKUP($N118,$N118:$CH118,MATCH('Character Sheet'!$BJ$3,Skills!$N$1:$CH$1,0),FALSE)</f>
        <v>0</v>
      </c>
    </row>
    <row r="119" spans="2:50" x14ac:dyDescent="0.25">
      <c r="B119" s="4" t="e">
        <f t="shared" si="54"/>
        <v>#N/A</v>
      </c>
      <c r="E119" s="4"/>
      <c r="F119" s="4">
        <f t="shared" si="37"/>
        <v>0</v>
      </c>
      <c r="G119" s="4"/>
      <c r="H119" s="4" t="e">
        <f t="shared" si="40"/>
        <v>#N/A</v>
      </c>
      <c r="I119" s="4">
        <f>IF($J$118=1,1,IF($J$120=1,1,0))</f>
        <v>1</v>
      </c>
      <c r="J119" s="4">
        <f t="shared" si="32"/>
        <v>0</v>
      </c>
      <c r="K119" s="4" t="e">
        <f t="shared" si="56"/>
        <v>#N/A</v>
      </c>
      <c r="N119" s="3" t="s">
        <v>642</v>
      </c>
      <c r="O119" s="6" t="s">
        <v>782</v>
      </c>
      <c r="P119" s="6" t="s">
        <v>782</v>
      </c>
      <c r="Q119" s="4" t="str">
        <f t="shared" si="57"/>
        <v>- -</v>
      </c>
      <c r="R119" s="4" t="str">
        <f>IF(ISNUMBER(SEARCH("Category",N119)),"- -",IF(ISNUMBER(SEARCH("Skills",N119)),"- -",'Level-up'!C137))</f>
        <v>- -</v>
      </c>
      <c r="S119" s="4" t="str">
        <f t="shared" si="34"/>
        <v>- -</v>
      </c>
      <c r="T119" s="4" t="str">
        <f t="shared" si="35"/>
        <v>- -</v>
      </c>
      <c r="U119" s="4" t="str">
        <f t="shared" ca="1" si="38"/>
        <v>- -</v>
      </c>
      <c r="V119" s="4" t="str">
        <f t="shared" si="65"/>
        <v>- -</v>
      </c>
      <c r="W119" s="4" t="str">
        <f t="shared" si="58"/>
        <v>- -</v>
      </c>
      <c r="X119" s="4" t="str">
        <f t="shared" si="55"/>
        <v>- -</v>
      </c>
      <c r="Y119" s="4" t="str">
        <f t="shared" si="60"/>
        <v>- -</v>
      </c>
      <c r="Z119" s="4" t="str">
        <f t="shared" si="61"/>
        <v>- -</v>
      </c>
      <c r="AA119" s="4" t="str">
        <f t="shared" si="62"/>
        <v>- -</v>
      </c>
      <c r="AB119" s="4" t="str">
        <f t="shared" si="63"/>
        <v>- -</v>
      </c>
      <c r="AC119" s="8"/>
      <c r="AD119" s="4"/>
      <c r="AE119" s="4"/>
      <c r="AF119" s="4" t="str">
        <f t="shared" si="49"/>
        <v>- -</v>
      </c>
      <c r="AG119" s="4"/>
      <c r="AH119" s="4">
        <f>IFERROR(VLOOKUP(M119,Calculations!$AC$2:$AD$251,2,FALSE),0)</f>
        <v>0</v>
      </c>
      <c r="AI119" s="4" t="e">
        <f>VLOOKUP(N119,$N$2:$AS$620,MATCH('Character Creation'!$Z$12,Skills!$N$1:$AS$1,0),FALSE)</f>
        <v>#N/A</v>
      </c>
      <c r="AJ119" s="4" t="e">
        <f>VLOOKUP($N119,[2]Cultures!$B$4:$M$283,MATCH(AJ$1,[2]Cultures!$B$3:$M$3,0),FALSE)</f>
        <v>#N/A</v>
      </c>
      <c r="AK119" s="4" t="e">
        <f>VLOOKUP($N119,[2]Cultures!$B$4:$M$283,MATCH(AK$1,[2]Cultures!$B$3:$M$3,0),FALSE)</f>
        <v>#N/A</v>
      </c>
      <c r="AL119" s="4" t="e">
        <f>VLOOKUP($N119,[2]Cultures!$B$4:$M$283,MATCH(AL$1,[2]Cultures!$B$3:$M$3,0),FALSE)</f>
        <v>#N/A</v>
      </c>
      <c r="AM119" s="4" t="e">
        <f>VLOOKUP($N119,[2]Cultures!$B$4:$M$283,MATCH(AM$1,[2]Cultures!$B$3:$M$3,0),FALSE)</f>
        <v>#N/A</v>
      </c>
      <c r="AN119" s="4" t="e">
        <f>VLOOKUP($N119,[2]Cultures!$B$4:$M$283,MATCH(AN$1,[2]Cultures!$B$3:$M$3,0),FALSE)</f>
        <v>#N/A</v>
      </c>
      <c r="AO119" s="4" t="e">
        <f>VLOOKUP($N119,[2]Cultures!$B$4:$M$283,MATCH(AO$1,[2]Cultures!$B$3:$M$3,0),FALSE)</f>
        <v>#N/A</v>
      </c>
      <c r="AP119" s="4" t="e">
        <f>VLOOKUP($N119,[2]Cultures!$B$4:$M$283,MATCH(AP$1,[2]Cultures!$B$3:$M$3,0),FALSE)</f>
        <v>#N/A</v>
      </c>
      <c r="AQ119" s="4" t="e">
        <f>VLOOKUP($N119,[2]Cultures!$B$4:$M$283,MATCH(AQ$1,[2]Cultures!$B$3:$M$3,0),FALSE)</f>
        <v>#N/A</v>
      </c>
      <c r="AR119" s="4" t="e">
        <f>VLOOKUP($N119,[2]Cultures!$B$4:$M$283,MATCH(AR$1,[2]Cultures!$B$3:$M$3,0),FALSE)</f>
        <v>#N/A</v>
      </c>
      <c r="AS119" s="4" t="e">
        <f>VLOOKUP($N119,[2]Cultures!$B$4:$M$283,MATCH(AS$1,[2]Cultures!$B$3:$M$3,0),FALSE)</f>
        <v>#N/A</v>
      </c>
      <c r="AT119" s="4"/>
      <c r="AU119" s="4">
        <f>IF(ISNUMBER(SEARCH(N119&amp;";",Calculations!$Q$19)),VLOOKUP(Skills!N119,Calculations!$Q$2:$T$16,4,FALSE),0)</f>
        <v>0</v>
      </c>
      <c r="AV119" s="4">
        <f>IF(ISNUMBER(SEARCH(N119&amp;";",Calculations!$Q$18)),1,0)</f>
        <v>0</v>
      </c>
      <c r="AW119" s="4"/>
      <c r="AX119" s="4">
        <f>VLOOKUP($N119,$N119:$CH119,MATCH('Character Sheet'!$BJ$3,Skills!$N$1:$CH$1,0),FALSE)</f>
        <v>0</v>
      </c>
    </row>
    <row r="120" spans="2:50" x14ac:dyDescent="0.25">
      <c r="B120" s="4" t="e">
        <f t="shared" si="54"/>
        <v>#N/A</v>
      </c>
      <c r="E120" s="4"/>
      <c r="F120" s="4">
        <f t="shared" si="37"/>
        <v>0</v>
      </c>
      <c r="G120" s="4"/>
      <c r="H120" s="4" t="e">
        <f t="shared" si="40"/>
        <v>#N/A</v>
      </c>
      <c r="I120" s="4">
        <v>0</v>
      </c>
      <c r="J120" s="4" t="e">
        <f t="shared" si="32"/>
        <v>#N/A</v>
      </c>
      <c r="K120" s="4" t="e">
        <f t="shared" si="56"/>
        <v>#N/A</v>
      </c>
      <c r="N120" s="3" t="s">
        <v>643</v>
      </c>
      <c r="O120" s="6" t="s">
        <v>782</v>
      </c>
      <c r="P120" s="6" t="s">
        <v>782</v>
      </c>
      <c r="Q120" s="4" t="str">
        <f t="shared" si="57"/>
        <v>- -</v>
      </c>
      <c r="R120" s="4" t="str">
        <f>IF(ISNUMBER(SEARCH("Category",N120)),"- -",IF(ISNUMBER(SEARCH("Skills",N120)),"- -",'Level-up'!C138))</f>
        <v>- -</v>
      </c>
      <c r="S120" s="4" t="str">
        <f t="shared" si="34"/>
        <v>- -</v>
      </c>
      <c r="T120" s="4" t="str">
        <f t="shared" si="35"/>
        <v>- -</v>
      </c>
      <c r="U120" s="4" t="str">
        <f t="shared" ca="1" si="38"/>
        <v>- -</v>
      </c>
      <c r="V120" s="4" t="str">
        <f t="shared" si="65"/>
        <v>- -</v>
      </c>
      <c r="W120" s="4" t="str">
        <f t="shared" si="58"/>
        <v>- -</v>
      </c>
      <c r="X120" s="4" t="str">
        <f t="shared" si="55"/>
        <v>- -</v>
      </c>
      <c r="Y120" s="4" t="str">
        <f t="shared" si="60"/>
        <v>- -</v>
      </c>
      <c r="Z120" s="4" t="str">
        <f t="shared" si="61"/>
        <v>- -</v>
      </c>
      <c r="AA120" s="4" t="str">
        <f t="shared" si="62"/>
        <v>- -</v>
      </c>
      <c r="AB120" s="4" t="str">
        <f t="shared" si="63"/>
        <v>- -</v>
      </c>
      <c r="AC120" s="8"/>
      <c r="AD120" s="4"/>
      <c r="AE120" s="4"/>
      <c r="AF120" s="4" t="str">
        <f t="shared" si="49"/>
        <v>- -</v>
      </c>
      <c r="AG120" s="4"/>
      <c r="AH120" s="4">
        <f>IFERROR(VLOOKUP(M120,Calculations!$AC$2:$AD$251,2,FALSE),0)</f>
        <v>0</v>
      </c>
      <c r="AI120" s="4" t="e">
        <f>VLOOKUP(N120,$N$2:$AS$620,MATCH('Character Creation'!$Z$12,Skills!$N$1:$AS$1,0),FALSE)</f>
        <v>#N/A</v>
      </c>
      <c r="AJ120" s="4" t="e">
        <f>VLOOKUP($N120,[2]Cultures!$B$4:$M$283,MATCH(AJ$1,[2]Cultures!$B$3:$M$3,0),FALSE)</f>
        <v>#N/A</v>
      </c>
      <c r="AK120" s="4" t="e">
        <f>VLOOKUP($N120,[2]Cultures!$B$4:$M$283,MATCH(AK$1,[2]Cultures!$B$3:$M$3,0),FALSE)</f>
        <v>#N/A</v>
      </c>
      <c r="AL120" s="4" t="e">
        <f>VLOOKUP($N120,[2]Cultures!$B$4:$M$283,MATCH(AL$1,[2]Cultures!$B$3:$M$3,0),FALSE)</f>
        <v>#N/A</v>
      </c>
      <c r="AM120" s="4" t="e">
        <f>VLOOKUP($N120,[2]Cultures!$B$4:$M$283,MATCH(AM$1,[2]Cultures!$B$3:$M$3,0),FALSE)</f>
        <v>#N/A</v>
      </c>
      <c r="AN120" s="4" t="e">
        <f>VLOOKUP($N120,[2]Cultures!$B$4:$M$283,MATCH(AN$1,[2]Cultures!$B$3:$M$3,0),FALSE)</f>
        <v>#N/A</v>
      </c>
      <c r="AO120" s="4" t="e">
        <f>VLOOKUP($N120,[2]Cultures!$B$4:$M$283,MATCH(AO$1,[2]Cultures!$B$3:$M$3,0),FALSE)</f>
        <v>#N/A</v>
      </c>
      <c r="AP120" s="4" t="e">
        <f>VLOOKUP($N120,[2]Cultures!$B$4:$M$283,MATCH(AP$1,[2]Cultures!$B$3:$M$3,0),FALSE)</f>
        <v>#N/A</v>
      </c>
      <c r="AQ120" s="4" t="e">
        <f>VLOOKUP($N120,[2]Cultures!$B$4:$M$283,MATCH(AQ$1,[2]Cultures!$B$3:$M$3,0),FALSE)</f>
        <v>#N/A</v>
      </c>
      <c r="AR120" s="4" t="e">
        <f>VLOOKUP($N120,[2]Cultures!$B$4:$M$283,MATCH(AR$1,[2]Cultures!$B$3:$M$3,0),FALSE)</f>
        <v>#N/A</v>
      </c>
      <c r="AS120" s="4" t="e">
        <f>VLOOKUP($N120,[2]Cultures!$B$4:$M$283,MATCH(AS$1,[2]Cultures!$B$3:$M$3,0),FALSE)</f>
        <v>#N/A</v>
      </c>
      <c r="AT120" s="4"/>
      <c r="AU120" s="4">
        <f>IF(ISNUMBER(SEARCH(N120&amp;";",Calculations!$Q$19)),VLOOKUP(Skills!N120,Calculations!$Q$2:$T$16,4,FALSE),0)</f>
        <v>0</v>
      </c>
      <c r="AV120" s="4">
        <f>IF(ISNUMBER(SEARCH(N120&amp;";",Calculations!$Q$18)),1,0)</f>
        <v>0</v>
      </c>
      <c r="AW120" s="4"/>
      <c r="AX120" s="4">
        <f>VLOOKUP($N120,$N120:$CH120,MATCH('Character Sheet'!$BJ$3,Skills!$N$1:$CH$1,0),FALSE)</f>
        <v>0</v>
      </c>
    </row>
    <row r="121" spans="2:50" x14ac:dyDescent="0.25">
      <c r="B121" s="4" t="e">
        <f t="shared" si="54"/>
        <v>#N/A</v>
      </c>
      <c r="E121" s="4"/>
      <c r="F121" s="4">
        <f t="shared" si="37"/>
        <v>0</v>
      </c>
      <c r="G121" s="4"/>
      <c r="H121" s="4" t="e">
        <f t="shared" si="40"/>
        <v>#N/A</v>
      </c>
      <c r="I121" s="4">
        <f t="shared" ref="I121:I166" si="68">IF($J$118=1,1,IF($J$120=1,1,0))</f>
        <v>1</v>
      </c>
      <c r="J121" s="4">
        <f t="shared" si="32"/>
        <v>0</v>
      </c>
      <c r="K121" s="4">
        <f t="shared" si="56"/>
        <v>0</v>
      </c>
      <c r="M121" t="str">
        <f t="shared" ref="M121:M166" si="69">N121</f>
        <v>Barbering</v>
      </c>
      <c r="N121" s="3" t="str">
        <f>'Character Sheet'!APZ5</f>
        <v>Barbering</v>
      </c>
      <c r="O121" s="4" t="s">
        <v>793</v>
      </c>
      <c r="P121" s="4" t="s">
        <v>794</v>
      </c>
      <c r="Q121" s="4">
        <f t="shared" si="57"/>
        <v>0</v>
      </c>
      <c r="R121" s="4">
        <f>IF(ISNUMBER(SEARCH("Category",N121)),"- -",IF(ISNUMBER(SEARCH("Skills",N121)),"- -",'Level-up'!C139))</f>
        <v>0</v>
      </c>
      <c r="S121" s="4">
        <f t="shared" si="34"/>
        <v>0</v>
      </c>
      <c r="T121" s="4">
        <f t="shared" si="35"/>
        <v>-25</v>
      </c>
      <c r="U121" s="4">
        <f t="shared" ca="1" si="38"/>
        <v>4</v>
      </c>
      <c r="V121" s="4">
        <f t="shared" ref="V121:V168" si="70">IF(ISNUMBER(SEARCH("Category",N121)),"- -",IF(ISNUMBER(SEARCH("Skills",N121)),"- -",IF(AU121&gt;0,AU121,$AU$119)))</f>
        <v>0</v>
      </c>
      <c r="W121" s="4">
        <f t="shared" si="58"/>
        <v>0</v>
      </c>
      <c r="X121" s="4">
        <f t="shared" si="55"/>
        <v>0</v>
      </c>
      <c r="Y121" s="4">
        <f t="shared" si="60"/>
        <v>0</v>
      </c>
      <c r="Z121" s="4">
        <f t="shared" si="61"/>
        <v>0</v>
      </c>
      <c r="AA121" s="4">
        <f t="shared" si="62"/>
        <v>0</v>
      </c>
      <c r="AB121" s="4">
        <f t="shared" si="63"/>
        <v>0</v>
      </c>
      <c r="AC121" s="8"/>
      <c r="AD121" s="4"/>
      <c r="AE121" s="4"/>
      <c r="AF121" s="4" t="str">
        <f t="shared" ca="1" si="49"/>
        <v>-21</v>
      </c>
      <c r="AG121" s="4"/>
      <c r="AH121" s="4">
        <f>IFERROR(VLOOKUP(M121,Calculations!$AC$2:$AD$251,2,FALSE),0)</f>
        <v>0</v>
      </c>
      <c r="AI121" s="4">
        <f>VLOOKUP(N121,$N$2:$AS$620,MATCH('Character Creation'!$Z$12,Skills!$N$1:$AS$1,0),FALSE)</f>
        <v>0</v>
      </c>
      <c r="AJ121" s="4">
        <f>VLOOKUP($N121,[2]Cultures!$B$4:$M$283,MATCH(AJ$1,[2]Cultures!$B$3:$M$3,0),FALSE)</f>
        <v>0</v>
      </c>
      <c r="AK121" s="4">
        <f>VLOOKUP($N121,[2]Cultures!$B$4:$M$283,MATCH(AK$1,[2]Cultures!$B$3:$M$3,0),FALSE)</f>
        <v>0</v>
      </c>
      <c r="AL121" s="4">
        <f>VLOOKUP($N121,[2]Cultures!$B$4:$M$283,MATCH(AL$1,[2]Cultures!$B$3:$M$3,0),FALSE)</f>
        <v>0</v>
      </c>
      <c r="AM121" s="4">
        <f>VLOOKUP($N121,[2]Cultures!$B$4:$M$283,MATCH(AM$1,[2]Cultures!$B$3:$M$3,0),FALSE)</f>
        <v>0</v>
      </c>
      <c r="AN121" s="4">
        <f>VLOOKUP($N121,[2]Cultures!$B$4:$M$283,MATCH(AN$1,[2]Cultures!$B$3:$M$3,0),FALSE)</f>
        <v>0</v>
      </c>
      <c r="AO121" s="4">
        <f>VLOOKUP($N121,[2]Cultures!$B$4:$M$283,MATCH(AO$1,[2]Cultures!$B$3:$M$3,0),FALSE)</f>
        <v>0</v>
      </c>
      <c r="AP121" s="4">
        <f>VLOOKUP($N121,[2]Cultures!$B$4:$M$283,MATCH(AP$1,[2]Cultures!$B$3:$M$3,0),FALSE)</f>
        <v>0</v>
      </c>
      <c r="AQ121" s="4">
        <f>VLOOKUP($N121,[2]Cultures!$B$4:$M$283,MATCH(AQ$1,[2]Cultures!$B$3:$M$3,0),FALSE)</f>
        <v>0</v>
      </c>
      <c r="AR121" s="4">
        <f>VLOOKUP($N121,[2]Cultures!$B$4:$M$283,MATCH(AR$1,[2]Cultures!$B$3:$M$3,0),FALSE)</f>
        <v>0</v>
      </c>
      <c r="AS121" s="4">
        <f>VLOOKUP($N121,[2]Cultures!$B$4:$M$283,MATCH(AS$1,[2]Cultures!$B$3:$M$3,0),FALSE)</f>
        <v>0</v>
      </c>
      <c r="AT121" s="4"/>
      <c r="AU121" s="4">
        <f>IF(ISNUMBER(SEARCH(N121&amp;";",Calculations!$Q$19)),VLOOKUP(Skills!N121,Calculations!$Q$2:$T$16,4,FALSE),0)</f>
        <v>0</v>
      </c>
      <c r="AV121" s="4">
        <f>IF(ISNUMBER(SEARCH(N121&amp;";",Calculations!$Q$18)),1,0)</f>
        <v>0</v>
      </c>
      <c r="AW121" s="4">
        <f t="shared" ref="AW121:AW166" si="71">IF($AV$119=1,1,AV121)</f>
        <v>0</v>
      </c>
      <c r="AX121" s="4">
        <f>VLOOKUP($N121,$N121:$CH121,MATCH('Character Sheet'!$BJ$3,Skills!$N$1:$CH$1,0),FALSE)</f>
        <v>0</v>
      </c>
    </row>
    <row r="122" spans="2:50" x14ac:dyDescent="0.25">
      <c r="B122" s="4" t="e">
        <f t="shared" si="54"/>
        <v>#N/A</v>
      </c>
      <c r="E122" s="4"/>
      <c r="F122" s="4">
        <f t="shared" si="37"/>
        <v>0</v>
      </c>
      <c r="G122" s="4"/>
      <c r="H122" s="4" t="e">
        <f t="shared" si="40"/>
        <v>#N/A</v>
      </c>
      <c r="I122" s="4">
        <f t="shared" si="68"/>
        <v>1</v>
      </c>
      <c r="J122" s="4">
        <f t="shared" si="32"/>
        <v>0</v>
      </c>
      <c r="K122" s="4">
        <f t="shared" si="56"/>
        <v>0</v>
      </c>
      <c r="M122" t="str">
        <f t="shared" si="69"/>
        <v>Building Wright</v>
      </c>
      <c r="N122" s="3" t="str">
        <f>'Character Sheet'!APZ6</f>
        <v>Building Wright</v>
      </c>
      <c r="O122" s="4" t="s">
        <v>793</v>
      </c>
      <c r="P122" s="4" t="s">
        <v>784</v>
      </c>
      <c r="Q122" s="4">
        <f t="shared" si="57"/>
        <v>0</v>
      </c>
      <c r="R122" s="4">
        <f>IF(ISNUMBER(SEARCH("Category",N122)),"- -",IF(ISNUMBER(SEARCH("Skills",N122)),"- -",'Level-up'!C140))</f>
        <v>0</v>
      </c>
      <c r="S122" s="4">
        <f t="shared" si="34"/>
        <v>0</v>
      </c>
      <c r="T122" s="4">
        <f t="shared" si="35"/>
        <v>-25</v>
      </c>
      <c r="U122" s="4">
        <f t="shared" ca="1" si="38"/>
        <v>0</v>
      </c>
      <c r="V122" s="4">
        <f t="shared" si="70"/>
        <v>0</v>
      </c>
      <c r="W122" s="4">
        <f t="shared" si="58"/>
        <v>0</v>
      </c>
      <c r="X122" s="4">
        <f t="shared" si="55"/>
        <v>0</v>
      </c>
      <c r="Y122" s="4">
        <f t="shared" si="60"/>
        <v>0</v>
      </c>
      <c r="Z122" s="4">
        <f t="shared" si="61"/>
        <v>0</v>
      </c>
      <c r="AA122" s="4">
        <f t="shared" si="62"/>
        <v>0</v>
      </c>
      <c r="AB122" s="4">
        <f t="shared" si="63"/>
        <v>0</v>
      </c>
      <c r="AC122" s="8"/>
      <c r="AD122" s="4"/>
      <c r="AE122" s="4"/>
      <c r="AF122" s="4" t="str">
        <f t="shared" ca="1" si="49"/>
        <v>-25</v>
      </c>
      <c r="AG122" s="4"/>
      <c r="AH122" s="4">
        <f>IFERROR(VLOOKUP(M122,Calculations!$AC$2:$AD$251,2,FALSE),0)</f>
        <v>0</v>
      </c>
      <c r="AI122" s="4">
        <f>VLOOKUP(N122,$N$2:$AS$620,MATCH('Character Creation'!$Z$12,Skills!$N$1:$AS$1,0),FALSE)</f>
        <v>0</v>
      </c>
      <c r="AJ122" s="4">
        <f>VLOOKUP($N122,[2]Cultures!$B$4:$M$283,MATCH(AJ$1,[2]Cultures!$B$3:$M$3,0),FALSE)</f>
        <v>0</v>
      </c>
      <c r="AK122" s="4">
        <f>VLOOKUP($N122,[2]Cultures!$B$4:$M$283,MATCH(AK$1,[2]Cultures!$B$3:$M$3,0),FALSE)</f>
        <v>0</v>
      </c>
      <c r="AL122" s="4">
        <f>VLOOKUP($N122,[2]Cultures!$B$4:$M$283,MATCH(AL$1,[2]Cultures!$B$3:$M$3,0),FALSE)</f>
        <v>0</v>
      </c>
      <c r="AM122" s="4">
        <f>VLOOKUP($N122,[2]Cultures!$B$4:$M$283,MATCH(AM$1,[2]Cultures!$B$3:$M$3,0),FALSE)</f>
        <v>0</v>
      </c>
      <c r="AN122" s="4">
        <f>VLOOKUP($N122,[2]Cultures!$B$4:$M$283,MATCH(AN$1,[2]Cultures!$B$3:$M$3,0),FALSE)</f>
        <v>0</v>
      </c>
      <c r="AO122" s="4">
        <f>VLOOKUP($N122,[2]Cultures!$B$4:$M$283,MATCH(AO$1,[2]Cultures!$B$3:$M$3,0),FALSE)</f>
        <v>0</v>
      </c>
      <c r="AP122" s="4">
        <f>VLOOKUP($N122,[2]Cultures!$B$4:$M$283,MATCH(AP$1,[2]Cultures!$B$3:$M$3,0),FALSE)</f>
        <v>0</v>
      </c>
      <c r="AQ122" s="4">
        <f>VLOOKUP($N122,[2]Cultures!$B$4:$M$283,MATCH(AQ$1,[2]Cultures!$B$3:$M$3,0),FALSE)</f>
        <v>0</v>
      </c>
      <c r="AR122" s="4">
        <f>VLOOKUP($N122,[2]Cultures!$B$4:$M$283,MATCH(AR$1,[2]Cultures!$B$3:$M$3,0),FALSE)</f>
        <v>0</v>
      </c>
      <c r="AS122" s="4">
        <f>VLOOKUP($N122,[2]Cultures!$B$4:$M$283,MATCH(AS$1,[2]Cultures!$B$3:$M$3,0),FALSE)</f>
        <v>0</v>
      </c>
      <c r="AT122" s="4"/>
      <c r="AU122" s="4">
        <f>IF(ISNUMBER(SEARCH(N122&amp;";",Calculations!$Q$19)),VLOOKUP(Skills!N122,Calculations!$Q$2:$T$16,4,FALSE),0)</f>
        <v>0</v>
      </c>
      <c r="AV122" s="4">
        <f>IF(ISNUMBER(SEARCH(N122&amp;";",Calculations!$Q$18)),1,0)</f>
        <v>0</v>
      </c>
      <c r="AW122" s="4">
        <f t="shared" si="71"/>
        <v>0</v>
      </c>
      <c r="AX122" s="4">
        <f>VLOOKUP($N122,$N122:$CH122,MATCH('Character Sheet'!$BJ$3,Skills!$N$1:$CH$1,0),FALSE)</f>
        <v>0</v>
      </c>
    </row>
    <row r="123" spans="2:50" x14ac:dyDescent="0.25">
      <c r="B123" s="4" t="e">
        <f t="shared" si="54"/>
        <v>#N/A</v>
      </c>
      <c r="E123" s="4"/>
      <c r="F123" s="4">
        <f t="shared" si="37"/>
        <v>0</v>
      </c>
      <c r="G123" s="4"/>
      <c r="H123" s="4" t="e">
        <f t="shared" si="40"/>
        <v>#N/A</v>
      </c>
      <c r="I123" s="4">
        <f t="shared" si="68"/>
        <v>1</v>
      </c>
      <c r="J123" s="4">
        <f t="shared" si="32"/>
        <v>0</v>
      </c>
      <c r="K123" s="4">
        <f t="shared" si="56"/>
        <v>0</v>
      </c>
      <c r="M123" t="str">
        <f t="shared" si="69"/>
        <v>Candle Maker</v>
      </c>
      <c r="N123" s="3" t="str">
        <f>'Character Sheet'!APZ7</f>
        <v>Candle Maker</v>
      </c>
      <c r="O123" s="4" t="s">
        <v>793</v>
      </c>
      <c r="P123" s="4" t="s">
        <v>784</v>
      </c>
      <c r="Q123" s="4">
        <f t="shared" si="57"/>
        <v>0</v>
      </c>
      <c r="R123" s="4">
        <f>IF(ISNUMBER(SEARCH("Category",N123)),"- -",IF(ISNUMBER(SEARCH("Skills",N123)),"- -",'Level-up'!C141))</f>
        <v>0</v>
      </c>
      <c r="S123" s="4">
        <f t="shared" si="34"/>
        <v>0</v>
      </c>
      <c r="T123" s="4">
        <f t="shared" si="35"/>
        <v>-25</v>
      </c>
      <c r="U123" s="4">
        <f t="shared" ca="1" si="38"/>
        <v>0</v>
      </c>
      <c r="V123" s="4">
        <f t="shared" si="70"/>
        <v>0</v>
      </c>
      <c r="W123" s="4">
        <f t="shared" si="58"/>
        <v>0</v>
      </c>
      <c r="X123" s="4">
        <f t="shared" si="55"/>
        <v>0</v>
      </c>
      <c r="Y123" s="4">
        <f t="shared" si="60"/>
        <v>0</v>
      </c>
      <c r="Z123" s="4">
        <f t="shared" si="61"/>
        <v>0</v>
      </c>
      <c r="AA123" s="4">
        <f t="shared" si="62"/>
        <v>0</v>
      </c>
      <c r="AB123" s="4">
        <f t="shared" si="63"/>
        <v>0</v>
      </c>
      <c r="AC123" s="8"/>
      <c r="AD123" s="4"/>
      <c r="AE123" s="4"/>
      <c r="AF123" s="4" t="str">
        <f t="shared" ca="1" si="49"/>
        <v>-25</v>
      </c>
      <c r="AG123" s="4"/>
      <c r="AH123" s="4">
        <f>IFERROR(VLOOKUP(M123,Calculations!$AC$2:$AD$251,2,FALSE),0)</f>
        <v>0</v>
      </c>
      <c r="AI123" s="4">
        <f>VLOOKUP(N123,$N$2:$AS$620,MATCH('Character Creation'!$Z$12,Skills!$N$1:$AS$1,0),FALSE)</f>
        <v>0</v>
      </c>
      <c r="AJ123" s="4">
        <f>VLOOKUP($N123,[2]Cultures!$B$4:$M$283,MATCH(AJ$1,[2]Cultures!$B$3:$M$3,0),FALSE)</f>
        <v>0</v>
      </c>
      <c r="AK123" s="4">
        <f>VLOOKUP($N123,[2]Cultures!$B$4:$M$283,MATCH(AK$1,[2]Cultures!$B$3:$M$3,0),FALSE)</f>
        <v>0</v>
      </c>
      <c r="AL123" s="4">
        <f>VLOOKUP($N123,[2]Cultures!$B$4:$M$283,MATCH(AL$1,[2]Cultures!$B$3:$M$3,0),FALSE)</f>
        <v>0</v>
      </c>
      <c r="AM123" s="4">
        <f>VLOOKUP($N123,[2]Cultures!$B$4:$M$283,MATCH(AM$1,[2]Cultures!$B$3:$M$3,0),FALSE)</f>
        <v>0</v>
      </c>
      <c r="AN123" s="4">
        <f>VLOOKUP($N123,[2]Cultures!$B$4:$M$283,MATCH(AN$1,[2]Cultures!$B$3:$M$3,0),FALSE)</f>
        <v>0</v>
      </c>
      <c r="AO123" s="4">
        <f>VLOOKUP($N123,[2]Cultures!$B$4:$M$283,MATCH(AO$1,[2]Cultures!$B$3:$M$3,0),FALSE)</f>
        <v>0</v>
      </c>
      <c r="AP123" s="4">
        <f>VLOOKUP($N123,[2]Cultures!$B$4:$M$283,MATCH(AP$1,[2]Cultures!$B$3:$M$3,0),FALSE)</f>
        <v>0</v>
      </c>
      <c r="AQ123" s="4">
        <f>VLOOKUP($N123,[2]Cultures!$B$4:$M$283,MATCH(AQ$1,[2]Cultures!$B$3:$M$3,0),FALSE)</f>
        <v>0</v>
      </c>
      <c r="AR123" s="4">
        <f>VLOOKUP($N123,[2]Cultures!$B$4:$M$283,MATCH(AR$1,[2]Cultures!$B$3:$M$3,0),FALSE)</f>
        <v>0</v>
      </c>
      <c r="AS123" s="4">
        <f>VLOOKUP($N123,[2]Cultures!$B$4:$M$283,MATCH(AS$1,[2]Cultures!$B$3:$M$3,0),FALSE)</f>
        <v>0</v>
      </c>
      <c r="AT123" s="4"/>
      <c r="AU123" s="4">
        <f>IF(ISNUMBER(SEARCH(N123&amp;";",Calculations!$Q$19)),VLOOKUP(Skills!N123,Calculations!$Q$2:$T$16,4,FALSE),0)</f>
        <v>0</v>
      </c>
      <c r="AV123" s="4">
        <f>IF(ISNUMBER(SEARCH(N123&amp;";",Calculations!$Q$18)),1,0)</f>
        <v>0</v>
      </c>
      <c r="AW123" s="4">
        <f t="shared" si="71"/>
        <v>0</v>
      </c>
      <c r="AX123" s="4">
        <f>VLOOKUP($N123,$N123:$CH123,MATCH('Character Sheet'!$BJ$3,Skills!$N$1:$CH$1,0),FALSE)</f>
        <v>0</v>
      </c>
    </row>
    <row r="124" spans="2:50" x14ac:dyDescent="0.25">
      <c r="B124" s="4" t="e">
        <f t="shared" si="54"/>
        <v>#N/A</v>
      </c>
      <c r="E124" s="4"/>
      <c r="F124" s="4">
        <f t="shared" si="37"/>
        <v>0</v>
      </c>
      <c r="G124" s="4"/>
      <c r="H124" s="4" t="e">
        <f t="shared" si="40"/>
        <v>#N/A</v>
      </c>
      <c r="I124" s="4">
        <f t="shared" si="68"/>
        <v>1</v>
      </c>
      <c r="J124" s="4">
        <f t="shared" si="32"/>
        <v>0</v>
      </c>
      <c r="K124" s="4">
        <f t="shared" si="56"/>
        <v>0</v>
      </c>
      <c r="M124" t="str">
        <f t="shared" si="69"/>
        <v>Carpentry</v>
      </c>
      <c r="N124" s="3" t="str">
        <f>'Character Sheet'!APZ8</f>
        <v>Carpentry</v>
      </c>
      <c r="O124" s="4" t="s">
        <v>793</v>
      </c>
      <c r="P124" s="4" t="s">
        <v>784</v>
      </c>
      <c r="Q124" s="4">
        <f t="shared" si="57"/>
        <v>0</v>
      </c>
      <c r="R124" s="4">
        <f>IF(ISNUMBER(SEARCH("Category",N124)),"- -",IF(ISNUMBER(SEARCH("Skills",N124)),"- -",'Level-up'!C142))</f>
        <v>0</v>
      </c>
      <c r="S124" s="4">
        <f t="shared" si="34"/>
        <v>0</v>
      </c>
      <c r="T124" s="4">
        <f t="shared" si="35"/>
        <v>-25</v>
      </c>
      <c r="U124" s="4">
        <f t="shared" ca="1" si="38"/>
        <v>0</v>
      </c>
      <c r="V124" s="4">
        <f t="shared" si="70"/>
        <v>0</v>
      </c>
      <c r="W124" s="4">
        <f t="shared" si="58"/>
        <v>0</v>
      </c>
      <c r="X124" s="4">
        <f t="shared" si="55"/>
        <v>0</v>
      </c>
      <c r="Y124" s="4">
        <f t="shared" si="60"/>
        <v>0</v>
      </c>
      <c r="Z124" s="4">
        <f t="shared" si="61"/>
        <v>0</v>
      </c>
      <c r="AA124" s="4">
        <f t="shared" si="62"/>
        <v>0</v>
      </c>
      <c r="AB124" s="4">
        <f t="shared" si="63"/>
        <v>0</v>
      </c>
      <c r="AC124" s="8"/>
      <c r="AD124" s="4"/>
      <c r="AE124" s="4"/>
      <c r="AF124" s="4" t="str">
        <f t="shared" ca="1" si="49"/>
        <v>-25</v>
      </c>
      <c r="AG124" s="4"/>
      <c r="AH124" s="4">
        <f>IFERROR(VLOOKUP(M124,Calculations!$AC$2:$AD$251,2,FALSE),0)</f>
        <v>0</v>
      </c>
      <c r="AI124" s="4">
        <f>VLOOKUP(N124,$N$2:$AS$620,MATCH('Character Creation'!$Z$12,Skills!$N$1:$AS$1,0),FALSE)</f>
        <v>0</v>
      </c>
      <c r="AJ124" s="4">
        <f>VLOOKUP($N124,[2]Cultures!$B$4:$M$283,MATCH(AJ$1,[2]Cultures!$B$3:$M$3,0),FALSE)</f>
        <v>0</v>
      </c>
      <c r="AK124" s="4">
        <f>VLOOKUP($N124,[2]Cultures!$B$4:$M$283,MATCH(AK$1,[2]Cultures!$B$3:$M$3,0),FALSE)</f>
        <v>0</v>
      </c>
      <c r="AL124" s="4">
        <f>VLOOKUP($N124,[2]Cultures!$B$4:$M$283,MATCH(AL$1,[2]Cultures!$B$3:$M$3,0),FALSE)</f>
        <v>0</v>
      </c>
      <c r="AM124" s="4">
        <f>VLOOKUP($N124,[2]Cultures!$B$4:$M$283,MATCH(AM$1,[2]Cultures!$B$3:$M$3,0),FALSE)</f>
        <v>0</v>
      </c>
      <c r="AN124" s="4">
        <f>VLOOKUP($N124,[2]Cultures!$B$4:$M$283,MATCH(AN$1,[2]Cultures!$B$3:$M$3,0),FALSE)</f>
        <v>0</v>
      </c>
      <c r="AO124" s="4">
        <f>VLOOKUP($N124,[2]Cultures!$B$4:$M$283,MATCH(AO$1,[2]Cultures!$B$3:$M$3,0),FALSE)</f>
        <v>0</v>
      </c>
      <c r="AP124" s="4">
        <f>VLOOKUP($N124,[2]Cultures!$B$4:$M$283,MATCH(AP$1,[2]Cultures!$B$3:$M$3,0),FALSE)</f>
        <v>0</v>
      </c>
      <c r="AQ124" s="4">
        <f>VLOOKUP($N124,[2]Cultures!$B$4:$M$283,MATCH(AQ$1,[2]Cultures!$B$3:$M$3,0),FALSE)</f>
        <v>0</v>
      </c>
      <c r="AR124" s="4">
        <f>VLOOKUP($N124,[2]Cultures!$B$4:$M$283,MATCH(AR$1,[2]Cultures!$B$3:$M$3,0),FALSE)</f>
        <v>0</v>
      </c>
      <c r="AS124" s="4">
        <f>VLOOKUP($N124,[2]Cultures!$B$4:$M$283,MATCH(AS$1,[2]Cultures!$B$3:$M$3,0),FALSE)</f>
        <v>0</v>
      </c>
      <c r="AT124" s="4"/>
      <c r="AU124" s="4">
        <f>IF(ISNUMBER(SEARCH(N124&amp;";",Calculations!$Q$19)),VLOOKUP(Skills!N124,Calculations!$Q$2:$T$16,4,FALSE),0)</f>
        <v>0</v>
      </c>
      <c r="AV124" s="4">
        <f>IF(ISNUMBER(SEARCH(N124&amp;";",Calculations!$Q$18)),1,0)</f>
        <v>0</v>
      </c>
      <c r="AW124" s="4">
        <f t="shared" si="71"/>
        <v>0</v>
      </c>
      <c r="AX124" s="4">
        <f>VLOOKUP($N124,$N124:$CH124,MATCH('Character Sheet'!$BJ$3,Skills!$N$1:$CH$1,0),FALSE)</f>
        <v>0</v>
      </c>
    </row>
    <row r="125" spans="2:50" x14ac:dyDescent="0.25">
      <c r="B125" s="4" t="e">
        <f t="shared" si="54"/>
        <v>#N/A</v>
      </c>
      <c r="E125" s="4"/>
      <c r="F125" s="4">
        <f t="shared" si="37"/>
        <v>0</v>
      </c>
      <c r="G125" s="4"/>
      <c r="H125" s="4" t="e">
        <f t="shared" si="40"/>
        <v>#N/A</v>
      </c>
      <c r="I125" s="4">
        <f t="shared" si="68"/>
        <v>1</v>
      </c>
      <c r="J125" s="4">
        <f t="shared" si="32"/>
        <v>0</v>
      </c>
      <c r="K125" s="4">
        <f t="shared" si="56"/>
        <v>0</v>
      </c>
      <c r="M125" t="str">
        <f t="shared" si="69"/>
        <v>Cart Wright</v>
      </c>
      <c r="N125" s="3" t="str">
        <f>'Character Sheet'!APZ9</f>
        <v>Cart Wright</v>
      </c>
      <c r="O125" s="4" t="s">
        <v>793</v>
      </c>
      <c r="P125" s="4" t="s">
        <v>784</v>
      </c>
      <c r="Q125" s="4">
        <f t="shared" si="57"/>
        <v>0</v>
      </c>
      <c r="R125" s="4">
        <f>IF(ISNUMBER(SEARCH("Category",N125)),"- -",IF(ISNUMBER(SEARCH("Skills",N125)),"- -",'Level-up'!C143))</f>
        <v>0</v>
      </c>
      <c r="S125" s="4">
        <f t="shared" si="34"/>
        <v>0</v>
      </c>
      <c r="T125" s="4">
        <f t="shared" si="35"/>
        <v>-25</v>
      </c>
      <c r="U125" s="4">
        <f t="shared" ca="1" si="38"/>
        <v>0</v>
      </c>
      <c r="V125" s="4">
        <f t="shared" si="70"/>
        <v>0</v>
      </c>
      <c r="W125" s="4">
        <f t="shared" si="58"/>
        <v>0</v>
      </c>
      <c r="X125" s="4">
        <f t="shared" si="55"/>
        <v>0</v>
      </c>
      <c r="Y125" s="4">
        <f t="shared" si="60"/>
        <v>0</v>
      </c>
      <c r="Z125" s="4">
        <f t="shared" si="61"/>
        <v>0</v>
      </c>
      <c r="AA125" s="4">
        <f t="shared" si="62"/>
        <v>0</v>
      </c>
      <c r="AB125" s="4">
        <f t="shared" si="63"/>
        <v>0</v>
      </c>
      <c r="AC125" s="8"/>
      <c r="AD125" s="4"/>
      <c r="AE125" s="4"/>
      <c r="AF125" s="4" t="str">
        <f t="shared" ca="1" si="49"/>
        <v>-25</v>
      </c>
      <c r="AG125" s="4"/>
      <c r="AH125" s="4">
        <f>IFERROR(VLOOKUP(M125,Calculations!$AC$2:$AD$251,2,FALSE),0)</f>
        <v>0</v>
      </c>
      <c r="AI125" s="4">
        <f>VLOOKUP(N125,$N$2:$AS$620,MATCH('Character Creation'!$Z$12,Skills!$N$1:$AS$1,0),FALSE)</f>
        <v>0</v>
      </c>
      <c r="AJ125" s="4">
        <f>VLOOKUP($N125,[2]Cultures!$B$4:$M$283,MATCH(AJ$1,[2]Cultures!$B$3:$M$3,0),FALSE)</f>
        <v>0</v>
      </c>
      <c r="AK125" s="4">
        <f>VLOOKUP($N125,[2]Cultures!$B$4:$M$283,MATCH(AK$1,[2]Cultures!$B$3:$M$3,0),FALSE)</f>
        <v>0</v>
      </c>
      <c r="AL125" s="4">
        <f>VLOOKUP($N125,[2]Cultures!$B$4:$M$283,MATCH(AL$1,[2]Cultures!$B$3:$M$3,0),FALSE)</f>
        <v>0</v>
      </c>
      <c r="AM125" s="4">
        <f>VLOOKUP($N125,[2]Cultures!$B$4:$M$283,MATCH(AM$1,[2]Cultures!$B$3:$M$3,0),FALSE)</f>
        <v>0</v>
      </c>
      <c r="AN125" s="4">
        <f>VLOOKUP($N125,[2]Cultures!$B$4:$M$283,MATCH(AN$1,[2]Cultures!$B$3:$M$3,0),FALSE)</f>
        <v>0</v>
      </c>
      <c r="AO125" s="4">
        <f>VLOOKUP($N125,[2]Cultures!$B$4:$M$283,MATCH(AO$1,[2]Cultures!$B$3:$M$3,0),FALSE)</f>
        <v>0</v>
      </c>
      <c r="AP125" s="4">
        <f>VLOOKUP($N125,[2]Cultures!$B$4:$M$283,MATCH(AP$1,[2]Cultures!$B$3:$M$3,0),FALSE)</f>
        <v>0</v>
      </c>
      <c r="AQ125" s="4">
        <f>VLOOKUP($N125,[2]Cultures!$B$4:$M$283,MATCH(AQ$1,[2]Cultures!$B$3:$M$3,0),FALSE)</f>
        <v>0</v>
      </c>
      <c r="AR125" s="4">
        <f>VLOOKUP($N125,[2]Cultures!$B$4:$M$283,MATCH(AR$1,[2]Cultures!$B$3:$M$3,0),FALSE)</f>
        <v>0</v>
      </c>
      <c r="AS125" s="4">
        <f>VLOOKUP($N125,[2]Cultures!$B$4:$M$283,MATCH(AS$1,[2]Cultures!$B$3:$M$3,0),FALSE)</f>
        <v>0</v>
      </c>
      <c r="AT125" s="4"/>
      <c r="AU125" s="4">
        <f>IF(ISNUMBER(SEARCH(N125&amp;";",Calculations!$Q$19)),VLOOKUP(Skills!N125,Calculations!$Q$2:$T$16,4,FALSE),0)</f>
        <v>0</v>
      </c>
      <c r="AV125" s="4">
        <f>IF(ISNUMBER(SEARCH(N125&amp;";",Calculations!$Q$18)),1,0)</f>
        <v>0</v>
      </c>
      <c r="AW125" s="4">
        <f t="shared" si="71"/>
        <v>0</v>
      </c>
      <c r="AX125" s="4">
        <f>VLOOKUP($N125,$N125:$CH125,MATCH('Character Sheet'!$BJ$3,Skills!$N$1:$CH$1,0),FALSE)</f>
        <v>0</v>
      </c>
    </row>
    <row r="126" spans="2:50" x14ac:dyDescent="0.25">
      <c r="B126" s="4" t="e">
        <f t="shared" si="54"/>
        <v>#N/A</v>
      </c>
      <c r="E126" s="4"/>
      <c r="F126" s="4">
        <f t="shared" si="37"/>
        <v>0</v>
      </c>
      <c r="G126" s="4"/>
      <c r="H126" s="4" t="e">
        <f t="shared" si="40"/>
        <v>#N/A</v>
      </c>
      <c r="I126" s="4">
        <f t="shared" si="68"/>
        <v>1</v>
      </c>
      <c r="J126" s="4">
        <f t="shared" si="32"/>
        <v>0</v>
      </c>
      <c r="K126" s="4">
        <f t="shared" si="56"/>
        <v>0</v>
      </c>
      <c r="M126" t="str">
        <f t="shared" si="69"/>
        <v>Ceramics</v>
      </c>
      <c r="N126" s="3" t="str">
        <f>'Character Sheet'!APZ10</f>
        <v>Ceramics</v>
      </c>
      <c r="O126" s="4" t="s">
        <v>793</v>
      </c>
      <c r="P126" s="4" t="s">
        <v>784</v>
      </c>
      <c r="Q126" s="4">
        <f t="shared" si="57"/>
        <v>0</v>
      </c>
      <c r="R126" s="4">
        <f>IF(ISNUMBER(SEARCH("Category",N126)),"- -",IF(ISNUMBER(SEARCH("Skills",N126)),"- -",'Level-up'!C144))</f>
        <v>0</v>
      </c>
      <c r="S126" s="4">
        <f t="shared" si="34"/>
        <v>0</v>
      </c>
      <c r="T126" s="4">
        <f t="shared" si="35"/>
        <v>-25</v>
      </c>
      <c r="U126" s="4">
        <f t="shared" ca="1" si="38"/>
        <v>0</v>
      </c>
      <c r="V126" s="4">
        <f t="shared" si="70"/>
        <v>0</v>
      </c>
      <c r="W126" s="4">
        <f t="shared" si="58"/>
        <v>0</v>
      </c>
      <c r="X126" s="4">
        <f t="shared" si="55"/>
        <v>0</v>
      </c>
      <c r="Y126" s="4">
        <f t="shared" si="60"/>
        <v>0</v>
      </c>
      <c r="Z126" s="4">
        <f t="shared" si="61"/>
        <v>0</v>
      </c>
      <c r="AA126" s="4">
        <f t="shared" si="62"/>
        <v>0</v>
      </c>
      <c r="AB126" s="4">
        <f t="shared" si="63"/>
        <v>0</v>
      </c>
      <c r="AC126" s="8"/>
      <c r="AD126" s="4"/>
      <c r="AE126" s="4"/>
      <c r="AF126" s="4" t="str">
        <f t="shared" ca="1" si="49"/>
        <v>-25</v>
      </c>
      <c r="AG126" s="4"/>
      <c r="AH126" s="4">
        <f>IFERROR(VLOOKUP(M126,Calculations!$AC$2:$AD$251,2,FALSE),0)</f>
        <v>0</v>
      </c>
      <c r="AI126" s="4">
        <f>VLOOKUP(N126,$N$2:$AS$620,MATCH('Character Creation'!$Z$12,Skills!$N$1:$AS$1,0),FALSE)</f>
        <v>0</v>
      </c>
      <c r="AJ126" s="4">
        <f>VLOOKUP($N126,[2]Cultures!$B$4:$M$283,MATCH(AJ$1,[2]Cultures!$B$3:$M$3,0),FALSE)</f>
        <v>0</v>
      </c>
      <c r="AK126" s="4">
        <f>VLOOKUP($N126,[2]Cultures!$B$4:$M$283,MATCH(AK$1,[2]Cultures!$B$3:$M$3,0),FALSE)</f>
        <v>0</v>
      </c>
      <c r="AL126" s="4">
        <f>VLOOKUP($N126,[2]Cultures!$B$4:$M$283,MATCH(AL$1,[2]Cultures!$B$3:$M$3,0),FALSE)</f>
        <v>0</v>
      </c>
      <c r="AM126" s="4">
        <f>VLOOKUP($N126,[2]Cultures!$B$4:$M$283,MATCH(AM$1,[2]Cultures!$B$3:$M$3,0),FALSE)</f>
        <v>0</v>
      </c>
      <c r="AN126" s="4">
        <f>VLOOKUP($N126,[2]Cultures!$B$4:$M$283,MATCH(AN$1,[2]Cultures!$B$3:$M$3,0),FALSE)</f>
        <v>0</v>
      </c>
      <c r="AO126" s="4">
        <f>VLOOKUP($N126,[2]Cultures!$B$4:$M$283,MATCH(AO$1,[2]Cultures!$B$3:$M$3,0),FALSE)</f>
        <v>0</v>
      </c>
      <c r="AP126" s="4">
        <f>VLOOKUP($N126,[2]Cultures!$B$4:$M$283,MATCH(AP$1,[2]Cultures!$B$3:$M$3,0),FALSE)</f>
        <v>0</v>
      </c>
      <c r="AQ126" s="4">
        <f>VLOOKUP($N126,[2]Cultures!$B$4:$M$283,MATCH(AQ$1,[2]Cultures!$B$3:$M$3,0),FALSE)</f>
        <v>0</v>
      </c>
      <c r="AR126" s="4">
        <f>VLOOKUP($N126,[2]Cultures!$B$4:$M$283,MATCH(AR$1,[2]Cultures!$B$3:$M$3,0),FALSE)</f>
        <v>0</v>
      </c>
      <c r="AS126" s="4">
        <f>VLOOKUP($N126,[2]Cultures!$B$4:$M$283,MATCH(AS$1,[2]Cultures!$B$3:$M$3,0),FALSE)</f>
        <v>0</v>
      </c>
      <c r="AT126" s="4"/>
      <c r="AU126" s="4">
        <f>IF(ISNUMBER(SEARCH(N126&amp;";",Calculations!$Q$19)),VLOOKUP(Skills!N126,Calculations!$Q$2:$T$16,4,FALSE),0)</f>
        <v>0</v>
      </c>
      <c r="AV126" s="4">
        <f>IF(ISNUMBER(SEARCH(N126&amp;";",Calculations!$Q$18)),1,0)</f>
        <v>0</v>
      </c>
      <c r="AW126" s="4">
        <f t="shared" si="71"/>
        <v>0</v>
      </c>
      <c r="AX126" s="4">
        <f>VLOOKUP($N126,$N126:$CH126,MATCH('Character Sheet'!$BJ$3,Skills!$N$1:$CH$1,0),FALSE)</f>
        <v>0</v>
      </c>
    </row>
    <row r="127" spans="2:50" x14ac:dyDescent="0.25">
      <c r="B127" s="4" t="e">
        <f t="shared" si="54"/>
        <v>#N/A</v>
      </c>
      <c r="E127" s="4"/>
      <c r="F127" s="4">
        <f t="shared" si="37"/>
        <v>0</v>
      </c>
      <c r="G127" s="4"/>
      <c r="H127" s="4" t="e">
        <f t="shared" si="40"/>
        <v>#N/A</v>
      </c>
      <c r="I127" s="4">
        <f t="shared" si="68"/>
        <v>1</v>
      </c>
      <c r="J127" s="4">
        <f t="shared" si="32"/>
        <v>0</v>
      </c>
      <c r="K127" s="4">
        <f t="shared" si="56"/>
        <v>0</v>
      </c>
      <c r="M127" t="str">
        <f t="shared" si="69"/>
        <v>Cobbler</v>
      </c>
      <c r="N127" s="3" t="str">
        <f>'Character Sheet'!APZ11</f>
        <v>Cobbler</v>
      </c>
      <c r="O127" s="4" t="s">
        <v>793</v>
      </c>
      <c r="P127" s="4" t="s">
        <v>784</v>
      </c>
      <c r="Q127" s="4">
        <f t="shared" si="57"/>
        <v>0</v>
      </c>
      <c r="R127" s="4">
        <f>IF(ISNUMBER(SEARCH("Category",N127)),"- -",IF(ISNUMBER(SEARCH("Skills",N127)),"- -",'Level-up'!C145))</f>
        <v>0</v>
      </c>
      <c r="S127" s="4">
        <f t="shared" si="34"/>
        <v>0</v>
      </c>
      <c r="T127" s="4">
        <f t="shared" si="35"/>
        <v>-25</v>
      </c>
      <c r="U127" s="4">
        <f t="shared" ca="1" si="38"/>
        <v>0</v>
      </c>
      <c r="V127" s="4">
        <f t="shared" si="70"/>
        <v>0</v>
      </c>
      <c r="W127" s="4">
        <f t="shared" si="58"/>
        <v>0</v>
      </c>
      <c r="X127" s="4">
        <f t="shared" si="55"/>
        <v>0</v>
      </c>
      <c r="Y127" s="4">
        <f t="shared" si="60"/>
        <v>0</v>
      </c>
      <c r="Z127" s="4">
        <f t="shared" si="61"/>
        <v>0</v>
      </c>
      <c r="AA127" s="4">
        <f t="shared" si="62"/>
        <v>0</v>
      </c>
      <c r="AB127" s="4">
        <f t="shared" si="63"/>
        <v>0</v>
      </c>
      <c r="AC127" s="8"/>
      <c r="AD127" s="4"/>
      <c r="AE127" s="4"/>
      <c r="AF127" s="4" t="str">
        <f t="shared" ca="1" si="49"/>
        <v>-25</v>
      </c>
      <c r="AG127" s="4"/>
      <c r="AH127" s="4">
        <f>IFERROR(VLOOKUP(M127,Calculations!$AC$2:$AD$251,2,FALSE),0)</f>
        <v>0</v>
      </c>
      <c r="AI127" s="4">
        <f>VLOOKUP(N127,$N$2:$AS$620,MATCH('Character Creation'!$Z$12,Skills!$N$1:$AS$1,0),FALSE)</f>
        <v>0</v>
      </c>
      <c r="AJ127" s="4">
        <f>VLOOKUP($N127,[2]Cultures!$B$4:$M$283,MATCH(AJ$1,[2]Cultures!$B$3:$M$3,0),FALSE)</f>
        <v>0</v>
      </c>
      <c r="AK127" s="4">
        <f>VLOOKUP($N127,[2]Cultures!$B$4:$M$283,MATCH(AK$1,[2]Cultures!$B$3:$M$3,0),FALSE)</f>
        <v>0</v>
      </c>
      <c r="AL127" s="4">
        <f>VLOOKUP($N127,[2]Cultures!$B$4:$M$283,MATCH(AL$1,[2]Cultures!$B$3:$M$3,0),FALSE)</f>
        <v>0</v>
      </c>
      <c r="AM127" s="4">
        <f>VLOOKUP($N127,[2]Cultures!$B$4:$M$283,MATCH(AM$1,[2]Cultures!$B$3:$M$3,0),FALSE)</f>
        <v>0</v>
      </c>
      <c r="AN127" s="4">
        <f>VLOOKUP($N127,[2]Cultures!$B$4:$M$283,MATCH(AN$1,[2]Cultures!$B$3:$M$3,0),FALSE)</f>
        <v>0</v>
      </c>
      <c r="AO127" s="4">
        <f>VLOOKUP($N127,[2]Cultures!$B$4:$M$283,MATCH(AO$1,[2]Cultures!$B$3:$M$3,0),FALSE)</f>
        <v>0</v>
      </c>
      <c r="AP127" s="4">
        <f>VLOOKUP($N127,[2]Cultures!$B$4:$M$283,MATCH(AP$1,[2]Cultures!$B$3:$M$3,0),FALSE)</f>
        <v>0</v>
      </c>
      <c r="AQ127" s="4">
        <f>VLOOKUP($N127,[2]Cultures!$B$4:$M$283,MATCH(AQ$1,[2]Cultures!$B$3:$M$3,0),FALSE)</f>
        <v>0</v>
      </c>
      <c r="AR127" s="4">
        <f>VLOOKUP($N127,[2]Cultures!$B$4:$M$283,MATCH(AR$1,[2]Cultures!$B$3:$M$3,0),FALSE)</f>
        <v>0</v>
      </c>
      <c r="AS127" s="4">
        <f>VLOOKUP($N127,[2]Cultures!$B$4:$M$283,MATCH(AS$1,[2]Cultures!$B$3:$M$3,0),FALSE)</f>
        <v>0</v>
      </c>
      <c r="AT127" s="4"/>
      <c r="AU127" s="4">
        <f>IF(ISNUMBER(SEARCH(N127&amp;";",Calculations!$Q$19)),VLOOKUP(Skills!N127,Calculations!$Q$2:$T$16,4,FALSE),0)</f>
        <v>0</v>
      </c>
      <c r="AV127" s="4">
        <f>IF(ISNUMBER(SEARCH(N127&amp;";",Calculations!$Q$18)),1,0)</f>
        <v>0</v>
      </c>
      <c r="AW127" s="4">
        <f t="shared" si="71"/>
        <v>0</v>
      </c>
      <c r="AX127" s="4">
        <f>VLOOKUP($N127,$N127:$CH127,MATCH('Character Sheet'!$BJ$3,Skills!$N$1:$CH$1,0),FALSE)</f>
        <v>0</v>
      </c>
    </row>
    <row r="128" spans="2:50" x14ac:dyDescent="0.25">
      <c r="B128" s="4" t="e">
        <f t="shared" si="54"/>
        <v>#N/A</v>
      </c>
      <c r="E128" s="4"/>
      <c r="F128" s="4">
        <f t="shared" si="37"/>
        <v>0</v>
      </c>
      <c r="G128" s="4"/>
      <c r="H128" s="4" t="e">
        <f t="shared" si="40"/>
        <v>#N/A</v>
      </c>
      <c r="I128" s="4">
        <f t="shared" si="68"/>
        <v>1</v>
      </c>
      <c r="J128" s="4">
        <f t="shared" si="32"/>
        <v>0</v>
      </c>
      <c r="K128" s="4">
        <f t="shared" si="56"/>
        <v>0</v>
      </c>
      <c r="M128" t="str">
        <f t="shared" si="69"/>
        <v>Cooper</v>
      </c>
      <c r="N128" s="3" t="str">
        <f>'Character Sheet'!APZ12</f>
        <v>Cooper</v>
      </c>
      <c r="O128" s="4" t="s">
        <v>793</v>
      </c>
      <c r="P128" s="4" t="s">
        <v>784</v>
      </c>
      <c r="Q128" s="4">
        <f t="shared" si="57"/>
        <v>0</v>
      </c>
      <c r="R128" s="4">
        <f>IF(ISNUMBER(SEARCH("Category",N128)),"- -",IF(ISNUMBER(SEARCH("Skills",N128)),"- -",'Level-up'!C146))</f>
        <v>0</v>
      </c>
      <c r="S128" s="4">
        <f t="shared" si="34"/>
        <v>0</v>
      </c>
      <c r="T128" s="4">
        <f t="shared" si="35"/>
        <v>-25</v>
      </c>
      <c r="U128" s="4">
        <f t="shared" ca="1" si="38"/>
        <v>0</v>
      </c>
      <c r="V128" s="4">
        <f t="shared" si="70"/>
        <v>0</v>
      </c>
      <c r="W128" s="4">
        <f t="shared" si="58"/>
        <v>0</v>
      </c>
      <c r="X128" s="4">
        <f t="shared" si="55"/>
        <v>0</v>
      </c>
      <c r="Y128" s="4">
        <f t="shared" si="60"/>
        <v>0</v>
      </c>
      <c r="Z128" s="4">
        <f t="shared" si="61"/>
        <v>0</v>
      </c>
      <c r="AA128" s="4">
        <f t="shared" si="62"/>
        <v>0</v>
      </c>
      <c r="AB128" s="4">
        <f t="shared" si="63"/>
        <v>0</v>
      </c>
      <c r="AC128" s="8"/>
      <c r="AD128" s="4"/>
      <c r="AE128" s="4"/>
      <c r="AF128" s="4" t="str">
        <f t="shared" ca="1" si="49"/>
        <v>-25</v>
      </c>
      <c r="AG128" s="4"/>
      <c r="AH128" s="4">
        <f>IFERROR(VLOOKUP(M128,Calculations!$AC$2:$AD$251,2,FALSE),0)</f>
        <v>0</v>
      </c>
      <c r="AI128" s="4">
        <f>VLOOKUP(N128,$N$2:$AS$620,MATCH('Character Creation'!$Z$12,Skills!$N$1:$AS$1,0),FALSE)</f>
        <v>0</v>
      </c>
      <c r="AJ128" s="4">
        <f>VLOOKUP($N128,[2]Cultures!$B$4:$M$283,MATCH(AJ$1,[2]Cultures!$B$3:$M$3,0),FALSE)</f>
        <v>0</v>
      </c>
      <c r="AK128" s="4">
        <f>VLOOKUP($N128,[2]Cultures!$B$4:$M$283,MATCH(AK$1,[2]Cultures!$B$3:$M$3,0),FALSE)</f>
        <v>0</v>
      </c>
      <c r="AL128" s="4">
        <f>VLOOKUP($N128,[2]Cultures!$B$4:$M$283,MATCH(AL$1,[2]Cultures!$B$3:$M$3,0),FALSE)</f>
        <v>0</v>
      </c>
      <c r="AM128" s="4">
        <f>VLOOKUP($N128,[2]Cultures!$B$4:$M$283,MATCH(AM$1,[2]Cultures!$B$3:$M$3,0),FALSE)</f>
        <v>0</v>
      </c>
      <c r="AN128" s="4">
        <f>VLOOKUP($N128,[2]Cultures!$B$4:$M$283,MATCH(AN$1,[2]Cultures!$B$3:$M$3,0),FALSE)</f>
        <v>0</v>
      </c>
      <c r="AO128" s="4">
        <f>VLOOKUP($N128,[2]Cultures!$B$4:$M$283,MATCH(AO$1,[2]Cultures!$B$3:$M$3,0),FALSE)</f>
        <v>0</v>
      </c>
      <c r="AP128" s="4">
        <f>VLOOKUP($N128,[2]Cultures!$B$4:$M$283,MATCH(AP$1,[2]Cultures!$B$3:$M$3,0),FALSE)</f>
        <v>0</v>
      </c>
      <c r="AQ128" s="4">
        <f>VLOOKUP($N128,[2]Cultures!$B$4:$M$283,MATCH(AQ$1,[2]Cultures!$B$3:$M$3,0),FALSE)</f>
        <v>0</v>
      </c>
      <c r="AR128" s="4">
        <f>VLOOKUP($N128,[2]Cultures!$B$4:$M$283,MATCH(AR$1,[2]Cultures!$B$3:$M$3,0),FALSE)</f>
        <v>0</v>
      </c>
      <c r="AS128" s="4">
        <f>VLOOKUP($N128,[2]Cultures!$B$4:$M$283,MATCH(AS$1,[2]Cultures!$B$3:$M$3,0),FALSE)</f>
        <v>0</v>
      </c>
      <c r="AT128" s="4"/>
      <c r="AU128" s="4">
        <f>IF(ISNUMBER(SEARCH(N128&amp;";",Calculations!$Q$19)),VLOOKUP(Skills!N128,Calculations!$Q$2:$T$16,4,FALSE),0)</f>
        <v>0</v>
      </c>
      <c r="AV128" s="4">
        <f>IF(ISNUMBER(SEARCH(N128&amp;";",Calculations!$Q$18)),1,0)</f>
        <v>0</v>
      </c>
      <c r="AW128" s="4">
        <f t="shared" si="71"/>
        <v>0</v>
      </c>
      <c r="AX128" s="4">
        <f>VLOOKUP($N128,$N128:$CH128,MATCH('Character Sheet'!$BJ$3,Skills!$N$1:$CH$1,0),FALSE)</f>
        <v>0</v>
      </c>
    </row>
    <row r="129" spans="2:50" x14ac:dyDescent="0.25">
      <c r="B129" s="4" t="e">
        <f t="shared" si="54"/>
        <v>#N/A</v>
      </c>
      <c r="E129" s="4"/>
      <c r="F129" s="4">
        <f t="shared" si="37"/>
        <v>0</v>
      </c>
      <c r="G129" s="4"/>
      <c r="H129" s="4" t="e">
        <f t="shared" si="40"/>
        <v>#N/A</v>
      </c>
      <c r="I129" s="4">
        <f t="shared" si="68"/>
        <v>1</v>
      </c>
      <c r="J129" s="4">
        <f t="shared" si="32"/>
        <v>0</v>
      </c>
      <c r="K129" s="4">
        <f t="shared" si="56"/>
        <v>0</v>
      </c>
      <c r="M129" t="str">
        <f t="shared" si="69"/>
        <v>Culinary</v>
      </c>
      <c r="N129" s="3" t="str">
        <f>'Character Sheet'!APZ13</f>
        <v>Culinary</v>
      </c>
      <c r="O129" s="4" t="s">
        <v>793</v>
      </c>
      <c r="P129" s="4" t="s">
        <v>784</v>
      </c>
      <c r="Q129" s="4">
        <f t="shared" si="57"/>
        <v>0</v>
      </c>
      <c r="R129" s="4">
        <f>IF(ISNUMBER(SEARCH("Category",N129)),"- -",IF(ISNUMBER(SEARCH("Skills",N129)),"- -",'Level-up'!C147))</f>
        <v>0</v>
      </c>
      <c r="S129" s="4">
        <f t="shared" si="34"/>
        <v>0</v>
      </c>
      <c r="T129" s="4">
        <f t="shared" si="35"/>
        <v>-25</v>
      </c>
      <c r="U129" s="4">
        <f t="shared" ca="1" si="38"/>
        <v>0</v>
      </c>
      <c r="V129" s="4">
        <f t="shared" si="70"/>
        <v>0</v>
      </c>
      <c r="W129" s="4">
        <f t="shared" si="58"/>
        <v>0</v>
      </c>
      <c r="X129" s="4">
        <f t="shared" si="55"/>
        <v>0</v>
      </c>
      <c r="Y129" s="4">
        <f t="shared" si="60"/>
        <v>0</v>
      </c>
      <c r="Z129" s="4">
        <f t="shared" si="61"/>
        <v>0</v>
      </c>
      <c r="AA129" s="4">
        <f t="shared" si="62"/>
        <v>0</v>
      </c>
      <c r="AB129" s="4">
        <f t="shared" si="63"/>
        <v>0</v>
      </c>
      <c r="AC129" s="8"/>
      <c r="AD129" s="4"/>
      <c r="AE129" s="4"/>
      <c r="AF129" s="4" t="str">
        <f t="shared" ca="1" si="49"/>
        <v>-25</v>
      </c>
      <c r="AG129" s="4"/>
      <c r="AH129" s="4">
        <f>IFERROR(VLOOKUP(M129,Calculations!$AC$2:$AD$251,2,FALSE),0)</f>
        <v>0</v>
      </c>
      <c r="AI129" s="4">
        <f>VLOOKUP(N129,$N$2:$AS$620,MATCH('Character Creation'!$Z$12,Skills!$N$1:$AS$1,0),FALSE)</f>
        <v>0</v>
      </c>
      <c r="AJ129" s="4">
        <f>VLOOKUP($N129,[2]Cultures!$B$4:$M$283,MATCH(AJ$1,[2]Cultures!$B$3:$M$3,0),FALSE)</f>
        <v>0</v>
      </c>
      <c r="AK129" s="4">
        <f>VLOOKUP($N129,[2]Cultures!$B$4:$M$283,MATCH(AK$1,[2]Cultures!$B$3:$M$3,0),FALSE)</f>
        <v>0</v>
      </c>
      <c r="AL129" s="4">
        <f>VLOOKUP($N129,[2]Cultures!$B$4:$M$283,MATCH(AL$1,[2]Cultures!$B$3:$M$3,0),FALSE)</f>
        <v>0</v>
      </c>
      <c r="AM129" s="4">
        <f>VLOOKUP($N129,[2]Cultures!$B$4:$M$283,MATCH(AM$1,[2]Cultures!$B$3:$M$3,0),FALSE)</f>
        <v>0</v>
      </c>
      <c r="AN129" s="4">
        <f>VLOOKUP($N129,[2]Cultures!$B$4:$M$283,MATCH(AN$1,[2]Cultures!$B$3:$M$3,0),FALSE)</f>
        <v>0</v>
      </c>
      <c r="AO129" s="4">
        <f>VLOOKUP($N129,[2]Cultures!$B$4:$M$283,MATCH(AO$1,[2]Cultures!$B$3:$M$3,0),FALSE)</f>
        <v>0</v>
      </c>
      <c r="AP129" s="4">
        <f>VLOOKUP($N129,[2]Cultures!$B$4:$M$283,MATCH(AP$1,[2]Cultures!$B$3:$M$3,0),FALSE)</f>
        <v>0</v>
      </c>
      <c r="AQ129" s="4">
        <f>VLOOKUP($N129,[2]Cultures!$B$4:$M$283,MATCH(AQ$1,[2]Cultures!$B$3:$M$3,0),FALSE)</f>
        <v>0</v>
      </c>
      <c r="AR129" s="4">
        <f>VLOOKUP($N129,[2]Cultures!$B$4:$M$283,MATCH(AR$1,[2]Cultures!$B$3:$M$3,0),FALSE)</f>
        <v>0</v>
      </c>
      <c r="AS129" s="4">
        <f>VLOOKUP($N129,[2]Cultures!$B$4:$M$283,MATCH(AS$1,[2]Cultures!$B$3:$M$3,0),FALSE)</f>
        <v>0</v>
      </c>
      <c r="AT129" s="4"/>
      <c r="AU129" s="4">
        <f>IF(ISNUMBER(SEARCH(N129&amp;";",Calculations!$Q$19)),VLOOKUP(Skills!N129,Calculations!$Q$2:$T$16,4,FALSE),0)</f>
        <v>0</v>
      </c>
      <c r="AV129" s="4">
        <f>IF(ISNUMBER(SEARCH(N129&amp;";",Calculations!$Q$18)),1,0)</f>
        <v>0</v>
      </c>
      <c r="AW129" s="4">
        <f t="shared" si="71"/>
        <v>0</v>
      </c>
      <c r="AX129" s="4">
        <f>VLOOKUP($N129,$N129:$CH129,MATCH('Character Sheet'!$BJ$3,Skills!$N$1:$CH$1,0),FALSE)</f>
        <v>0</v>
      </c>
    </row>
    <row r="130" spans="2:50" x14ac:dyDescent="0.25">
      <c r="B130" s="4" t="e">
        <f t="shared" si="54"/>
        <v>#N/A</v>
      </c>
      <c r="E130" s="4"/>
      <c r="F130" s="4">
        <f t="shared" si="37"/>
        <v>0</v>
      </c>
      <c r="G130" s="4"/>
      <c r="H130" s="4" t="e">
        <f t="shared" si="40"/>
        <v>#N/A</v>
      </c>
      <c r="I130" s="4">
        <f t="shared" si="68"/>
        <v>1</v>
      </c>
      <c r="J130" s="4">
        <f t="shared" ref="J130:J193" si="72">IF(ISNUMBER(SEARCH("Skills",N130)),IF(AI130&gt;=1,1,0),0)</f>
        <v>0</v>
      </c>
      <c r="K130" s="4">
        <f t="shared" ref="K130:K161" si="73">IF(ISNUMBER(SEARCH("Category",N130)),K131,AI130)</f>
        <v>0</v>
      </c>
      <c r="M130" t="str">
        <f t="shared" si="69"/>
        <v>Drafting</v>
      </c>
      <c r="N130" s="3" t="str">
        <f>'Character Sheet'!APZ14</f>
        <v>Drafting</v>
      </c>
      <c r="O130" s="4" t="s">
        <v>793</v>
      </c>
      <c r="P130" s="4" t="s">
        <v>794</v>
      </c>
      <c r="Q130" s="4">
        <f t="shared" si="57"/>
        <v>0</v>
      </c>
      <c r="R130" s="4">
        <f>IF(ISNUMBER(SEARCH("Category",N130)),"- -",IF(ISNUMBER(SEARCH("Skills",N130)),"- -",'Level-up'!C148))</f>
        <v>0</v>
      </c>
      <c r="S130" s="4">
        <f t="shared" ref="S130:S193" si="74">IF(ISNUMBER(SEARCH("Skills",N130)),"- -",IF(ISNUMBER(SEARCH("category",N130)),"- -",SUM(Q130:R130)))</f>
        <v>0</v>
      </c>
      <c r="T130" s="4">
        <f t="shared" ref="T130:T193" si="75">IF(ISNUMBER(SEARCH("Skills",N130)),"- -",IF(ISNUMBER(SEARCH("category",N130)),"- -",IF(S130="",0,IF(S130=0,(IF(O130="- -",0,-25)),IF(S130&lt;11,S130*5,IF(S130&lt;21,((S130-10)*3)+50,IF(S130&lt;31,((S130-20)*2)+80,IF(S130&gt;30,(S130-30)+100))))))))</f>
        <v>-25</v>
      </c>
      <c r="U130" s="4">
        <f t="shared" ca="1" si="38"/>
        <v>4</v>
      </c>
      <c r="V130" s="4">
        <f t="shared" si="70"/>
        <v>0</v>
      </c>
      <c r="W130" s="4">
        <f t="shared" si="58"/>
        <v>0</v>
      </c>
      <c r="X130" s="4">
        <f t="shared" si="55"/>
        <v>0</v>
      </c>
      <c r="Y130" s="4">
        <f t="shared" si="60"/>
        <v>0</v>
      </c>
      <c r="Z130" s="4">
        <f t="shared" si="61"/>
        <v>0</v>
      </c>
      <c r="AA130" s="4">
        <f t="shared" si="62"/>
        <v>0</v>
      </c>
      <c r="AB130" s="4">
        <f t="shared" si="63"/>
        <v>0</v>
      </c>
      <c r="AC130" s="8"/>
      <c r="AD130" s="4"/>
      <c r="AE130" s="4"/>
      <c r="AF130" s="4" t="str">
        <f t="shared" ca="1" si="49"/>
        <v>-21</v>
      </c>
      <c r="AG130" s="4"/>
      <c r="AH130" s="4">
        <f>IFERROR(VLOOKUP(M130,Calculations!$AC$2:$AD$251,2,FALSE),0)</f>
        <v>0</v>
      </c>
      <c r="AI130" s="4">
        <f>VLOOKUP(N130,$N$2:$AS$620,MATCH('Character Creation'!$Z$12,Skills!$N$1:$AS$1,0),FALSE)</f>
        <v>0</v>
      </c>
      <c r="AJ130" s="4">
        <f>VLOOKUP($N130,[2]Cultures!$B$4:$M$283,MATCH(AJ$1,[2]Cultures!$B$3:$M$3,0),FALSE)</f>
        <v>0</v>
      </c>
      <c r="AK130" s="4">
        <f>VLOOKUP($N130,[2]Cultures!$B$4:$M$283,MATCH(AK$1,[2]Cultures!$B$3:$M$3,0),FALSE)</f>
        <v>0</v>
      </c>
      <c r="AL130" s="4">
        <f>VLOOKUP($N130,[2]Cultures!$B$4:$M$283,MATCH(AL$1,[2]Cultures!$B$3:$M$3,0),FALSE)</f>
        <v>0</v>
      </c>
      <c r="AM130" s="4">
        <f>VLOOKUP($N130,[2]Cultures!$B$4:$M$283,MATCH(AM$1,[2]Cultures!$B$3:$M$3,0),FALSE)</f>
        <v>0</v>
      </c>
      <c r="AN130" s="4">
        <f>VLOOKUP($N130,[2]Cultures!$B$4:$M$283,MATCH(AN$1,[2]Cultures!$B$3:$M$3,0),FALSE)</f>
        <v>0</v>
      </c>
      <c r="AO130" s="4">
        <f>VLOOKUP($N130,[2]Cultures!$B$4:$M$283,MATCH(AO$1,[2]Cultures!$B$3:$M$3,0),FALSE)</f>
        <v>0</v>
      </c>
      <c r="AP130" s="4">
        <f>VLOOKUP($N130,[2]Cultures!$B$4:$M$283,MATCH(AP$1,[2]Cultures!$B$3:$M$3,0),FALSE)</f>
        <v>0</v>
      </c>
      <c r="AQ130" s="4">
        <f>VLOOKUP($N130,[2]Cultures!$B$4:$M$283,MATCH(AQ$1,[2]Cultures!$B$3:$M$3,0),FALSE)</f>
        <v>0</v>
      </c>
      <c r="AR130" s="4">
        <f>VLOOKUP($N130,[2]Cultures!$B$4:$M$283,MATCH(AR$1,[2]Cultures!$B$3:$M$3,0),FALSE)</f>
        <v>0</v>
      </c>
      <c r="AS130" s="4">
        <f>VLOOKUP($N130,[2]Cultures!$B$4:$M$283,MATCH(AS$1,[2]Cultures!$B$3:$M$3,0),FALSE)</f>
        <v>0</v>
      </c>
      <c r="AT130" s="4"/>
      <c r="AU130" s="4">
        <f>IF(ISNUMBER(SEARCH(N130&amp;";",Calculations!$Q$19)),VLOOKUP(Skills!N130,Calculations!$Q$2:$T$16,4,FALSE),0)</f>
        <v>0</v>
      </c>
      <c r="AV130" s="4">
        <f>IF(ISNUMBER(SEARCH(N130&amp;";",Calculations!$Q$18)),1,0)</f>
        <v>0</v>
      </c>
      <c r="AW130" s="4">
        <f t="shared" si="71"/>
        <v>0</v>
      </c>
      <c r="AX130" s="4">
        <f>VLOOKUP($N130,$N130:$CH130,MATCH('Character Sheet'!$BJ$3,Skills!$N$1:$CH$1,0),FALSE)</f>
        <v>0</v>
      </c>
    </row>
    <row r="131" spans="2:50" x14ac:dyDescent="0.25">
      <c r="B131" s="4" t="e">
        <f t="shared" si="54"/>
        <v>#N/A</v>
      </c>
      <c r="E131" s="4"/>
      <c r="F131" s="4">
        <f t="shared" ref="F131:F194" si="76">IF(AX131="x",F130+1,F130)</f>
        <v>0</v>
      </c>
      <c r="G131" s="4"/>
      <c r="H131" s="4" t="e">
        <f t="shared" si="40"/>
        <v>#N/A</v>
      </c>
      <c r="I131" s="4">
        <f t="shared" si="68"/>
        <v>1</v>
      </c>
      <c r="J131" s="4">
        <f t="shared" si="72"/>
        <v>0</v>
      </c>
      <c r="K131" s="4">
        <f t="shared" si="73"/>
        <v>0</v>
      </c>
      <c r="M131" t="str">
        <f t="shared" si="69"/>
        <v>Drawing/Painting</v>
      </c>
      <c r="N131" s="3" t="str">
        <f>'Character Sheet'!APZ15</f>
        <v>Drawing/Painting</v>
      </c>
      <c r="O131" s="4" t="s">
        <v>793</v>
      </c>
      <c r="P131" s="4" t="s">
        <v>794</v>
      </c>
      <c r="Q131" s="4">
        <f t="shared" si="57"/>
        <v>0</v>
      </c>
      <c r="R131" s="4">
        <f>IF(ISNUMBER(SEARCH("Category",N131)),"- -",IF(ISNUMBER(SEARCH("Skills",N131)),"- -",'Level-up'!C149))</f>
        <v>0</v>
      </c>
      <c r="S131" s="4">
        <f t="shared" si="74"/>
        <v>0</v>
      </c>
      <c r="T131" s="4">
        <f t="shared" si="75"/>
        <v>-25</v>
      </c>
      <c r="U131" s="4">
        <f t="shared" ref="U131:U195" ca="1" si="77">IFERROR(INDIRECT(LEFT(O131,FIND("/",O131)-1))+INDIRECT(MID(O131,FIND("/",O131)+1,2))+INDIRECT(P131),"- -")</f>
        <v>4</v>
      </c>
      <c r="V131" s="4">
        <f t="shared" si="70"/>
        <v>0</v>
      </c>
      <c r="W131" s="4">
        <f t="shared" si="58"/>
        <v>0</v>
      </c>
      <c r="X131" s="4">
        <f t="shared" si="55"/>
        <v>0</v>
      </c>
      <c r="Y131" s="4">
        <f t="shared" ref="Y131:Y194" si="78">IF(ISNUMBER(SEARCH("Category",N131)),"- -",IF(ISNUMBER(SEARCH("Skills",N131)),"- -",0))</f>
        <v>0</v>
      </c>
      <c r="Z131" s="4">
        <f t="shared" ref="Z131:Z194" si="79">IF(ISNUMBER(SEARCH("Category",N131)),"- -",IF(ISNUMBER(SEARCH("Skills",N131)),"- -",0))</f>
        <v>0</v>
      </c>
      <c r="AA131" s="4">
        <f t="shared" ref="AA131:AA194" si="80">IF(ISNUMBER(SEARCH("Category",N131)),"- -",IF(ISNUMBER(SEARCH("Skills",N131)),"- -",0))</f>
        <v>0</v>
      </c>
      <c r="AB131" s="4">
        <f t="shared" ref="AB131:AB194" si="81">IF(ISNUMBER(SEARCH("Category",N131)),"- -",IF(ISNUMBER(SEARCH("Skills",N131)),"- -",0))</f>
        <v>0</v>
      </c>
      <c r="AC131" s="8"/>
      <c r="AD131" s="4"/>
      <c r="AE131" s="4"/>
      <c r="AF131" s="4" t="str">
        <f t="shared" ca="1" si="49"/>
        <v>-21</v>
      </c>
      <c r="AG131" s="4"/>
      <c r="AH131" s="4">
        <f>IFERROR(VLOOKUP(M131,Calculations!$AC$2:$AD$251,2,FALSE),0)</f>
        <v>0</v>
      </c>
      <c r="AI131" s="4">
        <f>VLOOKUP(N131,$N$2:$AS$620,MATCH('Character Creation'!$Z$12,Skills!$N$1:$AS$1,0),FALSE)</f>
        <v>0</v>
      </c>
      <c r="AJ131" s="4">
        <f>VLOOKUP($N131,[2]Cultures!$B$4:$M$283,MATCH(AJ$1,[2]Cultures!$B$3:$M$3,0),FALSE)</f>
        <v>0</v>
      </c>
      <c r="AK131" s="4">
        <f>VLOOKUP($N131,[2]Cultures!$B$4:$M$283,MATCH(AK$1,[2]Cultures!$B$3:$M$3,0),FALSE)</f>
        <v>0</v>
      </c>
      <c r="AL131" s="4">
        <f>VLOOKUP($N131,[2]Cultures!$B$4:$M$283,MATCH(AL$1,[2]Cultures!$B$3:$M$3,0),FALSE)</f>
        <v>0</v>
      </c>
      <c r="AM131" s="4">
        <f>VLOOKUP($N131,[2]Cultures!$B$4:$M$283,MATCH(AM$1,[2]Cultures!$B$3:$M$3,0),FALSE)</f>
        <v>0</v>
      </c>
      <c r="AN131" s="4">
        <f>VLOOKUP($N131,[2]Cultures!$B$4:$M$283,MATCH(AN$1,[2]Cultures!$B$3:$M$3,0),FALSE)</f>
        <v>0</v>
      </c>
      <c r="AO131" s="4">
        <f>VLOOKUP($N131,[2]Cultures!$B$4:$M$283,MATCH(AO$1,[2]Cultures!$B$3:$M$3,0),FALSE)</f>
        <v>0</v>
      </c>
      <c r="AP131" s="4">
        <f>VLOOKUP($N131,[2]Cultures!$B$4:$M$283,MATCH(AP$1,[2]Cultures!$B$3:$M$3,0),FALSE)</f>
        <v>0</v>
      </c>
      <c r="AQ131" s="4">
        <f>VLOOKUP($N131,[2]Cultures!$B$4:$M$283,MATCH(AQ$1,[2]Cultures!$B$3:$M$3,0),FALSE)</f>
        <v>0</v>
      </c>
      <c r="AR131" s="4">
        <f>VLOOKUP($N131,[2]Cultures!$B$4:$M$283,MATCH(AR$1,[2]Cultures!$B$3:$M$3,0),FALSE)</f>
        <v>0</v>
      </c>
      <c r="AS131" s="4">
        <f>VLOOKUP($N131,[2]Cultures!$B$4:$M$283,MATCH(AS$1,[2]Cultures!$B$3:$M$3,0),FALSE)</f>
        <v>0</v>
      </c>
      <c r="AT131" s="4"/>
      <c r="AU131" s="4">
        <f>IF(ISNUMBER(SEARCH(N131&amp;";",Calculations!$Q$19)),VLOOKUP(Skills!N131,Calculations!$Q$2:$T$16,4,FALSE),0)</f>
        <v>0</v>
      </c>
      <c r="AV131" s="4">
        <f>IF(ISNUMBER(SEARCH(N131&amp;";",Calculations!$Q$18)),1,0)</f>
        <v>0</v>
      </c>
      <c r="AW131" s="4">
        <f t="shared" si="71"/>
        <v>0</v>
      </c>
      <c r="AX131" s="4">
        <f>VLOOKUP($N131,$N131:$CH131,MATCH('Character Sheet'!$BJ$3,Skills!$N$1:$CH$1,0),FALSE)</f>
        <v>0</v>
      </c>
    </row>
    <row r="132" spans="2:50" x14ac:dyDescent="0.25">
      <c r="B132" s="4" t="e">
        <f t="shared" si="54"/>
        <v>#N/A</v>
      </c>
      <c r="E132" s="4"/>
      <c r="F132" s="4">
        <f t="shared" si="76"/>
        <v>0</v>
      </c>
      <c r="G132" s="4"/>
      <c r="H132" s="4" t="e">
        <f t="shared" ref="H132:H196" si="82">H131+I132</f>
        <v>#N/A</v>
      </c>
      <c r="I132" s="4">
        <f t="shared" si="68"/>
        <v>1</v>
      </c>
      <c r="J132" s="4">
        <f t="shared" si="72"/>
        <v>0</v>
      </c>
      <c r="K132" s="4">
        <f t="shared" si="73"/>
        <v>0</v>
      </c>
      <c r="M132" t="str">
        <f t="shared" si="69"/>
        <v>Embroidery</v>
      </c>
      <c r="N132" s="3" t="str">
        <f>'Character Sheet'!APZ16</f>
        <v>Embroidery</v>
      </c>
      <c r="O132" s="4" t="s">
        <v>793</v>
      </c>
      <c r="P132" s="4" t="s">
        <v>794</v>
      </c>
      <c r="Q132" s="4">
        <f t="shared" si="57"/>
        <v>0</v>
      </c>
      <c r="R132" s="4">
        <f>IF(ISNUMBER(SEARCH("Category",N132)),"- -",IF(ISNUMBER(SEARCH("Skills",N132)),"- -",'Level-up'!C150))</f>
        <v>0</v>
      </c>
      <c r="S132" s="4">
        <f t="shared" si="74"/>
        <v>0</v>
      </c>
      <c r="T132" s="4">
        <f t="shared" si="75"/>
        <v>-25</v>
      </c>
      <c r="U132" s="4">
        <f t="shared" ca="1" si="77"/>
        <v>4</v>
      </c>
      <c r="V132" s="4">
        <f t="shared" si="70"/>
        <v>0</v>
      </c>
      <c r="W132" s="4">
        <f t="shared" si="58"/>
        <v>0</v>
      </c>
      <c r="X132" s="4">
        <f t="shared" si="55"/>
        <v>0</v>
      </c>
      <c r="Y132" s="4">
        <f t="shared" si="78"/>
        <v>0</v>
      </c>
      <c r="Z132" s="4">
        <f t="shared" si="79"/>
        <v>0</v>
      </c>
      <c r="AA132" s="4">
        <f t="shared" si="80"/>
        <v>0</v>
      </c>
      <c r="AB132" s="4">
        <f t="shared" si="81"/>
        <v>0</v>
      </c>
      <c r="AC132" s="8"/>
      <c r="AD132" s="4"/>
      <c r="AE132" s="4"/>
      <c r="AF132" s="4" t="str">
        <f t="shared" ca="1" si="49"/>
        <v>-21</v>
      </c>
      <c r="AG132" s="4"/>
      <c r="AH132" s="4">
        <f>IFERROR(VLOOKUP(M132,Calculations!$AC$2:$AD$251,2,FALSE),0)</f>
        <v>0</v>
      </c>
      <c r="AI132" s="4">
        <f>VLOOKUP(N132,$N$2:$AS$620,MATCH('Character Creation'!$Z$12,Skills!$N$1:$AS$1,0),FALSE)</f>
        <v>0</v>
      </c>
      <c r="AJ132" s="4">
        <f>VLOOKUP($N132,[2]Cultures!$B$4:$M$283,MATCH(AJ$1,[2]Cultures!$B$3:$M$3,0),FALSE)</f>
        <v>0</v>
      </c>
      <c r="AK132" s="4">
        <f>VLOOKUP($N132,[2]Cultures!$B$4:$M$283,MATCH(AK$1,[2]Cultures!$B$3:$M$3,0),FALSE)</f>
        <v>0</v>
      </c>
      <c r="AL132" s="4">
        <f>VLOOKUP($N132,[2]Cultures!$B$4:$M$283,MATCH(AL$1,[2]Cultures!$B$3:$M$3,0),FALSE)</f>
        <v>0</v>
      </c>
      <c r="AM132" s="4">
        <f>VLOOKUP($N132,[2]Cultures!$B$4:$M$283,MATCH(AM$1,[2]Cultures!$B$3:$M$3,0),FALSE)</f>
        <v>0</v>
      </c>
      <c r="AN132" s="4">
        <f>VLOOKUP($N132,[2]Cultures!$B$4:$M$283,MATCH(AN$1,[2]Cultures!$B$3:$M$3,0),FALSE)</f>
        <v>0</v>
      </c>
      <c r="AO132" s="4">
        <f>VLOOKUP($N132,[2]Cultures!$B$4:$M$283,MATCH(AO$1,[2]Cultures!$B$3:$M$3,0),FALSE)</f>
        <v>0</v>
      </c>
      <c r="AP132" s="4">
        <f>VLOOKUP($N132,[2]Cultures!$B$4:$M$283,MATCH(AP$1,[2]Cultures!$B$3:$M$3,0),FALSE)</f>
        <v>0</v>
      </c>
      <c r="AQ132" s="4">
        <f>VLOOKUP($N132,[2]Cultures!$B$4:$M$283,MATCH(AQ$1,[2]Cultures!$B$3:$M$3,0),FALSE)</f>
        <v>0</v>
      </c>
      <c r="AR132" s="4">
        <f>VLOOKUP($N132,[2]Cultures!$B$4:$M$283,MATCH(AR$1,[2]Cultures!$B$3:$M$3,0),FALSE)</f>
        <v>0</v>
      </c>
      <c r="AS132" s="4">
        <f>VLOOKUP($N132,[2]Cultures!$B$4:$M$283,MATCH(AS$1,[2]Cultures!$B$3:$M$3,0),FALSE)</f>
        <v>0</v>
      </c>
      <c r="AT132" s="4"/>
      <c r="AU132" s="4">
        <f>IF(ISNUMBER(SEARCH(N132&amp;";",Calculations!$Q$19)),VLOOKUP(Skills!N132,Calculations!$Q$2:$T$16,4,FALSE),0)</f>
        <v>0</v>
      </c>
      <c r="AV132" s="4">
        <f>IF(ISNUMBER(SEARCH(N132&amp;";",Calculations!$Q$18)),1,0)</f>
        <v>0</v>
      </c>
      <c r="AW132" s="4">
        <f t="shared" si="71"/>
        <v>0</v>
      </c>
      <c r="AX132" s="4">
        <f>VLOOKUP($N132,$N132:$CH132,MATCH('Character Sheet'!$BJ$3,Skills!$N$1:$CH$1,0),FALSE)</f>
        <v>0</v>
      </c>
    </row>
    <row r="133" spans="2:50" x14ac:dyDescent="0.25">
      <c r="B133" s="4" t="e">
        <f t="shared" si="54"/>
        <v>#N/A</v>
      </c>
      <c r="E133" s="4"/>
      <c r="F133" s="4">
        <f t="shared" si="76"/>
        <v>0</v>
      </c>
      <c r="G133" s="4"/>
      <c r="H133" s="4" t="e">
        <f t="shared" si="82"/>
        <v>#N/A</v>
      </c>
      <c r="I133" s="4">
        <f t="shared" si="68"/>
        <v>1</v>
      </c>
      <c r="J133" s="4">
        <f t="shared" si="72"/>
        <v>0</v>
      </c>
      <c r="K133" s="4">
        <f t="shared" si="73"/>
        <v>0</v>
      </c>
      <c r="M133" t="str">
        <f t="shared" si="69"/>
        <v>Etcher</v>
      </c>
      <c r="N133" s="3" t="str">
        <f>'Character Sheet'!APZ17</f>
        <v>Etcher</v>
      </c>
      <c r="O133" s="4" t="s">
        <v>793</v>
      </c>
      <c r="P133" s="4" t="s">
        <v>784</v>
      </c>
      <c r="Q133" s="4">
        <f t="shared" si="57"/>
        <v>0</v>
      </c>
      <c r="R133" s="4">
        <f>IF(ISNUMBER(SEARCH("Category",N133)),"- -",IF(ISNUMBER(SEARCH("Skills",N133)),"- -",'Level-up'!C151))</f>
        <v>0</v>
      </c>
      <c r="S133" s="4">
        <f t="shared" si="74"/>
        <v>0</v>
      </c>
      <c r="T133" s="4">
        <f t="shared" si="75"/>
        <v>-25</v>
      </c>
      <c r="U133" s="4">
        <f t="shared" ca="1" si="77"/>
        <v>0</v>
      </c>
      <c r="V133" s="4">
        <f t="shared" si="70"/>
        <v>0</v>
      </c>
      <c r="W133" s="4">
        <f t="shared" si="58"/>
        <v>0</v>
      </c>
      <c r="X133" s="4">
        <f t="shared" si="55"/>
        <v>0</v>
      </c>
      <c r="Y133" s="4">
        <f t="shared" si="78"/>
        <v>0</v>
      </c>
      <c r="Z133" s="4">
        <f t="shared" si="79"/>
        <v>0</v>
      </c>
      <c r="AA133" s="4">
        <f t="shared" si="80"/>
        <v>0</v>
      </c>
      <c r="AB133" s="4">
        <f t="shared" si="81"/>
        <v>0</v>
      </c>
      <c r="AC133" s="8"/>
      <c r="AD133" s="4"/>
      <c r="AE133" s="4"/>
      <c r="AF133" s="4" t="str">
        <f t="shared" ca="1" si="49"/>
        <v>-25</v>
      </c>
      <c r="AG133" s="4"/>
      <c r="AH133" s="4">
        <f>IFERROR(VLOOKUP(M133,Calculations!$AC$2:$AD$251,2,FALSE),0)</f>
        <v>0</v>
      </c>
      <c r="AI133" s="4">
        <f>VLOOKUP(N133,$N$2:$AS$620,MATCH('Character Creation'!$Z$12,Skills!$N$1:$AS$1,0),FALSE)</f>
        <v>0</v>
      </c>
      <c r="AJ133" s="4">
        <f>VLOOKUP($N133,[2]Cultures!$B$4:$M$283,MATCH(AJ$1,[2]Cultures!$B$3:$M$3,0),FALSE)</f>
        <v>0</v>
      </c>
      <c r="AK133" s="4">
        <f>VLOOKUP($N133,[2]Cultures!$B$4:$M$283,MATCH(AK$1,[2]Cultures!$B$3:$M$3,0),FALSE)</f>
        <v>0</v>
      </c>
      <c r="AL133" s="4">
        <f>VLOOKUP($N133,[2]Cultures!$B$4:$M$283,MATCH(AL$1,[2]Cultures!$B$3:$M$3,0),FALSE)</f>
        <v>0</v>
      </c>
      <c r="AM133" s="4">
        <f>VLOOKUP($N133,[2]Cultures!$B$4:$M$283,MATCH(AM$1,[2]Cultures!$B$3:$M$3,0),FALSE)</f>
        <v>0</v>
      </c>
      <c r="AN133" s="4">
        <f>VLOOKUP($N133,[2]Cultures!$B$4:$M$283,MATCH(AN$1,[2]Cultures!$B$3:$M$3,0),FALSE)</f>
        <v>0</v>
      </c>
      <c r="AO133" s="4">
        <f>VLOOKUP($N133,[2]Cultures!$B$4:$M$283,MATCH(AO$1,[2]Cultures!$B$3:$M$3,0),FALSE)</f>
        <v>0</v>
      </c>
      <c r="AP133" s="4">
        <f>VLOOKUP($N133,[2]Cultures!$B$4:$M$283,MATCH(AP$1,[2]Cultures!$B$3:$M$3,0),FALSE)</f>
        <v>0</v>
      </c>
      <c r="AQ133" s="4">
        <f>VLOOKUP($N133,[2]Cultures!$B$4:$M$283,MATCH(AQ$1,[2]Cultures!$B$3:$M$3,0),FALSE)</f>
        <v>0</v>
      </c>
      <c r="AR133" s="4">
        <f>VLOOKUP($N133,[2]Cultures!$B$4:$M$283,MATCH(AR$1,[2]Cultures!$B$3:$M$3,0),FALSE)</f>
        <v>0</v>
      </c>
      <c r="AS133" s="4">
        <f>VLOOKUP($N133,[2]Cultures!$B$4:$M$283,MATCH(AS$1,[2]Cultures!$B$3:$M$3,0),FALSE)</f>
        <v>0</v>
      </c>
      <c r="AT133" s="4"/>
      <c r="AU133" s="4">
        <f>IF(ISNUMBER(SEARCH(N133&amp;";",Calculations!$Q$19)),VLOOKUP(Skills!N133,Calculations!$Q$2:$T$16,4,FALSE),0)</f>
        <v>0</v>
      </c>
      <c r="AV133" s="4">
        <f>IF(ISNUMBER(SEARCH(N133&amp;";",Calculations!$Q$18)),1,0)</f>
        <v>0</v>
      </c>
      <c r="AW133" s="4">
        <f t="shared" si="71"/>
        <v>0</v>
      </c>
      <c r="AX133" s="4">
        <f>VLOOKUP($N133,$N133:$CH133,MATCH('Character Sheet'!$BJ$3,Skills!$N$1:$CH$1,0),FALSE)</f>
        <v>0</v>
      </c>
    </row>
    <row r="134" spans="2:50" x14ac:dyDescent="0.25">
      <c r="B134" s="4" t="e">
        <f t="shared" si="54"/>
        <v>#N/A</v>
      </c>
      <c r="E134" s="4"/>
      <c r="F134" s="4">
        <f t="shared" si="76"/>
        <v>0</v>
      </c>
      <c r="G134" s="4"/>
      <c r="H134" s="4" t="e">
        <f t="shared" si="82"/>
        <v>#N/A</v>
      </c>
      <c r="I134" s="4">
        <f t="shared" si="68"/>
        <v>1</v>
      </c>
      <c r="J134" s="4">
        <f t="shared" si="72"/>
        <v>0</v>
      </c>
      <c r="K134" s="4">
        <f t="shared" si="73"/>
        <v>0</v>
      </c>
      <c r="M134" t="str">
        <f t="shared" si="69"/>
        <v>Fabric Craft</v>
      </c>
      <c r="N134" s="3" t="str">
        <f>'Character Sheet'!APZ18</f>
        <v>Fabric Craft</v>
      </c>
      <c r="O134" s="4" t="s">
        <v>793</v>
      </c>
      <c r="P134" s="4" t="s">
        <v>784</v>
      </c>
      <c r="Q134" s="4">
        <f t="shared" si="57"/>
        <v>0</v>
      </c>
      <c r="R134" s="4">
        <f>IF(ISNUMBER(SEARCH("Category",N134)),"- -",IF(ISNUMBER(SEARCH("Skills",N134)),"- -",'Level-up'!C152))</f>
        <v>0</v>
      </c>
      <c r="S134" s="4">
        <f t="shared" si="74"/>
        <v>0</v>
      </c>
      <c r="T134" s="4">
        <f t="shared" si="75"/>
        <v>-25</v>
      </c>
      <c r="U134" s="4">
        <f t="shared" ca="1" si="77"/>
        <v>0</v>
      </c>
      <c r="V134" s="4">
        <f t="shared" si="70"/>
        <v>0</v>
      </c>
      <c r="W134" s="4">
        <f t="shared" si="58"/>
        <v>0</v>
      </c>
      <c r="X134" s="4">
        <f t="shared" si="55"/>
        <v>0</v>
      </c>
      <c r="Y134" s="4">
        <f t="shared" si="78"/>
        <v>0</v>
      </c>
      <c r="Z134" s="4">
        <f t="shared" si="79"/>
        <v>0</v>
      </c>
      <c r="AA134" s="4">
        <f t="shared" si="80"/>
        <v>0</v>
      </c>
      <c r="AB134" s="4">
        <f t="shared" si="81"/>
        <v>0</v>
      </c>
      <c r="AC134" s="8"/>
      <c r="AD134" s="4"/>
      <c r="AE134" s="4"/>
      <c r="AF134" s="4" t="str">
        <f t="shared" ca="1" si="49"/>
        <v>-25</v>
      </c>
      <c r="AG134" s="4"/>
      <c r="AH134" s="4">
        <f>IFERROR(VLOOKUP(M134,Calculations!$AC$2:$AD$251,2,FALSE),0)</f>
        <v>0</v>
      </c>
      <c r="AI134" s="4">
        <f>VLOOKUP(N134,$N$2:$AS$620,MATCH('Character Creation'!$Z$12,Skills!$N$1:$AS$1,0),FALSE)</f>
        <v>0</v>
      </c>
      <c r="AJ134" s="4">
        <f>VLOOKUP($N134,[2]Cultures!$B$4:$M$283,MATCH(AJ$1,[2]Cultures!$B$3:$M$3,0),FALSE)</f>
        <v>0</v>
      </c>
      <c r="AK134" s="4">
        <f>VLOOKUP($N134,[2]Cultures!$B$4:$M$283,MATCH(AK$1,[2]Cultures!$B$3:$M$3,0),FALSE)</f>
        <v>0</v>
      </c>
      <c r="AL134" s="4">
        <f>VLOOKUP($N134,[2]Cultures!$B$4:$M$283,MATCH(AL$1,[2]Cultures!$B$3:$M$3,0),FALSE)</f>
        <v>0</v>
      </c>
      <c r="AM134" s="4">
        <f>VLOOKUP($N134,[2]Cultures!$B$4:$M$283,MATCH(AM$1,[2]Cultures!$B$3:$M$3,0),FALSE)</f>
        <v>0</v>
      </c>
      <c r="AN134" s="4">
        <f>VLOOKUP($N134,[2]Cultures!$B$4:$M$283,MATCH(AN$1,[2]Cultures!$B$3:$M$3,0),FALSE)</f>
        <v>0</v>
      </c>
      <c r="AO134" s="4">
        <f>VLOOKUP($N134,[2]Cultures!$B$4:$M$283,MATCH(AO$1,[2]Cultures!$B$3:$M$3,0),FALSE)</f>
        <v>0</v>
      </c>
      <c r="AP134" s="4">
        <f>VLOOKUP($N134,[2]Cultures!$B$4:$M$283,MATCH(AP$1,[2]Cultures!$B$3:$M$3,0),FALSE)</f>
        <v>0</v>
      </c>
      <c r="AQ134" s="4">
        <f>VLOOKUP($N134,[2]Cultures!$B$4:$M$283,MATCH(AQ$1,[2]Cultures!$B$3:$M$3,0),FALSE)</f>
        <v>0</v>
      </c>
      <c r="AR134" s="4">
        <f>VLOOKUP($N134,[2]Cultures!$B$4:$M$283,MATCH(AR$1,[2]Cultures!$B$3:$M$3,0),FALSE)</f>
        <v>0</v>
      </c>
      <c r="AS134" s="4">
        <f>VLOOKUP($N134,[2]Cultures!$B$4:$M$283,MATCH(AS$1,[2]Cultures!$B$3:$M$3,0),FALSE)</f>
        <v>0</v>
      </c>
      <c r="AT134" s="4"/>
      <c r="AU134" s="4">
        <f>IF(ISNUMBER(SEARCH(N134&amp;";",Calculations!$Q$19)),VLOOKUP(Skills!N134,Calculations!$Q$2:$T$16,4,FALSE),0)</f>
        <v>0</v>
      </c>
      <c r="AV134" s="4">
        <f>IF(ISNUMBER(SEARCH(N134&amp;";",Calculations!$Q$18)),1,0)</f>
        <v>0</v>
      </c>
      <c r="AW134" s="4">
        <f t="shared" si="71"/>
        <v>0</v>
      </c>
      <c r="AX134" s="4">
        <f>VLOOKUP($N134,$N134:$CH134,MATCH('Character Sheet'!$BJ$3,Skills!$N$1:$CH$1,0),FALSE)</f>
        <v>0</v>
      </c>
    </row>
    <row r="135" spans="2:50" x14ac:dyDescent="0.25">
      <c r="B135" s="4" t="e">
        <f t="shared" si="54"/>
        <v>#N/A</v>
      </c>
      <c r="E135" s="4"/>
      <c r="F135" s="4">
        <f t="shared" si="76"/>
        <v>0</v>
      </c>
      <c r="G135" s="4"/>
      <c r="H135" s="4" t="e">
        <f t="shared" si="82"/>
        <v>#N/A</v>
      </c>
      <c r="I135" s="4">
        <f t="shared" si="68"/>
        <v>1</v>
      </c>
      <c r="J135" s="4">
        <f t="shared" si="72"/>
        <v>0</v>
      </c>
      <c r="K135" s="4">
        <f t="shared" si="73"/>
        <v>0</v>
      </c>
      <c r="M135" t="str">
        <f t="shared" si="69"/>
        <v>Falsification</v>
      </c>
      <c r="N135" s="3" t="str">
        <f>'Character Sheet'!APZ19</f>
        <v>Falsification</v>
      </c>
      <c r="O135" s="4" t="s">
        <v>793</v>
      </c>
      <c r="P135" s="4" t="s">
        <v>792</v>
      </c>
      <c r="Q135" s="4">
        <f t="shared" si="57"/>
        <v>0</v>
      </c>
      <c r="R135" s="4">
        <f>IF(ISNUMBER(SEARCH("Category",N135)),"- -",IF(ISNUMBER(SEARCH("Skills",N135)),"- -",'Level-up'!C153))</f>
        <v>0</v>
      </c>
      <c r="S135" s="4">
        <f t="shared" si="74"/>
        <v>0</v>
      </c>
      <c r="T135" s="4">
        <f t="shared" si="75"/>
        <v>-25</v>
      </c>
      <c r="U135" s="4">
        <f t="shared" ca="1" si="77"/>
        <v>5</v>
      </c>
      <c r="V135" s="4">
        <f t="shared" si="70"/>
        <v>0</v>
      </c>
      <c r="W135" s="4">
        <f t="shared" si="58"/>
        <v>0</v>
      </c>
      <c r="X135" s="4">
        <f t="shared" si="55"/>
        <v>0</v>
      </c>
      <c r="Y135" s="4">
        <f t="shared" si="78"/>
        <v>0</v>
      </c>
      <c r="Z135" s="4">
        <f t="shared" si="79"/>
        <v>0</v>
      </c>
      <c r="AA135" s="4">
        <f t="shared" si="80"/>
        <v>0</v>
      </c>
      <c r="AB135" s="4">
        <f t="shared" si="81"/>
        <v>0</v>
      </c>
      <c r="AC135" s="8"/>
      <c r="AD135" s="4"/>
      <c r="AE135" s="4"/>
      <c r="AF135" s="4" t="str">
        <f t="shared" ca="1" si="49"/>
        <v>-20</v>
      </c>
      <c r="AG135" s="4"/>
      <c r="AH135" s="4">
        <f>IFERROR(VLOOKUP(M135,Calculations!$AC$2:$AD$251,2,FALSE),0)</f>
        <v>0</v>
      </c>
      <c r="AI135" s="4">
        <f>VLOOKUP(N135,$N$2:$AS$620,MATCH('Character Creation'!$Z$12,Skills!$N$1:$AS$1,0),FALSE)</f>
        <v>0</v>
      </c>
      <c r="AJ135" s="4">
        <f>VLOOKUP($N135,[2]Cultures!$B$4:$M$283,MATCH(AJ$1,[2]Cultures!$B$3:$M$3,0),FALSE)</f>
        <v>0</v>
      </c>
      <c r="AK135" s="4">
        <f>VLOOKUP($N135,[2]Cultures!$B$4:$M$283,MATCH(AK$1,[2]Cultures!$B$3:$M$3,0),FALSE)</f>
        <v>0</v>
      </c>
      <c r="AL135" s="4">
        <f>VLOOKUP($N135,[2]Cultures!$B$4:$M$283,MATCH(AL$1,[2]Cultures!$B$3:$M$3,0),FALSE)</f>
        <v>0</v>
      </c>
      <c r="AM135" s="4">
        <f>VLOOKUP($N135,[2]Cultures!$B$4:$M$283,MATCH(AM$1,[2]Cultures!$B$3:$M$3,0),FALSE)</f>
        <v>0</v>
      </c>
      <c r="AN135" s="4">
        <f>VLOOKUP($N135,[2]Cultures!$B$4:$M$283,MATCH(AN$1,[2]Cultures!$B$3:$M$3,0),FALSE)</f>
        <v>0</v>
      </c>
      <c r="AO135" s="4">
        <f>VLOOKUP($N135,[2]Cultures!$B$4:$M$283,MATCH(AO$1,[2]Cultures!$B$3:$M$3,0),FALSE)</f>
        <v>0</v>
      </c>
      <c r="AP135" s="4">
        <f>VLOOKUP($N135,[2]Cultures!$B$4:$M$283,MATCH(AP$1,[2]Cultures!$B$3:$M$3,0),FALSE)</f>
        <v>0</v>
      </c>
      <c r="AQ135" s="4">
        <f>VLOOKUP($N135,[2]Cultures!$B$4:$M$283,MATCH(AQ$1,[2]Cultures!$B$3:$M$3,0),FALSE)</f>
        <v>0</v>
      </c>
      <c r="AR135" s="4">
        <f>VLOOKUP($N135,[2]Cultures!$B$4:$M$283,MATCH(AR$1,[2]Cultures!$B$3:$M$3,0),FALSE)</f>
        <v>0</v>
      </c>
      <c r="AS135" s="4">
        <f>VLOOKUP($N135,[2]Cultures!$B$4:$M$283,MATCH(AS$1,[2]Cultures!$B$3:$M$3,0),FALSE)</f>
        <v>0</v>
      </c>
      <c r="AT135" s="4"/>
      <c r="AU135" s="4">
        <f>IF(ISNUMBER(SEARCH(N135&amp;";",Calculations!$Q$19)),VLOOKUP(Skills!N135,Calculations!$Q$2:$T$16,4,FALSE),0)</f>
        <v>0</v>
      </c>
      <c r="AV135" s="4">
        <f>IF(ISNUMBER(SEARCH(N135&amp;";",Calculations!$Q$18)),1,0)</f>
        <v>0</v>
      </c>
      <c r="AW135" s="4">
        <f t="shared" si="71"/>
        <v>0</v>
      </c>
      <c r="AX135" s="4">
        <f>VLOOKUP($N135,$N135:$CH135,MATCH('Character Sheet'!$BJ$3,Skills!$N$1:$CH$1,0),FALSE)</f>
        <v>0</v>
      </c>
    </row>
    <row r="136" spans="2:50" x14ac:dyDescent="0.25">
      <c r="B136" s="4" t="e">
        <f t="shared" si="54"/>
        <v>#N/A</v>
      </c>
      <c r="E136" s="4"/>
      <c r="F136" s="4">
        <f t="shared" si="76"/>
        <v>0</v>
      </c>
      <c r="G136" s="4"/>
      <c r="H136" s="4" t="e">
        <f t="shared" si="82"/>
        <v>#N/A</v>
      </c>
      <c r="I136" s="4">
        <f t="shared" si="68"/>
        <v>1</v>
      </c>
      <c r="J136" s="4">
        <f t="shared" si="72"/>
        <v>0</v>
      </c>
      <c r="K136" s="4">
        <f t="shared" si="73"/>
        <v>0</v>
      </c>
      <c r="M136" t="str">
        <f t="shared" si="69"/>
        <v>Farrier</v>
      </c>
      <c r="N136" s="3" t="str">
        <f>'Character Sheet'!APZ20</f>
        <v>Farrier</v>
      </c>
      <c r="O136" s="4" t="s">
        <v>793</v>
      </c>
      <c r="P136" s="4" t="s">
        <v>784</v>
      </c>
      <c r="Q136" s="4">
        <f t="shared" si="57"/>
        <v>0</v>
      </c>
      <c r="R136" s="4">
        <f>IF(ISNUMBER(SEARCH("Category",N136)),"- -",IF(ISNUMBER(SEARCH("Skills",N136)),"- -",'Level-up'!C154))</f>
        <v>0</v>
      </c>
      <c r="S136" s="4">
        <f t="shared" si="74"/>
        <v>0</v>
      </c>
      <c r="T136" s="4">
        <f t="shared" si="75"/>
        <v>-25</v>
      </c>
      <c r="U136" s="4">
        <f t="shared" ca="1" si="77"/>
        <v>0</v>
      </c>
      <c r="V136" s="4">
        <f t="shared" si="70"/>
        <v>0</v>
      </c>
      <c r="W136" s="4">
        <f t="shared" si="58"/>
        <v>0</v>
      </c>
      <c r="X136" s="4">
        <f t="shared" si="55"/>
        <v>0</v>
      </c>
      <c r="Y136" s="4">
        <f t="shared" si="78"/>
        <v>0</v>
      </c>
      <c r="Z136" s="4">
        <f t="shared" si="79"/>
        <v>0</v>
      </c>
      <c r="AA136" s="4">
        <f t="shared" si="80"/>
        <v>0</v>
      </c>
      <c r="AB136" s="4">
        <f t="shared" si="81"/>
        <v>0</v>
      </c>
      <c r="AC136" s="8"/>
      <c r="AD136" s="4"/>
      <c r="AE136" s="4"/>
      <c r="AF136" s="4" t="str">
        <f t="shared" ca="1" si="49"/>
        <v>-25</v>
      </c>
      <c r="AG136" s="4"/>
      <c r="AH136" s="4">
        <f>IFERROR(VLOOKUP(M136,Calculations!$AC$2:$AD$251,2,FALSE),0)</f>
        <v>0</v>
      </c>
      <c r="AI136" s="4">
        <f>VLOOKUP(N136,$N$2:$AS$620,MATCH('Character Creation'!$Z$12,Skills!$N$1:$AS$1,0),FALSE)</f>
        <v>0</v>
      </c>
      <c r="AJ136" s="4">
        <f>VLOOKUP($N136,[2]Cultures!$B$4:$M$283,MATCH(AJ$1,[2]Cultures!$B$3:$M$3,0),FALSE)</f>
        <v>0</v>
      </c>
      <c r="AK136" s="4">
        <f>VLOOKUP($N136,[2]Cultures!$B$4:$M$283,MATCH(AK$1,[2]Cultures!$B$3:$M$3,0),FALSE)</f>
        <v>0</v>
      </c>
      <c r="AL136" s="4">
        <f>VLOOKUP($N136,[2]Cultures!$B$4:$M$283,MATCH(AL$1,[2]Cultures!$B$3:$M$3,0),FALSE)</f>
        <v>0</v>
      </c>
      <c r="AM136" s="4">
        <f>VLOOKUP($N136,[2]Cultures!$B$4:$M$283,MATCH(AM$1,[2]Cultures!$B$3:$M$3,0),FALSE)</f>
        <v>0</v>
      </c>
      <c r="AN136" s="4">
        <f>VLOOKUP($N136,[2]Cultures!$B$4:$M$283,MATCH(AN$1,[2]Cultures!$B$3:$M$3,0),FALSE)</f>
        <v>0</v>
      </c>
      <c r="AO136" s="4">
        <f>VLOOKUP($N136,[2]Cultures!$B$4:$M$283,MATCH(AO$1,[2]Cultures!$B$3:$M$3,0),FALSE)</f>
        <v>0</v>
      </c>
      <c r="AP136" s="4">
        <f>VLOOKUP($N136,[2]Cultures!$B$4:$M$283,MATCH(AP$1,[2]Cultures!$B$3:$M$3,0),FALSE)</f>
        <v>0</v>
      </c>
      <c r="AQ136" s="4">
        <f>VLOOKUP($N136,[2]Cultures!$B$4:$M$283,MATCH(AQ$1,[2]Cultures!$B$3:$M$3,0),FALSE)</f>
        <v>0</v>
      </c>
      <c r="AR136" s="4">
        <f>VLOOKUP($N136,[2]Cultures!$B$4:$M$283,MATCH(AR$1,[2]Cultures!$B$3:$M$3,0),FALSE)</f>
        <v>0</v>
      </c>
      <c r="AS136" s="4">
        <f>VLOOKUP($N136,[2]Cultures!$B$4:$M$283,MATCH(AS$1,[2]Cultures!$B$3:$M$3,0),FALSE)</f>
        <v>0</v>
      </c>
      <c r="AT136" s="4"/>
      <c r="AU136" s="4">
        <f>IF(ISNUMBER(SEARCH(N136&amp;";",Calculations!$Q$19)),VLOOKUP(Skills!N136,Calculations!$Q$2:$T$16,4,FALSE),0)</f>
        <v>0</v>
      </c>
      <c r="AV136" s="4">
        <f>IF(ISNUMBER(SEARCH(N136&amp;";",Calculations!$Q$18)),1,0)</f>
        <v>0</v>
      </c>
      <c r="AW136" s="4">
        <f t="shared" si="71"/>
        <v>0</v>
      </c>
      <c r="AX136" s="4">
        <f>VLOOKUP($N136,$N136:$CH136,MATCH('Character Sheet'!$BJ$3,Skills!$N$1:$CH$1,0),FALSE)</f>
        <v>0</v>
      </c>
    </row>
    <row r="137" spans="2:50" x14ac:dyDescent="0.25">
      <c r="B137" s="4" t="e">
        <f t="shared" si="54"/>
        <v>#N/A</v>
      </c>
      <c r="E137" s="4"/>
      <c r="F137" s="4">
        <f t="shared" si="76"/>
        <v>0</v>
      </c>
      <c r="G137" s="4"/>
      <c r="H137" s="4" t="e">
        <f t="shared" si="82"/>
        <v>#N/A</v>
      </c>
      <c r="I137" s="4">
        <f t="shared" si="68"/>
        <v>1</v>
      </c>
      <c r="J137" s="4">
        <f t="shared" si="72"/>
        <v>0</v>
      </c>
      <c r="K137" s="4">
        <f t="shared" si="73"/>
        <v>0</v>
      </c>
      <c r="M137" t="str">
        <f t="shared" si="69"/>
        <v>Fletching</v>
      </c>
      <c r="N137" s="3" t="str">
        <f>'Character Sheet'!APZ21</f>
        <v>Fletching</v>
      </c>
      <c r="O137" s="4" t="s">
        <v>793</v>
      </c>
      <c r="P137" s="4" t="s">
        <v>784</v>
      </c>
      <c r="Q137" s="4">
        <f t="shared" si="57"/>
        <v>0</v>
      </c>
      <c r="R137" s="4">
        <f>IF(ISNUMBER(SEARCH("Category",N137)),"- -",IF(ISNUMBER(SEARCH("Skills",N137)),"- -",'Level-up'!C155))</f>
        <v>0</v>
      </c>
      <c r="S137" s="4">
        <f t="shared" si="74"/>
        <v>0</v>
      </c>
      <c r="T137" s="4">
        <f t="shared" si="75"/>
        <v>-25</v>
      </c>
      <c r="U137" s="4">
        <f t="shared" ca="1" si="77"/>
        <v>0</v>
      </c>
      <c r="V137" s="4">
        <f t="shared" si="70"/>
        <v>0</v>
      </c>
      <c r="W137" s="4">
        <f t="shared" si="58"/>
        <v>0</v>
      </c>
      <c r="X137" s="4">
        <f t="shared" si="55"/>
        <v>0</v>
      </c>
      <c r="Y137" s="4">
        <f t="shared" si="78"/>
        <v>0</v>
      </c>
      <c r="Z137" s="4">
        <f t="shared" si="79"/>
        <v>0</v>
      </c>
      <c r="AA137" s="4">
        <f t="shared" si="80"/>
        <v>0</v>
      </c>
      <c r="AB137" s="4">
        <f t="shared" si="81"/>
        <v>0</v>
      </c>
      <c r="AC137" s="8"/>
      <c r="AD137" s="4"/>
      <c r="AE137" s="4"/>
      <c r="AF137" s="4" t="str">
        <f t="shared" ref="AF137:AF200" ca="1" si="83">IF(ISNUMBER(SEARCH("Skills",N137)),"- -",IF(ISNUMBER(SEARCH("category",N137)),"- -",SUM(T137:Y137)+SUM(AA137:AE137)&amp;IF(AA137=Z137,"","/"&amp;SUM(T137:AE137))))</f>
        <v>-25</v>
      </c>
      <c r="AG137" s="4"/>
      <c r="AH137" s="4">
        <f>IFERROR(VLOOKUP(M137,Calculations!$AC$2:$AD$251,2,FALSE),0)</f>
        <v>0</v>
      </c>
      <c r="AI137" s="4">
        <f>VLOOKUP(N137,$N$2:$AS$620,MATCH('Character Creation'!$Z$12,Skills!$N$1:$AS$1,0),FALSE)</f>
        <v>0</v>
      </c>
      <c r="AJ137" s="4">
        <f>VLOOKUP($N137,[2]Cultures!$B$4:$M$283,MATCH(AJ$1,[2]Cultures!$B$3:$M$3,0),FALSE)</f>
        <v>0</v>
      </c>
      <c r="AK137" s="4">
        <f>VLOOKUP($N137,[2]Cultures!$B$4:$M$283,MATCH(AK$1,[2]Cultures!$B$3:$M$3,0),FALSE)</f>
        <v>0</v>
      </c>
      <c r="AL137" s="4">
        <f>VLOOKUP($N137,[2]Cultures!$B$4:$M$283,MATCH(AL$1,[2]Cultures!$B$3:$M$3,0),FALSE)</f>
        <v>0</v>
      </c>
      <c r="AM137" s="4">
        <f>VLOOKUP($N137,[2]Cultures!$B$4:$M$283,MATCH(AM$1,[2]Cultures!$B$3:$M$3,0),FALSE)</f>
        <v>0</v>
      </c>
      <c r="AN137" s="4">
        <f>VLOOKUP($N137,[2]Cultures!$B$4:$M$283,MATCH(AN$1,[2]Cultures!$B$3:$M$3,0),FALSE)</f>
        <v>0</v>
      </c>
      <c r="AO137" s="4">
        <f>VLOOKUP($N137,[2]Cultures!$B$4:$M$283,MATCH(AO$1,[2]Cultures!$B$3:$M$3,0),FALSE)</f>
        <v>0</v>
      </c>
      <c r="AP137" s="4">
        <f>VLOOKUP($N137,[2]Cultures!$B$4:$M$283,MATCH(AP$1,[2]Cultures!$B$3:$M$3,0),FALSE)</f>
        <v>0</v>
      </c>
      <c r="AQ137" s="4">
        <f>VLOOKUP($N137,[2]Cultures!$B$4:$M$283,MATCH(AQ$1,[2]Cultures!$B$3:$M$3,0),FALSE)</f>
        <v>0</v>
      </c>
      <c r="AR137" s="4">
        <f>VLOOKUP($N137,[2]Cultures!$B$4:$M$283,MATCH(AR$1,[2]Cultures!$B$3:$M$3,0),FALSE)</f>
        <v>0</v>
      </c>
      <c r="AS137" s="4">
        <f>VLOOKUP($N137,[2]Cultures!$B$4:$M$283,MATCH(AS$1,[2]Cultures!$B$3:$M$3,0),FALSE)</f>
        <v>0</v>
      </c>
      <c r="AT137" s="4"/>
      <c r="AU137" s="4">
        <f>IF(ISNUMBER(SEARCH(N137&amp;";",Calculations!$Q$19)),VLOOKUP(Skills!N137,Calculations!$Q$2:$T$16,4,FALSE),0)</f>
        <v>0</v>
      </c>
      <c r="AV137" s="4">
        <f>IF(ISNUMBER(SEARCH(N137&amp;";",Calculations!$Q$18)),1,0)</f>
        <v>0</v>
      </c>
      <c r="AW137" s="4">
        <f t="shared" si="71"/>
        <v>0</v>
      </c>
      <c r="AX137" s="4">
        <f>VLOOKUP($N137,$N137:$CH137,MATCH('Character Sheet'!$BJ$3,Skills!$N$1:$CH$1,0),FALSE)</f>
        <v>0</v>
      </c>
    </row>
    <row r="138" spans="2:50" x14ac:dyDescent="0.25">
      <c r="B138" s="4" t="e">
        <f t="shared" si="54"/>
        <v>#N/A</v>
      </c>
      <c r="E138" s="4"/>
      <c r="F138" s="4">
        <f t="shared" si="76"/>
        <v>0</v>
      </c>
      <c r="G138" s="4"/>
      <c r="H138" s="4" t="e">
        <f t="shared" si="82"/>
        <v>#N/A</v>
      </c>
      <c r="I138" s="4">
        <f t="shared" si="68"/>
        <v>1</v>
      </c>
      <c r="J138" s="4">
        <f t="shared" si="72"/>
        <v>0</v>
      </c>
      <c r="K138" s="4">
        <f t="shared" si="73"/>
        <v>0</v>
      </c>
      <c r="M138" t="str">
        <f t="shared" si="69"/>
        <v>Forgery</v>
      </c>
      <c r="N138" s="3" t="str">
        <f>'Character Sheet'!APZ22</f>
        <v>Forgery</v>
      </c>
      <c r="O138" s="4" t="s">
        <v>793</v>
      </c>
      <c r="P138" s="4" t="s">
        <v>794</v>
      </c>
      <c r="Q138" s="4">
        <f t="shared" si="57"/>
        <v>0</v>
      </c>
      <c r="R138" s="4">
        <f>IF(ISNUMBER(SEARCH("Category",N138)),"- -",IF(ISNUMBER(SEARCH("Skills",N138)),"- -",'Level-up'!C156))</f>
        <v>0</v>
      </c>
      <c r="S138" s="4">
        <f t="shared" si="74"/>
        <v>0</v>
      </c>
      <c r="T138" s="4">
        <f t="shared" si="75"/>
        <v>-25</v>
      </c>
      <c r="U138" s="4">
        <f t="shared" ca="1" si="77"/>
        <v>4</v>
      </c>
      <c r="V138" s="4">
        <f t="shared" si="70"/>
        <v>0</v>
      </c>
      <c r="W138" s="4">
        <f t="shared" si="58"/>
        <v>0</v>
      </c>
      <c r="X138" s="4">
        <f t="shared" si="55"/>
        <v>0</v>
      </c>
      <c r="Y138" s="4">
        <f t="shared" si="78"/>
        <v>0</v>
      </c>
      <c r="Z138" s="4">
        <f t="shared" si="79"/>
        <v>0</v>
      </c>
      <c r="AA138" s="4">
        <f t="shared" si="80"/>
        <v>0</v>
      </c>
      <c r="AB138" s="4">
        <f t="shared" si="81"/>
        <v>0</v>
      </c>
      <c r="AC138" s="8"/>
      <c r="AD138" s="4"/>
      <c r="AE138" s="4"/>
      <c r="AF138" s="4" t="str">
        <f t="shared" ca="1" si="83"/>
        <v>-21</v>
      </c>
      <c r="AG138" s="4"/>
      <c r="AH138" s="4">
        <f>IFERROR(VLOOKUP(M138,Calculations!$AC$2:$AD$251,2,FALSE),0)</f>
        <v>0</v>
      </c>
      <c r="AI138" s="4">
        <f>VLOOKUP(N138,$N$2:$AS$620,MATCH('Character Creation'!$Z$12,Skills!$N$1:$AS$1,0),FALSE)</f>
        <v>0</v>
      </c>
      <c r="AJ138" s="4">
        <f>VLOOKUP($N138,[2]Cultures!$B$4:$M$283,MATCH(AJ$1,[2]Cultures!$B$3:$M$3,0),FALSE)</f>
        <v>0</v>
      </c>
      <c r="AK138" s="4">
        <f>VLOOKUP($N138,[2]Cultures!$B$4:$M$283,MATCH(AK$1,[2]Cultures!$B$3:$M$3,0),FALSE)</f>
        <v>0</v>
      </c>
      <c r="AL138" s="4">
        <f>VLOOKUP($N138,[2]Cultures!$B$4:$M$283,MATCH(AL$1,[2]Cultures!$B$3:$M$3,0),FALSE)</f>
        <v>0</v>
      </c>
      <c r="AM138" s="4">
        <f>VLOOKUP($N138,[2]Cultures!$B$4:$M$283,MATCH(AM$1,[2]Cultures!$B$3:$M$3,0),FALSE)</f>
        <v>0</v>
      </c>
      <c r="AN138" s="4">
        <f>VLOOKUP($N138,[2]Cultures!$B$4:$M$283,MATCH(AN$1,[2]Cultures!$B$3:$M$3,0),FALSE)</f>
        <v>0</v>
      </c>
      <c r="AO138" s="4">
        <f>VLOOKUP($N138,[2]Cultures!$B$4:$M$283,MATCH(AO$1,[2]Cultures!$B$3:$M$3,0),FALSE)</f>
        <v>0</v>
      </c>
      <c r="AP138" s="4">
        <f>VLOOKUP($N138,[2]Cultures!$B$4:$M$283,MATCH(AP$1,[2]Cultures!$B$3:$M$3,0),FALSE)</f>
        <v>0</v>
      </c>
      <c r="AQ138" s="4">
        <f>VLOOKUP($N138,[2]Cultures!$B$4:$M$283,MATCH(AQ$1,[2]Cultures!$B$3:$M$3,0),FALSE)</f>
        <v>0</v>
      </c>
      <c r="AR138" s="4">
        <f>VLOOKUP($N138,[2]Cultures!$B$4:$M$283,MATCH(AR$1,[2]Cultures!$B$3:$M$3,0),FALSE)</f>
        <v>0</v>
      </c>
      <c r="AS138" s="4">
        <f>VLOOKUP($N138,[2]Cultures!$B$4:$M$283,MATCH(AS$1,[2]Cultures!$B$3:$M$3,0),FALSE)</f>
        <v>0</v>
      </c>
      <c r="AT138" s="4"/>
      <c r="AU138" s="4">
        <f>IF(ISNUMBER(SEARCH(N138&amp;";",Calculations!$Q$19)),VLOOKUP(Skills!N138,Calculations!$Q$2:$T$16,4,FALSE),0)</f>
        <v>0</v>
      </c>
      <c r="AV138" s="4">
        <f>IF(ISNUMBER(SEARCH(N138&amp;";",Calculations!$Q$18)),1,0)</f>
        <v>0</v>
      </c>
      <c r="AW138" s="4">
        <f t="shared" si="71"/>
        <v>0</v>
      </c>
      <c r="AX138" s="4">
        <f>VLOOKUP($N138,$N138:$CH138,MATCH('Character Sheet'!$BJ$3,Skills!$N$1:$CH$1,0),FALSE)</f>
        <v>0</v>
      </c>
    </row>
    <row r="139" spans="2:50" x14ac:dyDescent="0.25">
      <c r="B139" s="4" t="e">
        <f t="shared" si="54"/>
        <v>#N/A</v>
      </c>
      <c r="E139" s="4"/>
      <c r="F139" s="4">
        <f t="shared" si="76"/>
        <v>0</v>
      </c>
      <c r="G139" s="4"/>
      <c r="H139" s="4" t="e">
        <f t="shared" si="82"/>
        <v>#N/A</v>
      </c>
      <c r="I139" s="4">
        <f t="shared" si="68"/>
        <v>1</v>
      </c>
      <c r="J139" s="4">
        <f t="shared" si="72"/>
        <v>0</v>
      </c>
      <c r="K139" s="4">
        <f t="shared" si="73"/>
        <v>0</v>
      </c>
      <c r="M139" t="str">
        <f t="shared" si="69"/>
        <v>Foundry</v>
      </c>
      <c r="N139" s="3" t="str">
        <f>'Character Sheet'!APZ23</f>
        <v>Foundry</v>
      </c>
      <c r="O139" s="4" t="s">
        <v>793</v>
      </c>
      <c r="P139" s="4" t="s">
        <v>784</v>
      </c>
      <c r="Q139" s="4">
        <f t="shared" si="57"/>
        <v>0</v>
      </c>
      <c r="R139" s="4">
        <f>IF(ISNUMBER(SEARCH("Category",N139)),"- -",IF(ISNUMBER(SEARCH("Skills",N139)),"- -",'Level-up'!C157))</f>
        <v>0</v>
      </c>
      <c r="S139" s="4">
        <f t="shared" si="74"/>
        <v>0</v>
      </c>
      <c r="T139" s="4">
        <f t="shared" si="75"/>
        <v>-25</v>
      </c>
      <c r="U139" s="4">
        <f t="shared" ca="1" si="77"/>
        <v>0</v>
      </c>
      <c r="V139" s="4">
        <f t="shared" si="70"/>
        <v>0</v>
      </c>
      <c r="W139" s="4">
        <f t="shared" si="58"/>
        <v>0</v>
      </c>
      <c r="X139" s="4">
        <f t="shared" si="55"/>
        <v>0</v>
      </c>
      <c r="Y139" s="4">
        <f t="shared" si="78"/>
        <v>0</v>
      </c>
      <c r="Z139" s="4">
        <f t="shared" si="79"/>
        <v>0</v>
      </c>
      <c r="AA139" s="4">
        <f t="shared" si="80"/>
        <v>0</v>
      </c>
      <c r="AB139" s="4">
        <f t="shared" si="81"/>
        <v>0</v>
      </c>
      <c r="AC139" s="8"/>
      <c r="AD139" s="4"/>
      <c r="AE139" s="4"/>
      <c r="AF139" s="4" t="str">
        <f t="shared" ca="1" si="83"/>
        <v>-25</v>
      </c>
      <c r="AG139" s="4"/>
      <c r="AH139" s="4">
        <f>IFERROR(VLOOKUP(M139,Calculations!$AC$2:$AD$251,2,FALSE),0)</f>
        <v>0</v>
      </c>
      <c r="AI139" s="4">
        <f>VLOOKUP(N139,$N$2:$AS$620,MATCH('Character Creation'!$Z$12,Skills!$N$1:$AS$1,0),FALSE)</f>
        <v>0</v>
      </c>
      <c r="AJ139" s="4">
        <f>VLOOKUP($N139,[2]Cultures!$B$4:$M$283,MATCH(AJ$1,[2]Cultures!$B$3:$M$3,0),FALSE)</f>
        <v>0</v>
      </c>
      <c r="AK139" s="4">
        <f>VLOOKUP($N139,[2]Cultures!$B$4:$M$283,MATCH(AK$1,[2]Cultures!$B$3:$M$3,0),FALSE)</f>
        <v>0</v>
      </c>
      <c r="AL139" s="4">
        <f>VLOOKUP($N139,[2]Cultures!$B$4:$M$283,MATCH(AL$1,[2]Cultures!$B$3:$M$3,0),FALSE)</f>
        <v>0</v>
      </c>
      <c r="AM139" s="4">
        <f>VLOOKUP($N139,[2]Cultures!$B$4:$M$283,MATCH(AM$1,[2]Cultures!$B$3:$M$3,0),FALSE)</f>
        <v>0</v>
      </c>
      <c r="AN139" s="4">
        <f>VLOOKUP($N139,[2]Cultures!$B$4:$M$283,MATCH(AN$1,[2]Cultures!$B$3:$M$3,0),FALSE)</f>
        <v>0</v>
      </c>
      <c r="AO139" s="4">
        <f>VLOOKUP($N139,[2]Cultures!$B$4:$M$283,MATCH(AO$1,[2]Cultures!$B$3:$M$3,0),FALSE)</f>
        <v>0</v>
      </c>
      <c r="AP139" s="4">
        <f>VLOOKUP($N139,[2]Cultures!$B$4:$M$283,MATCH(AP$1,[2]Cultures!$B$3:$M$3,0),FALSE)</f>
        <v>0</v>
      </c>
      <c r="AQ139" s="4">
        <f>VLOOKUP($N139,[2]Cultures!$B$4:$M$283,MATCH(AQ$1,[2]Cultures!$B$3:$M$3,0),FALSE)</f>
        <v>0</v>
      </c>
      <c r="AR139" s="4">
        <f>VLOOKUP($N139,[2]Cultures!$B$4:$M$283,MATCH(AR$1,[2]Cultures!$B$3:$M$3,0),FALSE)</f>
        <v>0</v>
      </c>
      <c r="AS139" s="4">
        <f>VLOOKUP($N139,[2]Cultures!$B$4:$M$283,MATCH(AS$1,[2]Cultures!$B$3:$M$3,0),FALSE)</f>
        <v>0</v>
      </c>
      <c r="AT139" s="4"/>
      <c r="AU139" s="4">
        <f>IF(ISNUMBER(SEARCH(N139&amp;";",Calculations!$Q$19)),VLOOKUP(Skills!N139,Calculations!$Q$2:$T$16,4,FALSE),0)</f>
        <v>0</v>
      </c>
      <c r="AV139" s="4">
        <f>IF(ISNUMBER(SEARCH(N139&amp;";",Calculations!$Q$18)),1,0)</f>
        <v>0</v>
      </c>
      <c r="AW139" s="4">
        <f t="shared" si="71"/>
        <v>0</v>
      </c>
      <c r="AX139" s="4">
        <f>VLOOKUP($N139,$N139:$CH139,MATCH('Character Sheet'!$BJ$3,Skills!$N$1:$CH$1,0),FALSE)</f>
        <v>0</v>
      </c>
    </row>
    <row r="140" spans="2:50" x14ac:dyDescent="0.25">
      <c r="B140" s="4" t="e">
        <f t="shared" si="54"/>
        <v>#N/A</v>
      </c>
      <c r="E140" s="4"/>
      <c r="F140" s="4">
        <f t="shared" si="76"/>
        <v>0</v>
      </c>
      <c r="G140" s="4"/>
      <c r="H140" s="4" t="e">
        <f t="shared" si="82"/>
        <v>#N/A</v>
      </c>
      <c r="I140" s="4">
        <f t="shared" si="68"/>
        <v>1</v>
      </c>
      <c r="J140" s="4">
        <f t="shared" si="72"/>
        <v>0</v>
      </c>
      <c r="K140" s="4">
        <f t="shared" si="73"/>
        <v>0</v>
      </c>
      <c r="M140" t="str">
        <f t="shared" si="69"/>
        <v>Furrier</v>
      </c>
      <c r="N140" s="3" t="str">
        <f>'Character Sheet'!APZ24</f>
        <v>Furrier</v>
      </c>
      <c r="O140" s="4" t="s">
        <v>793</v>
      </c>
      <c r="P140" s="4" t="s">
        <v>784</v>
      </c>
      <c r="Q140" s="4">
        <f t="shared" si="57"/>
        <v>0</v>
      </c>
      <c r="R140" s="4">
        <f>IF(ISNUMBER(SEARCH("Category",N140)),"- -",IF(ISNUMBER(SEARCH("Skills",N140)),"- -",'Level-up'!C158))</f>
        <v>0</v>
      </c>
      <c r="S140" s="4">
        <f t="shared" si="74"/>
        <v>0</v>
      </c>
      <c r="T140" s="4">
        <f t="shared" si="75"/>
        <v>-25</v>
      </c>
      <c r="U140" s="4">
        <f t="shared" ca="1" si="77"/>
        <v>0</v>
      </c>
      <c r="V140" s="4">
        <f t="shared" si="70"/>
        <v>0</v>
      </c>
      <c r="W140" s="4">
        <f t="shared" si="58"/>
        <v>0</v>
      </c>
      <c r="X140" s="4">
        <f t="shared" si="55"/>
        <v>0</v>
      </c>
      <c r="Y140" s="4">
        <f t="shared" si="78"/>
        <v>0</v>
      </c>
      <c r="Z140" s="4">
        <f t="shared" si="79"/>
        <v>0</v>
      </c>
      <c r="AA140" s="4">
        <f t="shared" si="80"/>
        <v>0</v>
      </c>
      <c r="AB140" s="4">
        <f t="shared" si="81"/>
        <v>0</v>
      </c>
      <c r="AC140" s="8"/>
      <c r="AD140" s="4"/>
      <c r="AE140" s="4"/>
      <c r="AF140" s="4" t="str">
        <f t="shared" ca="1" si="83"/>
        <v>-25</v>
      </c>
      <c r="AG140" s="4"/>
      <c r="AH140" s="4">
        <f>IFERROR(VLOOKUP(M140,Calculations!$AC$2:$AD$251,2,FALSE),0)</f>
        <v>0</v>
      </c>
      <c r="AI140" s="4">
        <f>VLOOKUP(N140,$N$2:$AS$620,MATCH('Character Creation'!$Z$12,Skills!$N$1:$AS$1,0),FALSE)</f>
        <v>0</v>
      </c>
      <c r="AJ140" s="4">
        <f>VLOOKUP($N140,[2]Cultures!$B$4:$M$283,MATCH(AJ$1,[2]Cultures!$B$3:$M$3,0),FALSE)</f>
        <v>0</v>
      </c>
      <c r="AK140" s="4">
        <f>VLOOKUP($N140,[2]Cultures!$B$4:$M$283,MATCH(AK$1,[2]Cultures!$B$3:$M$3,0),FALSE)</f>
        <v>0</v>
      </c>
      <c r="AL140" s="4">
        <f>VLOOKUP($N140,[2]Cultures!$B$4:$M$283,MATCH(AL$1,[2]Cultures!$B$3:$M$3,0),FALSE)</f>
        <v>0</v>
      </c>
      <c r="AM140" s="4">
        <f>VLOOKUP($N140,[2]Cultures!$B$4:$M$283,MATCH(AM$1,[2]Cultures!$B$3:$M$3,0),FALSE)</f>
        <v>0</v>
      </c>
      <c r="AN140" s="4">
        <f>VLOOKUP($N140,[2]Cultures!$B$4:$M$283,MATCH(AN$1,[2]Cultures!$B$3:$M$3,0),FALSE)</f>
        <v>0</v>
      </c>
      <c r="AO140" s="4">
        <f>VLOOKUP($N140,[2]Cultures!$B$4:$M$283,MATCH(AO$1,[2]Cultures!$B$3:$M$3,0),FALSE)</f>
        <v>0</v>
      </c>
      <c r="AP140" s="4">
        <f>VLOOKUP($N140,[2]Cultures!$B$4:$M$283,MATCH(AP$1,[2]Cultures!$B$3:$M$3,0),FALSE)</f>
        <v>0</v>
      </c>
      <c r="AQ140" s="4">
        <f>VLOOKUP($N140,[2]Cultures!$B$4:$M$283,MATCH(AQ$1,[2]Cultures!$B$3:$M$3,0),FALSE)</f>
        <v>0</v>
      </c>
      <c r="AR140" s="4">
        <f>VLOOKUP($N140,[2]Cultures!$B$4:$M$283,MATCH(AR$1,[2]Cultures!$B$3:$M$3,0),FALSE)</f>
        <v>0</v>
      </c>
      <c r="AS140" s="4">
        <f>VLOOKUP($N140,[2]Cultures!$B$4:$M$283,MATCH(AS$1,[2]Cultures!$B$3:$M$3,0),FALSE)</f>
        <v>0</v>
      </c>
      <c r="AT140" s="4"/>
      <c r="AU140" s="4">
        <f>IF(ISNUMBER(SEARCH(N140&amp;";",Calculations!$Q$19)),VLOOKUP(Skills!N140,Calculations!$Q$2:$T$16,4,FALSE),0)</f>
        <v>0</v>
      </c>
      <c r="AV140" s="4">
        <f>IF(ISNUMBER(SEARCH(N140&amp;";",Calculations!$Q$18)),1,0)</f>
        <v>0</v>
      </c>
      <c r="AW140" s="4">
        <f t="shared" si="71"/>
        <v>0</v>
      </c>
      <c r="AX140" s="4">
        <f>VLOOKUP($N140,$N140:$CH140,MATCH('Character Sheet'!$BJ$3,Skills!$N$1:$CH$1,0),FALSE)</f>
        <v>0</v>
      </c>
    </row>
    <row r="141" spans="2:50" x14ac:dyDescent="0.25">
      <c r="B141" s="4" t="e">
        <f t="shared" si="54"/>
        <v>#N/A</v>
      </c>
      <c r="E141" s="4"/>
      <c r="F141" s="4">
        <f t="shared" si="76"/>
        <v>0</v>
      </c>
      <c r="G141" s="4"/>
      <c r="H141" s="4" t="e">
        <f t="shared" si="82"/>
        <v>#N/A</v>
      </c>
      <c r="I141" s="4">
        <f t="shared" si="68"/>
        <v>1</v>
      </c>
      <c r="J141" s="4">
        <f t="shared" si="72"/>
        <v>0</v>
      </c>
      <c r="K141" s="4">
        <f t="shared" si="73"/>
        <v>0</v>
      </c>
      <c r="M141" t="str">
        <f t="shared" si="69"/>
        <v>Glass-working</v>
      </c>
      <c r="N141" s="3" t="str">
        <f>'Character Sheet'!APZ25</f>
        <v>Glass-working</v>
      </c>
      <c r="O141" s="4" t="s">
        <v>793</v>
      </c>
      <c r="P141" s="4" t="s">
        <v>784</v>
      </c>
      <c r="Q141" s="4">
        <f t="shared" si="57"/>
        <v>0</v>
      </c>
      <c r="R141" s="4">
        <f>IF(ISNUMBER(SEARCH("Category",N141)),"- -",IF(ISNUMBER(SEARCH("Skills",N141)),"- -",'Level-up'!C159))</f>
        <v>0</v>
      </c>
      <c r="S141" s="4">
        <f t="shared" si="74"/>
        <v>0</v>
      </c>
      <c r="T141" s="4">
        <f t="shared" si="75"/>
        <v>-25</v>
      </c>
      <c r="U141" s="4">
        <f t="shared" ca="1" si="77"/>
        <v>0</v>
      </c>
      <c r="V141" s="4">
        <f t="shared" si="70"/>
        <v>0</v>
      </c>
      <c r="W141" s="4">
        <f t="shared" si="58"/>
        <v>0</v>
      </c>
      <c r="X141" s="4">
        <f t="shared" si="55"/>
        <v>0</v>
      </c>
      <c r="Y141" s="4">
        <f t="shared" si="78"/>
        <v>0</v>
      </c>
      <c r="Z141" s="4">
        <f t="shared" si="79"/>
        <v>0</v>
      </c>
      <c r="AA141" s="4">
        <f t="shared" si="80"/>
        <v>0</v>
      </c>
      <c r="AB141" s="4">
        <f t="shared" si="81"/>
        <v>0</v>
      </c>
      <c r="AC141" s="8"/>
      <c r="AD141" s="4"/>
      <c r="AE141" s="4"/>
      <c r="AF141" s="4" t="str">
        <f t="shared" ca="1" si="83"/>
        <v>-25</v>
      </c>
      <c r="AG141" s="4"/>
      <c r="AH141" s="4">
        <f>IFERROR(VLOOKUP(M141,Calculations!$AC$2:$AD$251,2,FALSE),0)</f>
        <v>0</v>
      </c>
      <c r="AI141" s="4">
        <f>VLOOKUP(N141,$N$2:$AS$620,MATCH('Character Creation'!$Z$12,Skills!$N$1:$AS$1,0),FALSE)</f>
        <v>0</v>
      </c>
      <c r="AJ141" s="4">
        <f>VLOOKUP($N141,[2]Cultures!$B$4:$M$283,MATCH(AJ$1,[2]Cultures!$B$3:$M$3,0),FALSE)</f>
        <v>0</v>
      </c>
      <c r="AK141" s="4">
        <f>VLOOKUP($N141,[2]Cultures!$B$4:$M$283,MATCH(AK$1,[2]Cultures!$B$3:$M$3,0),FALSE)</f>
        <v>0</v>
      </c>
      <c r="AL141" s="4">
        <f>VLOOKUP($N141,[2]Cultures!$B$4:$M$283,MATCH(AL$1,[2]Cultures!$B$3:$M$3,0),FALSE)</f>
        <v>0</v>
      </c>
      <c r="AM141" s="4">
        <f>VLOOKUP($N141,[2]Cultures!$B$4:$M$283,MATCH(AM$1,[2]Cultures!$B$3:$M$3,0),FALSE)</f>
        <v>0</v>
      </c>
      <c r="AN141" s="4">
        <f>VLOOKUP($N141,[2]Cultures!$B$4:$M$283,MATCH(AN$1,[2]Cultures!$B$3:$M$3,0),FALSE)</f>
        <v>0</v>
      </c>
      <c r="AO141" s="4">
        <f>VLOOKUP($N141,[2]Cultures!$B$4:$M$283,MATCH(AO$1,[2]Cultures!$B$3:$M$3,0),FALSE)</f>
        <v>0</v>
      </c>
      <c r="AP141" s="4">
        <f>VLOOKUP($N141,[2]Cultures!$B$4:$M$283,MATCH(AP$1,[2]Cultures!$B$3:$M$3,0),FALSE)</f>
        <v>0</v>
      </c>
      <c r="AQ141" s="4">
        <f>VLOOKUP($N141,[2]Cultures!$B$4:$M$283,MATCH(AQ$1,[2]Cultures!$B$3:$M$3,0),FALSE)</f>
        <v>0</v>
      </c>
      <c r="AR141" s="4">
        <f>VLOOKUP($N141,[2]Cultures!$B$4:$M$283,MATCH(AR$1,[2]Cultures!$B$3:$M$3,0),FALSE)</f>
        <v>0</v>
      </c>
      <c r="AS141" s="4">
        <f>VLOOKUP($N141,[2]Cultures!$B$4:$M$283,MATCH(AS$1,[2]Cultures!$B$3:$M$3,0),FALSE)</f>
        <v>0</v>
      </c>
      <c r="AT141" s="4"/>
      <c r="AU141" s="4">
        <f>IF(ISNUMBER(SEARCH(N141&amp;";",Calculations!$Q$19)),VLOOKUP(Skills!N141,Calculations!$Q$2:$T$16,4,FALSE),0)</f>
        <v>0</v>
      </c>
      <c r="AV141" s="4">
        <f>IF(ISNUMBER(SEARCH(N141&amp;";",Calculations!$Q$18)),1,0)</f>
        <v>0</v>
      </c>
      <c r="AW141" s="4">
        <f t="shared" si="71"/>
        <v>0</v>
      </c>
      <c r="AX141" s="4">
        <f>VLOOKUP($N141,$N141:$CH141,MATCH('Character Sheet'!$BJ$3,Skills!$N$1:$CH$1,0),FALSE)</f>
        <v>0</v>
      </c>
    </row>
    <row r="142" spans="2:50" x14ac:dyDescent="0.25">
      <c r="B142" s="4" t="e">
        <f t="shared" si="54"/>
        <v>#N/A</v>
      </c>
      <c r="E142" s="4"/>
      <c r="F142" s="4">
        <f t="shared" si="76"/>
        <v>0</v>
      </c>
      <c r="G142" s="4"/>
      <c r="H142" s="4" t="e">
        <f t="shared" si="82"/>
        <v>#N/A</v>
      </c>
      <c r="I142" s="4">
        <f t="shared" si="68"/>
        <v>1</v>
      </c>
      <c r="J142" s="4">
        <f t="shared" si="72"/>
        <v>0</v>
      </c>
      <c r="K142" s="4">
        <f t="shared" si="73"/>
        <v>0</v>
      </c>
      <c r="M142" t="str">
        <f t="shared" si="69"/>
        <v>Gold Smith</v>
      </c>
      <c r="N142" s="3" t="str">
        <f>'Character Sheet'!APZ26</f>
        <v>Gold Smith</v>
      </c>
      <c r="O142" s="4" t="s">
        <v>793</v>
      </c>
      <c r="P142" s="4" t="s">
        <v>784</v>
      </c>
      <c r="Q142" s="4">
        <f t="shared" si="57"/>
        <v>0</v>
      </c>
      <c r="R142" s="4">
        <f>IF(ISNUMBER(SEARCH("Category",N142)),"- -",IF(ISNUMBER(SEARCH("Skills",N142)),"- -",'Level-up'!C160))</f>
        <v>0</v>
      </c>
      <c r="S142" s="4">
        <f t="shared" si="74"/>
        <v>0</v>
      </c>
      <c r="T142" s="4">
        <f t="shared" si="75"/>
        <v>-25</v>
      </c>
      <c r="U142" s="4">
        <f t="shared" ca="1" si="77"/>
        <v>0</v>
      </c>
      <c r="V142" s="4">
        <f t="shared" si="70"/>
        <v>0</v>
      </c>
      <c r="W142" s="4">
        <f t="shared" si="58"/>
        <v>0</v>
      </c>
      <c r="X142" s="4">
        <f t="shared" si="55"/>
        <v>0</v>
      </c>
      <c r="Y142" s="4">
        <f t="shared" si="78"/>
        <v>0</v>
      </c>
      <c r="Z142" s="4">
        <f t="shared" si="79"/>
        <v>0</v>
      </c>
      <c r="AA142" s="4">
        <f t="shared" si="80"/>
        <v>0</v>
      </c>
      <c r="AB142" s="4">
        <f t="shared" si="81"/>
        <v>0</v>
      </c>
      <c r="AC142" s="8"/>
      <c r="AD142" s="4"/>
      <c r="AE142" s="4"/>
      <c r="AF142" s="4" t="str">
        <f t="shared" ca="1" si="83"/>
        <v>-25</v>
      </c>
      <c r="AG142" s="4"/>
      <c r="AH142" s="4">
        <f>IFERROR(VLOOKUP(M142,Calculations!$AC$2:$AD$251,2,FALSE),0)</f>
        <v>0</v>
      </c>
      <c r="AI142" s="4">
        <f>VLOOKUP(N142,$N$2:$AS$620,MATCH('Character Creation'!$Z$12,Skills!$N$1:$AS$1,0),FALSE)</f>
        <v>0</v>
      </c>
      <c r="AJ142" s="4">
        <f>VLOOKUP($N142,[2]Cultures!$B$4:$M$283,MATCH(AJ$1,[2]Cultures!$B$3:$M$3,0),FALSE)</f>
        <v>0</v>
      </c>
      <c r="AK142" s="4">
        <f>VLOOKUP($N142,[2]Cultures!$B$4:$M$283,MATCH(AK$1,[2]Cultures!$B$3:$M$3,0),FALSE)</f>
        <v>0</v>
      </c>
      <c r="AL142" s="4">
        <f>VLOOKUP($N142,[2]Cultures!$B$4:$M$283,MATCH(AL$1,[2]Cultures!$B$3:$M$3,0),FALSE)</f>
        <v>0</v>
      </c>
      <c r="AM142" s="4">
        <f>VLOOKUP($N142,[2]Cultures!$B$4:$M$283,MATCH(AM$1,[2]Cultures!$B$3:$M$3,0),FALSE)</f>
        <v>0</v>
      </c>
      <c r="AN142" s="4">
        <f>VLOOKUP($N142,[2]Cultures!$B$4:$M$283,MATCH(AN$1,[2]Cultures!$B$3:$M$3,0),FALSE)</f>
        <v>0</v>
      </c>
      <c r="AO142" s="4">
        <f>VLOOKUP($N142,[2]Cultures!$B$4:$M$283,MATCH(AO$1,[2]Cultures!$B$3:$M$3,0),FALSE)</f>
        <v>0</v>
      </c>
      <c r="AP142" s="4">
        <f>VLOOKUP($N142,[2]Cultures!$B$4:$M$283,MATCH(AP$1,[2]Cultures!$B$3:$M$3,0),FALSE)</f>
        <v>0</v>
      </c>
      <c r="AQ142" s="4">
        <f>VLOOKUP($N142,[2]Cultures!$B$4:$M$283,MATCH(AQ$1,[2]Cultures!$B$3:$M$3,0),FALSE)</f>
        <v>0</v>
      </c>
      <c r="AR142" s="4">
        <f>VLOOKUP($N142,[2]Cultures!$B$4:$M$283,MATCH(AR$1,[2]Cultures!$B$3:$M$3,0),FALSE)</f>
        <v>0</v>
      </c>
      <c r="AS142" s="4">
        <f>VLOOKUP($N142,[2]Cultures!$B$4:$M$283,MATCH(AS$1,[2]Cultures!$B$3:$M$3,0),FALSE)</f>
        <v>0</v>
      </c>
      <c r="AT142" s="4"/>
      <c r="AU142" s="4">
        <f>IF(ISNUMBER(SEARCH(N142&amp;";",Calculations!$Q$19)),VLOOKUP(Skills!N142,Calculations!$Q$2:$T$16,4,FALSE),0)</f>
        <v>0</v>
      </c>
      <c r="AV142" s="4">
        <f>IF(ISNUMBER(SEARCH(N142&amp;";",Calculations!$Q$18)),1,0)</f>
        <v>0</v>
      </c>
      <c r="AW142" s="4">
        <f t="shared" si="71"/>
        <v>0</v>
      </c>
      <c r="AX142" s="4">
        <f>VLOOKUP($N142,$N142:$CH142,MATCH('Character Sheet'!$BJ$3,Skills!$N$1:$CH$1,0),FALSE)</f>
        <v>0</v>
      </c>
    </row>
    <row r="143" spans="2:50" x14ac:dyDescent="0.25">
      <c r="B143" s="4" t="e">
        <f t="shared" si="54"/>
        <v>#N/A</v>
      </c>
      <c r="E143" s="4"/>
      <c r="F143" s="4">
        <f t="shared" si="76"/>
        <v>0</v>
      </c>
      <c r="G143" s="4"/>
      <c r="H143" s="4" t="e">
        <f t="shared" si="82"/>
        <v>#N/A</v>
      </c>
      <c r="I143" s="4">
        <f t="shared" si="68"/>
        <v>1</v>
      </c>
      <c r="J143" s="4">
        <f t="shared" si="72"/>
        <v>0</v>
      </c>
      <c r="K143" s="4">
        <f t="shared" si="73"/>
        <v>0</v>
      </c>
      <c r="M143" t="str">
        <f t="shared" si="69"/>
        <v>Leather Craft</v>
      </c>
      <c r="N143" s="3" t="str">
        <f>'Character Sheet'!APZ27</f>
        <v>Leather Craft</v>
      </c>
      <c r="O143" s="4" t="s">
        <v>793</v>
      </c>
      <c r="P143" s="4" t="s">
        <v>784</v>
      </c>
      <c r="Q143" s="4">
        <f t="shared" si="57"/>
        <v>0</v>
      </c>
      <c r="R143" s="4">
        <f>IF(ISNUMBER(SEARCH("Category",N143)),"- -",IF(ISNUMBER(SEARCH("Skills",N143)),"- -",'Level-up'!C161))</f>
        <v>0</v>
      </c>
      <c r="S143" s="4">
        <f t="shared" si="74"/>
        <v>0</v>
      </c>
      <c r="T143" s="4">
        <f t="shared" si="75"/>
        <v>-25</v>
      </c>
      <c r="U143" s="4">
        <f t="shared" ca="1" si="77"/>
        <v>0</v>
      </c>
      <c r="V143" s="4">
        <f t="shared" si="70"/>
        <v>0</v>
      </c>
      <c r="W143" s="4">
        <f t="shared" si="58"/>
        <v>0</v>
      </c>
      <c r="X143" s="4">
        <f t="shared" si="55"/>
        <v>0</v>
      </c>
      <c r="Y143" s="4">
        <f t="shared" si="78"/>
        <v>0</v>
      </c>
      <c r="Z143" s="4">
        <f t="shared" si="79"/>
        <v>0</v>
      </c>
      <c r="AA143" s="4">
        <f t="shared" si="80"/>
        <v>0</v>
      </c>
      <c r="AB143" s="4">
        <f t="shared" si="81"/>
        <v>0</v>
      </c>
      <c r="AC143" s="8"/>
      <c r="AD143" s="4"/>
      <c r="AE143" s="4"/>
      <c r="AF143" s="4" t="str">
        <f t="shared" ca="1" si="83"/>
        <v>-25</v>
      </c>
      <c r="AG143" s="4"/>
      <c r="AH143" s="4">
        <f>IFERROR(VLOOKUP(M143,Calculations!$AC$2:$AD$251,2,FALSE),0)</f>
        <v>0</v>
      </c>
      <c r="AI143" s="4">
        <f>VLOOKUP(N143,$N$2:$AS$620,MATCH('Character Creation'!$Z$12,Skills!$N$1:$AS$1,0),FALSE)</f>
        <v>0</v>
      </c>
      <c r="AJ143" s="4">
        <f>VLOOKUP($N143,[2]Cultures!$B$4:$M$283,MATCH(AJ$1,[2]Cultures!$B$3:$M$3,0),FALSE)</f>
        <v>0</v>
      </c>
      <c r="AK143" s="4">
        <f>VLOOKUP($N143,[2]Cultures!$B$4:$M$283,MATCH(AK$1,[2]Cultures!$B$3:$M$3,0),FALSE)</f>
        <v>0</v>
      </c>
      <c r="AL143" s="4">
        <f>VLOOKUP($N143,[2]Cultures!$B$4:$M$283,MATCH(AL$1,[2]Cultures!$B$3:$M$3,0),FALSE)</f>
        <v>0</v>
      </c>
      <c r="AM143" s="4">
        <f>VLOOKUP($N143,[2]Cultures!$B$4:$M$283,MATCH(AM$1,[2]Cultures!$B$3:$M$3,0),FALSE)</f>
        <v>0</v>
      </c>
      <c r="AN143" s="4">
        <f>VLOOKUP($N143,[2]Cultures!$B$4:$M$283,MATCH(AN$1,[2]Cultures!$B$3:$M$3,0),FALSE)</f>
        <v>0</v>
      </c>
      <c r="AO143" s="4">
        <f>VLOOKUP($N143,[2]Cultures!$B$4:$M$283,MATCH(AO$1,[2]Cultures!$B$3:$M$3,0),FALSE)</f>
        <v>0</v>
      </c>
      <c r="AP143" s="4">
        <f>VLOOKUP($N143,[2]Cultures!$B$4:$M$283,MATCH(AP$1,[2]Cultures!$B$3:$M$3,0),FALSE)</f>
        <v>0</v>
      </c>
      <c r="AQ143" s="4">
        <f>VLOOKUP($N143,[2]Cultures!$B$4:$M$283,MATCH(AQ$1,[2]Cultures!$B$3:$M$3,0),FALSE)</f>
        <v>0</v>
      </c>
      <c r="AR143" s="4">
        <f>VLOOKUP($N143,[2]Cultures!$B$4:$M$283,MATCH(AR$1,[2]Cultures!$B$3:$M$3,0),FALSE)</f>
        <v>0</v>
      </c>
      <c r="AS143" s="4">
        <f>VLOOKUP($N143,[2]Cultures!$B$4:$M$283,MATCH(AS$1,[2]Cultures!$B$3:$M$3,0),FALSE)</f>
        <v>0</v>
      </c>
      <c r="AT143" s="4"/>
      <c r="AU143" s="4">
        <f>IF(ISNUMBER(SEARCH(N143&amp;";",Calculations!$Q$19)),VLOOKUP(Skills!N143,Calculations!$Q$2:$T$16,4,FALSE),0)</f>
        <v>0</v>
      </c>
      <c r="AV143" s="4">
        <f>IF(ISNUMBER(SEARCH(N143&amp;";",Calculations!$Q$18)),1,0)</f>
        <v>0</v>
      </c>
      <c r="AW143" s="4">
        <f t="shared" si="71"/>
        <v>0</v>
      </c>
      <c r="AX143" s="4">
        <f>VLOOKUP($N143,$N143:$CH143,MATCH('Character Sheet'!$BJ$3,Skills!$N$1:$CH$1,0),FALSE)</f>
        <v>0</v>
      </c>
    </row>
    <row r="144" spans="2:50" x14ac:dyDescent="0.25">
      <c r="B144" s="4" t="e">
        <f t="shared" si="54"/>
        <v>#N/A</v>
      </c>
      <c r="E144" s="4"/>
      <c r="F144" s="4">
        <f t="shared" si="76"/>
        <v>0</v>
      </c>
      <c r="G144" s="4"/>
      <c r="H144" s="4" t="e">
        <f t="shared" si="82"/>
        <v>#N/A</v>
      </c>
      <c r="I144" s="4">
        <f t="shared" si="68"/>
        <v>1</v>
      </c>
      <c r="J144" s="4">
        <f t="shared" si="72"/>
        <v>0</v>
      </c>
      <c r="K144" s="4">
        <f t="shared" si="73"/>
        <v>0</v>
      </c>
      <c r="M144" t="str">
        <f t="shared" si="69"/>
        <v>Metal Craft</v>
      </c>
      <c r="N144" s="3" t="str">
        <f>'Character Sheet'!APZ28</f>
        <v>Metal Craft</v>
      </c>
      <c r="O144" s="4" t="s">
        <v>793</v>
      </c>
      <c r="P144" s="4" t="s">
        <v>788</v>
      </c>
      <c r="Q144" s="4">
        <f t="shared" si="57"/>
        <v>0</v>
      </c>
      <c r="R144" s="4">
        <f>IF(ISNUMBER(SEARCH("Category",N144)),"- -",IF(ISNUMBER(SEARCH("Skills",N144)),"- -",'Level-up'!C162))</f>
        <v>0</v>
      </c>
      <c r="S144" s="4">
        <f t="shared" si="74"/>
        <v>0</v>
      </c>
      <c r="T144" s="4">
        <f t="shared" si="75"/>
        <v>-25</v>
      </c>
      <c r="U144" s="4">
        <f t="shared" ca="1" si="77"/>
        <v>5</v>
      </c>
      <c r="V144" s="4">
        <f t="shared" si="70"/>
        <v>0</v>
      </c>
      <c r="W144" s="4">
        <f t="shared" si="58"/>
        <v>0</v>
      </c>
      <c r="X144" s="4">
        <f t="shared" si="55"/>
        <v>0</v>
      </c>
      <c r="Y144" s="4">
        <f t="shared" si="78"/>
        <v>0</v>
      </c>
      <c r="Z144" s="4">
        <f t="shared" si="79"/>
        <v>0</v>
      </c>
      <c r="AA144" s="4">
        <f t="shared" si="80"/>
        <v>0</v>
      </c>
      <c r="AB144" s="4">
        <f t="shared" si="81"/>
        <v>0</v>
      </c>
      <c r="AC144" s="8"/>
      <c r="AD144" s="4"/>
      <c r="AE144" s="4"/>
      <c r="AF144" s="4" t="str">
        <f t="shared" ca="1" si="83"/>
        <v>-20</v>
      </c>
      <c r="AG144" s="4"/>
      <c r="AH144" s="4">
        <f>IFERROR(VLOOKUP(M144,Calculations!$AC$2:$AD$251,2,FALSE),0)</f>
        <v>0</v>
      </c>
      <c r="AI144" s="4">
        <f>VLOOKUP(N144,$N$2:$AS$620,MATCH('Character Creation'!$Z$12,Skills!$N$1:$AS$1,0),FALSE)</f>
        <v>0</v>
      </c>
      <c r="AJ144" s="4">
        <f>VLOOKUP($N144,[2]Cultures!$B$4:$M$283,MATCH(AJ$1,[2]Cultures!$B$3:$M$3,0),FALSE)</f>
        <v>0</v>
      </c>
      <c r="AK144" s="4">
        <f>VLOOKUP($N144,[2]Cultures!$B$4:$M$283,MATCH(AK$1,[2]Cultures!$B$3:$M$3,0),FALSE)</f>
        <v>0</v>
      </c>
      <c r="AL144" s="4">
        <f>VLOOKUP($N144,[2]Cultures!$B$4:$M$283,MATCH(AL$1,[2]Cultures!$B$3:$M$3,0),FALSE)</f>
        <v>0</v>
      </c>
      <c r="AM144" s="4">
        <f>VLOOKUP($N144,[2]Cultures!$B$4:$M$283,MATCH(AM$1,[2]Cultures!$B$3:$M$3,0),FALSE)</f>
        <v>0</v>
      </c>
      <c r="AN144" s="4">
        <f>VLOOKUP($N144,[2]Cultures!$B$4:$M$283,MATCH(AN$1,[2]Cultures!$B$3:$M$3,0),FALSE)</f>
        <v>0</v>
      </c>
      <c r="AO144" s="4">
        <f>VLOOKUP($N144,[2]Cultures!$B$4:$M$283,MATCH(AO$1,[2]Cultures!$B$3:$M$3,0),FALSE)</f>
        <v>0</v>
      </c>
      <c r="AP144" s="4">
        <f>VLOOKUP($N144,[2]Cultures!$B$4:$M$283,MATCH(AP$1,[2]Cultures!$B$3:$M$3,0),FALSE)</f>
        <v>0</v>
      </c>
      <c r="AQ144" s="4">
        <f>VLOOKUP($N144,[2]Cultures!$B$4:$M$283,MATCH(AQ$1,[2]Cultures!$B$3:$M$3,0),FALSE)</f>
        <v>0</v>
      </c>
      <c r="AR144" s="4">
        <f>VLOOKUP($N144,[2]Cultures!$B$4:$M$283,MATCH(AR$1,[2]Cultures!$B$3:$M$3,0),FALSE)</f>
        <v>0</v>
      </c>
      <c r="AS144" s="4">
        <f>VLOOKUP($N144,[2]Cultures!$B$4:$M$283,MATCH(AS$1,[2]Cultures!$B$3:$M$3,0),FALSE)</f>
        <v>0</v>
      </c>
      <c r="AT144" s="4"/>
      <c r="AU144" s="4">
        <f>IF(ISNUMBER(SEARCH(N144&amp;";",Calculations!$Q$19)),VLOOKUP(Skills!N144,Calculations!$Q$2:$T$16,4,FALSE),0)</f>
        <v>0</v>
      </c>
      <c r="AV144" s="4">
        <f>IF(ISNUMBER(SEARCH(N144&amp;";",Calculations!$Q$18)),1,0)</f>
        <v>0</v>
      </c>
      <c r="AW144" s="4">
        <f t="shared" si="71"/>
        <v>0</v>
      </c>
      <c r="AX144" s="4">
        <f>VLOOKUP($N144,$N144:$CH144,MATCH('Character Sheet'!$BJ$3,Skills!$N$1:$CH$1,0),FALSE)</f>
        <v>0</v>
      </c>
    </row>
    <row r="145" spans="2:50" x14ac:dyDescent="0.25">
      <c r="B145" s="4" t="e">
        <f t="shared" si="54"/>
        <v>#N/A</v>
      </c>
      <c r="E145" s="4"/>
      <c r="F145" s="4">
        <f t="shared" si="76"/>
        <v>0</v>
      </c>
      <c r="G145" s="4"/>
      <c r="H145" s="4" t="e">
        <f t="shared" si="82"/>
        <v>#N/A</v>
      </c>
      <c r="I145" s="4">
        <f t="shared" si="68"/>
        <v>1</v>
      </c>
      <c r="J145" s="4">
        <f t="shared" si="72"/>
        <v>0</v>
      </c>
      <c r="K145" s="4">
        <f t="shared" si="73"/>
        <v>0</v>
      </c>
      <c r="M145" t="str">
        <f t="shared" si="69"/>
        <v>Miller</v>
      </c>
      <c r="N145" s="3" t="str">
        <f>'Character Sheet'!APZ29</f>
        <v>Miller</v>
      </c>
      <c r="O145" s="4" t="s">
        <v>793</v>
      </c>
      <c r="P145" s="4" t="s">
        <v>784</v>
      </c>
      <c r="Q145" s="4">
        <f t="shared" si="57"/>
        <v>0</v>
      </c>
      <c r="R145" s="4">
        <f>IF(ISNUMBER(SEARCH("Category",N145)),"- -",IF(ISNUMBER(SEARCH("Skills",N145)),"- -",'Level-up'!C163))</f>
        <v>0</v>
      </c>
      <c r="S145" s="4">
        <f t="shared" si="74"/>
        <v>0</v>
      </c>
      <c r="T145" s="4">
        <f t="shared" si="75"/>
        <v>-25</v>
      </c>
      <c r="U145" s="4">
        <f t="shared" ca="1" si="77"/>
        <v>0</v>
      </c>
      <c r="V145" s="4">
        <f t="shared" si="70"/>
        <v>0</v>
      </c>
      <c r="W145" s="4">
        <f t="shared" si="58"/>
        <v>0</v>
      </c>
      <c r="X145" s="4">
        <f t="shared" si="55"/>
        <v>0</v>
      </c>
      <c r="Y145" s="4">
        <f t="shared" si="78"/>
        <v>0</v>
      </c>
      <c r="Z145" s="4">
        <f t="shared" si="79"/>
        <v>0</v>
      </c>
      <c r="AA145" s="4">
        <f t="shared" si="80"/>
        <v>0</v>
      </c>
      <c r="AB145" s="4">
        <f t="shared" si="81"/>
        <v>0</v>
      </c>
      <c r="AC145" s="8"/>
      <c r="AD145" s="4"/>
      <c r="AE145" s="4"/>
      <c r="AF145" s="4" t="str">
        <f t="shared" ca="1" si="83"/>
        <v>-25</v>
      </c>
      <c r="AG145" s="4"/>
      <c r="AH145" s="4">
        <f>IFERROR(VLOOKUP(M145,Calculations!$AC$2:$AD$251,2,FALSE),0)</f>
        <v>0</v>
      </c>
      <c r="AI145" s="4">
        <f>VLOOKUP(N145,$N$2:$AS$620,MATCH('Character Creation'!$Z$12,Skills!$N$1:$AS$1,0),FALSE)</f>
        <v>0</v>
      </c>
      <c r="AJ145" s="4">
        <f>VLOOKUP($N145,[2]Cultures!$B$4:$M$283,MATCH(AJ$1,[2]Cultures!$B$3:$M$3,0),FALSE)</f>
        <v>0</v>
      </c>
      <c r="AK145" s="4">
        <f>VLOOKUP($N145,[2]Cultures!$B$4:$M$283,MATCH(AK$1,[2]Cultures!$B$3:$M$3,0),FALSE)</f>
        <v>0</v>
      </c>
      <c r="AL145" s="4">
        <f>VLOOKUP($N145,[2]Cultures!$B$4:$M$283,MATCH(AL$1,[2]Cultures!$B$3:$M$3,0),FALSE)</f>
        <v>0</v>
      </c>
      <c r="AM145" s="4">
        <f>VLOOKUP($N145,[2]Cultures!$B$4:$M$283,MATCH(AM$1,[2]Cultures!$B$3:$M$3,0),FALSE)</f>
        <v>0</v>
      </c>
      <c r="AN145" s="4">
        <f>VLOOKUP($N145,[2]Cultures!$B$4:$M$283,MATCH(AN$1,[2]Cultures!$B$3:$M$3,0),FALSE)</f>
        <v>0</v>
      </c>
      <c r="AO145" s="4">
        <f>VLOOKUP($N145,[2]Cultures!$B$4:$M$283,MATCH(AO$1,[2]Cultures!$B$3:$M$3,0),FALSE)</f>
        <v>0</v>
      </c>
      <c r="AP145" s="4">
        <f>VLOOKUP($N145,[2]Cultures!$B$4:$M$283,MATCH(AP$1,[2]Cultures!$B$3:$M$3,0),FALSE)</f>
        <v>0</v>
      </c>
      <c r="AQ145" s="4">
        <f>VLOOKUP($N145,[2]Cultures!$B$4:$M$283,MATCH(AQ$1,[2]Cultures!$B$3:$M$3,0),FALSE)</f>
        <v>0</v>
      </c>
      <c r="AR145" s="4">
        <f>VLOOKUP($N145,[2]Cultures!$B$4:$M$283,MATCH(AR$1,[2]Cultures!$B$3:$M$3,0),FALSE)</f>
        <v>0</v>
      </c>
      <c r="AS145" s="4">
        <f>VLOOKUP($N145,[2]Cultures!$B$4:$M$283,MATCH(AS$1,[2]Cultures!$B$3:$M$3,0),FALSE)</f>
        <v>0</v>
      </c>
      <c r="AT145" s="4"/>
      <c r="AU145" s="4">
        <f>IF(ISNUMBER(SEARCH(N145&amp;";",Calculations!$Q$19)),VLOOKUP(Skills!N145,Calculations!$Q$2:$T$16,4,FALSE),0)</f>
        <v>0</v>
      </c>
      <c r="AV145" s="4">
        <f>IF(ISNUMBER(SEARCH(N145&amp;";",Calculations!$Q$18)),1,0)</f>
        <v>0</v>
      </c>
      <c r="AW145" s="4">
        <f t="shared" si="71"/>
        <v>0</v>
      </c>
      <c r="AX145" s="4">
        <f>VLOOKUP($N145,$N145:$CH145,MATCH('Character Sheet'!$BJ$3,Skills!$N$1:$CH$1,0),FALSE)</f>
        <v>0</v>
      </c>
    </row>
    <row r="146" spans="2:50" x14ac:dyDescent="0.25">
      <c r="B146" s="4" t="e">
        <f t="shared" si="54"/>
        <v>#N/A</v>
      </c>
      <c r="E146" s="4"/>
      <c r="F146" s="4">
        <f t="shared" si="76"/>
        <v>0</v>
      </c>
      <c r="G146" s="4"/>
      <c r="H146" s="4" t="e">
        <f t="shared" si="82"/>
        <v>#N/A</v>
      </c>
      <c r="I146" s="4">
        <f t="shared" si="68"/>
        <v>1</v>
      </c>
      <c r="J146" s="4">
        <f t="shared" si="72"/>
        <v>0</v>
      </c>
      <c r="K146" s="4">
        <f t="shared" si="73"/>
        <v>0</v>
      </c>
      <c r="M146" t="str">
        <f t="shared" si="69"/>
        <v>Net Making</v>
      </c>
      <c r="N146" s="3" t="str">
        <f>'Character Sheet'!APZ30</f>
        <v>Net Making</v>
      </c>
      <c r="O146" s="4" t="s">
        <v>793</v>
      </c>
      <c r="P146" s="4" t="s">
        <v>784</v>
      </c>
      <c r="Q146" s="4">
        <f t="shared" si="57"/>
        <v>0</v>
      </c>
      <c r="R146" s="4">
        <f>IF(ISNUMBER(SEARCH("Category",N146)),"- -",IF(ISNUMBER(SEARCH("Skills",N146)),"- -",'Level-up'!C164))</f>
        <v>0</v>
      </c>
      <c r="S146" s="4">
        <f t="shared" si="74"/>
        <v>0</v>
      </c>
      <c r="T146" s="4">
        <f t="shared" si="75"/>
        <v>-25</v>
      </c>
      <c r="U146" s="4">
        <f t="shared" ca="1" si="77"/>
        <v>0</v>
      </c>
      <c r="V146" s="4">
        <f t="shared" si="70"/>
        <v>0</v>
      </c>
      <c r="W146" s="4">
        <f t="shared" si="58"/>
        <v>0</v>
      </c>
      <c r="X146" s="4">
        <f t="shared" si="55"/>
        <v>0</v>
      </c>
      <c r="Y146" s="4">
        <f t="shared" si="78"/>
        <v>0</v>
      </c>
      <c r="Z146" s="4">
        <f t="shared" si="79"/>
        <v>0</v>
      </c>
      <c r="AA146" s="4">
        <f t="shared" si="80"/>
        <v>0</v>
      </c>
      <c r="AB146" s="4">
        <f t="shared" si="81"/>
        <v>0</v>
      </c>
      <c r="AC146" s="8"/>
      <c r="AD146" s="4"/>
      <c r="AE146" s="4"/>
      <c r="AF146" s="4" t="str">
        <f t="shared" ca="1" si="83"/>
        <v>-25</v>
      </c>
      <c r="AG146" s="4"/>
      <c r="AH146" s="4">
        <f>IFERROR(VLOOKUP(M146,Calculations!$AC$2:$AD$251,2,FALSE),0)</f>
        <v>0</v>
      </c>
      <c r="AI146" s="4">
        <f>VLOOKUP(N146,$N$2:$AS$620,MATCH('Character Creation'!$Z$12,Skills!$N$1:$AS$1,0),FALSE)</f>
        <v>0</v>
      </c>
      <c r="AJ146" s="4">
        <f>VLOOKUP($N146,[2]Cultures!$B$4:$M$283,MATCH(AJ$1,[2]Cultures!$B$3:$M$3,0),FALSE)</f>
        <v>0</v>
      </c>
      <c r="AK146" s="4">
        <f>VLOOKUP($N146,[2]Cultures!$B$4:$M$283,MATCH(AK$1,[2]Cultures!$B$3:$M$3,0),FALSE)</f>
        <v>0</v>
      </c>
      <c r="AL146" s="4">
        <f>VLOOKUP($N146,[2]Cultures!$B$4:$M$283,MATCH(AL$1,[2]Cultures!$B$3:$M$3,0),FALSE)</f>
        <v>0</v>
      </c>
      <c r="AM146" s="4">
        <f>VLOOKUP($N146,[2]Cultures!$B$4:$M$283,MATCH(AM$1,[2]Cultures!$B$3:$M$3,0),FALSE)</f>
        <v>0</v>
      </c>
      <c r="AN146" s="4">
        <f>VLOOKUP($N146,[2]Cultures!$B$4:$M$283,MATCH(AN$1,[2]Cultures!$B$3:$M$3,0),FALSE)</f>
        <v>0</v>
      </c>
      <c r="AO146" s="4">
        <f>VLOOKUP($N146,[2]Cultures!$B$4:$M$283,MATCH(AO$1,[2]Cultures!$B$3:$M$3,0),FALSE)</f>
        <v>0</v>
      </c>
      <c r="AP146" s="4">
        <f>VLOOKUP($N146,[2]Cultures!$B$4:$M$283,MATCH(AP$1,[2]Cultures!$B$3:$M$3,0),FALSE)</f>
        <v>0</v>
      </c>
      <c r="AQ146" s="4">
        <f>VLOOKUP($N146,[2]Cultures!$B$4:$M$283,MATCH(AQ$1,[2]Cultures!$B$3:$M$3,0),FALSE)</f>
        <v>0</v>
      </c>
      <c r="AR146" s="4">
        <f>VLOOKUP($N146,[2]Cultures!$B$4:$M$283,MATCH(AR$1,[2]Cultures!$B$3:$M$3,0),FALSE)</f>
        <v>0</v>
      </c>
      <c r="AS146" s="4">
        <f>VLOOKUP($N146,[2]Cultures!$B$4:$M$283,MATCH(AS$1,[2]Cultures!$B$3:$M$3,0),FALSE)</f>
        <v>0</v>
      </c>
      <c r="AT146" s="4"/>
      <c r="AU146" s="4">
        <f>IF(ISNUMBER(SEARCH(N146&amp;";",Calculations!$Q$19)),VLOOKUP(Skills!N146,Calculations!$Q$2:$T$16,4,FALSE),0)</f>
        <v>0</v>
      </c>
      <c r="AV146" s="4">
        <f>IF(ISNUMBER(SEARCH(N146&amp;";",Calculations!$Q$18)),1,0)</f>
        <v>0</v>
      </c>
      <c r="AW146" s="4">
        <f t="shared" si="71"/>
        <v>0</v>
      </c>
      <c r="AX146" s="4">
        <f>VLOOKUP($N146,$N146:$CH146,MATCH('Character Sheet'!$BJ$3,Skills!$N$1:$CH$1,0),FALSE)</f>
        <v>0</v>
      </c>
    </row>
    <row r="147" spans="2:50" x14ac:dyDescent="0.25">
      <c r="B147" s="4" t="e">
        <f t="shared" si="54"/>
        <v>#N/A</v>
      </c>
      <c r="E147" s="4"/>
      <c r="F147" s="4">
        <f t="shared" si="76"/>
        <v>0</v>
      </c>
      <c r="G147" s="4"/>
      <c r="H147" s="4" t="e">
        <f t="shared" si="82"/>
        <v>#N/A</v>
      </c>
      <c r="I147" s="4">
        <f t="shared" si="68"/>
        <v>1</v>
      </c>
      <c r="J147" s="4">
        <f t="shared" si="72"/>
        <v>0</v>
      </c>
      <c r="K147" s="4">
        <f t="shared" si="73"/>
        <v>0</v>
      </c>
      <c r="M147" t="str">
        <f t="shared" si="69"/>
        <v>Paper Making</v>
      </c>
      <c r="N147" s="3" t="str">
        <f>'Character Sheet'!APZ31</f>
        <v>Paper Making</v>
      </c>
      <c r="O147" s="4" t="s">
        <v>793</v>
      </c>
      <c r="P147" s="4" t="s">
        <v>784</v>
      </c>
      <c r="Q147" s="4">
        <f t="shared" si="57"/>
        <v>0</v>
      </c>
      <c r="R147" s="4">
        <f>IF(ISNUMBER(SEARCH("Category",N147)),"- -",IF(ISNUMBER(SEARCH("Skills",N147)),"- -",'Level-up'!C165))</f>
        <v>0</v>
      </c>
      <c r="S147" s="4">
        <f t="shared" si="74"/>
        <v>0</v>
      </c>
      <c r="T147" s="4">
        <f t="shared" si="75"/>
        <v>-25</v>
      </c>
      <c r="U147" s="4">
        <f t="shared" ca="1" si="77"/>
        <v>0</v>
      </c>
      <c r="V147" s="4">
        <f t="shared" si="70"/>
        <v>0</v>
      </c>
      <c r="W147" s="4">
        <f t="shared" si="58"/>
        <v>0</v>
      </c>
      <c r="X147" s="4">
        <f t="shared" si="55"/>
        <v>0</v>
      </c>
      <c r="Y147" s="4">
        <f t="shared" si="78"/>
        <v>0</v>
      </c>
      <c r="Z147" s="4">
        <f t="shared" si="79"/>
        <v>0</v>
      </c>
      <c r="AA147" s="4">
        <f t="shared" si="80"/>
        <v>0</v>
      </c>
      <c r="AB147" s="4">
        <f t="shared" si="81"/>
        <v>0</v>
      </c>
      <c r="AC147" s="8"/>
      <c r="AD147" s="4"/>
      <c r="AE147" s="4"/>
      <c r="AF147" s="4" t="str">
        <f t="shared" ca="1" si="83"/>
        <v>-25</v>
      </c>
      <c r="AG147" s="4"/>
      <c r="AH147" s="4">
        <f>IFERROR(VLOOKUP(M147,Calculations!$AC$2:$AD$251,2,FALSE),0)</f>
        <v>0</v>
      </c>
      <c r="AI147" s="4">
        <f>VLOOKUP(N147,$N$2:$AS$620,MATCH('Character Creation'!$Z$12,Skills!$N$1:$AS$1,0),FALSE)</f>
        <v>0</v>
      </c>
      <c r="AJ147" s="4">
        <f>VLOOKUP($N147,[2]Cultures!$B$4:$M$283,MATCH(AJ$1,[2]Cultures!$B$3:$M$3,0),FALSE)</f>
        <v>0</v>
      </c>
      <c r="AK147" s="4">
        <f>VLOOKUP($N147,[2]Cultures!$B$4:$M$283,MATCH(AK$1,[2]Cultures!$B$3:$M$3,0),FALSE)</f>
        <v>0</v>
      </c>
      <c r="AL147" s="4">
        <f>VLOOKUP($N147,[2]Cultures!$B$4:$M$283,MATCH(AL$1,[2]Cultures!$B$3:$M$3,0),FALSE)</f>
        <v>0</v>
      </c>
      <c r="AM147" s="4">
        <f>VLOOKUP($N147,[2]Cultures!$B$4:$M$283,MATCH(AM$1,[2]Cultures!$B$3:$M$3,0),FALSE)</f>
        <v>0</v>
      </c>
      <c r="AN147" s="4">
        <f>VLOOKUP($N147,[2]Cultures!$B$4:$M$283,MATCH(AN$1,[2]Cultures!$B$3:$M$3,0),FALSE)</f>
        <v>0</v>
      </c>
      <c r="AO147" s="4">
        <f>VLOOKUP($N147,[2]Cultures!$B$4:$M$283,MATCH(AO$1,[2]Cultures!$B$3:$M$3,0),FALSE)</f>
        <v>0</v>
      </c>
      <c r="AP147" s="4">
        <f>VLOOKUP($N147,[2]Cultures!$B$4:$M$283,MATCH(AP$1,[2]Cultures!$B$3:$M$3,0),FALSE)</f>
        <v>0</v>
      </c>
      <c r="AQ147" s="4">
        <f>VLOOKUP($N147,[2]Cultures!$B$4:$M$283,MATCH(AQ$1,[2]Cultures!$B$3:$M$3,0),FALSE)</f>
        <v>0</v>
      </c>
      <c r="AR147" s="4">
        <f>VLOOKUP($N147,[2]Cultures!$B$4:$M$283,MATCH(AR$1,[2]Cultures!$B$3:$M$3,0),FALSE)</f>
        <v>0</v>
      </c>
      <c r="AS147" s="4">
        <f>VLOOKUP($N147,[2]Cultures!$B$4:$M$283,MATCH(AS$1,[2]Cultures!$B$3:$M$3,0),FALSE)</f>
        <v>0</v>
      </c>
      <c r="AT147" s="4"/>
      <c r="AU147" s="4">
        <f>IF(ISNUMBER(SEARCH(N147&amp;";",Calculations!$Q$19)),VLOOKUP(Skills!N147,Calculations!$Q$2:$T$16,4,FALSE),0)</f>
        <v>0</v>
      </c>
      <c r="AV147" s="4">
        <f>IF(ISNUMBER(SEARCH(N147&amp;";",Calculations!$Q$18)),1,0)</f>
        <v>0</v>
      </c>
      <c r="AW147" s="4">
        <f t="shared" si="71"/>
        <v>0</v>
      </c>
      <c r="AX147" s="4">
        <f>VLOOKUP($N147,$N147:$CH147,MATCH('Character Sheet'!$BJ$3,Skills!$N$1:$CH$1,0),FALSE)</f>
        <v>0</v>
      </c>
    </row>
    <row r="148" spans="2:50" x14ac:dyDescent="0.25">
      <c r="B148" s="4" t="e">
        <f t="shared" si="54"/>
        <v>#N/A</v>
      </c>
      <c r="E148" s="4"/>
      <c r="F148" s="4">
        <f t="shared" si="76"/>
        <v>0</v>
      </c>
      <c r="G148" s="4"/>
      <c r="H148" s="4" t="e">
        <f t="shared" si="82"/>
        <v>#N/A</v>
      </c>
      <c r="I148" s="4">
        <f t="shared" si="68"/>
        <v>1</v>
      </c>
      <c r="J148" s="4">
        <f t="shared" si="72"/>
        <v>0</v>
      </c>
      <c r="K148" s="4">
        <f t="shared" si="73"/>
        <v>0</v>
      </c>
      <c r="M148" t="str">
        <f t="shared" si="69"/>
        <v>Potter</v>
      </c>
      <c r="N148" s="3" t="str">
        <f>'Character Sheet'!APZ32</f>
        <v>Potter</v>
      </c>
      <c r="O148" s="4" t="s">
        <v>793</v>
      </c>
      <c r="P148" s="4" t="s">
        <v>794</v>
      </c>
      <c r="Q148" s="4">
        <f t="shared" si="57"/>
        <v>0</v>
      </c>
      <c r="R148" s="4">
        <f>IF(ISNUMBER(SEARCH("Category",N148)),"- -",IF(ISNUMBER(SEARCH("Skills",N148)),"- -",'Level-up'!C166))</f>
        <v>0</v>
      </c>
      <c r="S148" s="4">
        <f t="shared" si="74"/>
        <v>0</v>
      </c>
      <c r="T148" s="4">
        <f t="shared" si="75"/>
        <v>-25</v>
      </c>
      <c r="U148" s="4">
        <f t="shared" ca="1" si="77"/>
        <v>4</v>
      </c>
      <c r="V148" s="4">
        <f t="shared" si="70"/>
        <v>0</v>
      </c>
      <c r="W148" s="4">
        <f t="shared" si="58"/>
        <v>0</v>
      </c>
      <c r="X148" s="4">
        <f t="shared" si="55"/>
        <v>0</v>
      </c>
      <c r="Y148" s="4">
        <f t="shared" si="78"/>
        <v>0</v>
      </c>
      <c r="Z148" s="4">
        <f t="shared" si="79"/>
        <v>0</v>
      </c>
      <c r="AA148" s="4">
        <f t="shared" si="80"/>
        <v>0</v>
      </c>
      <c r="AB148" s="4">
        <f t="shared" si="81"/>
        <v>0</v>
      </c>
      <c r="AC148" s="8"/>
      <c r="AD148" s="4"/>
      <c r="AE148" s="4"/>
      <c r="AF148" s="4" t="str">
        <f t="shared" ca="1" si="83"/>
        <v>-21</v>
      </c>
      <c r="AG148" s="4"/>
      <c r="AH148" s="4">
        <f>IFERROR(VLOOKUP(M148,Calculations!$AC$2:$AD$251,2,FALSE),0)</f>
        <v>0</v>
      </c>
      <c r="AI148" s="4">
        <f>VLOOKUP(N148,$N$2:$AS$620,MATCH('Character Creation'!$Z$12,Skills!$N$1:$AS$1,0),FALSE)</f>
        <v>0</v>
      </c>
      <c r="AJ148" s="4">
        <f>VLOOKUP($N148,[2]Cultures!$B$4:$M$283,MATCH(AJ$1,[2]Cultures!$B$3:$M$3,0),FALSE)</f>
        <v>0</v>
      </c>
      <c r="AK148" s="4">
        <f>VLOOKUP($N148,[2]Cultures!$B$4:$M$283,MATCH(AK$1,[2]Cultures!$B$3:$M$3,0),FALSE)</f>
        <v>0</v>
      </c>
      <c r="AL148" s="4">
        <f>VLOOKUP($N148,[2]Cultures!$B$4:$M$283,MATCH(AL$1,[2]Cultures!$B$3:$M$3,0),FALSE)</f>
        <v>0</v>
      </c>
      <c r="AM148" s="4">
        <f>VLOOKUP($N148,[2]Cultures!$B$4:$M$283,MATCH(AM$1,[2]Cultures!$B$3:$M$3,0),FALSE)</f>
        <v>0</v>
      </c>
      <c r="AN148" s="4">
        <f>VLOOKUP($N148,[2]Cultures!$B$4:$M$283,MATCH(AN$1,[2]Cultures!$B$3:$M$3,0),FALSE)</f>
        <v>0</v>
      </c>
      <c r="AO148" s="4">
        <f>VLOOKUP($N148,[2]Cultures!$B$4:$M$283,MATCH(AO$1,[2]Cultures!$B$3:$M$3,0),FALSE)</f>
        <v>0</v>
      </c>
      <c r="AP148" s="4">
        <f>VLOOKUP($N148,[2]Cultures!$B$4:$M$283,MATCH(AP$1,[2]Cultures!$B$3:$M$3,0),FALSE)</f>
        <v>0</v>
      </c>
      <c r="AQ148" s="4">
        <f>VLOOKUP($N148,[2]Cultures!$B$4:$M$283,MATCH(AQ$1,[2]Cultures!$B$3:$M$3,0),FALSE)</f>
        <v>0</v>
      </c>
      <c r="AR148" s="4">
        <f>VLOOKUP($N148,[2]Cultures!$B$4:$M$283,MATCH(AR$1,[2]Cultures!$B$3:$M$3,0),FALSE)</f>
        <v>0</v>
      </c>
      <c r="AS148" s="4">
        <f>VLOOKUP($N148,[2]Cultures!$B$4:$M$283,MATCH(AS$1,[2]Cultures!$B$3:$M$3,0),FALSE)</f>
        <v>0</v>
      </c>
      <c r="AT148" s="4"/>
      <c r="AU148" s="4">
        <f>IF(ISNUMBER(SEARCH(N148&amp;";",Calculations!$Q$19)),VLOOKUP(Skills!N148,Calculations!$Q$2:$T$16,4,FALSE),0)</f>
        <v>0</v>
      </c>
      <c r="AV148" s="4">
        <f>IF(ISNUMBER(SEARCH(N148&amp;";",Calculations!$Q$18)),1,0)</f>
        <v>0</v>
      </c>
      <c r="AW148" s="4">
        <f t="shared" si="71"/>
        <v>0</v>
      </c>
      <c r="AX148" s="4">
        <f>VLOOKUP($N148,$N148:$CH148,MATCH('Character Sheet'!$BJ$3,Skills!$N$1:$CH$1,0),FALSE)</f>
        <v>0</v>
      </c>
    </row>
    <row r="149" spans="2:50" x14ac:dyDescent="0.25">
      <c r="B149" s="4" t="e">
        <f t="shared" si="54"/>
        <v>#N/A</v>
      </c>
      <c r="E149" s="4"/>
      <c r="F149" s="4">
        <f t="shared" si="76"/>
        <v>0</v>
      </c>
      <c r="G149" s="4"/>
      <c r="H149" s="4" t="e">
        <f t="shared" si="82"/>
        <v>#N/A</v>
      </c>
      <c r="I149" s="4">
        <f t="shared" si="68"/>
        <v>1</v>
      </c>
      <c r="J149" s="4">
        <f t="shared" si="72"/>
        <v>0</v>
      </c>
      <c r="K149" s="4">
        <f t="shared" si="73"/>
        <v>0</v>
      </c>
      <c r="M149" t="str">
        <f t="shared" si="69"/>
        <v>Quilting</v>
      </c>
      <c r="N149" s="3" t="str">
        <f>'Character Sheet'!APZ33</f>
        <v>Quilting</v>
      </c>
      <c r="O149" s="4" t="s">
        <v>793</v>
      </c>
      <c r="P149" s="4" t="s">
        <v>784</v>
      </c>
      <c r="Q149" s="4">
        <f t="shared" si="57"/>
        <v>0</v>
      </c>
      <c r="R149" s="4">
        <f>IF(ISNUMBER(SEARCH("Category",N149)),"- -",IF(ISNUMBER(SEARCH("Skills",N149)),"- -",'Level-up'!C167))</f>
        <v>0</v>
      </c>
      <c r="S149" s="4">
        <f t="shared" si="74"/>
        <v>0</v>
      </c>
      <c r="T149" s="4">
        <f t="shared" si="75"/>
        <v>-25</v>
      </c>
      <c r="U149" s="4">
        <f t="shared" ca="1" si="77"/>
        <v>0</v>
      </c>
      <c r="V149" s="4">
        <f t="shared" si="70"/>
        <v>0</v>
      </c>
      <c r="W149" s="4">
        <f t="shared" si="58"/>
        <v>0</v>
      </c>
      <c r="X149" s="4">
        <f t="shared" si="55"/>
        <v>0</v>
      </c>
      <c r="Y149" s="4">
        <f t="shared" si="78"/>
        <v>0</v>
      </c>
      <c r="Z149" s="4">
        <f t="shared" si="79"/>
        <v>0</v>
      </c>
      <c r="AA149" s="4">
        <f t="shared" si="80"/>
        <v>0</v>
      </c>
      <c r="AB149" s="4">
        <f t="shared" si="81"/>
        <v>0</v>
      </c>
      <c r="AC149" s="8"/>
      <c r="AD149" s="4"/>
      <c r="AE149" s="4"/>
      <c r="AF149" s="4" t="str">
        <f t="shared" ca="1" si="83"/>
        <v>-25</v>
      </c>
      <c r="AG149" s="4"/>
      <c r="AH149" s="4">
        <f>IFERROR(VLOOKUP(M149,Calculations!$AC$2:$AD$251,2,FALSE),0)</f>
        <v>0</v>
      </c>
      <c r="AI149" s="4">
        <f>VLOOKUP(N149,$N$2:$AS$620,MATCH('Character Creation'!$Z$12,Skills!$N$1:$AS$1,0),FALSE)</f>
        <v>0</v>
      </c>
      <c r="AJ149" s="4">
        <f>VLOOKUP($N149,[2]Cultures!$B$4:$M$283,MATCH(AJ$1,[2]Cultures!$B$3:$M$3,0),FALSE)</f>
        <v>0</v>
      </c>
      <c r="AK149" s="4">
        <f>VLOOKUP($N149,[2]Cultures!$B$4:$M$283,MATCH(AK$1,[2]Cultures!$B$3:$M$3,0),FALSE)</f>
        <v>0</v>
      </c>
      <c r="AL149" s="4">
        <f>VLOOKUP($N149,[2]Cultures!$B$4:$M$283,MATCH(AL$1,[2]Cultures!$B$3:$M$3,0),FALSE)</f>
        <v>0</v>
      </c>
      <c r="AM149" s="4">
        <f>VLOOKUP($N149,[2]Cultures!$B$4:$M$283,MATCH(AM$1,[2]Cultures!$B$3:$M$3,0),FALSE)</f>
        <v>0</v>
      </c>
      <c r="AN149" s="4">
        <f>VLOOKUP($N149,[2]Cultures!$B$4:$M$283,MATCH(AN$1,[2]Cultures!$B$3:$M$3,0),FALSE)</f>
        <v>0</v>
      </c>
      <c r="AO149" s="4">
        <f>VLOOKUP($N149,[2]Cultures!$B$4:$M$283,MATCH(AO$1,[2]Cultures!$B$3:$M$3,0),FALSE)</f>
        <v>0</v>
      </c>
      <c r="AP149" s="4">
        <f>VLOOKUP($N149,[2]Cultures!$B$4:$M$283,MATCH(AP$1,[2]Cultures!$B$3:$M$3,0),FALSE)</f>
        <v>0</v>
      </c>
      <c r="AQ149" s="4">
        <f>VLOOKUP($N149,[2]Cultures!$B$4:$M$283,MATCH(AQ$1,[2]Cultures!$B$3:$M$3,0),FALSE)</f>
        <v>0</v>
      </c>
      <c r="AR149" s="4">
        <f>VLOOKUP($N149,[2]Cultures!$B$4:$M$283,MATCH(AR$1,[2]Cultures!$B$3:$M$3,0),FALSE)</f>
        <v>0</v>
      </c>
      <c r="AS149" s="4">
        <f>VLOOKUP($N149,[2]Cultures!$B$4:$M$283,MATCH(AS$1,[2]Cultures!$B$3:$M$3,0),FALSE)</f>
        <v>0</v>
      </c>
      <c r="AT149" s="4"/>
      <c r="AU149" s="4">
        <f>IF(ISNUMBER(SEARCH(N149&amp;";",Calculations!$Q$19)),VLOOKUP(Skills!N149,Calculations!$Q$2:$T$16,4,FALSE),0)</f>
        <v>0</v>
      </c>
      <c r="AV149" s="4">
        <f>IF(ISNUMBER(SEARCH(N149&amp;";",Calculations!$Q$18)),1,0)</f>
        <v>0</v>
      </c>
      <c r="AW149" s="4">
        <f t="shared" si="71"/>
        <v>0</v>
      </c>
      <c r="AX149" s="4">
        <f>VLOOKUP($N149,$N149:$CH149,MATCH('Character Sheet'!$BJ$3,Skills!$N$1:$CH$1,0),FALSE)</f>
        <v>0</v>
      </c>
    </row>
    <row r="150" spans="2:50" x14ac:dyDescent="0.25">
      <c r="B150" s="4" t="e">
        <f t="shared" si="54"/>
        <v>#N/A</v>
      </c>
      <c r="E150" s="4"/>
      <c r="F150" s="4">
        <f t="shared" si="76"/>
        <v>0</v>
      </c>
      <c r="G150" s="4"/>
      <c r="H150" s="4" t="e">
        <f t="shared" si="82"/>
        <v>#N/A</v>
      </c>
      <c r="I150" s="4">
        <f t="shared" si="68"/>
        <v>1</v>
      </c>
      <c r="J150" s="4">
        <f t="shared" si="72"/>
        <v>0</v>
      </c>
      <c r="K150" s="4">
        <f t="shared" si="73"/>
        <v>0</v>
      </c>
      <c r="M150" t="str">
        <f t="shared" si="69"/>
        <v>Roofer</v>
      </c>
      <c r="N150" s="3" t="str">
        <f>'Character Sheet'!APZ34</f>
        <v>Roofer</v>
      </c>
      <c r="O150" s="4" t="s">
        <v>793</v>
      </c>
      <c r="P150" s="4" t="s">
        <v>784</v>
      </c>
      <c r="Q150" s="4">
        <f t="shared" si="57"/>
        <v>0</v>
      </c>
      <c r="R150" s="4">
        <f>IF(ISNUMBER(SEARCH("Category",N150)),"- -",IF(ISNUMBER(SEARCH("Skills",N150)),"- -",'Level-up'!C168))</f>
        <v>0</v>
      </c>
      <c r="S150" s="4">
        <f t="shared" si="74"/>
        <v>0</v>
      </c>
      <c r="T150" s="4">
        <f t="shared" si="75"/>
        <v>-25</v>
      </c>
      <c r="U150" s="4">
        <f t="shared" ca="1" si="77"/>
        <v>0</v>
      </c>
      <c r="V150" s="4">
        <f t="shared" si="70"/>
        <v>0</v>
      </c>
      <c r="W150" s="4">
        <f t="shared" si="58"/>
        <v>0</v>
      </c>
      <c r="X150" s="4">
        <f t="shared" si="55"/>
        <v>0</v>
      </c>
      <c r="Y150" s="4">
        <f t="shared" si="78"/>
        <v>0</v>
      </c>
      <c r="Z150" s="4">
        <f t="shared" si="79"/>
        <v>0</v>
      </c>
      <c r="AA150" s="4">
        <f t="shared" si="80"/>
        <v>0</v>
      </c>
      <c r="AB150" s="4">
        <f t="shared" si="81"/>
        <v>0</v>
      </c>
      <c r="AC150" s="8"/>
      <c r="AD150" s="4"/>
      <c r="AE150" s="4"/>
      <c r="AF150" s="4" t="str">
        <f t="shared" ca="1" si="83"/>
        <v>-25</v>
      </c>
      <c r="AG150" s="4"/>
      <c r="AH150" s="4">
        <f>IFERROR(VLOOKUP(M150,Calculations!$AC$2:$AD$251,2,FALSE),0)</f>
        <v>0</v>
      </c>
      <c r="AI150" s="4">
        <f>VLOOKUP(N150,$N$2:$AS$620,MATCH('Character Creation'!$Z$12,Skills!$N$1:$AS$1,0),FALSE)</f>
        <v>0</v>
      </c>
      <c r="AJ150" s="4">
        <f>VLOOKUP($N150,[2]Cultures!$B$4:$M$283,MATCH(AJ$1,[2]Cultures!$B$3:$M$3,0),FALSE)</f>
        <v>0</v>
      </c>
      <c r="AK150" s="4">
        <f>VLOOKUP($N150,[2]Cultures!$B$4:$M$283,MATCH(AK$1,[2]Cultures!$B$3:$M$3,0),FALSE)</f>
        <v>0</v>
      </c>
      <c r="AL150" s="4">
        <f>VLOOKUP($N150,[2]Cultures!$B$4:$M$283,MATCH(AL$1,[2]Cultures!$B$3:$M$3,0),FALSE)</f>
        <v>0</v>
      </c>
      <c r="AM150" s="4">
        <f>VLOOKUP($N150,[2]Cultures!$B$4:$M$283,MATCH(AM$1,[2]Cultures!$B$3:$M$3,0),FALSE)</f>
        <v>0</v>
      </c>
      <c r="AN150" s="4">
        <f>VLOOKUP($N150,[2]Cultures!$B$4:$M$283,MATCH(AN$1,[2]Cultures!$B$3:$M$3,0),FALSE)</f>
        <v>0</v>
      </c>
      <c r="AO150" s="4">
        <f>VLOOKUP($N150,[2]Cultures!$B$4:$M$283,MATCH(AO$1,[2]Cultures!$B$3:$M$3,0),FALSE)</f>
        <v>0</v>
      </c>
      <c r="AP150" s="4">
        <f>VLOOKUP($N150,[2]Cultures!$B$4:$M$283,MATCH(AP$1,[2]Cultures!$B$3:$M$3,0),FALSE)</f>
        <v>0</v>
      </c>
      <c r="AQ150" s="4">
        <f>VLOOKUP($N150,[2]Cultures!$B$4:$M$283,MATCH(AQ$1,[2]Cultures!$B$3:$M$3,0),FALSE)</f>
        <v>0</v>
      </c>
      <c r="AR150" s="4">
        <f>VLOOKUP($N150,[2]Cultures!$B$4:$M$283,MATCH(AR$1,[2]Cultures!$B$3:$M$3,0),FALSE)</f>
        <v>0</v>
      </c>
      <c r="AS150" s="4">
        <f>VLOOKUP($N150,[2]Cultures!$B$4:$M$283,MATCH(AS$1,[2]Cultures!$B$3:$M$3,0),FALSE)</f>
        <v>0</v>
      </c>
      <c r="AT150" s="4"/>
      <c r="AU150" s="4">
        <f>IF(ISNUMBER(SEARCH(N150&amp;";",Calculations!$Q$19)),VLOOKUP(Skills!N150,Calculations!$Q$2:$T$16,4,FALSE),0)</f>
        <v>0</v>
      </c>
      <c r="AV150" s="4">
        <f>IF(ISNUMBER(SEARCH(N150&amp;";",Calculations!$Q$18)),1,0)</f>
        <v>0</v>
      </c>
      <c r="AW150" s="4">
        <f t="shared" si="71"/>
        <v>0</v>
      </c>
      <c r="AX150" s="4">
        <f>VLOOKUP($N150,$N150:$CH150,MATCH('Character Sheet'!$BJ$3,Skills!$N$1:$CH$1,0),FALSE)</f>
        <v>0</v>
      </c>
    </row>
    <row r="151" spans="2:50" x14ac:dyDescent="0.25">
      <c r="B151" s="4" t="e">
        <f t="shared" si="54"/>
        <v>#N/A</v>
      </c>
      <c r="E151" s="4"/>
      <c r="F151" s="4">
        <f t="shared" si="76"/>
        <v>0</v>
      </c>
      <c r="G151" s="4"/>
      <c r="H151" s="4" t="e">
        <f t="shared" si="82"/>
        <v>#N/A</v>
      </c>
      <c r="I151" s="4">
        <f t="shared" si="68"/>
        <v>1</v>
      </c>
      <c r="J151" s="4">
        <f t="shared" si="72"/>
        <v>0</v>
      </c>
      <c r="K151" s="4">
        <f t="shared" si="73"/>
        <v>0</v>
      </c>
      <c r="M151" t="str">
        <f t="shared" si="69"/>
        <v>Saddler</v>
      </c>
      <c r="N151" s="3" t="str">
        <f>'Character Sheet'!APZ35</f>
        <v>Saddler</v>
      </c>
      <c r="O151" s="4" t="s">
        <v>793</v>
      </c>
      <c r="P151" s="4" t="s">
        <v>784</v>
      </c>
      <c r="Q151" s="4">
        <f t="shared" si="57"/>
        <v>0</v>
      </c>
      <c r="R151" s="4">
        <f>IF(ISNUMBER(SEARCH("Category",N151)),"- -",IF(ISNUMBER(SEARCH("Skills",N151)),"- -",'Level-up'!C169))</f>
        <v>0</v>
      </c>
      <c r="S151" s="4">
        <f t="shared" si="74"/>
        <v>0</v>
      </c>
      <c r="T151" s="4">
        <f t="shared" si="75"/>
        <v>-25</v>
      </c>
      <c r="U151" s="4">
        <f t="shared" ca="1" si="77"/>
        <v>0</v>
      </c>
      <c r="V151" s="4">
        <f t="shared" si="70"/>
        <v>0</v>
      </c>
      <c r="W151" s="4">
        <f t="shared" si="58"/>
        <v>0</v>
      </c>
      <c r="X151" s="4">
        <f t="shared" si="55"/>
        <v>0</v>
      </c>
      <c r="Y151" s="4">
        <f t="shared" si="78"/>
        <v>0</v>
      </c>
      <c r="Z151" s="4">
        <f t="shared" si="79"/>
        <v>0</v>
      </c>
      <c r="AA151" s="4">
        <f t="shared" si="80"/>
        <v>0</v>
      </c>
      <c r="AB151" s="4">
        <f t="shared" si="81"/>
        <v>0</v>
      </c>
      <c r="AC151" s="8"/>
      <c r="AD151" s="4"/>
      <c r="AE151" s="4"/>
      <c r="AF151" s="4" t="str">
        <f t="shared" ca="1" si="83"/>
        <v>-25</v>
      </c>
      <c r="AG151" s="4"/>
      <c r="AH151" s="4">
        <f>IFERROR(VLOOKUP(M151,Calculations!$AC$2:$AD$251,2,FALSE),0)</f>
        <v>0</v>
      </c>
      <c r="AI151" s="4">
        <f>VLOOKUP(N151,$N$2:$AS$620,MATCH('Character Creation'!$Z$12,Skills!$N$1:$AS$1,0),FALSE)</f>
        <v>0</v>
      </c>
      <c r="AJ151" s="4">
        <f>VLOOKUP($N151,[2]Cultures!$B$4:$M$283,MATCH(AJ$1,[2]Cultures!$B$3:$M$3,0),FALSE)</f>
        <v>0</v>
      </c>
      <c r="AK151" s="4">
        <f>VLOOKUP($N151,[2]Cultures!$B$4:$M$283,MATCH(AK$1,[2]Cultures!$B$3:$M$3,0),FALSE)</f>
        <v>0</v>
      </c>
      <c r="AL151" s="4">
        <f>VLOOKUP($N151,[2]Cultures!$B$4:$M$283,MATCH(AL$1,[2]Cultures!$B$3:$M$3,0),FALSE)</f>
        <v>0</v>
      </c>
      <c r="AM151" s="4">
        <f>VLOOKUP($N151,[2]Cultures!$B$4:$M$283,MATCH(AM$1,[2]Cultures!$B$3:$M$3,0),FALSE)</f>
        <v>0</v>
      </c>
      <c r="AN151" s="4">
        <f>VLOOKUP($N151,[2]Cultures!$B$4:$M$283,MATCH(AN$1,[2]Cultures!$B$3:$M$3,0),FALSE)</f>
        <v>0</v>
      </c>
      <c r="AO151" s="4">
        <f>VLOOKUP($N151,[2]Cultures!$B$4:$M$283,MATCH(AO$1,[2]Cultures!$B$3:$M$3,0),FALSE)</f>
        <v>0</v>
      </c>
      <c r="AP151" s="4">
        <f>VLOOKUP($N151,[2]Cultures!$B$4:$M$283,MATCH(AP$1,[2]Cultures!$B$3:$M$3,0),FALSE)</f>
        <v>0</v>
      </c>
      <c r="AQ151" s="4">
        <f>VLOOKUP($N151,[2]Cultures!$B$4:$M$283,MATCH(AQ$1,[2]Cultures!$B$3:$M$3,0),FALSE)</f>
        <v>0</v>
      </c>
      <c r="AR151" s="4">
        <f>VLOOKUP($N151,[2]Cultures!$B$4:$M$283,MATCH(AR$1,[2]Cultures!$B$3:$M$3,0),FALSE)</f>
        <v>0</v>
      </c>
      <c r="AS151" s="4">
        <f>VLOOKUP($N151,[2]Cultures!$B$4:$M$283,MATCH(AS$1,[2]Cultures!$B$3:$M$3,0),FALSE)</f>
        <v>0</v>
      </c>
      <c r="AT151" s="4"/>
      <c r="AU151" s="4">
        <f>IF(ISNUMBER(SEARCH(N151&amp;";",Calculations!$Q$19)),VLOOKUP(Skills!N151,Calculations!$Q$2:$T$16,4,FALSE),0)</f>
        <v>0</v>
      </c>
      <c r="AV151" s="4">
        <f>IF(ISNUMBER(SEARCH(N151&amp;";",Calculations!$Q$18)),1,0)</f>
        <v>0</v>
      </c>
      <c r="AW151" s="4">
        <f t="shared" si="71"/>
        <v>0</v>
      </c>
      <c r="AX151" s="4">
        <f>VLOOKUP($N151,$N151:$CH151,MATCH('Character Sheet'!$BJ$3,Skills!$N$1:$CH$1,0),FALSE)</f>
        <v>0</v>
      </c>
    </row>
    <row r="152" spans="2:50" x14ac:dyDescent="0.25">
      <c r="B152" s="4" t="e">
        <f t="shared" si="54"/>
        <v>#N/A</v>
      </c>
      <c r="E152" s="4"/>
      <c r="F152" s="4">
        <f t="shared" si="76"/>
        <v>0</v>
      </c>
      <c r="G152" s="4"/>
      <c r="H152" s="4" t="e">
        <f t="shared" si="82"/>
        <v>#N/A</v>
      </c>
      <c r="I152" s="4">
        <f t="shared" si="68"/>
        <v>1</v>
      </c>
      <c r="J152" s="4">
        <f t="shared" si="72"/>
        <v>0</v>
      </c>
      <c r="K152" s="4">
        <f t="shared" si="73"/>
        <v>0</v>
      </c>
      <c r="M152" t="str">
        <f t="shared" si="69"/>
        <v>Sail Making</v>
      </c>
      <c r="N152" s="3" t="str">
        <f>'Character Sheet'!APZ36</f>
        <v>Sail Making</v>
      </c>
      <c r="O152" s="4" t="s">
        <v>793</v>
      </c>
      <c r="P152" s="4" t="s">
        <v>784</v>
      </c>
      <c r="Q152" s="4">
        <f t="shared" si="57"/>
        <v>0</v>
      </c>
      <c r="R152" s="4">
        <f>IF(ISNUMBER(SEARCH("Category",N152)),"- -",IF(ISNUMBER(SEARCH("Skills",N152)),"- -",'Level-up'!C170))</f>
        <v>0</v>
      </c>
      <c r="S152" s="4">
        <f t="shared" si="74"/>
        <v>0</v>
      </c>
      <c r="T152" s="4">
        <f t="shared" si="75"/>
        <v>-25</v>
      </c>
      <c r="U152" s="4">
        <f t="shared" ca="1" si="77"/>
        <v>0</v>
      </c>
      <c r="V152" s="4">
        <f t="shared" si="70"/>
        <v>0</v>
      </c>
      <c r="W152" s="4">
        <f t="shared" si="58"/>
        <v>0</v>
      </c>
      <c r="X152" s="4">
        <f t="shared" si="55"/>
        <v>0</v>
      </c>
      <c r="Y152" s="4">
        <f t="shared" si="78"/>
        <v>0</v>
      </c>
      <c r="Z152" s="4">
        <f t="shared" si="79"/>
        <v>0</v>
      </c>
      <c r="AA152" s="4">
        <f t="shared" si="80"/>
        <v>0</v>
      </c>
      <c r="AB152" s="4">
        <f t="shared" si="81"/>
        <v>0</v>
      </c>
      <c r="AC152" s="8"/>
      <c r="AD152" s="4"/>
      <c r="AE152" s="4"/>
      <c r="AF152" s="4" t="str">
        <f t="shared" ca="1" si="83"/>
        <v>-25</v>
      </c>
      <c r="AG152" s="4"/>
      <c r="AH152" s="4">
        <f>IFERROR(VLOOKUP(M152,Calculations!$AC$2:$AD$251,2,FALSE),0)</f>
        <v>0</v>
      </c>
      <c r="AI152" s="4">
        <f>VLOOKUP(N152,$N$2:$AS$620,MATCH('Character Creation'!$Z$12,Skills!$N$1:$AS$1,0),FALSE)</f>
        <v>0</v>
      </c>
      <c r="AJ152" s="4">
        <f>VLOOKUP($N152,[2]Cultures!$B$4:$M$283,MATCH(AJ$1,[2]Cultures!$B$3:$M$3,0),FALSE)</f>
        <v>0</v>
      </c>
      <c r="AK152" s="4">
        <f>VLOOKUP($N152,[2]Cultures!$B$4:$M$283,MATCH(AK$1,[2]Cultures!$B$3:$M$3,0),FALSE)</f>
        <v>0</v>
      </c>
      <c r="AL152" s="4">
        <f>VLOOKUP($N152,[2]Cultures!$B$4:$M$283,MATCH(AL$1,[2]Cultures!$B$3:$M$3,0),FALSE)</f>
        <v>0</v>
      </c>
      <c r="AM152" s="4">
        <f>VLOOKUP($N152,[2]Cultures!$B$4:$M$283,MATCH(AM$1,[2]Cultures!$B$3:$M$3,0),FALSE)</f>
        <v>0</v>
      </c>
      <c r="AN152" s="4">
        <f>VLOOKUP($N152,[2]Cultures!$B$4:$M$283,MATCH(AN$1,[2]Cultures!$B$3:$M$3,0),FALSE)</f>
        <v>0</v>
      </c>
      <c r="AO152" s="4">
        <f>VLOOKUP($N152,[2]Cultures!$B$4:$M$283,MATCH(AO$1,[2]Cultures!$B$3:$M$3,0),FALSE)</f>
        <v>0</v>
      </c>
      <c r="AP152" s="4">
        <f>VLOOKUP($N152,[2]Cultures!$B$4:$M$283,MATCH(AP$1,[2]Cultures!$B$3:$M$3,0),FALSE)</f>
        <v>0</v>
      </c>
      <c r="AQ152" s="4">
        <f>VLOOKUP($N152,[2]Cultures!$B$4:$M$283,MATCH(AQ$1,[2]Cultures!$B$3:$M$3,0),FALSE)</f>
        <v>0</v>
      </c>
      <c r="AR152" s="4">
        <f>VLOOKUP($N152,[2]Cultures!$B$4:$M$283,MATCH(AR$1,[2]Cultures!$B$3:$M$3,0),FALSE)</f>
        <v>0</v>
      </c>
      <c r="AS152" s="4">
        <f>VLOOKUP($N152,[2]Cultures!$B$4:$M$283,MATCH(AS$1,[2]Cultures!$B$3:$M$3,0),FALSE)</f>
        <v>0</v>
      </c>
      <c r="AT152" s="4"/>
      <c r="AU152" s="4">
        <f>IF(ISNUMBER(SEARCH(N152&amp;";",Calculations!$Q$19)),VLOOKUP(Skills!N152,Calculations!$Q$2:$T$16,4,FALSE),0)</f>
        <v>0</v>
      </c>
      <c r="AV152" s="4">
        <f>IF(ISNUMBER(SEARCH(N152&amp;";",Calculations!$Q$18)),1,0)</f>
        <v>0</v>
      </c>
      <c r="AW152" s="4">
        <f t="shared" si="71"/>
        <v>0</v>
      </c>
      <c r="AX152" s="4">
        <f>VLOOKUP($N152,$N152:$CH152,MATCH('Character Sheet'!$BJ$3,Skills!$N$1:$CH$1,0),FALSE)</f>
        <v>0</v>
      </c>
    </row>
    <row r="153" spans="2:50" x14ac:dyDescent="0.25">
      <c r="B153" s="4" t="e">
        <f t="shared" si="54"/>
        <v>#N/A</v>
      </c>
      <c r="E153" s="4"/>
      <c r="F153" s="4">
        <f t="shared" si="76"/>
        <v>0</v>
      </c>
      <c r="G153" s="4"/>
      <c r="H153" s="4" t="e">
        <f t="shared" si="82"/>
        <v>#N/A</v>
      </c>
      <c r="I153" s="4">
        <f t="shared" si="68"/>
        <v>1</v>
      </c>
      <c r="J153" s="4">
        <f t="shared" si="72"/>
        <v>0</v>
      </c>
      <c r="K153" s="4">
        <f t="shared" si="73"/>
        <v>0</v>
      </c>
      <c r="M153" t="str">
        <f t="shared" si="69"/>
        <v>Ship Wright</v>
      </c>
      <c r="N153" s="3" t="str">
        <f>'Character Sheet'!APZ37</f>
        <v>Ship Wright</v>
      </c>
      <c r="O153" s="4" t="s">
        <v>793</v>
      </c>
      <c r="P153" s="4" t="s">
        <v>784</v>
      </c>
      <c r="Q153" s="4">
        <f t="shared" si="57"/>
        <v>0</v>
      </c>
      <c r="R153" s="4">
        <f>IF(ISNUMBER(SEARCH("Category",N153)),"- -",IF(ISNUMBER(SEARCH("Skills",N153)),"- -",'Level-up'!C171))</f>
        <v>0</v>
      </c>
      <c r="S153" s="4">
        <f t="shared" si="74"/>
        <v>0</v>
      </c>
      <c r="T153" s="4">
        <f t="shared" si="75"/>
        <v>-25</v>
      </c>
      <c r="U153" s="4">
        <f t="shared" ca="1" si="77"/>
        <v>0</v>
      </c>
      <c r="V153" s="4">
        <f t="shared" si="70"/>
        <v>0</v>
      </c>
      <c r="W153" s="4">
        <f t="shared" si="58"/>
        <v>0</v>
      </c>
      <c r="X153" s="4">
        <f t="shared" si="55"/>
        <v>0</v>
      </c>
      <c r="Y153" s="4">
        <f t="shared" si="78"/>
        <v>0</v>
      </c>
      <c r="Z153" s="4">
        <f t="shared" si="79"/>
        <v>0</v>
      </c>
      <c r="AA153" s="4">
        <f t="shared" si="80"/>
        <v>0</v>
      </c>
      <c r="AB153" s="4">
        <f t="shared" si="81"/>
        <v>0</v>
      </c>
      <c r="AC153" s="8"/>
      <c r="AD153" s="4"/>
      <c r="AE153" s="4"/>
      <c r="AF153" s="4" t="str">
        <f t="shared" ca="1" si="83"/>
        <v>-25</v>
      </c>
      <c r="AG153" s="4"/>
      <c r="AH153" s="4">
        <f>IFERROR(VLOOKUP(M153,Calculations!$AC$2:$AD$251,2,FALSE),0)</f>
        <v>0</v>
      </c>
      <c r="AI153" s="4">
        <f>VLOOKUP(N153,$N$2:$AS$620,MATCH('Character Creation'!$Z$12,Skills!$N$1:$AS$1,0),FALSE)</f>
        <v>0</v>
      </c>
      <c r="AJ153" s="4">
        <f>VLOOKUP($N153,[2]Cultures!$B$4:$M$283,MATCH(AJ$1,[2]Cultures!$B$3:$M$3,0),FALSE)</f>
        <v>0</v>
      </c>
      <c r="AK153" s="4">
        <f>VLOOKUP($N153,[2]Cultures!$B$4:$M$283,MATCH(AK$1,[2]Cultures!$B$3:$M$3,0),FALSE)</f>
        <v>0</v>
      </c>
      <c r="AL153" s="4">
        <f>VLOOKUP($N153,[2]Cultures!$B$4:$M$283,MATCH(AL$1,[2]Cultures!$B$3:$M$3,0),FALSE)</f>
        <v>0</v>
      </c>
      <c r="AM153" s="4">
        <f>VLOOKUP($N153,[2]Cultures!$B$4:$M$283,MATCH(AM$1,[2]Cultures!$B$3:$M$3,0),FALSE)</f>
        <v>0</v>
      </c>
      <c r="AN153" s="4">
        <f>VLOOKUP($N153,[2]Cultures!$B$4:$M$283,MATCH(AN$1,[2]Cultures!$B$3:$M$3,0),FALSE)</f>
        <v>0</v>
      </c>
      <c r="AO153" s="4">
        <f>VLOOKUP($N153,[2]Cultures!$B$4:$M$283,MATCH(AO$1,[2]Cultures!$B$3:$M$3,0),FALSE)</f>
        <v>0</v>
      </c>
      <c r="AP153" s="4">
        <f>VLOOKUP($N153,[2]Cultures!$B$4:$M$283,MATCH(AP$1,[2]Cultures!$B$3:$M$3,0),FALSE)</f>
        <v>0</v>
      </c>
      <c r="AQ153" s="4">
        <f>VLOOKUP($N153,[2]Cultures!$B$4:$M$283,MATCH(AQ$1,[2]Cultures!$B$3:$M$3,0),FALSE)</f>
        <v>0</v>
      </c>
      <c r="AR153" s="4">
        <f>VLOOKUP($N153,[2]Cultures!$B$4:$M$283,MATCH(AR$1,[2]Cultures!$B$3:$M$3,0),FALSE)</f>
        <v>0</v>
      </c>
      <c r="AS153" s="4">
        <f>VLOOKUP($N153,[2]Cultures!$B$4:$M$283,MATCH(AS$1,[2]Cultures!$B$3:$M$3,0),FALSE)</f>
        <v>0</v>
      </c>
      <c r="AT153" s="4"/>
      <c r="AU153" s="4">
        <f>IF(ISNUMBER(SEARCH(N153&amp;";",Calculations!$Q$19)),VLOOKUP(Skills!N153,Calculations!$Q$2:$T$16,4,FALSE),0)</f>
        <v>0</v>
      </c>
      <c r="AV153" s="4">
        <f>IF(ISNUMBER(SEARCH(N153&amp;";",Calculations!$Q$18)),1,0)</f>
        <v>0</v>
      </c>
      <c r="AW153" s="4">
        <f t="shared" si="71"/>
        <v>0</v>
      </c>
      <c r="AX153" s="4">
        <f>VLOOKUP($N153,$N153:$CH153,MATCH('Character Sheet'!$BJ$3,Skills!$N$1:$CH$1,0),FALSE)</f>
        <v>0</v>
      </c>
    </row>
    <row r="154" spans="2:50" x14ac:dyDescent="0.25">
      <c r="B154" s="4" t="e">
        <f t="shared" si="54"/>
        <v>#N/A</v>
      </c>
      <c r="E154" s="4"/>
      <c r="F154" s="4">
        <f t="shared" si="76"/>
        <v>0</v>
      </c>
      <c r="G154" s="4"/>
      <c r="H154" s="4" t="e">
        <f t="shared" si="82"/>
        <v>#N/A</v>
      </c>
      <c r="I154" s="4">
        <f t="shared" si="68"/>
        <v>1</v>
      </c>
      <c r="J154" s="4">
        <f t="shared" si="72"/>
        <v>0</v>
      </c>
      <c r="K154" s="4">
        <f t="shared" si="73"/>
        <v>0</v>
      </c>
      <c r="M154" t="str">
        <f t="shared" si="69"/>
        <v>Silver Smith</v>
      </c>
      <c r="N154" s="3" t="str">
        <f>'Character Sheet'!APZ38</f>
        <v>Silver Smith</v>
      </c>
      <c r="O154" s="4" t="s">
        <v>793</v>
      </c>
      <c r="P154" s="4" t="s">
        <v>784</v>
      </c>
      <c r="Q154" s="4">
        <f t="shared" si="57"/>
        <v>0</v>
      </c>
      <c r="R154" s="4">
        <f>IF(ISNUMBER(SEARCH("Category",N154)),"- -",IF(ISNUMBER(SEARCH("Skills",N154)),"- -",'Level-up'!C172))</f>
        <v>0</v>
      </c>
      <c r="S154" s="4">
        <f t="shared" si="74"/>
        <v>0</v>
      </c>
      <c r="T154" s="4">
        <f t="shared" si="75"/>
        <v>-25</v>
      </c>
      <c r="U154" s="4">
        <f t="shared" ca="1" si="77"/>
        <v>0</v>
      </c>
      <c r="V154" s="4">
        <f t="shared" si="70"/>
        <v>0</v>
      </c>
      <c r="W154" s="4">
        <f t="shared" si="58"/>
        <v>0</v>
      </c>
      <c r="X154" s="4">
        <f t="shared" si="55"/>
        <v>0</v>
      </c>
      <c r="Y154" s="4">
        <f t="shared" si="78"/>
        <v>0</v>
      </c>
      <c r="Z154" s="4">
        <f t="shared" si="79"/>
        <v>0</v>
      </c>
      <c r="AA154" s="4">
        <f t="shared" si="80"/>
        <v>0</v>
      </c>
      <c r="AB154" s="4">
        <f t="shared" si="81"/>
        <v>0</v>
      </c>
      <c r="AC154" s="8"/>
      <c r="AD154" s="4"/>
      <c r="AE154" s="4"/>
      <c r="AF154" s="4" t="str">
        <f t="shared" ca="1" si="83"/>
        <v>-25</v>
      </c>
      <c r="AG154" s="4"/>
      <c r="AH154" s="4">
        <f>IFERROR(VLOOKUP(M154,Calculations!$AC$2:$AD$251,2,FALSE),0)</f>
        <v>0</v>
      </c>
      <c r="AI154" s="4">
        <f>VLOOKUP(N154,$N$2:$AS$620,MATCH('Character Creation'!$Z$12,Skills!$N$1:$AS$1,0),FALSE)</f>
        <v>0</v>
      </c>
      <c r="AJ154" s="4">
        <f>VLOOKUP($N154,[2]Cultures!$B$4:$M$283,MATCH(AJ$1,[2]Cultures!$B$3:$M$3,0),FALSE)</f>
        <v>0</v>
      </c>
      <c r="AK154" s="4">
        <f>VLOOKUP($N154,[2]Cultures!$B$4:$M$283,MATCH(AK$1,[2]Cultures!$B$3:$M$3,0),FALSE)</f>
        <v>0</v>
      </c>
      <c r="AL154" s="4">
        <f>VLOOKUP($N154,[2]Cultures!$B$4:$M$283,MATCH(AL$1,[2]Cultures!$B$3:$M$3,0),FALSE)</f>
        <v>0</v>
      </c>
      <c r="AM154" s="4">
        <f>VLOOKUP($N154,[2]Cultures!$B$4:$M$283,MATCH(AM$1,[2]Cultures!$B$3:$M$3,0),FALSE)</f>
        <v>0</v>
      </c>
      <c r="AN154" s="4">
        <f>VLOOKUP($N154,[2]Cultures!$B$4:$M$283,MATCH(AN$1,[2]Cultures!$B$3:$M$3,0),FALSE)</f>
        <v>0</v>
      </c>
      <c r="AO154" s="4">
        <f>VLOOKUP($N154,[2]Cultures!$B$4:$M$283,MATCH(AO$1,[2]Cultures!$B$3:$M$3,0),FALSE)</f>
        <v>0</v>
      </c>
      <c r="AP154" s="4">
        <f>VLOOKUP($N154,[2]Cultures!$B$4:$M$283,MATCH(AP$1,[2]Cultures!$B$3:$M$3,0),FALSE)</f>
        <v>0</v>
      </c>
      <c r="AQ154" s="4">
        <f>VLOOKUP($N154,[2]Cultures!$B$4:$M$283,MATCH(AQ$1,[2]Cultures!$B$3:$M$3,0),FALSE)</f>
        <v>0</v>
      </c>
      <c r="AR154" s="4">
        <f>VLOOKUP($N154,[2]Cultures!$B$4:$M$283,MATCH(AR$1,[2]Cultures!$B$3:$M$3,0),FALSE)</f>
        <v>0</v>
      </c>
      <c r="AS154" s="4">
        <f>VLOOKUP($N154,[2]Cultures!$B$4:$M$283,MATCH(AS$1,[2]Cultures!$B$3:$M$3,0),FALSE)</f>
        <v>0</v>
      </c>
      <c r="AT154" s="4"/>
      <c r="AU154" s="4">
        <f>IF(ISNUMBER(SEARCH(N154&amp;";",Calculations!$Q$19)),VLOOKUP(Skills!N154,Calculations!$Q$2:$T$16,4,FALSE),0)</f>
        <v>0</v>
      </c>
      <c r="AV154" s="4">
        <f>IF(ISNUMBER(SEARCH(N154&amp;";",Calculations!$Q$18)),1,0)</f>
        <v>0</v>
      </c>
      <c r="AW154" s="4">
        <f t="shared" si="71"/>
        <v>0</v>
      </c>
      <c r="AX154" s="4">
        <f>VLOOKUP($N154,$N154:$CH154,MATCH('Character Sheet'!$BJ$3,Skills!$N$1:$CH$1,0),FALSE)</f>
        <v>0</v>
      </c>
    </row>
    <row r="155" spans="2:50" x14ac:dyDescent="0.25">
      <c r="B155" s="4" t="e">
        <f t="shared" si="54"/>
        <v>#N/A</v>
      </c>
      <c r="E155" s="4"/>
      <c r="F155" s="4">
        <f t="shared" si="76"/>
        <v>0</v>
      </c>
      <c r="G155" s="4"/>
      <c r="H155" s="4" t="e">
        <f t="shared" si="82"/>
        <v>#N/A</v>
      </c>
      <c r="I155" s="4">
        <f t="shared" si="68"/>
        <v>1</v>
      </c>
      <c r="J155" s="4">
        <f t="shared" si="72"/>
        <v>0</v>
      </c>
      <c r="K155" s="4">
        <f t="shared" si="73"/>
        <v>0</v>
      </c>
      <c r="M155" t="str">
        <f t="shared" si="69"/>
        <v>Spinner</v>
      </c>
      <c r="N155" s="3" t="str">
        <f>'Character Sheet'!APZ39</f>
        <v>Spinner</v>
      </c>
      <c r="O155" s="4" t="s">
        <v>793</v>
      </c>
      <c r="P155" s="4" t="s">
        <v>784</v>
      </c>
      <c r="Q155" s="4">
        <f t="shared" si="57"/>
        <v>0</v>
      </c>
      <c r="R155" s="4">
        <f>IF(ISNUMBER(SEARCH("Category",N155)),"- -",IF(ISNUMBER(SEARCH("Skills",N155)),"- -",'Level-up'!C173))</f>
        <v>0</v>
      </c>
      <c r="S155" s="4">
        <f t="shared" si="74"/>
        <v>0</v>
      </c>
      <c r="T155" s="4">
        <f t="shared" si="75"/>
        <v>-25</v>
      </c>
      <c r="U155" s="4">
        <f t="shared" ca="1" si="77"/>
        <v>0</v>
      </c>
      <c r="V155" s="4">
        <f t="shared" si="70"/>
        <v>0</v>
      </c>
      <c r="W155" s="4">
        <f t="shared" si="58"/>
        <v>0</v>
      </c>
      <c r="X155" s="4">
        <f t="shared" si="55"/>
        <v>0</v>
      </c>
      <c r="Y155" s="4">
        <f t="shared" si="78"/>
        <v>0</v>
      </c>
      <c r="Z155" s="4">
        <f t="shared" si="79"/>
        <v>0</v>
      </c>
      <c r="AA155" s="4">
        <f t="shared" si="80"/>
        <v>0</v>
      </c>
      <c r="AB155" s="4">
        <f t="shared" si="81"/>
        <v>0</v>
      </c>
      <c r="AC155" s="8"/>
      <c r="AD155" s="4"/>
      <c r="AE155" s="4"/>
      <c r="AF155" s="4" t="str">
        <f t="shared" ca="1" si="83"/>
        <v>-25</v>
      </c>
      <c r="AG155" s="4"/>
      <c r="AH155" s="4">
        <f>IFERROR(VLOOKUP(M155,Calculations!$AC$2:$AD$251,2,FALSE),0)</f>
        <v>0</v>
      </c>
      <c r="AI155" s="4">
        <f>VLOOKUP(N155,$N$2:$AS$620,MATCH('Character Creation'!$Z$12,Skills!$N$1:$AS$1,0),FALSE)</f>
        <v>0</v>
      </c>
      <c r="AJ155" s="4">
        <f>VLOOKUP($N155,[2]Cultures!$B$4:$M$283,MATCH(AJ$1,[2]Cultures!$B$3:$M$3,0),FALSE)</f>
        <v>0</v>
      </c>
      <c r="AK155" s="4">
        <f>VLOOKUP($N155,[2]Cultures!$B$4:$M$283,MATCH(AK$1,[2]Cultures!$B$3:$M$3,0),FALSE)</f>
        <v>0</v>
      </c>
      <c r="AL155" s="4">
        <f>VLOOKUP($N155,[2]Cultures!$B$4:$M$283,MATCH(AL$1,[2]Cultures!$B$3:$M$3,0),FALSE)</f>
        <v>0</v>
      </c>
      <c r="AM155" s="4">
        <f>VLOOKUP($N155,[2]Cultures!$B$4:$M$283,MATCH(AM$1,[2]Cultures!$B$3:$M$3,0),FALSE)</f>
        <v>0</v>
      </c>
      <c r="AN155" s="4">
        <f>VLOOKUP($N155,[2]Cultures!$B$4:$M$283,MATCH(AN$1,[2]Cultures!$B$3:$M$3,0),FALSE)</f>
        <v>0</v>
      </c>
      <c r="AO155" s="4">
        <f>VLOOKUP($N155,[2]Cultures!$B$4:$M$283,MATCH(AO$1,[2]Cultures!$B$3:$M$3,0),FALSE)</f>
        <v>0</v>
      </c>
      <c r="AP155" s="4">
        <f>VLOOKUP($N155,[2]Cultures!$B$4:$M$283,MATCH(AP$1,[2]Cultures!$B$3:$M$3,0),FALSE)</f>
        <v>0</v>
      </c>
      <c r="AQ155" s="4">
        <f>VLOOKUP($N155,[2]Cultures!$B$4:$M$283,MATCH(AQ$1,[2]Cultures!$B$3:$M$3,0),FALSE)</f>
        <v>0</v>
      </c>
      <c r="AR155" s="4">
        <f>VLOOKUP($N155,[2]Cultures!$B$4:$M$283,MATCH(AR$1,[2]Cultures!$B$3:$M$3,0),FALSE)</f>
        <v>0</v>
      </c>
      <c r="AS155" s="4">
        <f>VLOOKUP($N155,[2]Cultures!$B$4:$M$283,MATCH(AS$1,[2]Cultures!$B$3:$M$3,0),FALSE)</f>
        <v>0</v>
      </c>
      <c r="AT155" s="4"/>
      <c r="AU155" s="4">
        <f>IF(ISNUMBER(SEARCH(N155&amp;";",Calculations!$Q$19)),VLOOKUP(Skills!N155,Calculations!$Q$2:$T$16,4,FALSE),0)</f>
        <v>0</v>
      </c>
      <c r="AV155" s="4">
        <f>IF(ISNUMBER(SEARCH(N155&amp;";",Calculations!$Q$18)),1,0)</f>
        <v>0</v>
      </c>
      <c r="AW155" s="4">
        <f t="shared" si="71"/>
        <v>0</v>
      </c>
      <c r="AX155" s="4">
        <f>VLOOKUP($N155,$N155:$CH155,MATCH('Character Sheet'!$BJ$3,Skills!$N$1:$CH$1,0),FALSE)</f>
        <v>0</v>
      </c>
    </row>
    <row r="156" spans="2:50" x14ac:dyDescent="0.25">
      <c r="B156" s="4" t="e">
        <f t="shared" si="54"/>
        <v>#N/A</v>
      </c>
      <c r="E156" s="4"/>
      <c r="F156" s="4">
        <f t="shared" si="76"/>
        <v>0</v>
      </c>
      <c r="G156" s="4"/>
      <c r="H156" s="4" t="e">
        <f t="shared" si="82"/>
        <v>#N/A</v>
      </c>
      <c r="I156" s="4">
        <f t="shared" si="68"/>
        <v>1</v>
      </c>
      <c r="J156" s="4">
        <f t="shared" si="72"/>
        <v>0</v>
      </c>
      <c r="K156" s="4">
        <f t="shared" si="73"/>
        <v>0</v>
      </c>
      <c r="M156" t="str">
        <f t="shared" si="69"/>
        <v>Stone Craft</v>
      </c>
      <c r="N156" s="3" t="str">
        <f>'Character Sheet'!APZ40</f>
        <v>Stone Craft</v>
      </c>
      <c r="O156" s="4" t="s">
        <v>793</v>
      </c>
      <c r="P156" s="4" t="s">
        <v>788</v>
      </c>
      <c r="Q156" s="4">
        <f t="shared" si="57"/>
        <v>0</v>
      </c>
      <c r="R156" s="4">
        <f>IF(ISNUMBER(SEARCH("Category",N156)),"- -",IF(ISNUMBER(SEARCH("Skills",N156)),"- -",'Level-up'!C174))</f>
        <v>0</v>
      </c>
      <c r="S156" s="4">
        <f t="shared" si="74"/>
        <v>0</v>
      </c>
      <c r="T156" s="4">
        <f t="shared" si="75"/>
        <v>-25</v>
      </c>
      <c r="U156" s="4">
        <f t="shared" ca="1" si="77"/>
        <v>5</v>
      </c>
      <c r="V156" s="4">
        <f t="shared" si="70"/>
        <v>0</v>
      </c>
      <c r="W156" s="4">
        <f t="shared" si="58"/>
        <v>0</v>
      </c>
      <c r="X156" s="4">
        <f t="shared" si="55"/>
        <v>0</v>
      </c>
      <c r="Y156" s="4">
        <f t="shared" si="78"/>
        <v>0</v>
      </c>
      <c r="Z156" s="4">
        <f t="shared" si="79"/>
        <v>0</v>
      </c>
      <c r="AA156" s="4">
        <f t="shared" si="80"/>
        <v>0</v>
      </c>
      <c r="AB156" s="4">
        <f t="shared" si="81"/>
        <v>0</v>
      </c>
      <c r="AC156" s="8"/>
      <c r="AD156" s="4"/>
      <c r="AE156" s="4"/>
      <c r="AF156" s="4" t="str">
        <f t="shared" ca="1" si="83"/>
        <v>-20</v>
      </c>
      <c r="AG156" s="4"/>
      <c r="AH156" s="4">
        <f>IFERROR(VLOOKUP(M156,Calculations!$AC$2:$AD$251,2,FALSE),0)</f>
        <v>0</v>
      </c>
      <c r="AI156" s="4">
        <f>VLOOKUP(N156,$N$2:$AS$620,MATCH('Character Creation'!$Z$12,Skills!$N$1:$AS$1,0),FALSE)</f>
        <v>0</v>
      </c>
      <c r="AJ156" s="4">
        <f>VLOOKUP($N156,[2]Cultures!$B$4:$M$283,MATCH(AJ$1,[2]Cultures!$B$3:$M$3,0),FALSE)</f>
        <v>0</v>
      </c>
      <c r="AK156" s="4">
        <f>VLOOKUP($N156,[2]Cultures!$B$4:$M$283,MATCH(AK$1,[2]Cultures!$B$3:$M$3,0),FALSE)</f>
        <v>0</v>
      </c>
      <c r="AL156" s="4">
        <f>VLOOKUP($N156,[2]Cultures!$B$4:$M$283,MATCH(AL$1,[2]Cultures!$B$3:$M$3,0),FALSE)</f>
        <v>0</v>
      </c>
      <c r="AM156" s="4">
        <f>VLOOKUP($N156,[2]Cultures!$B$4:$M$283,MATCH(AM$1,[2]Cultures!$B$3:$M$3,0),FALSE)</f>
        <v>0</v>
      </c>
      <c r="AN156" s="4">
        <f>VLOOKUP($N156,[2]Cultures!$B$4:$M$283,MATCH(AN$1,[2]Cultures!$B$3:$M$3,0),FALSE)</f>
        <v>0</v>
      </c>
      <c r="AO156" s="4">
        <f>VLOOKUP($N156,[2]Cultures!$B$4:$M$283,MATCH(AO$1,[2]Cultures!$B$3:$M$3,0),FALSE)</f>
        <v>0</v>
      </c>
      <c r="AP156" s="4">
        <f>VLOOKUP($N156,[2]Cultures!$B$4:$M$283,MATCH(AP$1,[2]Cultures!$B$3:$M$3,0),FALSE)</f>
        <v>0</v>
      </c>
      <c r="AQ156" s="4">
        <f>VLOOKUP($N156,[2]Cultures!$B$4:$M$283,MATCH(AQ$1,[2]Cultures!$B$3:$M$3,0),FALSE)</f>
        <v>0</v>
      </c>
      <c r="AR156" s="4">
        <f>VLOOKUP($N156,[2]Cultures!$B$4:$M$283,MATCH(AR$1,[2]Cultures!$B$3:$M$3,0),FALSE)</f>
        <v>0</v>
      </c>
      <c r="AS156" s="4">
        <f>VLOOKUP($N156,[2]Cultures!$B$4:$M$283,MATCH(AS$1,[2]Cultures!$B$3:$M$3,0),FALSE)</f>
        <v>0</v>
      </c>
      <c r="AT156" s="4"/>
      <c r="AU156" s="4">
        <f>IF(ISNUMBER(SEARCH(N156&amp;";",Calculations!$Q$19)),VLOOKUP(Skills!N156,Calculations!$Q$2:$T$16,4,FALSE),0)</f>
        <v>0</v>
      </c>
      <c r="AV156" s="4">
        <f>IF(ISNUMBER(SEARCH(N156&amp;";",Calculations!$Q$18)),1,0)</f>
        <v>0</v>
      </c>
      <c r="AW156" s="4">
        <f t="shared" si="71"/>
        <v>0</v>
      </c>
      <c r="AX156" s="4">
        <f>VLOOKUP($N156,$N156:$CH156,MATCH('Character Sheet'!$BJ$3,Skills!$N$1:$CH$1,0),FALSE)</f>
        <v>0</v>
      </c>
    </row>
    <row r="157" spans="2:50" x14ac:dyDescent="0.25">
      <c r="B157" s="4" t="e">
        <f t="shared" si="54"/>
        <v>#N/A</v>
      </c>
      <c r="E157" s="4"/>
      <c r="F157" s="4">
        <f t="shared" si="76"/>
        <v>0</v>
      </c>
      <c r="G157" s="4"/>
      <c r="H157" s="4" t="e">
        <f t="shared" si="82"/>
        <v>#N/A</v>
      </c>
      <c r="I157" s="4">
        <f t="shared" si="68"/>
        <v>1</v>
      </c>
      <c r="J157" s="4">
        <f t="shared" si="72"/>
        <v>0</v>
      </c>
      <c r="K157" s="4">
        <f t="shared" si="73"/>
        <v>0</v>
      </c>
      <c r="M157" t="str">
        <f t="shared" si="69"/>
        <v>Tanner</v>
      </c>
      <c r="N157" s="3" t="str">
        <f>'Character Sheet'!APZ41</f>
        <v>Tanner</v>
      </c>
      <c r="O157" s="4" t="s">
        <v>793</v>
      </c>
      <c r="P157" s="4" t="s">
        <v>784</v>
      </c>
      <c r="Q157" s="4">
        <f t="shared" si="57"/>
        <v>0</v>
      </c>
      <c r="R157" s="4">
        <f>IF(ISNUMBER(SEARCH("Category",N157)),"- -",IF(ISNUMBER(SEARCH("Skills",N157)),"- -",'Level-up'!C175))</f>
        <v>0</v>
      </c>
      <c r="S157" s="4">
        <f t="shared" si="74"/>
        <v>0</v>
      </c>
      <c r="T157" s="4">
        <f t="shared" si="75"/>
        <v>-25</v>
      </c>
      <c r="U157" s="4">
        <f t="shared" ca="1" si="77"/>
        <v>0</v>
      </c>
      <c r="V157" s="4">
        <f t="shared" si="70"/>
        <v>0</v>
      </c>
      <c r="W157" s="4">
        <f t="shared" si="58"/>
        <v>0</v>
      </c>
      <c r="X157" s="4">
        <f t="shared" si="55"/>
        <v>0</v>
      </c>
      <c r="Y157" s="4">
        <f t="shared" si="78"/>
        <v>0</v>
      </c>
      <c r="Z157" s="4">
        <f t="shared" si="79"/>
        <v>0</v>
      </c>
      <c r="AA157" s="4">
        <f t="shared" si="80"/>
        <v>0</v>
      </c>
      <c r="AB157" s="4">
        <f t="shared" si="81"/>
        <v>0</v>
      </c>
      <c r="AC157" s="8"/>
      <c r="AD157" s="4"/>
      <c r="AE157" s="4"/>
      <c r="AF157" s="4" t="str">
        <f t="shared" ca="1" si="83"/>
        <v>-25</v>
      </c>
      <c r="AG157" s="4"/>
      <c r="AH157" s="4">
        <f>IFERROR(VLOOKUP(M157,Calculations!$AC$2:$AD$251,2,FALSE),0)</f>
        <v>0</v>
      </c>
      <c r="AI157" s="4">
        <f>VLOOKUP(N157,$N$2:$AS$620,MATCH('Character Creation'!$Z$12,Skills!$N$1:$AS$1,0),FALSE)</f>
        <v>0</v>
      </c>
      <c r="AJ157" s="4">
        <f>VLOOKUP($N157,[2]Cultures!$B$4:$M$283,MATCH(AJ$1,[2]Cultures!$B$3:$M$3,0),FALSE)</f>
        <v>0</v>
      </c>
      <c r="AK157" s="4">
        <f>VLOOKUP($N157,[2]Cultures!$B$4:$M$283,MATCH(AK$1,[2]Cultures!$B$3:$M$3,0),FALSE)</f>
        <v>0</v>
      </c>
      <c r="AL157" s="4">
        <f>VLOOKUP($N157,[2]Cultures!$B$4:$M$283,MATCH(AL$1,[2]Cultures!$B$3:$M$3,0),FALSE)</f>
        <v>0</v>
      </c>
      <c r="AM157" s="4">
        <f>VLOOKUP($N157,[2]Cultures!$B$4:$M$283,MATCH(AM$1,[2]Cultures!$B$3:$M$3,0),FALSE)</f>
        <v>0</v>
      </c>
      <c r="AN157" s="4">
        <f>VLOOKUP($N157,[2]Cultures!$B$4:$M$283,MATCH(AN$1,[2]Cultures!$B$3:$M$3,0),FALSE)</f>
        <v>0</v>
      </c>
      <c r="AO157" s="4">
        <f>VLOOKUP($N157,[2]Cultures!$B$4:$M$283,MATCH(AO$1,[2]Cultures!$B$3:$M$3,0),FALSE)</f>
        <v>0</v>
      </c>
      <c r="AP157" s="4">
        <f>VLOOKUP($N157,[2]Cultures!$B$4:$M$283,MATCH(AP$1,[2]Cultures!$B$3:$M$3,0),FALSE)</f>
        <v>0</v>
      </c>
      <c r="AQ157" s="4">
        <f>VLOOKUP($N157,[2]Cultures!$B$4:$M$283,MATCH(AQ$1,[2]Cultures!$B$3:$M$3,0),FALSE)</f>
        <v>0</v>
      </c>
      <c r="AR157" s="4">
        <f>VLOOKUP($N157,[2]Cultures!$B$4:$M$283,MATCH(AR$1,[2]Cultures!$B$3:$M$3,0),FALSE)</f>
        <v>0</v>
      </c>
      <c r="AS157" s="4">
        <f>VLOOKUP($N157,[2]Cultures!$B$4:$M$283,MATCH(AS$1,[2]Cultures!$B$3:$M$3,0),FALSE)</f>
        <v>0</v>
      </c>
      <c r="AT157" s="4"/>
      <c r="AU157" s="4">
        <f>IF(ISNUMBER(SEARCH(N157&amp;";",Calculations!$Q$19)),VLOOKUP(Skills!N157,Calculations!$Q$2:$T$16,4,FALSE),0)</f>
        <v>0</v>
      </c>
      <c r="AV157" s="4">
        <f>IF(ISNUMBER(SEARCH(N157&amp;";",Calculations!$Q$18)),1,0)</f>
        <v>0</v>
      </c>
      <c r="AW157" s="4">
        <f t="shared" si="71"/>
        <v>0</v>
      </c>
      <c r="AX157" s="4">
        <f>VLOOKUP($N157,$N157:$CH157,MATCH('Character Sheet'!$BJ$3,Skills!$N$1:$CH$1,0),FALSE)</f>
        <v>0</v>
      </c>
    </row>
    <row r="158" spans="2:50" x14ac:dyDescent="0.25">
      <c r="B158" s="4" t="e">
        <f t="shared" si="54"/>
        <v>#N/A</v>
      </c>
      <c r="E158" s="4"/>
      <c r="F158" s="4">
        <f t="shared" si="76"/>
        <v>0</v>
      </c>
      <c r="G158" s="4"/>
      <c r="H158" s="4" t="e">
        <f t="shared" si="82"/>
        <v>#N/A</v>
      </c>
      <c r="I158" s="4">
        <f t="shared" si="68"/>
        <v>1</v>
      </c>
      <c r="J158" s="4">
        <f t="shared" si="72"/>
        <v>0</v>
      </c>
      <c r="K158" s="4">
        <f t="shared" si="73"/>
        <v>0</v>
      </c>
      <c r="M158" t="str">
        <f t="shared" si="69"/>
        <v>Taxidermist</v>
      </c>
      <c r="N158" s="3" t="str">
        <f>'Character Sheet'!APZ42</f>
        <v>Taxidermist</v>
      </c>
      <c r="O158" s="4" t="s">
        <v>793</v>
      </c>
      <c r="P158" s="4" t="s">
        <v>784</v>
      </c>
      <c r="Q158" s="4">
        <f t="shared" si="57"/>
        <v>0</v>
      </c>
      <c r="R158" s="4">
        <f>IF(ISNUMBER(SEARCH("Category",N158)),"- -",IF(ISNUMBER(SEARCH("Skills",N158)),"- -",'Level-up'!C176))</f>
        <v>0</v>
      </c>
      <c r="S158" s="4">
        <f t="shared" si="74"/>
        <v>0</v>
      </c>
      <c r="T158" s="4">
        <f t="shared" si="75"/>
        <v>-25</v>
      </c>
      <c r="U158" s="4">
        <f t="shared" ca="1" si="77"/>
        <v>0</v>
      </c>
      <c r="V158" s="4">
        <f t="shared" si="70"/>
        <v>0</v>
      </c>
      <c r="W158" s="4">
        <f t="shared" si="58"/>
        <v>0</v>
      </c>
      <c r="X158" s="4">
        <f t="shared" si="55"/>
        <v>0</v>
      </c>
      <c r="Y158" s="4">
        <f t="shared" si="78"/>
        <v>0</v>
      </c>
      <c r="Z158" s="4">
        <f t="shared" si="79"/>
        <v>0</v>
      </c>
      <c r="AA158" s="4">
        <f t="shared" si="80"/>
        <v>0</v>
      </c>
      <c r="AB158" s="4">
        <f t="shared" si="81"/>
        <v>0</v>
      </c>
      <c r="AC158" s="8"/>
      <c r="AD158" s="4"/>
      <c r="AE158" s="4"/>
      <c r="AF158" s="4" t="str">
        <f t="shared" ca="1" si="83"/>
        <v>-25</v>
      </c>
      <c r="AG158" s="4"/>
      <c r="AH158" s="4">
        <f>IFERROR(VLOOKUP(M158,Calculations!$AC$2:$AD$251,2,FALSE),0)</f>
        <v>0</v>
      </c>
      <c r="AI158" s="4">
        <f>VLOOKUP(N158,$N$2:$AS$620,MATCH('Character Creation'!$Z$12,Skills!$N$1:$AS$1,0),FALSE)</f>
        <v>0</v>
      </c>
      <c r="AJ158" s="4">
        <f>VLOOKUP($N158,[2]Cultures!$B$4:$M$283,MATCH(AJ$1,[2]Cultures!$B$3:$M$3,0),FALSE)</f>
        <v>0</v>
      </c>
      <c r="AK158" s="4">
        <f>VLOOKUP($N158,[2]Cultures!$B$4:$M$283,MATCH(AK$1,[2]Cultures!$B$3:$M$3,0),FALSE)</f>
        <v>0</v>
      </c>
      <c r="AL158" s="4">
        <f>VLOOKUP($N158,[2]Cultures!$B$4:$M$283,MATCH(AL$1,[2]Cultures!$B$3:$M$3,0),FALSE)</f>
        <v>0</v>
      </c>
      <c r="AM158" s="4">
        <f>VLOOKUP($N158,[2]Cultures!$B$4:$M$283,MATCH(AM$1,[2]Cultures!$B$3:$M$3,0),FALSE)</f>
        <v>0</v>
      </c>
      <c r="AN158" s="4">
        <f>VLOOKUP($N158,[2]Cultures!$B$4:$M$283,MATCH(AN$1,[2]Cultures!$B$3:$M$3,0),FALSE)</f>
        <v>0</v>
      </c>
      <c r="AO158" s="4">
        <f>VLOOKUP($N158,[2]Cultures!$B$4:$M$283,MATCH(AO$1,[2]Cultures!$B$3:$M$3,0),FALSE)</f>
        <v>0</v>
      </c>
      <c r="AP158" s="4">
        <f>VLOOKUP($N158,[2]Cultures!$B$4:$M$283,MATCH(AP$1,[2]Cultures!$B$3:$M$3,0),FALSE)</f>
        <v>0</v>
      </c>
      <c r="AQ158" s="4">
        <f>VLOOKUP($N158,[2]Cultures!$B$4:$M$283,MATCH(AQ$1,[2]Cultures!$B$3:$M$3,0),FALSE)</f>
        <v>0</v>
      </c>
      <c r="AR158" s="4">
        <f>VLOOKUP($N158,[2]Cultures!$B$4:$M$283,MATCH(AR$1,[2]Cultures!$B$3:$M$3,0),FALSE)</f>
        <v>0</v>
      </c>
      <c r="AS158" s="4">
        <f>VLOOKUP($N158,[2]Cultures!$B$4:$M$283,MATCH(AS$1,[2]Cultures!$B$3:$M$3,0),FALSE)</f>
        <v>0</v>
      </c>
      <c r="AT158" s="4"/>
      <c r="AU158" s="4">
        <f>IF(ISNUMBER(SEARCH(N158&amp;";",Calculations!$Q$19)),VLOOKUP(Skills!N158,Calculations!$Q$2:$T$16,4,FALSE),0)</f>
        <v>0</v>
      </c>
      <c r="AV158" s="4">
        <f>IF(ISNUMBER(SEARCH(N158&amp;";",Calculations!$Q$18)),1,0)</f>
        <v>0</v>
      </c>
      <c r="AW158" s="4">
        <f t="shared" si="71"/>
        <v>0</v>
      </c>
      <c r="AX158" s="4">
        <f>VLOOKUP($N158,$N158:$CH158,MATCH('Character Sheet'!$BJ$3,Skills!$N$1:$CH$1,0),FALSE)</f>
        <v>0</v>
      </c>
    </row>
    <row r="159" spans="2:50" x14ac:dyDescent="0.25">
      <c r="B159" s="4" t="e">
        <f t="shared" ref="B159:B222" si="84">IF(A159="Y",B158+1,IF(A159="N",B158,IF(S159="- -",B158,IF(S159&gt;0,B158+1,B158))))</f>
        <v>#N/A</v>
      </c>
      <c r="E159" s="4"/>
      <c r="F159" s="4">
        <f t="shared" si="76"/>
        <v>0</v>
      </c>
      <c r="G159" s="4"/>
      <c r="H159" s="4" t="e">
        <f t="shared" si="82"/>
        <v>#N/A</v>
      </c>
      <c r="I159" s="4">
        <f t="shared" si="68"/>
        <v>1</v>
      </c>
      <c r="J159" s="4">
        <f t="shared" si="72"/>
        <v>0</v>
      </c>
      <c r="K159" s="4">
        <f t="shared" si="73"/>
        <v>0</v>
      </c>
      <c r="M159" t="str">
        <f t="shared" si="69"/>
        <v>Tin Smith</v>
      </c>
      <c r="N159" s="3" t="str">
        <f>'Character Sheet'!APZ43</f>
        <v>Tin Smith</v>
      </c>
      <c r="O159" s="4" t="s">
        <v>793</v>
      </c>
      <c r="P159" s="4" t="s">
        <v>784</v>
      </c>
      <c r="Q159" s="4">
        <f t="shared" si="57"/>
        <v>0</v>
      </c>
      <c r="R159" s="4">
        <f>IF(ISNUMBER(SEARCH("Category",N159)),"- -",IF(ISNUMBER(SEARCH("Skills",N159)),"- -",'Level-up'!C177))</f>
        <v>0</v>
      </c>
      <c r="S159" s="4">
        <f t="shared" si="74"/>
        <v>0</v>
      </c>
      <c r="T159" s="4">
        <f t="shared" si="75"/>
        <v>-25</v>
      </c>
      <c r="U159" s="4">
        <f t="shared" ca="1" si="77"/>
        <v>0</v>
      </c>
      <c r="V159" s="4">
        <f t="shared" si="70"/>
        <v>0</v>
      </c>
      <c r="W159" s="4">
        <f t="shared" si="58"/>
        <v>0</v>
      </c>
      <c r="X159" s="4">
        <f t="shared" si="55"/>
        <v>0</v>
      </c>
      <c r="Y159" s="4">
        <f t="shared" si="78"/>
        <v>0</v>
      </c>
      <c r="Z159" s="4">
        <f t="shared" si="79"/>
        <v>0</v>
      </c>
      <c r="AA159" s="4">
        <f t="shared" si="80"/>
        <v>0</v>
      </c>
      <c r="AB159" s="4">
        <f t="shared" si="81"/>
        <v>0</v>
      </c>
      <c r="AC159" s="8"/>
      <c r="AD159" s="4"/>
      <c r="AE159" s="4"/>
      <c r="AF159" s="4" t="str">
        <f t="shared" ca="1" si="83"/>
        <v>-25</v>
      </c>
      <c r="AG159" s="4"/>
      <c r="AH159" s="4">
        <f>IFERROR(VLOOKUP(M159,Calculations!$AC$2:$AD$251,2,FALSE),0)</f>
        <v>0</v>
      </c>
      <c r="AI159" s="4">
        <f>VLOOKUP(N159,$N$2:$AS$620,MATCH('Character Creation'!$Z$12,Skills!$N$1:$AS$1,0),FALSE)</f>
        <v>0</v>
      </c>
      <c r="AJ159" s="4">
        <f>VLOOKUP($N159,[2]Cultures!$B$4:$M$283,MATCH(AJ$1,[2]Cultures!$B$3:$M$3,0),FALSE)</f>
        <v>0</v>
      </c>
      <c r="AK159" s="4">
        <f>VLOOKUP($N159,[2]Cultures!$B$4:$M$283,MATCH(AK$1,[2]Cultures!$B$3:$M$3,0),FALSE)</f>
        <v>0</v>
      </c>
      <c r="AL159" s="4">
        <f>VLOOKUP($N159,[2]Cultures!$B$4:$M$283,MATCH(AL$1,[2]Cultures!$B$3:$M$3,0),FALSE)</f>
        <v>0</v>
      </c>
      <c r="AM159" s="4">
        <f>VLOOKUP($N159,[2]Cultures!$B$4:$M$283,MATCH(AM$1,[2]Cultures!$B$3:$M$3,0),FALSE)</f>
        <v>0</v>
      </c>
      <c r="AN159" s="4">
        <f>VLOOKUP($N159,[2]Cultures!$B$4:$M$283,MATCH(AN$1,[2]Cultures!$B$3:$M$3,0),FALSE)</f>
        <v>0</v>
      </c>
      <c r="AO159" s="4">
        <f>VLOOKUP($N159,[2]Cultures!$B$4:$M$283,MATCH(AO$1,[2]Cultures!$B$3:$M$3,0),FALSE)</f>
        <v>0</v>
      </c>
      <c r="AP159" s="4">
        <f>VLOOKUP($N159,[2]Cultures!$B$4:$M$283,MATCH(AP$1,[2]Cultures!$B$3:$M$3,0),FALSE)</f>
        <v>0</v>
      </c>
      <c r="AQ159" s="4">
        <f>VLOOKUP($N159,[2]Cultures!$B$4:$M$283,MATCH(AQ$1,[2]Cultures!$B$3:$M$3,0),FALSE)</f>
        <v>0</v>
      </c>
      <c r="AR159" s="4">
        <f>VLOOKUP($N159,[2]Cultures!$B$4:$M$283,MATCH(AR$1,[2]Cultures!$B$3:$M$3,0),FALSE)</f>
        <v>0</v>
      </c>
      <c r="AS159" s="4">
        <f>VLOOKUP($N159,[2]Cultures!$B$4:$M$283,MATCH(AS$1,[2]Cultures!$B$3:$M$3,0),FALSE)</f>
        <v>0</v>
      </c>
      <c r="AT159" s="4"/>
      <c r="AU159" s="4">
        <f>IF(ISNUMBER(SEARCH(N159&amp;";",Calculations!$Q$19)),VLOOKUP(Skills!N159,Calculations!$Q$2:$T$16,4,FALSE),0)</f>
        <v>0</v>
      </c>
      <c r="AV159" s="4">
        <f>IF(ISNUMBER(SEARCH(N159&amp;";",Calculations!$Q$18)),1,0)</f>
        <v>0</v>
      </c>
      <c r="AW159" s="4">
        <f t="shared" si="71"/>
        <v>0</v>
      </c>
      <c r="AX159" s="4">
        <f>VLOOKUP($N159,$N159:$CH159,MATCH('Character Sheet'!$BJ$3,Skills!$N$1:$CH$1,0),FALSE)</f>
        <v>0</v>
      </c>
    </row>
    <row r="160" spans="2:50" x14ac:dyDescent="0.25">
      <c r="B160" s="4" t="e">
        <f t="shared" si="84"/>
        <v>#N/A</v>
      </c>
      <c r="E160" s="4"/>
      <c r="F160" s="4">
        <f t="shared" si="76"/>
        <v>0</v>
      </c>
      <c r="G160" s="4"/>
      <c r="H160" s="4" t="e">
        <f t="shared" si="82"/>
        <v>#N/A</v>
      </c>
      <c r="I160" s="4">
        <f t="shared" si="68"/>
        <v>1</v>
      </c>
      <c r="J160" s="4">
        <f t="shared" si="72"/>
        <v>0</v>
      </c>
      <c r="K160" s="4">
        <f t="shared" si="73"/>
        <v>0</v>
      </c>
      <c r="M160" t="str">
        <f t="shared" si="69"/>
        <v>Tooler</v>
      </c>
      <c r="N160" s="3" t="str">
        <f>'Character Sheet'!APZ44</f>
        <v>Tooler</v>
      </c>
      <c r="O160" s="4" t="s">
        <v>793</v>
      </c>
      <c r="P160" s="4" t="s">
        <v>784</v>
      </c>
      <c r="Q160" s="4">
        <f t="shared" si="57"/>
        <v>0</v>
      </c>
      <c r="R160" s="4">
        <f>IF(ISNUMBER(SEARCH("Category",N160)),"- -",IF(ISNUMBER(SEARCH("Skills",N160)),"- -",'Level-up'!C178))</f>
        <v>0</v>
      </c>
      <c r="S160" s="4">
        <f t="shared" si="74"/>
        <v>0</v>
      </c>
      <c r="T160" s="4">
        <f t="shared" si="75"/>
        <v>-25</v>
      </c>
      <c r="U160" s="4">
        <f t="shared" ca="1" si="77"/>
        <v>0</v>
      </c>
      <c r="V160" s="4">
        <f t="shared" si="70"/>
        <v>0</v>
      </c>
      <c r="W160" s="4">
        <f t="shared" si="58"/>
        <v>0</v>
      </c>
      <c r="X160" s="4">
        <f t="shared" si="55"/>
        <v>0</v>
      </c>
      <c r="Y160" s="4">
        <f t="shared" si="78"/>
        <v>0</v>
      </c>
      <c r="Z160" s="4">
        <f t="shared" si="79"/>
        <v>0</v>
      </c>
      <c r="AA160" s="4">
        <f t="shared" si="80"/>
        <v>0</v>
      </c>
      <c r="AB160" s="4">
        <f t="shared" si="81"/>
        <v>0</v>
      </c>
      <c r="AC160" s="8"/>
      <c r="AD160" s="4"/>
      <c r="AE160" s="4"/>
      <c r="AF160" s="4" t="str">
        <f t="shared" ca="1" si="83"/>
        <v>-25</v>
      </c>
      <c r="AG160" s="4"/>
      <c r="AH160" s="4">
        <f>IFERROR(VLOOKUP(M160,Calculations!$AC$2:$AD$251,2,FALSE),0)</f>
        <v>0</v>
      </c>
      <c r="AI160" s="4">
        <f>VLOOKUP(N160,$N$2:$AS$620,MATCH('Character Creation'!$Z$12,Skills!$N$1:$AS$1,0),FALSE)</f>
        <v>0</v>
      </c>
      <c r="AJ160" s="4">
        <f>VLOOKUP($N160,[2]Cultures!$B$4:$M$283,MATCH(AJ$1,[2]Cultures!$B$3:$M$3,0),FALSE)</f>
        <v>0</v>
      </c>
      <c r="AK160" s="4">
        <f>VLOOKUP($N160,[2]Cultures!$B$4:$M$283,MATCH(AK$1,[2]Cultures!$B$3:$M$3,0),FALSE)</f>
        <v>0</v>
      </c>
      <c r="AL160" s="4">
        <f>VLOOKUP($N160,[2]Cultures!$B$4:$M$283,MATCH(AL$1,[2]Cultures!$B$3:$M$3,0),FALSE)</f>
        <v>0</v>
      </c>
      <c r="AM160" s="4">
        <f>VLOOKUP($N160,[2]Cultures!$B$4:$M$283,MATCH(AM$1,[2]Cultures!$B$3:$M$3,0),FALSE)</f>
        <v>0</v>
      </c>
      <c r="AN160" s="4">
        <f>VLOOKUP($N160,[2]Cultures!$B$4:$M$283,MATCH(AN$1,[2]Cultures!$B$3:$M$3,0),FALSE)</f>
        <v>0</v>
      </c>
      <c r="AO160" s="4">
        <f>VLOOKUP($N160,[2]Cultures!$B$4:$M$283,MATCH(AO$1,[2]Cultures!$B$3:$M$3,0),FALSE)</f>
        <v>0</v>
      </c>
      <c r="AP160" s="4">
        <f>VLOOKUP($N160,[2]Cultures!$B$4:$M$283,MATCH(AP$1,[2]Cultures!$B$3:$M$3,0),FALSE)</f>
        <v>0</v>
      </c>
      <c r="AQ160" s="4">
        <f>VLOOKUP($N160,[2]Cultures!$B$4:$M$283,MATCH(AQ$1,[2]Cultures!$B$3:$M$3,0),FALSE)</f>
        <v>0</v>
      </c>
      <c r="AR160" s="4">
        <f>VLOOKUP($N160,[2]Cultures!$B$4:$M$283,MATCH(AR$1,[2]Cultures!$B$3:$M$3,0),FALSE)</f>
        <v>0</v>
      </c>
      <c r="AS160" s="4">
        <f>VLOOKUP($N160,[2]Cultures!$B$4:$M$283,MATCH(AS$1,[2]Cultures!$B$3:$M$3,0),FALSE)</f>
        <v>0</v>
      </c>
      <c r="AT160" s="4"/>
      <c r="AU160" s="4">
        <f>IF(ISNUMBER(SEARCH(N160&amp;";",Calculations!$Q$19)),VLOOKUP(Skills!N160,Calculations!$Q$2:$T$16,4,FALSE),0)</f>
        <v>0</v>
      </c>
      <c r="AV160" s="4">
        <f>IF(ISNUMBER(SEARCH(N160&amp;";",Calculations!$Q$18)),1,0)</f>
        <v>0</v>
      </c>
      <c r="AW160" s="4">
        <f t="shared" si="71"/>
        <v>0</v>
      </c>
      <c r="AX160" s="4">
        <f>VLOOKUP($N160,$N160:$CH160,MATCH('Character Sheet'!$BJ$3,Skills!$N$1:$CH$1,0),FALSE)</f>
        <v>0</v>
      </c>
    </row>
    <row r="161" spans="1:50" x14ac:dyDescent="0.25">
      <c r="B161" s="4" t="e">
        <f t="shared" si="84"/>
        <v>#N/A</v>
      </c>
      <c r="E161" s="4"/>
      <c r="F161" s="4">
        <f t="shared" si="76"/>
        <v>0</v>
      </c>
      <c r="G161" s="4"/>
      <c r="H161" s="4" t="e">
        <f t="shared" si="82"/>
        <v>#N/A</v>
      </c>
      <c r="I161" s="4">
        <f t="shared" si="68"/>
        <v>1</v>
      </c>
      <c r="J161" s="4">
        <f t="shared" si="72"/>
        <v>0</v>
      </c>
      <c r="K161" s="4">
        <f t="shared" si="73"/>
        <v>0</v>
      </c>
      <c r="M161" t="str">
        <f t="shared" si="69"/>
        <v>Upholstery</v>
      </c>
      <c r="N161" s="3" t="str">
        <f>'Character Sheet'!APZ45</f>
        <v>Upholstery</v>
      </c>
      <c r="O161" s="4" t="s">
        <v>793</v>
      </c>
      <c r="P161" s="4" t="s">
        <v>784</v>
      </c>
      <c r="Q161" s="4">
        <f t="shared" si="57"/>
        <v>0</v>
      </c>
      <c r="R161" s="4">
        <f>IF(ISNUMBER(SEARCH("Category",N161)),"- -",IF(ISNUMBER(SEARCH("Skills",N161)),"- -",'Level-up'!C179))</f>
        <v>0</v>
      </c>
      <c r="S161" s="4">
        <f t="shared" si="74"/>
        <v>0</v>
      </c>
      <c r="T161" s="4">
        <f t="shared" si="75"/>
        <v>-25</v>
      </c>
      <c r="U161" s="4">
        <f t="shared" ca="1" si="77"/>
        <v>0</v>
      </c>
      <c r="V161" s="4">
        <f t="shared" si="70"/>
        <v>0</v>
      </c>
      <c r="W161" s="4">
        <f t="shared" si="58"/>
        <v>0</v>
      </c>
      <c r="X161" s="4">
        <f t="shared" ref="X161:X224" si="85">IF(ISNUMBER(SEARCH("Category",N161)),"- -",IF(ISNUMBER(SEARCH("Skills",N161)),"- -",0))</f>
        <v>0</v>
      </c>
      <c r="Y161" s="4">
        <f t="shared" si="78"/>
        <v>0</v>
      </c>
      <c r="Z161" s="4">
        <f t="shared" si="79"/>
        <v>0</v>
      </c>
      <c r="AA161" s="4">
        <f t="shared" si="80"/>
        <v>0</v>
      </c>
      <c r="AB161" s="4">
        <f t="shared" si="81"/>
        <v>0</v>
      </c>
      <c r="AC161" s="8"/>
      <c r="AD161" s="4"/>
      <c r="AE161" s="4"/>
      <c r="AF161" s="4" t="str">
        <f t="shared" ca="1" si="83"/>
        <v>-25</v>
      </c>
      <c r="AG161" s="4"/>
      <c r="AH161" s="4">
        <f>IFERROR(VLOOKUP(M161,Calculations!$AC$2:$AD$251,2,FALSE),0)</f>
        <v>0</v>
      </c>
      <c r="AI161" s="4">
        <f>VLOOKUP(N161,$N$2:$AS$620,MATCH('Character Creation'!$Z$12,Skills!$N$1:$AS$1,0),FALSE)</f>
        <v>0</v>
      </c>
      <c r="AJ161" s="4">
        <f>VLOOKUP($N161,[2]Cultures!$B$4:$M$283,MATCH(AJ$1,[2]Cultures!$B$3:$M$3,0),FALSE)</f>
        <v>0</v>
      </c>
      <c r="AK161" s="4">
        <f>VLOOKUP($N161,[2]Cultures!$B$4:$M$283,MATCH(AK$1,[2]Cultures!$B$3:$M$3,0),FALSE)</f>
        <v>0</v>
      </c>
      <c r="AL161" s="4">
        <f>VLOOKUP($N161,[2]Cultures!$B$4:$M$283,MATCH(AL$1,[2]Cultures!$B$3:$M$3,0),FALSE)</f>
        <v>0</v>
      </c>
      <c r="AM161" s="4">
        <f>VLOOKUP($N161,[2]Cultures!$B$4:$M$283,MATCH(AM$1,[2]Cultures!$B$3:$M$3,0),FALSE)</f>
        <v>0</v>
      </c>
      <c r="AN161" s="4">
        <f>VLOOKUP($N161,[2]Cultures!$B$4:$M$283,MATCH(AN$1,[2]Cultures!$B$3:$M$3,0),FALSE)</f>
        <v>0</v>
      </c>
      <c r="AO161" s="4">
        <f>VLOOKUP($N161,[2]Cultures!$B$4:$M$283,MATCH(AO$1,[2]Cultures!$B$3:$M$3,0),FALSE)</f>
        <v>0</v>
      </c>
      <c r="AP161" s="4">
        <f>VLOOKUP($N161,[2]Cultures!$B$4:$M$283,MATCH(AP$1,[2]Cultures!$B$3:$M$3,0),FALSE)</f>
        <v>0</v>
      </c>
      <c r="AQ161" s="4">
        <f>VLOOKUP($N161,[2]Cultures!$B$4:$M$283,MATCH(AQ$1,[2]Cultures!$B$3:$M$3,0),FALSE)</f>
        <v>0</v>
      </c>
      <c r="AR161" s="4">
        <f>VLOOKUP($N161,[2]Cultures!$B$4:$M$283,MATCH(AR$1,[2]Cultures!$B$3:$M$3,0),FALSE)</f>
        <v>0</v>
      </c>
      <c r="AS161" s="4">
        <f>VLOOKUP($N161,[2]Cultures!$B$4:$M$283,MATCH(AS$1,[2]Cultures!$B$3:$M$3,0),FALSE)</f>
        <v>0</v>
      </c>
      <c r="AT161" s="4"/>
      <c r="AU161" s="4">
        <f>IF(ISNUMBER(SEARCH(N161&amp;";",Calculations!$Q$19)),VLOOKUP(Skills!N161,Calculations!$Q$2:$T$16,4,FALSE),0)</f>
        <v>0</v>
      </c>
      <c r="AV161" s="4">
        <f>IF(ISNUMBER(SEARCH(N161&amp;";",Calculations!$Q$18)),1,0)</f>
        <v>0</v>
      </c>
      <c r="AW161" s="4">
        <f t="shared" si="71"/>
        <v>0</v>
      </c>
      <c r="AX161" s="4">
        <f>VLOOKUP($N161,$N161:$CH161,MATCH('Character Sheet'!$BJ$3,Skills!$N$1:$CH$1,0),FALSE)</f>
        <v>0</v>
      </c>
    </row>
    <row r="162" spans="1:50" x14ac:dyDescent="0.25">
      <c r="B162" s="4" t="e">
        <f t="shared" si="84"/>
        <v>#N/A</v>
      </c>
      <c r="E162" s="4"/>
      <c r="F162" s="4">
        <f t="shared" si="76"/>
        <v>0</v>
      </c>
      <c r="G162" s="4"/>
      <c r="H162" s="4" t="e">
        <f t="shared" si="82"/>
        <v>#N/A</v>
      </c>
      <c r="I162" s="4">
        <f t="shared" si="68"/>
        <v>1</v>
      </c>
      <c r="J162" s="4">
        <f t="shared" si="72"/>
        <v>0</v>
      </c>
      <c r="K162" s="4">
        <f t="shared" ref="K162:K168" si="86">IF(ISNUMBER(SEARCH("Category",N162)),K163,AI162)</f>
        <v>0</v>
      </c>
      <c r="M162" t="str">
        <f t="shared" si="69"/>
        <v>Wainwright</v>
      </c>
      <c r="N162" s="3" t="str">
        <f>'Character Sheet'!APZ46</f>
        <v>Wainwright</v>
      </c>
      <c r="O162" s="4" t="s">
        <v>793</v>
      </c>
      <c r="P162" s="4" t="s">
        <v>784</v>
      </c>
      <c r="Q162" s="4">
        <f t="shared" si="57"/>
        <v>0</v>
      </c>
      <c r="R162" s="4">
        <f>IF(ISNUMBER(SEARCH("Category",N162)),"- -",IF(ISNUMBER(SEARCH("Skills",N162)),"- -",'Level-up'!C180))</f>
        <v>0</v>
      </c>
      <c r="S162" s="4">
        <f t="shared" si="74"/>
        <v>0</v>
      </c>
      <c r="T162" s="4">
        <f t="shared" si="75"/>
        <v>-25</v>
      </c>
      <c r="U162" s="4">
        <f t="shared" ca="1" si="77"/>
        <v>0</v>
      </c>
      <c r="V162" s="4">
        <f t="shared" si="70"/>
        <v>0</v>
      </c>
      <c r="W162" s="4">
        <f t="shared" si="58"/>
        <v>0</v>
      </c>
      <c r="X162" s="4">
        <f t="shared" si="85"/>
        <v>0</v>
      </c>
      <c r="Y162" s="4">
        <f t="shared" si="78"/>
        <v>0</v>
      </c>
      <c r="Z162" s="4">
        <f t="shared" si="79"/>
        <v>0</v>
      </c>
      <c r="AA162" s="4">
        <f t="shared" si="80"/>
        <v>0</v>
      </c>
      <c r="AB162" s="4">
        <f t="shared" si="81"/>
        <v>0</v>
      </c>
      <c r="AC162" s="8"/>
      <c r="AD162" s="4"/>
      <c r="AE162" s="4"/>
      <c r="AF162" s="4" t="str">
        <f t="shared" ca="1" si="83"/>
        <v>-25</v>
      </c>
      <c r="AG162" s="4"/>
      <c r="AH162" s="4">
        <f>IFERROR(VLOOKUP(M162,Calculations!$AC$2:$AD$251,2,FALSE),0)</f>
        <v>0</v>
      </c>
      <c r="AI162" s="4">
        <f>VLOOKUP(N162,$N$2:$AS$620,MATCH('Character Creation'!$Z$12,Skills!$N$1:$AS$1,0),FALSE)</f>
        <v>0</v>
      </c>
      <c r="AJ162" s="4">
        <f>VLOOKUP($N162,[2]Cultures!$B$4:$M$283,MATCH(AJ$1,[2]Cultures!$B$3:$M$3,0),FALSE)</f>
        <v>0</v>
      </c>
      <c r="AK162" s="4">
        <f>VLOOKUP($N162,[2]Cultures!$B$4:$M$283,MATCH(AK$1,[2]Cultures!$B$3:$M$3,0),FALSE)</f>
        <v>0</v>
      </c>
      <c r="AL162" s="4">
        <f>VLOOKUP($N162,[2]Cultures!$B$4:$M$283,MATCH(AL$1,[2]Cultures!$B$3:$M$3,0),FALSE)</f>
        <v>0</v>
      </c>
      <c r="AM162" s="4">
        <f>VLOOKUP($N162,[2]Cultures!$B$4:$M$283,MATCH(AM$1,[2]Cultures!$B$3:$M$3,0),FALSE)</f>
        <v>0</v>
      </c>
      <c r="AN162" s="4">
        <f>VLOOKUP($N162,[2]Cultures!$B$4:$M$283,MATCH(AN$1,[2]Cultures!$B$3:$M$3,0),FALSE)</f>
        <v>0</v>
      </c>
      <c r="AO162" s="4">
        <f>VLOOKUP($N162,[2]Cultures!$B$4:$M$283,MATCH(AO$1,[2]Cultures!$B$3:$M$3,0),FALSE)</f>
        <v>0</v>
      </c>
      <c r="AP162" s="4">
        <f>VLOOKUP($N162,[2]Cultures!$B$4:$M$283,MATCH(AP$1,[2]Cultures!$B$3:$M$3,0),FALSE)</f>
        <v>0</v>
      </c>
      <c r="AQ162" s="4">
        <f>VLOOKUP($N162,[2]Cultures!$B$4:$M$283,MATCH(AQ$1,[2]Cultures!$B$3:$M$3,0),FALSE)</f>
        <v>0</v>
      </c>
      <c r="AR162" s="4">
        <f>VLOOKUP($N162,[2]Cultures!$B$4:$M$283,MATCH(AR$1,[2]Cultures!$B$3:$M$3,0),FALSE)</f>
        <v>0</v>
      </c>
      <c r="AS162" s="4">
        <f>VLOOKUP($N162,[2]Cultures!$B$4:$M$283,MATCH(AS$1,[2]Cultures!$B$3:$M$3,0),FALSE)</f>
        <v>0</v>
      </c>
      <c r="AT162" s="4"/>
      <c r="AU162" s="4">
        <f>IF(ISNUMBER(SEARCH(N162&amp;";",Calculations!$Q$19)),VLOOKUP(Skills!N162,Calculations!$Q$2:$T$16,4,FALSE),0)</f>
        <v>0</v>
      </c>
      <c r="AV162" s="4">
        <f>IF(ISNUMBER(SEARCH(N162&amp;";",Calculations!$Q$18)),1,0)</f>
        <v>0</v>
      </c>
      <c r="AW162" s="4">
        <f t="shared" si="71"/>
        <v>0</v>
      </c>
      <c r="AX162" s="4">
        <f>VLOOKUP($N162,$N162:$CH162,MATCH('Character Sheet'!$BJ$3,Skills!$N$1:$CH$1,0),FALSE)</f>
        <v>0</v>
      </c>
    </row>
    <row r="163" spans="1:50" x14ac:dyDescent="0.25">
      <c r="B163" s="4" t="e">
        <f t="shared" si="84"/>
        <v>#N/A</v>
      </c>
      <c r="E163" s="4"/>
      <c r="F163" s="4">
        <f t="shared" si="76"/>
        <v>0</v>
      </c>
      <c r="G163" s="4"/>
      <c r="H163" s="4" t="e">
        <f t="shared" si="82"/>
        <v>#N/A</v>
      </c>
      <c r="I163" s="4">
        <f t="shared" si="68"/>
        <v>1</v>
      </c>
      <c r="J163" s="4">
        <f t="shared" si="72"/>
        <v>0</v>
      </c>
      <c r="K163" s="4">
        <f t="shared" si="86"/>
        <v>0</v>
      </c>
      <c r="M163" t="str">
        <f t="shared" si="69"/>
        <v>Weapon Smith</v>
      </c>
      <c r="N163" s="3" t="str">
        <f>'Character Sheet'!APZ47</f>
        <v>Weapon Smith</v>
      </c>
      <c r="O163" s="4" t="s">
        <v>793</v>
      </c>
      <c r="P163" s="4" t="s">
        <v>784</v>
      </c>
      <c r="Q163" s="4">
        <f t="shared" si="57"/>
        <v>0</v>
      </c>
      <c r="R163" s="4">
        <f>IF(ISNUMBER(SEARCH("Category",N163)),"- -",IF(ISNUMBER(SEARCH("Skills",N163)),"- -",'Level-up'!C181))</f>
        <v>0</v>
      </c>
      <c r="S163" s="4">
        <f t="shared" si="74"/>
        <v>0</v>
      </c>
      <c r="T163" s="4">
        <f t="shared" si="75"/>
        <v>-25</v>
      </c>
      <c r="U163" s="4">
        <f t="shared" ca="1" si="77"/>
        <v>0</v>
      </c>
      <c r="V163" s="4">
        <f t="shared" si="70"/>
        <v>0</v>
      </c>
      <c r="W163" s="4">
        <f t="shared" si="58"/>
        <v>0</v>
      </c>
      <c r="X163" s="4">
        <f t="shared" si="85"/>
        <v>0</v>
      </c>
      <c r="Y163" s="4">
        <f t="shared" si="78"/>
        <v>0</v>
      </c>
      <c r="Z163" s="4">
        <f t="shared" si="79"/>
        <v>0</v>
      </c>
      <c r="AA163" s="4">
        <f t="shared" si="80"/>
        <v>0</v>
      </c>
      <c r="AB163" s="4">
        <f t="shared" si="81"/>
        <v>0</v>
      </c>
      <c r="AC163" s="8"/>
      <c r="AD163" s="4"/>
      <c r="AE163" s="4"/>
      <c r="AF163" s="4" t="str">
        <f t="shared" ca="1" si="83"/>
        <v>-25</v>
      </c>
      <c r="AG163" s="4"/>
      <c r="AH163" s="4">
        <f>IFERROR(VLOOKUP(M163,Calculations!$AC$2:$AD$251,2,FALSE),0)</f>
        <v>0</v>
      </c>
      <c r="AI163" s="4">
        <f>VLOOKUP(N163,$N$2:$AS$620,MATCH('Character Creation'!$Z$12,Skills!$N$1:$AS$1,0),FALSE)</f>
        <v>0</v>
      </c>
      <c r="AJ163" s="4">
        <f>VLOOKUP($N163,[2]Cultures!$B$4:$M$283,MATCH(AJ$1,[2]Cultures!$B$3:$M$3,0),FALSE)</f>
        <v>0</v>
      </c>
      <c r="AK163" s="4">
        <f>VLOOKUP($N163,[2]Cultures!$B$4:$M$283,MATCH(AK$1,[2]Cultures!$B$3:$M$3,0),FALSE)</f>
        <v>0</v>
      </c>
      <c r="AL163" s="4">
        <f>VLOOKUP($N163,[2]Cultures!$B$4:$M$283,MATCH(AL$1,[2]Cultures!$B$3:$M$3,0),FALSE)</f>
        <v>0</v>
      </c>
      <c r="AM163" s="4">
        <f>VLOOKUP($N163,[2]Cultures!$B$4:$M$283,MATCH(AM$1,[2]Cultures!$B$3:$M$3,0),FALSE)</f>
        <v>0</v>
      </c>
      <c r="AN163" s="4">
        <f>VLOOKUP($N163,[2]Cultures!$B$4:$M$283,MATCH(AN$1,[2]Cultures!$B$3:$M$3,0),FALSE)</f>
        <v>0</v>
      </c>
      <c r="AO163" s="4">
        <f>VLOOKUP($N163,[2]Cultures!$B$4:$M$283,MATCH(AO$1,[2]Cultures!$B$3:$M$3,0),FALSE)</f>
        <v>0</v>
      </c>
      <c r="AP163" s="4">
        <f>VLOOKUP($N163,[2]Cultures!$B$4:$M$283,MATCH(AP$1,[2]Cultures!$B$3:$M$3,0),FALSE)</f>
        <v>0</v>
      </c>
      <c r="AQ163" s="4">
        <f>VLOOKUP($N163,[2]Cultures!$B$4:$M$283,MATCH(AQ$1,[2]Cultures!$B$3:$M$3,0),FALSE)</f>
        <v>0</v>
      </c>
      <c r="AR163" s="4">
        <f>VLOOKUP($N163,[2]Cultures!$B$4:$M$283,MATCH(AR$1,[2]Cultures!$B$3:$M$3,0),FALSE)</f>
        <v>0</v>
      </c>
      <c r="AS163" s="4">
        <f>VLOOKUP($N163,[2]Cultures!$B$4:$M$283,MATCH(AS$1,[2]Cultures!$B$3:$M$3,0),FALSE)</f>
        <v>0</v>
      </c>
      <c r="AT163" s="4"/>
      <c r="AU163" s="4">
        <f>IF(ISNUMBER(SEARCH(N163&amp;";",Calculations!$Q$19)),VLOOKUP(Skills!N163,Calculations!$Q$2:$T$16,4,FALSE),0)</f>
        <v>0</v>
      </c>
      <c r="AV163" s="4">
        <f>IF(ISNUMBER(SEARCH(N163&amp;";",Calculations!$Q$18)),1,0)</f>
        <v>0</v>
      </c>
      <c r="AW163" s="4">
        <f t="shared" si="71"/>
        <v>0</v>
      </c>
      <c r="AX163" s="4">
        <f>VLOOKUP($N163,$N163:$CH163,MATCH('Character Sheet'!$BJ$3,Skills!$N$1:$CH$1,0),FALSE)</f>
        <v>0</v>
      </c>
    </row>
    <row r="164" spans="1:50" x14ac:dyDescent="0.25">
      <c r="B164" s="4" t="e">
        <f t="shared" si="84"/>
        <v>#N/A</v>
      </c>
      <c r="E164" s="4"/>
      <c r="F164" s="4">
        <f t="shared" si="76"/>
        <v>0</v>
      </c>
      <c r="G164" s="4"/>
      <c r="H164" s="4" t="e">
        <f t="shared" si="82"/>
        <v>#N/A</v>
      </c>
      <c r="I164" s="4">
        <f t="shared" si="68"/>
        <v>1</v>
      </c>
      <c r="J164" s="4">
        <f t="shared" si="72"/>
        <v>0</v>
      </c>
      <c r="K164" s="4">
        <f t="shared" si="86"/>
        <v>0</v>
      </c>
      <c r="M164" t="str">
        <f t="shared" si="69"/>
        <v>Wheel Wright</v>
      </c>
      <c r="N164" s="3" t="str">
        <f>'Character Sheet'!APZ48</f>
        <v>Wheel Wright</v>
      </c>
      <c r="O164" s="4" t="s">
        <v>793</v>
      </c>
      <c r="P164" s="4" t="s">
        <v>784</v>
      </c>
      <c r="Q164" s="4">
        <f t="shared" ref="Q164:Q227" si="87">IF(ISNUMBER(SEARCH("Category",N164)),"- -",IF(ISNUMBER(SEARCH("Skills",N164)),"- -",AH164+AI164))</f>
        <v>0</v>
      </c>
      <c r="R164" s="4">
        <f>IF(ISNUMBER(SEARCH("Category",N164)),"- -",IF(ISNUMBER(SEARCH("Skills",N164)),"- -",'Level-up'!C182))</f>
        <v>0</v>
      </c>
      <c r="S164" s="4">
        <f t="shared" si="74"/>
        <v>0</v>
      </c>
      <c r="T164" s="4">
        <f t="shared" si="75"/>
        <v>-25</v>
      </c>
      <c r="U164" s="4">
        <f t="shared" ca="1" si="77"/>
        <v>0</v>
      </c>
      <c r="V164" s="4">
        <f t="shared" si="70"/>
        <v>0</v>
      </c>
      <c r="W164" s="4">
        <f t="shared" ref="W164:W227" si="88">IF(ISNUMBER(SEARCH("Category",N164)),"- -",IF(ISNUMBER(SEARCH("Skills",N164)),"- -",IF(AW164=1,MIN(S164,30),0)))</f>
        <v>0</v>
      </c>
      <c r="X164" s="4">
        <f t="shared" si="85"/>
        <v>0</v>
      </c>
      <c r="Y164" s="4">
        <f t="shared" si="78"/>
        <v>0</v>
      </c>
      <c r="Z164" s="4">
        <f t="shared" si="79"/>
        <v>0</v>
      </c>
      <c r="AA164" s="4">
        <f t="shared" si="80"/>
        <v>0</v>
      </c>
      <c r="AB164" s="4">
        <f t="shared" si="81"/>
        <v>0</v>
      </c>
      <c r="AC164" s="8"/>
      <c r="AD164" s="4"/>
      <c r="AE164" s="4"/>
      <c r="AF164" s="4" t="str">
        <f t="shared" ca="1" si="83"/>
        <v>-25</v>
      </c>
      <c r="AG164" s="4"/>
      <c r="AH164" s="4">
        <f>IFERROR(VLOOKUP(M164,Calculations!$AC$2:$AD$251,2,FALSE),0)</f>
        <v>0</v>
      </c>
      <c r="AI164" s="4">
        <f>VLOOKUP(N164,$N$2:$AS$620,MATCH('Character Creation'!$Z$12,Skills!$N$1:$AS$1,0),FALSE)</f>
        <v>0</v>
      </c>
      <c r="AJ164" s="4">
        <f>VLOOKUP($N164,[2]Cultures!$B$4:$M$283,MATCH(AJ$1,[2]Cultures!$B$3:$M$3,0),FALSE)</f>
        <v>0</v>
      </c>
      <c r="AK164" s="4">
        <f>VLOOKUP($N164,[2]Cultures!$B$4:$M$283,MATCH(AK$1,[2]Cultures!$B$3:$M$3,0),FALSE)</f>
        <v>0</v>
      </c>
      <c r="AL164" s="4">
        <f>VLOOKUP($N164,[2]Cultures!$B$4:$M$283,MATCH(AL$1,[2]Cultures!$B$3:$M$3,0),FALSE)</f>
        <v>0</v>
      </c>
      <c r="AM164" s="4">
        <f>VLOOKUP($N164,[2]Cultures!$B$4:$M$283,MATCH(AM$1,[2]Cultures!$B$3:$M$3,0),FALSE)</f>
        <v>0</v>
      </c>
      <c r="AN164" s="4">
        <f>VLOOKUP($N164,[2]Cultures!$B$4:$M$283,MATCH(AN$1,[2]Cultures!$B$3:$M$3,0),FALSE)</f>
        <v>0</v>
      </c>
      <c r="AO164" s="4">
        <f>VLOOKUP($N164,[2]Cultures!$B$4:$M$283,MATCH(AO$1,[2]Cultures!$B$3:$M$3,0),FALSE)</f>
        <v>0</v>
      </c>
      <c r="AP164" s="4">
        <f>VLOOKUP($N164,[2]Cultures!$B$4:$M$283,MATCH(AP$1,[2]Cultures!$B$3:$M$3,0),FALSE)</f>
        <v>0</v>
      </c>
      <c r="AQ164" s="4">
        <f>VLOOKUP($N164,[2]Cultures!$B$4:$M$283,MATCH(AQ$1,[2]Cultures!$B$3:$M$3,0),FALSE)</f>
        <v>0</v>
      </c>
      <c r="AR164" s="4">
        <f>VLOOKUP($N164,[2]Cultures!$B$4:$M$283,MATCH(AR$1,[2]Cultures!$B$3:$M$3,0),FALSE)</f>
        <v>0</v>
      </c>
      <c r="AS164" s="4">
        <f>VLOOKUP($N164,[2]Cultures!$B$4:$M$283,MATCH(AS$1,[2]Cultures!$B$3:$M$3,0),FALSE)</f>
        <v>0</v>
      </c>
      <c r="AT164" s="4"/>
      <c r="AU164" s="4">
        <f>IF(ISNUMBER(SEARCH(N164&amp;";",Calculations!$Q$19)),VLOOKUP(Skills!N164,Calculations!$Q$2:$T$16,4,FALSE),0)</f>
        <v>0</v>
      </c>
      <c r="AV164" s="4">
        <f>IF(ISNUMBER(SEARCH(N164&amp;";",Calculations!$Q$18)),1,0)</f>
        <v>0</v>
      </c>
      <c r="AW164" s="4">
        <f t="shared" si="71"/>
        <v>0</v>
      </c>
      <c r="AX164" s="4">
        <f>VLOOKUP($N164,$N164:$CH164,MATCH('Character Sheet'!$BJ$3,Skills!$N$1:$CH$1,0),FALSE)</f>
        <v>0</v>
      </c>
    </row>
    <row r="165" spans="1:50" x14ac:dyDescent="0.25">
      <c r="B165" s="4" t="e">
        <f t="shared" si="84"/>
        <v>#N/A</v>
      </c>
      <c r="E165" s="4"/>
      <c r="F165" s="4">
        <f t="shared" si="76"/>
        <v>0</v>
      </c>
      <c r="G165" s="4"/>
      <c r="H165" s="4" t="e">
        <f t="shared" si="82"/>
        <v>#N/A</v>
      </c>
      <c r="I165" s="4">
        <f t="shared" si="68"/>
        <v>1</v>
      </c>
      <c r="J165" s="4">
        <f t="shared" si="72"/>
        <v>0</v>
      </c>
      <c r="K165" s="4">
        <f t="shared" si="86"/>
        <v>0</v>
      </c>
      <c r="M165" t="str">
        <f t="shared" si="69"/>
        <v>Wicker Work</v>
      </c>
      <c r="N165" s="3" t="str">
        <f>'Character Sheet'!APZ49</f>
        <v>Wicker Work</v>
      </c>
      <c r="O165" s="4" t="s">
        <v>793</v>
      </c>
      <c r="P165" s="4" t="s">
        <v>784</v>
      </c>
      <c r="Q165" s="4">
        <f t="shared" si="87"/>
        <v>0</v>
      </c>
      <c r="R165" s="4">
        <f>IF(ISNUMBER(SEARCH("Category",N165)),"- -",IF(ISNUMBER(SEARCH("Skills",N165)),"- -",'Level-up'!C183))</f>
        <v>0</v>
      </c>
      <c r="S165" s="4">
        <f t="shared" si="74"/>
        <v>0</v>
      </c>
      <c r="T165" s="4">
        <f t="shared" si="75"/>
        <v>-25</v>
      </c>
      <c r="U165" s="4">
        <f t="shared" ca="1" si="77"/>
        <v>0</v>
      </c>
      <c r="V165" s="4">
        <f t="shared" si="70"/>
        <v>0</v>
      </c>
      <c r="W165" s="4">
        <f t="shared" si="88"/>
        <v>0</v>
      </c>
      <c r="X165" s="4">
        <f t="shared" si="85"/>
        <v>0</v>
      </c>
      <c r="Y165" s="4">
        <f t="shared" si="78"/>
        <v>0</v>
      </c>
      <c r="Z165" s="4">
        <f t="shared" si="79"/>
        <v>0</v>
      </c>
      <c r="AA165" s="4">
        <f t="shared" si="80"/>
        <v>0</v>
      </c>
      <c r="AB165" s="4">
        <f t="shared" si="81"/>
        <v>0</v>
      </c>
      <c r="AC165" s="8"/>
      <c r="AD165" s="4"/>
      <c r="AE165" s="4"/>
      <c r="AF165" s="4" t="str">
        <f t="shared" ca="1" si="83"/>
        <v>-25</v>
      </c>
      <c r="AG165" s="4"/>
      <c r="AH165" s="4">
        <f>IFERROR(VLOOKUP(M165,Calculations!$AC$2:$AD$251,2,FALSE),0)</f>
        <v>0</v>
      </c>
      <c r="AI165" s="4">
        <f>VLOOKUP(N165,$N$2:$AS$620,MATCH('Character Creation'!$Z$12,Skills!$N$1:$AS$1,0),FALSE)</f>
        <v>0</v>
      </c>
      <c r="AJ165" s="4">
        <f>VLOOKUP($N165,[2]Cultures!$B$4:$M$283,MATCH(AJ$1,[2]Cultures!$B$3:$M$3,0),FALSE)</f>
        <v>0</v>
      </c>
      <c r="AK165" s="4">
        <f>VLOOKUP($N165,[2]Cultures!$B$4:$M$283,MATCH(AK$1,[2]Cultures!$B$3:$M$3,0),FALSE)</f>
        <v>0</v>
      </c>
      <c r="AL165" s="4">
        <f>VLOOKUP($N165,[2]Cultures!$B$4:$M$283,MATCH(AL$1,[2]Cultures!$B$3:$M$3,0),FALSE)</f>
        <v>0</v>
      </c>
      <c r="AM165" s="4">
        <f>VLOOKUP($N165,[2]Cultures!$B$4:$M$283,MATCH(AM$1,[2]Cultures!$B$3:$M$3,0),FALSE)</f>
        <v>0</v>
      </c>
      <c r="AN165" s="4">
        <f>VLOOKUP($N165,[2]Cultures!$B$4:$M$283,MATCH(AN$1,[2]Cultures!$B$3:$M$3,0),FALSE)</f>
        <v>0</v>
      </c>
      <c r="AO165" s="4">
        <f>VLOOKUP($N165,[2]Cultures!$B$4:$M$283,MATCH(AO$1,[2]Cultures!$B$3:$M$3,0),FALSE)</f>
        <v>0</v>
      </c>
      <c r="AP165" s="4">
        <f>VLOOKUP($N165,[2]Cultures!$B$4:$M$283,MATCH(AP$1,[2]Cultures!$B$3:$M$3,0),FALSE)</f>
        <v>0</v>
      </c>
      <c r="AQ165" s="4">
        <f>VLOOKUP($N165,[2]Cultures!$B$4:$M$283,MATCH(AQ$1,[2]Cultures!$B$3:$M$3,0),FALSE)</f>
        <v>0</v>
      </c>
      <c r="AR165" s="4">
        <f>VLOOKUP($N165,[2]Cultures!$B$4:$M$283,MATCH(AR$1,[2]Cultures!$B$3:$M$3,0),FALSE)</f>
        <v>0</v>
      </c>
      <c r="AS165" s="4">
        <f>VLOOKUP($N165,[2]Cultures!$B$4:$M$283,MATCH(AS$1,[2]Cultures!$B$3:$M$3,0),FALSE)</f>
        <v>0</v>
      </c>
      <c r="AT165" s="4"/>
      <c r="AU165" s="4">
        <f>IF(ISNUMBER(SEARCH(N165&amp;";",Calculations!$Q$19)),VLOOKUP(Skills!N165,Calculations!$Q$2:$T$16,4,FALSE),0)</f>
        <v>0</v>
      </c>
      <c r="AV165" s="4">
        <f>IF(ISNUMBER(SEARCH(N165&amp;";",Calculations!$Q$18)),1,0)</f>
        <v>0</v>
      </c>
      <c r="AW165" s="4">
        <f t="shared" si="71"/>
        <v>0</v>
      </c>
      <c r="AX165" s="4">
        <f>VLOOKUP($N165,$N165:$CH165,MATCH('Character Sheet'!$BJ$3,Skills!$N$1:$CH$1,0),FALSE)</f>
        <v>0</v>
      </c>
    </row>
    <row r="166" spans="1:50" x14ac:dyDescent="0.25">
      <c r="B166" s="4" t="e">
        <f t="shared" si="84"/>
        <v>#N/A</v>
      </c>
      <c r="E166" s="4"/>
      <c r="F166" s="4">
        <f t="shared" si="76"/>
        <v>0</v>
      </c>
      <c r="G166" s="4"/>
      <c r="H166" s="4" t="e">
        <f t="shared" si="82"/>
        <v>#N/A</v>
      </c>
      <c r="I166" s="4">
        <f t="shared" si="68"/>
        <v>1</v>
      </c>
      <c r="J166" s="4">
        <f t="shared" si="72"/>
        <v>0</v>
      </c>
      <c r="K166" s="4">
        <f t="shared" si="86"/>
        <v>0</v>
      </c>
      <c r="M166" t="str">
        <f t="shared" si="69"/>
        <v>Wood Craft</v>
      </c>
      <c r="N166" s="3" t="str">
        <f>'Character Sheet'!APZ50</f>
        <v>Wood Craft</v>
      </c>
      <c r="O166" s="4" t="s">
        <v>793</v>
      </c>
      <c r="P166" s="4" t="s">
        <v>784</v>
      </c>
      <c r="Q166" s="4">
        <f t="shared" si="87"/>
        <v>0</v>
      </c>
      <c r="R166" s="4">
        <f>IF(ISNUMBER(SEARCH("Category",N166)),"- -",IF(ISNUMBER(SEARCH("Skills",N166)),"- -",'Level-up'!C184))</f>
        <v>0</v>
      </c>
      <c r="S166" s="4">
        <f t="shared" si="74"/>
        <v>0</v>
      </c>
      <c r="T166" s="4">
        <f t="shared" si="75"/>
        <v>-25</v>
      </c>
      <c r="U166" s="4">
        <f t="shared" ca="1" si="77"/>
        <v>0</v>
      </c>
      <c r="V166" s="4">
        <f t="shared" si="70"/>
        <v>0</v>
      </c>
      <c r="W166" s="4">
        <f t="shared" si="88"/>
        <v>0</v>
      </c>
      <c r="X166" s="4">
        <f t="shared" si="85"/>
        <v>0</v>
      </c>
      <c r="Y166" s="4">
        <f t="shared" si="78"/>
        <v>0</v>
      </c>
      <c r="Z166" s="4">
        <f t="shared" si="79"/>
        <v>0</v>
      </c>
      <c r="AA166" s="4">
        <f t="shared" si="80"/>
        <v>0</v>
      </c>
      <c r="AB166" s="4">
        <f t="shared" si="81"/>
        <v>0</v>
      </c>
      <c r="AC166" s="8"/>
      <c r="AD166" s="4"/>
      <c r="AE166" s="4"/>
      <c r="AF166" s="4" t="str">
        <f t="shared" ca="1" si="83"/>
        <v>-25</v>
      </c>
      <c r="AG166" s="4"/>
      <c r="AH166" s="4">
        <f>IFERROR(VLOOKUP(M166,Calculations!$AC$2:$AD$251,2,FALSE),0)</f>
        <v>0</v>
      </c>
      <c r="AI166" s="4">
        <f>VLOOKUP(N166,$N$2:$AS$620,MATCH('Character Creation'!$Z$12,Skills!$N$1:$AS$1,0),FALSE)</f>
        <v>0</v>
      </c>
      <c r="AJ166" s="4">
        <f>VLOOKUP($N166,[2]Cultures!$B$4:$M$283,MATCH(AJ$1,[2]Cultures!$B$3:$M$3,0),FALSE)</f>
        <v>0</v>
      </c>
      <c r="AK166" s="4">
        <f>VLOOKUP($N166,[2]Cultures!$B$4:$M$283,MATCH(AK$1,[2]Cultures!$B$3:$M$3,0),FALSE)</f>
        <v>0</v>
      </c>
      <c r="AL166" s="4">
        <f>VLOOKUP($N166,[2]Cultures!$B$4:$M$283,MATCH(AL$1,[2]Cultures!$B$3:$M$3,0),FALSE)</f>
        <v>0</v>
      </c>
      <c r="AM166" s="4">
        <f>VLOOKUP($N166,[2]Cultures!$B$4:$M$283,MATCH(AM$1,[2]Cultures!$B$3:$M$3,0),FALSE)</f>
        <v>0</v>
      </c>
      <c r="AN166" s="4">
        <f>VLOOKUP($N166,[2]Cultures!$B$4:$M$283,MATCH(AN$1,[2]Cultures!$B$3:$M$3,0),FALSE)</f>
        <v>0</v>
      </c>
      <c r="AO166" s="4">
        <f>VLOOKUP($N166,[2]Cultures!$B$4:$M$283,MATCH(AO$1,[2]Cultures!$B$3:$M$3,0),FALSE)</f>
        <v>0</v>
      </c>
      <c r="AP166" s="4">
        <f>VLOOKUP($N166,[2]Cultures!$B$4:$M$283,MATCH(AP$1,[2]Cultures!$B$3:$M$3,0),FALSE)</f>
        <v>0</v>
      </c>
      <c r="AQ166" s="4">
        <f>VLOOKUP($N166,[2]Cultures!$B$4:$M$283,MATCH(AQ$1,[2]Cultures!$B$3:$M$3,0),FALSE)</f>
        <v>0</v>
      </c>
      <c r="AR166" s="4">
        <f>VLOOKUP($N166,[2]Cultures!$B$4:$M$283,MATCH(AR$1,[2]Cultures!$B$3:$M$3,0),FALSE)</f>
        <v>0</v>
      </c>
      <c r="AS166" s="4">
        <f>VLOOKUP($N166,[2]Cultures!$B$4:$M$283,MATCH(AS$1,[2]Cultures!$B$3:$M$3,0),FALSE)</f>
        <v>0</v>
      </c>
      <c r="AT166" s="4"/>
      <c r="AU166" s="4">
        <f>IF(ISNUMBER(SEARCH(N166&amp;";",Calculations!$Q$19)),VLOOKUP(Skills!N166,Calculations!$Q$2:$T$16,4,FALSE),0)</f>
        <v>0</v>
      </c>
      <c r="AV166" s="4">
        <f>IF(ISNUMBER(SEARCH(N166&amp;";",Calculations!$Q$18)),1,0)</f>
        <v>0</v>
      </c>
      <c r="AW166" s="4">
        <f t="shared" si="71"/>
        <v>0</v>
      </c>
      <c r="AX166" s="4">
        <f>VLOOKUP($N166,$N166:$CH166,MATCH('Character Sheet'!$BJ$3,Skills!$N$1:$CH$1,0),FALSE)</f>
        <v>0</v>
      </c>
    </row>
    <row r="167" spans="1:50" x14ac:dyDescent="0.25">
      <c r="B167" s="4" t="e">
        <f t="shared" si="84"/>
        <v>#N/A</v>
      </c>
      <c r="E167" s="4"/>
      <c r="F167" s="4">
        <f t="shared" si="76"/>
        <v>0</v>
      </c>
      <c r="G167" s="4"/>
      <c r="H167" s="4" t="e">
        <f t="shared" si="82"/>
        <v>#N/A</v>
      </c>
      <c r="I167" s="4" t="e">
        <f>IF($J$168=1,1,0)</f>
        <v>#N/A</v>
      </c>
      <c r="J167" s="4">
        <f t="shared" si="72"/>
        <v>0</v>
      </c>
      <c r="K167" s="4" t="e">
        <f t="shared" si="86"/>
        <v>#N/A</v>
      </c>
      <c r="N167" s="3" t="s">
        <v>644</v>
      </c>
      <c r="O167" s="6" t="s">
        <v>782</v>
      </c>
      <c r="P167" s="6" t="s">
        <v>782</v>
      </c>
      <c r="Q167" s="4" t="str">
        <f t="shared" si="87"/>
        <v>- -</v>
      </c>
      <c r="R167" s="4" t="str">
        <f>IF(ISNUMBER(SEARCH("Category",N167)),"- -",IF(ISNUMBER(SEARCH("Skills",N167)),"- -",'Level-up'!C185))</f>
        <v>- -</v>
      </c>
      <c r="S167" s="4" t="str">
        <f t="shared" si="74"/>
        <v>- -</v>
      </c>
      <c r="T167" s="4" t="str">
        <f t="shared" si="75"/>
        <v>- -</v>
      </c>
      <c r="U167" s="4" t="str">
        <f t="shared" ca="1" si="77"/>
        <v>- -</v>
      </c>
      <c r="V167" s="4" t="str">
        <f t="shared" si="70"/>
        <v>- -</v>
      </c>
      <c r="W167" s="4" t="str">
        <f t="shared" si="88"/>
        <v>- -</v>
      </c>
      <c r="X167" s="4" t="str">
        <f t="shared" si="85"/>
        <v>- -</v>
      </c>
      <c r="Y167" s="4" t="str">
        <f t="shared" si="78"/>
        <v>- -</v>
      </c>
      <c r="Z167" s="4" t="str">
        <f t="shared" si="79"/>
        <v>- -</v>
      </c>
      <c r="AA167" s="4" t="str">
        <f t="shared" si="80"/>
        <v>- -</v>
      </c>
      <c r="AB167" s="4" t="str">
        <f t="shared" si="81"/>
        <v>- -</v>
      </c>
      <c r="AC167" s="8"/>
      <c r="AD167" s="4"/>
      <c r="AE167" s="4"/>
      <c r="AF167" s="4" t="str">
        <f t="shared" si="83"/>
        <v>- -</v>
      </c>
      <c r="AG167" s="4"/>
      <c r="AH167" s="4">
        <f>IFERROR(VLOOKUP(M167,Calculations!$AC$2:$AD$251,2,FALSE),0)</f>
        <v>0</v>
      </c>
      <c r="AI167" s="4" t="e">
        <f>VLOOKUP(N167,$N$2:$AS$620,MATCH('Character Creation'!$Z$12,Skills!$N$1:$AS$1,0),FALSE)</f>
        <v>#N/A</v>
      </c>
      <c r="AJ167" s="4" t="e">
        <f>VLOOKUP($N167,[2]Cultures!$B$4:$M$283,MATCH(AJ$1,[2]Cultures!$B$3:$M$3,0),FALSE)</f>
        <v>#N/A</v>
      </c>
      <c r="AK167" s="4" t="e">
        <f>VLOOKUP($N167,[2]Cultures!$B$4:$M$283,MATCH(AK$1,[2]Cultures!$B$3:$M$3,0),FALSE)</f>
        <v>#N/A</v>
      </c>
      <c r="AL167" s="4" t="e">
        <f>VLOOKUP($N167,[2]Cultures!$B$4:$M$283,MATCH(AL$1,[2]Cultures!$B$3:$M$3,0),FALSE)</f>
        <v>#N/A</v>
      </c>
      <c r="AM167" s="4" t="e">
        <f>VLOOKUP($N167,[2]Cultures!$B$4:$M$283,MATCH(AM$1,[2]Cultures!$B$3:$M$3,0),FALSE)</f>
        <v>#N/A</v>
      </c>
      <c r="AN167" s="4" t="e">
        <f>VLOOKUP($N167,[2]Cultures!$B$4:$M$283,MATCH(AN$1,[2]Cultures!$B$3:$M$3,0),FALSE)</f>
        <v>#N/A</v>
      </c>
      <c r="AO167" s="4" t="e">
        <f>VLOOKUP($N167,[2]Cultures!$B$4:$M$283,MATCH(AO$1,[2]Cultures!$B$3:$M$3,0),FALSE)</f>
        <v>#N/A</v>
      </c>
      <c r="AP167" s="4" t="e">
        <f>VLOOKUP($N167,[2]Cultures!$B$4:$M$283,MATCH(AP$1,[2]Cultures!$B$3:$M$3,0),FALSE)</f>
        <v>#N/A</v>
      </c>
      <c r="AQ167" s="4" t="e">
        <f>VLOOKUP($N167,[2]Cultures!$B$4:$M$283,MATCH(AQ$1,[2]Cultures!$B$3:$M$3,0),FALSE)</f>
        <v>#N/A</v>
      </c>
      <c r="AR167" s="4" t="e">
        <f>VLOOKUP($N167,[2]Cultures!$B$4:$M$283,MATCH(AR$1,[2]Cultures!$B$3:$M$3,0),FALSE)</f>
        <v>#N/A</v>
      </c>
      <c r="AS167" s="4" t="e">
        <f>VLOOKUP($N167,[2]Cultures!$B$4:$M$283,MATCH(AS$1,[2]Cultures!$B$3:$M$3,0),FALSE)</f>
        <v>#N/A</v>
      </c>
      <c r="AT167" s="4"/>
      <c r="AU167" s="4">
        <f>IF(ISNUMBER(SEARCH(N167&amp;";",Calculations!$Q$19)),VLOOKUP(Skills!N167,Calculations!$Q$2:$T$16,4,FALSE),0)</f>
        <v>0</v>
      </c>
      <c r="AV167" s="4">
        <f>IF(ISNUMBER(SEARCH(N167&amp;";",Calculations!$Q$18)),1,0)</f>
        <v>0</v>
      </c>
      <c r="AW167" s="4"/>
      <c r="AX167" s="4">
        <f>VLOOKUP($N167,$N167:$CH167,MATCH('Character Sheet'!$BJ$3,Skills!$N$1:$CH$1,0),FALSE)</f>
        <v>0</v>
      </c>
    </row>
    <row r="168" spans="1:50" x14ac:dyDescent="0.25">
      <c r="B168" s="4" t="e">
        <f t="shared" si="84"/>
        <v>#N/A</v>
      </c>
      <c r="E168" s="4"/>
      <c r="F168" s="4">
        <f t="shared" si="76"/>
        <v>0</v>
      </c>
      <c r="G168" s="4"/>
      <c r="H168" s="4" t="e">
        <f t="shared" si="82"/>
        <v>#N/A</v>
      </c>
      <c r="I168" s="4">
        <v>0</v>
      </c>
      <c r="J168" s="4" t="e">
        <f t="shared" si="72"/>
        <v>#N/A</v>
      </c>
      <c r="K168" s="4" t="e">
        <f t="shared" si="86"/>
        <v>#N/A</v>
      </c>
      <c r="N168" s="3" t="s">
        <v>645</v>
      </c>
      <c r="O168" s="6" t="s">
        <v>782</v>
      </c>
      <c r="P168" s="6" t="s">
        <v>782</v>
      </c>
      <c r="Q168" s="4" t="str">
        <f t="shared" si="87"/>
        <v>- -</v>
      </c>
      <c r="R168" s="4" t="str">
        <f>IF(ISNUMBER(SEARCH("Category",N168)),"- -",IF(ISNUMBER(SEARCH("Skills",N168)),"- -",'Level-up'!C186))</f>
        <v>- -</v>
      </c>
      <c r="S168" s="4" t="str">
        <f t="shared" si="74"/>
        <v>- -</v>
      </c>
      <c r="T168" s="4" t="str">
        <f t="shared" si="75"/>
        <v>- -</v>
      </c>
      <c r="U168" s="4" t="str">
        <f t="shared" ca="1" si="77"/>
        <v>- -</v>
      </c>
      <c r="V168" s="4" t="str">
        <f t="shared" si="70"/>
        <v>- -</v>
      </c>
      <c r="W168" s="4" t="str">
        <f t="shared" si="88"/>
        <v>- -</v>
      </c>
      <c r="X168" s="4" t="str">
        <f t="shared" si="85"/>
        <v>- -</v>
      </c>
      <c r="Y168" s="4" t="str">
        <f t="shared" si="78"/>
        <v>- -</v>
      </c>
      <c r="Z168" s="4" t="str">
        <f t="shared" si="79"/>
        <v>- -</v>
      </c>
      <c r="AA168" s="4" t="str">
        <f t="shared" si="80"/>
        <v>- -</v>
      </c>
      <c r="AB168" s="4" t="str">
        <f t="shared" si="81"/>
        <v>- -</v>
      </c>
      <c r="AC168" s="8"/>
      <c r="AD168" s="4"/>
      <c r="AE168" s="4"/>
      <c r="AF168" s="4" t="str">
        <f t="shared" si="83"/>
        <v>- -</v>
      </c>
      <c r="AG168" s="4"/>
      <c r="AH168" s="4">
        <f>IFERROR(VLOOKUP(M168,Calculations!$AC$2:$AD$251,2,FALSE),0)</f>
        <v>0</v>
      </c>
      <c r="AI168" s="4" t="e">
        <f>VLOOKUP(N168,$N$2:$AS$620,MATCH('Character Creation'!$Z$12,Skills!$N$1:$AS$1,0),FALSE)</f>
        <v>#N/A</v>
      </c>
      <c r="AJ168" s="4" t="e">
        <f>VLOOKUP($N168,[2]Cultures!$B$4:$M$283,MATCH(AJ$1,[2]Cultures!$B$3:$M$3,0),FALSE)</f>
        <v>#N/A</v>
      </c>
      <c r="AK168" s="4" t="e">
        <f>VLOOKUP($N168,[2]Cultures!$B$4:$M$283,MATCH(AK$1,[2]Cultures!$B$3:$M$3,0),FALSE)</f>
        <v>#N/A</v>
      </c>
      <c r="AL168" s="4" t="e">
        <f>VLOOKUP($N168,[2]Cultures!$B$4:$M$283,MATCH(AL$1,[2]Cultures!$B$3:$M$3,0),FALSE)</f>
        <v>#N/A</v>
      </c>
      <c r="AM168" s="4" t="e">
        <f>VLOOKUP($N168,[2]Cultures!$B$4:$M$283,MATCH(AM$1,[2]Cultures!$B$3:$M$3,0),FALSE)</f>
        <v>#N/A</v>
      </c>
      <c r="AN168" s="4" t="e">
        <f>VLOOKUP($N168,[2]Cultures!$B$4:$M$283,MATCH(AN$1,[2]Cultures!$B$3:$M$3,0),FALSE)</f>
        <v>#N/A</v>
      </c>
      <c r="AO168" s="4" t="e">
        <f>VLOOKUP($N168,[2]Cultures!$B$4:$M$283,MATCH(AO$1,[2]Cultures!$B$3:$M$3,0),FALSE)</f>
        <v>#N/A</v>
      </c>
      <c r="AP168" s="4" t="e">
        <f>VLOOKUP($N168,[2]Cultures!$B$4:$M$283,MATCH(AP$1,[2]Cultures!$B$3:$M$3,0),FALSE)</f>
        <v>#N/A</v>
      </c>
      <c r="AQ168" s="4" t="e">
        <f>VLOOKUP($N168,[2]Cultures!$B$4:$M$283,MATCH(AQ$1,[2]Cultures!$B$3:$M$3,0),FALSE)</f>
        <v>#N/A</v>
      </c>
      <c r="AR168" s="4" t="e">
        <f>VLOOKUP($N168,[2]Cultures!$B$4:$M$283,MATCH(AR$1,[2]Cultures!$B$3:$M$3,0),FALSE)</f>
        <v>#N/A</v>
      </c>
      <c r="AS168" s="4" t="e">
        <f>VLOOKUP($N168,[2]Cultures!$B$4:$M$283,MATCH(AS$1,[2]Cultures!$B$3:$M$3,0),FALSE)</f>
        <v>#N/A</v>
      </c>
      <c r="AT168" s="4"/>
      <c r="AU168" s="4">
        <f>IF(ISNUMBER(SEARCH(N168&amp;";",Calculations!$Q$19)),VLOOKUP(Skills!N168,Calculations!$Q$2:$T$16,4,FALSE),0)</f>
        <v>0</v>
      </c>
      <c r="AV168" s="4">
        <f>IF(ISNUMBER(SEARCH(N168&amp;";",Calculations!$Q$18)),1,0)</f>
        <v>0</v>
      </c>
      <c r="AW168" s="4"/>
      <c r="AX168" s="4">
        <f>VLOOKUP($N168,$N168:$CH168,MATCH('Character Sheet'!$BJ$3,Skills!$N$1:$CH$1,0),FALSE)</f>
        <v>0</v>
      </c>
    </row>
    <row r="169" spans="1:50" x14ac:dyDescent="0.25">
      <c r="A169" s="4" t="s">
        <v>2240</v>
      </c>
      <c r="B169" s="4" t="e">
        <f t="shared" si="84"/>
        <v>#N/A</v>
      </c>
      <c r="E169" s="4"/>
      <c r="F169" s="4">
        <f t="shared" si="76"/>
        <v>0</v>
      </c>
      <c r="G169" s="4"/>
      <c r="H169" s="4" t="e">
        <f t="shared" si="82"/>
        <v>#N/A</v>
      </c>
      <c r="I169" s="4" t="e">
        <f>IF($J$168=1,1,0)</f>
        <v>#N/A</v>
      </c>
      <c r="J169" s="4">
        <f t="shared" si="72"/>
        <v>0</v>
      </c>
      <c r="K169" s="4">
        <f>IF(ISNUMBER(SEARCH("Category",N169)),K171,AI169)</f>
        <v>0</v>
      </c>
      <c r="M169" t="str">
        <f>N169</f>
        <v>Attunement</v>
      </c>
      <c r="N169" s="3" t="s">
        <v>259</v>
      </c>
      <c r="O169" s="4" t="s">
        <v>791</v>
      </c>
      <c r="P169" s="4" t="s">
        <v>781</v>
      </c>
      <c r="Q169" s="4">
        <f t="shared" si="87"/>
        <v>0</v>
      </c>
      <c r="R169" s="4">
        <f>IF(ISNUMBER(SEARCH("Category",N169)),"- -",IF(ISNUMBER(SEARCH("Skills",N169)),"- -",'Level-up'!C187))</f>
        <v>0</v>
      </c>
      <c r="S169" s="4">
        <f t="shared" si="74"/>
        <v>0</v>
      </c>
      <c r="T169" s="4">
        <f t="shared" si="75"/>
        <v>-25</v>
      </c>
      <c r="U169" s="4">
        <f t="shared" ca="1" si="77"/>
        <v>4</v>
      </c>
      <c r="V169" s="4">
        <f t="shared" ref="V169:V175" si="89">IF(ISNUMBER(SEARCH("Category",N169)),"- -",IF(ISNUMBER(SEARCH("Skills",N169)),"- -",IF(AU169&gt;0,AU169,$AU$167)))</f>
        <v>0</v>
      </c>
      <c r="W169" s="4">
        <f t="shared" si="88"/>
        <v>0</v>
      </c>
      <c r="X169" s="4">
        <f t="shared" si="85"/>
        <v>0</v>
      </c>
      <c r="Y169" s="4">
        <f t="shared" si="78"/>
        <v>0</v>
      </c>
      <c r="Z169" s="4">
        <f t="shared" si="79"/>
        <v>0</v>
      </c>
      <c r="AA169" s="4">
        <f t="shared" si="80"/>
        <v>0</v>
      </c>
      <c r="AB169" s="4">
        <f t="shared" si="81"/>
        <v>0</v>
      </c>
      <c r="AC169" s="8"/>
      <c r="AD169" s="4"/>
      <c r="AE169" s="4"/>
      <c r="AF169" s="4" t="str">
        <f t="shared" ca="1" si="83"/>
        <v>-21</v>
      </c>
      <c r="AG169" s="4"/>
      <c r="AH169" s="4">
        <f>IFERROR(VLOOKUP(M169,Calculations!$AC$2:$AD$251,2,FALSE),0)</f>
        <v>0</v>
      </c>
      <c r="AI169" s="4">
        <f>VLOOKUP(N169,$N$2:$AS$620,MATCH('Character Creation'!$Z$12,Skills!$N$1:$AS$1,0),FALSE)</f>
        <v>0</v>
      </c>
      <c r="AJ169" s="4">
        <f>VLOOKUP($N169,[2]Cultures!$B$4:$M$283,MATCH(AJ$1,[2]Cultures!$B$3:$M$3,0),FALSE)</f>
        <v>0</v>
      </c>
      <c r="AK169" s="4">
        <f>VLOOKUP($N169,[2]Cultures!$B$4:$M$283,MATCH(AK$1,[2]Cultures!$B$3:$M$3,0),FALSE)</f>
        <v>0</v>
      </c>
      <c r="AL169" s="4">
        <f>VLOOKUP($N169,[2]Cultures!$B$4:$M$283,MATCH(AL$1,[2]Cultures!$B$3:$M$3,0),FALSE)</f>
        <v>0</v>
      </c>
      <c r="AM169" s="4">
        <f>VLOOKUP($N169,[2]Cultures!$B$4:$M$283,MATCH(AM$1,[2]Cultures!$B$3:$M$3,0),FALSE)</f>
        <v>0</v>
      </c>
      <c r="AN169" s="4">
        <f>VLOOKUP($N169,[2]Cultures!$B$4:$M$283,MATCH(AN$1,[2]Cultures!$B$3:$M$3,0),FALSE)</f>
        <v>0</v>
      </c>
      <c r="AO169" s="4">
        <f>VLOOKUP($N169,[2]Cultures!$B$4:$M$283,MATCH(AO$1,[2]Cultures!$B$3:$M$3,0),FALSE)</f>
        <v>0</v>
      </c>
      <c r="AP169" s="4">
        <f>VLOOKUP($N169,[2]Cultures!$B$4:$M$283,MATCH(AP$1,[2]Cultures!$B$3:$M$3,0),FALSE)</f>
        <v>0</v>
      </c>
      <c r="AQ169" s="4">
        <f>VLOOKUP($N169,[2]Cultures!$B$4:$M$283,MATCH(AQ$1,[2]Cultures!$B$3:$M$3,0),FALSE)</f>
        <v>0</v>
      </c>
      <c r="AR169" s="4">
        <f>VLOOKUP($N169,[2]Cultures!$B$4:$M$283,MATCH(AR$1,[2]Cultures!$B$3:$M$3,0),FALSE)</f>
        <v>0</v>
      </c>
      <c r="AS169" s="4">
        <f>VLOOKUP($N169,[2]Cultures!$B$4:$M$283,MATCH(AS$1,[2]Cultures!$B$3:$M$3,0),FALSE)</f>
        <v>0</v>
      </c>
      <c r="AT169" s="4"/>
      <c r="AU169" s="4">
        <f>IF(ISNUMBER(SEARCH(N169&amp;";",Calculations!$Q$19)),VLOOKUP(Skills!N169,Calculations!$Q$2:$T$16,4,FALSE),0)</f>
        <v>0</v>
      </c>
      <c r="AV169" s="4">
        <f>IF(ISNUMBER(SEARCH(N169&amp;";",Calculations!$Q$18)),1,0)</f>
        <v>0</v>
      </c>
      <c r="AW169" s="4">
        <f>IF($AV$167=1,1,AV169)</f>
        <v>0</v>
      </c>
      <c r="AX169" s="4">
        <f>VLOOKUP($N169,$N169:$CH169,MATCH('Character Sheet'!$BJ$3,Skills!$N$1:$CH$1,0),FALSE)</f>
        <v>0</v>
      </c>
    </row>
    <row r="170" spans="1:50" x14ac:dyDescent="0.25">
      <c r="B170" s="4" t="e">
        <f t="shared" si="84"/>
        <v>#N/A</v>
      </c>
      <c r="E170" s="4"/>
      <c r="F170" s="4">
        <f t="shared" si="76"/>
        <v>0</v>
      </c>
      <c r="G170" s="4"/>
      <c r="H170" s="4" t="e">
        <f>H169+I170</f>
        <v>#N/A</v>
      </c>
      <c r="I170" s="4" t="e">
        <f>IF($J$168=1,1,0)</f>
        <v>#N/A</v>
      </c>
      <c r="J170" s="4">
        <f t="shared" si="72"/>
        <v>0</v>
      </c>
      <c r="K170" s="4">
        <f>IF(ISNUMBER(SEARCH("Category",N170)),K172,AI170)</f>
        <v>0</v>
      </c>
      <c r="M170" t="str">
        <f>N170</f>
        <v>Runes</v>
      </c>
      <c r="N170" s="3" t="s">
        <v>2036</v>
      </c>
      <c r="O170" s="4" t="s">
        <v>791</v>
      </c>
      <c r="P170" s="4" t="s">
        <v>781</v>
      </c>
      <c r="Q170" s="4">
        <f t="shared" si="87"/>
        <v>0</v>
      </c>
      <c r="R170" s="4">
        <f>IF(ISNUMBER(SEARCH("Category",N170)),"- -",IF(ISNUMBER(SEARCH("Skills",N170)),"- -",'Level-up'!C188))</f>
        <v>0</v>
      </c>
      <c r="S170" s="4">
        <f t="shared" si="74"/>
        <v>0</v>
      </c>
      <c r="T170" s="4">
        <f t="shared" si="75"/>
        <v>-25</v>
      </c>
      <c r="U170" s="4">
        <f ca="1">IFERROR(INDIRECT(LEFT(O170,FIND("/",O170)-1))+INDIRECT(MID(O170,FIND("/",O170)+1,2))+INDIRECT(P170),"- -")</f>
        <v>4</v>
      </c>
      <c r="V170" s="4">
        <f t="shared" si="89"/>
        <v>0</v>
      </c>
      <c r="W170" s="4">
        <f t="shared" si="88"/>
        <v>0</v>
      </c>
      <c r="X170" s="4">
        <f t="shared" si="85"/>
        <v>0</v>
      </c>
      <c r="Y170" s="4">
        <f t="shared" si="78"/>
        <v>0</v>
      </c>
      <c r="Z170" s="4">
        <f t="shared" si="79"/>
        <v>0</v>
      </c>
      <c r="AA170" s="4">
        <f t="shared" si="80"/>
        <v>0</v>
      </c>
      <c r="AB170" s="4">
        <f t="shared" si="81"/>
        <v>0</v>
      </c>
      <c r="AC170" s="8"/>
      <c r="AD170" s="4"/>
      <c r="AE170" s="4"/>
      <c r="AF170" s="4" t="str">
        <f t="shared" ca="1" si="83"/>
        <v>-21</v>
      </c>
      <c r="AG170" s="4"/>
      <c r="AH170" s="4">
        <f>IFERROR(VLOOKUP(M170,Calculations!$AC$2:$AD$251,2,FALSE),0)</f>
        <v>0</v>
      </c>
      <c r="AI170" s="4">
        <f>VLOOKUP(N170,$N$2:$AS$620,MATCH('Character Creation'!$Z$12,Skills!$N$1:$AS$1,0),FALSE)</f>
        <v>0</v>
      </c>
      <c r="AJ170" s="4">
        <f>VLOOKUP($N170,[2]Cultures!$B$4:$M$283,MATCH(AJ$1,[2]Cultures!$B$3:$M$3,0),FALSE)</f>
        <v>0</v>
      </c>
      <c r="AK170" s="4">
        <f>VLOOKUP($N170,[2]Cultures!$B$4:$M$283,MATCH(AK$1,[2]Cultures!$B$3:$M$3,0),FALSE)</f>
        <v>0</v>
      </c>
      <c r="AL170" s="4">
        <f>VLOOKUP($N170,[2]Cultures!$B$4:$M$283,MATCH(AL$1,[2]Cultures!$B$3:$M$3,0),FALSE)</f>
        <v>0</v>
      </c>
      <c r="AM170" s="4">
        <f>VLOOKUP($N170,[2]Cultures!$B$4:$M$283,MATCH(AM$1,[2]Cultures!$B$3:$M$3,0),FALSE)</f>
        <v>0</v>
      </c>
      <c r="AN170" s="4">
        <f>VLOOKUP($N170,[2]Cultures!$B$4:$M$283,MATCH(AN$1,[2]Cultures!$B$3:$M$3,0),FALSE)</f>
        <v>0</v>
      </c>
      <c r="AO170" s="4">
        <f>VLOOKUP($N170,[2]Cultures!$B$4:$M$283,MATCH(AO$1,[2]Cultures!$B$3:$M$3,0),FALSE)</f>
        <v>0</v>
      </c>
      <c r="AP170" s="4">
        <f>VLOOKUP($N170,[2]Cultures!$B$4:$M$283,MATCH(AP$1,[2]Cultures!$B$3:$M$3,0),FALSE)</f>
        <v>0</v>
      </c>
      <c r="AQ170" s="4">
        <f>VLOOKUP($N170,[2]Cultures!$B$4:$M$283,MATCH(AQ$1,[2]Cultures!$B$3:$M$3,0),FALSE)</f>
        <v>0</v>
      </c>
      <c r="AR170" s="4">
        <f>VLOOKUP($N170,[2]Cultures!$B$4:$M$283,MATCH(AR$1,[2]Cultures!$B$3:$M$3,0),FALSE)</f>
        <v>0</v>
      </c>
      <c r="AS170" s="4">
        <f>VLOOKUP($N170,[2]Cultures!$B$4:$M$283,MATCH(AS$1,[2]Cultures!$B$3:$M$3,0),FALSE)</f>
        <v>0</v>
      </c>
      <c r="AT170" s="4"/>
      <c r="AU170" s="4">
        <f>IF(ISNUMBER(SEARCH(N170&amp;";",Calculations!$Q$19)),VLOOKUP(Skills!N170,Calculations!$Q$2:$T$16,4,FALSE),0)</f>
        <v>0</v>
      </c>
      <c r="AV170" s="4">
        <f>IF(ISNUMBER(SEARCH(N170&amp;";",Calculations!$Q$18)),1,0)</f>
        <v>0</v>
      </c>
      <c r="AW170" s="4">
        <f>IF($AV$167=1,1,AV170)</f>
        <v>0</v>
      </c>
      <c r="AX170" s="4">
        <f>VLOOKUP($N170,$N170:$CH170,MATCH('Character Sheet'!$BJ$3,Skills!$N$1:$CH$1,0),FALSE)</f>
        <v>0</v>
      </c>
    </row>
    <row r="171" spans="1:50" x14ac:dyDescent="0.25">
      <c r="B171" s="4" t="e">
        <f t="shared" si="84"/>
        <v>#N/A</v>
      </c>
      <c r="E171" s="4"/>
      <c r="F171" s="4">
        <f t="shared" si="76"/>
        <v>0</v>
      </c>
      <c r="G171" s="4"/>
      <c r="H171" s="4" t="e">
        <f>H170+I171</f>
        <v>#N/A</v>
      </c>
      <c r="I171" s="4" t="e">
        <f>IF($J$171=1,1,IF($J$173=1,1,IF($J$175=1,1,0)))</f>
        <v>#N/A</v>
      </c>
      <c r="J171" s="4" t="e">
        <f t="shared" si="72"/>
        <v>#N/A</v>
      </c>
      <c r="K171" s="4" t="e">
        <f t="shared" ref="K171:K202" si="90">IF(ISNUMBER(SEARCH("Category",N171)),K172,AI171)</f>
        <v>#N/A</v>
      </c>
      <c r="N171" s="3" t="s">
        <v>646</v>
      </c>
      <c r="O171" s="6" t="s">
        <v>782</v>
      </c>
      <c r="P171" s="6" t="s">
        <v>782</v>
      </c>
      <c r="Q171" s="4" t="str">
        <f t="shared" si="87"/>
        <v>- -</v>
      </c>
      <c r="R171" s="4" t="str">
        <f>IF(ISNUMBER(SEARCH("Category",N171)),"- -",IF(ISNUMBER(SEARCH("Skills",N171)),"- -",'Level-up'!C189))</f>
        <v>- -</v>
      </c>
      <c r="S171" s="4" t="str">
        <f t="shared" si="74"/>
        <v>- -</v>
      </c>
      <c r="T171" s="4" t="str">
        <f t="shared" si="75"/>
        <v>- -</v>
      </c>
      <c r="U171" s="4" t="str">
        <f t="shared" ca="1" si="77"/>
        <v>- -</v>
      </c>
      <c r="V171" s="4" t="str">
        <f t="shared" si="89"/>
        <v>- -</v>
      </c>
      <c r="W171" s="4" t="str">
        <f t="shared" si="88"/>
        <v>- -</v>
      </c>
      <c r="X171" s="4" t="str">
        <f t="shared" si="85"/>
        <v>- -</v>
      </c>
      <c r="Y171" s="4" t="str">
        <f t="shared" si="78"/>
        <v>- -</v>
      </c>
      <c r="Z171" s="4" t="str">
        <f t="shared" si="79"/>
        <v>- -</v>
      </c>
      <c r="AA171" s="4" t="str">
        <f t="shared" si="80"/>
        <v>- -</v>
      </c>
      <c r="AB171" s="4" t="str">
        <f t="shared" si="81"/>
        <v>- -</v>
      </c>
      <c r="AC171" s="8"/>
      <c r="AD171" s="4"/>
      <c r="AE171" s="4"/>
      <c r="AF171" s="4" t="str">
        <f t="shared" si="83"/>
        <v>- -</v>
      </c>
      <c r="AG171" s="4"/>
      <c r="AH171" s="4">
        <f>IFERROR(VLOOKUP(M171,Calculations!$AC$2:$AD$251,2,FALSE),0)</f>
        <v>0</v>
      </c>
      <c r="AI171" s="4" t="e">
        <f>VLOOKUP(N171,$N$2:$AS$620,MATCH('Character Creation'!$Z$12,Skills!$N$1:$AS$1,0),FALSE)</f>
        <v>#N/A</v>
      </c>
      <c r="AJ171" s="4" t="e">
        <f>VLOOKUP($N171,[2]Cultures!$B$4:$M$283,MATCH(AJ$1,[2]Cultures!$B$3:$M$3,0),FALSE)</f>
        <v>#N/A</v>
      </c>
      <c r="AK171" s="4" t="e">
        <f>VLOOKUP($N171,[2]Cultures!$B$4:$M$283,MATCH(AK$1,[2]Cultures!$B$3:$M$3,0),FALSE)</f>
        <v>#N/A</v>
      </c>
      <c r="AL171" s="4" t="e">
        <f>VLOOKUP($N171,[2]Cultures!$B$4:$M$283,MATCH(AL$1,[2]Cultures!$B$3:$M$3,0),FALSE)</f>
        <v>#N/A</v>
      </c>
      <c r="AM171" s="4" t="e">
        <f>VLOOKUP($N171,[2]Cultures!$B$4:$M$283,MATCH(AM$1,[2]Cultures!$B$3:$M$3,0),FALSE)</f>
        <v>#N/A</v>
      </c>
      <c r="AN171" s="4" t="e">
        <f>VLOOKUP($N171,[2]Cultures!$B$4:$M$283,MATCH(AN$1,[2]Cultures!$B$3:$M$3,0),FALSE)</f>
        <v>#N/A</v>
      </c>
      <c r="AO171" s="4" t="e">
        <f>VLOOKUP($N171,[2]Cultures!$B$4:$M$283,MATCH(AO$1,[2]Cultures!$B$3:$M$3,0),FALSE)</f>
        <v>#N/A</v>
      </c>
      <c r="AP171" s="4" t="e">
        <f>VLOOKUP($N171,[2]Cultures!$B$4:$M$283,MATCH(AP$1,[2]Cultures!$B$3:$M$3,0),FALSE)</f>
        <v>#N/A</v>
      </c>
      <c r="AQ171" s="4" t="e">
        <f>VLOOKUP($N171,[2]Cultures!$B$4:$M$283,MATCH(AQ$1,[2]Cultures!$B$3:$M$3,0),FALSE)</f>
        <v>#N/A</v>
      </c>
      <c r="AR171" s="4" t="e">
        <f>VLOOKUP($N171,[2]Cultures!$B$4:$M$283,MATCH(AR$1,[2]Cultures!$B$3:$M$3,0),FALSE)</f>
        <v>#N/A</v>
      </c>
      <c r="AS171" s="4" t="e">
        <f>VLOOKUP($N171,[2]Cultures!$B$4:$M$283,MATCH(AS$1,[2]Cultures!$B$3:$M$3,0),FALSE)</f>
        <v>#N/A</v>
      </c>
      <c r="AT171" s="4"/>
      <c r="AU171" s="4">
        <f>IF(ISNUMBER(SEARCH(N171&amp;";",Calculations!$Q$19)),VLOOKUP(Skills!N171,Calculations!$Q$2:$T$16,4,FALSE),0)</f>
        <v>0</v>
      </c>
      <c r="AV171" s="4">
        <f>IF(ISNUMBER(SEARCH(N171&amp;";",Calculations!$Q$18)),1,0)</f>
        <v>0</v>
      </c>
      <c r="AW171" s="4"/>
      <c r="AX171" s="4">
        <f>VLOOKUP($N171,$N171:$CH171,MATCH('Character Sheet'!$BJ$3,Skills!$N$1:$CH$1,0),FALSE)</f>
        <v>0</v>
      </c>
    </row>
    <row r="172" spans="1:50" x14ac:dyDescent="0.25">
      <c r="B172" s="4" t="e">
        <f t="shared" si="84"/>
        <v>#N/A</v>
      </c>
      <c r="E172" s="4"/>
      <c r="F172" s="4">
        <f t="shared" si="76"/>
        <v>0</v>
      </c>
      <c r="G172" s="4"/>
      <c r="H172" s="4" t="e">
        <f t="shared" si="82"/>
        <v>#N/A</v>
      </c>
      <c r="I172" s="4" t="e">
        <f>IF($J$171=1,1,IF($J$173=1,1,IF($J$175=1,1,0)))</f>
        <v>#N/A</v>
      </c>
      <c r="J172" s="4">
        <f t="shared" si="72"/>
        <v>0</v>
      </c>
      <c r="K172" s="4" t="e">
        <f t="shared" si="90"/>
        <v>#N/A</v>
      </c>
      <c r="N172" s="3" t="s">
        <v>647</v>
      </c>
      <c r="O172" s="6" t="s">
        <v>782</v>
      </c>
      <c r="P172" s="6" t="s">
        <v>782</v>
      </c>
      <c r="Q172" s="4" t="str">
        <f t="shared" si="87"/>
        <v>- -</v>
      </c>
      <c r="R172" s="4" t="str">
        <f>IF(ISNUMBER(SEARCH("Category",N172)),"- -",IF(ISNUMBER(SEARCH("Skills",N172)),"- -",'Level-up'!C190))</f>
        <v>- -</v>
      </c>
      <c r="S172" s="4" t="str">
        <f t="shared" si="74"/>
        <v>- -</v>
      </c>
      <c r="T172" s="4" t="str">
        <f t="shared" si="75"/>
        <v>- -</v>
      </c>
      <c r="U172" s="4" t="str">
        <f t="shared" ca="1" si="77"/>
        <v>- -</v>
      </c>
      <c r="V172" s="4" t="str">
        <f t="shared" si="89"/>
        <v>- -</v>
      </c>
      <c r="W172" s="4" t="str">
        <f t="shared" si="88"/>
        <v>- -</v>
      </c>
      <c r="X172" s="4" t="str">
        <f t="shared" si="85"/>
        <v>- -</v>
      </c>
      <c r="Y172" s="4" t="str">
        <f t="shared" si="78"/>
        <v>- -</v>
      </c>
      <c r="Z172" s="4" t="str">
        <f t="shared" si="79"/>
        <v>- -</v>
      </c>
      <c r="AA172" s="4" t="str">
        <f t="shared" si="80"/>
        <v>- -</v>
      </c>
      <c r="AB172" s="4" t="str">
        <f t="shared" si="81"/>
        <v>- -</v>
      </c>
      <c r="AC172" s="8"/>
      <c r="AD172" s="4"/>
      <c r="AE172" s="4"/>
      <c r="AF172" s="4" t="str">
        <f t="shared" si="83"/>
        <v>- -</v>
      </c>
      <c r="AG172" s="4"/>
      <c r="AH172" s="4">
        <f>IFERROR(VLOOKUP(M172,Calculations!$AC$2:$AD$251,2,FALSE),0)</f>
        <v>0</v>
      </c>
      <c r="AI172" s="4" t="e">
        <f>VLOOKUP(N172,$N$2:$AS$620,MATCH('Character Creation'!$Z$12,Skills!$N$1:$AS$1,0),FALSE)</f>
        <v>#N/A</v>
      </c>
      <c r="AJ172" s="4" t="e">
        <f>VLOOKUP($N172,[2]Cultures!$B$4:$M$283,MATCH(AJ$1,[2]Cultures!$B$3:$M$3,0),FALSE)</f>
        <v>#N/A</v>
      </c>
      <c r="AK172" s="4" t="e">
        <f>VLOOKUP($N172,[2]Cultures!$B$4:$M$283,MATCH(AK$1,[2]Cultures!$B$3:$M$3,0),FALSE)</f>
        <v>#N/A</v>
      </c>
      <c r="AL172" s="4" t="e">
        <f>VLOOKUP($N172,[2]Cultures!$B$4:$M$283,MATCH(AL$1,[2]Cultures!$B$3:$M$3,0),FALSE)</f>
        <v>#N/A</v>
      </c>
      <c r="AM172" s="4" t="e">
        <f>VLOOKUP($N172,[2]Cultures!$B$4:$M$283,MATCH(AM$1,[2]Cultures!$B$3:$M$3,0),FALSE)</f>
        <v>#N/A</v>
      </c>
      <c r="AN172" s="4" t="e">
        <f>VLOOKUP($N172,[2]Cultures!$B$4:$M$283,MATCH(AN$1,[2]Cultures!$B$3:$M$3,0),FALSE)</f>
        <v>#N/A</v>
      </c>
      <c r="AO172" s="4" t="e">
        <f>VLOOKUP($N172,[2]Cultures!$B$4:$M$283,MATCH(AO$1,[2]Cultures!$B$3:$M$3,0),FALSE)</f>
        <v>#N/A</v>
      </c>
      <c r="AP172" s="4" t="e">
        <f>VLOOKUP($N172,[2]Cultures!$B$4:$M$283,MATCH(AP$1,[2]Cultures!$B$3:$M$3,0),FALSE)</f>
        <v>#N/A</v>
      </c>
      <c r="AQ172" s="4" t="e">
        <f>VLOOKUP($N172,[2]Cultures!$B$4:$M$283,MATCH(AQ$1,[2]Cultures!$B$3:$M$3,0),FALSE)</f>
        <v>#N/A</v>
      </c>
      <c r="AR172" s="4" t="e">
        <f>VLOOKUP($N172,[2]Cultures!$B$4:$M$283,MATCH(AR$1,[2]Cultures!$B$3:$M$3,0),FALSE)</f>
        <v>#N/A</v>
      </c>
      <c r="AS172" s="4" t="e">
        <f>VLOOKUP($N172,[2]Cultures!$B$4:$M$283,MATCH(AS$1,[2]Cultures!$B$3:$M$3,0),FALSE)</f>
        <v>#N/A</v>
      </c>
      <c r="AT172" s="4"/>
      <c r="AU172" s="4">
        <f>IF(ISNUMBER(SEARCH(N172&amp;";",Calculations!$Q$19)),VLOOKUP(Skills!N172,Calculations!$Q$2:$T$16,4,FALSE),0)</f>
        <v>0</v>
      </c>
      <c r="AV172" s="4">
        <f>IF(ISNUMBER(SEARCH(N172&amp;";",Calculations!$Q$18)),1,0)</f>
        <v>0</v>
      </c>
      <c r="AW172" s="4"/>
      <c r="AX172" s="4">
        <f>VLOOKUP($N172,$N172:$CH172,MATCH('Character Sheet'!$BJ$3,Skills!$N$1:$CH$1,0),FALSE)</f>
        <v>0</v>
      </c>
    </row>
    <row r="173" spans="1:50" x14ac:dyDescent="0.25">
      <c r="B173" s="4" t="e">
        <f t="shared" si="84"/>
        <v>#N/A</v>
      </c>
      <c r="E173" s="4"/>
      <c r="F173" s="4">
        <f t="shared" si="76"/>
        <v>0</v>
      </c>
      <c r="G173" s="4"/>
      <c r="H173" s="4" t="e">
        <f t="shared" si="82"/>
        <v>#N/A</v>
      </c>
      <c r="I173" s="4">
        <v>0</v>
      </c>
      <c r="J173" s="4" t="e">
        <f t="shared" si="72"/>
        <v>#N/A</v>
      </c>
      <c r="K173" s="4" t="e">
        <f t="shared" si="90"/>
        <v>#N/A</v>
      </c>
      <c r="N173" s="3" t="s">
        <v>648</v>
      </c>
      <c r="O173" s="6" t="s">
        <v>782</v>
      </c>
      <c r="P173" s="6" t="s">
        <v>782</v>
      </c>
      <c r="Q173" s="4" t="str">
        <f t="shared" si="87"/>
        <v>- -</v>
      </c>
      <c r="R173" s="4" t="str">
        <f>IF(ISNUMBER(SEARCH("Category",N173)),"- -",IF(ISNUMBER(SEARCH("Skills",N173)),"- -",'Level-up'!C191))</f>
        <v>- -</v>
      </c>
      <c r="S173" s="4" t="str">
        <f t="shared" si="74"/>
        <v>- -</v>
      </c>
      <c r="T173" s="4" t="str">
        <f t="shared" si="75"/>
        <v>- -</v>
      </c>
      <c r="U173" s="4" t="str">
        <f t="shared" ca="1" si="77"/>
        <v>- -</v>
      </c>
      <c r="V173" s="4" t="str">
        <f t="shared" si="89"/>
        <v>- -</v>
      </c>
      <c r="W173" s="4" t="str">
        <f t="shared" si="88"/>
        <v>- -</v>
      </c>
      <c r="X173" s="4" t="str">
        <f t="shared" si="85"/>
        <v>- -</v>
      </c>
      <c r="Y173" s="4" t="str">
        <f t="shared" si="78"/>
        <v>- -</v>
      </c>
      <c r="Z173" s="4" t="str">
        <f t="shared" si="79"/>
        <v>- -</v>
      </c>
      <c r="AA173" s="4" t="str">
        <f t="shared" si="80"/>
        <v>- -</v>
      </c>
      <c r="AB173" s="4" t="str">
        <f t="shared" si="81"/>
        <v>- -</v>
      </c>
      <c r="AC173" s="8"/>
      <c r="AD173" s="4"/>
      <c r="AE173" s="4"/>
      <c r="AF173" s="4" t="str">
        <f t="shared" si="83"/>
        <v>- -</v>
      </c>
      <c r="AG173" s="4"/>
      <c r="AH173" s="4">
        <f>IFERROR(VLOOKUP(M173,Calculations!$AC$2:$AD$251,2,FALSE),0)</f>
        <v>0</v>
      </c>
      <c r="AI173" s="4" t="e">
        <f>VLOOKUP(N173,$N$2:$AS$620,MATCH('Character Creation'!$Z$12,Skills!$N$1:$AS$1,0),FALSE)</f>
        <v>#N/A</v>
      </c>
      <c r="AJ173" s="4" t="e">
        <f>VLOOKUP($N173,[2]Cultures!$B$4:$M$283,MATCH(AJ$1,[2]Cultures!$B$3:$M$3,0),FALSE)</f>
        <v>#N/A</v>
      </c>
      <c r="AK173" s="4" t="e">
        <f>VLOOKUP($N173,[2]Cultures!$B$4:$M$283,MATCH(AK$1,[2]Cultures!$B$3:$M$3,0),FALSE)</f>
        <v>#N/A</v>
      </c>
      <c r="AL173" s="4" t="e">
        <f>VLOOKUP($N173,[2]Cultures!$B$4:$M$283,MATCH(AL$1,[2]Cultures!$B$3:$M$3,0),FALSE)</f>
        <v>#N/A</v>
      </c>
      <c r="AM173" s="4" t="e">
        <f>VLOOKUP($N173,[2]Cultures!$B$4:$M$283,MATCH(AM$1,[2]Cultures!$B$3:$M$3,0),FALSE)</f>
        <v>#N/A</v>
      </c>
      <c r="AN173" s="4" t="e">
        <f>VLOOKUP($N173,[2]Cultures!$B$4:$M$283,MATCH(AN$1,[2]Cultures!$B$3:$M$3,0),FALSE)</f>
        <v>#N/A</v>
      </c>
      <c r="AO173" s="4" t="e">
        <f>VLOOKUP($N173,[2]Cultures!$B$4:$M$283,MATCH(AO$1,[2]Cultures!$B$3:$M$3,0),FALSE)</f>
        <v>#N/A</v>
      </c>
      <c r="AP173" s="4" t="e">
        <f>VLOOKUP($N173,[2]Cultures!$B$4:$M$283,MATCH(AP$1,[2]Cultures!$B$3:$M$3,0),FALSE)</f>
        <v>#N/A</v>
      </c>
      <c r="AQ173" s="4" t="e">
        <f>VLOOKUP($N173,[2]Cultures!$B$4:$M$283,MATCH(AQ$1,[2]Cultures!$B$3:$M$3,0),FALSE)</f>
        <v>#N/A</v>
      </c>
      <c r="AR173" s="4" t="e">
        <f>VLOOKUP($N173,[2]Cultures!$B$4:$M$283,MATCH(AR$1,[2]Cultures!$B$3:$M$3,0),FALSE)</f>
        <v>#N/A</v>
      </c>
      <c r="AS173" s="4" t="e">
        <f>VLOOKUP($N173,[2]Cultures!$B$4:$M$283,MATCH(AS$1,[2]Cultures!$B$3:$M$3,0),FALSE)</f>
        <v>#N/A</v>
      </c>
      <c r="AT173" s="4"/>
      <c r="AU173" s="4">
        <f>IF(ISNUMBER(SEARCH(N173&amp;";",Calculations!$Q$19)),VLOOKUP(Skills!N173,Calculations!$Q$2:$T$16,4,FALSE),0)</f>
        <v>0</v>
      </c>
      <c r="AV173" s="4">
        <f>IF(ISNUMBER(SEARCH(N173&amp;";",Calculations!$Q$18)),1,0)</f>
        <v>0</v>
      </c>
      <c r="AW173" s="4"/>
      <c r="AX173" s="4">
        <f>VLOOKUP($N173,$N173:$CH173,MATCH('Character Sheet'!$BJ$3,Skills!$N$1:$CH$1,0),FALSE)</f>
        <v>0</v>
      </c>
    </row>
    <row r="174" spans="1:50" x14ac:dyDescent="0.25">
      <c r="B174" s="4" t="e">
        <f t="shared" si="84"/>
        <v>#N/A</v>
      </c>
      <c r="E174" s="4"/>
      <c r="F174" s="4">
        <f t="shared" si="76"/>
        <v>0</v>
      </c>
      <c r="G174" s="4"/>
      <c r="H174" s="4" t="e">
        <f t="shared" si="82"/>
        <v>#N/A</v>
      </c>
      <c r="I174" s="4" t="e">
        <f>IF($J$171=1,1,IF($J$173=1,1,IF($J$175=1,1,0)))</f>
        <v>#N/A</v>
      </c>
      <c r="J174" s="4">
        <f t="shared" si="72"/>
        <v>0</v>
      </c>
      <c r="K174" s="4" t="e">
        <f t="shared" si="90"/>
        <v>#N/A</v>
      </c>
      <c r="N174" s="3" t="s">
        <v>649</v>
      </c>
      <c r="O174" s="6" t="s">
        <v>782</v>
      </c>
      <c r="P174" s="6" t="s">
        <v>782</v>
      </c>
      <c r="Q174" s="4" t="str">
        <f t="shared" si="87"/>
        <v>- -</v>
      </c>
      <c r="R174" s="4" t="str">
        <f>IF(ISNUMBER(SEARCH("Category",N174)),"- -",IF(ISNUMBER(SEARCH("Skills",N174)),"- -",'Level-up'!C192))</f>
        <v>- -</v>
      </c>
      <c r="S174" s="4" t="str">
        <f t="shared" si="74"/>
        <v>- -</v>
      </c>
      <c r="T174" s="4" t="str">
        <f t="shared" si="75"/>
        <v>- -</v>
      </c>
      <c r="U174" s="4" t="str">
        <f t="shared" ca="1" si="77"/>
        <v>- -</v>
      </c>
      <c r="V174" s="4" t="str">
        <f t="shared" si="89"/>
        <v>- -</v>
      </c>
      <c r="W174" s="4" t="str">
        <f t="shared" si="88"/>
        <v>- -</v>
      </c>
      <c r="X174" s="4" t="str">
        <f t="shared" si="85"/>
        <v>- -</v>
      </c>
      <c r="Y174" s="4" t="str">
        <f t="shared" si="78"/>
        <v>- -</v>
      </c>
      <c r="Z174" s="4" t="str">
        <f t="shared" si="79"/>
        <v>- -</v>
      </c>
      <c r="AA174" s="4" t="str">
        <f t="shared" si="80"/>
        <v>- -</v>
      </c>
      <c r="AB174" s="4" t="str">
        <f t="shared" si="81"/>
        <v>- -</v>
      </c>
      <c r="AC174" s="8"/>
      <c r="AD174" s="4"/>
      <c r="AE174" s="4"/>
      <c r="AF174" s="4" t="str">
        <f t="shared" si="83"/>
        <v>- -</v>
      </c>
      <c r="AG174" s="4"/>
      <c r="AH174" s="4">
        <f>IFERROR(VLOOKUP(M174,Calculations!$AC$2:$AD$251,2,FALSE),0)</f>
        <v>0</v>
      </c>
      <c r="AI174" s="4" t="e">
        <f>VLOOKUP(N174,$N$2:$AS$620,MATCH('Character Creation'!$Z$12,Skills!$N$1:$AS$1,0),FALSE)</f>
        <v>#N/A</v>
      </c>
      <c r="AJ174" s="4" t="e">
        <f>VLOOKUP($N174,[2]Cultures!$B$4:$M$283,MATCH(AJ$1,[2]Cultures!$B$3:$M$3,0),FALSE)</f>
        <v>#N/A</v>
      </c>
      <c r="AK174" s="4" t="e">
        <f>VLOOKUP($N174,[2]Cultures!$B$4:$M$283,MATCH(AK$1,[2]Cultures!$B$3:$M$3,0),FALSE)</f>
        <v>#N/A</v>
      </c>
      <c r="AL174" s="4" t="e">
        <f>VLOOKUP($N174,[2]Cultures!$B$4:$M$283,MATCH(AL$1,[2]Cultures!$B$3:$M$3,0),FALSE)</f>
        <v>#N/A</v>
      </c>
      <c r="AM174" s="4" t="e">
        <f>VLOOKUP($N174,[2]Cultures!$B$4:$M$283,MATCH(AM$1,[2]Cultures!$B$3:$M$3,0),FALSE)</f>
        <v>#N/A</v>
      </c>
      <c r="AN174" s="4" t="e">
        <f>VLOOKUP($N174,[2]Cultures!$B$4:$M$283,MATCH(AN$1,[2]Cultures!$B$3:$M$3,0),FALSE)</f>
        <v>#N/A</v>
      </c>
      <c r="AO174" s="4" t="e">
        <f>VLOOKUP($N174,[2]Cultures!$B$4:$M$283,MATCH(AO$1,[2]Cultures!$B$3:$M$3,0),FALSE)</f>
        <v>#N/A</v>
      </c>
      <c r="AP174" s="4" t="e">
        <f>VLOOKUP($N174,[2]Cultures!$B$4:$M$283,MATCH(AP$1,[2]Cultures!$B$3:$M$3,0),FALSE)</f>
        <v>#N/A</v>
      </c>
      <c r="AQ174" s="4" t="e">
        <f>VLOOKUP($N174,[2]Cultures!$B$4:$M$283,MATCH(AQ$1,[2]Cultures!$B$3:$M$3,0),FALSE)</f>
        <v>#N/A</v>
      </c>
      <c r="AR174" s="4" t="e">
        <f>VLOOKUP($N174,[2]Cultures!$B$4:$M$283,MATCH(AR$1,[2]Cultures!$B$3:$M$3,0),FALSE)</f>
        <v>#N/A</v>
      </c>
      <c r="AS174" s="4" t="e">
        <f>VLOOKUP($N174,[2]Cultures!$B$4:$M$283,MATCH(AS$1,[2]Cultures!$B$3:$M$3,0),FALSE)</f>
        <v>#N/A</v>
      </c>
      <c r="AT174" s="4"/>
      <c r="AU174" s="4">
        <f>IF(ISNUMBER(SEARCH(N174&amp;";",Calculations!$Q$19)),VLOOKUP(Skills!N174,Calculations!$Q$2:$T$16,4,FALSE),0)</f>
        <v>0</v>
      </c>
      <c r="AV174" s="4">
        <f>IF(ISNUMBER(SEARCH(N174&amp;";",Calculations!$Q$18)),1,0)</f>
        <v>0</v>
      </c>
      <c r="AW174" s="4"/>
      <c r="AX174" s="4">
        <f>VLOOKUP($N174,$N174:$CH174,MATCH('Character Sheet'!$BJ$3,Skills!$N$1:$CH$1,0),FALSE)</f>
        <v>0</v>
      </c>
    </row>
    <row r="175" spans="1:50" x14ac:dyDescent="0.25">
      <c r="B175" s="4" t="e">
        <f t="shared" si="84"/>
        <v>#N/A</v>
      </c>
      <c r="E175" s="4"/>
      <c r="F175" s="4">
        <f t="shared" si="76"/>
        <v>0</v>
      </c>
      <c r="G175" s="4"/>
      <c r="H175" s="4" t="e">
        <f t="shared" si="82"/>
        <v>#N/A</v>
      </c>
      <c r="I175" s="4">
        <v>0</v>
      </c>
      <c r="J175" s="4" t="e">
        <f t="shared" si="72"/>
        <v>#N/A</v>
      </c>
      <c r="K175" s="4" t="e">
        <f t="shared" si="90"/>
        <v>#N/A</v>
      </c>
      <c r="N175" s="3" t="s">
        <v>650</v>
      </c>
      <c r="O175" s="6" t="s">
        <v>782</v>
      </c>
      <c r="P175" s="6" t="s">
        <v>782</v>
      </c>
      <c r="Q175" s="4" t="str">
        <f t="shared" si="87"/>
        <v>- -</v>
      </c>
      <c r="R175" s="4" t="str">
        <f>IF(ISNUMBER(SEARCH("Category",N175)),"- -",IF(ISNUMBER(SEARCH("Skills",N175)),"- -",'Level-up'!C193))</f>
        <v>- -</v>
      </c>
      <c r="S175" s="4" t="str">
        <f t="shared" si="74"/>
        <v>- -</v>
      </c>
      <c r="T175" s="4" t="str">
        <f t="shared" si="75"/>
        <v>- -</v>
      </c>
      <c r="U175" s="4" t="str">
        <f t="shared" ca="1" si="77"/>
        <v>- -</v>
      </c>
      <c r="V175" s="4" t="str">
        <f t="shared" si="89"/>
        <v>- -</v>
      </c>
      <c r="W175" s="4" t="str">
        <f t="shared" si="88"/>
        <v>- -</v>
      </c>
      <c r="X175" s="4" t="str">
        <f t="shared" si="85"/>
        <v>- -</v>
      </c>
      <c r="Y175" s="4" t="str">
        <f t="shared" si="78"/>
        <v>- -</v>
      </c>
      <c r="Z175" s="4" t="str">
        <f t="shared" si="79"/>
        <v>- -</v>
      </c>
      <c r="AA175" s="4" t="str">
        <f t="shared" si="80"/>
        <v>- -</v>
      </c>
      <c r="AB175" s="4" t="str">
        <f t="shared" si="81"/>
        <v>- -</v>
      </c>
      <c r="AC175" s="8"/>
      <c r="AD175" s="4"/>
      <c r="AE175" s="4"/>
      <c r="AF175" s="4" t="str">
        <f t="shared" si="83"/>
        <v>- -</v>
      </c>
      <c r="AG175" s="4"/>
      <c r="AH175" s="4">
        <f>IFERROR(VLOOKUP(M175,Calculations!$AC$2:$AD$251,2,FALSE),0)</f>
        <v>0</v>
      </c>
      <c r="AI175" s="4" t="e">
        <f>VLOOKUP(N175,$N$2:$AS$620,MATCH('Character Creation'!$Z$12,Skills!$N$1:$AS$1,0),FALSE)</f>
        <v>#N/A</v>
      </c>
      <c r="AJ175" s="4" t="e">
        <f>VLOOKUP($N175,[2]Cultures!$B$4:$M$283,MATCH(AJ$1,[2]Cultures!$B$3:$M$3,0),FALSE)</f>
        <v>#N/A</v>
      </c>
      <c r="AK175" s="4" t="e">
        <f>VLOOKUP($N175,[2]Cultures!$B$4:$M$283,MATCH(AK$1,[2]Cultures!$B$3:$M$3,0),FALSE)</f>
        <v>#N/A</v>
      </c>
      <c r="AL175" s="4" t="e">
        <f>VLOOKUP($N175,[2]Cultures!$B$4:$M$283,MATCH(AL$1,[2]Cultures!$B$3:$M$3,0),FALSE)</f>
        <v>#N/A</v>
      </c>
      <c r="AM175" s="4" t="e">
        <f>VLOOKUP($N175,[2]Cultures!$B$4:$M$283,MATCH(AM$1,[2]Cultures!$B$3:$M$3,0),FALSE)</f>
        <v>#N/A</v>
      </c>
      <c r="AN175" s="4" t="e">
        <f>VLOOKUP($N175,[2]Cultures!$B$4:$M$283,MATCH(AN$1,[2]Cultures!$B$3:$M$3,0),FALSE)</f>
        <v>#N/A</v>
      </c>
      <c r="AO175" s="4" t="e">
        <f>VLOOKUP($N175,[2]Cultures!$B$4:$M$283,MATCH(AO$1,[2]Cultures!$B$3:$M$3,0),FALSE)</f>
        <v>#N/A</v>
      </c>
      <c r="AP175" s="4" t="e">
        <f>VLOOKUP($N175,[2]Cultures!$B$4:$M$283,MATCH(AP$1,[2]Cultures!$B$3:$M$3,0),FALSE)</f>
        <v>#N/A</v>
      </c>
      <c r="AQ175" s="4" t="e">
        <f>VLOOKUP($N175,[2]Cultures!$B$4:$M$283,MATCH(AQ$1,[2]Cultures!$B$3:$M$3,0),FALSE)</f>
        <v>#N/A</v>
      </c>
      <c r="AR175" s="4" t="e">
        <f>VLOOKUP($N175,[2]Cultures!$B$4:$M$283,MATCH(AR$1,[2]Cultures!$B$3:$M$3,0),FALSE)</f>
        <v>#N/A</v>
      </c>
      <c r="AS175" s="4" t="e">
        <f>VLOOKUP($N175,[2]Cultures!$B$4:$M$283,MATCH(AS$1,[2]Cultures!$B$3:$M$3,0),FALSE)</f>
        <v>#N/A</v>
      </c>
      <c r="AT175" s="4"/>
      <c r="AU175" s="4">
        <f>IF(ISNUMBER(SEARCH(N175&amp;";",Calculations!$Q$19)),VLOOKUP(Skills!N175,Calculations!$Q$2:$T$16,4,FALSE),0)</f>
        <v>0</v>
      </c>
      <c r="AV175" s="4">
        <f>IF(ISNUMBER(SEARCH(N175&amp;";",Calculations!$Q$18)),1,0)</f>
        <v>0</v>
      </c>
      <c r="AW175" s="4"/>
      <c r="AX175" s="4">
        <f>VLOOKUP($N175,$N175:$CH175,MATCH('Character Sheet'!$BJ$3,Skills!$N$1:$CH$1,0),FALSE)</f>
        <v>0</v>
      </c>
    </row>
    <row r="176" spans="1:50" x14ac:dyDescent="0.25">
      <c r="B176" s="4" t="e">
        <f t="shared" si="84"/>
        <v>#N/A</v>
      </c>
      <c r="E176" s="4"/>
      <c r="F176" s="4">
        <f t="shared" si="76"/>
        <v>0</v>
      </c>
      <c r="G176" s="4"/>
      <c r="H176" s="4" t="e">
        <f t="shared" si="82"/>
        <v>#N/A</v>
      </c>
      <c r="I176" s="4" t="e">
        <f t="shared" ref="I176:I183" si="91">IF($J$171=1,1,IF($J$173=1,1,IF($J$175=1,1,0)))</f>
        <v>#N/A</v>
      </c>
      <c r="J176" s="4">
        <f t="shared" si="72"/>
        <v>0</v>
      </c>
      <c r="K176" s="4">
        <f t="shared" si="90"/>
        <v>0</v>
      </c>
      <c r="M176" t="str">
        <f>N176</f>
        <v>Basic Engineering</v>
      </c>
      <c r="N176" s="3" t="str">
        <f>'Character Sheet'!AXF5</f>
        <v>Basic Engineering</v>
      </c>
      <c r="O176" s="4" t="s">
        <v>795</v>
      </c>
      <c r="P176" s="4" t="s">
        <v>794</v>
      </c>
      <c r="Q176" s="4">
        <f t="shared" si="87"/>
        <v>0</v>
      </c>
      <c r="R176" s="4">
        <f>IF(ISNUMBER(SEARCH("Category",N176)),"- -",IF(ISNUMBER(SEARCH("Skills",N176)),"- -",'Level-up'!C194))</f>
        <v>0</v>
      </c>
      <c r="S176" s="4">
        <f t="shared" si="74"/>
        <v>0</v>
      </c>
      <c r="T176" s="4">
        <f t="shared" si="75"/>
        <v>-25</v>
      </c>
      <c r="U176" s="4">
        <f t="shared" ca="1" si="77"/>
        <v>5</v>
      </c>
      <c r="V176" s="4">
        <f t="shared" ref="V176:V185" si="92">IF(ISNUMBER(SEARCH("Category",N176)),"- -",IF(ISNUMBER(SEARCH("Skills",N176)),"- -",IF(AU176&gt;0,AU176,IF($AU$174&gt;0,$AU$174,$AU$172))))</f>
        <v>0</v>
      </c>
      <c r="W176" s="4">
        <f t="shared" si="88"/>
        <v>0</v>
      </c>
      <c r="X176" s="4">
        <f t="shared" si="85"/>
        <v>0</v>
      </c>
      <c r="Y176" s="4">
        <f t="shared" si="78"/>
        <v>0</v>
      </c>
      <c r="Z176" s="4">
        <f t="shared" si="79"/>
        <v>0</v>
      </c>
      <c r="AA176" s="4">
        <f t="shared" si="80"/>
        <v>0</v>
      </c>
      <c r="AB176" s="4">
        <f t="shared" si="81"/>
        <v>0</v>
      </c>
      <c r="AC176" s="8"/>
      <c r="AD176" s="4"/>
      <c r="AE176" s="4"/>
      <c r="AF176" s="4" t="str">
        <f t="shared" ca="1" si="83"/>
        <v>-20</v>
      </c>
      <c r="AG176" s="4"/>
      <c r="AH176" s="4">
        <f>IFERROR(VLOOKUP(M176,Calculations!$AC$2:$AD$251,2,FALSE),0)</f>
        <v>0</v>
      </c>
      <c r="AI176" s="4">
        <f>VLOOKUP(N176,$N$2:$AS$620,MATCH('Character Creation'!$Z$12,Skills!$N$1:$AS$1,0),FALSE)</f>
        <v>0</v>
      </c>
      <c r="AJ176" s="4">
        <f>VLOOKUP($N176,[2]Cultures!$B$4:$M$283,MATCH(AJ$1,[2]Cultures!$B$3:$M$3,0),FALSE)</f>
        <v>0</v>
      </c>
      <c r="AK176" s="4">
        <f>VLOOKUP($N176,[2]Cultures!$B$4:$M$283,MATCH(AK$1,[2]Cultures!$B$3:$M$3,0),FALSE)</f>
        <v>0</v>
      </c>
      <c r="AL176" s="4">
        <f>VLOOKUP($N176,[2]Cultures!$B$4:$M$283,MATCH(AL$1,[2]Cultures!$B$3:$M$3,0),FALSE)</f>
        <v>0</v>
      </c>
      <c r="AM176" s="4">
        <f>VLOOKUP($N176,[2]Cultures!$B$4:$M$283,MATCH(AM$1,[2]Cultures!$B$3:$M$3,0),FALSE)</f>
        <v>0</v>
      </c>
      <c r="AN176" s="4">
        <f>VLOOKUP($N176,[2]Cultures!$B$4:$M$283,MATCH(AN$1,[2]Cultures!$B$3:$M$3,0),FALSE)</f>
        <v>0</v>
      </c>
      <c r="AO176" s="4">
        <f>VLOOKUP($N176,[2]Cultures!$B$4:$M$283,MATCH(AO$1,[2]Cultures!$B$3:$M$3,0),FALSE)</f>
        <v>0</v>
      </c>
      <c r="AP176" s="4">
        <f>VLOOKUP($N176,[2]Cultures!$B$4:$M$283,MATCH(AP$1,[2]Cultures!$B$3:$M$3,0),FALSE)</f>
        <v>0</v>
      </c>
      <c r="AQ176" s="4">
        <f>VLOOKUP($N176,[2]Cultures!$B$4:$M$283,MATCH(AQ$1,[2]Cultures!$B$3:$M$3,0),FALSE)</f>
        <v>0</v>
      </c>
      <c r="AR176" s="4">
        <f>VLOOKUP($N176,[2]Cultures!$B$4:$M$283,MATCH(AR$1,[2]Cultures!$B$3:$M$3,0),FALSE)</f>
        <v>0</v>
      </c>
      <c r="AS176" s="4">
        <f>VLOOKUP($N176,[2]Cultures!$B$4:$M$283,MATCH(AS$1,[2]Cultures!$B$3:$M$3,0),FALSE)</f>
        <v>0</v>
      </c>
      <c r="AT176" s="4"/>
      <c r="AU176" s="4">
        <f>IF(ISNUMBER(SEARCH(N176&amp;";",Calculations!$Q$19)),VLOOKUP(Skills!N176,Calculations!$Q$2:$T$16,4,FALSE),0)</f>
        <v>0</v>
      </c>
      <c r="AV176" s="4">
        <f>IF(ISNUMBER(SEARCH(N176&amp;";",Calculations!$Q$18)),1,0)</f>
        <v>0</v>
      </c>
      <c r="AW176" s="4">
        <f t="shared" ref="AW176:AW183" si="93">IF($AV$172=1,1,IF($AV$174=1,1,AV176))</f>
        <v>0</v>
      </c>
      <c r="AX176" s="4">
        <f>VLOOKUP($N176,$N176:$CH176,MATCH('Character Sheet'!$BJ$3,Skills!$N$1:$CH$1,0),FALSE)</f>
        <v>0</v>
      </c>
    </row>
    <row r="177" spans="2:50" x14ac:dyDescent="0.25">
      <c r="B177" s="4" t="e">
        <f t="shared" si="84"/>
        <v>#N/A</v>
      </c>
      <c r="E177" s="4"/>
      <c r="F177" s="4">
        <f t="shared" si="76"/>
        <v>0</v>
      </c>
      <c r="G177" s="4"/>
      <c r="H177" s="4" t="e">
        <f t="shared" si="82"/>
        <v>#N/A</v>
      </c>
      <c r="I177" s="4" t="e">
        <f t="shared" si="91"/>
        <v>#N/A</v>
      </c>
      <c r="J177" s="4">
        <f t="shared" si="72"/>
        <v>0</v>
      </c>
      <c r="K177" s="4">
        <f t="shared" si="90"/>
        <v>0</v>
      </c>
      <c r="M177" t="str">
        <f>"Engineering, "&amp;N177</f>
        <v>Engineering, Civil Engineering</v>
      </c>
      <c r="N177" s="3" t="str">
        <f>'Character Sheet'!AXF6</f>
        <v>Civil Engineering</v>
      </c>
      <c r="O177" s="4" t="s">
        <v>795</v>
      </c>
      <c r="P177" s="4" t="s">
        <v>794</v>
      </c>
      <c r="Q177" s="4">
        <f t="shared" si="87"/>
        <v>0</v>
      </c>
      <c r="R177" s="4">
        <f>IF(ISNUMBER(SEARCH("Category",N177)),"- -",IF(ISNUMBER(SEARCH("Skills",N177)),"- -",'Level-up'!C195))</f>
        <v>0</v>
      </c>
      <c r="S177" s="4">
        <f t="shared" si="74"/>
        <v>0</v>
      </c>
      <c r="T177" s="4">
        <f t="shared" si="75"/>
        <v>-25</v>
      </c>
      <c r="U177" s="4">
        <f t="shared" ca="1" si="77"/>
        <v>5</v>
      </c>
      <c r="V177" s="4">
        <f t="shared" si="92"/>
        <v>0</v>
      </c>
      <c r="W177" s="4">
        <f t="shared" si="88"/>
        <v>0</v>
      </c>
      <c r="X177" s="4">
        <f t="shared" si="85"/>
        <v>0</v>
      </c>
      <c r="Y177" s="4">
        <f t="shared" si="78"/>
        <v>0</v>
      </c>
      <c r="Z177" s="4">
        <f t="shared" si="79"/>
        <v>0</v>
      </c>
      <c r="AA177" s="4">
        <f t="shared" si="80"/>
        <v>0</v>
      </c>
      <c r="AB177" s="4">
        <f t="shared" si="81"/>
        <v>0</v>
      </c>
      <c r="AC177" s="8"/>
      <c r="AD177" s="4"/>
      <c r="AE177" s="4"/>
      <c r="AF177" s="4" t="str">
        <f t="shared" ca="1" si="83"/>
        <v>-20</v>
      </c>
      <c r="AG177" s="4"/>
      <c r="AH177" s="4">
        <f>IFERROR(VLOOKUP(M177,Calculations!$AC$2:$AD$251,2,FALSE),0)</f>
        <v>0</v>
      </c>
      <c r="AI177" s="4">
        <f>VLOOKUP(N177,$N$2:$AS$620,MATCH('Character Creation'!$Z$12,Skills!$N$1:$AS$1,0),FALSE)</f>
        <v>0</v>
      </c>
      <c r="AJ177" s="4">
        <f>VLOOKUP($N177,[2]Cultures!$B$4:$M$283,MATCH(AJ$1,[2]Cultures!$B$3:$M$3,0),FALSE)</f>
        <v>0</v>
      </c>
      <c r="AK177" s="4">
        <f>VLOOKUP($N177,[2]Cultures!$B$4:$M$283,MATCH(AK$1,[2]Cultures!$B$3:$M$3,0),FALSE)</f>
        <v>0</v>
      </c>
      <c r="AL177" s="4">
        <f>VLOOKUP($N177,[2]Cultures!$B$4:$M$283,MATCH(AL$1,[2]Cultures!$B$3:$M$3,0),FALSE)</f>
        <v>0</v>
      </c>
      <c r="AM177" s="4">
        <f>VLOOKUP($N177,[2]Cultures!$B$4:$M$283,MATCH(AM$1,[2]Cultures!$B$3:$M$3,0),FALSE)</f>
        <v>0</v>
      </c>
      <c r="AN177" s="4">
        <f>VLOOKUP($N177,[2]Cultures!$B$4:$M$283,MATCH(AN$1,[2]Cultures!$B$3:$M$3,0),FALSE)</f>
        <v>0</v>
      </c>
      <c r="AO177" s="4">
        <f>VLOOKUP($N177,[2]Cultures!$B$4:$M$283,MATCH(AO$1,[2]Cultures!$B$3:$M$3,0),FALSE)</f>
        <v>0</v>
      </c>
      <c r="AP177" s="4">
        <f>VLOOKUP($N177,[2]Cultures!$B$4:$M$283,MATCH(AP$1,[2]Cultures!$B$3:$M$3,0),FALSE)</f>
        <v>0</v>
      </c>
      <c r="AQ177" s="4">
        <f>VLOOKUP($N177,[2]Cultures!$B$4:$M$283,MATCH(AQ$1,[2]Cultures!$B$3:$M$3,0),FALSE)</f>
        <v>0</v>
      </c>
      <c r="AR177" s="4">
        <f>VLOOKUP($N177,[2]Cultures!$B$4:$M$283,MATCH(AR$1,[2]Cultures!$B$3:$M$3,0),FALSE)</f>
        <v>0</v>
      </c>
      <c r="AS177" s="4">
        <f>VLOOKUP($N177,[2]Cultures!$B$4:$M$283,MATCH(AS$1,[2]Cultures!$B$3:$M$3,0),FALSE)</f>
        <v>0</v>
      </c>
      <c r="AT177" s="4"/>
      <c r="AU177" s="4">
        <f>IF(ISNUMBER(SEARCH(N177&amp;";",Calculations!$Q$19)),VLOOKUP(Skills!N177,Calculations!$Q$2:$T$16,4,FALSE),0)</f>
        <v>0</v>
      </c>
      <c r="AV177" s="4">
        <f>IF(ISNUMBER(SEARCH(N177&amp;";",Calculations!$Q$18)),1,0)</f>
        <v>0</v>
      </c>
      <c r="AW177" s="4">
        <f t="shared" si="93"/>
        <v>0</v>
      </c>
      <c r="AX177" s="4">
        <f>VLOOKUP($N177,$N177:$CH177,MATCH('Character Sheet'!$BJ$3,Skills!$N$1:$CH$1,0),FALSE)</f>
        <v>0</v>
      </c>
    </row>
    <row r="178" spans="2:50" x14ac:dyDescent="0.25">
      <c r="B178" s="4" t="e">
        <f t="shared" si="84"/>
        <v>#N/A</v>
      </c>
      <c r="E178" s="4"/>
      <c r="F178" s="4">
        <f t="shared" si="76"/>
        <v>0</v>
      </c>
      <c r="G178" s="4"/>
      <c r="H178" s="4" t="e">
        <f t="shared" si="82"/>
        <v>#N/A</v>
      </c>
      <c r="I178" s="4" t="e">
        <f>IF($J$171=1,1,IF($J$173=1,1,IF($J$175=1,1,0)))</f>
        <v>#N/A</v>
      </c>
      <c r="J178" s="4">
        <f t="shared" si="72"/>
        <v>0</v>
      </c>
      <c r="K178" s="4">
        <f t="shared" si="90"/>
        <v>0</v>
      </c>
      <c r="M178" t="str">
        <f>"Engineering, "&amp;N178</f>
        <v>Engineering, Crude Weapons Design</v>
      </c>
      <c r="N178" s="3" t="str">
        <f>'Character Sheet'!AXF7</f>
        <v>Crude Weapons Design</v>
      </c>
      <c r="O178" s="4" t="s">
        <v>795</v>
      </c>
      <c r="P178" s="4" t="s">
        <v>794</v>
      </c>
      <c r="Q178" s="4">
        <f t="shared" si="87"/>
        <v>0</v>
      </c>
      <c r="R178" s="4">
        <f>IF(ISNUMBER(SEARCH("Category",N178)),"- -",IF(ISNUMBER(SEARCH("Skills",N178)),"- -",'Level-up'!C196))</f>
        <v>0</v>
      </c>
      <c r="S178" s="4">
        <f t="shared" si="74"/>
        <v>0</v>
      </c>
      <c r="T178" s="4">
        <f t="shared" si="75"/>
        <v>-25</v>
      </c>
      <c r="U178" s="4">
        <f t="shared" ca="1" si="77"/>
        <v>5</v>
      </c>
      <c r="V178" s="4">
        <f t="shared" si="92"/>
        <v>0</v>
      </c>
      <c r="W178" s="4">
        <f t="shared" si="88"/>
        <v>0</v>
      </c>
      <c r="X178" s="4">
        <f t="shared" si="85"/>
        <v>0</v>
      </c>
      <c r="Y178" s="4">
        <f t="shared" si="78"/>
        <v>0</v>
      </c>
      <c r="Z178" s="4">
        <f t="shared" si="79"/>
        <v>0</v>
      </c>
      <c r="AA178" s="4">
        <f t="shared" si="80"/>
        <v>0</v>
      </c>
      <c r="AB178" s="4">
        <f t="shared" si="81"/>
        <v>0</v>
      </c>
      <c r="AC178" s="8"/>
      <c r="AD178" s="4"/>
      <c r="AE178" s="4"/>
      <c r="AF178" s="4" t="str">
        <f t="shared" ca="1" si="83"/>
        <v>-20</v>
      </c>
      <c r="AG178" s="4"/>
      <c r="AH178" s="4">
        <f>IFERROR(VLOOKUP(M178,Calculations!$AC$2:$AD$251,2,FALSE),0)</f>
        <v>0</v>
      </c>
      <c r="AI178" s="4">
        <f>VLOOKUP(N178,$N$2:$AS$620,MATCH('Character Creation'!$Z$12,Skills!$N$1:$AS$1,0),FALSE)</f>
        <v>0</v>
      </c>
      <c r="AJ178" s="4">
        <f>VLOOKUP($N178,[2]Cultures!$B$4:$M$283,MATCH(AJ$1,[2]Cultures!$B$3:$M$3,0),FALSE)</f>
        <v>0</v>
      </c>
      <c r="AK178" s="4">
        <f>VLOOKUP($N178,[2]Cultures!$B$4:$M$283,MATCH(AK$1,[2]Cultures!$B$3:$M$3,0),FALSE)</f>
        <v>0</v>
      </c>
      <c r="AL178" s="4">
        <f>VLOOKUP($N178,[2]Cultures!$B$4:$M$283,MATCH(AL$1,[2]Cultures!$B$3:$M$3,0),FALSE)</f>
        <v>0</v>
      </c>
      <c r="AM178" s="4">
        <f>VLOOKUP($N178,[2]Cultures!$B$4:$M$283,MATCH(AM$1,[2]Cultures!$B$3:$M$3,0),FALSE)</f>
        <v>0</v>
      </c>
      <c r="AN178" s="4">
        <f>VLOOKUP($N178,[2]Cultures!$B$4:$M$283,MATCH(AN$1,[2]Cultures!$B$3:$M$3,0),FALSE)</f>
        <v>0</v>
      </c>
      <c r="AO178" s="4">
        <f>VLOOKUP($N178,[2]Cultures!$B$4:$M$283,MATCH(AO$1,[2]Cultures!$B$3:$M$3,0),FALSE)</f>
        <v>0</v>
      </c>
      <c r="AP178" s="4">
        <f>VLOOKUP($N178,[2]Cultures!$B$4:$M$283,MATCH(AP$1,[2]Cultures!$B$3:$M$3,0),FALSE)</f>
        <v>0</v>
      </c>
      <c r="AQ178" s="4">
        <f>VLOOKUP($N178,[2]Cultures!$B$4:$M$283,MATCH(AQ$1,[2]Cultures!$B$3:$M$3,0),FALSE)</f>
        <v>0</v>
      </c>
      <c r="AR178" s="4">
        <f>VLOOKUP($N178,[2]Cultures!$B$4:$M$283,MATCH(AR$1,[2]Cultures!$B$3:$M$3,0),FALSE)</f>
        <v>0</v>
      </c>
      <c r="AS178" s="4">
        <f>VLOOKUP($N178,[2]Cultures!$B$4:$M$283,MATCH(AS$1,[2]Cultures!$B$3:$M$3,0),FALSE)</f>
        <v>0</v>
      </c>
      <c r="AT178" s="4"/>
      <c r="AU178" s="4">
        <f>IF(ISNUMBER(SEARCH(N178&amp;";",Calculations!$Q$19)),VLOOKUP(Skills!N178,Calculations!$Q$2:$T$16,4,FALSE),0)</f>
        <v>0</v>
      </c>
      <c r="AV178" s="4">
        <f>IF(ISNUMBER(SEARCH(N178&amp;";",Calculations!$Q$18)),1,0)</f>
        <v>0</v>
      </c>
      <c r="AW178" s="4">
        <f t="shared" si="93"/>
        <v>0</v>
      </c>
      <c r="AX178" s="4">
        <f>VLOOKUP($N178,$N178:$CH178,MATCH('Character Sheet'!$BJ$3,Skills!$N$1:$CH$1,0),FALSE)</f>
        <v>0</v>
      </c>
    </row>
    <row r="179" spans="2:50" x14ac:dyDescent="0.25">
      <c r="B179" s="4" t="e">
        <f t="shared" si="84"/>
        <v>#N/A</v>
      </c>
      <c r="E179" s="4"/>
      <c r="F179" s="4">
        <f t="shared" si="76"/>
        <v>0</v>
      </c>
      <c r="G179" s="4"/>
      <c r="H179" s="4" t="e">
        <f t="shared" si="82"/>
        <v>#N/A</v>
      </c>
      <c r="I179" s="4" t="e">
        <f t="shared" si="91"/>
        <v>#N/A</v>
      </c>
      <c r="J179" s="4">
        <f t="shared" si="72"/>
        <v>0</v>
      </c>
      <c r="K179" s="4">
        <f t="shared" si="90"/>
        <v>0</v>
      </c>
      <c r="M179" t="str">
        <f>"Engineering, "&amp;N179</f>
        <v>Engineering, Gimmickry</v>
      </c>
      <c r="N179" s="3" t="str">
        <f>'Character Sheet'!AXF8</f>
        <v>Gimmickry</v>
      </c>
      <c r="O179" s="4" t="s">
        <v>795</v>
      </c>
      <c r="P179" s="4" t="s">
        <v>794</v>
      </c>
      <c r="Q179" s="4">
        <f t="shared" si="87"/>
        <v>0</v>
      </c>
      <c r="R179" s="4">
        <f>IF(ISNUMBER(SEARCH("Category",N179)),"- -",IF(ISNUMBER(SEARCH("Skills",N179)),"- -",'Level-up'!C197))</f>
        <v>0</v>
      </c>
      <c r="S179" s="4">
        <f t="shared" si="74"/>
        <v>0</v>
      </c>
      <c r="T179" s="4">
        <f t="shared" si="75"/>
        <v>-25</v>
      </c>
      <c r="U179" s="4">
        <f t="shared" ca="1" si="77"/>
        <v>5</v>
      </c>
      <c r="V179" s="4">
        <f t="shared" si="92"/>
        <v>0</v>
      </c>
      <c r="W179" s="4">
        <f t="shared" si="88"/>
        <v>0</v>
      </c>
      <c r="X179" s="4">
        <f t="shared" si="85"/>
        <v>0</v>
      </c>
      <c r="Y179" s="4">
        <f t="shared" si="78"/>
        <v>0</v>
      </c>
      <c r="Z179" s="4">
        <f t="shared" si="79"/>
        <v>0</v>
      </c>
      <c r="AA179" s="4">
        <f t="shared" si="80"/>
        <v>0</v>
      </c>
      <c r="AB179" s="4">
        <f t="shared" si="81"/>
        <v>0</v>
      </c>
      <c r="AC179" s="8"/>
      <c r="AD179" s="4"/>
      <c r="AE179" s="4"/>
      <c r="AF179" s="4" t="str">
        <f t="shared" ca="1" si="83"/>
        <v>-20</v>
      </c>
      <c r="AG179" s="4"/>
      <c r="AH179" s="4">
        <f>IFERROR(VLOOKUP(M179,Calculations!$AC$2:$AD$251,2,FALSE),0)</f>
        <v>0</v>
      </c>
      <c r="AI179" s="4">
        <f>VLOOKUP(N179,$N$2:$AS$620,MATCH('Character Creation'!$Z$12,Skills!$N$1:$AS$1,0),FALSE)</f>
        <v>0</v>
      </c>
      <c r="AJ179" s="4">
        <f>VLOOKUP($N179,[2]Cultures!$B$4:$M$283,MATCH(AJ$1,[2]Cultures!$B$3:$M$3,0),FALSE)</f>
        <v>0</v>
      </c>
      <c r="AK179" s="4">
        <f>VLOOKUP($N179,[2]Cultures!$B$4:$M$283,MATCH(AK$1,[2]Cultures!$B$3:$M$3,0),FALSE)</f>
        <v>0</v>
      </c>
      <c r="AL179" s="4">
        <f>VLOOKUP($N179,[2]Cultures!$B$4:$M$283,MATCH(AL$1,[2]Cultures!$B$3:$M$3,0),FALSE)</f>
        <v>0</v>
      </c>
      <c r="AM179" s="4">
        <f>VLOOKUP($N179,[2]Cultures!$B$4:$M$283,MATCH(AM$1,[2]Cultures!$B$3:$M$3,0),FALSE)</f>
        <v>0</v>
      </c>
      <c r="AN179" s="4">
        <f>VLOOKUP($N179,[2]Cultures!$B$4:$M$283,MATCH(AN$1,[2]Cultures!$B$3:$M$3,0),FALSE)</f>
        <v>0</v>
      </c>
      <c r="AO179" s="4">
        <f>VLOOKUP($N179,[2]Cultures!$B$4:$M$283,MATCH(AO$1,[2]Cultures!$B$3:$M$3,0),FALSE)</f>
        <v>0</v>
      </c>
      <c r="AP179" s="4">
        <f>VLOOKUP($N179,[2]Cultures!$B$4:$M$283,MATCH(AP$1,[2]Cultures!$B$3:$M$3,0),FALSE)</f>
        <v>0</v>
      </c>
      <c r="AQ179" s="4">
        <f>VLOOKUP($N179,[2]Cultures!$B$4:$M$283,MATCH(AQ$1,[2]Cultures!$B$3:$M$3,0),FALSE)</f>
        <v>0</v>
      </c>
      <c r="AR179" s="4">
        <f>VLOOKUP($N179,[2]Cultures!$B$4:$M$283,MATCH(AR$1,[2]Cultures!$B$3:$M$3,0),FALSE)</f>
        <v>0</v>
      </c>
      <c r="AS179" s="4">
        <f>VLOOKUP($N179,[2]Cultures!$B$4:$M$283,MATCH(AS$1,[2]Cultures!$B$3:$M$3,0),FALSE)</f>
        <v>0</v>
      </c>
      <c r="AT179" s="4"/>
      <c r="AU179" s="4">
        <f>IF(ISNUMBER(SEARCH(N179&amp;";",Calculations!$Q$19)),VLOOKUP(Skills!N179,Calculations!$Q$2:$T$16,4,FALSE),0)</f>
        <v>0</v>
      </c>
      <c r="AV179" s="4">
        <f>IF(ISNUMBER(SEARCH(N179&amp;";",Calculations!$Q$18)),1,0)</f>
        <v>0</v>
      </c>
      <c r="AW179" s="4">
        <f t="shared" si="93"/>
        <v>0</v>
      </c>
      <c r="AX179" s="4">
        <f>VLOOKUP($N179,$N179:$CH179,MATCH('Character Sheet'!$BJ$3,Skills!$N$1:$CH$1,0),FALSE)</f>
        <v>0</v>
      </c>
    </row>
    <row r="180" spans="2:50" x14ac:dyDescent="0.25">
      <c r="B180" s="4" t="e">
        <f t="shared" si="84"/>
        <v>#N/A</v>
      </c>
      <c r="E180" s="4"/>
      <c r="F180" s="4">
        <f t="shared" si="76"/>
        <v>0</v>
      </c>
      <c r="G180" s="4"/>
      <c r="H180" s="4" t="e">
        <f t="shared" si="82"/>
        <v>#N/A</v>
      </c>
      <c r="I180" s="4" t="e">
        <f t="shared" si="91"/>
        <v>#N/A</v>
      </c>
      <c r="J180" s="4">
        <f t="shared" si="72"/>
        <v>0</v>
      </c>
      <c r="K180" s="4">
        <f t="shared" si="90"/>
        <v>0</v>
      </c>
      <c r="M180" t="str">
        <f>N180</f>
        <v>Industrial Chemical Engineering</v>
      </c>
      <c r="N180" s="3" t="str">
        <f>'Character Sheet'!AXF9</f>
        <v>Industrial Chemical Engineering</v>
      </c>
      <c r="O180" s="4" t="s">
        <v>795</v>
      </c>
      <c r="P180" s="4" t="s">
        <v>794</v>
      </c>
      <c r="Q180" s="4">
        <f t="shared" si="87"/>
        <v>0</v>
      </c>
      <c r="R180" s="4">
        <f>IF(ISNUMBER(SEARCH("Category",N180)),"- -",IF(ISNUMBER(SEARCH("Skills",N180)),"- -",'Level-up'!C198))</f>
        <v>0</v>
      </c>
      <c r="S180" s="4">
        <f t="shared" si="74"/>
        <v>0</v>
      </c>
      <c r="T180" s="4">
        <f t="shared" si="75"/>
        <v>-25</v>
      </c>
      <c r="U180" s="4">
        <f t="shared" ca="1" si="77"/>
        <v>5</v>
      </c>
      <c r="V180" s="4">
        <f t="shared" si="92"/>
        <v>0</v>
      </c>
      <c r="W180" s="4">
        <f t="shared" si="88"/>
        <v>0</v>
      </c>
      <c r="X180" s="4">
        <f t="shared" si="85"/>
        <v>0</v>
      </c>
      <c r="Y180" s="4">
        <f t="shared" si="78"/>
        <v>0</v>
      </c>
      <c r="Z180" s="4">
        <f t="shared" si="79"/>
        <v>0</v>
      </c>
      <c r="AA180" s="4">
        <f t="shared" si="80"/>
        <v>0</v>
      </c>
      <c r="AB180" s="4">
        <f t="shared" si="81"/>
        <v>0</v>
      </c>
      <c r="AC180" s="8"/>
      <c r="AD180" s="4"/>
      <c r="AE180" s="4"/>
      <c r="AF180" s="4" t="str">
        <f t="shared" ca="1" si="83"/>
        <v>-20</v>
      </c>
      <c r="AG180" s="4"/>
      <c r="AH180" s="4">
        <f>IFERROR(VLOOKUP(M180,Calculations!$AC$2:$AD$251,2,FALSE),0)</f>
        <v>0</v>
      </c>
      <c r="AI180" s="4">
        <f>VLOOKUP(N180,$N$2:$AS$620,MATCH('Character Creation'!$Z$12,Skills!$N$1:$AS$1,0),FALSE)</f>
        <v>0</v>
      </c>
      <c r="AJ180" s="4">
        <f>VLOOKUP($N180,[2]Cultures!$B$4:$M$283,MATCH(AJ$1,[2]Cultures!$B$3:$M$3,0),FALSE)</f>
        <v>0</v>
      </c>
      <c r="AK180" s="4">
        <f>VLOOKUP($N180,[2]Cultures!$B$4:$M$283,MATCH(AK$1,[2]Cultures!$B$3:$M$3,0),FALSE)</f>
        <v>0</v>
      </c>
      <c r="AL180" s="4">
        <f>VLOOKUP($N180,[2]Cultures!$B$4:$M$283,MATCH(AL$1,[2]Cultures!$B$3:$M$3,0),FALSE)</f>
        <v>0</v>
      </c>
      <c r="AM180" s="4">
        <f>VLOOKUP($N180,[2]Cultures!$B$4:$M$283,MATCH(AM$1,[2]Cultures!$B$3:$M$3,0),FALSE)</f>
        <v>0</v>
      </c>
      <c r="AN180" s="4">
        <f>VLOOKUP($N180,[2]Cultures!$B$4:$M$283,MATCH(AN$1,[2]Cultures!$B$3:$M$3,0),FALSE)</f>
        <v>0</v>
      </c>
      <c r="AO180" s="4">
        <f>VLOOKUP($N180,[2]Cultures!$B$4:$M$283,MATCH(AO$1,[2]Cultures!$B$3:$M$3,0),FALSE)</f>
        <v>0</v>
      </c>
      <c r="AP180" s="4">
        <f>VLOOKUP($N180,[2]Cultures!$B$4:$M$283,MATCH(AP$1,[2]Cultures!$B$3:$M$3,0),FALSE)</f>
        <v>0</v>
      </c>
      <c r="AQ180" s="4">
        <f>VLOOKUP($N180,[2]Cultures!$B$4:$M$283,MATCH(AQ$1,[2]Cultures!$B$3:$M$3,0),FALSE)</f>
        <v>0</v>
      </c>
      <c r="AR180" s="4">
        <f>VLOOKUP($N180,[2]Cultures!$B$4:$M$283,MATCH(AR$1,[2]Cultures!$B$3:$M$3,0),FALSE)</f>
        <v>0</v>
      </c>
      <c r="AS180" s="4">
        <f>VLOOKUP($N180,[2]Cultures!$B$4:$M$283,MATCH(AS$1,[2]Cultures!$B$3:$M$3,0),FALSE)</f>
        <v>0</v>
      </c>
      <c r="AT180" s="4"/>
      <c r="AU180" s="4">
        <f>IF(ISNUMBER(SEARCH(N180&amp;";",Calculations!$Q$19)),VLOOKUP(Skills!N180,Calculations!$Q$2:$T$16,4,FALSE),0)</f>
        <v>0</v>
      </c>
      <c r="AV180" s="4">
        <f>IF(ISNUMBER(SEARCH(N180&amp;";",Calculations!$Q$18)),1,0)</f>
        <v>0</v>
      </c>
      <c r="AW180" s="4">
        <f t="shared" si="93"/>
        <v>0</v>
      </c>
      <c r="AX180" s="4">
        <f>VLOOKUP($N180,$N180:$CH180,MATCH('Character Sheet'!$BJ$3,Skills!$N$1:$CH$1,0),FALSE)</f>
        <v>0</v>
      </c>
    </row>
    <row r="181" spans="2:50" x14ac:dyDescent="0.25">
      <c r="B181" s="4" t="e">
        <f t="shared" si="84"/>
        <v>#N/A</v>
      </c>
      <c r="E181" s="4"/>
      <c r="F181" s="4">
        <f t="shared" si="76"/>
        <v>0</v>
      </c>
      <c r="G181" s="4"/>
      <c r="H181" s="4" t="e">
        <f t="shared" si="82"/>
        <v>#N/A</v>
      </c>
      <c r="I181" s="4" t="e">
        <f t="shared" si="91"/>
        <v>#N/A</v>
      </c>
      <c r="J181" s="4">
        <f t="shared" si="72"/>
        <v>0</v>
      </c>
      <c r="K181" s="4">
        <f t="shared" si="90"/>
        <v>0</v>
      </c>
      <c r="M181" t="str">
        <f>N181</f>
        <v>Medical Chemical Engineering</v>
      </c>
      <c r="N181" s="3" t="str">
        <f>'Character Sheet'!AXF10</f>
        <v>Medical Chemical Engineering</v>
      </c>
      <c r="O181" s="4" t="s">
        <v>795</v>
      </c>
      <c r="P181" s="4" t="s">
        <v>794</v>
      </c>
      <c r="Q181" s="4">
        <f t="shared" si="87"/>
        <v>0</v>
      </c>
      <c r="R181" s="4">
        <f>IF(ISNUMBER(SEARCH("Category",N181)),"- -",IF(ISNUMBER(SEARCH("Skills",N181)),"- -",'Level-up'!C199))</f>
        <v>0</v>
      </c>
      <c r="S181" s="4">
        <f t="shared" si="74"/>
        <v>0</v>
      </c>
      <c r="T181" s="4">
        <f t="shared" si="75"/>
        <v>-25</v>
      </c>
      <c r="U181" s="4">
        <f t="shared" ca="1" si="77"/>
        <v>5</v>
      </c>
      <c r="V181" s="4">
        <f t="shared" si="92"/>
        <v>0</v>
      </c>
      <c r="W181" s="4">
        <f t="shared" si="88"/>
        <v>0</v>
      </c>
      <c r="X181" s="4">
        <f t="shared" si="85"/>
        <v>0</v>
      </c>
      <c r="Y181" s="4">
        <f t="shared" si="78"/>
        <v>0</v>
      </c>
      <c r="Z181" s="4">
        <f t="shared" si="79"/>
        <v>0</v>
      </c>
      <c r="AA181" s="4">
        <f t="shared" si="80"/>
        <v>0</v>
      </c>
      <c r="AB181" s="4">
        <f t="shared" si="81"/>
        <v>0</v>
      </c>
      <c r="AC181" s="8"/>
      <c r="AD181" s="4"/>
      <c r="AE181" s="4"/>
      <c r="AF181" s="4" t="str">
        <f t="shared" ca="1" si="83"/>
        <v>-20</v>
      </c>
      <c r="AG181" s="4"/>
      <c r="AH181" s="4">
        <f>IFERROR(VLOOKUP(M181,Calculations!$AC$2:$AD$251,2,FALSE),0)</f>
        <v>0</v>
      </c>
      <c r="AI181" s="4">
        <f>VLOOKUP(N181,$N$2:$AS$620,MATCH('Character Creation'!$Z$12,Skills!$N$1:$AS$1,0),FALSE)</f>
        <v>0</v>
      </c>
      <c r="AJ181" s="4">
        <f>VLOOKUP($N181,[2]Cultures!$B$4:$M$283,MATCH(AJ$1,[2]Cultures!$B$3:$M$3,0),FALSE)</f>
        <v>0</v>
      </c>
      <c r="AK181" s="4">
        <f>VLOOKUP($N181,[2]Cultures!$B$4:$M$283,MATCH(AK$1,[2]Cultures!$B$3:$M$3,0),FALSE)</f>
        <v>0</v>
      </c>
      <c r="AL181" s="4">
        <f>VLOOKUP($N181,[2]Cultures!$B$4:$M$283,MATCH(AL$1,[2]Cultures!$B$3:$M$3,0),FALSE)</f>
        <v>0</v>
      </c>
      <c r="AM181" s="4">
        <f>VLOOKUP($N181,[2]Cultures!$B$4:$M$283,MATCH(AM$1,[2]Cultures!$B$3:$M$3,0),FALSE)</f>
        <v>0</v>
      </c>
      <c r="AN181" s="4">
        <f>VLOOKUP($N181,[2]Cultures!$B$4:$M$283,MATCH(AN$1,[2]Cultures!$B$3:$M$3,0),FALSE)</f>
        <v>0</v>
      </c>
      <c r="AO181" s="4">
        <f>VLOOKUP($N181,[2]Cultures!$B$4:$M$283,MATCH(AO$1,[2]Cultures!$B$3:$M$3,0),FALSE)</f>
        <v>0</v>
      </c>
      <c r="AP181" s="4">
        <f>VLOOKUP($N181,[2]Cultures!$B$4:$M$283,MATCH(AP$1,[2]Cultures!$B$3:$M$3,0),FALSE)</f>
        <v>0</v>
      </c>
      <c r="AQ181" s="4">
        <f>VLOOKUP($N181,[2]Cultures!$B$4:$M$283,MATCH(AQ$1,[2]Cultures!$B$3:$M$3,0),FALSE)</f>
        <v>0</v>
      </c>
      <c r="AR181" s="4">
        <f>VLOOKUP($N181,[2]Cultures!$B$4:$M$283,MATCH(AR$1,[2]Cultures!$B$3:$M$3,0),FALSE)</f>
        <v>0</v>
      </c>
      <c r="AS181" s="4">
        <f>VLOOKUP($N181,[2]Cultures!$B$4:$M$283,MATCH(AS$1,[2]Cultures!$B$3:$M$3,0),FALSE)</f>
        <v>0</v>
      </c>
      <c r="AT181" s="4"/>
      <c r="AU181" s="4">
        <f>IF(ISNUMBER(SEARCH(N181&amp;";",Calculations!$Q$19)),VLOOKUP(Skills!N181,Calculations!$Q$2:$T$16,4,FALSE),0)</f>
        <v>0</v>
      </c>
      <c r="AV181" s="4">
        <f>IF(ISNUMBER(SEARCH(N181&amp;";",Calculations!$Q$18)),1,0)</f>
        <v>0</v>
      </c>
      <c r="AW181" s="4">
        <f t="shared" si="93"/>
        <v>0</v>
      </c>
      <c r="AX181" s="4">
        <f>VLOOKUP($N181,$N181:$CH181,MATCH('Character Sheet'!$BJ$3,Skills!$N$1:$CH$1,0),FALSE)</f>
        <v>0</v>
      </c>
    </row>
    <row r="182" spans="2:50" x14ac:dyDescent="0.25">
      <c r="B182" s="4" t="e">
        <f t="shared" si="84"/>
        <v>#N/A</v>
      </c>
      <c r="E182" s="4"/>
      <c r="F182" s="4">
        <f t="shared" si="76"/>
        <v>0</v>
      </c>
      <c r="G182" s="4"/>
      <c r="H182" s="4" t="e">
        <f t="shared" si="82"/>
        <v>#N/A</v>
      </c>
      <c r="I182" s="4" t="e">
        <f t="shared" si="91"/>
        <v>#N/A</v>
      </c>
      <c r="J182" s="4">
        <f t="shared" si="72"/>
        <v>0</v>
      </c>
      <c r="K182" s="4">
        <f t="shared" si="90"/>
        <v>0</v>
      </c>
      <c r="M182" t="str">
        <f>N182</f>
        <v>Sanitation Engineering</v>
      </c>
      <c r="N182" s="3" t="str">
        <f>'Character Sheet'!AXF11</f>
        <v>Sanitation Engineering</v>
      </c>
      <c r="O182" s="4" t="s">
        <v>795</v>
      </c>
      <c r="P182" s="4" t="s">
        <v>794</v>
      </c>
      <c r="Q182" s="4">
        <f t="shared" si="87"/>
        <v>0</v>
      </c>
      <c r="R182" s="4">
        <f>IF(ISNUMBER(SEARCH("Category",N182)),"- -",IF(ISNUMBER(SEARCH("Skills",N182)),"- -",'Level-up'!C200))</f>
        <v>0</v>
      </c>
      <c r="S182" s="4">
        <f t="shared" si="74"/>
        <v>0</v>
      </c>
      <c r="T182" s="4">
        <f t="shared" si="75"/>
        <v>-25</v>
      </c>
      <c r="U182" s="4">
        <f t="shared" ca="1" si="77"/>
        <v>5</v>
      </c>
      <c r="V182" s="4">
        <f t="shared" si="92"/>
        <v>0</v>
      </c>
      <c r="W182" s="4">
        <f t="shared" si="88"/>
        <v>0</v>
      </c>
      <c r="X182" s="4">
        <f t="shared" si="85"/>
        <v>0</v>
      </c>
      <c r="Y182" s="4">
        <f t="shared" si="78"/>
        <v>0</v>
      </c>
      <c r="Z182" s="4">
        <f t="shared" si="79"/>
        <v>0</v>
      </c>
      <c r="AA182" s="4">
        <f t="shared" si="80"/>
        <v>0</v>
      </c>
      <c r="AB182" s="4">
        <f t="shared" si="81"/>
        <v>0</v>
      </c>
      <c r="AC182" s="8"/>
      <c r="AD182" s="4"/>
      <c r="AE182" s="4"/>
      <c r="AF182" s="4" t="str">
        <f t="shared" ca="1" si="83"/>
        <v>-20</v>
      </c>
      <c r="AG182" s="4"/>
      <c r="AH182" s="4">
        <f>IFERROR(VLOOKUP(M182,Calculations!$AC$2:$AD$251,2,FALSE),0)</f>
        <v>0</v>
      </c>
      <c r="AI182" s="4">
        <f>VLOOKUP(N182,$N$2:$AS$620,MATCH('Character Creation'!$Z$12,Skills!$N$1:$AS$1,0),FALSE)</f>
        <v>0</v>
      </c>
      <c r="AJ182" s="4">
        <f>VLOOKUP($N182,[2]Cultures!$B$4:$M$283,MATCH(AJ$1,[2]Cultures!$B$3:$M$3,0),FALSE)</f>
        <v>0</v>
      </c>
      <c r="AK182" s="4">
        <f>VLOOKUP($N182,[2]Cultures!$B$4:$M$283,MATCH(AK$1,[2]Cultures!$B$3:$M$3,0),FALSE)</f>
        <v>0</v>
      </c>
      <c r="AL182" s="4">
        <f>VLOOKUP($N182,[2]Cultures!$B$4:$M$283,MATCH(AL$1,[2]Cultures!$B$3:$M$3,0),FALSE)</f>
        <v>0</v>
      </c>
      <c r="AM182" s="4">
        <f>VLOOKUP($N182,[2]Cultures!$B$4:$M$283,MATCH(AM$1,[2]Cultures!$B$3:$M$3,0),FALSE)</f>
        <v>0</v>
      </c>
      <c r="AN182" s="4">
        <f>VLOOKUP($N182,[2]Cultures!$B$4:$M$283,MATCH(AN$1,[2]Cultures!$B$3:$M$3,0),FALSE)</f>
        <v>0</v>
      </c>
      <c r="AO182" s="4">
        <f>VLOOKUP($N182,[2]Cultures!$B$4:$M$283,MATCH(AO$1,[2]Cultures!$B$3:$M$3,0),FALSE)</f>
        <v>0</v>
      </c>
      <c r="AP182" s="4">
        <f>VLOOKUP($N182,[2]Cultures!$B$4:$M$283,MATCH(AP$1,[2]Cultures!$B$3:$M$3,0),FALSE)</f>
        <v>0</v>
      </c>
      <c r="AQ182" s="4">
        <f>VLOOKUP($N182,[2]Cultures!$B$4:$M$283,MATCH(AQ$1,[2]Cultures!$B$3:$M$3,0),FALSE)</f>
        <v>0</v>
      </c>
      <c r="AR182" s="4">
        <f>VLOOKUP($N182,[2]Cultures!$B$4:$M$283,MATCH(AR$1,[2]Cultures!$B$3:$M$3,0),FALSE)</f>
        <v>0</v>
      </c>
      <c r="AS182" s="4">
        <f>VLOOKUP($N182,[2]Cultures!$B$4:$M$283,MATCH(AS$1,[2]Cultures!$B$3:$M$3,0),FALSE)</f>
        <v>0</v>
      </c>
      <c r="AT182" s="4"/>
      <c r="AU182" s="4">
        <f>IF(ISNUMBER(SEARCH(N182&amp;";",Calculations!$Q$19)),VLOOKUP(Skills!N182,Calculations!$Q$2:$T$16,4,FALSE),0)</f>
        <v>0</v>
      </c>
      <c r="AV182" s="4">
        <f>IF(ISNUMBER(SEARCH(N182&amp;";",Calculations!$Q$18)),1,0)</f>
        <v>0</v>
      </c>
      <c r="AW182" s="4">
        <f t="shared" si="93"/>
        <v>0</v>
      </c>
      <c r="AX182" s="4">
        <f>VLOOKUP($N182,$N182:$CH182,MATCH('Character Sheet'!$BJ$3,Skills!$N$1:$CH$1,0),FALSE)</f>
        <v>0</v>
      </c>
    </row>
    <row r="183" spans="2:50" x14ac:dyDescent="0.25">
      <c r="B183" s="4" t="e">
        <f t="shared" si="84"/>
        <v>#N/A</v>
      </c>
      <c r="E183" s="4"/>
      <c r="F183" s="4">
        <f t="shared" si="76"/>
        <v>0</v>
      </c>
      <c r="G183" s="4"/>
      <c r="H183" s="4" t="e">
        <f t="shared" si="82"/>
        <v>#N/A</v>
      </c>
      <c r="I183" s="4" t="e">
        <f t="shared" si="91"/>
        <v>#N/A</v>
      </c>
      <c r="J183" s="4">
        <f t="shared" si="72"/>
        <v>0</v>
      </c>
      <c r="K183" s="4">
        <f t="shared" si="90"/>
        <v>0</v>
      </c>
      <c r="M183" t="str">
        <f>N183</f>
        <v>Siege Engineering</v>
      </c>
      <c r="N183" s="3" t="str">
        <f>'Character Sheet'!AXF12</f>
        <v>Siege Engineering</v>
      </c>
      <c r="O183" s="4" t="s">
        <v>795</v>
      </c>
      <c r="P183" s="4" t="s">
        <v>794</v>
      </c>
      <c r="Q183" s="4">
        <f t="shared" si="87"/>
        <v>0</v>
      </c>
      <c r="R183" s="4">
        <f>IF(ISNUMBER(SEARCH("Category",N183)),"- -",IF(ISNUMBER(SEARCH("Skills",N183)),"- -",'Level-up'!C201))</f>
        <v>0</v>
      </c>
      <c r="S183" s="4">
        <f t="shared" si="74"/>
        <v>0</v>
      </c>
      <c r="T183" s="4">
        <f t="shared" si="75"/>
        <v>-25</v>
      </c>
      <c r="U183" s="4">
        <f t="shared" ca="1" si="77"/>
        <v>5</v>
      </c>
      <c r="V183" s="4">
        <f t="shared" si="92"/>
        <v>0</v>
      </c>
      <c r="W183" s="4">
        <f t="shared" si="88"/>
        <v>0</v>
      </c>
      <c r="X183" s="4">
        <f t="shared" si="85"/>
        <v>0</v>
      </c>
      <c r="Y183" s="4">
        <f t="shared" si="78"/>
        <v>0</v>
      </c>
      <c r="Z183" s="4">
        <f t="shared" si="79"/>
        <v>0</v>
      </c>
      <c r="AA183" s="4">
        <f t="shared" si="80"/>
        <v>0</v>
      </c>
      <c r="AB183" s="4">
        <f t="shared" si="81"/>
        <v>0</v>
      </c>
      <c r="AC183" s="8"/>
      <c r="AD183" s="4"/>
      <c r="AE183" s="4"/>
      <c r="AF183" s="4" t="str">
        <f t="shared" ca="1" si="83"/>
        <v>-20</v>
      </c>
      <c r="AG183" s="4"/>
      <c r="AH183" s="4">
        <f>IFERROR(VLOOKUP(M183,Calculations!$AC$2:$AD$251,2,FALSE),0)</f>
        <v>0</v>
      </c>
      <c r="AI183" s="4">
        <f>VLOOKUP(N183,$N$2:$AS$620,MATCH('Character Creation'!$Z$12,Skills!$N$1:$AS$1,0),FALSE)</f>
        <v>0</v>
      </c>
      <c r="AJ183" s="4">
        <f>VLOOKUP($N183,[2]Cultures!$B$4:$M$283,MATCH(AJ$1,[2]Cultures!$B$3:$M$3,0),FALSE)</f>
        <v>0</v>
      </c>
      <c r="AK183" s="4">
        <f>VLOOKUP($N183,[2]Cultures!$B$4:$M$283,MATCH(AK$1,[2]Cultures!$B$3:$M$3,0),FALSE)</f>
        <v>0</v>
      </c>
      <c r="AL183" s="4">
        <f>VLOOKUP($N183,[2]Cultures!$B$4:$M$283,MATCH(AL$1,[2]Cultures!$B$3:$M$3,0),FALSE)</f>
        <v>0</v>
      </c>
      <c r="AM183" s="4">
        <f>VLOOKUP($N183,[2]Cultures!$B$4:$M$283,MATCH(AM$1,[2]Cultures!$B$3:$M$3,0),FALSE)</f>
        <v>0</v>
      </c>
      <c r="AN183" s="4">
        <f>VLOOKUP($N183,[2]Cultures!$B$4:$M$283,MATCH(AN$1,[2]Cultures!$B$3:$M$3,0),FALSE)</f>
        <v>0</v>
      </c>
      <c r="AO183" s="4">
        <f>VLOOKUP($N183,[2]Cultures!$B$4:$M$283,MATCH(AO$1,[2]Cultures!$B$3:$M$3,0),FALSE)</f>
        <v>0</v>
      </c>
      <c r="AP183" s="4">
        <f>VLOOKUP($N183,[2]Cultures!$B$4:$M$283,MATCH(AP$1,[2]Cultures!$B$3:$M$3,0),FALSE)</f>
        <v>0</v>
      </c>
      <c r="AQ183" s="4">
        <f>VLOOKUP($N183,[2]Cultures!$B$4:$M$283,MATCH(AQ$1,[2]Cultures!$B$3:$M$3,0),FALSE)</f>
        <v>0</v>
      </c>
      <c r="AR183" s="4">
        <f>VLOOKUP($N183,[2]Cultures!$B$4:$M$283,MATCH(AR$1,[2]Cultures!$B$3:$M$3,0),FALSE)</f>
        <v>0</v>
      </c>
      <c r="AS183" s="4">
        <f>VLOOKUP($N183,[2]Cultures!$B$4:$M$283,MATCH(AS$1,[2]Cultures!$B$3:$M$3,0),FALSE)</f>
        <v>0</v>
      </c>
      <c r="AT183" s="4"/>
      <c r="AU183" s="4">
        <f>IF(ISNUMBER(SEARCH(N183&amp;";",Calculations!$Q$19)),VLOOKUP(Skills!N183,Calculations!$Q$2:$T$16,4,FALSE),0)</f>
        <v>0</v>
      </c>
      <c r="AV183" s="4">
        <f>IF(ISNUMBER(SEARCH(N183&amp;";",Calculations!$Q$18)),1,0)</f>
        <v>0</v>
      </c>
      <c r="AW183" s="4">
        <f t="shared" si="93"/>
        <v>0</v>
      </c>
      <c r="AX183" s="4">
        <f>VLOOKUP($N183,$N183:$CH183,MATCH('Character Sheet'!$BJ$3,Skills!$N$1:$CH$1,0),FALSE)</f>
        <v>0</v>
      </c>
    </row>
    <row r="184" spans="2:50" x14ac:dyDescent="0.25">
      <c r="B184" s="4" t="e">
        <f t="shared" si="84"/>
        <v>#N/A</v>
      </c>
      <c r="E184" s="4"/>
      <c r="F184" s="4">
        <f t="shared" si="76"/>
        <v>0</v>
      </c>
      <c r="G184" s="4"/>
      <c r="H184" s="4" t="e">
        <f t="shared" si="82"/>
        <v>#N/A</v>
      </c>
      <c r="I184" s="4" t="e">
        <f>IF($J$171=1,1,IF($J$173=1,1,IF($J$185=1,1,0)))</f>
        <v>#N/A</v>
      </c>
      <c r="J184" s="4">
        <f t="shared" si="72"/>
        <v>0</v>
      </c>
      <c r="K184" s="4" t="e">
        <f t="shared" si="90"/>
        <v>#N/A</v>
      </c>
      <c r="N184" s="3" t="s">
        <v>651</v>
      </c>
      <c r="O184" s="6" t="s">
        <v>782</v>
      </c>
      <c r="P184" s="6" t="s">
        <v>782</v>
      </c>
      <c r="Q184" s="4" t="str">
        <f t="shared" si="87"/>
        <v>- -</v>
      </c>
      <c r="R184" s="4" t="str">
        <f>IF(ISNUMBER(SEARCH("Category",N184)),"- -",IF(ISNUMBER(SEARCH("Skills",N184)),"- -",'Level-up'!C202))</f>
        <v>- -</v>
      </c>
      <c r="S184" s="4" t="str">
        <f t="shared" si="74"/>
        <v>- -</v>
      </c>
      <c r="T184" s="4" t="str">
        <f t="shared" si="75"/>
        <v>- -</v>
      </c>
      <c r="U184" s="4" t="str">
        <f t="shared" ca="1" si="77"/>
        <v>- -</v>
      </c>
      <c r="V184" s="4" t="str">
        <f t="shared" si="92"/>
        <v>- -</v>
      </c>
      <c r="W184" s="4" t="str">
        <f t="shared" si="88"/>
        <v>- -</v>
      </c>
      <c r="X184" s="4" t="str">
        <f t="shared" si="85"/>
        <v>- -</v>
      </c>
      <c r="Y184" s="4" t="str">
        <f t="shared" si="78"/>
        <v>- -</v>
      </c>
      <c r="Z184" s="4" t="str">
        <f t="shared" si="79"/>
        <v>- -</v>
      </c>
      <c r="AA184" s="4" t="str">
        <f t="shared" si="80"/>
        <v>- -</v>
      </c>
      <c r="AB184" s="4" t="str">
        <f t="shared" si="81"/>
        <v>- -</v>
      </c>
      <c r="AC184" s="8"/>
      <c r="AD184" s="4"/>
      <c r="AE184" s="4"/>
      <c r="AF184" s="4" t="str">
        <f t="shared" si="83"/>
        <v>- -</v>
      </c>
      <c r="AG184" s="4"/>
      <c r="AH184" s="4">
        <f>IFERROR(VLOOKUP(M184,Calculations!$AC$2:$AD$251,2,FALSE),0)</f>
        <v>0</v>
      </c>
      <c r="AI184" s="4" t="e">
        <f>VLOOKUP(N184,$N$2:$AS$620,MATCH('Character Creation'!$Z$12,Skills!$N$1:$AS$1,0),FALSE)</f>
        <v>#N/A</v>
      </c>
      <c r="AJ184" s="4" t="e">
        <f>VLOOKUP($N184,[2]Cultures!$B$4:$M$283,MATCH(AJ$1,[2]Cultures!$B$3:$M$3,0),FALSE)</f>
        <v>#N/A</v>
      </c>
      <c r="AK184" s="4" t="e">
        <f>VLOOKUP($N184,[2]Cultures!$B$4:$M$283,MATCH(AK$1,[2]Cultures!$B$3:$M$3,0),FALSE)</f>
        <v>#N/A</v>
      </c>
      <c r="AL184" s="4" t="e">
        <f>VLOOKUP($N184,[2]Cultures!$B$4:$M$283,MATCH(AL$1,[2]Cultures!$B$3:$M$3,0),FALSE)</f>
        <v>#N/A</v>
      </c>
      <c r="AM184" s="4" t="e">
        <f>VLOOKUP($N184,[2]Cultures!$B$4:$M$283,MATCH(AM$1,[2]Cultures!$B$3:$M$3,0),FALSE)</f>
        <v>#N/A</v>
      </c>
      <c r="AN184" s="4" t="e">
        <f>VLOOKUP($N184,[2]Cultures!$B$4:$M$283,MATCH(AN$1,[2]Cultures!$B$3:$M$3,0),FALSE)</f>
        <v>#N/A</v>
      </c>
      <c r="AO184" s="4" t="e">
        <f>VLOOKUP($N184,[2]Cultures!$B$4:$M$283,MATCH(AO$1,[2]Cultures!$B$3:$M$3,0),FALSE)</f>
        <v>#N/A</v>
      </c>
      <c r="AP184" s="4" t="e">
        <f>VLOOKUP($N184,[2]Cultures!$B$4:$M$283,MATCH(AP$1,[2]Cultures!$B$3:$M$3,0),FALSE)</f>
        <v>#N/A</v>
      </c>
      <c r="AQ184" s="4" t="e">
        <f>VLOOKUP($N184,[2]Cultures!$B$4:$M$283,MATCH(AQ$1,[2]Cultures!$B$3:$M$3,0),FALSE)</f>
        <v>#N/A</v>
      </c>
      <c r="AR184" s="4" t="e">
        <f>VLOOKUP($N184,[2]Cultures!$B$4:$M$283,MATCH(AR$1,[2]Cultures!$B$3:$M$3,0),FALSE)</f>
        <v>#N/A</v>
      </c>
      <c r="AS184" s="4" t="e">
        <f>VLOOKUP($N184,[2]Cultures!$B$4:$M$283,MATCH(AS$1,[2]Cultures!$B$3:$M$3,0),FALSE)</f>
        <v>#N/A</v>
      </c>
      <c r="AT184" s="4"/>
      <c r="AU184" s="4">
        <f>IF(ISNUMBER(SEARCH(N184&amp;";",Calculations!$Q$19)),VLOOKUP(Skills!N184,Calculations!$Q$2:$T$16,4,FALSE),0)</f>
        <v>0</v>
      </c>
      <c r="AV184" s="4">
        <f>IF(ISNUMBER(SEARCH(N184&amp;";",Calculations!$Q$18)),1,0)</f>
        <v>0</v>
      </c>
      <c r="AW184" s="4"/>
      <c r="AX184" s="4">
        <f>VLOOKUP($N184,$N184:$CH184,MATCH('Character Sheet'!$BJ$3,Skills!$N$1:$CH$1,0),FALSE)</f>
        <v>0</v>
      </c>
    </row>
    <row r="185" spans="2:50" x14ac:dyDescent="0.25">
      <c r="B185" s="4" t="e">
        <f t="shared" si="84"/>
        <v>#N/A</v>
      </c>
      <c r="E185" s="4"/>
      <c r="F185" s="4">
        <f t="shared" si="76"/>
        <v>0</v>
      </c>
      <c r="G185" s="4"/>
      <c r="H185" s="4" t="e">
        <f t="shared" si="82"/>
        <v>#N/A</v>
      </c>
      <c r="I185" s="4">
        <v>0</v>
      </c>
      <c r="J185" s="4" t="e">
        <f t="shared" si="72"/>
        <v>#N/A</v>
      </c>
      <c r="K185" s="4" t="e">
        <f t="shared" si="90"/>
        <v>#N/A</v>
      </c>
      <c r="N185" s="3" t="s">
        <v>652</v>
      </c>
      <c r="O185" s="6" t="s">
        <v>782</v>
      </c>
      <c r="P185" s="6" t="s">
        <v>782</v>
      </c>
      <c r="Q185" s="4" t="str">
        <f t="shared" si="87"/>
        <v>- -</v>
      </c>
      <c r="R185" s="4" t="str">
        <f>IF(ISNUMBER(SEARCH("Category",N185)),"- -",IF(ISNUMBER(SEARCH("Skills",N185)),"- -",'Level-up'!C203))</f>
        <v>- -</v>
      </c>
      <c r="S185" s="4" t="str">
        <f t="shared" si="74"/>
        <v>- -</v>
      </c>
      <c r="T185" s="4" t="str">
        <f t="shared" si="75"/>
        <v>- -</v>
      </c>
      <c r="U185" s="4" t="str">
        <f t="shared" ca="1" si="77"/>
        <v>- -</v>
      </c>
      <c r="V185" s="4" t="str">
        <f t="shared" si="92"/>
        <v>- -</v>
      </c>
      <c r="W185" s="4" t="str">
        <f t="shared" si="88"/>
        <v>- -</v>
      </c>
      <c r="X185" s="4" t="str">
        <f t="shared" si="85"/>
        <v>- -</v>
      </c>
      <c r="Y185" s="4" t="str">
        <f t="shared" si="78"/>
        <v>- -</v>
      </c>
      <c r="Z185" s="4" t="str">
        <f t="shared" si="79"/>
        <v>- -</v>
      </c>
      <c r="AA185" s="4" t="str">
        <f t="shared" si="80"/>
        <v>- -</v>
      </c>
      <c r="AB185" s="4" t="str">
        <f t="shared" si="81"/>
        <v>- -</v>
      </c>
      <c r="AC185" s="8"/>
      <c r="AD185" s="4"/>
      <c r="AE185" s="4"/>
      <c r="AF185" s="4" t="str">
        <f t="shared" si="83"/>
        <v>- -</v>
      </c>
      <c r="AG185" s="4"/>
      <c r="AH185" s="4">
        <f>IFERROR(VLOOKUP(M185,Calculations!$AC$2:$AD$251,2,FALSE),0)</f>
        <v>0</v>
      </c>
      <c r="AI185" s="4" t="e">
        <f>VLOOKUP(N185,$N$2:$AS$620,MATCH('Character Creation'!$Z$12,Skills!$N$1:$AS$1,0),FALSE)</f>
        <v>#N/A</v>
      </c>
      <c r="AJ185" s="4" t="e">
        <f>VLOOKUP($N185,[2]Cultures!$B$4:$M$283,MATCH(AJ$1,[2]Cultures!$B$3:$M$3,0),FALSE)</f>
        <v>#N/A</v>
      </c>
      <c r="AK185" s="4" t="e">
        <f>VLOOKUP($N185,[2]Cultures!$B$4:$M$283,MATCH(AK$1,[2]Cultures!$B$3:$M$3,0),FALSE)</f>
        <v>#N/A</v>
      </c>
      <c r="AL185" s="4" t="e">
        <f>VLOOKUP($N185,[2]Cultures!$B$4:$M$283,MATCH(AL$1,[2]Cultures!$B$3:$M$3,0),FALSE)</f>
        <v>#N/A</v>
      </c>
      <c r="AM185" s="4" t="e">
        <f>VLOOKUP($N185,[2]Cultures!$B$4:$M$283,MATCH(AM$1,[2]Cultures!$B$3:$M$3,0),FALSE)</f>
        <v>#N/A</v>
      </c>
      <c r="AN185" s="4" t="e">
        <f>VLOOKUP($N185,[2]Cultures!$B$4:$M$283,MATCH(AN$1,[2]Cultures!$B$3:$M$3,0),FALSE)</f>
        <v>#N/A</v>
      </c>
      <c r="AO185" s="4" t="e">
        <f>VLOOKUP($N185,[2]Cultures!$B$4:$M$283,MATCH(AO$1,[2]Cultures!$B$3:$M$3,0),FALSE)</f>
        <v>#N/A</v>
      </c>
      <c r="AP185" s="4" t="e">
        <f>VLOOKUP($N185,[2]Cultures!$B$4:$M$283,MATCH(AP$1,[2]Cultures!$B$3:$M$3,0),FALSE)</f>
        <v>#N/A</v>
      </c>
      <c r="AQ185" s="4" t="e">
        <f>VLOOKUP($N185,[2]Cultures!$B$4:$M$283,MATCH(AQ$1,[2]Cultures!$B$3:$M$3,0),FALSE)</f>
        <v>#N/A</v>
      </c>
      <c r="AR185" s="4" t="e">
        <f>VLOOKUP($N185,[2]Cultures!$B$4:$M$283,MATCH(AR$1,[2]Cultures!$B$3:$M$3,0),FALSE)</f>
        <v>#N/A</v>
      </c>
      <c r="AS185" s="4" t="e">
        <f>VLOOKUP($N185,[2]Cultures!$B$4:$M$283,MATCH(AS$1,[2]Cultures!$B$3:$M$3,0),FALSE)</f>
        <v>#N/A</v>
      </c>
      <c r="AT185" s="4"/>
      <c r="AU185" s="4">
        <f>IF(ISNUMBER(SEARCH(N185&amp;";",Calculations!$Q$19)),VLOOKUP(Skills!N185,Calculations!$Q$2:$T$16,4,FALSE),0)</f>
        <v>0</v>
      </c>
      <c r="AV185" s="4">
        <f>IF(ISNUMBER(SEARCH(N185&amp;";",Calculations!$Q$18)),1,0)</f>
        <v>0</v>
      </c>
      <c r="AW185" s="4"/>
      <c r="AX185" s="4">
        <f>VLOOKUP($N185,$N185:$CH185,MATCH('Character Sheet'!$BJ$3,Skills!$N$1:$CH$1,0),FALSE)</f>
        <v>0</v>
      </c>
    </row>
    <row r="186" spans="2:50" x14ac:dyDescent="0.25">
      <c r="B186" s="4" t="e">
        <f t="shared" si="84"/>
        <v>#N/A</v>
      </c>
      <c r="E186" s="4"/>
      <c r="F186" s="4">
        <f t="shared" si="76"/>
        <v>0</v>
      </c>
      <c r="G186" s="4"/>
      <c r="H186" s="4" t="e">
        <f t="shared" si="82"/>
        <v>#N/A</v>
      </c>
      <c r="I186" s="4" t="e">
        <f>IF($J$171=1,1,IF($J$173=1,1,IF($J$185=1,1,0)))</f>
        <v>#N/A</v>
      </c>
      <c r="J186" s="4">
        <f t="shared" si="72"/>
        <v>0</v>
      </c>
      <c r="K186" s="4" t="e">
        <f t="shared" si="90"/>
        <v>#N/A</v>
      </c>
      <c r="M186" t="str">
        <f>N186</f>
        <v>Aircraft Engineering</v>
      </c>
      <c r="N186" s="3" t="str">
        <f>'Character Sheet'!AXF16</f>
        <v>Aircraft Engineering</v>
      </c>
      <c r="O186" s="4" t="s">
        <v>795</v>
      </c>
      <c r="P186" s="4" t="s">
        <v>794</v>
      </c>
      <c r="Q186" s="4" t="e">
        <f t="shared" si="87"/>
        <v>#N/A</v>
      </c>
      <c r="R186" s="4">
        <f>IF(ISNUMBER(SEARCH("Category",N186)),"- -",IF(ISNUMBER(SEARCH("Skills",N186)),"- -",'Level-up'!C204))</f>
        <v>0</v>
      </c>
      <c r="S186" s="4" t="e">
        <f t="shared" si="74"/>
        <v>#N/A</v>
      </c>
      <c r="T186" s="4" t="e">
        <f t="shared" si="75"/>
        <v>#N/A</v>
      </c>
      <c r="U186" s="4">
        <f t="shared" ca="1" si="77"/>
        <v>5</v>
      </c>
      <c r="V186" s="4">
        <f t="shared" ref="V186:V191" si="94">IF(ISNUMBER(SEARCH("Category",N186)),"- -",IF(ISNUMBER(SEARCH("Skills",N186)),"- -",IF(AU186&gt;0,AU186,IF($AU$184&gt;0,$AU$184,$AU$172))))</f>
        <v>0</v>
      </c>
      <c r="W186" s="4">
        <f t="shared" si="88"/>
        <v>0</v>
      </c>
      <c r="X186" s="4">
        <f t="shared" si="85"/>
        <v>0</v>
      </c>
      <c r="Y186" s="4">
        <f t="shared" si="78"/>
        <v>0</v>
      </c>
      <c r="Z186" s="4">
        <f t="shared" si="79"/>
        <v>0</v>
      </c>
      <c r="AA186" s="4">
        <f t="shared" si="80"/>
        <v>0</v>
      </c>
      <c r="AB186" s="4">
        <f t="shared" si="81"/>
        <v>0</v>
      </c>
      <c r="AC186" s="8"/>
      <c r="AD186" s="4"/>
      <c r="AE186" s="4"/>
      <c r="AF186" s="4" t="e">
        <f t="shared" si="83"/>
        <v>#N/A</v>
      </c>
      <c r="AG186" s="4"/>
      <c r="AH186" s="4">
        <f>IFERROR(VLOOKUP(M186,Calculations!$AC$2:$AD$251,2,FALSE),0)</f>
        <v>0</v>
      </c>
      <c r="AI186" s="4" t="e">
        <f>VLOOKUP(N186,$N$2:$AS$620,MATCH('Character Creation'!$Z$12,Skills!$N$1:$AS$1,0),FALSE)</f>
        <v>#N/A</v>
      </c>
      <c r="AJ186" s="4" t="e">
        <f>VLOOKUP($N186,[2]Cultures!$B$4:$M$283,MATCH(AJ$1,[2]Cultures!$B$3:$M$3,0),FALSE)</f>
        <v>#N/A</v>
      </c>
      <c r="AK186" s="4" t="e">
        <f>VLOOKUP($N186,[2]Cultures!$B$4:$M$283,MATCH(AK$1,[2]Cultures!$B$3:$M$3,0),FALSE)</f>
        <v>#N/A</v>
      </c>
      <c r="AL186" s="4" t="e">
        <f>VLOOKUP($N186,[2]Cultures!$B$4:$M$283,MATCH(AL$1,[2]Cultures!$B$3:$M$3,0),FALSE)</f>
        <v>#N/A</v>
      </c>
      <c r="AM186" s="4" t="e">
        <f>VLOOKUP($N186,[2]Cultures!$B$4:$M$283,MATCH(AM$1,[2]Cultures!$B$3:$M$3,0),FALSE)</f>
        <v>#N/A</v>
      </c>
      <c r="AN186" s="4" t="e">
        <f>VLOOKUP($N186,[2]Cultures!$B$4:$M$283,MATCH(AN$1,[2]Cultures!$B$3:$M$3,0),FALSE)</f>
        <v>#N/A</v>
      </c>
      <c r="AO186" s="4" t="e">
        <f>VLOOKUP($N186,[2]Cultures!$B$4:$M$283,MATCH(AO$1,[2]Cultures!$B$3:$M$3,0),FALSE)</f>
        <v>#N/A</v>
      </c>
      <c r="AP186" s="4" t="e">
        <f>VLOOKUP($N186,[2]Cultures!$B$4:$M$283,MATCH(AP$1,[2]Cultures!$B$3:$M$3,0),FALSE)</f>
        <v>#N/A</v>
      </c>
      <c r="AQ186" s="4" t="e">
        <f>VLOOKUP($N186,[2]Cultures!$B$4:$M$283,MATCH(AQ$1,[2]Cultures!$B$3:$M$3,0),FALSE)</f>
        <v>#N/A</v>
      </c>
      <c r="AR186" s="4" t="e">
        <f>VLOOKUP($N186,[2]Cultures!$B$4:$M$283,MATCH(AR$1,[2]Cultures!$B$3:$M$3,0),FALSE)</f>
        <v>#N/A</v>
      </c>
      <c r="AS186" s="4" t="e">
        <f>VLOOKUP($N186,[2]Cultures!$B$4:$M$283,MATCH(AS$1,[2]Cultures!$B$3:$M$3,0),FALSE)</f>
        <v>#N/A</v>
      </c>
      <c r="AT186" s="4"/>
      <c r="AU186" s="4">
        <f>IF(ISNUMBER(SEARCH(N186&amp;";",Calculations!$Q$19)),VLOOKUP(Skills!N186,Calculations!$Q$2:$T$16,4,FALSE),0)</f>
        <v>0</v>
      </c>
      <c r="AV186" s="4">
        <f>IF(ISNUMBER(SEARCH(N186&amp;";",Calculations!$Q$18)),1,0)</f>
        <v>0</v>
      </c>
      <c r="AW186" s="4">
        <f>IF($AV$172=1,1,IF($AV$184=1,1,AV186))</f>
        <v>0</v>
      </c>
      <c r="AX186" s="4">
        <f>VLOOKUP($N186,$N186:$CH186,MATCH('Character Sheet'!$BJ$3,Skills!$N$1:$CH$1,0),FALSE)</f>
        <v>0</v>
      </c>
    </row>
    <row r="187" spans="2:50" x14ac:dyDescent="0.25">
      <c r="B187" s="4" t="e">
        <f t="shared" si="84"/>
        <v>#N/A</v>
      </c>
      <c r="E187" s="4"/>
      <c r="F187" s="4">
        <f t="shared" si="76"/>
        <v>0</v>
      </c>
      <c r="G187" s="4"/>
      <c r="H187" s="4" t="e">
        <f t="shared" si="82"/>
        <v>#N/A</v>
      </c>
      <c r="I187" s="4" t="e">
        <f>IF($J$171=1,1,IF($J$173=1,1,IF($J$185=1,1,0)))</f>
        <v>#N/A</v>
      </c>
      <c r="J187" s="4">
        <f t="shared" si="72"/>
        <v>0</v>
      </c>
      <c r="K187" s="4" t="e">
        <f t="shared" si="90"/>
        <v>#N/A</v>
      </c>
      <c r="M187" t="str">
        <f>N187</f>
        <v>Combustion Engine Engineering</v>
      </c>
      <c r="N187" s="3" t="str">
        <f>'Character Sheet'!AXF17</f>
        <v>Combustion Engine Engineering</v>
      </c>
      <c r="O187" s="4" t="s">
        <v>795</v>
      </c>
      <c r="P187" s="4" t="s">
        <v>794</v>
      </c>
      <c r="Q187" s="4" t="e">
        <f t="shared" si="87"/>
        <v>#N/A</v>
      </c>
      <c r="R187" s="4">
        <f>IF(ISNUMBER(SEARCH("Category",N187)),"- -",IF(ISNUMBER(SEARCH("Skills",N187)),"- -",'Level-up'!C205))</f>
        <v>0</v>
      </c>
      <c r="S187" s="4" t="e">
        <f t="shared" si="74"/>
        <v>#N/A</v>
      </c>
      <c r="T187" s="4" t="e">
        <f t="shared" si="75"/>
        <v>#N/A</v>
      </c>
      <c r="U187" s="4">
        <f t="shared" ca="1" si="77"/>
        <v>5</v>
      </c>
      <c r="V187" s="4">
        <f t="shared" si="94"/>
        <v>0</v>
      </c>
      <c r="W187" s="4">
        <f t="shared" si="88"/>
        <v>0</v>
      </c>
      <c r="X187" s="4">
        <f t="shared" si="85"/>
        <v>0</v>
      </c>
      <c r="Y187" s="4">
        <f t="shared" si="78"/>
        <v>0</v>
      </c>
      <c r="Z187" s="4">
        <f t="shared" si="79"/>
        <v>0</v>
      </c>
      <c r="AA187" s="4">
        <f t="shared" si="80"/>
        <v>0</v>
      </c>
      <c r="AB187" s="4">
        <f t="shared" si="81"/>
        <v>0</v>
      </c>
      <c r="AC187" s="8"/>
      <c r="AD187" s="4"/>
      <c r="AE187" s="4"/>
      <c r="AF187" s="4" t="e">
        <f t="shared" si="83"/>
        <v>#N/A</v>
      </c>
      <c r="AG187" s="4"/>
      <c r="AH187" s="4">
        <f>IFERROR(VLOOKUP(M187,Calculations!$AC$2:$AD$251,2,FALSE),0)</f>
        <v>0</v>
      </c>
      <c r="AI187" s="4" t="e">
        <f>VLOOKUP(N187,$N$2:$AS$620,MATCH('Character Creation'!$Z$12,Skills!$N$1:$AS$1,0),FALSE)</f>
        <v>#N/A</v>
      </c>
      <c r="AJ187" s="4" t="e">
        <f>VLOOKUP($N187,[2]Cultures!$B$4:$M$283,MATCH(AJ$1,[2]Cultures!$B$3:$M$3,0),FALSE)</f>
        <v>#N/A</v>
      </c>
      <c r="AK187" s="4" t="e">
        <f>VLOOKUP($N187,[2]Cultures!$B$4:$M$283,MATCH(AK$1,[2]Cultures!$B$3:$M$3,0),FALSE)</f>
        <v>#N/A</v>
      </c>
      <c r="AL187" s="4" t="e">
        <f>VLOOKUP($N187,[2]Cultures!$B$4:$M$283,MATCH(AL$1,[2]Cultures!$B$3:$M$3,0),FALSE)</f>
        <v>#N/A</v>
      </c>
      <c r="AM187" s="4" t="e">
        <f>VLOOKUP($N187,[2]Cultures!$B$4:$M$283,MATCH(AM$1,[2]Cultures!$B$3:$M$3,0),FALSE)</f>
        <v>#N/A</v>
      </c>
      <c r="AN187" s="4" t="e">
        <f>VLOOKUP($N187,[2]Cultures!$B$4:$M$283,MATCH(AN$1,[2]Cultures!$B$3:$M$3,0),FALSE)</f>
        <v>#N/A</v>
      </c>
      <c r="AO187" s="4" t="e">
        <f>VLOOKUP($N187,[2]Cultures!$B$4:$M$283,MATCH(AO$1,[2]Cultures!$B$3:$M$3,0),FALSE)</f>
        <v>#N/A</v>
      </c>
      <c r="AP187" s="4" t="e">
        <f>VLOOKUP($N187,[2]Cultures!$B$4:$M$283,MATCH(AP$1,[2]Cultures!$B$3:$M$3,0),FALSE)</f>
        <v>#N/A</v>
      </c>
      <c r="AQ187" s="4" t="e">
        <f>VLOOKUP($N187,[2]Cultures!$B$4:$M$283,MATCH(AQ$1,[2]Cultures!$B$3:$M$3,0),FALSE)</f>
        <v>#N/A</v>
      </c>
      <c r="AR187" s="4" t="e">
        <f>VLOOKUP($N187,[2]Cultures!$B$4:$M$283,MATCH(AR$1,[2]Cultures!$B$3:$M$3,0),FALSE)</f>
        <v>#N/A</v>
      </c>
      <c r="AS187" s="4" t="e">
        <f>VLOOKUP($N187,[2]Cultures!$B$4:$M$283,MATCH(AS$1,[2]Cultures!$B$3:$M$3,0),FALSE)</f>
        <v>#N/A</v>
      </c>
      <c r="AT187" s="4"/>
      <c r="AU187" s="4">
        <f>IF(ISNUMBER(SEARCH(N187&amp;";",Calculations!$Q$19)),VLOOKUP(Skills!N187,Calculations!$Q$2:$T$16,4,FALSE),0)</f>
        <v>0</v>
      </c>
      <c r="AV187" s="4">
        <f>IF(ISNUMBER(SEARCH(N187&amp;";",Calculations!$Q$18)),1,0)</f>
        <v>0</v>
      </c>
      <c r="AW187" s="4">
        <f>IF($AV$172=1,1,IF($AV$184=1,1,AV187))</f>
        <v>0</v>
      </c>
      <c r="AX187" s="4">
        <f>VLOOKUP($N187,$N187:$CH187,MATCH('Character Sheet'!$BJ$3,Skills!$N$1:$CH$1,0),FALSE)</f>
        <v>0</v>
      </c>
    </row>
    <row r="188" spans="2:50" x14ac:dyDescent="0.25">
      <c r="B188" s="4" t="e">
        <f t="shared" si="84"/>
        <v>#N/A</v>
      </c>
      <c r="E188" s="4"/>
      <c r="F188" s="4">
        <f t="shared" si="76"/>
        <v>0</v>
      </c>
      <c r="G188" s="4"/>
      <c r="H188" s="4" t="e">
        <f t="shared" si="82"/>
        <v>#N/A</v>
      </c>
      <c r="I188" s="4" t="e">
        <f>IF($J$171=1,1,IF($J$173=1,1,IF($J$185=1,1,0)))</f>
        <v>#N/A</v>
      </c>
      <c r="J188" s="4">
        <f t="shared" si="72"/>
        <v>0</v>
      </c>
      <c r="K188" s="4" t="e">
        <f t="shared" si="90"/>
        <v>#N/A</v>
      </c>
      <c r="M188" t="str">
        <f>N188</f>
        <v>General Mechanics Engineering</v>
      </c>
      <c r="N188" s="3" t="str">
        <f>'Character Sheet'!AXF18</f>
        <v>General Mechanics Engineering</v>
      </c>
      <c r="O188" s="4" t="s">
        <v>795</v>
      </c>
      <c r="P188" s="4" t="s">
        <v>794</v>
      </c>
      <c r="Q188" s="4" t="e">
        <f t="shared" si="87"/>
        <v>#N/A</v>
      </c>
      <c r="R188" s="4">
        <f>IF(ISNUMBER(SEARCH("Category",N188)),"- -",IF(ISNUMBER(SEARCH("Skills",N188)),"- -",'Level-up'!C206))</f>
        <v>0</v>
      </c>
      <c r="S188" s="4" t="e">
        <f t="shared" si="74"/>
        <v>#N/A</v>
      </c>
      <c r="T188" s="4" t="e">
        <f t="shared" si="75"/>
        <v>#N/A</v>
      </c>
      <c r="U188" s="4">
        <f t="shared" ca="1" si="77"/>
        <v>5</v>
      </c>
      <c r="V188" s="4">
        <f t="shared" si="94"/>
        <v>0</v>
      </c>
      <c r="W188" s="4">
        <f t="shared" si="88"/>
        <v>0</v>
      </c>
      <c r="X188" s="4">
        <f t="shared" si="85"/>
        <v>0</v>
      </c>
      <c r="Y188" s="4">
        <f t="shared" si="78"/>
        <v>0</v>
      </c>
      <c r="Z188" s="4">
        <f t="shared" si="79"/>
        <v>0</v>
      </c>
      <c r="AA188" s="4">
        <f t="shared" si="80"/>
        <v>0</v>
      </c>
      <c r="AB188" s="4">
        <f t="shared" si="81"/>
        <v>0</v>
      </c>
      <c r="AC188" s="8"/>
      <c r="AD188" s="4"/>
      <c r="AE188" s="4"/>
      <c r="AF188" s="4" t="e">
        <f t="shared" si="83"/>
        <v>#N/A</v>
      </c>
      <c r="AG188" s="4"/>
      <c r="AH188" s="4">
        <f>IFERROR(VLOOKUP(M188,Calculations!$AC$2:$AD$251,2,FALSE),0)</f>
        <v>0</v>
      </c>
      <c r="AI188" s="4" t="e">
        <f>VLOOKUP(N188,$N$2:$AS$620,MATCH('Character Creation'!$Z$12,Skills!$N$1:$AS$1,0),FALSE)</f>
        <v>#N/A</v>
      </c>
      <c r="AJ188" s="4" t="e">
        <f>VLOOKUP($N188,[2]Cultures!$B$4:$M$283,MATCH(AJ$1,[2]Cultures!$B$3:$M$3,0),FALSE)</f>
        <v>#N/A</v>
      </c>
      <c r="AK188" s="4" t="e">
        <f>VLOOKUP($N188,[2]Cultures!$B$4:$M$283,MATCH(AK$1,[2]Cultures!$B$3:$M$3,0),FALSE)</f>
        <v>#N/A</v>
      </c>
      <c r="AL188" s="4" t="e">
        <f>VLOOKUP($N188,[2]Cultures!$B$4:$M$283,MATCH(AL$1,[2]Cultures!$B$3:$M$3,0),FALSE)</f>
        <v>#N/A</v>
      </c>
      <c r="AM188" s="4" t="e">
        <f>VLOOKUP($N188,[2]Cultures!$B$4:$M$283,MATCH(AM$1,[2]Cultures!$B$3:$M$3,0),FALSE)</f>
        <v>#N/A</v>
      </c>
      <c r="AN188" s="4" t="e">
        <f>VLOOKUP($N188,[2]Cultures!$B$4:$M$283,MATCH(AN$1,[2]Cultures!$B$3:$M$3,0),FALSE)</f>
        <v>#N/A</v>
      </c>
      <c r="AO188" s="4" t="e">
        <f>VLOOKUP($N188,[2]Cultures!$B$4:$M$283,MATCH(AO$1,[2]Cultures!$B$3:$M$3,0),FALSE)</f>
        <v>#N/A</v>
      </c>
      <c r="AP188" s="4" t="e">
        <f>VLOOKUP($N188,[2]Cultures!$B$4:$M$283,MATCH(AP$1,[2]Cultures!$B$3:$M$3,0),FALSE)</f>
        <v>#N/A</v>
      </c>
      <c r="AQ188" s="4" t="e">
        <f>VLOOKUP($N188,[2]Cultures!$B$4:$M$283,MATCH(AQ$1,[2]Cultures!$B$3:$M$3,0),FALSE)</f>
        <v>#N/A</v>
      </c>
      <c r="AR188" s="4" t="e">
        <f>VLOOKUP($N188,[2]Cultures!$B$4:$M$283,MATCH(AR$1,[2]Cultures!$B$3:$M$3,0),FALSE)</f>
        <v>#N/A</v>
      </c>
      <c r="AS188" s="4" t="e">
        <f>VLOOKUP($N188,[2]Cultures!$B$4:$M$283,MATCH(AS$1,[2]Cultures!$B$3:$M$3,0),FALSE)</f>
        <v>#N/A</v>
      </c>
      <c r="AT188" s="4"/>
      <c r="AU188" s="4">
        <f>IF(ISNUMBER(SEARCH(N188&amp;";",Calculations!$Q$19)),VLOOKUP(Skills!N188,Calculations!$Q$2:$T$16,4,FALSE),0)</f>
        <v>0</v>
      </c>
      <c r="AV188" s="4">
        <f>IF(ISNUMBER(SEARCH(N188&amp;";",Calculations!$Q$18)),1,0)</f>
        <v>0</v>
      </c>
      <c r="AW188" s="4">
        <f>IF($AV$172=1,1,IF($AV$184=1,1,AV188))</f>
        <v>0</v>
      </c>
      <c r="AX188" s="4">
        <f>VLOOKUP($N188,$N188:$CH188,MATCH('Character Sheet'!$BJ$3,Skills!$N$1:$CH$1,0),FALSE)</f>
        <v>0</v>
      </c>
    </row>
    <row r="189" spans="2:50" x14ac:dyDescent="0.25">
      <c r="B189" s="4" t="e">
        <f t="shared" si="84"/>
        <v>#N/A</v>
      </c>
      <c r="E189" s="4"/>
      <c r="F189" s="4">
        <f t="shared" si="76"/>
        <v>0</v>
      </c>
      <c r="G189" s="4"/>
      <c r="H189" s="4" t="e">
        <f t="shared" si="82"/>
        <v>#N/A</v>
      </c>
      <c r="I189" s="4" t="e">
        <f>IF($J$171=1,1,IF($J$173=1,1,IF($J$185=1,1,0)))</f>
        <v>#N/A</v>
      </c>
      <c r="J189" s="4">
        <f t="shared" si="72"/>
        <v>0</v>
      </c>
      <c r="K189" s="4" t="e">
        <f t="shared" si="90"/>
        <v>#N/A</v>
      </c>
      <c r="M189" t="str">
        <f>N189</f>
        <v>Land Vehicle Engineering</v>
      </c>
      <c r="N189" s="3" t="str">
        <f>'Character Sheet'!AXF19</f>
        <v>Land Vehicle Engineering</v>
      </c>
      <c r="O189" s="4" t="s">
        <v>795</v>
      </c>
      <c r="P189" s="4" t="s">
        <v>794</v>
      </c>
      <c r="Q189" s="4" t="e">
        <f t="shared" si="87"/>
        <v>#N/A</v>
      </c>
      <c r="R189" s="4">
        <f>IF(ISNUMBER(SEARCH("Category",N189)),"- -",IF(ISNUMBER(SEARCH("Skills",N189)),"- -",'Level-up'!C207))</f>
        <v>0</v>
      </c>
      <c r="S189" s="4" t="e">
        <f t="shared" si="74"/>
        <v>#N/A</v>
      </c>
      <c r="T189" s="4" t="e">
        <f t="shared" si="75"/>
        <v>#N/A</v>
      </c>
      <c r="U189" s="4">
        <f t="shared" ca="1" si="77"/>
        <v>5</v>
      </c>
      <c r="V189" s="4">
        <f t="shared" si="94"/>
        <v>0</v>
      </c>
      <c r="W189" s="4">
        <f t="shared" si="88"/>
        <v>0</v>
      </c>
      <c r="X189" s="4">
        <f t="shared" si="85"/>
        <v>0</v>
      </c>
      <c r="Y189" s="4">
        <f t="shared" si="78"/>
        <v>0</v>
      </c>
      <c r="Z189" s="4">
        <f t="shared" si="79"/>
        <v>0</v>
      </c>
      <c r="AA189" s="4">
        <f t="shared" si="80"/>
        <v>0</v>
      </c>
      <c r="AB189" s="4">
        <f t="shared" si="81"/>
        <v>0</v>
      </c>
      <c r="AC189" s="8"/>
      <c r="AD189" s="4"/>
      <c r="AE189" s="4"/>
      <c r="AF189" s="4" t="e">
        <f t="shared" si="83"/>
        <v>#N/A</v>
      </c>
      <c r="AG189" s="4"/>
      <c r="AH189" s="4">
        <f>IFERROR(VLOOKUP(M189,Calculations!$AC$2:$AD$251,2,FALSE),0)</f>
        <v>0</v>
      </c>
      <c r="AI189" s="4" t="e">
        <f>VLOOKUP(N189,$N$2:$AS$620,MATCH('Character Creation'!$Z$12,Skills!$N$1:$AS$1,0),FALSE)</f>
        <v>#N/A</v>
      </c>
      <c r="AJ189" s="4" t="e">
        <f>VLOOKUP($N189,[2]Cultures!$B$4:$M$283,MATCH(AJ$1,[2]Cultures!$B$3:$M$3,0),FALSE)</f>
        <v>#N/A</v>
      </c>
      <c r="AK189" s="4" t="e">
        <f>VLOOKUP($N189,[2]Cultures!$B$4:$M$283,MATCH(AK$1,[2]Cultures!$B$3:$M$3,0),FALSE)</f>
        <v>#N/A</v>
      </c>
      <c r="AL189" s="4" t="e">
        <f>VLOOKUP($N189,[2]Cultures!$B$4:$M$283,MATCH(AL$1,[2]Cultures!$B$3:$M$3,0),FALSE)</f>
        <v>#N/A</v>
      </c>
      <c r="AM189" s="4" t="e">
        <f>VLOOKUP($N189,[2]Cultures!$B$4:$M$283,MATCH(AM$1,[2]Cultures!$B$3:$M$3,0),FALSE)</f>
        <v>#N/A</v>
      </c>
      <c r="AN189" s="4" t="e">
        <f>VLOOKUP($N189,[2]Cultures!$B$4:$M$283,MATCH(AN$1,[2]Cultures!$B$3:$M$3,0),FALSE)</f>
        <v>#N/A</v>
      </c>
      <c r="AO189" s="4" t="e">
        <f>VLOOKUP($N189,[2]Cultures!$B$4:$M$283,MATCH(AO$1,[2]Cultures!$B$3:$M$3,0),FALSE)</f>
        <v>#N/A</v>
      </c>
      <c r="AP189" s="4" t="e">
        <f>VLOOKUP($N189,[2]Cultures!$B$4:$M$283,MATCH(AP$1,[2]Cultures!$B$3:$M$3,0),FALSE)</f>
        <v>#N/A</v>
      </c>
      <c r="AQ189" s="4" t="e">
        <f>VLOOKUP($N189,[2]Cultures!$B$4:$M$283,MATCH(AQ$1,[2]Cultures!$B$3:$M$3,0),FALSE)</f>
        <v>#N/A</v>
      </c>
      <c r="AR189" s="4" t="e">
        <f>VLOOKUP($N189,[2]Cultures!$B$4:$M$283,MATCH(AR$1,[2]Cultures!$B$3:$M$3,0),FALSE)</f>
        <v>#N/A</v>
      </c>
      <c r="AS189" s="4" t="e">
        <f>VLOOKUP($N189,[2]Cultures!$B$4:$M$283,MATCH(AS$1,[2]Cultures!$B$3:$M$3,0),FALSE)</f>
        <v>#N/A</v>
      </c>
      <c r="AT189" s="4"/>
      <c r="AU189" s="4">
        <f>IF(ISNUMBER(SEARCH(N189&amp;";",Calculations!$Q$19)),VLOOKUP(Skills!N189,Calculations!$Q$2:$T$16,4,FALSE),0)</f>
        <v>0</v>
      </c>
      <c r="AV189" s="4">
        <f>IF(ISNUMBER(SEARCH(N189&amp;";",Calculations!$Q$18)),1,0)</f>
        <v>0</v>
      </c>
      <c r="AW189" s="4">
        <f>IF($AV$172=1,1,IF($AV$184=1,1,AV189))</f>
        <v>0</v>
      </c>
      <c r="AX189" s="4">
        <f>VLOOKUP($N189,$N189:$CH189,MATCH('Character Sheet'!$BJ$3,Skills!$N$1:$CH$1,0),FALSE)</f>
        <v>0</v>
      </c>
    </row>
    <row r="190" spans="2:50" x14ac:dyDescent="0.25">
      <c r="B190" s="4" t="e">
        <f t="shared" si="84"/>
        <v>#N/A</v>
      </c>
      <c r="E190" s="4"/>
      <c r="F190" s="4">
        <f t="shared" si="76"/>
        <v>0</v>
      </c>
      <c r="G190" s="4"/>
      <c r="H190" s="4" t="e">
        <f t="shared" si="82"/>
        <v>#N/A</v>
      </c>
      <c r="I190" s="4" t="e">
        <f>IF($J$171=1,1,IF($J$173=1,1,IF($J$191=1,1,0)))</f>
        <v>#N/A</v>
      </c>
      <c r="J190" s="4">
        <f t="shared" si="72"/>
        <v>0</v>
      </c>
      <c r="K190" s="4" t="e">
        <f t="shared" si="90"/>
        <v>#N/A</v>
      </c>
      <c r="N190" s="3" t="s">
        <v>653</v>
      </c>
      <c r="O190" s="6" t="s">
        <v>782</v>
      </c>
      <c r="P190" s="6" t="s">
        <v>782</v>
      </c>
      <c r="Q190" s="4" t="str">
        <f t="shared" si="87"/>
        <v>- -</v>
      </c>
      <c r="R190" s="4" t="str">
        <f>IF(ISNUMBER(SEARCH("Category",N190)),"- -",IF(ISNUMBER(SEARCH("Skills",N190)),"- -",'Level-up'!C208))</f>
        <v>- -</v>
      </c>
      <c r="S190" s="4" t="str">
        <f t="shared" si="74"/>
        <v>- -</v>
      </c>
      <c r="T190" s="4" t="str">
        <f t="shared" si="75"/>
        <v>- -</v>
      </c>
      <c r="U190" s="4" t="str">
        <f t="shared" ca="1" si="77"/>
        <v>- -</v>
      </c>
      <c r="V190" s="4" t="str">
        <f t="shared" si="94"/>
        <v>- -</v>
      </c>
      <c r="W190" s="4" t="str">
        <f t="shared" si="88"/>
        <v>- -</v>
      </c>
      <c r="X190" s="4" t="str">
        <f t="shared" si="85"/>
        <v>- -</v>
      </c>
      <c r="Y190" s="4" t="str">
        <f t="shared" si="78"/>
        <v>- -</v>
      </c>
      <c r="Z190" s="4" t="str">
        <f t="shared" si="79"/>
        <v>- -</v>
      </c>
      <c r="AA190" s="4" t="str">
        <f t="shared" si="80"/>
        <v>- -</v>
      </c>
      <c r="AB190" s="4" t="str">
        <f t="shared" si="81"/>
        <v>- -</v>
      </c>
      <c r="AC190" s="8"/>
      <c r="AD190" s="4"/>
      <c r="AE190" s="4"/>
      <c r="AF190" s="4" t="str">
        <f t="shared" si="83"/>
        <v>- -</v>
      </c>
      <c r="AG190" s="4"/>
      <c r="AH190" s="4">
        <f>IFERROR(VLOOKUP(M190,Calculations!$AC$2:$AD$251,2,FALSE),0)</f>
        <v>0</v>
      </c>
      <c r="AI190" s="4" t="e">
        <f>VLOOKUP(N190,$N$2:$AS$620,MATCH('Character Creation'!$Z$12,Skills!$N$1:$AS$1,0),FALSE)</f>
        <v>#N/A</v>
      </c>
      <c r="AJ190" s="4" t="e">
        <f>VLOOKUP($N190,[2]Cultures!$B$4:$M$283,MATCH(AJ$1,[2]Cultures!$B$3:$M$3,0),FALSE)</f>
        <v>#N/A</v>
      </c>
      <c r="AK190" s="4" t="e">
        <f>VLOOKUP($N190,[2]Cultures!$B$4:$M$283,MATCH(AK$1,[2]Cultures!$B$3:$M$3,0),FALSE)</f>
        <v>#N/A</v>
      </c>
      <c r="AL190" s="4" t="e">
        <f>VLOOKUP($N190,[2]Cultures!$B$4:$M$283,MATCH(AL$1,[2]Cultures!$B$3:$M$3,0),FALSE)</f>
        <v>#N/A</v>
      </c>
      <c r="AM190" s="4" t="e">
        <f>VLOOKUP($N190,[2]Cultures!$B$4:$M$283,MATCH(AM$1,[2]Cultures!$B$3:$M$3,0),FALSE)</f>
        <v>#N/A</v>
      </c>
      <c r="AN190" s="4" t="e">
        <f>VLOOKUP($N190,[2]Cultures!$B$4:$M$283,MATCH(AN$1,[2]Cultures!$B$3:$M$3,0),FALSE)</f>
        <v>#N/A</v>
      </c>
      <c r="AO190" s="4" t="e">
        <f>VLOOKUP($N190,[2]Cultures!$B$4:$M$283,MATCH(AO$1,[2]Cultures!$B$3:$M$3,0),FALSE)</f>
        <v>#N/A</v>
      </c>
      <c r="AP190" s="4" t="e">
        <f>VLOOKUP($N190,[2]Cultures!$B$4:$M$283,MATCH(AP$1,[2]Cultures!$B$3:$M$3,0),FALSE)</f>
        <v>#N/A</v>
      </c>
      <c r="AQ190" s="4" t="e">
        <f>VLOOKUP($N190,[2]Cultures!$B$4:$M$283,MATCH(AQ$1,[2]Cultures!$B$3:$M$3,0),FALSE)</f>
        <v>#N/A</v>
      </c>
      <c r="AR190" s="4" t="e">
        <f>VLOOKUP($N190,[2]Cultures!$B$4:$M$283,MATCH(AR$1,[2]Cultures!$B$3:$M$3,0),FALSE)</f>
        <v>#N/A</v>
      </c>
      <c r="AS190" s="4" t="e">
        <f>VLOOKUP($N190,[2]Cultures!$B$4:$M$283,MATCH(AS$1,[2]Cultures!$B$3:$M$3,0),FALSE)</f>
        <v>#N/A</v>
      </c>
      <c r="AT190" s="4"/>
      <c r="AU190" s="4">
        <f>IF(ISNUMBER(SEARCH(N190&amp;";",Calculations!$Q$19)),VLOOKUP(Skills!N190,Calculations!$Q$2:$T$16,4,FALSE),0)</f>
        <v>0</v>
      </c>
      <c r="AV190" s="4">
        <f>IF(ISNUMBER(SEARCH(N190&amp;";",Calculations!$Q$18)),1,0)</f>
        <v>0</v>
      </c>
      <c r="AW190" s="4"/>
      <c r="AX190" s="4">
        <f>VLOOKUP($N190,$N190:$CH190,MATCH('Character Sheet'!$BJ$3,Skills!$N$1:$CH$1,0),FALSE)</f>
        <v>0</v>
      </c>
    </row>
    <row r="191" spans="2:50" x14ac:dyDescent="0.25">
      <c r="B191" s="4" t="e">
        <f t="shared" si="84"/>
        <v>#N/A</v>
      </c>
      <c r="E191" s="4"/>
      <c r="F191" s="4">
        <f t="shared" si="76"/>
        <v>0</v>
      </c>
      <c r="G191" s="4"/>
      <c r="H191" s="4" t="e">
        <f t="shared" si="82"/>
        <v>#N/A</v>
      </c>
      <c r="I191" s="4">
        <v>0</v>
      </c>
      <c r="J191" s="4" t="e">
        <f t="shared" si="72"/>
        <v>#N/A</v>
      </c>
      <c r="K191" s="4" t="e">
        <f t="shared" si="90"/>
        <v>#N/A</v>
      </c>
      <c r="N191" s="3" t="s">
        <v>654</v>
      </c>
      <c r="O191" s="6" t="s">
        <v>782</v>
      </c>
      <c r="P191" s="6" t="s">
        <v>782</v>
      </c>
      <c r="Q191" s="4" t="str">
        <f t="shared" si="87"/>
        <v>- -</v>
      </c>
      <c r="R191" s="4" t="str">
        <f>IF(ISNUMBER(SEARCH("Category",N191)),"- -",IF(ISNUMBER(SEARCH("Skills",N191)),"- -",'Level-up'!C209))</f>
        <v>- -</v>
      </c>
      <c r="S191" s="4" t="str">
        <f t="shared" si="74"/>
        <v>- -</v>
      </c>
      <c r="T191" s="4" t="str">
        <f t="shared" si="75"/>
        <v>- -</v>
      </c>
      <c r="U191" s="4" t="str">
        <f t="shared" ca="1" si="77"/>
        <v>- -</v>
      </c>
      <c r="V191" s="4" t="str">
        <f t="shared" si="94"/>
        <v>- -</v>
      </c>
      <c r="W191" s="4" t="str">
        <f t="shared" si="88"/>
        <v>- -</v>
      </c>
      <c r="X191" s="4" t="str">
        <f t="shared" si="85"/>
        <v>- -</v>
      </c>
      <c r="Y191" s="4" t="str">
        <f t="shared" si="78"/>
        <v>- -</v>
      </c>
      <c r="Z191" s="4" t="str">
        <f t="shared" si="79"/>
        <v>- -</v>
      </c>
      <c r="AA191" s="4" t="str">
        <f t="shared" si="80"/>
        <v>- -</v>
      </c>
      <c r="AB191" s="4" t="str">
        <f t="shared" si="81"/>
        <v>- -</v>
      </c>
      <c r="AC191" s="8"/>
      <c r="AD191" s="4"/>
      <c r="AE191" s="4"/>
      <c r="AF191" s="4" t="str">
        <f t="shared" si="83"/>
        <v>- -</v>
      </c>
      <c r="AG191" s="4"/>
      <c r="AH191" s="4">
        <f>IFERROR(VLOOKUP(M191,Calculations!$AC$2:$AD$251,2,FALSE),0)</f>
        <v>0</v>
      </c>
      <c r="AI191" s="4" t="e">
        <f>VLOOKUP(N191,$N$2:$AS$620,MATCH('Character Creation'!$Z$12,Skills!$N$1:$AS$1,0),FALSE)</f>
        <v>#N/A</v>
      </c>
      <c r="AJ191" s="4" t="e">
        <f>VLOOKUP($N191,[2]Cultures!$B$4:$M$283,MATCH(AJ$1,[2]Cultures!$B$3:$M$3,0),FALSE)</f>
        <v>#N/A</v>
      </c>
      <c r="AK191" s="4" t="e">
        <f>VLOOKUP($N191,[2]Cultures!$B$4:$M$283,MATCH(AK$1,[2]Cultures!$B$3:$M$3,0),FALSE)</f>
        <v>#N/A</v>
      </c>
      <c r="AL191" s="4" t="e">
        <f>VLOOKUP($N191,[2]Cultures!$B$4:$M$283,MATCH(AL$1,[2]Cultures!$B$3:$M$3,0),FALSE)</f>
        <v>#N/A</v>
      </c>
      <c r="AM191" s="4" t="e">
        <f>VLOOKUP($N191,[2]Cultures!$B$4:$M$283,MATCH(AM$1,[2]Cultures!$B$3:$M$3,0),FALSE)</f>
        <v>#N/A</v>
      </c>
      <c r="AN191" s="4" t="e">
        <f>VLOOKUP($N191,[2]Cultures!$B$4:$M$283,MATCH(AN$1,[2]Cultures!$B$3:$M$3,0),FALSE)</f>
        <v>#N/A</v>
      </c>
      <c r="AO191" s="4" t="e">
        <f>VLOOKUP($N191,[2]Cultures!$B$4:$M$283,MATCH(AO$1,[2]Cultures!$B$3:$M$3,0),FALSE)</f>
        <v>#N/A</v>
      </c>
      <c r="AP191" s="4" t="e">
        <f>VLOOKUP($N191,[2]Cultures!$B$4:$M$283,MATCH(AP$1,[2]Cultures!$B$3:$M$3,0),FALSE)</f>
        <v>#N/A</v>
      </c>
      <c r="AQ191" s="4" t="e">
        <f>VLOOKUP($N191,[2]Cultures!$B$4:$M$283,MATCH(AQ$1,[2]Cultures!$B$3:$M$3,0),FALSE)</f>
        <v>#N/A</v>
      </c>
      <c r="AR191" s="4" t="e">
        <f>VLOOKUP($N191,[2]Cultures!$B$4:$M$283,MATCH(AR$1,[2]Cultures!$B$3:$M$3,0),FALSE)</f>
        <v>#N/A</v>
      </c>
      <c r="AS191" s="4" t="e">
        <f>VLOOKUP($N191,[2]Cultures!$B$4:$M$283,MATCH(AS$1,[2]Cultures!$B$3:$M$3,0),FALSE)</f>
        <v>#N/A</v>
      </c>
      <c r="AT191" s="4"/>
      <c r="AU191" s="4">
        <f>IF(ISNUMBER(SEARCH(N191&amp;";",Calculations!$Q$19)),VLOOKUP(Skills!N191,Calculations!$Q$2:$T$16,4,FALSE),0)</f>
        <v>0</v>
      </c>
      <c r="AV191" s="4">
        <f>IF(ISNUMBER(SEARCH(N191&amp;";",Calculations!$Q$18)),1,0)</f>
        <v>0</v>
      </c>
      <c r="AW191" s="4"/>
      <c r="AX191" s="4">
        <f>VLOOKUP($N191,$N191:$CH191,MATCH('Character Sheet'!$BJ$3,Skills!$N$1:$CH$1,0),FALSE)</f>
        <v>0</v>
      </c>
    </row>
    <row r="192" spans="2:50" x14ac:dyDescent="0.25">
      <c r="B192" s="4" t="e">
        <f t="shared" si="84"/>
        <v>#N/A</v>
      </c>
      <c r="E192" s="4"/>
      <c r="F192" s="4">
        <f t="shared" si="76"/>
        <v>0</v>
      </c>
      <c r="G192" s="4"/>
      <c r="H192" s="4" t="e">
        <f t="shared" si="82"/>
        <v>#N/A</v>
      </c>
      <c r="I192" s="4" t="e">
        <f>IF($J$171=1,1,IF($J$173=1,1,IF($J$191=1,1,0)))</f>
        <v>#N/A</v>
      </c>
      <c r="J192" s="4">
        <f t="shared" si="72"/>
        <v>0</v>
      </c>
      <c r="K192" s="4" t="e">
        <f t="shared" si="90"/>
        <v>#N/A</v>
      </c>
      <c r="M192" t="str">
        <f>N192</f>
        <v>Counterfeiting Technology Engineering</v>
      </c>
      <c r="N192" s="3" t="str">
        <f>'Character Sheet'!AXF23</f>
        <v>Counterfeiting Technology Engineering</v>
      </c>
      <c r="O192" s="4" t="s">
        <v>795</v>
      </c>
      <c r="P192" s="4" t="s">
        <v>794</v>
      </c>
      <c r="Q192" s="4" t="e">
        <f t="shared" si="87"/>
        <v>#N/A</v>
      </c>
      <c r="R192" s="4">
        <f>IF(ISNUMBER(SEARCH("Category",N192)),"- -",IF(ISNUMBER(SEARCH("Skills",N192)),"- -",'Level-up'!C210))</f>
        <v>0</v>
      </c>
      <c r="S192" s="4" t="e">
        <f t="shared" si="74"/>
        <v>#N/A</v>
      </c>
      <c r="T192" s="4" t="e">
        <f t="shared" si="75"/>
        <v>#N/A</v>
      </c>
      <c r="U192" s="4">
        <f t="shared" ca="1" si="77"/>
        <v>5</v>
      </c>
      <c r="V192" s="4">
        <f>IF(ISNUMBER(SEARCH("Category",N192)),"- -",IF(ISNUMBER(SEARCH("Skills",N192)),"- -",IF(AU192&gt;0,AU192,IF($AU$190&gt;0,$AU$190,$AU$172))))</f>
        <v>0</v>
      </c>
      <c r="W192" s="4">
        <f t="shared" si="88"/>
        <v>0</v>
      </c>
      <c r="X192" s="4">
        <f t="shared" si="85"/>
        <v>0</v>
      </c>
      <c r="Y192" s="4">
        <f t="shared" si="78"/>
        <v>0</v>
      </c>
      <c r="Z192" s="4">
        <f t="shared" si="79"/>
        <v>0</v>
      </c>
      <c r="AA192" s="4">
        <f t="shared" si="80"/>
        <v>0</v>
      </c>
      <c r="AB192" s="4">
        <f t="shared" si="81"/>
        <v>0</v>
      </c>
      <c r="AC192" s="8"/>
      <c r="AD192" s="4"/>
      <c r="AE192" s="4"/>
      <c r="AF192" s="4" t="e">
        <f t="shared" si="83"/>
        <v>#N/A</v>
      </c>
      <c r="AG192" s="4"/>
      <c r="AH192" s="4">
        <f>IFERROR(VLOOKUP(M192,Calculations!$AC$2:$AD$251,2,FALSE),0)</f>
        <v>0</v>
      </c>
      <c r="AI192" s="4" t="e">
        <f>VLOOKUP(N192,$N$2:$AS$620,MATCH('Character Creation'!$Z$12,Skills!$N$1:$AS$1,0),FALSE)</f>
        <v>#N/A</v>
      </c>
      <c r="AJ192" s="4" t="e">
        <f>VLOOKUP($N192,[2]Cultures!$B$4:$M$283,MATCH(AJ$1,[2]Cultures!$B$3:$M$3,0),FALSE)</f>
        <v>#N/A</v>
      </c>
      <c r="AK192" s="4" t="e">
        <f>VLOOKUP($N192,[2]Cultures!$B$4:$M$283,MATCH(AK$1,[2]Cultures!$B$3:$M$3,0),FALSE)</f>
        <v>#N/A</v>
      </c>
      <c r="AL192" s="4" t="e">
        <f>VLOOKUP($N192,[2]Cultures!$B$4:$M$283,MATCH(AL$1,[2]Cultures!$B$3:$M$3,0),FALSE)</f>
        <v>#N/A</v>
      </c>
      <c r="AM192" s="4" t="e">
        <f>VLOOKUP($N192,[2]Cultures!$B$4:$M$283,MATCH(AM$1,[2]Cultures!$B$3:$M$3,0),FALSE)</f>
        <v>#N/A</v>
      </c>
      <c r="AN192" s="4" t="e">
        <f>VLOOKUP($N192,[2]Cultures!$B$4:$M$283,MATCH(AN$1,[2]Cultures!$B$3:$M$3,0),FALSE)</f>
        <v>#N/A</v>
      </c>
      <c r="AO192" s="4" t="e">
        <f>VLOOKUP($N192,[2]Cultures!$B$4:$M$283,MATCH(AO$1,[2]Cultures!$B$3:$M$3,0),FALSE)</f>
        <v>#N/A</v>
      </c>
      <c r="AP192" s="4" t="e">
        <f>VLOOKUP($N192,[2]Cultures!$B$4:$M$283,MATCH(AP$1,[2]Cultures!$B$3:$M$3,0),FALSE)</f>
        <v>#N/A</v>
      </c>
      <c r="AQ192" s="4" t="e">
        <f>VLOOKUP($N192,[2]Cultures!$B$4:$M$283,MATCH(AQ$1,[2]Cultures!$B$3:$M$3,0),FALSE)</f>
        <v>#N/A</v>
      </c>
      <c r="AR192" s="4" t="e">
        <f>VLOOKUP($N192,[2]Cultures!$B$4:$M$283,MATCH(AR$1,[2]Cultures!$B$3:$M$3,0),FALSE)</f>
        <v>#N/A</v>
      </c>
      <c r="AS192" s="4" t="e">
        <f>VLOOKUP($N192,[2]Cultures!$B$4:$M$283,MATCH(AS$1,[2]Cultures!$B$3:$M$3,0),FALSE)</f>
        <v>#N/A</v>
      </c>
      <c r="AT192" s="4"/>
      <c r="AU192" s="4">
        <f>IF(ISNUMBER(SEARCH(N192&amp;";",Calculations!$Q$19)),VLOOKUP(Skills!N192,Calculations!$Q$2:$T$16,4,FALSE),0)</f>
        <v>0</v>
      </c>
      <c r="AV192" s="4">
        <f>IF(ISNUMBER(SEARCH(N192&amp;";",Calculations!$Q$18)),1,0)</f>
        <v>0</v>
      </c>
      <c r="AW192" s="4">
        <f>IF($AV$172=1,1,IF($AV$190=1,1,AV192))</f>
        <v>0</v>
      </c>
      <c r="AX192" s="4">
        <f>VLOOKUP($N192,$N192:$CH192,MATCH('Character Sheet'!$BJ$3,Skills!$N$1:$CH$1,0),FALSE)</f>
        <v>0</v>
      </c>
    </row>
    <row r="193" spans="1:50" x14ac:dyDescent="0.25">
      <c r="B193" s="4" t="e">
        <f t="shared" si="84"/>
        <v>#N/A</v>
      </c>
      <c r="E193" s="4"/>
      <c r="F193" s="4">
        <f t="shared" si="76"/>
        <v>0</v>
      </c>
      <c r="G193" s="4"/>
      <c r="H193" s="4" t="e">
        <f t="shared" si="82"/>
        <v>#N/A</v>
      </c>
      <c r="I193" s="4" t="e">
        <f>IF($J$171=1,1,IF($J$173=1,1,IF($J$191=1,1,0)))</f>
        <v>#N/A</v>
      </c>
      <c r="J193" s="4">
        <f t="shared" si="72"/>
        <v>0</v>
      </c>
      <c r="K193" s="4" t="e">
        <f t="shared" si="90"/>
        <v>#N/A</v>
      </c>
      <c r="M193" t="str">
        <f>N193</f>
        <v>Forgery Technology Engineering</v>
      </c>
      <c r="N193" s="3" t="str">
        <f>'Character Sheet'!AXF24</f>
        <v>Forgery Technology Engineering</v>
      </c>
      <c r="O193" s="4" t="s">
        <v>795</v>
      </c>
      <c r="P193" s="4" t="s">
        <v>794</v>
      </c>
      <c r="Q193" s="4" t="e">
        <f t="shared" si="87"/>
        <v>#N/A</v>
      </c>
      <c r="R193" s="4">
        <f>IF(ISNUMBER(SEARCH("Category",N193)),"- -",IF(ISNUMBER(SEARCH("Skills",N193)),"- -",'Level-up'!C211))</f>
        <v>0</v>
      </c>
      <c r="S193" s="4" t="e">
        <f t="shared" si="74"/>
        <v>#N/A</v>
      </c>
      <c r="T193" s="4" t="e">
        <f t="shared" si="75"/>
        <v>#N/A</v>
      </c>
      <c r="U193" s="4">
        <f t="shared" ca="1" si="77"/>
        <v>5</v>
      </c>
      <c r="V193" s="4">
        <f>IF(ISNUMBER(SEARCH("Category",N193)),"- -",IF(ISNUMBER(SEARCH("Skills",N193)),"- -",IF(AU193&gt;0,AU193,IF($AU$190&gt;0,$AU$190,$AU$172))))</f>
        <v>0</v>
      </c>
      <c r="W193" s="4">
        <f t="shared" si="88"/>
        <v>0</v>
      </c>
      <c r="X193" s="4">
        <f t="shared" si="85"/>
        <v>0</v>
      </c>
      <c r="Y193" s="4">
        <f t="shared" si="78"/>
        <v>0</v>
      </c>
      <c r="Z193" s="4">
        <f t="shared" si="79"/>
        <v>0</v>
      </c>
      <c r="AA193" s="4">
        <f t="shared" si="80"/>
        <v>0</v>
      </c>
      <c r="AB193" s="4">
        <f t="shared" si="81"/>
        <v>0</v>
      </c>
      <c r="AC193" s="8"/>
      <c r="AD193" s="4"/>
      <c r="AE193" s="4"/>
      <c r="AF193" s="4" t="e">
        <f t="shared" si="83"/>
        <v>#N/A</v>
      </c>
      <c r="AG193" s="4"/>
      <c r="AH193" s="4">
        <f>IFERROR(VLOOKUP(M193,Calculations!$AC$2:$AD$251,2,FALSE),0)</f>
        <v>0</v>
      </c>
      <c r="AI193" s="4" t="e">
        <f>VLOOKUP(N193,$N$2:$AS$620,MATCH('Character Creation'!$Z$12,Skills!$N$1:$AS$1,0),FALSE)</f>
        <v>#N/A</v>
      </c>
      <c r="AJ193" s="4" t="e">
        <f>VLOOKUP($N193,[2]Cultures!$B$4:$M$283,MATCH(AJ$1,[2]Cultures!$B$3:$M$3,0),FALSE)</f>
        <v>#N/A</v>
      </c>
      <c r="AK193" s="4" t="e">
        <f>VLOOKUP($N193,[2]Cultures!$B$4:$M$283,MATCH(AK$1,[2]Cultures!$B$3:$M$3,0),FALSE)</f>
        <v>#N/A</v>
      </c>
      <c r="AL193" s="4" t="e">
        <f>VLOOKUP($N193,[2]Cultures!$B$4:$M$283,MATCH(AL$1,[2]Cultures!$B$3:$M$3,0),FALSE)</f>
        <v>#N/A</v>
      </c>
      <c r="AM193" s="4" t="e">
        <f>VLOOKUP($N193,[2]Cultures!$B$4:$M$283,MATCH(AM$1,[2]Cultures!$B$3:$M$3,0),FALSE)</f>
        <v>#N/A</v>
      </c>
      <c r="AN193" s="4" t="e">
        <f>VLOOKUP($N193,[2]Cultures!$B$4:$M$283,MATCH(AN$1,[2]Cultures!$B$3:$M$3,0),FALSE)</f>
        <v>#N/A</v>
      </c>
      <c r="AO193" s="4" t="e">
        <f>VLOOKUP($N193,[2]Cultures!$B$4:$M$283,MATCH(AO$1,[2]Cultures!$B$3:$M$3,0),FALSE)</f>
        <v>#N/A</v>
      </c>
      <c r="AP193" s="4" t="e">
        <f>VLOOKUP($N193,[2]Cultures!$B$4:$M$283,MATCH(AP$1,[2]Cultures!$B$3:$M$3,0),FALSE)</f>
        <v>#N/A</v>
      </c>
      <c r="AQ193" s="4" t="e">
        <f>VLOOKUP($N193,[2]Cultures!$B$4:$M$283,MATCH(AQ$1,[2]Cultures!$B$3:$M$3,0),FALSE)</f>
        <v>#N/A</v>
      </c>
      <c r="AR193" s="4" t="e">
        <f>VLOOKUP($N193,[2]Cultures!$B$4:$M$283,MATCH(AR$1,[2]Cultures!$B$3:$M$3,0),FALSE)</f>
        <v>#N/A</v>
      </c>
      <c r="AS193" s="4" t="e">
        <f>VLOOKUP($N193,[2]Cultures!$B$4:$M$283,MATCH(AS$1,[2]Cultures!$B$3:$M$3,0),FALSE)</f>
        <v>#N/A</v>
      </c>
      <c r="AT193" s="4"/>
      <c r="AU193" s="4">
        <f>IF(ISNUMBER(SEARCH(N193&amp;";",Calculations!$Q$19)),VLOOKUP(Skills!N193,Calculations!$Q$2:$T$16,4,FALSE),0)</f>
        <v>0</v>
      </c>
      <c r="AV193" s="4">
        <f>IF(ISNUMBER(SEARCH(N193&amp;";",Calculations!$Q$18)),1,0)</f>
        <v>0</v>
      </c>
      <c r="AW193" s="4">
        <f>IF($AV$172=1,1,IF($AV$190=1,1,AV193))</f>
        <v>0</v>
      </c>
      <c r="AX193" s="4">
        <f>VLOOKUP($N193,$N193:$CH193,MATCH('Character Sheet'!$BJ$3,Skills!$N$1:$CH$1,0),FALSE)</f>
        <v>0</v>
      </c>
    </row>
    <row r="194" spans="1:50" x14ac:dyDescent="0.25">
      <c r="B194" s="4" t="e">
        <f t="shared" si="84"/>
        <v>#N/A</v>
      </c>
      <c r="E194" s="4"/>
      <c r="F194" s="4">
        <f t="shared" si="76"/>
        <v>0</v>
      </c>
      <c r="G194" s="4"/>
      <c r="H194" s="4" t="e">
        <f t="shared" si="82"/>
        <v>#N/A</v>
      </c>
      <c r="I194" s="4" t="e">
        <f>IF($J$171=1,1,IF($J$173=1,1,IF($J$195=1,1,0)))</f>
        <v>#N/A</v>
      </c>
      <c r="J194" s="4">
        <f t="shared" ref="J194:J258" si="95">IF(ISNUMBER(SEARCH("Skills",N194)),IF(AI194&gt;=1,1,0),0)</f>
        <v>0</v>
      </c>
      <c r="K194" s="4" t="e">
        <f t="shared" si="90"/>
        <v>#N/A</v>
      </c>
      <c r="N194" s="3" t="s">
        <v>655</v>
      </c>
      <c r="O194" s="6" t="s">
        <v>782</v>
      </c>
      <c r="P194" s="6" t="s">
        <v>782</v>
      </c>
      <c r="Q194" s="4" t="str">
        <f t="shared" si="87"/>
        <v>- -</v>
      </c>
      <c r="R194" s="4" t="str">
        <f>IF(ISNUMBER(SEARCH("Category",N194)),"- -",IF(ISNUMBER(SEARCH("Skills",N194)),"- -",'Level-up'!C212))</f>
        <v>- -</v>
      </c>
      <c r="S194" s="4" t="str">
        <f t="shared" ref="S194:S258" si="96">IF(ISNUMBER(SEARCH("Skills",N194)),"- -",IF(ISNUMBER(SEARCH("category",N194)),"- -",SUM(Q194:R194)))</f>
        <v>- -</v>
      </c>
      <c r="T194" s="4" t="str">
        <f t="shared" ref="T194:T258" si="97">IF(ISNUMBER(SEARCH("Skills",N194)),"- -",IF(ISNUMBER(SEARCH("category",N194)),"- -",IF(S194="",0,IF(S194=0,(IF(O194="- -",0,-25)),IF(S194&lt;11,S194*5,IF(S194&lt;21,((S194-10)*3)+50,IF(S194&lt;31,((S194-20)*2)+80,IF(S194&gt;30,(S194-30)+100))))))))</f>
        <v>- -</v>
      </c>
      <c r="U194" s="4" t="str">
        <f t="shared" ca="1" si="77"/>
        <v>- -</v>
      </c>
      <c r="V194" s="4" t="str">
        <f>IF(ISNUMBER(SEARCH("Category",N194)),"- -",IF(ISNUMBER(SEARCH("Skills",N194)),"- -",IF(AU194&gt;0,AU194,IF($AU$190&gt;0,$AU$190,$AU$172))))</f>
        <v>- -</v>
      </c>
      <c r="W194" s="4" t="str">
        <f t="shared" si="88"/>
        <v>- -</v>
      </c>
      <c r="X194" s="4" t="str">
        <f t="shared" si="85"/>
        <v>- -</v>
      </c>
      <c r="Y194" s="4" t="str">
        <f t="shared" si="78"/>
        <v>- -</v>
      </c>
      <c r="Z194" s="4" t="str">
        <f t="shared" si="79"/>
        <v>- -</v>
      </c>
      <c r="AA194" s="4" t="str">
        <f t="shared" si="80"/>
        <v>- -</v>
      </c>
      <c r="AB194" s="4" t="str">
        <f t="shared" si="81"/>
        <v>- -</v>
      </c>
      <c r="AC194" s="8"/>
      <c r="AD194" s="4"/>
      <c r="AE194" s="4"/>
      <c r="AF194" s="4" t="str">
        <f t="shared" si="83"/>
        <v>- -</v>
      </c>
      <c r="AG194" s="4"/>
      <c r="AH194" s="4">
        <f>IFERROR(VLOOKUP(M194,Calculations!$AC$2:$AD$251,2,FALSE),0)</f>
        <v>0</v>
      </c>
      <c r="AI194" s="4" t="e">
        <f>VLOOKUP(N194,$N$2:$AS$620,MATCH('Character Creation'!$Z$12,Skills!$N$1:$AS$1,0),FALSE)</f>
        <v>#N/A</v>
      </c>
      <c r="AJ194" s="4" t="e">
        <f>VLOOKUP($N194,[2]Cultures!$B$4:$M$283,MATCH(AJ$1,[2]Cultures!$B$3:$M$3,0),FALSE)</f>
        <v>#N/A</v>
      </c>
      <c r="AK194" s="4" t="e">
        <f>VLOOKUP($N194,[2]Cultures!$B$4:$M$283,MATCH(AK$1,[2]Cultures!$B$3:$M$3,0),FALSE)</f>
        <v>#N/A</v>
      </c>
      <c r="AL194" s="4" t="e">
        <f>VLOOKUP($N194,[2]Cultures!$B$4:$M$283,MATCH(AL$1,[2]Cultures!$B$3:$M$3,0),FALSE)</f>
        <v>#N/A</v>
      </c>
      <c r="AM194" s="4" t="e">
        <f>VLOOKUP($N194,[2]Cultures!$B$4:$M$283,MATCH(AM$1,[2]Cultures!$B$3:$M$3,0),FALSE)</f>
        <v>#N/A</v>
      </c>
      <c r="AN194" s="4" t="e">
        <f>VLOOKUP($N194,[2]Cultures!$B$4:$M$283,MATCH(AN$1,[2]Cultures!$B$3:$M$3,0),FALSE)</f>
        <v>#N/A</v>
      </c>
      <c r="AO194" s="4" t="e">
        <f>VLOOKUP($N194,[2]Cultures!$B$4:$M$283,MATCH(AO$1,[2]Cultures!$B$3:$M$3,0),FALSE)</f>
        <v>#N/A</v>
      </c>
      <c r="AP194" s="4" t="e">
        <f>VLOOKUP($N194,[2]Cultures!$B$4:$M$283,MATCH(AP$1,[2]Cultures!$B$3:$M$3,0),FALSE)</f>
        <v>#N/A</v>
      </c>
      <c r="AQ194" s="4" t="e">
        <f>VLOOKUP($N194,[2]Cultures!$B$4:$M$283,MATCH(AQ$1,[2]Cultures!$B$3:$M$3,0),FALSE)</f>
        <v>#N/A</v>
      </c>
      <c r="AR194" s="4" t="e">
        <f>VLOOKUP($N194,[2]Cultures!$B$4:$M$283,MATCH(AR$1,[2]Cultures!$B$3:$M$3,0),FALSE)</f>
        <v>#N/A</v>
      </c>
      <c r="AS194" s="4" t="e">
        <f>VLOOKUP($N194,[2]Cultures!$B$4:$M$283,MATCH(AS$1,[2]Cultures!$B$3:$M$3,0),FALSE)</f>
        <v>#N/A</v>
      </c>
      <c r="AT194" s="4"/>
      <c r="AU194" s="4">
        <f>IF(ISNUMBER(SEARCH(N194&amp;";",Calculations!$Q$19)),VLOOKUP(Skills!N194,Calculations!$Q$2:$T$16,4,FALSE),0)</f>
        <v>0</v>
      </c>
      <c r="AV194" s="4">
        <f>IF(ISNUMBER(SEARCH(N194&amp;";",Calculations!$Q$18)),1,0)</f>
        <v>0</v>
      </c>
      <c r="AW194" s="4"/>
      <c r="AX194" s="4">
        <f>VLOOKUP($N194,$N194:$CH194,MATCH('Character Sheet'!$BJ$3,Skills!$N$1:$CH$1,0),FALSE)</f>
        <v>0</v>
      </c>
    </row>
    <row r="195" spans="1:50" x14ac:dyDescent="0.25">
      <c r="B195" s="4" t="e">
        <f t="shared" si="84"/>
        <v>#N/A</v>
      </c>
      <c r="E195" s="4"/>
      <c r="F195" s="4">
        <f t="shared" ref="F195:F258" si="98">IF(AX195="x",F194+1,F194)</f>
        <v>0</v>
      </c>
      <c r="G195" s="4"/>
      <c r="H195" s="4" t="e">
        <f t="shared" si="82"/>
        <v>#N/A</v>
      </c>
      <c r="I195" s="4">
        <v>0</v>
      </c>
      <c r="J195" s="4" t="e">
        <f t="shared" si="95"/>
        <v>#N/A</v>
      </c>
      <c r="K195" s="4" t="e">
        <f t="shared" si="90"/>
        <v>#N/A</v>
      </c>
      <c r="N195" s="3" t="s">
        <v>656</v>
      </c>
      <c r="O195" s="6" t="s">
        <v>782</v>
      </c>
      <c r="P195" s="6" t="s">
        <v>782</v>
      </c>
      <c r="Q195" s="4" t="str">
        <f t="shared" si="87"/>
        <v>- -</v>
      </c>
      <c r="R195" s="4" t="str">
        <f>IF(ISNUMBER(SEARCH("Category",N195)),"- -",IF(ISNUMBER(SEARCH("Skills",N195)),"- -",'Level-up'!C213))</f>
        <v>- -</v>
      </c>
      <c r="S195" s="4" t="str">
        <f t="shared" si="96"/>
        <v>- -</v>
      </c>
      <c r="T195" s="4" t="str">
        <f t="shared" si="97"/>
        <v>- -</v>
      </c>
      <c r="U195" s="4" t="str">
        <f t="shared" ca="1" si="77"/>
        <v>- -</v>
      </c>
      <c r="V195" s="4" t="str">
        <f>IF(ISNUMBER(SEARCH("Category",N195)),"- -",IF(ISNUMBER(SEARCH("Skills",N195)),"- -",IF(AU195&gt;0,AU195,IF($AU$190&gt;0,$AU$190,$AU$172))))</f>
        <v>- -</v>
      </c>
      <c r="W195" s="4" t="str">
        <f t="shared" si="88"/>
        <v>- -</v>
      </c>
      <c r="X195" s="4" t="str">
        <f t="shared" si="85"/>
        <v>- -</v>
      </c>
      <c r="Y195" s="4" t="str">
        <f t="shared" ref="Y195:Y259" si="99">IF(ISNUMBER(SEARCH("Category",N195)),"- -",IF(ISNUMBER(SEARCH("Skills",N195)),"- -",0))</f>
        <v>- -</v>
      </c>
      <c r="Z195" s="4" t="str">
        <f t="shared" ref="Z195:Z259" si="100">IF(ISNUMBER(SEARCH("Category",N195)),"- -",IF(ISNUMBER(SEARCH("Skills",N195)),"- -",0))</f>
        <v>- -</v>
      </c>
      <c r="AA195" s="4" t="str">
        <f t="shared" ref="AA195:AA259" si="101">IF(ISNUMBER(SEARCH("Category",N195)),"- -",IF(ISNUMBER(SEARCH("Skills",N195)),"- -",0))</f>
        <v>- -</v>
      </c>
      <c r="AB195" s="4" t="str">
        <f t="shared" ref="AB195:AB259" si="102">IF(ISNUMBER(SEARCH("Category",N195)),"- -",IF(ISNUMBER(SEARCH("Skills",N195)),"- -",0))</f>
        <v>- -</v>
      </c>
      <c r="AC195" s="8"/>
      <c r="AD195" s="4"/>
      <c r="AE195" s="4"/>
      <c r="AF195" s="4" t="str">
        <f t="shared" si="83"/>
        <v>- -</v>
      </c>
      <c r="AG195" s="4"/>
      <c r="AH195" s="4">
        <f>IFERROR(VLOOKUP(M195,Calculations!$AC$2:$AD$251,2,FALSE),0)</f>
        <v>0</v>
      </c>
      <c r="AI195" s="4" t="e">
        <f>VLOOKUP(N195,$N$2:$AS$620,MATCH('Character Creation'!$Z$12,Skills!$N$1:$AS$1,0),FALSE)</f>
        <v>#N/A</v>
      </c>
      <c r="AJ195" s="4" t="e">
        <f>VLOOKUP($N195,[2]Cultures!$B$4:$M$283,MATCH(AJ$1,[2]Cultures!$B$3:$M$3,0),FALSE)</f>
        <v>#N/A</v>
      </c>
      <c r="AK195" s="4" t="e">
        <f>VLOOKUP($N195,[2]Cultures!$B$4:$M$283,MATCH(AK$1,[2]Cultures!$B$3:$M$3,0),FALSE)</f>
        <v>#N/A</v>
      </c>
      <c r="AL195" s="4" t="e">
        <f>VLOOKUP($N195,[2]Cultures!$B$4:$M$283,MATCH(AL$1,[2]Cultures!$B$3:$M$3,0),FALSE)</f>
        <v>#N/A</v>
      </c>
      <c r="AM195" s="4" t="e">
        <f>VLOOKUP($N195,[2]Cultures!$B$4:$M$283,MATCH(AM$1,[2]Cultures!$B$3:$M$3,0),FALSE)</f>
        <v>#N/A</v>
      </c>
      <c r="AN195" s="4" t="e">
        <f>VLOOKUP($N195,[2]Cultures!$B$4:$M$283,MATCH(AN$1,[2]Cultures!$B$3:$M$3,0),FALSE)</f>
        <v>#N/A</v>
      </c>
      <c r="AO195" s="4" t="e">
        <f>VLOOKUP($N195,[2]Cultures!$B$4:$M$283,MATCH(AO$1,[2]Cultures!$B$3:$M$3,0),FALSE)</f>
        <v>#N/A</v>
      </c>
      <c r="AP195" s="4" t="e">
        <f>VLOOKUP($N195,[2]Cultures!$B$4:$M$283,MATCH(AP$1,[2]Cultures!$B$3:$M$3,0),FALSE)</f>
        <v>#N/A</v>
      </c>
      <c r="AQ195" s="4" t="e">
        <f>VLOOKUP($N195,[2]Cultures!$B$4:$M$283,MATCH(AQ$1,[2]Cultures!$B$3:$M$3,0),FALSE)</f>
        <v>#N/A</v>
      </c>
      <c r="AR195" s="4" t="e">
        <f>VLOOKUP($N195,[2]Cultures!$B$4:$M$283,MATCH(AR$1,[2]Cultures!$B$3:$M$3,0),FALSE)</f>
        <v>#N/A</v>
      </c>
      <c r="AS195" s="4" t="e">
        <f>VLOOKUP($N195,[2]Cultures!$B$4:$M$283,MATCH(AS$1,[2]Cultures!$B$3:$M$3,0),FALSE)</f>
        <v>#N/A</v>
      </c>
      <c r="AT195" s="4"/>
      <c r="AU195" s="4">
        <f>IF(ISNUMBER(SEARCH(N195&amp;";",Calculations!$Q$19)),VLOOKUP(Skills!N195,Calculations!$Q$2:$T$16,4,FALSE),0)</f>
        <v>0</v>
      </c>
      <c r="AV195" s="4">
        <f>IF(ISNUMBER(SEARCH(N195&amp;";",Calculations!$Q$18)),1,0)</f>
        <v>0</v>
      </c>
      <c r="AW195" s="4"/>
      <c r="AX195" s="4">
        <f>VLOOKUP($N195,$N195:$CH195,MATCH('Character Sheet'!$BJ$3,Skills!$N$1:$CH$1,0),FALSE)</f>
        <v>0</v>
      </c>
    </row>
    <row r="196" spans="1:50" x14ac:dyDescent="0.25">
      <c r="B196" s="4" t="e">
        <f t="shared" si="84"/>
        <v>#N/A</v>
      </c>
      <c r="E196" s="4"/>
      <c r="F196" s="4">
        <f t="shared" si="98"/>
        <v>0</v>
      </c>
      <c r="G196" s="4"/>
      <c r="H196" s="4" t="e">
        <f t="shared" si="82"/>
        <v>#N/A</v>
      </c>
      <c r="I196" s="4" t="e">
        <f>IF($J$171=1,1,IF($J$173=1,1,IF($J$195=1,1,0)))</f>
        <v>#N/A</v>
      </c>
      <c r="J196" s="4">
        <f t="shared" si="95"/>
        <v>0</v>
      </c>
      <c r="K196" s="4" t="e">
        <f t="shared" si="90"/>
        <v>#N/A</v>
      </c>
      <c r="M196" t="str">
        <f>N196</f>
        <v>Surgical Equipment Engineering</v>
      </c>
      <c r="N196" s="3" t="str">
        <f>'Character Sheet'!AXF28</f>
        <v>Surgical Equipment Engineering</v>
      </c>
      <c r="O196" s="4" t="s">
        <v>795</v>
      </c>
      <c r="P196" s="4" t="s">
        <v>794</v>
      </c>
      <c r="Q196" s="4" t="e">
        <f t="shared" si="87"/>
        <v>#N/A</v>
      </c>
      <c r="R196" s="4">
        <f>IF(ISNUMBER(SEARCH("Category",N196)),"- -",IF(ISNUMBER(SEARCH("Skills",N196)),"- -",'Level-up'!C214))</f>
        <v>0</v>
      </c>
      <c r="S196" s="4" t="e">
        <f t="shared" si="96"/>
        <v>#N/A</v>
      </c>
      <c r="T196" s="4" t="e">
        <f t="shared" si="97"/>
        <v>#N/A</v>
      </c>
      <c r="U196" s="4">
        <f t="shared" ref="U196:U261" ca="1" si="103">IFERROR(INDIRECT(LEFT(O196,FIND("/",O196)-1))+INDIRECT(MID(O196,FIND("/",O196)+1,2))+INDIRECT(P196),"- -")</f>
        <v>5</v>
      </c>
      <c r="V196" s="4">
        <f>IF(ISNUMBER(SEARCH("Category",N196)),"- -",IF(ISNUMBER(SEARCH("Skills",N196)),"- -",IF(AU196&gt;0,AU196,IF($AU$194&gt;0,$AU$194,$AU$172))))</f>
        <v>0</v>
      </c>
      <c r="W196" s="4">
        <f t="shared" si="88"/>
        <v>0</v>
      </c>
      <c r="X196" s="4">
        <f t="shared" si="85"/>
        <v>0</v>
      </c>
      <c r="Y196" s="4">
        <f t="shared" si="99"/>
        <v>0</v>
      </c>
      <c r="Z196" s="4">
        <f t="shared" si="100"/>
        <v>0</v>
      </c>
      <c r="AA196" s="4">
        <f t="shared" si="101"/>
        <v>0</v>
      </c>
      <c r="AB196" s="4">
        <f t="shared" si="102"/>
        <v>0</v>
      </c>
      <c r="AC196" s="8"/>
      <c r="AD196" s="4"/>
      <c r="AE196" s="4"/>
      <c r="AF196" s="4" t="e">
        <f t="shared" si="83"/>
        <v>#N/A</v>
      </c>
      <c r="AG196" s="4"/>
      <c r="AH196" s="4">
        <f>IFERROR(VLOOKUP(M196,Calculations!$AC$2:$AD$251,2,FALSE),0)</f>
        <v>0</v>
      </c>
      <c r="AI196" s="4" t="e">
        <f>VLOOKUP(N196,$N$2:$AS$620,MATCH('Character Creation'!$Z$12,Skills!$N$1:$AS$1,0),FALSE)</f>
        <v>#N/A</v>
      </c>
      <c r="AJ196" s="4" t="e">
        <f>VLOOKUP($N196,[2]Cultures!$B$4:$M$283,MATCH(AJ$1,[2]Cultures!$B$3:$M$3,0),FALSE)</f>
        <v>#N/A</v>
      </c>
      <c r="AK196" s="4" t="e">
        <f>VLOOKUP($N196,[2]Cultures!$B$4:$M$283,MATCH(AK$1,[2]Cultures!$B$3:$M$3,0),FALSE)</f>
        <v>#N/A</v>
      </c>
      <c r="AL196" s="4" t="e">
        <f>VLOOKUP($N196,[2]Cultures!$B$4:$M$283,MATCH(AL$1,[2]Cultures!$B$3:$M$3,0),FALSE)</f>
        <v>#N/A</v>
      </c>
      <c r="AM196" s="4" t="e">
        <f>VLOOKUP($N196,[2]Cultures!$B$4:$M$283,MATCH(AM$1,[2]Cultures!$B$3:$M$3,0),FALSE)</f>
        <v>#N/A</v>
      </c>
      <c r="AN196" s="4" t="e">
        <f>VLOOKUP($N196,[2]Cultures!$B$4:$M$283,MATCH(AN$1,[2]Cultures!$B$3:$M$3,0),FALSE)</f>
        <v>#N/A</v>
      </c>
      <c r="AO196" s="4" t="e">
        <f>VLOOKUP($N196,[2]Cultures!$B$4:$M$283,MATCH(AO$1,[2]Cultures!$B$3:$M$3,0),FALSE)</f>
        <v>#N/A</v>
      </c>
      <c r="AP196" s="4" t="e">
        <f>VLOOKUP($N196,[2]Cultures!$B$4:$M$283,MATCH(AP$1,[2]Cultures!$B$3:$M$3,0),FALSE)</f>
        <v>#N/A</v>
      </c>
      <c r="AQ196" s="4" t="e">
        <f>VLOOKUP($N196,[2]Cultures!$B$4:$M$283,MATCH(AQ$1,[2]Cultures!$B$3:$M$3,0),FALSE)</f>
        <v>#N/A</v>
      </c>
      <c r="AR196" s="4" t="e">
        <f>VLOOKUP($N196,[2]Cultures!$B$4:$M$283,MATCH(AR$1,[2]Cultures!$B$3:$M$3,0),FALSE)</f>
        <v>#N/A</v>
      </c>
      <c r="AS196" s="4" t="e">
        <f>VLOOKUP($N196,[2]Cultures!$B$4:$M$283,MATCH(AS$1,[2]Cultures!$B$3:$M$3,0),FALSE)</f>
        <v>#N/A</v>
      </c>
      <c r="AT196" s="4"/>
      <c r="AU196" s="4">
        <f>IF(ISNUMBER(SEARCH(N196&amp;";",Calculations!$Q$19)),VLOOKUP(Skills!N196,Calculations!$Q$2:$T$16,4,FALSE),0)</f>
        <v>0</v>
      </c>
      <c r="AV196" s="4">
        <f>IF(ISNUMBER(SEARCH(N196&amp;";",Calculations!$Q$18)),1,0)</f>
        <v>0</v>
      </c>
      <c r="AW196" s="4">
        <f>IF($AV$172=1,1,IF($AV$194=1,1,AV196))</f>
        <v>0</v>
      </c>
      <c r="AX196" s="4">
        <f>VLOOKUP($N196,$N196:$CH196,MATCH('Character Sheet'!$BJ$3,Skills!$N$1:$CH$1,0),FALSE)</f>
        <v>0</v>
      </c>
    </row>
    <row r="197" spans="1:50" x14ac:dyDescent="0.25">
      <c r="B197" s="4" t="e">
        <f t="shared" si="84"/>
        <v>#N/A</v>
      </c>
      <c r="E197" s="4"/>
      <c r="F197" s="4">
        <f t="shared" si="98"/>
        <v>0</v>
      </c>
      <c r="G197" s="4"/>
      <c r="H197" s="4" t="e">
        <f t="shared" ref="H197:H262" si="104">H196+I197</f>
        <v>#N/A</v>
      </c>
      <c r="I197" s="4" t="e">
        <f>IF($J$171=1,1,IF($J$173=1,1,IF($J$198=1,1,0)))</f>
        <v>#N/A</v>
      </c>
      <c r="J197" s="4">
        <f t="shared" si="95"/>
        <v>0</v>
      </c>
      <c r="K197" s="4" t="e">
        <f t="shared" si="90"/>
        <v>#N/A</v>
      </c>
      <c r="N197" s="3" t="s">
        <v>657</v>
      </c>
      <c r="O197" s="6" t="s">
        <v>782</v>
      </c>
      <c r="P197" s="6" t="s">
        <v>782</v>
      </c>
      <c r="Q197" s="4" t="str">
        <f t="shared" si="87"/>
        <v>- -</v>
      </c>
      <c r="R197" s="4" t="str">
        <f>IF(ISNUMBER(SEARCH("Category",N197)),"- -",IF(ISNUMBER(SEARCH("Skills",N197)),"- -",'Level-up'!C215))</f>
        <v>- -</v>
      </c>
      <c r="S197" s="4" t="str">
        <f t="shared" si="96"/>
        <v>- -</v>
      </c>
      <c r="T197" s="4" t="str">
        <f t="shared" si="97"/>
        <v>- -</v>
      </c>
      <c r="U197" s="4" t="str">
        <f t="shared" ca="1" si="103"/>
        <v>- -</v>
      </c>
      <c r="V197" s="4" t="str">
        <f>IF(ISNUMBER(SEARCH("Category",N197)),"- -",IF(ISNUMBER(SEARCH("Skills",N197)),"- -",IF(AU197&gt;0,AU197,IF($AU$194&gt;0,$AU$194,$AU$172))))</f>
        <v>- -</v>
      </c>
      <c r="W197" s="4" t="str">
        <f t="shared" si="88"/>
        <v>- -</v>
      </c>
      <c r="X197" s="4" t="str">
        <f t="shared" si="85"/>
        <v>- -</v>
      </c>
      <c r="Y197" s="4" t="str">
        <f t="shared" si="99"/>
        <v>- -</v>
      </c>
      <c r="Z197" s="4" t="str">
        <f t="shared" si="100"/>
        <v>- -</v>
      </c>
      <c r="AA197" s="4" t="str">
        <f t="shared" si="101"/>
        <v>- -</v>
      </c>
      <c r="AB197" s="4" t="str">
        <f t="shared" si="102"/>
        <v>- -</v>
      </c>
      <c r="AC197" s="8"/>
      <c r="AD197" s="4"/>
      <c r="AE197" s="4"/>
      <c r="AF197" s="4" t="str">
        <f t="shared" si="83"/>
        <v>- -</v>
      </c>
      <c r="AG197" s="4"/>
      <c r="AH197" s="4">
        <f>IFERROR(VLOOKUP(M197,Calculations!$AC$2:$AD$251,2,FALSE),0)</f>
        <v>0</v>
      </c>
      <c r="AI197" s="4" t="e">
        <f>VLOOKUP(N197,$N$2:$AS$620,MATCH('Character Creation'!$Z$12,Skills!$N$1:$AS$1,0),FALSE)</f>
        <v>#N/A</v>
      </c>
      <c r="AJ197" s="4" t="e">
        <f>VLOOKUP($N197,[2]Cultures!$B$4:$M$283,MATCH(AJ$1,[2]Cultures!$B$3:$M$3,0),FALSE)</f>
        <v>#N/A</v>
      </c>
      <c r="AK197" s="4" t="e">
        <f>VLOOKUP($N197,[2]Cultures!$B$4:$M$283,MATCH(AK$1,[2]Cultures!$B$3:$M$3,0),FALSE)</f>
        <v>#N/A</v>
      </c>
      <c r="AL197" s="4" t="e">
        <f>VLOOKUP($N197,[2]Cultures!$B$4:$M$283,MATCH(AL$1,[2]Cultures!$B$3:$M$3,0),FALSE)</f>
        <v>#N/A</v>
      </c>
      <c r="AM197" s="4" t="e">
        <f>VLOOKUP($N197,[2]Cultures!$B$4:$M$283,MATCH(AM$1,[2]Cultures!$B$3:$M$3,0),FALSE)</f>
        <v>#N/A</v>
      </c>
      <c r="AN197" s="4" t="e">
        <f>VLOOKUP($N197,[2]Cultures!$B$4:$M$283,MATCH(AN$1,[2]Cultures!$B$3:$M$3,0),FALSE)</f>
        <v>#N/A</v>
      </c>
      <c r="AO197" s="4" t="e">
        <f>VLOOKUP($N197,[2]Cultures!$B$4:$M$283,MATCH(AO$1,[2]Cultures!$B$3:$M$3,0),FALSE)</f>
        <v>#N/A</v>
      </c>
      <c r="AP197" s="4" t="e">
        <f>VLOOKUP($N197,[2]Cultures!$B$4:$M$283,MATCH(AP$1,[2]Cultures!$B$3:$M$3,0),FALSE)</f>
        <v>#N/A</v>
      </c>
      <c r="AQ197" s="4" t="e">
        <f>VLOOKUP($N197,[2]Cultures!$B$4:$M$283,MATCH(AQ$1,[2]Cultures!$B$3:$M$3,0),FALSE)</f>
        <v>#N/A</v>
      </c>
      <c r="AR197" s="4" t="e">
        <f>VLOOKUP($N197,[2]Cultures!$B$4:$M$283,MATCH(AR$1,[2]Cultures!$B$3:$M$3,0),FALSE)</f>
        <v>#N/A</v>
      </c>
      <c r="AS197" s="4" t="e">
        <f>VLOOKUP($N197,[2]Cultures!$B$4:$M$283,MATCH(AS$1,[2]Cultures!$B$3:$M$3,0),FALSE)</f>
        <v>#N/A</v>
      </c>
      <c r="AT197" s="4"/>
      <c r="AU197" s="4">
        <f>IF(ISNUMBER(SEARCH(N197&amp;";",Calculations!$Q$19)),VLOOKUP(Skills!N197,Calculations!$Q$2:$T$16,4,FALSE),0)</f>
        <v>0</v>
      </c>
      <c r="AV197" s="4">
        <f>IF(ISNUMBER(SEARCH(N197&amp;";",Calculations!$Q$18)),1,0)</f>
        <v>0</v>
      </c>
      <c r="AW197" s="4"/>
      <c r="AX197" s="4">
        <f>VLOOKUP($N197,$N197:$CH197,MATCH('Character Sheet'!$BJ$3,Skills!$N$1:$CH$1,0),FALSE)</f>
        <v>0</v>
      </c>
    </row>
    <row r="198" spans="1:50" x14ac:dyDescent="0.25">
      <c r="B198" s="4" t="e">
        <f t="shared" si="84"/>
        <v>#N/A</v>
      </c>
      <c r="E198" s="4"/>
      <c r="F198" s="4">
        <f t="shared" si="98"/>
        <v>0</v>
      </c>
      <c r="G198" s="4"/>
      <c r="H198" s="4" t="e">
        <f t="shared" si="104"/>
        <v>#N/A</v>
      </c>
      <c r="I198" s="4">
        <v>0</v>
      </c>
      <c r="J198" s="4" t="e">
        <f t="shared" si="95"/>
        <v>#N/A</v>
      </c>
      <c r="K198" s="4" t="e">
        <f t="shared" si="90"/>
        <v>#N/A</v>
      </c>
      <c r="N198" s="3" t="s">
        <v>658</v>
      </c>
      <c r="O198" s="6" t="s">
        <v>782</v>
      </c>
      <c r="P198" s="6" t="s">
        <v>782</v>
      </c>
      <c r="Q198" s="4" t="str">
        <f t="shared" si="87"/>
        <v>- -</v>
      </c>
      <c r="R198" s="4" t="str">
        <f>IF(ISNUMBER(SEARCH("Category",N198)),"- -",IF(ISNUMBER(SEARCH("Skills",N198)),"- -",'Level-up'!C216))</f>
        <v>- -</v>
      </c>
      <c r="S198" s="4" t="str">
        <f t="shared" si="96"/>
        <v>- -</v>
      </c>
      <c r="T198" s="4" t="str">
        <f t="shared" si="97"/>
        <v>- -</v>
      </c>
      <c r="U198" s="4" t="str">
        <f t="shared" ca="1" si="103"/>
        <v>- -</v>
      </c>
      <c r="V198" s="4" t="str">
        <f>IF(ISNUMBER(SEARCH("Category",N198)),"- -",IF(ISNUMBER(SEARCH("Skills",N198)),"- -",IF(AU198&gt;0,AU198,IF($AU$194&gt;0,$AU$194,$AU$172))))</f>
        <v>- -</v>
      </c>
      <c r="W198" s="4" t="str">
        <f t="shared" si="88"/>
        <v>- -</v>
      </c>
      <c r="X198" s="4" t="str">
        <f t="shared" si="85"/>
        <v>- -</v>
      </c>
      <c r="Y198" s="4" t="str">
        <f t="shared" si="99"/>
        <v>- -</v>
      </c>
      <c r="Z198" s="4" t="str">
        <f t="shared" si="100"/>
        <v>- -</v>
      </c>
      <c r="AA198" s="4" t="str">
        <f t="shared" si="101"/>
        <v>- -</v>
      </c>
      <c r="AB198" s="4" t="str">
        <f t="shared" si="102"/>
        <v>- -</v>
      </c>
      <c r="AC198" s="8"/>
      <c r="AD198" s="4"/>
      <c r="AE198" s="4"/>
      <c r="AF198" s="4" t="str">
        <f t="shared" si="83"/>
        <v>- -</v>
      </c>
      <c r="AG198" s="4"/>
      <c r="AH198" s="4">
        <f>IFERROR(VLOOKUP(M198,Calculations!$AC$2:$AD$251,2,FALSE),0)</f>
        <v>0</v>
      </c>
      <c r="AI198" s="4" t="e">
        <f>VLOOKUP(N198,$N$2:$AS$620,MATCH('Character Creation'!$Z$12,Skills!$N$1:$AS$1,0),FALSE)</f>
        <v>#N/A</v>
      </c>
      <c r="AJ198" s="4" t="e">
        <f>VLOOKUP($N198,[2]Cultures!$B$4:$M$283,MATCH(AJ$1,[2]Cultures!$B$3:$M$3,0),FALSE)</f>
        <v>#N/A</v>
      </c>
      <c r="AK198" s="4" t="e">
        <f>VLOOKUP($N198,[2]Cultures!$B$4:$M$283,MATCH(AK$1,[2]Cultures!$B$3:$M$3,0),FALSE)</f>
        <v>#N/A</v>
      </c>
      <c r="AL198" s="4" t="e">
        <f>VLOOKUP($N198,[2]Cultures!$B$4:$M$283,MATCH(AL$1,[2]Cultures!$B$3:$M$3,0),FALSE)</f>
        <v>#N/A</v>
      </c>
      <c r="AM198" s="4" t="e">
        <f>VLOOKUP($N198,[2]Cultures!$B$4:$M$283,MATCH(AM$1,[2]Cultures!$B$3:$M$3,0),FALSE)</f>
        <v>#N/A</v>
      </c>
      <c r="AN198" s="4" t="e">
        <f>VLOOKUP($N198,[2]Cultures!$B$4:$M$283,MATCH(AN$1,[2]Cultures!$B$3:$M$3,0),FALSE)</f>
        <v>#N/A</v>
      </c>
      <c r="AO198" s="4" t="e">
        <f>VLOOKUP($N198,[2]Cultures!$B$4:$M$283,MATCH(AO$1,[2]Cultures!$B$3:$M$3,0),FALSE)</f>
        <v>#N/A</v>
      </c>
      <c r="AP198" s="4" t="e">
        <f>VLOOKUP($N198,[2]Cultures!$B$4:$M$283,MATCH(AP$1,[2]Cultures!$B$3:$M$3,0),FALSE)</f>
        <v>#N/A</v>
      </c>
      <c r="AQ198" s="4" t="e">
        <f>VLOOKUP($N198,[2]Cultures!$B$4:$M$283,MATCH(AQ$1,[2]Cultures!$B$3:$M$3,0),FALSE)</f>
        <v>#N/A</v>
      </c>
      <c r="AR198" s="4" t="e">
        <f>VLOOKUP($N198,[2]Cultures!$B$4:$M$283,MATCH(AR$1,[2]Cultures!$B$3:$M$3,0),FALSE)</f>
        <v>#N/A</v>
      </c>
      <c r="AS198" s="4" t="e">
        <f>VLOOKUP($N198,[2]Cultures!$B$4:$M$283,MATCH(AS$1,[2]Cultures!$B$3:$M$3,0),FALSE)</f>
        <v>#N/A</v>
      </c>
      <c r="AT198" s="4"/>
      <c r="AU198" s="4">
        <f>IF(ISNUMBER(SEARCH(N198&amp;";",Calculations!$Q$19)),VLOOKUP(Skills!N198,Calculations!$Q$2:$T$16,4,FALSE),0)</f>
        <v>0</v>
      </c>
      <c r="AV198" s="4">
        <f>IF(ISNUMBER(SEARCH(N198&amp;";",Calculations!$Q$18)),1,0)</f>
        <v>0</v>
      </c>
      <c r="AW198" s="4"/>
      <c r="AX198" s="4">
        <f>VLOOKUP($N198,$N198:$CH198,MATCH('Character Sheet'!$BJ$3,Skills!$N$1:$CH$1,0),FALSE)</f>
        <v>0</v>
      </c>
    </row>
    <row r="199" spans="1:50" x14ac:dyDescent="0.25">
      <c r="B199" s="4" t="e">
        <f t="shared" si="84"/>
        <v>#N/A</v>
      </c>
      <c r="E199" s="4"/>
      <c r="F199" s="4">
        <f t="shared" si="98"/>
        <v>0</v>
      </c>
      <c r="G199" s="4"/>
      <c r="H199" s="4" t="e">
        <f t="shared" si="104"/>
        <v>#N/A</v>
      </c>
      <c r="I199" s="4" t="e">
        <f>IF($J$171=1,1,IF($J$173=1,1,IF($J$198=1,1,0)))</f>
        <v>#N/A</v>
      </c>
      <c r="J199" s="4">
        <f t="shared" si="95"/>
        <v>0</v>
      </c>
      <c r="K199" s="4" t="e">
        <f t="shared" si="90"/>
        <v>#N/A</v>
      </c>
      <c r="M199" t="str">
        <f>N199</f>
        <v>Explosive Engineering</v>
      </c>
      <c r="N199" s="3" t="str">
        <f>'Character Sheet'!AXF32</f>
        <v>Explosive Engineering</v>
      </c>
      <c r="O199" s="4" t="s">
        <v>795</v>
      </c>
      <c r="P199" s="4" t="s">
        <v>794</v>
      </c>
      <c r="Q199" s="4" t="e">
        <f t="shared" si="87"/>
        <v>#N/A</v>
      </c>
      <c r="R199" s="4">
        <f>IF(ISNUMBER(SEARCH("Category",N199)),"- -",IF(ISNUMBER(SEARCH("Skills",N199)),"- -",'Level-up'!C217))</f>
        <v>0</v>
      </c>
      <c r="S199" s="4" t="e">
        <f t="shared" si="96"/>
        <v>#N/A</v>
      </c>
      <c r="T199" s="4" t="e">
        <f t="shared" si="97"/>
        <v>#N/A</v>
      </c>
      <c r="U199" s="4">
        <f t="shared" ca="1" si="103"/>
        <v>5</v>
      </c>
      <c r="V199" s="4">
        <f t="shared" ref="V199:V205" si="105">IF(ISNUMBER(SEARCH("Category",N199)),"- -",IF(ISNUMBER(SEARCH("Skills",N199)),"- -",IF(AU199&gt;0,AU199,IF($AU$197&gt;0,$AU$197,$AU$172))))</f>
        <v>0</v>
      </c>
      <c r="W199" s="4">
        <f t="shared" si="88"/>
        <v>0</v>
      </c>
      <c r="X199" s="4">
        <f t="shared" si="85"/>
        <v>0</v>
      </c>
      <c r="Y199" s="4">
        <f t="shared" si="99"/>
        <v>0</v>
      </c>
      <c r="Z199" s="4">
        <f t="shared" si="100"/>
        <v>0</v>
      </c>
      <c r="AA199" s="4">
        <f t="shared" si="101"/>
        <v>0</v>
      </c>
      <c r="AB199" s="4">
        <f t="shared" si="102"/>
        <v>0</v>
      </c>
      <c r="AC199" s="8"/>
      <c r="AD199" s="4"/>
      <c r="AE199" s="4"/>
      <c r="AF199" s="4" t="e">
        <f t="shared" si="83"/>
        <v>#N/A</v>
      </c>
      <c r="AG199" s="4"/>
      <c r="AH199" s="4">
        <f>IFERROR(VLOOKUP(M199,Calculations!$AC$2:$AD$251,2,FALSE),0)</f>
        <v>0</v>
      </c>
      <c r="AI199" s="4" t="e">
        <f>VLOOKUP(N199,$N$2:$AS$620,MATCH('Character Creation'!$Z$12,Skills!$N$1:$AS$1,0),FALSE)</f>
        <v>#N/A</v>
      </c>
      <c r="AJ199" s="4" t="e">
        <f>VLOOKUP($N199,[2]Cultures!$B$4:$M$283,MATCH(AJ$1,[2]Cultures!$B$3:$M$3,0),FALSE)</f>
        <v>#N/A</v>
      </c>
      <c r="AK199" s="4" t="e">
        <f>VLOOKUP($N199,[2]Cultures!$B$4:$M$283,MATCH(AK$1,[2]Cultures!$B$3:$M$3,0),FALSE)</f>
        <v>#N/A</v>
      </c>
      <c r="AL199" s="4" t="e">
        <f>VLOOKUP($N199,[2]Cultures!$B$4:$M$283,MATCH(AL$1,[2]Cultures!$B$3:$M$3,0),FALSE)</f>
        <v>#N/A</v>
      </c>
      <c r="AM199" s="4" t="e">
        <f>VLOOKUP($N199,[2]Cultures!$B$4:$M$283,MATCH(AM$1,[2]Cultures!$B$3:$M$3,0),FALSE)</f>
        <v>#N/A</v>
      </c>
      <c r="AN199" s="4" t="e">
        <f>VLOOKUP($N199,[2]Cultures!$B$4:$M$283,MATCH(AN$1,[2]Cultures!$B$3:$M$3,0),FALSE)</f>
        <v>#N/A</v>
      </c>
      <c r="AO199" s="4" t="e">
        <f>VLOOKUP($N199,[2]Cultures!$B$4:$M$283,MATCH(AO$1,[2]Cultures!$B$3:$M$3,0),FALSE)</f>
        <v>#N/A</v>
      </c>
      <c r="AP199" s="4" t="e">
        <f>VLOOKUP($N199,[2]Cultures!$B$4:$M$283,MATCH(AP$1,[2]Cultures!$B$3:$M$3,0),FALSE)</f>
        <v>#N/A</v>
      </c>
      <c r="AQ199" s="4" t="e">
        <f>VLOOKUP($N199,[2]Cultures!$B$4:$M$283,MATCH(AQ$1,[2]Cultures!$B$3:$M$3,0),FALSE)</f>
        <v>#N/A</v>
      </c>
      <c r="AR199" s="4" t="e">
        <f>VLOOKUP($N199,[2]Cultures!$B$4:$M$283,MATCH(AR$1,[2]Cultures!$B$3:$M$3,0),FALSE)</f>
        <v>#N/A</v>
      </c>
      <c r="AS199" s="4" t="e">
        <f>VLOOKUP($N199,[2]Cultures!$B$4:$M$283,MATCH(AS$1,[2]Cultures!$B$3:$M$3,0),FALSE)</f>
        <v>#N/A</v>
      </c>
      <c r="AT199" s="4"/>
      <c r="AU199" s="4">
        <f>IF(ISNUMBER(SEARCH(N199&amp;";",Calculations!$Q$19)),VLOOKUP(Skills!N199,Calculations!$Q$2:$T$16,4,FALSE),0)</f>
        <v>0</v>
      </c>
      <c r="AV199" s="4">
        <f>IF(ISNUMBER(SEARCH(N199&amp;";",Calculations!$Q$18)),1,0)</f>
        <v>0</v>
      </c>
      <c r="AW199" s="4">
        <f>IF($AV$172=1,1,IF($AV$197=1,1,AV199))</f>
        <v>0</v>
      </c>
      <c r="AX199" s="4">
        <f>VLOOKUP($N199,$N199:$CH199,MATCH('Character Sheet'!$BJ$3,Skills!$N$1:$CH$1,0),FALSE)</f>
        <v>0</v>
      </c>
    </row>
    <row r="200" spans="1:50" x14ac:dyDescent="0.25">
      <c r="B200" s="4" t="e">
        <f t="shared" si="84"/>
        <v>#N/A</v>
      </c>
      <c r="E200" s="4"/>
      <c r="F200" s="4">
        <f t="shared" si="98"/>
        <v>0</v>
      </c>
      <c r="G200" s="4"/>
      <c r="H200" s="4" t="e">
        <f t="shared" si="104"/>
        <v>#N/A</v>
      </c>
      <c r="I200" s="4" t="e">
        <f>IF($J$171=1,1,IF($J$173=1,1,IF($J$198=1,1,0)))</f>
        <v>#N/A</v>
      </c>
      <c r="J200" s="4">
        <f t="shared" si="95"/>
        <v>0</v>
      </c>
      <c r="K200" s="4" t="e">
        <f t="shared" si="90"/>
        <v>#N/A</v>
      </c>
      <c r="M200" t="str">
        <f>N200</f>
        <v>Mounted Projectile Engineering</v>
      </c>
      <c r="N200" s="3" t="str">
        <f>'Character Sheet'!AXF33</f>
        <v>Mounted Projectile Engineering</v>
      </c>
      <c r="O200" s="4" t="s">
        <v>795</v>
      </c>
      <c r="P200" s="4" t="s">
        <v>794</v>
      </c>
      <c r="Q200" s="4" t="e">
        <f t="shared" si="87"/>
        <v>#N/A</v>
      </c>
      <c r="R200" s="4">
        <f>IF(ISNUMBER(SEARCH("Category",N200)),"- -",IF(ISNUMBER(SEARCH("Skills",N200)),"- -",'Level-up'!C218))</f>
        <v>0</v>
      </c>
      <c r="S200" s="4" t="e">
        <f t="shared" si="96"/>
        <v>#N/A</v>
      </c>
      <c r="T200" s="4" t="e">
        <f t="shared" si="97"/>
        <v>#N/A</v>
      </c>
      <c r="U200" s="4">
        <f t="shared" ca="1" si="103"/>
        <v>5</v>
      </c>
      <c r="V200" s="4">
        <f t="shared" si="105"/>
        <v>0</v>
      </c>
      <c r="W200" s="4">
        <f t="shared" si="88"/>
        <v>0</v>
      </c>
      <c r="X200" s="4">
        <f t="shared" si="85"/>
        <v>0</v>
      </c>
      <c r="Y200" s="4">
        <f t="shared" si="99"/>
        <v>0</v>
      </c>
      <c r="Z200" s="4">
        <f t="shared" si="100"/>
        <v>0</v>
      </c>
      <c r="AA200" s="4">
        <f t="shared" si="101"/>
        <v>0</v>
      </c>
      <c r="AB200" s="4">
        <f t="shared" si="102"/>
        <v>0</v>
      </c>
      <c r="AC200" s="8"/>
      <c r="AD200" s="4"/>
      <c r="AE200" s="4"/>
      <c r="AF200" s="4" t="e">
        <f t="shared" si="83"/>
        <v>#N/A</v>
      </c>
      <c r="AG200" s="4"/>
      <c r="AH200" s="4">
        <f>IFERROR(VLOOKUP(M200,Calculations!$AC$2:$AD$251,2,FALSE),0)</f>
        <v>0</v>
      </c>
      <c r="AI200" s="4" t="e">
        <f>VLOOKUP(N200,$N$2:$AS$620,MATCH('Character Creation'!$Z$12,Skills!$N$1:$AS$1,0),FALSE)</f>
        <v>#N/A</v>
      </c>
      <c r="AJ200" s="4" t="e">
        <f>VLOOKUP($N200,[2]Cultures!$B$4:$M$283,MATCH(AJ$1,[2]Cultures!$B$3:$M$3,0),FALSE)</f>
        <v>#N/A</v>
      </c>
      <c r="AK200" s="4" t="e">
        <f>VLOOKUP($N200,[2]Cultures!$B$4:$M$283,MATCH(AK$1,[2]Cultures!$B$3:$M$3,0),FALSE)</f>
        <v>#N/A</v>
      </c>
      <c r="AL200" s="4" t="e">
        <f>VLOOKUP($N200,[2]Cultures!$B$4:$M$283,MATCH(AL$1,[2]Cultures!$B$3:$M$3,0),FALSE)</f>
        <v>#N/A</v>
      </c>
      <c r="AM200" s="4" t="e">
        <f>VLOOKUP($N200,[2]Cultures!$B$4:$M$283,MATCH(AM$1,[2]Cultures!$B$3:$M$3,0),FALSE)</f>
        <v>#N/A</v>
      </c>
      <c r="AN200" s="4" t="e">
        <f>VLOOKUP($N200,[2]Cultures!$B$4:$M$283,MATCH(AN$1,[2]Cultures!$B$3:$M$3,0),FALSE)</f>
        <v>#N/A</v>
      </c>
      <c r="AO200" s="4" t="e">
        <f>VLOOKUP($N200,[2]Cultures!$B$4:$M$283,MATCH(AO$1,[2]Cultures!$B$3:$M$3,0),FALSE)</f>
        <v>#N/A</v>
      </c>
      <c r="AP200" s="4" t="e">
        <f>VLOOKUP($N200,[2]Cultures!$B$4:$M$283,MATCH(AP$1,[2]Cultures!$B$3:$M$3,0),FALSE)</f>
        <v>#N/A</v>
      </c>
      <c r="AQ200" s="4" t="e">
        <f>VLOOKUP($N200,[2]Cultures!$B$4:$M$283,MATCH(AQ$1,[2]Cultures!$B$3:$M$3,0),FALSE)</f>
        <v>#N/A</v>
      </c>
      <c r="AR200" s="4" t="e">
        <f>VLOOKUP($N200,[2]Cultures!$B$4:$M$283,MATCH(AR$1,[2]Cultures!$B$3:$M$3,0),FALSE)</f>
        <v>#N/A</v>
      </c>
      <c r="AS200" s="4" t="e">
        <f>VLOOKUP($N200,[2]Cultures!$B$4:$M$283,MATCH(AS$1,[2]Cultures!$B$3:$M$3,0),FALSE)</f>
        <v>#N/A</v>
      </c>
      <c r="AT200" s="4"/>
      <c r="AU200" s="4">
        <f>IF(ISNUMBER(SEARCH(N200&amp;";",Calculations!$Q$19)),VLOOKUP(Skills!N200,Calculations!$Q$2:$T$16,4,FALSE),0)</f>
        <v>0</v>
      </c>
      <c r="AV200" s="4">
        <f>IF(ISNUMBER(SEARCH(N200&amp;";",Calculations!$Q$18)),1,0)</f>
        <v>0</v>
      </c>
      <c r="AW200" s="4">
        <f>IF($AV$172=1,1,IF($AV$197=1,1,AV200))</f>
        <v>0</v>
      </c>
      <c r="AX200" s="4">
        <f>VLOOKUP($N200,$N200:$CH200,MATCH('Character Sheet'!$BJ$3,Skills!$N$1:$CH$1,0),FALSE)</f>
        <v>0</v>
      </c>
    </row>
    <row r="201" spans="1:50" x14ac:dyDescent="0.25">
      <c r="B201" s="4" t="e">
        <f t="shared" si="84"/>
        <v>#N/A</v>
      </c>
      <c r="E201" s="4"/>
      <c r="F201" s="4">
        <f t="shared" si="98"/>
        <v>0</v>
      </c>
      <c r="G201" s="4"/>
      <c r="H201" s="4" t="e">
        <f t="shared" si="104"/>
        <v>#N/A</v>
      </c>
      <c r="I201" s="4" t="e">
        <f>IF($J$171=1,1,IF($J$173=1,1,IF($J$198=1,1,0)))</f>
        <v>#N/A</v>
      </c>
      <c r="J201" s="4">
        <f t="shared" si="95"/>
        <v>0</v>
      </c>
      <c r="K201" s="4" t="e">
        <f t="shared" si="90"/>
        <v>#N/A</v>
      </c>
      <c r="M201" t="str">
        <f>N201</f>
        <v>Projectile Weapon Engineering</v>
      </c>
      <c r="N201" s="3" t="str">
        <f>'Character Sheet'!AXF34</f>
        <v>Projectile Weapon Engineering</v>
      </c>
      <c r="O201" s="4" t="s">
        <v>795</v>
      </c>
      <c r="P201" s="4" t="s">
        <v>794</v>
      </c>
      <c r="Q201" s="4" t="e">
        <f t="shared" si="87"/>
        <v>#N/A</v>
      </c>
      <c r="R201" s="4">
        <f>IF(ISNUMBER(SEARCH("Category",N201)),"- -",IF(ISNUMBER(SEARCH("Skills",N201)),"- -",'Level-up'!C219))</f>
        <v>0</v>
      </c>
      <c r="S201" s="4" t="e">
        <f t="shared" si="96"/>
        <v>#N/A</v>
      </c>
      <c r="T201" s="4" t="e">
        <f t="shared" si="97"/>
        <v>#N/A</v>
      </c>
      <c r="U201" s="4">
        <f t="shared" ca="1" si="103"/>
        <v>5</v>
      </c>
      <c r="V201" s="4">
        <f t="shared" si="105"/>
        <v>0</v>
      </c>
      <c r="W201" s="4">
        <f t="shared" si="88"/>
        <v>0</v>
      </c>
      <c r="X201" s="4">
        <f t="shared" si="85"/>
        <v>0</v>
      </c>
      <c r="Y201" s="4">
        <f t="shared" si="99"/>
        <v>0</v>
      </c>
      <c r="Z201" s="4">
        <f t="shared" si="100"/>
        <v>0</v>
      </c>
      <c r="AA201" s="4">
        <f t="shared" si="101"/>
        <v>0</v>
      </c>
      <c r="AB201" s="4">
        <f t="shared" si="102"/>
        <v>0</v>
      </c>
      <c r="AC201" s="8"/>
      <c r="AD201" s="4"/>
      <c r="AE201" s="4"/>
      <c r="AF201" s="4" t="e">
        <f t="shared" ref="AF201:AF265" si="106">IF(ISNUMBER(SEARCH("Skills",N201)),"- -",IF(ISNUMBER(SEARCH("category",N201)),"- -",SUM(T201:Y201)+SUM(AA201:AE201)&amp;IF(AA201=Z201,"","/"&amp;SUM(T201:AE201))))</f>
        <v>#N/A</v>
      </c>
      <c r="AG201" s="4"/>
      <c r="AH201" s="4">
        <f>IFERROR(VLOOKUP(M201,Calculations!$AC$2:$AD$251,2,FALSE),0)</f>
        <v>0</v>
      </c>
      <c r="AI201" s="4" t="e">
        <f>VLOOKUP(N201,$N$2:$AS$620,MATCH('Character Creation'!$Z$12,Skills!$N$1:$AS$1,0),FALSE)</f>
        <v>#N/A</v>
      </c>
      <c r="AJ201" s="4" t="e">
        <f>VLOOKUP($N201,[2]Cultures!$B$4:$M$283,MATCH(AJ$1,[2]Cultures!$B$3:$M$3,0),FALSE)</f>
        <v>#N/A</v>
      </c>
      <c r="AK201" s="4" t="e">
        <f>VLOOKUP($N201,[2]Cultures!$B$4:$M$283,MATCH(AK$1,[2]Cultures!$B$3:$M$3,0),FALSE)</f>
        <v>#N/A</v>
      </c>
      <c r="AL201" s="4" t="e">
        <f>VLOOKUP($N201,[2]Cultures!$B$4:$M$283,MATCH(AL$1,[2]Cultures!$B$3:$M$3,0),FALSE)</f>
        <v>#N/A</v>
      </c>
      <c r="AM201" s="4" t="e">
        <f>VLOOKUP($N201,[2]Cultures!$B$4:$M$283,MATCH(AM$1,[2]Cultures!$B$3:$M$3,0),FALSE)</f>
        <v>#N/A</v>
      </c>
      <c r="AN201" s="4" t="e">
        <f>VLOOKUP($N201,[2]Cultures!$B$4:$M$283,MATCH(AN$1,[2]Cultures!$B$3:$M$3,0),FALSE)</f>
        <v>#N/A</v>
      </c>
      <c r="AO201" s="4" t="e">
        <f>VLOOKUP($N201,[2]Cultures!$B$4:$M$283,MATCH(AO$1,[2]Cultures!$B$3:$M$3,0),FALSE)</f>
        <v>#N/A</v>
      </c>
      <c r="AP201" s="4" t="e">
        <f>VLOOKUP($N201,[2]Cultures!$B$4:$M$283,MATCH(AP$1,[2]Cultures!$B$3:$M$3,0),FALSE)</f>
        <v>#N/A</v>
      </c>
      <c r="AQ201" s="4" t="e">
        <f>VLOOKUP($N201,[2]Cultures!$B$4:$M$283,MATCH(AQ$1,[2]Cultures!$B$3:$M$3,0),FALSE)</f>
        <v>#N/A</v>
      </c>
      <c r="AR201" s="4" t="e">
        <f>VLOOKUP($N201,[2]Cultures!$B$4:$M$283,MATCH(AR$1,[2]Cultures!$B$3:$M$3,0),FALSE)</f>
        <v>#N/A</v>
      </c>
      <c r="AS201" s="4" t="e">
        <f>VLOOKUP($N201,[2]Cultures!$B$4:$M$283,MATCH(AS$1,[2]Cultures!$B$3:$M$3,0),FALSE)</f>
        <v>#N/A</v>
      </c>
      <c r="AT201" s="4"/>
      <c r="AU201" s="4">
        <f>IF(ISNUMBER(SEARCH(N201&amp;";",Calculations!$Q$19)),VLOOKUP(Skills!N201,Calculations!$Q$2:$T$16,4,FALSE),0)</f>
        <v>0</v>
      </c>
      <c r="AV201" s="4">
        <f>IF(ISNUMBER(SEARCH(N201&amp;";",Calculations!$Q$18)),1,0)</f>
        <v>0</v>
      </c>
      <c r="AW201" s="4">
        <f>IF($AV$172=1,1,IF($AV$197=1,1,AV201))</f>
        <v>0</v>
      </c>
      <c r="AX201" s="4">
        <f>VLOOKUP($N201,$N201:$CH201,MATCH('Character Sheet'!$BJ$3,Skills!$N$1:$CH$1,0),FALSE)</f>
        <v>0</v>
      </c>
    </row>
    <row r="202" spans="1:50" x14ac:dyDescent="0.25">
      <c r="B202" s="4" t="e">
        <f t="shared" si="84"/>
        <v>#N/A</v>
      </c>
      <c r="E202" s="4"/>
      <c r="F202" s="4">
        <f t="shared" si="98"/>
        <v>0</v>
      </c>
      <c r="G202" s="4"/>
      <c r="H202" s="4" t="e">
        <f t="shared" si="104"/>
        <v>#N/A</v>
      </c>
      <c r="I202" s="4" t="e">
        <f>IF($J$203=1,1,IF($J$205=1,1,IF($J$208=1,1,IF($J$214=1,1,IF($J$219=1,1,0)))))</f>
        <v>#N/A</v>
      </c>
      <c r="J202" s="4">
        <f t="shared" si="95"/>
        <v>0</v>
      </c>
      <c r="K202" s="4" t="e">
        <f t="shared" si="90"/>
        <v>#N/A</v>
      </c>
      <c r="N202" s="3" t="s">
        <v>659</v>
      </c>
      <c r="O202" s="6" t="s">
        <v>782</v>
      </c>
      <c r="P202" s="6" t="s">
        <v>782</v>
      </c>
      <c r="Q202" s="4" t="str">
        <f t="shared" si="87"/>
        <v>- -</v>
      </c>
      <c r="R202" s="4" t="str">
        <f>IF(ISNUMBER(SEARCH("Category",N202)),"- -",IF(ISNUMBER(SEARCH("Skills",N202)),"- -",'Level-up'!C220))</f>
        <v>- -</v>
      </c>
      <c r="S202" s="4" t="str">
        <f t="shared" si="96"/>
        <v>- -</v>
      </c>
      <c r="T202" s="4" t="str">
        <f t="shared" si="97"/>
        <v>- -</v>
      </c>
      <c r="U202" s="4" t="str">
        <f t="shared" ca="1" si="103"/>
        <v>- -</v>
      </c>
      <c r="V202" s="4" t="str">
        <f t="shared" si="105"/>
        <v>- -</v>
      </c>
      <c r="W202" s="4" t="str">
        <f t="shared" si="88"/>
        <v>- -</v>
      </c>
      <c r="X202" s="4" t="str">
        <f t="shared" si="85"/>
        <v>- -</v>
      </c>
      <c r="Y202" s="4" t="str">
        <f t="shared" si="99"/>
        <v>- -</v>
      </c>
      <c r="Z202" s="4" t="str">
        <f t="shared" si="100"/>
        <v>- -</v>
      </c>
      <c r="AA202" s="4" t="str">
        <f t="shared" si="101"/>
        <v>- -</v>
      </c>
      <c r="AB202" s="4" t="str">
        <f t="shared" si="102"/>
        <v>- -</v>
      </c>
      <c r="AC202" s="8"/>
      <c r="AD202" s="4"/>
      <c r="AE202" s="4"/>
      <c r="AF202" s="4" t="str">
        <f t="shared" si="106"/>
        <v>- -</v>
      </c>
      <c r="AG202" s="4"/>
      <c r="AH202" s="4">
        <f>IFERROR(VLOOKUP(M202,Calculations!$AC$2:$AD$251,2,FALSE),0)</f>
        <v>0</v>
      </c>
      <c r="AI202" s="4" t="e">
        <f>VLOOKUP(N202,$N$2:$AS$620,MATCH('Character Creation'!$Z$12,Skills!$N$1:$AS$1,0),FALSE)</f>
        <v>#N/A</v>
      </c>
      <c r="AJ202" s="4" t="e">
        <f>VLOOKUP($N202,[2]Cultures!$B$4:$M$283,MATCH(AJ$1,[2]Cultures!$B$3:$M$3,0),FALSE)</f>
        <v>#N/A</v>
      </c>
      <c r="AK202" s="4" t="e">
        <f>VLOOKUP($N202,[2]Cultures!$B$4:$M$283,MATCH(AK$1,[2]Cultures!$B$3:$M$3,0),FALSE)</f>
        <v>#N/A</v>
      </c>
      <c r="AL202" s="4" t="e">
        <f>VLOOKUP($N202,[2]Cultures!$B$4:$M$283,MATCH(AL$1,[2]Cultures!$B$3:$M$3,0),FALSE)</f>
        <v>#N/A</v>
      </c>
      <c r="AM202" s="4" t="e">
        <f>VLOOKUP($N202,[2]Cultures!$B$4:$M$283,MATCH(AM$1,[2]Cultures!$B$3:$M$3,0),FALSE)</f>
        <v>#N/A</v>
      </c>
      <c r="AN202" s="4" t="e">
        <f>VLOOKUP($N202,[2]Cultures!$B$4:$M$283,MATCH(AN$1,[2]Cultures!$B$3:$M$3,0),FALSE)</f>
        <v>#N/A</v>
      </c>
      <c r="AO202" s="4" t="e">
        <f>VLOOKUP($N202,[2]Cultures!$B$4:$M$283,MATCH(AO$1,[2]Cultures!$B$3:$M$3,0),FALSE)</f>
        <v>#N/A</v>
      </c>
      <c r="AP202" s="4" t="e">
        <f>VLOOKUP($N202,[2]Cultures!$B$4:$M$283,MATCH(AP$1,[2]Cultures!$B$3:$M$3,0),FALSE)</f>
        <v>#N/A</v>
      </c>
      <c r="AQ202" s="4" t="e">
        <f>VLOOKUP($N202,[2]Cultures!$B$4:$M$283,MATCH(AQ$1,[2]Cultures!$B$3:$M$3,0),FALSE)</f>
        <v>#N/A</v>
      </c>
      <c r="AR202" s="4" t="e">
        <f>VLOOKUP($N202,[2]Cultures!$B$4:$M$283,MATCH(AR$1,[2]Cultures!$B$3:$M$3,0),FALSE)</f>
        <v>#N/A</v>
      </c>
      <c r="AS202" s="4" t="e">
        <f>VLOOKUP($N202,[2]Cultures!$B$4:$M$283,MATCH(AS$1,[2]Cultures!$B$3:$M$3,0),FALSE)</f>
        <v>#N/A</v>
      </c>
      <c r="AT202" s="4"/>
      <c r="AU202" s="4">
        <f>IF(ISNUMBER(SEARCH(N202&amp;";",Calculations!$Q$19)),VLOOKUP(Skills!N202,Calculations!$Q$2:$T$16,4,FALSE),0)</f>
        <v>0</v>
      </c>
      <c r="AV202" s="4">
        <f>IF(ISNUMBER(SEARCH(N202&amp;";",Calculations!$Q$18)),1,0)</f>
        <v>0</v>
      </c>
      <c r="AW202" s="4"/>
      <c r="AX202" s="4">
        <f>VLOOKUP($N202,$N202:$CH202,MATCH('Character Sheet'!$BJ$3,Skills!$N$1:$CH$1,0),FALSE)</f>
        <v>0</v>
      </c>
    </row>
    <row r="203" spans="1:50" x14ac:dyDescent="0.25">
      <c r="B203" s="4" t="e">
        <f t="shared" si="84"/>
        <v>#N/A</v>
      </c>
      <c r="E203" s="4"/>
      <c r="F203" s="4">
        <f t="shared" si="98"/>
        <v>0</v>
      </c>
      <c r="G203" s="4"/>
      <c r="H203" s="4" t="e">
        <f t="shared" si="104"/>
        <v>#N/A</v>
      </c>
      <c r="I203" s="4">
        <v>0</v>
      </c>
      <c r="J203" s="4" t="e">
        <f t="shared" si="95"/>
        <v>#N/A</v>
      </c>
      <c r="K203" s="4" t="e">
        <f t="shared" ref="K203:K235" si="107">IF(ISNUMBER(SEARCH("Category",N203)),K204,AI203)</f>
        <v>#N/A</v>
      </c>
      <c r="N203" s="3" t="s">
        <v>660</v>
      </c>
      <c r="O203" s="6" t="s">
        <v>782</v>
      </c>
      <c r="P203" s="6" t="s">
        <v>782</v>
      </c>
      <c r="Q203" s="4" t="str">
        <f t="shared" si="87"/>
        <v>- -</v>
      </c>
      <c r="R203" s="4" t="str">
        <f>IF(ISNUMBER(SEARCH("Category",N203)),"- -",IF(ISNUMBER(SEARCH("Skills",N203)),"- -",'Level-up'!C221))</f>
        <v>- -</v>
      </c>
      <c r="S203" s="4" t="str">
        <f t="shared" si="96"/>
        <v>- -</v>
      </c>
      <c r="T203" s="4" t="str">
        <f t="shared" si="97"/>
        <v>- -</v>
      </c>
      <c r="U203" s="4" t="str">
        <f t="shared" ca="1" si="103"/>
        <v>- -</v>
      </c>
      <c r="V203" s="4" t="str">
        <f t="shared" si="105"/>
        <v>- -</v>
      </c>
      <c r="W203" s="4" t="str">
        <f t="shared" si="88"/>
        <v>- -</v>
      </c>
      <c r="X203" s="4" t="str">
        <f t="shared" si="85"/>
        <v>- -</v>
      </c>
      <c r="Y203" s="4" t="str">
        <f t="shared" si="99"/>
        <v>- -</v>
      </c>
      <c r="Z203" s="4" t="str">
        <f t="shared" si="100"/>
        <v>- -</v>
      </c>
      <c r="AA203" s="4" t="str">
        <f t="shared" si="101"/>
        <v>- -</v>
      </c>
      <c r="AB203" s="4" t="str">
        <f t="shared" si="102"/>
        <v>- -</v>
      </c>
      <c r="AC203" s="8"/>
      <c r="AD203" s="4"/>
      <c r="AE203" s="4"/>
      <c r="AF203" s="4" t="str">
        <f t="shared" si="106"/>
        <v>- -</v>
      </c>
      <c r="AG203" s="4"/>
      <c r="AH203" s="4">
        <f>IFERROR(VLOOKUP(M203,Calculations!$AC$2:$AD$251,2,FALSE),0)</f>
        <v>0</v>
      </c>
      <c r="AI203" s="4" t="e">
        <f>VLOOKUP(N203,$N$2:$AS$620,MATCH('Character Creation'!$Z$12,Skills!$N$1:$AS$1,0),FALSE)</f>
        <v>#N/A</v>
      </c>
      <c r="AJ203" s="4" t="e">
        <f>VLOOKUP($N203,[2]Cultures!$B$4:$M$283,MATCH(AJ$1,[2]Cultures!$B$3:$M$3,0),FALSE)</f>
        <v>#N/A</v>
      </c>
      <c r="AK203" s="4" t="e">
        <f>VLOOKUP($N203,[2]Cultures!$B$4:$M$283,MATCH(AK$1,[2]Cultures!$B$3:$M$3,0),FALSE)</f>
        <v>#N/A</v>
      </c>
      <c r="AL203" s="4" t="e">
        <f>VLOOKUP($N203,[2]Cultures!$B$4:$M$283,MATCH(AL$1,[2]Cultures!$B$3:$M$3,0),FALSE)</f>
        <v>#N/A</v>
      </c>
      <c r="AM203" s="4" t="e">
        <f>VLOOKUP($N203,[2]Cultures!$B$4:$M$283,MATCH(AM$1,[2]Cultures!$B$3:$M$3,0),FALSE)</f>
        <v>#N/A</v>
      </c>
      <c r="AN203" s="4" t="e">
        <f>VLOOKUP($N203,[2]Cultures!$B$4:$M$283,MATCH(AN$1,[2]Cultures!$B$3:$M$3,0),FALSE)</f>
        <v>#N/A</v>
      </c>
      <c r="AO203" s="4" t="e">
        <f>VLOOKUP($N203,[2]Cultures!$B$4:$M$283,MATCH(AO$1,[2]Cultures!$B$3:$M$3,0),FALSE)</f>
        <v>#N/A</v>
      </c>
      <c r="AP203" s="4" t="e">
        <f>VLOOKUP($N203,[2]Cultures!$B$4:$M$283,MATCH(AP$1,[2]Cultures!$B$3:$M$3,0),FALSE)</f>
        <v>#N/A</v>
      </c>
      <c r="AQ203" s="4" t="e">
        <f>VLOOKUP($N203,[2]Cultures!$B$4:$M$283,MATCH(AQ$1,[2]Cultures!$B$3:$M$3,0),FALSE)</f>
        <v>#N/A</v>
      </c>
      <c r="AR203" s="4" t="e">
        <f>VLOOKUP($N203,[2]Cultures!$B$4:$M$283,MATCH(AR$1,[2]Cultures!$B$3:$M$3,0),FALSE)</f>
        <v>#N/A</v>
      </c>
      <c r="AS203" s="4" t="e">
        <f>VLOOKUP($N203,[2]Cultures!$B$4:$M$283,MATCH(AS$1,[2]Cultures!$B$3:$M$3,0),FALSE)</f>
        <v>#N/A</v>
      </c>
      <c r="AT203" s="4"/>
      <c r="AU203" s="4">
        <f>IF(ISNUMBER(SEARCH(N203&amp;";",Calculations!$Q$19)),VLOOKUP(Skills!N203,Calculations!$Q$2:$T$16,4,FALSE),0)</f>
        <v>0</v>
      </c>
      <c r="AV203" s="4">
        <f>IF(ISNUMBER(SEARCH(N203&amp;";",Calculations!$Q$18)),1,0)</f>
        <v>0</v>
      </c>
      <c r="AW203" s="4"/>
      <c r="AX203" s="4">
        <f>VLOOKUP($N203,$N203:$CH203,MATCH('Character Sheet'!$BJ$3,Skills!$N$1:$CH$1,0),FALSE)</f>
        <v>0</v>
      </c>
    </row>
    <row r="204" spans="1:50" x14ac:dyDescent="0.25">
      <c r="B204" s="4" t="e">
        <f t="shared" si="84"/>
        <v>#N/A</v>
      </c>
      <c r="E204" s="4"/>
      <c r="F204" s="4">
        <f t="shared" si="98"/>
        <v>0</v>
      </c>
      <c r="G204" s="4"/>
      <c r="H204" s="4" t="e">
        <f t="shared" si="104"/>
        <v>#N/A</v>
      </c>
      <c r="I204" s="4" t="e">
        <f>IF($J$203=1,1,IF($J$205=1,1,0))</f>
        <v>#N/A</v>
      </c>
      <c r="J204" s="4">
        <f t="shared" si="95"/>
        <v>0</v>
      </c>
      <c r="K204" s="4" t="e">
        <f t="shared" si="107"/>
        <v>#N/A</v>
      </c>
      <c r="N204" s="3" t="s">
        <v>661</v>
      </c>
      <c r="O204" s="6" t="s">
        <v>782</v>
      </c>
      <c r="P204" s="6" t="s">
        <v>782</v>
      </c>
      <c r="Q204" s="4" t="str">
        <f t="shared" si="87"/>
        <v>- -</v>
      </c>
      <c r="R204" s="4" t="str">
        <f>IF(ISNUMBER(SEARCH("Category",N204)),"- -",IF(ISNUMBER(SEARCH("Skills",N204)),"- -",'Level-up'!C222))</f>
        <v>- -</v>
      </c>
      <c r="S204" s="4" t="str">
        <f t="shared" si="96"/>
        <v>- -</v>
      </c>
      <c r="T204" s="4" t="str">
        <f t="shared" si="97"/>
        <v>- -</v>
      </c>
      <c r="U204" s="4" t="str">
        <f t="shared" ca="1" si="103"/>
        <v>- -</v>
      </c>
      <c r="V204" s="4" t="str">
        <f t="shared" si="105"/>
        <v>- -</v>
      </c>
      <c r="W204" s="4" t="str">
        <f t="shared" si="88"/>
        <v>- -</v>
      </c>
      <c r="X204" s="4" t="str">
        <f t="shared" si="85"/>
        <v>- -</v>
      </c>
      <c r="Y204" s="4" t="str">
        <f t="shared" si="99"/>
        <v>- -</v>
      </c>
      <c r="Z204" s="4" t="str">
        <f t="shared" si="100"/>
        <v>- -</v>
      </c>
      <c r="AA204" s="4" t="str">
        <f t="shared" si="101"/>
        <v>- -</v>
      </c>
      <c r="AB204" s="4" t="str">
        <f t="shared" si="102"/>
        <v>- -</v>
      </c>
      <c r="AC204" s="8"/>
      <c r="AD204" s="4"/>
      <c r="AE204" s="4"/>
      <c r="AF204" s="4" t="str">
        <f t="shared" si="106"/>
        <v>- -</v>
      </c>
      <c r="AG204" s="4"/>
      <c r="AH204" s="4">
        <f>IFERROR(VLOOKUP(M204,Calculations!$AC$2:$AD$251,2,FALSE),0)</f>
        <v>0</v>
      </c>
      <c r="AI204" s="4" t="e">
        <f>VLOOKUP(N204,$N$2:$AS$620,MATCH('Character Creation'!$Z$12,Skills!$N$1:$AS$1,0),FALSE)</f>
        <v>#N/A</v>
      </c>
      <c r="AJ204" s="4" t="e">
        <f>VLOOKUP($N204,[2]Cultures!$B$4:$M$283,MATCH(AJ$1,[2]Cultures!$B$3:$M$3,0),FALSE)</f>
        <v>#N/A</v>
      </c>
      <c r="AK204" s="4" t="e">
        <f>VLOOKUP($N204,[2]Cultures!$B$4:$M$283,MATCH(AK$1,[2]Cultures!$B$3:$M$3,0),FALSE)</f>
        <v>#N/A</v>
      </c>
      <c r="AL204" s="4" t="e">
        <f>VLOOKUP($N204,[2]Cultures!$B$4:$M$283,MATCH(AL$1,[2]Cultures!$B$3:$M$3,0),FALSE)</f>
        <v>#N/A</v>
      </c>
      <c r="AM204" s="4" t="e">
        <f>VLOOKUP($N204,[2]Cultures!$B$4:$M$283,MATCH(AM$1,[2]Cultures!$B$3:$M$3,0),FALSE)</f>
        <v>#N/A</v>
      </c>
      <c r="AN204" s="4" t="e">
        <f>VLOOKUP($N204,[2]Cultures!$B$4:$M$283,MATCH(AN$1,[2]Cultures!$B$3:$M$3,0),FALSE)</f>
        <v>#N/A</v>
      </c>
      <c r="AO204" s="4" t="e">
        <f>VLOOKUP($N204,[2]Cultures!$B$4:$M$283,MATCH(AO$1,[2]Cultures!$B$3:$M$3,0),FALSE)</f>
        <v>#N/A</v>
      </c>
      <c r="AP204" s="4" t="e">
        <f>VLOOKUP($N204,[2]Cultures!$B$4:$M$283,MATCH(AP$1,[2]Cultures!$B$3:$M$3,0),FALSE)</f>
        <v>#N/A</v>
      </c>
      <c r="AQ204" s="4" t="e">
        <f>VLOOKUP($N204,[2]Cultures!$B$4:$M$283,MATCH(AQ$1,[2]Cultures!$B$3:$M$3,0),FALSE)</f>
        <v>#N/A</v>
      </c>
      <c r="AR204" s="4" t="e">
        <f>VLOOKUP($N204,[2]Cultures!$B$4:$M$283,MATCH(AR$1,[2]Cultures!$B$3:$M$3,0),FALSE)</f>
        <v>#N/A</v>
      </c>
      <c r="AS204" s="4" t="e">
        <f>VLOOKUP($N204,[2]Cultures!$B$4:$M$283,MATCH(AS$1,[2]Cultures!$B$3:$M$3,0),FALSE)</f>
        <v>#N/A</v>
      </c>
      <c r="AT204" s="4"/>
      <c r="AU204" s="4">
        <f>IF(ISNUMBER(SEARCH(N204&amp;";",Calculations!$Q$19)),VLOOKUP(Skills!N204,Calculations!$Q$2:$T$16,4,FALSE),0)</f>
        <v>0</v>
      </c>
      <c r="AV204" s="4">
        <f>IF(ISNUMBER(SEARCH(N204&amp;";",Calculations!$Q$18)),1,0)</f>
        <v>0</v>
      </c>
      <c r="AW204" s="4"/>
      <c r="AX204" s="4">
        <f>VLOOKUP($N204,$N204:$CH204,MATCH('Character Sheet'!$BJ$3,Skills!$N$1:$CH$1,0),FALSE)</f>
        <v>0</v>
      </c>
    </row>
    <row r="205" spans="1:50" x14ac:dyDescent="0.25">
      <c r="B205" s="4" t="e">
        <f t="shared" si="84"/>
        <v>#N/A</v>
      </c>
      <c r="E205" s="4"/>
      <c r="F205" s="4">
        <f t="shared" si="98"/>
        <v>0</v>
      </c>
      <c r="G205" s="4"/>
      <c r="H205" s="4" t="e">
        <f t="shared" si="104"/>
        <v>#N/A</v>
      </c>
      <c r="I205" s="4">
        <v>0</v>
      </c>
      <c r="J205" s="4" t="e">
        <f t="shared" si="95"/>
        <v>#N/A</v>
      </c>
      <c r="K205" s="4" t="e">
        <f t="shared" si="107"/>
        <v>#N/A</v>
      </c>
      <c r="N205" s="3" t="s">
        <v>660</v>
      </c>
      <c r="O205" s="6" t="s">
        <v>782</v>
      </c>
      <c r="P205" s="6" t="s">
        <v>782</v>
      </c>
      <c r="Q205" s="4" t="str">
        <f t="shared" si="87"/>
        <v>- -</v>
      </c>
      <c r="R205" s="4" t="str">
        <f>IF(ISNUMBER(SEARCH("Category",N205)),"- -",IF(ISNUMBER(SEARCH("Skills",N205)),"- -",'Level-up'!C223))</f>
        <v>- -</v>
      </c>
      <c r="S205" s="4" t="str">
        <f t="shared" si="96"/>
        <v>- -</v>
      </c>
      <c r="T205" s="4" t="str">
        <f t="shared" si="97"/>
        <v>- -</v>
      </c>
      <c r="U205" s="4" t="str">
        <f t="shared" ca="1" si="103"/>
        <v>- -</v>
      </c>
      <c r="V205" s="4" t="str">
        <f t="shared" si="105"/>
        <v>- -</v>
      </c>
      <c r="W205" s="4" t="str">
        <f t="shared" si="88"/>
        <v>- -</v>
      </c>
      <c r="X205" s="4" t="str">
        <f t="shared" si="85"/>
        <v>- -</v>
      </c>
      <c r="Y205" s="4" t="str">
        <f t="shared" si="99"/>
        <v>- -</v>
      </c>
      <c r="Z205" s="4" t="str">
        <f t="shared" si="100"/>
        <v>- -</v>
      </c>
      <c r="AA205" s="4" t="str">
        <f t="shared" si="101"/>
        <v>- -</v>
      </c>
      <c r="AB205" s="4" t="str">
        <f t="shared" si="102"/>
        <v>- -</v>
      </c>
      <c r="AC205" s="8"/>
      <c r="AD205" s="4"/>
      <c r="AE205" s="4"/>
      <c r="AF205" s="4" t="str">
        <f t="shared" si="106"/>
        <v>- -</v>
      </c>
      <c r="AG205" s="4"/>
      <c r="AH205" s="4">
        <f>IFERROR(VLOOKUP(M205,Calculations!$AC$2:$AD$251,2,FALSE),0)</f>
        <v>0</v>
      </c>
      <c r="AI205" s="4" t="e">
        <f>VLOOKUP(N205,$N$2:$AS$620,MATCH('Character Creation'!$Z$12,Skills!$N$1:$AS$1,0),FALSE)</f>
        <v>#N/A</v>
      </c>
      <c r="AJ205" s="4" t="e">
        <f>VLOOKUP($N205,[2]Cultures!$B$4:$M$283,MATCH(AJ$1,[2]Cultures!$B$3:$M$3,0),FALSE)</f>
        <v>#N/A</v>
      </c>
      <c r="AK205" s="4" t="e">
        <f>VLOOKUP($N205,[2]Cultures!$B$4:$M$283,MATCH(AK$1,[2]Cultures!$B$3:$M$3,0),FALSE)</f>
        <v>#N/A</v>
      </c>
      <c r="AL205" s="4" t="e">
        <f>VLOOKUP($N205,[2]Cultures!$B$4:$M$283,MATCH(AL$1,[2]Cultures!$B$3:$M$3,0),FALSE)</f>
        <v>#N/A</v>
      </c>
      <c r="AM205" s="4" t="e">
        <f>VLOOKUP($N205,[2]Cultures!$B$4:$M$283,MATCH(AM$1,[2]Cultures!$B$3:$M$3,0),FALSE)</f>
        <v>#N/A</v>
      </c>
      <c r="AN205" s="4" t="e">
        <f>VLOOKUP($N205,[2]Cultures!$B$4:$M$283,MATCH(AN$1,[2]Cultures!$B$3:$M$3,0),FALSE)</f>
        <v>#N/A</v>
      </c>
      <c r="AO205" s="4" t="e">
        <f>VLOOKUP($N205,[2]Cultures!$B$4:$M$283,MATCH(AO$1,[2]Cultures!$B$3:$M$3,0),FALSE)</f>
        <v>#N/A</v>
      </c>
      <c r="AP205" s="4" t="e">
        <f>VLOOKUP($N205,[2]Cultures!$B$4:$M$283,MATCH(AP$1,[2]Cultures!$B$3:$M$3,0),FALSE)</f>
        <v>#N/A</v>
      </c>
      <c r="AQ205" s="4" t="e">
        <f>VLOOKUP($N205,[2]Cultures!$B$4:$M$283,MATCH(AQ$1,[2]Cultures!$B$3:$M$3,0),FALSE)</f>
        <v>#N/A</v>
      </c>
      <c r="AR205" s="4" t="e">
        <f>VLOOKUP($N205,[2]Cultures!$B$4:$M$283,MATCH(AR$1,[2]Cultures!$B$3:$M$3,0),FALSE)</f>
        <v>#N/A</v>
      </c>
      <c r="AS205" s="4" t="e">
        <f>VLOOKUP($N205,[2]Cultures!$B$4:$M$283,MATCH(AS$1,[2]Cultures!$B$3:$M$3,0),FALSE)</f>
        <v>#N/A</v>
      </c>
      <c r="AT205" s="4"/>
      <c r="AU205" s="4">
        <f>IF(ISNUMBER(SEARCH(N205&amp;";",Calculations!$Q$19)),VLOOKUP(Skills!N205,Calculations!$Q$2:$T$16,4,FALSE),0)</f>
        <v>0</v>
      </c>
      <c r="AV205" s="4">
        <f>IF(ISNUMBER(SEARCH(N205&amp;";",Calculations!$Q$18)),1,0)</f>
        <v>0</v>
      </c>
      <c r="AW205" s="4"/>
      <c r="AX205" s="4">
        <f>VLOOKUP($N205,$N205:$CH205,MATCH('Character Sheet'!$BJ$3,Skills!$N$1:$CH$1,0),FALSE)</f>
        <v>0</v>
      </c>
    </row>
    <row r="206" spans="1:50" x14ac:dyDescent="0.25">
      <c r="A206" s="4" t="s">
        <v>2240</v>
      </c>
      <c r="B206" s="4" t="e">
        <f t="shared" si="84"/>
        <v>#N/A</v>
      </c>
      <c r="E206" s="4"/>
      <c r="F206" s="4">
        <f t="shared" si="98"/>
        <v>0</v>
      </c>
      <c r="G206" s="4"/>
      <c r="H206" s="4" t="e">
        <f t="shared" si="104"/>
        <v>#N/A</v>
      </c>
      <c r="I206" s="4" t="e">
        <f>IF($J$203=1,1,IF($J$205=1,1,0))</f>
        <v>#N/A</v>
      </c>
      <c r="J206" s="4">
        <f t="shared" si="95"/>
        <v>0</v>
      </c>
      <c r="K206" s="4">
        <f t="shared" si="107"/>
        <v>1</v>
      </c>
      <c r="M206" t="str">
        <f>N206</f>
        <v>Navigation</v>
      </c>
      <c r="N206" s="3" t="str">
        <f>'Character Sheet'!BAV5</f>
        <v>Navigation</v>
      </c>
      <c r="O206" s="4" t="s">
        <v>796</v>
      </c>
      <c r="P206" s="4" t="s">
        <v>792</v>
      </c>
      <c r="Q206" s="4">
        <f t="shared" si="87"/>
        <v>1</v>
      </c>
      <c r="R206" s="4">
        <f>IF(ISNUMBER(SEARCH("Category",N206)),"- -",IF(ISNUMBER(SEARCH("Skills",N206)),"- -",'Level-up'!C224))</f>
        <v>0</v>
      </c>
      <c r="S206" s="4">
        <f t="shared" si="96"/>
        <v>1</v>
      </c>
      <c r="T206" s="4">
        <f t="shared" si="97"/>
        <v>5</v>
      </c>
      <c r="U206" s="4">
        <f t="shared" ca="1" si="103"/>
        <v>5</v>
      </c>
      <c r="V206" s="4">
        <f>IF(ISNUMBER(SEARCH("Category",N206)),"- -",IF(ISNUMBER(SEARCH("Skills",N206)),"- -",IF(AU206&gt;0,AU206,IF($AU$204&gt;0,$AU$204,$AU$202))))</f>
        <v>0</v>
      </c>
      <c r="W206" s="4">
        <f t="shared" si="88"/>
        <v>0</v>
      </c>
      <c r="X206" s="4">
        <f t="shared" si="85"/>
        <v>0</v>
      </c>
      <c r="Y206" s="4">
        <f t="shared" si="99"/>
        <v>0</v>
      </c>
      <c r="Z206" s="4">
        <f t="shared" si="100"/>
        <v>0</v>
      </c>
      <c r="AA206" s="4">
        <f t="shared" si="101"/>
        <v>0</v>
      </c>
      <c r="AB206" s="4">
        <f t="shared" si="102"/>
        <v>0</v>
      </c>
      <c r="AC206" s="8"/>
      <c r="AD206" s="4"/>
      <c r="AE206" s="4"/>
      <c r="AF206" s="4" t="str">
        <f t="shared" ca="1" si="106"/>
        <v>10</v>
      </c>
      <c r="AG206" s="4"/>
      <c r="AH206" s="4">
        <f>IFERROR(VLOOKUP(M206,Calculations!$AC$2:$AD$251,2,FALSE),0)</f>
        <v>0</v>
      </c>
      <c r="AI206" s="4">
        <f>VLOOKUP(N206,$N$2:$AS$620,MATCH('Character Creation'!$Z$12,Skills!$N$1:$AS$1,0),FALSE)</f>
        <v>1</v>
      </c>
      <c r="AJ206" s="4">
        <f>VLOOKUP($N206,[2]Cultures!$B$4:$M$283,MATCH(AJ$1,[2]Cultures!$B$3:$M$3,0),FALSE)</f>
        <v>0</v>
      </c>
      <c r="AK206" s="4">
        <f>VLOOKUP($N206,[2]Cultures!$B$4:$M$283,MATCH(AK$1,[2]Cultures!$B$3:$M$3,0),FALSE)</f>
        <v>1</v>
      </c>
      <c r="AL206" s="4">
        <f>VLOOKUP($N206,[2]Cultures!$B$4:$M$283,MATCH(AL$1,[2]Cultures!$B$3:$M$3,0),FALSE)</f>
        <v>0</v>
      </c>
      <c r="AM206" s="4">
        <f>VLOOKUP($N206,[2]Cultures!$B$4:$M$283,MATCH(AM$1,[2]Cultures!$B$3:$M$3,0),FALSE)</f>
        <v>1</v>
      </c>
      <c r="AN206" s="4">
        <f>VLOOKUP($N206,[2]Cultures!$B$4:$M$283,MATCH(AN$1,[2]Cultures!$B$3:$M$3,0),FALSE)</f>
        <v>1</v>
      </c>
      <c r="AO206" s="4">
        <f>VLOOKUP($N206,[2]Cultures!$B$4:$M$283,MATCH(AO$1,[2]Cultures!$B$3:$M$3,0),FALSE)</f>
        <v>0</v>
      </c>
      <c r="AP206" s="4">
        <f>VLOOKUP($N206,[2]Cultures!$B$4:$M$283,MATCH(AP$1,[2]Cultures!$B$3:$M$3,0),FALSE)</f>
        <v>0</v>
      </c>
      <c r="AQ206" s="4">
        <f>VLOOKUP($N206,[2]Cultures!$B$4:$M$283,MATCH(AQ$1,[2]Cultures!$B$3:$M$3,0),FALSE)</f>
        <v>0</v>
      </c>
      <c r="AR206" s="4">
        <f>VLOOKUP($N206,[2]Cultures!$B$4:$M$283,MATCH(AR$1,[2]Cultures!$B$3:$M$3,0),FALSE)</f>
        <v>0</v>
      </c>
      <c r="AS206" s="4">
        <f>VLOOKUP($N206,[2]Cultures!$B$4:$M$283,MATCH(AS$1,[2]Cultures!$B$3:$M$3,0),FALSE)</f>
        <v>0</v>
      </c>
      <c r="AT206" s="4"/>
      <c r="AU206" s="4">
        <f>IF(ISNUMBER(SEARCH(N206&amp;";",Calculations!$Q$19)),VLOOKUP(Skills!N206,Calculations!$Q$2:$T$16,4,FALSE),0)</f>
        <v>0</v>
      </c>
      <c r="AV206" s="4">
        <f>IF(ISNUMBER(SEARCH(N206&amp;";",Calculations!$Q$18)),1,0)</f>
        <v>0</v>
      </c>
      <c r="AW206" s="4">
        <f>IF($AV$202=1,1,IF($AV$204=1,1,AV206))</f>
        <v>0</v>
      </c>
      <c r="AX206" s="4">
        <f>VLOOKUP($N206,$N206:$CH206,MATCH('Character Sheet'!$BJ$3,Skills!$N$1:$CH$1,0),FALSE)</f>
        <v>0</v>
      </c>
    </row>
    <row r="207" spans="1:50" x14ac:dyDescent="0.25">
      <c r="B207" s="4" t="e">
        <f t="shared" si="84"/>
        <v>#N/A</v>
      </c>
      <c r="E207" s="4"/>
      <c r="F207" s="4">
        <f t="shared" si="98"/>
        <v>0</v>
      </c>
      <c r="G207" s="4"/>
      <c r="H207" s="4" t="e">
        <f t="shared" si="104"/>
        <v>#N/A</v>
      </c>
      <c r="I207" s="4" t="e">
        <f>IF($J$203=1,1,IF($J$208=1,1,0))</f>
        <v>#N/A</v>
      </c>
      <c r="J207" s="4">
        <f t="shared" si="95"/>
        <v>0</v>
      </c>
      <c r="K207" s="4" t="e">
        <f t="shared" si="107"/>
        <v>#N/A</v>
      </c>
      <c r="N207" s="3" t="s">
        <v>761</v>
      </c>
      <c r="O207" s="6" t="s">
        <v>782</v>
      </c>
      <c r="P207" s="6" t="s">
        <v>782</v>
      </c>
      <c r="Q207" s="4" t="str">
        <f t="shared" si="87"/>
        <v>- -</v>
      </c>
      <c r="R207" s="4" t="str">
        <f>IF(ISNUMBER(SEARCH("Category",N207)),"- -",IF(ISNUMBER(SEARCH("Skills",N207)),"- -",'Level-up'!C225))</f>
        <v>- -</v>
      </c>
      <c r="S207" s="4" t="str">
        <f t="shared" si="96"/>
        <v>- -</v>
      </c>
      <c r="T207" s="4" t="str">
        <f t="shared" si="97"/>
        <v>- -</v>
      </c>
      <c r="U207" s="4" t="str">
        <f t="shared" ca="1" si="103"/>
        <v>- -</v>
      </c>
      <c r="V207" s="4" t="str">
        <f>IF(ISNUMBER(SEARCH("Category",N207)),"- -",IF(ISNUMBER(SEARCH("Skills",N207)),"- -",IF(AU207&gt;0,AU207,IF($AU$204&gt;0,$AU$204,$AU$202))))</f>
        <v>- -</v>
      </c>
      <c r="W207" s="4" t="str">
        <f t="shared" si="88"/>
        <v>- -</v>
      </c>
      <c r="X207" s="4" t="str">
        <f t="shared" si="85"/>
        <v>- -</v>
      </c>
      <c r="Y207" s="4" t="str">
        <f t="shared" si="99"/>
        <v>- -</v>
      </c>
      <c r="Z207" s="4" t="str">
        <f t="shared" si="100"/>
        <v>- -</v>
      </c>
      <c r="AA207" s="4" t="str">
        <f t="shared" si="101"/>
        <v>- -</v>
      </c>
      <c r="AB207" s="4" t="str">
        <f t="shared" si="102"/>
        <v>- -</v>
      </c>
      <c r="AC207" s="8"/>
      <c r="AD207" s="4"/>
      <c r="AE207" s="4"/>
      <c r="AF207" s="4" t="str">
        <f t="shared" si="106"/>
        <v>- -</v>
      </c>
      <c r="AG207" s="4"/>
      <c r="AH207" s="4">
        <f>IFERROR(VLOOKUP(M207,Calculations!$AC$2:$AD$251,2,FALSE),0)</f>
        <v>0</v>
      </c>
      <c r="AI207" s="4" t="e">
        <f>VLOOKUP(N207,$N$2:$AS$620,MATCH('Character Creation'!$Z$12,Skills!$N$1:$AS$1,0),FALSE)</f>
        <v>#N/A</v>
      </c>
      <c r="AJ207" s="4" t="e">
        <f>VLOOKUP($N207,[2]Cultures!$B$4:$M$283,MATCH(AJ$1,[2]Cultures!$B$3:$M$3,0),FALSE)</f>
        <v>#N/A</v>
      </c>
      <c r="AK207" s="4" t="e">
        <f>VLOOKUP($N207,[2]Cultures!$B$4:$M$283,MATCH(AK$1,[2]Cultures!$B$3:$M$3,0),FALSE)</f>
        <v>#N/A</v>
      </c>
      <c r="AL207" s="4" t="e">
        <f>VLOOKUP($N207,[2]Cultures!$B$4:$M$283,MATCH(AL$1,[2]Cultures!$B$3:$M$3,0),FALSE)</f>
        <v>#N/A</v>
      </c>
      <c r="AM207" s="4" t="e">
        <f>VLOOKUP($N207,[2]Cultures!$B$4:$M$283,MATCH(AM$1,[2]Cultures!$B$3:$M$3,0),FALSE)</f>
        <v>#N/A</v>
      </c>
      <c r="AN207" s="4" t="e">
        <f>VLOOKUP($N207,[2]Cultures!$B$4:$M$283,MATCH(AN$1,[2]Cultures!$B$3:$M$3,0),FALSE)</f>
        <v>#N/A</v>
      </c>
      <c r="AO207" s="4" t="e">
        <f>VLOOKUP($N207,[2]Cultures!$B$4:$M$283,MATCH(AO$1,[2]Cultures!$B$3:$M$3,0),FALSE)</f>
        <v>#N/A</v>
      </c>
      <c r="AP207" s="4" t="e">
        <f>VLOOKUP($N207,[2]Cultures!$B$4:$M$283,MATCH(AP$1,[2]Cultures!$B$3:$M$3,0),FALSE)</f>
        <v>#N/A</v>
      </c>
      <c r="AQ207" s="4" t="e">
        <f>VLOOKUP($N207,[2]Cultures!$B$4:$M$283,MATCH(AQ$1,[2]Cultures!$B$3:$M$3,0),FALSE)</f>
        <v>#N/A</v>
      </c>
      <c r="AR207" s="4" t="e">
        <f>VLOOKUP($N207,[2]Cultures!$B$4:$M$283,MATCH(AR$1,[2]Cultures!$B$3:$M$3,0),FALSE)</f>
        <v>#N/A</v>
      </c>
      <c r="AS207" s="4" t="e">
        <f>VLOOKUP($N207,[2]Cultures!$B$4:$M$283,MATCH(AS$1,[2]Cultures!$B$3:$M$3,0),FALSE)</f>
        <v>#N/A</v>
      </c>
      <c r="AT207" s="4"/>
      <c r="AU207" s="4">
        <f>IF(ISNUMBER(SEARCH(N207&amp;";",Calculations!$Q$19)),VLOOKUP(Skills!N207,Calculations!$Q$2:$T$16,4,FALSE),0)</f>
        <v>0</v>
      </c>
      <c r="AV207" s="4">
        <f>IF(ISNUMBER(SEARCH(N207&amp;";",Calculations!$Q$18)),1,0)</f>
        <v>0</v>
      </c>
      <c r="AW207" s="4"/>
      <c r="AX207" s="4">
        <f>VLOOKUP($N207,$N207:$CH207,MATCH('Character Sheet'!$BJ$3,Skills!$N$1:$CH$1,0),FALSE)</f>
        <v>0</v>
      </c>
    </row>
    <row r="208" spans="1:50" x14ac:dyDescent="0.25">
      <c r="B208" s="4" t="e">
        <f t="shared" si="84"/>
        <v>#N/A</v>
      </c>
      <c r="E208" s="4"/>
      <c r="F208" s="4">
        <f t="shared" si="98"/>
        <v>0</v>
      </c>
      <c r="G208" s="4"/>
      <c r="H208" s="4" t="e">
        <f t="shared" si="104"/>
        <v>#N/A</v>
      </c>
      <c r="I208" s="4">
        <v>0</v>
      </c>
      <c r="J208" s="4" t="e">
        <f t="shared" si="95"/>
        <v>#N/A</v>
      </c>
      <c r="K208" s="4" t="e">
        <f t="shared" si="107"/>
        <v>#N/A</v>
      </c>
      <c r="N208" s="3" t="s">
        <v>762</v>
      </c>
      <c r="O208" s="6" t="s">
        <v>782</v>
      </c>
      <c r="P208" s="6" t="s">
        <v>782</v>
      </c>
      <c r="Q208" s="4" t="str">
        <f t="shared" si="87"/>
        <v>- -</v>
      </c>
      <c r="R208" s="4" t="str">
        <f>IF(ISNUMBER(SEARCH("Category",N208)),"- -",IF(ISNUMBER(SEARCH("Skills",N208)),"- -",'Level-up'!C226))</f>
        <v>- -</v>
      </c>
      <c r="S208" s="4" t="str">
        <f t="shared" si="96"/>
        <v>- -</v>
      </c>
      <c r="T208" s="4" t="str">
        <f t="shared" si="97"/>
        <v>- -</v>
      </c>
      <c r="U208" s="4" t="str">
        <f t="shared" ca="1" si="103"/>
        <v>- -</v>
      </c>
      <c r="V208" s="4" t="str">
        <f>IF(ISNUMBER(SEARCH("Category",N208)),"- -",IF(ISNUMBER(SEARCH("Skills",N208)),"- -",IF(AU208&gt;0,AU208,IF($AU$204&gt;0,$AU$204,$AU$202))))</f>
        <v>- -</v>
      </c>
      <c r="W208" s="4" t="str">
        <f t="shared" si="88"/>
        <v>- -</v>
      </c>
      <c r="X208" s="4" t="str">
        <f t="shared" si="85"/>
        <v>- -</v>
      </c>
      <c r="Y208" s="4" t="str">
        <f t="shared" si="99"/>
        <v>- -</v>
      </c>
      <c r="Z208" s="4" t="str">
        <f t="shared" si="100"/>
        <v>- -</v>
      </c>
      <c r="AA208" s="4" t="str">
        <f t="shared" si="101"/>
        <v>- -</v>
      </c>
      <c r="AB208" s="4" t="str">
        <f t="shared" si="102"/>
        <v>- -</v>
      </c>
      <c r="AC208" s="8"/>
      <c r="AD208" s="4"/>
      <c r="AE208" s="4"/>
      <c r="AF208" s="4" t="str">
        <f t="shared" si="106"/>
        <v>- -</v>
      </c>
      <c r="AG208" s="4"/>
      <c r="AH208" s="4">
        <f>IFERROR(VLOOKUP(M208,Calculations!$AC$2:$AD$251,2,FALSE),0)</f>
        <v>0</v>
      </c>
      <c r="AI208" s="4" t="e">
        <f>VLOOKUP(N208,$N$2:$AS$620,MATCH('Character Creation'!$Z$12,Skills!$N$1:$AS$1,0),FALSE)</f>
        <v>#N/A</v>
      </c>
      <c r="AJ208" s="4" t="e">
        <f>VLOOKUP($N208,[2]Cultures!$B$4:$M$283,MATCH(AJ$1,[2]Cultures!$B$3:$M$3,0),FALSE)</f>
        <v>#N/A</v>
      </c>
      <c r="AK208" s="4" t="e">
        <f>VLOOKUP($N208,[2]Cultures!$B$4:$M$283,MATCH(AK$1,[2]Cultures!$B$3:$M$3,0),FALSE)</f>
        <v>#N/A</v>
      </c>
      <c r="AL208" s="4" t="e">
        <f>VLOOKUP($N208,[2]Cultures!$B$4:$M$283,MATCH(AL$1,[2]Cultures!$B$3:$M$3,0),FALSE)</f>
        <v>#N/A</v>
      </c>
      <c r="AM208" s="4" t="e">
        <f>VLOOKUP($N208,[2]Cultures!$B$4:$M$283,MATCH(AM$1,[2]Cultures!$B$3:$M$3,0),FALSE)</f>
        <v>#N/A</v>
      </c>
      <c r="AN208" s="4" t="e">
        <f>VLOOKUP($N208,[2]Cultures!$B$4:$M$283,MATCH(AN$1,[2]Cultures!$B$3:$M$3,0),FALSE)</f>
        <v>#N/A</v>
      </c>
      <c r="AO208" s="4" t="e">
        <f>VLOOKUP($N208,[2]Cultures!$B$4:$M$283,MATCH(AO$1,[2]Cultures!$B$3:$M$3,0),FALSE)</f>
        <v>#N/A</v>
      </c>
      <c r="AP208" s="4" t="e">
        <f>VLOOKUP($N208,[2]Cultures!$B$4:$M$283,MATCH(AP$1,[2]Cultures!$B$3:$M$3,0),FALSE)</f>
        <v>#N/A</v>
      </c>
      <c r="AQ208" s="4" t="e">
        <f>VLOOKUP($N208,[2]Cultures!$B$4:$M$283,MATCH(AQ$1,[2]Cultures!$B$3:$M$3,0),FALSE)</f>
        <v>#N/A</v>
      </c>
      <c r="AR208" s="4" t="e">
        <f>VLOOKUP($N208,[2]Cultures!$B$4:$M$283,MATCH(AR$1,[2]Cultures!$B$3:$M$3,0),FALSE)</f>
        <v>#N/A</v>
      </c>
      <c r="AS208" s="4" t="e">
        <f>VLOOKUP($N208,[2]Cultures!$B$4:$M$283,MATCH(AS$1,[2]Cultures!$B$3:$M$3,0),FALSE)</f>
        <v>#N/A</v>
      </c>
      <c r="AT208" s="4"/>
      <c r="AU208" s="4">
        <f>IF(ISNUMBER(SEARCH(N208&amp;";",Calculations!$Q$19)),VLOOKUP(Skills!N208,Calculations!$Q$2:$T$16,4,FALSE),0)</f>
        <v>0</v>
      </c>
      <c r="AV208" s="4">
        <f>IF(ISNUMBER(SEARCH(N208&amp;";",Calculations!$Q$18)),1,0)</f>
        <v>0</v>
      </c>
      <c r="AW208" s="4"/>
      <c r="AX208" s="4">
        <f>VLOOKUP($N208,$N208:$CH208,MATCH('Character Sheet'!$BJ$3,Skills!$N$1:$CH$1,0),FALSE)</f>
        <v>0</v>
      </c>
    </row>
    <row r="209" spans="2:50" x14ac:dyDescent="0.25">
      <c r="B209" s="4" t="e">
        <f t="shared" si="84"/>
        <v>#N/A</v>
      </c>
      <c r="E209" s="4"/>
      <c r="F209" s="4">
        <f t="shared" si="98"/>
        <v>0</v>
      </c>
      <c r="G209" s="4"/>
      <c r="H209" s="4" t="e">
        <f t="shared" si="104"/>
        <v>#N/A</v>
      </c>
      <c r="I209" s="4" t="e">
        <f>IF($J$203=1,1,IF($J$208=1,1,0))</f>
        <v>#N/A</v>
      </c>
      <c r="J209" s="4">
        <f t="shared" si="95"/>
        <v>0</v>
      </c>
      <c r="K209" s="4" t="e">
        <f t="shared" si="107"/>
        <v>#N/A</v>
      </c>
      <c r="M209" t="str">
        <f>"Marine PIloting, "&amp;N209</f>
        <v>Marine PIloting, Barge</v>
      </c>
      <c r="N209" s="3" t="str">
        <f>'Character Sheet'!BAV9</f>
        <v>Barge</v>
      </c>
      <c r="O209" s="4" t="s">
        <v>796</v>
      </c>
      <c r="P209" s="4" t="s">
        <v>786</v>
      </c>
      <c r="Q209" s="4" t="e">
        <f t="shared" si="87"/>
        <v>#N/A</v>
      </c>
      <c r="R209" s="4">
        <f>IF(ISNUMBER(SEARCH("Category",N209)),"- -",IF(ISNUMBER(SEARCH("Skills",N209)),"- -",'Level-up'!C227))</f>
        <v>0</v>
      </c>
      <c r="S209" s="4" t="e">
        <f t="shared" si="96"/>
        <v>#N/A</v>
      </c>
      <c r="T209" s="4" t="e">
        <f t="shared" si="97"/>
        <v>#N/A</v>
      </c>
      <c r="U209" s="4">
        <f t="shared" ca="1" si="103"/>
        <v>4</v>
      </c>
      <c r="V209" s="4">
        <f t="shared" ref="V209:V214" si="108">IF(ISNUMBER(SEARCH("Category",N209)),"- -",IF(ISNUMBER(SEARCH("Skills",N209)),"- -",IF(AU209&gt;0,AU209,IF($AU$207&gt;0,$AU$207,$AU$202))))</f>
        <v>0</v>
      </c>
      <c r="W209" s="4">
        <f t="shared" si="88"/>
        <v>0</v>
      </c>
      <c r="X209" s="4">
        <f t="shared" si="85"/>
        <v>0</v>
      </c>
      <c r="Y209" s="4">
        <f t="shared" si="99"/>
        <v>0</v>
      </c>
      <c r="Z209" s="4">
        <f t="shared" si="100"/>
        <v>0</v>
      </c>
      <c r="AA209" s="4">
        <f t="shared" si="101"/>
        <v>0</v>
      </c>
      <c r="AB209" s="4">
        <f t="shared" si="102"/>
        <v>0</v>
      </c>
      <c r="AC209" s="8"/>
      <c r="AD209" s="4"/>
      <c r="AE209" s="4"/>
      <c r="AF209" s="4" t="e">
        <f t="shared" si="106"/>
        <v>#N/A</v>
      </c>
      <c r="AG209" s="4"/>
      <c r="AH209" s="4">
        <f>IFERROR(VLOOKUP(M209,Calculations!$AC$2:$AD$251,2,FALSE),0)</f>
        <v>0</v>
      </c>
      <c r="AI209" s="4" t="e">
        <f>VLOOKUP(N209,$N$2:$AS$620,MATCH('Character Creation'!$Z$12,Skills!$N$1:$AS$1,0),FALSE)</f>
        <v>#N/A</v>
      </c>
      <c r="AJ209" s="4" t="e">
        <f>VLOOKUP($N209,[2]Cultures!$B$4:$M$283,MATCH(AJ$1,[2]Cultures!$B$3:$M$3,0),FALSE)</f>
        <v>#N/A</v>
      </c>
      <c r="AK209" s="4" t="e">
        <f>VLOOKUP($N209,[2]Cultures!$B$4:$M$283,MATCH(AK$1,[2]Cultures!$B$3:$M$3,0),FALSE)</f>
        <v>#N/A</v>
      </c>
      <c r="AL209" s="4" t="e">
        <f>VLOOKUP($N209,[2]Cultures!$B$4:$M$283,MATCH(AL$1,[2]Cultures!$B$3:$M$3,0),FALSE)</f>
        <v>#N/A</v>
      </c>
      <c r="AM209" s="4" t="e">
        <f>VLOOKUP($N209,[2]Cultures!$B$4:$M$283,MATCH(AM$1,[2]Cultures!$B$3:$M$3,0),FALSE)</f>
        <v>#N/A</v>
      </c>
      <c r="AN209" s="4" t="e">
        <f>VLOOKUP($N209,[2]Cultures!$B$4:$M$283,MATCH(AN$1,[2]Cultures!$B$3:$M$3,0),FALSE)</f>
        <v>#N/A</v>
      </c>
      <c r="AO209" s="4" t="e">
        <f>VLOOKUP($N209,[2]Cultures!$B$4:$M$283,MATCH(AO$1,[2]Cultures!$B$3:$M$3,0),FALSE)</f>
        <v>#N/A</v>
      </c>
      <c r="AP209" s="4" t="e">
        <f>VLOOKUP($N209,[2]Cultures!$B$4:$M$283,MATCH(AP$1,[2]Cultures!$B$3:$M$3,0),FALSE)</f>
        <v>#N/A</v>
      </c>
      <c r="AQ209" s="4" t="e">
        <f>VLOOKUP($N209,[2]Cultures!$B$4:$M$283,MATCH(AQ$1,[2]Cultures!$B$3:$M$3,0),FALSE)</f>
        <v>#N/A</v>
      </c>
      <c r="AR209" s="4" t="e">
        <f>VLOOKUP($N209,[2]Cultures!$B$4:$M$283,MATCH(AR$1,[2]Cultures!$B$3:$M$3,0),FALSE)</f>
        <v>#N/A</v>
      </c>
      <c r="AS209" s="4" t="e">
        <f>VLOOKUP($N209,[2]Cultures!$B$4:$M$283,MATCH(AS$1,[2]Cultures!$B$3:$M$3,0),FALSE)</f>
        <v>#N/A</v>
      </c>
      <c r="AT209" s="4"/>
      <c r="AU209" s="4">
        <f>IF(ISNUMBER(SEARCH(N209&amp;";",Calculations!$Q$19)),VLOOKUP(Skills!N209,Calculations!$Q$2:$T$16,4,FALSE),0)</f>
        <v>0</v>
      </c>
      <c r="AV209" s="4">
        <f>IF(ISNUMBER(SEARCH(N209&amp;";",Calculations!$Q$18)),1,0)</f>
        <v>0</v>
      </c>
      <c r="AW209" s="4">
        <f>IF($AV$202=1,1,IF($AV$207=1,1,AV209))</f>
        <v>0</v>
      </c>
      <c r="AX209" s="4">
        <f>VLOOKUP($N209,$N209:$CH209,MATCH('Character Sheet'!$BJ$3,Skills!$N$1:$CH$1,0),FALSE)</f>
        <v>0</v>
      </c>
    </row>
    <row r="210" spans="2:50" x14ac:dyDescent="0.25">
      <c r="B210" s="4" t="e">
        <f t="shared" si="84"/>
        <v>#N/A</v>
      </c>
      <c r="E210" s="4"/>
      <c r="F210" s="4">
        <f t="shared" si="98"/>
        <v>0</v>
      </c>
      <c r="G210" s="4"/>
      <c r="H210" s="4" t="e">
        <f t="shared" si="104"/>
        <v>#N/A</v>
      </c>
      <c r="I210" s="4" t="e">
        <f>IF($J$203=1,1,IF($J$208=1,1,0))</f>
        <v>#N/A</v>
      </c>
      <c r="J210" s="4">
        <f t="shared" si="95"/>
        <v>0</v>
      </c>
      <c r="K210" s="4" t="e">
        <f t="shared" si="107"/>
        <v>#N/A</v>
      </c>
      <c r="M210" t="str">
        <f>"Marine PIloting, "&amp;N210</f>
        <v>Marine PIloting, Rowing Boat</v>
      </c>
      <c r="N210" s="3" t="str">
        <f>'Character Sheet'!BAV10</f>
        <v>Rowing Boat</v>
      </c>
      <c r="O210" s="4" t="s">
        <v>796</v>
      </c>
      <c r="P210" s="4" t="s">
        <v>786</v>
      </c>
      <c r="Q210" s="4" t="e">
        <f t="shared" si="87"/>
        <v>#N/A</v>
      </c>
      <c r="R210" s="4">
        <f>IF(ISNUMBER(SEARCH("Category",N210)),"- -",IF(ISNUMBER(SEARCH("Skills",N210)),"- -",'Level-up'!C228))</f>
        <v>0</v>
      </c>
      <c r="S210" s="4" t="e">
        <f t="shared" si="96"/>
        <v>#N/A</v>
      </c>
      <c r="T210" s="4" t="e">
        <f t="shared" si="97"/>
        <v>#N/A</v>
      </c>
      <c r="U210" s="4">
        <f t="shared" ca="1" si="103"/>
        <v>4</v>
      </c>
      <c r="V210" s="4">
        <f t="shared" si="108"/>
        <v>0</v>
      </c>
      <c r="W210" s="4">
        <f t="shared" si="88"/>
        <v>0</v>
      </c>
      <c r="X210" s="4">
        <f t="shared" si="85"/>
        <v>0</v>
      </c>
      <c r="Y210" s="4">
        <f t="shared" si="99"/>
        <v>0</v>
      </c>
      <c r="Z210" s="4">
        <f t="shared" si="100"/>
        <v>0</v>
      </c>
      <c r="AA210" s="4">
        <f t="shared" si="101"/>
        <v>0</v>
      </c>
      <c r="AB210" s="4">
        <f t="shared" si="102"/>
        <v>0</v>
      </c>
      <c r="AC210" s="8"/>
      <c r="AD210" s="4"/>
      <c r="AE210" s="4"/>
      <c r="AF210" s="4" t="e">
        <f t="shared" si="106"/>
        <v>#N/A</v>
      </c>
      <c r="AG210" s="4"/>
      <c r="AH210" s="4">
        <f>IFERROR(VLOOKUP(M210,Calculations!$AC$2:$AD$251,2,FALSE),0)</f>
        <v>0</v>
      </c>
      <c r="AI210" s="4" t="e">
        <f>VLOOKUP(N210,$N$2:$AS$620,MATCH('Character Creation'!$Z$12,Skills!$N$1:$AS$1,0),FALSE)</f>
        <v>#N/A</v>
      </c>
      <c r="AJ210" s="4" t="e">
        <f>VLOOKUP($N210,[2]Cultures!$B$4:$M$283,MATCH(AJ$1,[2]Cultures!$B$3:$M$3,0),FALSE)</f>
        <v>#N/A</v>
      </c>
      <c r="AK210" s="4" t="e">
        <f>VLOOKUP($N210,[2]Cultures!$B$4:$M$283,MATCH(AK$1,[2]Cultures!$B$3:$M$3,0),FALSE)</f>
        <v>#N/A</v>
      </c>
      <c r="AL210" s="4" t="e">
        <f>VLOOKUP($N210,[2]Cultures!$B$4:$M$283,MATCH(AL$1,[2]Cultures!$B$3:$M$3,0),FALSE)</f>
        <v>#N/A</v>
      </c>
      <c r="AM210" s="4" t="e">
        <f>VLOOKUP($N210,[2]Cultures!$B$4:$M$283,MATCH(AM$1,[2]Cultures!$B$3:$M$3,0),FALSE)</f>
        <v>#N/A</v>
      </c>
      <c r="AN210" s="4" t="e">
        <f>VLOOKUP($N210,[2]Cultures!$B$4:$M$283,MATCH(AN$1,[2]Cultures!$B$3:$M$3,0),FALSE)</f>
        <v>#N/A</v>
      </c>
      <c r="AO210" s="4" t="e">
        <f>VLOOKUP($N210,[2]Cultures!$B$4:$M$283,MATCH(AO$1,[2]Cultures!$B$3:$M$3,0),FALSE)</f>
        <v>#N/A</v>
      </c>
      <c r="AP210" s="4" t="e">
        <f>VLOOKUP($N210,[2]Cultures!$B$4:$M$283,MATCH(AP$1,[2]Cultures!$B$3:$M$3,0),FALSE)</f>
        <v>#N/A</v>
      </c>
      <c r="AQ210" s="4" t="e">
        <f>VLOOKUP($N210,[2]Cultures!$B$4:$M$283,MATCH(AQ$1,[2]Cultures!$B$3:$M$3,0),FALSE)</f>
        <v>#N/A</v>
      </c>
      <c r="AR210" s="4" t="e">
        <f>VLOOKUP($N210,[2]Cultures!$B$4:$M$283,MATCH(AR$1,[2]Cultures!$B$3:$M$3,0),FALSE)</f>
        <v>#N/A</v>
      </c>
      <c r="AS210" s="4" t="e">
        <f>VLOOKUP($N210,[2]Cultures!$B$4:$M$283,MATCH(AS$1,[2]Cultures!$B$3:$M$3,0),FALSE)</f>
        <v>#N/A</v>
      </c>
      <c r="AT210" s="4"/>
      <c r="AU210" s="4">
        <f>IF(ISNUMBER(SEARCH(N210&amp;";",Calculations!$Q$19)),VLOOKUP(Skills!N210,Calculations!$Q$2:$T$16,4,FALSE),0)</f>
        <v>0</v>
      </c>
      <c r="AV210" s="4">
        <f>IF(ISNUMBER(SEARCH(N210&amp;";",Calculations!$Q$18)),1,0)</f>
        <v>0</v>
      </c>
      <c r="AW210" s="4">
        <f>IF($AV$202=1,1,IF($AV$207=1,1,AV210))</f>
        <v>0</v>
      </c>
      <c r="AX210" s="4">
        <f>VLOOKUP($N210,$N210:$CH210,MATCH('Character Sheet'!$BJ$3,Skills!$N$1:$CH$1,0),FALSE)</f>
        <v>0</v>
      </c>
    </row>
    <row r="211" spans="2:50" x14ac:dyDescent="0.25">
      <c r="B211" s="4" t="e">
        <f t="shared" si="84"/>
        <v>#N/A</v>
      </c>
      <c r="E211" s="4"/>
      <c r="F211" s="4">
        <f t="shared" si="98"/>
        <v>0</v>
      </c>
      <c r="G211" s="4"/>
      <c r="H211" s="4" t="e">
        <f t="shared" si="104"/>
        <v>#N/A</v>
      </c>
      <c r="I211" s="4" t="e">
        <f>IF($J$203=1,1,IF($J$208=1,1,0))</f>
        <v>#N/A</v>
      </c>
      <c r="J211" s="4">
        <f t="shared" si="95"/>
        <v>0</v>
      </c>
      <c r="K211" s="4" t="e">
        <f t="shared" si="107"/>
        <v>#N/A</v>
      </c>
      <c r="M211" t="str">
        <f>"Marine PIloting, "&amp;N211</f>
        <v>Marine PIloting, Sailing Boat</v>
      </c>
      <c r="N211" s="3" t="str">
        <f>'Character Sheet'!BAV11</f>
        <v>Sailing Boat</v>
      </c>
      <c r="O211" s="4" t="s">
        <v>796</v>
      </c>
      <c r="P211" s="4" t="s">
        <v>786</v>
      </c>
      <c r="Q211" s="4" t="e">
        <f t="shared" si="87"/>
        <v>#N/A</v>
      </c>
      <c r="R211" s="4">
        <f>IF(ISNUMBER(SEARCH("Category",N211)),"- -",IF(ISNUMBER(SEARCH("Skills",N211)),"- -",'Level-up'!C229))</f>
        <v>0</v>
      </c>
      <c r="S211" s="4" t="e">
        <f t="shared" si="96"/>
        <v>#N/A</v>
      </c>
      <c r="T211" s="4" t="e">
        <f t="shared" si="97"/>
        <v>#N/A</v>
      </c>
      <c r="U211" s="4">
        <f t="shared" ca="1" si="103"/>
        <v>4</v>
      </c>
      <c r="V211" s="4">
        <f t="shared" si="108"/>
        <v>0</v>
      </c>
      <c r="W211" s="4">
        <f t="shared" si="88"/>
        <v>0</v>
      </c>
      <c r="X211" s="4">
        <f t="shared" si="85"/>
        <v>0</v>
      </c>
      <c r="Y211" s="4">
        <f t="shared" si="99"/>
        <v>0</v>
      </c>
      <c r="Z211" s="4">
        <f t="shared" si="100"/>
        <v>0</v>
      </c>
      <c r="AA211" s="4">
        <f t="shared" si="101"/>
        <v>0</v>
      </c>
      <c r="AB211" s="4">
        <f t="shared" si="102"/>
        <v>0</v>
      </c>
      <c r="AC211" s="8"/>
      <c r="AD211" s="4"/>
      <c r="AE211" s="4"/>
      <c r="AF211" s="4" t="e">
        <f t="shared" si="106"/>
        <v>#N/A</v>
      </c>
      <c r="AG211" s="4"/>
      <c r="AH211" s="4">
        <f>IFERROR(VLOOKUP(M211,Calculations!$AC$2:$AD$251,2,FALSE),0)</f>
        <v>0</v>
      </c>
      <c r="AI211" s="4" t="e">
        <f>VLOOKUP(N211,$N$2:$AS$620,MATCH('Character Creation'!$Z$12,Skills!$N$1:$AS$1,0),FALSE)</f>
        <v>#N/A</v>
      </c>
      <c r="AJ211" s="4" t="e">
        <f>VLOOKUP($N211,[2]Cultures!$B$4:$M$283,MATCH(AJ$1,[2]Cultures!$B$3:$M$3,0),FALSE)</f>
        <v>#N/A</v>
      </c>
      <c r="AK211" s="4" t="e">
        <f>VLOOKUP($N211,[2]Cultures!$B$4:$M$283,MATCH(AK$1,[2]Cultures!$B$3:$M$3,0),FALSE)</f>
        <v>#N/A</v>
      </c>
      <c r="AL211" s="4" t="e">
        <f>VLOOKUP($N211,[2]Cultures!$B$4:$M$283,MATCH(AL$1,[2]Cultures!$B$3:$M$3,0),FALSE)</f>
        <v>#N/A</v>
      </c>
      <c r="AM211" s="4" t="e">
        <f>VLOOKUP($N211,[2]Cultures!$B$4:$M$283,MATCH(AM$1,[2]Cultures!$B$3:$M$3,0),FALSE)</f>
        <v>#N/A</v>
      </c>
      <c r="AN211" s="4" t="e">
        <f>VLOOKUP($N211,[2]Cultures!$B$4:$M$283,MATCH(AN$1,[2]Cultures!$B$3:$M$3,0),FALSE)</f>
        <v>#N/A</v>
      </c>
      <c r="AO211" s="4" t="e">
        <f>VLOOKUP($N211,[2]Cultures!$B$4:$M$283,MATCH(AO$1,[2]Cultures!$B$3:$M$3,0),FALSE)</f>
        <v>#N/A</v>
      </c>
      <c r="AP211" s="4" t="e">
        <f>VLOOKUP($N211,[2]Cultures!$B$4:$M$283,MATCH(AP$1,[2]Cultures!$B$3:$M$3,0),FALSE)</f>
        <v>#N/A</v>
      </c>
      <c r="AQ211" s="4" t="e">
        <f>VLOOKUP($N211,[2]Cultures!$B$4:$M$283,MATCH(AQ$1,[2]Cultures!$B$3:$M$3,0),FALSE)</f>
        <v>#N/A</v>
      </c>
      <c r="AR211" s="4" t="e">
        <f>VLOOKUP($N211,[2]Cultures!$B$4:$M$283,MATCH(AR$1,[2]Cultures!$B$3:$M$3,0),FALSE)</f>
        <v>#N/A</v>
      </c>
      <c r="AS211" s="4" t="e">
        <f>VLOOKUP($N211,[2]Cultures!$B$4:$M$283,MATCH(AS$1,[2]Cultures!$B$3:$M$3,0),FALSE)</f>
        <v>#N/A</v>
      </c>
      <c r="AT211" s="4"/>
      <c r="AU211" s="4">
        <f>IF(ISNUMBER(SEARCH(N211&amp;";",Calculations!$Q$19)),VLOOKUP(Skills!N211,Calculations!$Q$2:$T$16,4,FALSE),0)</f>
        <v>0</v>
      </c>
      <c r="AV211" s="4">
        <f>IF(ISNUMBER(SEARCH(N211&amp;";",Calculations!$Q$18)),1,0)</f>
        <v>0</v>
      </c>
      <c r="AW211" s="4">
        <f>IF($AV$202=1,1,IF($AV$207=1,1,AV211))</f>
        <v>0</v>
      </c>
      <c r="AX211" s="4">
        <f>VLOOKUP($N211,$N211:$CH211,MATCH('Character Sheet'!$BJ$3,Skills!$N$1:$CH$1,0),FALSE)</f>
        <v>0</v>
      </c>
    </row>
    <row r="212" spans="2:50" x14ac:dyDescent="0.25">
      <c r="B212" s="4" t="e">
        <f t="shared" si="84"/>
        <v>#N/A</v>
      </c>
      <c r="E212" s="4"/>
      <c r="F212" s="4">
        <f t="shared" si="98"/>
        <v>0</v>
      </c>
      <c r="G212" s="4"/>
      <c r="H212" s="4" t="e">
        <f t="shared" si="104"/>
        <v>#N/A</v>
      </c>
      <c r="I212" s="4" t="e">
        <f>IF($J$203=1,1,IF($J$208=1,1,0))</f>
        <v>#N/A</v>
      </c>
      <c r="J212" s="4">
        <f t="shared" si="95"/>
        <v>0</v>
      </c>
      <c r="K212" s="4" t="e">
        <f t="shared" si="107"/>
        <v>#N/A</v>
      </c>
      <c r="M212" t="str">
        <f>"Marine PIloting, "&amp;N212</f>
        <v>Marine PIloting, Submarine</v>
      </c>
      <c r="N212" s="3" t="str">
        <f>'Character Sheet'!BAV12</f>
        <v>Submarine</v>
      </c>
      <c r="O212" s="4" t="s">
        <v>796</v>
      </c>
      <c r="P212" s="4" t="s">
        <v>786</v>
      </c>
      <c r="Q212" s="4" t="e">
        <f t="shared" si="87"/>
        <v>#N/A</v>
      </c>
      <c r="R212" s="4">
        <f>IF(ISNUMBER(SEARCH("Category",N212)),"- -",IF(ISNUMBER(SEARCH("Skills",N212)),"- -",'Level-up'!C230))</f>
        <v>0</v>
      </c>
      <c r="S212" s="4" t="e">
        <f t="shared" si="96"/>
        <v>#N/A</v>
      </c>
      <c r="T212" s="4" t="e">
        <f t="shared" si="97"/>
        <v>#N/A</v>
      </c>
      <c r="U212" s="4">
        <f t="shared" ca="1" si="103"/>
        <v>4</v>
      </c>
      <c r="V212" s="4">
        <f t="shared" si="108"/>
        <v>0</v>
      </c>
      <c r="W212" s="4">
        <f t="shared" si="88"/>
        <v>0</v>
      </c>
      <c r="X212" s="4">
        <f t="shared" si="85"/>
        <v>0</v>
      </c>
      <c r="Y212" s="4">
        <f t="shared" si="99"/>
        <v>0</v>
      </c>
      <c r="Z212" s="4">
        <f t="shared" si="100"/>
        <v>0</v>
      </c>
      <c r="AA212" s="4">
        <f t="shared" si="101"/>
        <v>0</v>
      </c>
      <c r="AB212" s="4">
        <f t="shared" si="102"/>
        <v>0</v>
      </c>
      <c r="AC212" s="8"/>
      <c r="AD212" s="4"/>
      <c r="AE212" s="4"/>
      <c r="AF212" s="4" t="e">
        <f t="shared" si="106"/>
        <v>#N/A</v>
      </c>
      <c r="AG212" s="4"/>
      <c r="AH212" s="4">
        <f>IFERROR(VLOOKUP(M212,Calculations!$AC$2:$AD$251,2,FALSE),0)</f>
        <v>0</v>
      </c>
      <c r="AI212" s="4" t="e">
        <f>VLOOKUP(N212,$N$2:$AS$620,MATCH('Character Creation'!$Z$12,Skills!$N$1:$AS$1,0),FALSE)</f>
        <v>#N/A</v>
      </c>
      <c r="AJ212" s="4" t="e">
        <f>VLOOKUP($N212,[2]Cultures!$B$4:$M$283,MATCH(AJ$1,[2]Cultures!$B$3:$M$3,0),FALSE)</f>
        <v>#N/A</v>
      </c>
      <c r="AK212" s="4" t="e">
        <f>VLOOKUP($N212,[2]Cultures!$B$4:$M$283,MATCH(AK$1,[2]Cultures!$B$3:$M$3,0),FALSE)</f>
        <v>#N/A</v>
      </c>
      <c r="AL212" s="4" t="e">
        <f>VLOOKUP($N212,[2]Cultures!$B$4:$M$283,MATCH(AL$1,[2]Cultures!$B$3:$M$3,0),FALSE)</f>
        <v>#N/A</v>
      </c>
      <c r="AM212" s="4" t="e">
        <f>VLOOKUP($N212,[2]Cultures!$B$4:$M$283,MATCH(AM$1,[2]Cultures!$B$3:$M$3,0),FALSE)</f>
        <v>#N/A</v>
      </c>
      <c r="AN212" s="4" t="e">
        <f>VLOOKUP($N212,[2]Cultures!$B$4:$M$283,MATCH(AN$1,[2]Cultures!$B$3:$M$3,0),FALSE)</f>
        <v>#N/A</v>
      </c>
      <c r="AO212" s="4" t="e">
        <f>VLOOKUP($N212,[2]Cultures!$B$4:$M$283,MATCH(AO$1,[2]Cultures!$B$3:$M$3,0),FALSE)</f>
        <v>#N/A</v>
      </c>
      <c r="AP212" s="4" t="e">
        <f>VLOOKUP($N212,[2]Cultures!$B$4:$M$283,MATCH(AP$1,[2]Cultures!$B$3:$M$3,0),FALSE)</f>
        <v>#N/A</v>
      </c>
      <c r="AQ212" s="4" t="e">
        <f>VLOOKUP($N212,[2]Cultures!$B$4:$M$283,MATCH(AQ$1,[2]Cultures!$B$3:$M$3,0),FALSE)</f>
        <v>#N/A</v>
      </c>
      <c r="AR212" s="4" t="e">
        <f>VLOOKUP($N212,[2]Cultures!$B$4:$M$283,MATCH(AR$1,[2]Cultures!$B$3:$M$3,0),FALSE)</f>
        <v>#N/A</v>
      </c>
      <c r="AS212" s="4" t="e">
        <f>VLOOKUP($N212,[2]Cultures!$B$4:$M$283,MATCH(AS$1,[2]Cultures!$B$3:$M$3,0),FALSE)</f>
        <v>#N/A</v>
      </c>
      <c r="AT212" s="4"/>
      <c r="AU212" s="4">
        <f>IF(ISNUMBER(SEARCH(N212&amp;";",Calculations!$Q$19)),VLOOKUP(Skills!N212,Calculations!$Q$2:$T$16,4,FALSE),0)</f>
        <v>0</v>
      </c>
      <c r="AV212" s="4">
        <f>IF(ISNUMBER(SEARCH(N212&amp;";",Calculations!$Q$18)),1,0)</f>
        <v>0</v>
      </c>
      <c r="AW212" s="4">
        <f>IF($AV$202=1,1,IF($AV$207=1,1,AV212))</f>
        <v>0</v>
      </c>
      <c r="AX212" s="4">
        <f>VLOOKUP($N212,$N212:$CH212,MATCH('Character Sheet'!$BJ$3,Skills!$N$1:$CH$1,0),FALSE)</f>
        <v>0</v>
      </c>
    </row>
    <row r="213" spans="2:50" x14ac:dyDescent="0.25">
      <c r="B213" s="4" t="e">
        <f t="shared" si="84"/>
        <v>#N/A</v>
      </c>
      <c r="E213" s="4"/>
      <c r="F213" s="4">
        <f t="shared" si="98"/>
        <v>0</v>
      </c>
      <c r="G213" s="4"/>
      <c r="H213" s="4" t="e">
        <f t="shared" si="104"/>
        <v>#N/A</v>
      </c>
      <c r="I213" s="4" t="e">
        <f>IF($J$203=1,1,IF($J$214=1,1,0))</f>
        <v>#N/A</v>
      </c>
      <c r="J213" s="4">
        <f t="shared" si="95"/>
        <v>0</v>
      </c>
      <c r="K213" s="4" t="e">
        <f t="shared" si="107"/>
        <v>#N/A</v>
      </c>
      <c r="N213" s="3" t="s">
        <v>662</v>
      </c>
      <c r="O213" s="6" t="s">
        <v>782</v>
      </c>
      <c r="P213" s="6" t="s">
        <v>782</v>
      </c>
      <c r="Q213" s="4" t="str">
        <f t="shared" si="87"/>
        <v>- -</v>
      </c>
      <c r="R213" s="4" t="str">
        <f>IF(ISNUMBER(SEARCH("Category",N213)),"- -",IF(ISNUMBER(SEARCH("Skills",N213)),"- -",'Level-up'!C231))</f>
        <v>- -</v>
      </c>
      <c r="S213" s="4" t="str">
        <f t="shared" si="96"/>
        <v>- -</v>
      </c>
      <c r="T213" s="4" t="str">
        <f t="shared" si="97"/>
        <v>- -</v>
      </c>
      <c r="U213" s="4" t="str">
        <f t="shared" ca="1" si="103"/>
        <v>- -</v>
      </c>
      <c r="V213" s="4" t="str">
        <f t="shared" si="108"/>
        <v>- -</v>
      </c>
      <c r="W213" s="4" t="str">
        <f t="shared" si="88"/>
        <v>- -</v>
      </c>
      <c r="X213" s="4" t="str">
        <f t="shared" si="85"/>
        <v>- -</v>
      </c>
      <c r="Y213" s="4" t="str">
        <f t="shared" si="99"/>
        <v>- -</v>
      </c>
      <c r="Z213" s="4" t="str">
        <f t="shared" si="100"/>
        <v>- -</v>
      </c>
      <c r="AA213" s="4" t="str">
        <f t="shared" si="101"/>
        <v>- -</v>
      </c>
      <c r="AB213" s="4" t="str">
        <f t="shared" si="102"/>
        <v>- -</v>
      </c>
      <c r="AC213" s="8"/>
      <c r="AD213" s="4"/>
      <c r="AE213" s="4"/>
      <c r="AF213" s="4" t="str">
        <f t="shared" si="106"/>
        <v>- -</v>
      </c>
      <c r="AG213" s="4"/>
      <c r="AH213" s="4">
        <f>IFERROR(VLOOKUP(M213,Calculations!$AC$2:$AD$251,2,FALSE),0)</f>
        <v>0</v>
      </c>
      <c r="AI213" s="4" t="e">
        <f>VLOOKUP(N213,$N$2:$AS$620,MATCH('Character Creation'!$Z$12,Skills!$N$1:$AS$1,0),FALSE)</f>
        <v>#N/A</v>
      </c>
      <c r="AJ213" s="4" t="e">
        <f>VLOOKUP($N213,[2]Cultures!$B$4:$M$283,MATCH(AJ$1,[2]Cultures!$B$3:$M$3,0),FALSE)</f>
        <v>#N/A</v>
      </c>
      <c r="AK213" s="4" t="e">
        <f>VLOOKUP($N213,[2]Cultures!$B$4:$M$283,MATCH(AK$1,[2]Cultures!$B$3:$M$3,0),FALSE)</f>
        <v>#N/A</v>
      </c>
      <c r="AL213" s="4" t="e">
        <f>VLOOKUP($N213,[2]Cultures!$B$4:$M$283,MATCH(AL$1,[2]Cultures!$B$3:$M$3,0),FALSE)</f>
        <v>#N/A</v>
      </c>
      <c r="AM213" s="4" t="e">
        <f>VLOOKUP($N213,[2]Cultures!$B$4:$M$283,MATCH(AM$1,[2]Cultures!$B$3:$M$3,0),FALSE)</f>
        <v>#N/A</v>
      </c>
      <c r="AN213" s="4" t="e">
        <f>VLOOKUP($N213,[2]Cultures!$B$4:$M$283,MATCH(AN$1,[2]Cultures!$B$3:$M$3,0),FALSE)</f>
        <v>#N/A</v>
      </c>
      <c r="AO213" s="4" t="e">
        <f>VLOOKUP($N213,[2]Cultures!$B$4:$M$283,MATCH(AO$1,[2]Cultures!$B$3:$M$3,0),FALSE)</f>
        <v>#N/A</v>
      </c>
      <c r="AP213" s="4" t="e">
        <f>VLOOKUP($N213,[2]Cultures!$B$4:$M$283,MATCH(AP$1,[2]Cultures!$B$3:$M$3,0),FALSE)</f>
        <v>#N/A</v>
      </c>
      <c r="AQ213" s="4" t="e">
        <f>VLOOKUP($N213,[2]Cultures!$B$4:$M$283,MATCH(AQ$1,[2]Cultures!$B$3:$M$3,0),FALSE)</f>
        <v>#N/A</v>
      </c>
      <c r="AR213" s="4" t="e">
        <f>VLOOKUP($N213,[2]Cultures!$B$4:$M$283,MATCH(AR$1,[2]Cultures!$B$3:$M$3,0),FALSE)</f>
        <v>#N/A</v>
      </c>
      <c r="AS213" s="4" t="e">
        <f>VLOOKUP($N213,[2]Cultures!$B$4:$M$283,MATCH(AS$1,[2]Cultures!$B$3:$M$3,0),FALSE)</f>
        <v>#N/A</v>
      </c>
      <c r="AT213" s="4"/>
      <c r="AU213" s="4">
        <f>IF(ISNUMBER(SEARCH(N213&amp;";",Calculations!$Q$19)),VLOOKUP(Skills!N213,Calculations!$Q$2:$T$16,4,FALSE),0)</f>
        <v>0</v>
      </c>
      <c r="AV213" s="4">
        <f>IF(ISNUMBER(SEARCH(N213&amp;";",Calculations!$Q$18)),1,0)</f>
        <v>0</v>
      </c>
      <c r="AW213" s="4"/>
      <c r="AX213" s="4">
        <f>VLOOKUP($N213,$N213:$CH213,MATCH('Character Sheet'!$BJ$3,Skills!$N$1:$CH$1,0),FALSE)</f>
        <v>0</v>
      </c>
    </row>
    <row r="214" spans="2:50" x14ac:dyDescent="0.25">
      <c r="B214" s="4" t="e">
        <f t="shared" si="84"/>
        <v>#N/A</v>
      </c>
      <c r="E214" s="4"/>
      <c r="F214" s="4">
        <f t="shared" si="98"/>
        <v>0</v>
      </c>
      <c r="G214" s="4"/>
      <c r="H214" s="4" t="e">
        <f t="shared" si="104"/>
        <v>#N/A</v>
      </c>
      <c r="I214" s="4">
        <v>0</v>
      </c>
      <c r="J214" s="4" t="e">
        <f t="shared" si="95"/>
        <v>#N/A</v>
      </c>
      <c r="K214" s="4" t="e">
        <f t="shared" si="107"/>
        <v>#N/A</v>
      </c>
      <c r="N214" s="3" t="s">
        <v>663</v>
      </c>
      <c r="O214" s="6" t="s">
        <v>782</v>
      </c>
      <c r="P214" s="6" t="s">
        <v>782</v>
      </c>
      <c r="Q214" s="4" t="str">
        <f t="shared" si="87"/>
        <v>- -</v>
      </c>
      <c r="R214" s="4" t="str">
        <f>IF(ISNUMBER(SEARCH("Category",N214)),"- -",IF(ISNUMBER(SEARCH("Skills",N214)),"- -",'Level-up'!C232))</f>
        <v>- -</v>
      </c>
      <c r="S214" s="4" t="str">
        <f t="shared" si="96"/>
        <v>- -</v>
      </c>
      <c r="T214" s="4" t="str">
        <f t="shared" si="97"/>
        <v>- -</v>
      </c>
      <c r="U214" s="4" t="str">
        <f t="shared" ca="1" si="103"/>
        <v>- -</v>
      </c>
      <c r="V214" s="4" t="str">
        <f t="shared" si="108"/>
        <v>- -</v>
      </c>
      <c r="W214" s="4" t="str">
        <f t="shared" si="88"/>
        <v>- -</v>
      </c>
      <c r="X214" s="4" t="str">
        <f t="shared" si="85"/>
        <v>- -</v>
      </c>
      <c r="Y214" s="4" t="str">
        <f t="shared" si="99"/>
        <v>- -</v>
      </c>
      <c r="Z214" s="4" t="str">
        <f t="shared" si="100"/>
        <v>- -</v>
      </c>
      <c r="AA214" s="4" t="str">
        <f t="shared" si="101"/>
        <v>- -</v>
      </c>
      <c r="AB214" s="4" t="str">
        <f t="shared" si="102"/>
        <v>- -</v>
      </c>
      <c r="AC214" s="8"/>
      <c r="AD214" s="4"/>
      <c r="AE214" s="4"/>
      <c r="AF214" s="4" t="str">
        <f t="shared" si="106"/>
        <v>- -</v>
      </c>
      <c r="AG214" s="4"/>
      <c r="AH214" s="4">
        <f>IFERROR(VLOOKUP(M214,Calculations!$AC$2:$AD$251,2,FALSE),0)</f>
        <v>0</v>
      </c>
      <c r="AI214" s="4" t="e">
        <f>VLOOKUP(N214,$N$2:$AS$620,MATCH('Character Creation'!$Z$12,Skills!$N$1:$AS$1,0),FALSE)</f>
        <v>#N/A</v>
      </c>
      <c r="AJ214" s="4" t="e">
        <f>VLOOKUP($N214,[2]Cultures!$B$4:$M$283,MATCH(AJ$1,[2]Cultures!$B$3:$M$3,0),FALSE)</f>
        <v>#N/A</v>
      </c>
      <c r="AK214" s="4" t="e">
        <f>VLOOKUP($N214,[2]Cultures!$B$4:$M$283,MATCH(AK$1,[2]Cultures!$B$3:$M$3,0),FALSE)</f>
        <v>#N/A</v>
      </c>
      <c r="AL214" s="4" t="e">
        <f>VLOOKUP($N214,[2]Cultures!$B$4:$M$283,MATCH(AL$1,[2]Cultures!$B$3:$M$3,0),FALSE)</f>
        <v>#N/A</v>
      </c>
      <c r="AM214" s="4" t="e">
        <f>VLOOKUP($N214,[2]Cultures!$B$4:$M$283,MATCH(AM$1,[2]Cultures!$B$3:$M$3,0),FALSE)</f>
        <v>#N/A</v>
      </c>
      <c r="AN214" s="4" t="e">
        <f>VLOOKUP($N214,[2]Cultures!$B$4:$M$283,MATCH(AN$1,[2]Cultures!$B$3:$M$3,0),FALSE)</f>
        <v>#N/A</v>
      </c>
      <c r="AO214" s="4" t="e">
        <f>VLOOKUP($N214,[2]Cultures!$B$4:$M$283,MATCH(AO$1,[2]Cultures!$B$3:$M$3,0),FALSE)</f>
        <v>#N/A</v>
      </c>
      <c r="AP214" s="4" t="e">
        <f>VLOOKUP($N214,[2]Cultures!$B$4:$M$283,MATCH(AP$1,[2]Cultures!$B$3:$M$3,0),FALSE)</f>
        <v>#N/A</v>
      </c>
      <c r="AQ214" s="4" t="e">
        <f>VLOOKUP($N214,[2]Cultures!$B$4:$M$283,MATCH(AQ$1,[2]Cultures!$B$3:$M$3,0),FALSE)</f>
        <v>#N/A</v>
      </c>
      <c r="AR214" s="4" t="e">
        <f>VLOOKUP($N214,[2]Cultures!$B$4:$M$283,MATCH(AR$1,[2]Cultures!$B$3:$M$3,0),FALSE)</f>
        <v>#N/A</v>
      </c>
      <c r="AS214" s="4" t="e">
        <f>VLOOKUP($N214,[2]Cultures!$B$4:$M$283,MATCH(AS$1,[2]Cultures!$B$3:$M$3,0),FALSE)</f>
        <v>#N/A</v>
      </c>
      <c r="AT214" s="4"/>
      <c r="AU214" s="4">
        <f>IF(ISNUMBER(SEARCH(N214&amp;";",Calculations!$Q$19)),VLOOKUP(Skills!N214,Calculations!$Q$2:$T$16,4,FALSE),0)</f>
        <v>0</v>
      </c>
      <c r="AV214" s="4">
        <f>IF(ISNUMBER(SEARCH(N214&amp;";",Calculations!$Q$18)),1,0)</f>
        <v>0</v>
      </c>
      <c r="AW214" s="4"/>
      <c r="AX214" s="4">
        <f>VLOOKUP($N214,$N214:$CH214,MATCH('Character Sheet'!$BJ$3,Skills!$N$1:$CH$1,0),FALSE)</f>
        <v>0</v>
      </c>
    </row>
    <row r="215" spans="2:50" x14ac:dyDescent="0.25">
      <c r="B215" s="4" t="e">
        <f t="shared" si="84"/>
        <v>#N/A</v>
      </c>
      <c r="E215" s="4"/>
      <c r="F215" s="4">
        <f t="shared" si="98"/>
        <v>0</v>
      </c>
      <c r="G215" s="4"/>
      <c r="H215" s="4" t="e">
        <f t="shared" si="104"/>
        <v>#N/A</v>
      </c>
      <c r="I215" s="4" t="e">
        <f>IF($J$203=1,1,IF($J$214=1,1,0))</f>
        <v>#N/A</v>
      </c>
      <c r="J215" s="4">
        <f t="shared" si="95"/>
        <v>0</v>
      </c>
      <c r="K215" s="4" t="e">
        <f t="shared" si="107"/>
        <v>#N/A</v>
      </c>
      <c r="M215" t="str">
        <f>"Driving, "&amp;N215</f>
        <v>Driving, Horse-drawn Carriage</v>
      </c>
      <c r="N215" s="3" t="str">
        <f>'Character Sheet'!BAV16</f>
        <v>Horse-drawn Carriage</v>
      </c>
      <c r="O215" s="4" t="s">
        <v>796</v>
      </c>
      <c r="P215" s="4" t="s">
        <v>786</v>
      </c>
      <c r="Q215" s="4" t="e">
        <f t="shared" si="87"/>
        <v>#N/A</v>
      </c>
      <c r="R215" s="4">
        <f>IF(ISNUMBER(SEARCH("Category",N215)),"- -",IF(ISNUMBER(SEARCH("Skills",N215)),"- -",'Level-up'!C233))</f>
        <v>0</v>
      </c>
      <c r="S215" s="4" t="e">
        <f t="shared" si="96"/>
        <v>#N/A</v>
      </c>
      <c r="T215" s="4" t="e">
        <f t="shared" si="97"/>
        <v>#N/A</v>
      </c>
      <c r="U215" s="4">
        <f t="shared" ca="1" si="103"/>
        <v>4</v>
      </c>
      <c r="V215" s="4">
        <f>IF(ISNUMBER(SEARCH("Category",N215)),"- -",IF(ISNUMBER(SEARCH("Skills",N215)),"- -",IF(AU215&gt;0,AU215,IF($AU$213&gt;0,$AU$213,$AU$202))))</f>
        <v>0</v>
      </c>
      <c r="W215" s="4">
        <f t="shared" si="88"/>
        <v>0</v>
      </c>
      <c r="X215" s="4">
        <f t="shared" si="85"/>
        <v>0</v>
      </c>
      <c r="Y215" s="4">
        <f t="shared" si="99"/>
        <v>0</v>
      </c>
      <c r="Z215" s="4">
        <f t="shared" si="100"/>
        <v>0</v>
      </c>
      <c r="AA215" s="4">
        <f t="shared" si="101"/>
        <v>0</v>
      </c>
      <c r="AB215" s="4">
        <f t="shared" si="102"/>
        <v>0</v>
      </c>
      <c r="AC215" s="8"/>
      <c r="AD215" s="4"/>
      <c r="AE215" s="4"/>
      <c r="AF215" s="4" t="e">
        <f t="shared" si="106"/>
        <v>#N/A</v>
      </c>
      <c r="AG215" s="4"/>
      <c r="AH215" s="4">
        <f>IFERROR(VLOOKUP(M215,Calculations!$AC$2:$AD$251,2,FALSE),0)</f>
        <v>0</v>
      </c>
      <c r="AI215" s="4" t="e">
        <f>VLOOKUP(N215,$N$2:$AS$620,MATCH('Character Creation'!$Z$12,Skills!$N$1:$AS$1,0),FALSE)</f>
        <v>#N/A</v>
      </c>
      <c r="AJ215" s="4" t="e">
        <f>VLOOKUP($N215,[2]Cultures!$B$4:$M$283,MATCH(AJ$1,[2]Cultures!$B$3:$M$3,0),FALSE)</f>
        <v>#N/A</v>
      </c>
      <c r="AK215" s="4" t="e">
        <f>VLOOKUP($N215,[2]Cultures!$B$4:$M$283,MATCH(AK$1,[2]Cultures!$B$3:$M$3,0),FALSE)</f>
        <v>#N/A</v>
      </c>
      <c r="AL215" s="4" t="e">
        <f>VLOOKUP($N215,[2]Cultures!$B$4:$M$283,MATCH(AL$1,[2]Cultures!$B$3:$M$3,0),FALSE)</f>
        <v>#N/A</v>
      </c>
      <c r="AM215" s="4" t="e">
        <f>VLOOKUP($N215,[2]Cultures!$B$4:$M$283,MATCH(AM$1,[2]Cultures!$B$3:$M$3,0),FALSE)</f>
        <v>#N/A</v>
      </c>
      <c r="AN215" s="4" t="e">
        <f>VLOOKUP($N215,[2]Cultures!$B$4:$M$283,MATCH(AN$1,[2]Cultures!$B$3:$M$3,0),FALSE)</f>
        <v>#N/A</v>
      </c>
      <c r="AO215" s="4" t="e">
        <f>VLOOKUP($N215,[2]Cultures!$B$4:$M$283,MATCH(AO$1,[2]Cultures!$B$3:$M$3,0),FALSE)</f>
        <v>#N/A</v>
      </c>
      <c r="AP215" s="4" t="e">
        <f>VLOOKUP($N215,[2]Cultures!$B$4:$M$283,MATCH(AP$1,[2]Cultures!$B$3:$M$3,0),FALSE)</f>
        <v>#N/A</v>
      </c>
      <c r="AQ215" s="4" t="e">
        <f>VLOOKUP($N215,[2]Cultures!$B$4:$M$283,MATCH(AQ$1,[2]Cultures!$B$3:$M$3,0),FALSE)</f>
        <v>#N/A</v>
      </c>
      <c r="AR215" s="4" t="e">
        <f>VLOOKUP($N215,[2]Cultures!$B$4:$M$283,MATCH(AR$1,[2]Cultures!$B$3:$M$3,0),FALSE)</f>
        <v>#N/A</v>
      </c>
      <c r="AS215" s="4" t="e">
        <f>VLOOKUP($N215,[2]Cultures!$B$4:$M$283,MATCH(AS$1,[2]Cultures!$B$3:$M$3,0),FALSE)</f>
        <v>#N/A</v>
      </c>
      <c r="AT215" s="4"/>
      <c r="AU215" s="4">
        <f>IF(ISNUMBER(SEARCH(N215&amp;";",Calculations!$Q$19)),VLOOKUP(Skills!N215,Calculations!$Q$2:$T$16,4,FALSE),0)</f>
        <v>0</v>
      </c>
      <c r="AV215" s="4">
        <f>IF(ISNUMBER(SEARCH(N215&amp;";",Calculations!$Q$18)),1,0)</f>
        <v>0</v>
      </c>
      <c r="AW215" s="4">
        <f>IF($AV$202=1,1,IF($AV$213=1,1,AV215))</f>
        <v>0</v>
      </c>
      <c r="AX215" s="4">
        <f>VLOOKUP($N215,$N215:$CH215,MATCH('Character Sheet'!$BJ$3,Skills!$N$1:$CH$1,0),FALSE)</f>
        <v>0</v>
      </c>
    </row>
    <row r="216" spans="2:50" x14ac:dyDescent="0.25">
      <c r="B216" s="4" t="e">
        <f t="shared" si="84"/>
        <v>#N/A</v>
      </c>
      <c r="E216" s="4"/>
      <c r="F216" s="4">
        <f t="shared" si="98"/>
        <v>0</v>
      </c>
      <c r="G216" s="4"/>
      <c r="H216" s="4" t="e">
        <f t="shared" si="104"/>
        <v>#N/A</v>
      </c>
      <c r="I216" s="4" t="e">
        <f>IF($J$203=1,1,IF($J$214=1,1,0))</f>
        <v>#N/A</v>
      </c>
      <c r="J216" s="4">
        <f t="shared" si="95"/>
        <v>0</v>
      </c>
      <c r="K216" s="4" t="e">
        <f t="shared" si="107"/>
        <v>#N/A</v>
      </c>
      <c r="M216" t="str">
        <f>"Driving, "&amp;N216</f>
        <v>Driving, Locomotive</v>
      </c>
      <c r="N216" s="3" t="str">
        <f>'Character Sheet'!BAV17</f>
        <v>Locomotive</v>
      </c>
      <c r="O216" s="4" t="s">
        <v>796</v>
      </c>
      <c r="P216" s="4" t="s">
        <v>786</v>
      </c>
      <c r="Q216" s="4" t="e">
        <f t="shared" si="87"/>
        <v>#N/A</v>
      </c>
      <c r="R216" s="4">
        <f>IF(ISNUMBER(SEARCH("Category",N216)),"- -",IF(ISNUMBER(SEARCH("Skills",N216)),"- -",'Level-up'!C234))</f>
        <v>0</v>
      </c>
      <c r="S216" s="4" t="e">
        <f t="shared" si="96"/>
        <v>#N/A</v>
      </c>
      <c r="T216" s="4" t="e">
        <f t="shared" si="97"/>
        <v>#N/A</v>
      </c>
      <c r="U216" s="4">
        <f t="shared" ca="1" si="103"/>
        <v>4</v>
      </c>
      <c r="V216" s="4">
        <f>IF(ISNUMBER(SEARCH("Category",N216)),"- -",IF(ISNUMBER(SEARCH("Skills",N216)),"- -",IF(AU216&gt;0,AU216,IF($AU$213&gt;0,$AU$213,$AU$202))))</f>
        <v>0</v>
      </c>
      <c r="W216" s="4">
        <f t="shared" si="88"/>
        <v>0</v>
      </c>
      <c r="X216" s="4">
        <f t="shared" si="85"/>
        <v>0</v>
      </c>
      <c r="Y216" s="4">
        <f t="shared" si="99"/>
        <v>0</v>
      </c>
      <c r="Z216" s="4">
        <f t="shared" si="100"/>
        <v>0</v>
      </c>
      <c r="AA216" s="4">
        <f t="shared" si="101"/>
        <v>0</v>
      </c>
      <c r="AB216" s="4">
        <f t="shared" si="102"/>
        <v>0</v>
      </c>
      <c r="AC216" s="8"/>
      <c r="AD216" s="4"/>
      <c r="AE216" s="4"/>
      <c r="AF216" s="4" t="e">
        <f t="shared" si="106"/>
        <v>#N/A</v>
      </c>
      <c r="AG216" s="4"/>
      <c r="AH216" s="4">
        <f>IFERROR(VLOOKUP(M216,Calculations!$AC$2:$AD$251,2,FALSE),0)</f>
        <v>0</v>
      </c>
      <c r="AI216" s="4" t="e">
        <f>VLOOKUP(N216,$N$2:$AS$620,MATCH('Character Creation'!$Z$12,Skills!$N$1:$AS$1,0),FALSE)</f>
        <v>#N/A</v>
      </c>
      <c r="AJ216" s="4" t="e">
        <f>VLOOKUP($N216,[2]Cultures!$B$4:$M$283,MATCH(AJ$1,[2]Cultures!$B$3:$M$3,0),FALSE)</f>
        <v>#N/A</v>
      </c>
      <c r="AK216" s="4" t="e">
        <f>VLOOKUP($N216,[2]Cultures!$B$4:$M$283,MATCH(AK$1,[2]Cultures!$B$3:$M$3,0),FALSE)</f>
        <v>#N/A</v>
      </c>
      <c r="AL216" s="4" t="e">
        <f>VLOOKUP($N216,[2]Cultures!$B$4:$M$283,MATCH(AL$1,[2]Cultures!$B$3:$M$3,0),FALSE)</f>
        <v>#N/A</v>
      </c>
      <c r="AM216" s="4" t="e">
        <f>VLOOKUP($N216,[2]Cultures!$B$4:$M$283,MATCH(AM$1,[2]Cultures!$B$3:$M$3,0),FALSE)</f>
        <v>#N/A</v>
      </c>
      <c r="AN216" s="4" t="e">
        <f>VLOOKUP($N216,[2]Cultures!$B$4:$M$283,MATCH(AN$1,[2]Cultures!$B$3:$M$3,0),FALSE)</f>
        <v>#N/A</v>
      </c>
      <c r="AO216" s="4" t="e">
        <f>VLOOKUP($N216,[2]Cultures!$B$4:$M$283,MATCH(AO$1,[2]Cultures!$B$3:$M$3,0),FALSE)</f>
        <v>#N/A</v>
      </c>
      <c r="AP216" s="4" t="e">
        <f>VLOOKUP($N216,[2]Cultures!$B$4:$M$283,MATCH(AP$1,[2]Cultures!$B$3:$M$3,0),FALSE)</f>
        <v>#N/A</v>
      </c>
      <c r="AQ216" s="4" t="e">
        <f>VLOOKUP($N216,[2]Cultures!$B$4:$M$283,MATCH(AQ$1,[2]Cultures!$B$3:$M$3,0),FALSE)</f>
        <v>#N/A</v>
      </c>
      <c r="AR216" s="4" t="e">
        <f>VLOOKUP($N216,[2]Cultures!$B$4:$M$283,MATCH(AR$1,[2]Cultures!$B$3:$M$3,0),FALSE)</f>
        <v>#N/A</v>
      </c>
      <c r="AS216" s="4" t="e">
        <f>VLOOKUP($N216,[2]Cultures!$B$4:$M$283,MATCH(AS$1,[2]Cultures!$B$3:$M$3,0),FALSE)</f>
        <v>#N/A</v>
      </c>
      <c r="AT216" s="4"/>
      <c r="AU216" s="4">
        <f>IF(ISNUMBER(SEARCH(N216&amp;";",Calculations!$Q$19)),VLOOKUP(Skills!N216,Calculations!$Q$2:$T$16,4,FALSE),0)</f>
        <v>0</v>
      </c>
      <c r="AV216" s="4">
        <f>IF(ISNUMBER(SEARCH(N216&amp;";",Calculations!$Q$18)),1,0)</f>
        <v>0</v>
      </c>
      <c r="AW216" s="4">
        <f>IF($AV$202=1,1,IF($AV$213=1,1,AV216))</f>
        <v>0</v>
      </c>
      <c r="AX216" s="4">
        <f>VLOOKUP($N216,$N216:$CH216,MATCH('Character Sheet'!$BJ$3,Skills!$N$1:$CH$1,0),FALSE)</f>
        <v>0</v>
      </c>
    </row>
    <row r="217" spans="2:50" x14ac:dyDescent="0.25">
      <c r="B217" s="4" t="e">
        <f t="shared" si="84"/>
        <v>#N/A</v>
      </c>
      <c r="E217" s="4"/>
      <c r="F217" s="4">
        <f t="shared" si="98"/>
        <v>0</v>
      </c>
      <c r="G217" s="4"/>
      <c r="H217" s="4" t="e">
        <f t="shared" si="104"/>
        <v>#N/A</v>
      </c>
      <c r="I217" s="4" t="e">
        <f>IF($J$203=1,1,IF($J$214=1,1,0))</f>
        <v>#N/A</v>
      </c>
      <c r="J217" s="4">
        <f t="shared" si="95"/>
        <v>0</v>
      </c>
      <c r="K217" s="4" t="e">
        <f t="shared" si="107"/>
        <v>#N/A</v>
      </c>
      <c r="M217" t="str">
        <f>"Driving, "&amp;N217</f>
        <v>Driving, Stagecoach</v>
      </c>
      <c r="N217" s="3" t="str">
        <f>'Character Sheet'!BAV18</f>
        <v>Stagecoach</v>
      </c>
      <c r="O217" s="4" t="s">
        <v>796</v>
      </c>
      <c r="P217" s="4" t="s">
        <v>786</v>
      </c>
      <c r="Q217" s="4" t="e">
        <f t="shared" si="87"/>
        <v>#N/A</v>
      </c>
      <c r="R217" s="4">
        <f>IF(ISNUMBER(SEARCH("Category",N217)),"- -",IF(ISNUMBER(SEARCH("Skills",N217)),"- -",'Level-up'!C235))</f>
        <v>0</v>
      </c>
      <c r="S217" s="4" t="e">
        <f t="shared" si="96"/>
        <v>#N/A</v>
      </c>
      <c r="T217" s="4" t="e">
        <f t="shared" si="97"/>
        <v>#N/A</v>
      </c>
      <c r="U217" s="4">
        <f t="shared" ca="1" si="103"/>
        <v>4</v>
      </c>
      <c r="V217" s="4">
        <f>IF(ISNUMBER(SEARCH("Category",N217)),"- -",IF(ISNUMBER(SEARCH("Skills",N217)),"- -",IF(AU217&gt;0,AU217,IF($AU$213&gt;0,$AU$213,$AU$202))))</f>
        <v>0</v>
      </c>
      <c r="W217" s="4">
        <f t="shared" si="88"/>
        <v>0</v>
      </c>
      <c r="X217" s="4">
        <f t="shared" si="85"/>
        <v>0</v>
      </c>
      <c r="Y217" s="4">
        <f t="shared" si="99"/>
        <v>0</v>
      </c>
      <c r="Z217" s="4">
        <f t="shared" si="100"/>
        <v>0</v>
      </c>
      <c r="AA217" s="4">
        <f t="shared" si="101"/>
        <v>0</v>
      </c>
      <c r="AB217" s="4">
        <f t="shared" si="102"/>
        <v>0</v>
      </c>
      <c r="AC217" s="8"/>
      <c r="AD217" s="4"/>
      <c r="AE217" s="4"/>
      <c r="AF217" s="4" t="e">
        <f t="shared" si="106"/>
        <v>#N/A</v>
      </c>
      <c r="AG217" s="4"/>
      <c r="AH217" s="4">
        <f>IFERROR(VLOOKUP(M217,Calculations!$AC$2:$AD$251,2,FALSE),0)</f>
        <v>0</v>
      </c>
      <c r="AI217" s="4" t="e">
        <f>VLOOKUP(N217,$N$2:$AS$620,MATCH('Character Creation'!$Z$12,Skills!$N$1:$AS$1,0),FALSE)</f>
        <v>#N/A</v>
      </c>
      <c r="AJ217" s="4" t="e">
        <f>VLOOKUP($N217,[2]Cultures!$B$4:$M$283,MATCH(AJ$1,[2]Cultures!$B$3:$M$3,0),FALSE)</f>
        <v>#N/A</v>
      </c>
      <c r="AK217" s="4" t="e">
        <f>VLOOKUP($N217,[2]Cultures!$B$4:$M$283,MATCH(AK$1,[2]Cultures!$B$3:$M$3,0),FALSE)</f>
        <v>#N/A</v>
      </c>
      <c r="AL217" s="4" t="e">
        <f>VLOOKUP($N217,[2]Cultures!$B$4:$M$283,MATCH(AL$1,[2]Cultures!$B$3:$M$3,0),FALSE)</f>
        <v>#N/A</v>
      </c>
      <c r="AM217" s="4" t="e">
        <f>VLOOKUP($N217,[2]Cultures!$B$4:$M$283,MATCH(AM$1,[2]Cultures!$B$3:$M$3,0),FALSE)</f>
        <v>#N/A</v>
      </c>
      <c r="AN217" s="4" t="e">
        <f>VLOOKUP($N217,[2]Cultures!$B$4:$M$283,MATCH(AN$1,[2]Cultures!$B$3:$M$3,0),FALSE)</f>
        <v>#N/A</v>
      </c>
      <c r="AO217" s="4" t="e">
        <f>VLOOKUP($N217,[2]Cultures!$B$4:$M$283,MATCH(AO$1,[2]Cultures!$B$3:$M$3,0),FALSE)</f>
        <v>#N/A</v>
      </c>
      <c r="AP217" s="4" t="e">
        <f>VLOOKUP($N217,[2]Cultures!$B$4:$M$283,MATCH(AP$1,[2]Cultures!$B$3:$M$3,0),FALSE)</f>
        <v>#N/A</v>
      </c>
      <c r="AQ217" s="4" t="e">
        <f>VLOOKUP($N217,[2]Cultures!$B$4:$M$283,MATCH(AQ$1,[2]Cultures!$B$3:$M$3,0),FALSE)</f>
        <v>#N/A</v>
      </c>
      <c r="AR217" s="4" t="e">
        <f>VLOOKUP($N217,[2]Cultures!$B$4:$M$283,MATCH(AR$1,[2]Cultures!$B$3:$M$3,0),FALSE)</f>
        <v>#N/A</v>
      </c>
      <c r="AS217" s="4" t="e">
        <f>VLOOKUP($N217,[2]Cultures!$B$4:$M$283,MATCH(AS$1,[2]Cultures!$B$3:$M$3,0),FALSE)</f>
        <v>#N/A</v>
      </c>
      <c r="AT217" s="4"/>
      <c r="AU217" s="4">
        <f>IF(ISNUMBER(SEARCH(N217&amp;";",Calculations!$Q$19)),VLOOKUP(Skills!N217,Calculations!$Q$2:$T$16,4,FALSE),0)</f>
        <v>0</v>
      </c>
      <c r="AV217" s="4">
        <f>IF(ISNUMBER(SEARCH(N217&amp;";",Calculations!$Q$18)),1,0)</f>
        <v>0</v>
      </c>
      <c r="AW217" s="4">
        <f>IF($AV$202=1,1,IF($AV$213=1,1,AV217))</f>
        <v>0</v>
      </c>
      <c r="AX217" s="4">
        <f>VLOOKUP($N217,$N217:$CH217,MATCH('Character Sheet'!$BJ$3,Skills!$N$1:$CH$1,0),FALSE)</f>
        <v>0</v>
      </c>
    </row>
    <row r="218" spans="2:50" x14ac:dyDescent="0.25">
      <c r="B218" s="4" t="e">
        <f t="shared" si="84"/>
        <v>#N/A</v>
      </c>
      <c r="E218" s="4"/>
      <c r="F218" s="4">
        <f t="shared" si="98"/>
        <v>0</v>
      </c>
      <c r="G218" s="4"/>
      <c r="H218" s="4" t="e">
        <f t="shared" si="104"/>
        <v>#N/A</v>
      </c>
      <c r="I218" s="4" t="e">
        <f>IF($J$203=1,1,IF($J$219=1,1,0))</f>
        <v>#N/A</v>
      </c>
      <c r="J218" s="4">
        <f t="shared" si="95"/>
        <v>0</v>
      </c>
      <c r="K218" s="4" t="e">
        <f t="shared" si="107"/>
        <v>#N/A</v>
      </c>
      <c r="N218" s="3" t="s">
        <v>664</v>
      </c>
      <c r="O218" s="6" t="s">
        <v>782</v>
      </c>
      <c r="P218" s="6" t="s">
        <v>782</v>
      </c>
      <c r="Q218" s="4" t="str">
        <f t="shared" si="87"/>
        <v>- -</v>
      </c>
      <c r="R218" s="4" t="str">
        <f>IF(ISNUMBER(SEARCH("Category",N218)),"- -",IF(ISNUMBER(SEARCH("Skills",N218)),"- -",'Level-up'!C236))</f>
        <v>- -</v>
      </c>
      <c r="S218" s="4" t="str">
        <f t="shared" si="96"/>
        <v>- -</v>
      </c>
      <c r="T218" s="4" t="str">
        <f t="shared" si="97"/>
        <v>- -</v>
      </c>
      <c r="U218" s="4" t="str">
        <f t="shared" ca="1" si="103"/>
        <v>- -</v>
      </c>
      <c r="V218" s="4" t="str">
        <f>IF(ISNUMBER(SEARCH("Category",N218)),"- -",IF(ISNUMBER(SEARCH("Skills",N218)),"- -",IF(AU218&gt;0,AU218,IF($AU$213&gt;0,$AU$213,$AU$202))))</f>
        <v>- -</v>
      </c>
      <c r="W218" s="4" t="str">
        <f t="shared" si="88"/>
        <v>- -</v>
      </c>
      <c r="X218" s="4" t="str">
        <f t="shared" si="85"/>
        <v>- -</v>
      </c>
      <c r="Y218" s="4" t="str">
        <f t="shared" si="99"/>
        <v>- -</v>
      </c>
      <c r="Z218" s="4" t="str">
        <f t="shared" si="100"/>
        <v>- -</v>
      </c>
      <c r="AA218" s="4" t="str">
        <f t="shared" si="101"/>
        <v>- -</v>
      </c>
      <c r="AB218" s="4" t="str">
        <f t="shared" si="102"/>
        <v>- -</v>
      </c>
      <c r="AC218" s="8"/>
      <c r="AD218" s="4"/>
      <c r="AE218" s="4"/>
      <c r="AF218" s="4" t="str">
        <f t="shared" si="106"/>
        <v>- -</v>
      </c>
      <c r="AG218" s="4"/>
      <c r="AH218" s="4">
        <f>IFERROR(VLOOKUP(M218,Calculations!$AC$2:$AD$251,2,FALSE),0)</f>
        <v>0</v>
      </c>
      <c r="AI218" s="4" t="e">
        <f>VLOOKUP(N218,$N$2:$AS$620,MATCH('Character Creation'!$Z$12,Skills!$N$1:$AS$1,0),FALSE)</f>
        <v>#N/A</v>
      </c>
      <c r="AJ218" s="4" t="e">
        <f>VLOOKUP($N218,[2]Cultures!$B$4:$M$283,MATCH(AJ$1,[2]Cultures!$B$3:$M$3,0),FALSE)</f>
        <v>#N/A</v>
      </c>
      <c r="AK218" s="4" t="e">
        <f>VLOOKUP($N218,[2]Cultures!$B$4:$M$283,MATCH(AK$1,[2]Cultures!$B$3:$M$3,0),FALSE)</f>
        <v>#N/A</v>
      </c>
      <c r="AL218" s="4" t="e">
        <f>VLOOKUP($N218,[2]Cultures!$B$4:$M$283,MATCH(AL$1,[2]Cultures!$B$3:$M$3,0),FALSE)</f>
        <v>#N/A</v>
      </c>
      <c r="AM218" s="4" t="e">
        <f>VLOOKUP($N218,[2]Cultures!$B$4:$M$283,MATCH(AM$1,[2]Cultures!$B$3:$M$3,0),FALSE)</f>
        <v>#N/A</v>
      </c>
      <c r="AN218" s="4" t="e">
        <f>VLOOKUP($N218,[2]Cultures!$B$4:$M$283,MATCH(AN$1,[2]Cultures!$B$3:$M$3,0),FALSE)</f>
        <v>#N/A</v>
      </c>
      <c r="AO218" s="4" t="e">
        <f>VLOOKUP($N218,[2]Cultures!$B$4:$M$283,MATCH(AO$1,[2]Cultures!$B$3:$M$3,0),FALSE)</f>
        <v>#N/A</v>
      </c>
      <c r="AP218" s="4" t="e">
        <f>VLOOKUP($N218,[2]Cultures!$B$4:$M$283,MATCH(AP$1,[2]Cultures!$B$3:$M$3,0),FALSE)</f>
        <v>#N/A</v>
      </c>
      <c r="AQ218" s="4" t="e">
        <f>VLOOKUP($N218,[2]Cultures!$B$4:$M$283,MATCH(AQ$1,[2]Cultures!$B$3:$M$3,0),FALSE)</f>
        <v>#N/A</v>
      </c>
      <c r="AR218" s="4" t="e">
        <f>VLOOKUP($N218,[2]Cultures!$B$4:$M$283,MATCH(AR$1,[2]Cultures!$B$3:$M$3,0),FALSE)</f>
        <v>#N/A</v>
      </c>
      <c r="AS218" s="4" t="e">
        <f>VLOOKUP($N218,[2]Cultures!$B$4:$M$283,MATCH(AS$1,[2]Cultures!$B$3:$M$3,0),FALSE)</f>
        <v>#N/A</v>
      </c>
      <c r="AT218" s="4"/>
      <c r="AU218" s="4">
        <f>IF(ISNUMBER(SEARCH(N218&amp;";",Calculations!$Q$19)),VLOOKUP(Skills!N218,Calculations!$Q$2:$T$16,4,FALSE),0)</f>
        <v>0</v>
      </c>
      <c r="AV218" s="4">
        <f>IF(ISNUMBER(SEARCH(N218&amp;";",Calculations!$Q$18)),1,0)</f>
        <v>0</v>
      </c>
      <c r="AW218" s="4"/>
      <c r="AX218" s="4">
        <f>VLOOKUP($N218,$N218:$CH218,MATCH('Character Sheet'!$BJ$3,Skills!$N$1:$CH$1,0),FALSE)</f>
        <v>0</v>
      </c>
    </row>
    <row r="219" spans="2:50" x14ac:dyDescent="0.25">
      <c r="B219" s="4" t="e">
        <f t="shared" si="84"/>
        <v>#N/A</v>
      </c>
      <c r="E219" s="4"/>
      <c r="F219" s="4">
        <f t="shared" si="98"/>
        <v>0</v>
      </c>
      <c r="G219" s="4"/>
      <c r="H219" s="4" t="e">
        <f t="shared" si="104"/>
        <v>#N/A</v>
      </c>
      <c r="I219" s="4">
        <v>0</v>
      </c>
      <c r="J219" s="4" t="e">
        <f t="shared" si="95"/>
        <v>#N/A</v>
      </c>
      <c r="K219" s="4" t="e">
        <f t="shared" si="107"/>
        <v>#N/A</v>
      </c>
      <c r="N219" s="3" t="s">
        <v>665</v>
      </c>
      <c r="O219" s="6" t="s">
        <v>782</v>
      </c>
      <c r="P219" s="6" t="s">
        <v>782</v>
      </c>
      <c r="Q219" s="4" t="str">
        <f t="shared" si="87"/>
        <v>- -</v>
      </c>
      <c r="R219" s="4" t="str">
        <f>IF(ISNUMBER(SEARCH("Category",N219)),"- -",IF(ISNUMBER(SEARCH("Skills",N219)),"- -",'Level-up'!C237))</f>
        <v>- -</v>
      </c>
      <c r="S219" s="4" t="str">
        <f t="shared" si="96"/>
        <v>- -</v>
      </c>
      <c r="T219" s="4" t="str">
        <f t="shared" si="97"/>
        <v>- -</v>
      </c>
      <c r="U219" s="4" t="str">
        <f t="shared" ca="1" si="103"/>
        <v>- -</v>
      </c>
      <c r="V219" s="4" t="str">
        <f>IF(ISNUMBER(SEARCH("Category",N219)),"- -",IF(ISNUMBER(SEARCH("Skills",N219)),"- -",IF(AU219&gt;0,AU219,IF($AU$213&gt;0,$AU$213,$AU$202))))</f>
        <v>- -</v>
      </c>
      <c r="W219" s="4" t="str">
        <f t="shared" si="88"/>
        <v>- -</v>
      </c>
      <c r="X219" s="4" t="str">
        <f t="shared" si="85"/>
        <v>- -</v>
      </c>
      <c r="Y219" s="4" t="str">
        <f t="shared" si="99"/>
        <v>- -</v>
      </c>
      <c r="Z219" s="4" t="str">
        <f t="shared" si="100"/>
        <v>- -</v>
      </c>
      <c r="AA219" s="4" t="str">
        <f t="shared" si="101"/>
        <v>- -</v>
      </c>
      <c r="AB219" s="4" t="str">
        <f t="shared" si="102"/>
        <v>- -</v>
      </c>
      <c r="AC219" s="8"/>
      <c r="AD219" s="4"/>
      <c r="AE219" s="4"/>
      <c r="AF219" s="4" t="str">
        <f t="shared" si="106"/>
        <v>- -</v>
      </c>
      <c r="AG219" s="4"/>
      <c r="AH219" s="4">
        <f>IFERROR(VLOOKUP(M219,Calculations!$AC$2:$AD$251,2,FALSE),0)</f>
        <v>0</v>
      </c>
      <c r="AI219" s="4" t="e">
        <f>VLOOKUP(N219,$N$2:$AS$620,MATCH('Character Creation'!$Z$12,Skills!$N$1:$AS$1,0),FALSE)</f>
        <v>#N/A</v>
      </c>
      <c r="AJ219" s="4" t="e">
        <f>VLOOKUP($N219,[2]Cultures!$B$4:$M$283,MATCH(AJ$1,[2]Cultures!$B$3:$M$3,0),FALSE)</f>
        <v>#N/A</v>
      </c>
      <c r="AK219" s="4" t="e">
        <f>VLOOKUP($N219,[2]Cultures!$B$4:$M$283,MATCH(AK$1,[2]Cultures!$B$3:$M$3,0),FALSE)</f>
        <v>#N/A</v>
      </c>
      <c r="AL219" s="4" t="e">
        <f>VLOOKUP($N219,[2]Cultures!$B$4:$M$283,MATCH(AL$1,[2]Cultures!$B$3:$M$3,0),FALSE)</f>
        <v>#N/A</v>
      </c>
      <c r="AM219" s="4" t="e">
        <f>VLOOKUP($N219,[2]Cultures!$B$4:$M$283,MATCH(AM$1,[2]Cultures!$B$3:$M$3,0),FALSE)</f>
        <v>#N/A</v>
      </c>
      <c r="AN219" s="4" t="e">
        <f>VLOOKUP($N219,[2]Cultures!$B$4:$M$283,MATCH(AN$1,[2]Cultures!$B$3:$M$3,0),FALSE)</f>
        <v>#N/A</v>
      </c>
      <c r="AO219" s="4" t="e">
        <f>VLOOKUP($N219,[2]Cultures!$B$4:$M$283,MATCH(AO$1,[2]Cultures!$B$3:$M$3,0),FALSE)</f>
        <v>#N/A</v>
      </c>
      <c r="AP219" s="4" t="e">
        <f>VLOOKUP($N219,[2]Cultures!$B$4:$M$283,MATCH(AP$1,[2]Cultures!$B$3:$M$3,0),FALSE)</f>
        <v>#N/A</v>
      </c>
      <c r="AQ219" s="4" t="e">
        <f>VLOOKUP($N219,[2]Cultures!$B$4:$M$283,MATCH(AQ$1,[2]Cultures!$B$3:$M$3,0),FALSE)</f>
        <v>#N/A</v>
      </c>
      <c r="AR219" s="4" t="e">
        <f>VLOOKUP($N219,[2]Cultures!$B$4:$M$283,MATCH(AR$1,[2]Cultures!$B$3:$M$3,0),FALSE)</f>
        <v>#N/A</v>
      </c>
      <c r="AS219" s="4" t="e">
        <f>VLOOKUP($N219,[2]Cultures!$B$4:$M$283,MATCH(AS$1,[2]Cultures!$B$3:$M$3,0),FALSE)</f>
        <v>#N/A</v>
      </c>
      <c r="AT219" s="4"/>
      <c r="AU219" s="4">
        <f>IF(ISNUMBER(SEARCH(N219&amp;";",Calculations!$Q$19)),VLOOKUP(Skills!N219,Calculations!$Q$2:$T$16,4,FALSE),0)</f>
        <v>0</v>
      </c>
      <c r="AV219" s="4">
        <f>IF(ISNUMBER(SEARCH(N219&amp;";",Calculations!$Q$18)),1,0)</f>
        <v>0</v>
      </c>
      <c r="AW219" s="4"/>
      <c r="AX219" s="4">
        <f>VLOOKUP($N219,$N219:$CH219,MATCH('Character Sheet'!$BJ$3,Skills!$N$1:$CH$1,0),FALSE)</f>
        <v>0</v>
      </c>
    </row>
    <row r="220" spans="2:50" x14ac:dyDescent="0.25">
      <c r="B220" s="4" t="e">
        <f t="shared" si="84"/>
        <v>#N/A</v>
      </c>
      <c r="E220" s="4"/>
      <c r="F220" s="4">
        <f t="shared" si="98"/>
        <v>0</v>
      </c>
      <c r="G220" s="4"/>
      <c r="H220" s="4" t="e">
        <f t="shared" si="104"/>
        <v>#N/A</v>
      </c>
      <c r="I220" s="4" t="e">
        <f t="shared" ref="I220:I232" si="109">IF($J$203=1,1,IF($J$219=1,1,0))</f>
        <v>#N/A</v>
      </c>
      <c r="J220" s="4">
        <f t="shared" si="95"/>
        <v>0</v>
      </c>
      <c r="K220" s="4" t="e">
        <f t="shared" si="107"/>
        <v>#N/A</v>
      </c>
      <c r="M220" t="str">
        <f>"Survival, "&amp;N220</f>
        <v>Survival, Alpine</v>
      </c>
      <c r="N220" s="3" t="str">
        <f>'Character Sheet'!BAV22</f>
        <v>Alpine</v>
      </c>
      <c r="O220" s="4" t="s">
        <v>796</v>
      </c>
      <c r="P220" s="4" t="s">
        <v>792</v>
      </c>
      <c r="Q220" s="4" t="e">
        <f t="shared" si="87"/>
        <v>#N/A</v>
      </c>
      <c r="R220" s="4">
        <f>IF(ISNUMBER(SEARCH("Category",N220)),"- -",IF(ISNUMBER(SEARCH("Skills",N220)),"- -",'Level-up'!C238))</f>
        <v>0</v>
      </c>
      <c r="S220" s="4" t="e">
        <f t="shared" si="96"/>
        <v>#N/A</v>
      </c>
      <c r="T220" s="4" t="e">
        <f t="shared" si="97"/>
        <v>#N/A</v>
      </c>
      <c r="U220" s="4">
        <f t="shared" ca="1" si="103"/>
        <v>5</v>
      </c>
      <c r="V220" s="4">
        <f t="shared" ref="V220:V234" si="110">IF(ISNUMBER(SEARCH("Category",N220)),"- -",IF(ISNUMBER(SEARCH("Skills",N220)),"- -",IF(AU220&gt;0,AU220,IF($AU$218&gt;0,$AU$218,$AU$202))))</f>
        <v>0</v>
      </c>
      <c r="W220" s="4">
        <f t="shared" si="88"/>
        <v>0</v>
      </c>
      <c r="X220" s="4">
        <f t="shared" si="85"/>
        <v>0</v>
      </c>
      <c r="Y220" s="4">
        <f t="shared" si="99"/>
        <v>0</v>
      </c>
      <c r="Z220" s="4">
        <f t="shared" si="100"/>
        <v>0</v>
      </c>
      <c r="AA220" s="4">
        <f t="shared" si="101"/>
        <v>0</v>
      </c>
      <c r="AB220" s="4">
        <f t="shared" si="102"/>
        <v>0</v>
      </c>
      <c r="AC220" s="8"/>
      <c r="AD220" s="4"/>
      <c r="AE220" s="4"/>
      <c r="AF220" s="4" t="e">
        <f t="shared" si="106"/>
        <v>#N/A</v>
      </c>
      <c r="AG220" s="4"/>
      <c r="AH220" s="4">
        <f>IFERROR(VLOOKUP(M220,Calculations!$AC$2:$AD$251,2,FALSE),0)</f>
        <v>0</v>
      </c>
      <c r="AI220" s="4" t="e">
        <f>VLOOKUP(N220,$N$2:$AS$620,MATCH('Character Creation'!$Z$12,Skills!$N$1:$AS$1,0),FALSE)</f>
        <v>#N/A</v>
      </c>
      <c r="AJ220" s="4" t="e">
        <f>VLOOKUP($N220,[2]Cultures!$B$4:$M$283,MATCH(AJ$1,[2]Cultures!$B$3:$M$3,0),FALSE)</f>
        <v>#N/A</v>
      </c>
      <c r="AK220" s="4" t="e">
        <f>VLOOKUP($N220,[2]Cultures!$B$4:$M$283,MATCH(AK$1,[2]Cultures!$B$3:$M$3,0),FALSE)</f>
        <v>#N/A</v>
      </c>
      <c r="AL220" s="4" t="e">
        <f>VLOOKUP($N220,[2]Cultures!$B$4:$M$283,MATCH(AL$1,[2]Cultures!$B$3:$M$3,0),FALSE)</f>
        <v>#N/A</v>
      </c>
      <c r="AM220" s="4" t="e">
        <f>VLOOKUP($N220,[2]Cultures!$B$4:$M$283,MATCH(AM$1,[2]Cultures!$B$3:$M$3,0),FALSE)</f>
        <v>#N/A</v>
      </c>
      <c r="AN220" s="4" t="e">
        <f>VLOOKUP($N220,[2]Cultures!$B$4:$M$283,MATCH(AN$1,[2]Cultures!$B$3:$M$3,0),FALSE)</f>
        <v>#N/A</v>
      </c>
      <c r="AO220" s="4" t="e">
        <f>VLOOKUP($N220,[2]Cultures!$B$4:$M$283,MATCH(AO$1,[2]Cultures!$B$3:$M$3,0),FALSE)</f>
        <v>#N/A</v>
      </c>
      <c r="AP220" s="4" t="e">
        <f>VLOOKUP($N220,[2]Cultures!$B$4:$M$283,MATCH(AP$1,[2]Cultures!$B$3:$M$3,0),FALSE)</f>
        <v>#N/A</v>
      </c>
      <c r="AQ220" s="4" t="e">
        <f>VLOOKUP($N220,[2]Cultures!$B$4:$M$283,MATCH(AQ$1,[2]Cultures!$B$3:$M$3,0),FALSE)</f>
        <v>#N/A</v>
      </c>
      <c r="AR220" s="4" t="e">
        <f>VLOOKUP($N220,[2]Cultures!$B$4:$M$283,MATCH(AR$1,[2]Cultures!$B$3:$M$3,0),FALSE)</f>
        <v>#N/A</v>
      </c>
      <c r="AS220" s="4" t="e">
        <f>VLOOKUP($N220,[2]Cultures!$B$4:$M$283,MATCH(AS$1,[2]Cultures!$B$3:$M$3,0),FALSE)</f>
        <v>#N/A</v>
      </c>
      <c r="AT220" s="4"/>
      <c r="AU220" s="4">
        <f>IF(ISNUMBER(SEARCH(N220&amp;";",Calculations!$Q$19)),VLOOKUP(Skills!N220,Calculations!$Q$2:$T$16,4,FALSE),0)</f>
        <v>0</v>
      </c>
      <c r="AV220" s="4">
        <f>IF(ISNUMBER(SEARCH(N220&amp;";",Calculations!$Q$18)),1,0)</f>
        <v>0</v>
      </c>
      <c r="AW220" s="4">
        <f t="shared" ref="AW220:AW231" si="111">IF($AV$202=1,1,IF($AV$218=1,1,AV220))</f>
        <v>0</v>
      </c>
      <c r="AX220" s="4">
        <f>VLOOKUP($N220,$N220:$CH220,MATCH('Character Sheet'!$BJ$3,Skills!$N$1:$CH$1,0),FALSE)</f>
        <v>0</v>
      </c>
    </row>
    <row r="221" spans="2:50" x14ac:dyDescent="0.25">
      <c r="B221" s="4" t="e">
        <f t="shared" si="84"/>
        <v>#N/A</v>
      </c>
      <c r="E221" s="4"/>
      <c r="F221" s="4">
        <f t="shared" si="98"/>
        <v>0</v>
      </c>
      <c r="G221" s="4"/>
      <c r="H221" s="4" t="e">
        <f t="shared" si="104"/>
        <v>#N/A</v>
      </c>
      <c r="I221" s="4" t="e">
        <f t="shared" si="109"/>
        <v>#N/A</v>
      </c>
      <c r="J221" s="4">
        <f t="shared" si="95"/>
        <v>0</v>
      </c>
      <c r="K221" s="4" t="e">
        <f t="shared" si="107"/>
        <v>#N/A</v>
      </c>
      <c r="M221" t="str">
        <f t="shared" ref="M221:M231" si="112">"Survival, "&amp;N221</f>
        <v>Survival, Ocean</v>
      </c>
      <c r="N221" s="3" t="str">
        <f>'Character Sheet'!BAV23</f>
        <v>Ocean</v>
      </c>
      <c r="O221" s="4" t="s">
        <v>796</v>
      </c>
      <c r="P221" s="4" t="s">
        <v>792</v>
      </c>
      <c r="Q221" s="4" t="e">
        <f t="shared" si="87"/>
        <v>#N/A</v>
      </c>
      <c r="R221" s="4">
        <f>IF(ISNUMBER(SEARCH("Category",N221)),"- -",IF(ISNUMBER(SEARCH("Skills",N221)),"- -",'Level-up'!C239))</f>
        <v>0</v>
      </c>
      <c r="S221" s="4" t="e">
        <f t="shared" si="96"/>
        <v>#N/A</v>
      </c>
      <c r="T221" s="4" t="e">
        <f t="shared" si="97"/>
        <v>#N/A</v>
      </c>
      <c r="U221" s="4">
        <f t="shared" ca="1" si="103"/>
        <v>5</v>
      </c>
      <c r="V221" s="4">
        <f t="shared" si="110"/>
        <v>0</v>
      </c>
      <c r="W221" s="4">
        <f t="shared" si="88"/>
        <v>0</v>
      </c>
      <c r="X221" s="4">
        <f t="shared" si="85"/>
        <v>0</v>
      </c>
      <c r="Y221" s="4">
        <f t="shared" si="99"/>
        <v>0</v>
      </c>
      <c r="Z221" s="4">
        <f t="shared" si="100"/>
        <v>0</v>
      </c>
      <c r="AA221" s="4">
        <f t="shared" si="101"/>
        <v>0</v>
      </c>
      <c r="AB221" s="4">
        <f t="shared" si="102"/>
        <v>0</v>
      </c>
      <c r="AC221" s="8"/>
      <c r="AD221" s="4"/>
      <c r="AE221" s="4"/>
      <c r="AF221" s="4" t="e">
        <f t="shared" si="106"/>
        <v>#N/A</v>
      </c>
      <c r="AG221" s="4"/>
      <c r="AH221" s="4">
        <f>IFERROR(VLOOKUP(M221,Calculations!$AC$2:$AD$251,2,FALSE),0)</f>
        <v>0</v>
      </c>
      <c r="AI221" s="4" t="e">
        <f>VLOOKUP(N221,$N$2:$AS$620,MATCH('Character Creation'!$Z$12,Skills!$N$1:$AS$1,0),FALSE)</f>
        <v>#N/A</v>
      </c>
      <c r="AJ221" s="4" t="e">
        <f>VLOOKUP($N221,[2]Cultures!$B$4:$M$283,MATCH(AJ$1,[2]Cultures!$B$3:$M$3,0),FALSE)</f>
        <v>#N/A</v>
      </c>
      <c r="AK221" s="4" t="e">
        <f>VLOOKUP($N221,[2]Cultures!$B$4:$M$283,MATCH(AK$1,[2]Cultures!$B$3:$M$3,0),FALSE)</f>
        <v>#N/A</v>
      </c>
      <c r="AL221" s="4" t="e">
        <f>VLOOKUP($N221,[2]Cultures!$B$4:$M$283,MATCH(AL$1,[2]Cultures!$B$3:$M$3,0),FALSE)</f>
        <v>#N/A</v>
      </c>
      <c r="AM221" s="4" t="e">
        <f>VLOOKUP($N221,[2]Cultures!$B$4:$M$283,MATCH(AM$1,[2]Cultures!$B$3:$M$3,0),FALSE)</f>
        <v>#N/A</v>
      </c>
      <c r="AN221" s="4" t="e">
        <f>VLOOKUP($N221,[2]Cultures!$B$4:$M$283,MATCH(AN$1,[2]Cultures!$B$3:$M$3,0),FALSE)</f>
        <v>#N/A</v>
      </c>
      <c r="AO221" s="4" t="e">
        <f>VLOOKUP($N221,[2]Cultures!$B$4:$M$283,MATCH(AO$1,[2]Cultures!$B$3:$M$3,0),FALSE)</f>
        <v>#N/A</v>
      </c>
      <c r="AP221" s="4" t="e">
        <f>VLOOKUP($N221,[2]Cultures!$B$4:$M$283,MATCH(AP$1,[2]Cultures!$B$3:$M$3,0),FALSE)</f>
        <v>#N/A</v>
      </c>
      <c r="AQ221" s="4" t="e">
        <f>VLOOKUP($N221,[2]Cultures!$B$4:$M$283,MATCH(AQ$1,[2]Cultures!$B$3:$M$3,0),FALSE)</f>
        <v>#N/A</v>
      </c>
      <c r="AR221" s="4" t="e">
        <f>VLOOKUP($N221,[2]Cultures!$B$4:$M$283,MATCH(AR$1,[2]Cultures!$B$3:$M$3,0),FALSE)</f>
        <v>#N/A</v>
      </c>
      <c r="AS221" s="4" t="e">
        <f>VLOOKUP($N221,[2]Cultures!$B$4:$M$283,MATCH(AS$1,[2]Cultures!$B$3:$M$3,0),FALSE)</f>
        <v>#N/A</v>
      </c>
      <c r="AT221" s="4"/>
      <c r="AU221" s="4">
        <f>IF(ISNUMBER(SEARCH(N221&amp;";",Calculations!$Q$19)),VLOOKUP(Skills!N221,Calculations!$Q$2:$T$16,4,FALSE),0)</f>
        <v>0</v>
      </c>
      <c r="AV221" s="4">
        <f>IF(ISNUMBER(SEARCH(N221&amp;";",Calculations!$Q$18)),1,0)</f>
        <v>0</v>
      </c>
      <c r="AW221" s="4">
        <f t="shared" si="111"/>
        <v>0</v>
      </c>
      <c r="AX221" s="4">
        <f>VLOOKUP($N221,$N221:$CH221,MATCH('Character Sheet'!$BJ$3,Skills!$N$1:$CH$1,0),FALSE)</f>
        <v>0</v>
      </c>
    </row>
    <row r="222" spans="2:50" x14ac:dyDescent="0.25">
      <c r="B222" s="4" t="e">
        <f t="shared" si="84"/>
        <v>#N/A</v>
      </c>
      <c r="E222" s="4"/>
      <c r="F222" s="4">
        <f t="shared" si="98"/>
        <v>0</v>
      </c>
      <c r="G222" s="4"/>
      <c r="H222" s="4" t="e">
        <f t="shared" si="104"/>
        <v>#N/A</v>
      </c>
      <c r="I222" s="4" t="e">
        <f t="shared" si="109"/>
        <v>#N/A</v>
      </c>
      <c r="J222" s="4">
        <f t="shared" si="95"/>
        <v>0</v>
      </c>
      <c r="K222" s="4" t="e">
        <f t="shared" si="107"/>
        <v>#N/A</v>
      </c>
      <c r="M222" t="str">
        <f t="shared" si="112"/>
        <v>Survival, Underground</v>
      </c>
      <c r="N222" s="3" t="str">
        <f>'Character Sheet'!BAV24</f>
        <v>Underground</v>
      </c>
      <c r="O222" s="4" t="s">
        <v>796</v>
      </c>
      <c r="P222" s="4" t="s">
        <v>792</v>
      </c>
      <c r="Q222" s="4" t="e">
        <f t="shared" si="87"/>
        <v>#N/A</v>
      </c>
      <c r="R222" s="4">
        <f>IF(ISNUMBER(SEARCH("Category",N222)),"- -",IF(ISNUMBER(SEARCH("Skills",N222)),"- -",'Level-up'!C240))</f>
        <v>0</v>
      </c>
      <c r="S222" s="4" t="e">
        <f t="shared" si="96"/>
        <v>#N/A</v>
      </c>
      <c r="T222" s="4" t="e">
        <f t="shared" si="97"/>
        <v>#N/A</v>
      </c>
      <c r="U222" s="4">
        <f t="shared" ca="1" si="103"/>
        <v>5</v>
      </c>
      <c r="V222" s="4">
        <f t="shared" si="110"/>
        <v>0</v>
      </c>
      <c r="W222" s="4">
        <f t="shared" si="88"/>
        <v>0</v>
      </c>
      <c r="X222" s="4">
        <f t="shared" si="85"/>
        <v>0</v>
      </c>
      <c r="Y222" s="4">
        <f t="shared" si="99"/>
        <v>0</v>
      </c>
      <c r="Z222" s="4">
        <f t="shared" si="100"/>
        <v>0</v>
      </c>
      <c r="AA222" s="4">
        <f t="shared" si="101"/>
        <v>0</v>
      </c>
      <c r="AB222" s="4">
        <f t="shared" si="102"/>
        <v>0</v>
      </c>
      <c r="AC222" s="8"/>
      <c r="AD222" s="4"/>
      <c r="AE222" s="4"/>
      <c r="AF222" s="4" t="e">
        <f t="shared" si="106"/>
        <v>#N/A</v>
      </c>
      <c r="AG222" s="4"/>
      <c r="AH222" s="4">
        <f>IFERROR(VLOOKUP(M222,Calculations!$AC$2:$AD$251,2,FALSE),0)</f>
        <v>0</v>
      </c>
      <c r="AI222" s="4" t="e">
        <f>VLOOKUP(N222,$N$2:$AS$620,MATCH('Character Creation'!$Z$12,Skills!$N$1:$AS$1,0),FALSE)</f>
        <v>#N/A</v>
      </c>
      <c r="AJ222" s="4" t="e">
        <f>VLOOKUP($N222,[2]Cultures!$B$4:$M$283,MATCH(AJ$1,[2]Cultures!$B$3:$M$3,0),FALSE)</f>
        <v>#N/A</v>
      </c>
      <c r="AK222" s="4" t="e">
        <f>VLOOKUP($N222,[2]Cultures!$B$4:$M$283,MATCH(AK$1,[2]Cultures!$B$3:$M$3,0),FALSE)</f>
        <v>#N/A</v>
      </c>
      <c r="AL222" s="4" t="e">
        <f>VLOOKUP($N222,[2]Cultures!$B$4:$M$283,MATCH(AL$1,[2]Cultures!$B$3:$M$3,0),FALSE)</f>
        <v>#N/A</v>
      </c>
      <c r="AM222" s="4" t="e">
        <f>VLOOKUP($N222,[2]Cultures!$B$4:$M$283,MATCH(AM$1,[2]Cultures!$B$3:$M$3,0),FALSE)</f>
        <v>#N/A</v>
      </c>
      <c r="AN222" s="4" t="e">
        <f>VLOOKUP($N222,[2]Cultures!$B$4:$M$283,MATCH(AN$1,[2]Cultures!$B$3:$M$3,0),FALSE)</f>
        <v>#N/A</v>
      </c>
      <c r="AO222" s="4" t="e">
        <f>VLOOKUP($N222,[2]Cultures!$B$4:$M$283,MATCH(AO$1,[2]Cultures!$B$3:$M$3,0),FALSE)</f>
        <v>#N/A</v>
      </c>
      <c r="AP222" s="4" t="e">
        <f>VLOOKUP($N222,[2]Cultures!$B$4:$M$283,MATCH(AP$1,[2]Cultures!$B$3:$M$3,0),FALSE)</f>
        <v>#N/A</v>
      </c>
      <c r="AQ222" s="4" t="e">
        <f>VLOOKUP($N222,[2]Cultures!$B$4:$M$283,MATCH(AQ$1,[2]Cultures!$B$3:$M$3,0),FALSE)</f>
        <v>#N/A</v>
      </c>
      <c r="AR222" s="4" t="e">
        <f>VLOOKUP($N222,[2]Cultures!$B$4:$M$283,MATCH(AR$1,[2]Cultures!$B$3:$M$3,0),FALSE)</f>
        <v>#N/A</v>
      </c>
      <c r="AS222" s="4" t="e">
        <f>VLOOKUP($N222,[2]Cultures!$B$4:$M$283,MATCH(AS$1,[2]Cultures!$B$3:$M$3,0),FALSE)</f>
        <v>#N/A</v>
      </c>
      <c r="AT222" s="4"/>
      <c r="AU222" s="4">
        <f>IF(ISNUMBER(SEARCH(N222&amp;";",Calculations!$Q$19)),VLOOKUP(Skills!N222,Calculations!$Q$2:$T$16,4,FALSE),0)</f>
        <v>0</v>
      </c>
      <c r="AV222" s="4">
        <f>IF(ISNUMBER(SEARCH(N222&amp;";",Calculations!$Q$18)),1,0)</f>
        <v>0</v>
      </c>
      <c r="AW222" s="4">
        <f t="shared" si="111"/>
        <v>0</v>
      </c>
      <c r="AX222" s="4">
        <f>VLOOKUP($N222,$N222:$CH222,MATCH('Character Sheet'!$BJ$3,Skills!$N$1:$CH$1,0),FALSE)</f>
        <v>0</v>
      </c>
    </row>
    <row r="223" spans="2:50" x14ac:dyDescent="0.25">
      <c r="B223" s="4" t="e">
        <f t="shared" ref="B223:B287" si="113">IF(A223="Y",B222+1,IF(A223="N",B222,IF(S223="- -",B222,IF(S223&gt;0,B222+1,B222))))</f>
        <v>#N/A</v>
      </c>
      <c r="E223" s="4"/>
      <c r="F223" s="4">
        <f t="shared" si="98"/>
        <v>0</v>
      </c>
      <c r="G223" s="4"/>
      <c r="H223" s="4" t="e">
        <f t="shared" si="104"/>
        <v>#N/A</v>
      </c>
      <c r="I223" s="4" t="e">
        <f t="shared" si="109"/>
        <v>#N/A</v>
      </c>
      <c r="J223" s="4">
        <f t="shared" si="95"/>
        <v>0</v>
      </c>
      <c r="K223" s="4" t="e">
        <f t="shared" si="107"/>
        <v>#N/A</v>
      </c>
      <c r="M223" t="str">
        <f t="shared" si="112"/>
        <v>Survival, Ice Caps &amp; Polar Deserts</v>
      </c>
      <c r="N223" s="3" t="str">
        <f>'Character Sheet'!BAV25</f>
        <v>Ice Caps &amp; Polar Deserts</v>
      </c>
      <c r="O223" s="4" t="s">
        <v>796</v>
      </c>
      <c r="P223" s="4" t="s">
        <v>792</v>
      </c>
      <c r="Q223" s="4" t="e">
        <f t="shared" si="87"/>
        <v>#N/A</v>
      </c>
      <c r="R223" s="4">
        <f>IF(ISNUMBER(SEARCH("Category",N223)),"- -",IF(ISNUMBER(SEARCH("Skills",N223)),"- -",'Level-up'!C241))</f>
        <v>0</v>
      </c>
      <c r="S223" s="4" t="e">
        <f t="shared" si="96"/>
        <v>#N/A</v>
      </c>
      <c r="T223" s="4" t="e">
        <f t="shared" si="97"/>
        <v>#N/A</v>
      </c>
      <c r="U223" s="4">
        <f t="shared" ca="1" si="103"/>
        <v>5</v>
      </c>
      <c r="V223" s="4">
        <f t="shared" si="110"/>
        <v>0</v>
      </c>
      <c r="W223" s="4">
        <f t="shared" si="88"/>
        <v>0</v>
      </c>
      <c r="X223" s="4">
        <f t="shared" si="85"/>
        <v>0</v>
      </c>
      <c r="Y223" s="4">
        <f t="shared" si="99"/>
        <v>0</v>
      </c>
      <c r="Z223" s="4">
        <f t="shared" si="100"/>
        <v>0</v>
      </c>
      <c r="AA223" s="4">
        <f t="shared" si="101"/>
        <v>0</v>
      </c>
      <c r="AB223" s="4">
        <f t="shared" si="102"/>
        <v>0</v>
      </c>
      <c r="AC223" s="8"/>
      <c r="AD223" s="4"/>
      <c r="AE223" s="4"/>
      <c r="AF223" s="4" t="e">
        <f t="shared" si="106"/>
        <v>#N/A</v>
      </c>
      <c r="AG223" s="4"/>
      <c r="AH223" s="4">
        <f>IFERROR(VLOOKUP(M223,Calculations!$AC$2:$AD$251,2,FALSE),0)</f>
        <v>0</v>
      </c>
      <c r="AI223" s="4" t="e">
        <f>VLOOKUP(N223,$N$2:$AS$620,MATCH('Character Creation'!$Z$12,Skills!$N$1:$AS$1,0),FALSE)</f>
        <v>#N/A</v>
      </c>
      <c r="AJ223" s="4" t="e">
        <f>VLOOKUP($N223,[2]Cultures!$B$4:$M$283,MATCH(AJ$1,[2]Cultures!$B$3:$M$3,0),FALSE)</f>
        <v>#N/A</v>
      </c>
      <c r="AK223" s="4" t="e">
        <f>VLOOKUP($N223,[2]Cultures!$B$4:$M$283,MATCH(AK$1,[2]Cultures!$B$3:$M$3,0),FALSE)</f>
        <v>#N/A</v>
      </c>
      <c r="AL223" s="4" t="e">
        <f>VLOOKUP($N223,[2]Cultures!$B$4:$M$283,MATCH(AL$1,[2]Cultures!$B$3:$M$3,0),FALSE)</f>
        <v>#N/A</v>
      </c>
      <c r="AM223" s="4" t="e">
        <f>VLOOKUP($N223,[2]Cultures!$B$4:$M$283,MATCH(AM$1,[2]Cultures!$B$3:$M$3,0),FALSE)</f>
        <v>#N/A</v>
      </c>
      <c r="AN223" s="4" t="e">
        <f>VLOOKUP($N223,[2]Cultures!$B$4:$M$283,MATCH(AN$1,[2]Cultures!$B$3:$M$3,0),FALSE)</f>
        <v>#N/A</v>
      </c>
      <c r="AO223" s="4" t="e">
        <f>VLOOKUP($N223,[2]Cultures!$B$4:$M$283,MATCH(AO$1,[2]Cultures!$B$3:$M$3,0),FALSE)</f>
        <v>#N/A</v>
      </c>
      <c r="AP223" s="4" t="e">
        <f>VLOOKUP($N223,[2]Cultures!$B$4:$M$283,MATCH(AP$1,[2]Cultures!$B$3:$M$3,0),FALSE)</f>
        <v>#N/A</v>
      </c>
      <c r="AQ223" s="4" t="e">
        <f>VLOOKUP($N223,[2]Cultures!$B$4:$M$283,MATCH(AQ$1,[2]Cultures!$B$3:$M$3,0),FALSE)</f>
        <v>#N/A</v>
      </c>
      <c r="AR223" s="4" t="e">
        <f>VLOOKUP($N223,[2]Cultures!$B$4:$M$283,MATCH(AR$1,[2]Cultures!$B$3:$M$3,0),FALSE)</f>
        <v>#N/A</v>
      </c>
      <c r="AS223" s="4" t="e">
        <f>VLOOKUP($N223,[2]Cultures!$B$4:$M$283,MATCH(AS$1,[2]Cultures!$B$3:$M$3,0),FALSE)</f>
        <v>#N/A</v>
      </c>
      <c r="AT223" s="4"/>
      <c r="AU223" s="4">
        <f>IF(ISNUMBER(SEARCH(N223&amp;";",Calculations!$Q$19)),VLOOKUP(Skills!N223,Calculations!$Q$2:$T$16,4,FALSE),0)</f>
        <v>0</v>
      </c>
      <c r="AV223" s="4">
        <f>IF(ISNUMBER(SEARCH(N223&amp;";",Calculations!$Q$18)),1,0)</f>
        <v>0</v>
      </c>
      <c r="AW223" s="4">
        <f t="shared" si="111"/>
        <v>0</v>
      </c>
      <c r="AX223" s="4">
        <f>VLOOKUP($N223,$N223:$CH223,MATCH('Character Sheet'!$BJ$3,Skills!$N$1:$CH$1,0),FALSE)</f>
        <v>0</v>
      </c>
    </row>
    <row r="224" spans="2:50" x14ac:dyDescent="0.25">
      <c r="B224" s="4" t="e">
        <f t="shared" si="113"/>
        <v>#N/A</v>
      </c>
      <c r="E224" s="4"/>
      <c r="F224" s="4">
        <f t="shared" si="98"/>
        <v>0</v>
      </c>
      <c r="G224" s="4"/>
      <c r="H224" s="4" t="e">
        <f t="shared" si="104"/>
        <v>#N/A</v>
      </c>
      <c r="I224" s="4" t="e">
        <f t="shared" si="109"/>
        <v>#N/A</v>
      </c>
      <c r="J224" s="4">
        <f t="shared" si="95"/>
        <v>0</v>
      </c>
      <c r="K224" s="4" t="e">
        <f t="shared" si="107"/>
        <v>#N/A</v>
      </c>
      <c r="M224" t="str">
        <f t="shared" si="112"/>
        <v>Survival, Tundra</v>
      </c>
      <c r="N224" s="3" t="str">
        <f>'Character Sheet'!BAV26</f>
        <v>Tundra</v>
      </c>
      <c r="O224" s="4" t="s">
        <v>796</v>
      </c>
      <c r="P224" s="4" t="s">
        <v>792</v>
      </c>
      <c r="Q224" s="4" t="e">
        <f t="shared" si="87"/>
        <v>#N/A</v>
      </c>
      <c r="R224" s="4">
        <f>IF(ISNUMBER(SEARCH("Category",N224)),"- -",IF(ISNUMBER(SEARCH("Skills",N224)),"- -",'Level-up'!C242))</f>
        <v>0</v>
      </c>
      <c r="S224" s="4" t="e">
        <f t="shared" si="96"/>
        <v>#N/A</v>
      </c>
      <c r="T224" s="4" t="e">
        <f t="shared" si="97"/>
        <v>#N/A</v>
      </c>
      <c r="U224" s="4">
        <f t="shared" ca="1" si="103"/>
        <v>5</v>
      </c>
      <c r="V224" s="4">
        <f t="shared" si="110"/>
        <v>0</v>
      </c>
      <c r="W224" s="4">
        <f t="shared" si="88"/>
        <v>0</v>
      </c>
      <c r="X224" s="4">
        <f t="shared" si="85"/>
        <v>0</v>
      </c>
      <c r="Y224" s="4">
        <f t="shared" si="99"/>
        <v>0</v>
      </c>
      <c r="Z224" s="4">
        <f t="shared" si="100"/>
        <v>0</v>
      </c>
      <c r="AA224" s="4">
        <f t="shared" si="101"/>
        <v>0</v>
      </c>
      <c r="AB224" s="4">
        <f t="shared" si="102"/>
        <v>0</v>
      </c>
      <c r="AC224" s="8"/>
      <c r="AD224" s="4"/>
      <c r="AE224" s="4"/>
      <c r="AF224" s="4" t="e">
        <f t="shared" si="106"/>
        <v>#N/A</v>
      </c>
      <c r="AG224" s="4"/>
      <c r="AH224" s="4">
        <f>IFERROR(VLOOKUP(M224,Calculations!$AC$2:$AD$251,2,FALSE),0)</f>
        <v>0</v>
      </c>
      <c r="AI224" s="4" t="e">
        <f>VLOOKUP(N224,$N$2:$AS$620,MATCH('Character Creation'!$Z$12,Skills!$N$1:$AS$1,0),FALSE)</f>
        <v>#N/A</v>
      </c>
      <c r="AJ224" s="4" t="e">
        <f>VLOOKUP($N224,[2]Cultures!$B$4:$M$283,MATCH(AJ$1,[2]Cultures!$B$3:$M$3,0),FALSE)</f>
        <v>#N/A</v>
      </c>
      <c r="AK224" s="4" t="e">
        <f>VLOOKUP($N224,[2]Cultures!$B$4:$M$283,MATCH(AK$1,[2]Cultures!$B$3:$M$3,0),FALSE)</f>
        <v>#N/A</v>
      </c>
      <c r="AL224" s="4" t="e">
        <f>VLOOKUP($N224,[2]Cultures!$B$4:$M$283,MATCH(AL$1,[2]Cultures!$B$3:$M$3,0),FALSE)</f>
        <v>#N/A</v>
      </c>
      <c r="AM224" s="4" t="e">
        <f>VLOOKUP($N224,[2]Cultures!$B$4:$M$283,MATCH(AM$1,[2]Cultures!$B$3:$M$3,0),FALSE)</f>
        <v>#N/A</v>
      </c>
      <c r="AN224" s="4" t="e">
        <f>VLOOKUP($N224,[2]Cultures!$B$4:$M$283,MATCH(AN$1,[2]Cultures!$B$3:$M$3,0),FALSE)</f>
        <v>#N/A</v>
      </c>
      <c r="AO224" s="4" t="e">
        <f>VLOOKUP($N224,[2]Cultures!$B$4:$M$283,MATCH(AO$1,[2]Cultures!$B$3:$M$3,0),FALSE)</f>
        <v>#N/A</v>
      </c>
      <c r="AP224" s="4" t="e">
        <f>VLOOKUP($N224,[2]Cultures!$B$4:$M$283,MATCH(AP$1,[2]Cultures!$B$3:$M$3,0),FALSE)</f>
        <v>#N/A</v>
      </c>
      <c r="AQ224" s="4" t="e">
        <f>VLOOKUP($N224,[2]Cultures!$B$4:$M$283,MATCH(AQ$1,[2]Cultures!$B$3:$M$3,0),FALSE)</f>
        <v>#N/A</v>
      </c>
      <c r="AR224" s="4" t="e">
        <f>VLOOKUP($N224,[2]Cultures!$B$4:$M$283,MATCH(AR$1,[2]Cultures!$B$3:$M$3,0),FALSE)</f>
        <v>#N/A</v>
      </c>
      <c r="AS224" s="4" t="e">
        <f>VLOOKUP($N224,[2]Cultures!$B$4:$M$283,MATCH(AS$1,[2]Cultures!$B$3:$M$3,0),FALSE)</f>
        <v>#N/A</v>
      </c>
      <c r="AT224" s="4"/>
      <c r="AU224" s="4">
        <f>IF(ISNUMBER(SEARCH(N224&amp;";",Calculations!$Q$19)),VLOOKUP(Skills!N224,Calculations!$Q$2:$T$16,4,FALSE),0)</f>
        <v>0</v>
      </c>
      <c r="AV224" s="4">
        <f>IF(ISNUMBER(SEARCH(N224&amp;";",Calculations!$Q$18)),1,0)</f>
        <v>0</v>
      </c>
      <c r="AW224" s="4">
        <f t="shared" si="111"/>
        <v>0</v>
      </c>
      <c r="AX224" s="4">
        <f>VLOOKUP($N224,$N224:$CH224,MATCH('Character Sheet'!$BJ$3,Skills!$N$1:$CH$1,0),FALSE)</f>
        <v>0</v>
      </c>
    </row>
    <row r="225" spans="2:50" x14ac:dyDescent="0.25">
      <c r="B225" s="4" t="e">
        <f t="shared" si="113"/>
        <v>#N/A</v>
      </c>
      <c r="E225" s="4"/>
      <c r="F225" s="4">
        <f t="shared" si="98"/>
        <v>0</v>
      </c>
      <c r="G225" s="4"/>
      <c r="H225" s="4" t="e">
        <f t="shared" si="104"/>
        <v>#N/A</v>
      </c>
      <c r="I225" s="4" t="e">
        <f t="shared" si="109"/>
        <v>#N/A</v>
      </c>
      <c r="J225" s="4">
        <f t="shared" si="95"/>
        <v>0</v>
      </c>
      <c r="K225" s="4" t="e">
        <f t="shared" si="107"/>
        <v>#N/A</v>
      </c>
      <c r="M225" t="str">
        <f t="shared" si="112"/>
        <v>Survival, Boreal Forests</v>
      </c>
      <c r="N225" s="3" t="str">
        <f>'Character Sheet'!BAV27</f>
        <v>Boreal Forests</v>
      </c>
      <c r="O225" s="4" t="s">
        <v>796</v>
      </c>
      <c r="P225" s="4" t="s">
        <v>792</v>
      </c>
      <c r="Q225" s="4" t="e">
        <f t="shared" si="87"/>
        <v>#N/A</v>
      </c>
      <c r="R225" s="4">
        <f>IF(ISNUMBER(SEARCH("Category",N225)),"- -",IF(ISNUMBER(SEARCH("Skills",N225)),"- -",'Level-up'!C243))</f>
        <v>0</v>
      </c>
      <c r="S225" s="4" t="e">
        <f t="shared" si="96"/>
        <v>#N/A</v>
      </c>
      <c r="T225" s="4" t="e">
        <f t="shared" si="97"/>
        <v>#N/A</v>
      </c>
      <c r="U225" s="4">
        <f t="shared" ca="1" si="103"/>
        <v>5</v>
      </c>
      <c r="V225" s="4">
        <f t="shared" si="110"/>
        <v>0</v>
      </c>
      <c r="W225" s="4">
        <f t="shared" si="88"/>
        <v>0</v>
      </c>
      <c r="X225" s="4">
        <f t="shared" ref="X225:X289" si="114">IF(ISNUMBER(SEARCH("Category",N225)),"- -",IF(ISNUMBER(SEARCH("Skills",N225)),"- -",0))</f>
        <v>0</v>
      </c>
      <c r="Y225" s="4">
        <f t="shared" si="99"/>
        <v>0</v>
      </c>
      <c r="Z225" s="4">
        <f t="shared" si="100"/>
        <v>0</v>
      </c>
      <c r="AA225" s="4">
        <f t="shared" si="101"/>
        <v>0</v>
      </c>
      <c r="AB225" s="4">
        <f t="shared" si="102"/>
        <v>0</v>
      </c>
      <c r="AC225" s="8"/>
      <c r="AD225" s="4"/>
      <c r="AE225" s="4"/>
      <c r="AF225" s="4" t="e">
        <f t="shared" si="106"/>
        <v>#N/A</v>
      </c>
      <c r="AG225" s="4"/>
      <c r="AH225" s="4">
        <f>IFERROR(VLOOKUP(M225,Calculations!$AC$2:$AD$251,2,FALSE),0)</f>
        <v>0</v>
      </c>
      <c r="AI225" s="4" t="e">
        <f>VLOOKUP(N225,$N$2:$AS$620,MATCH('Character Creation'!$Z$12,Skills!$N$1:$AS$1,0),FALSE)</f>
        <v>#N/A</v>
      </c>
      <c r="AJ225" s="4" t="e">
        <f>VLOOKUP($N225,[2]Cultures!$B$4:$M$283,MATCH(AJ$1,[2]Cultures!$B$3:$M$3,0),FALSE)</f>
        <v>#N/A</v>
      </c>
      <c r="AK225" s="4" t="e">
        <f>VLOOKUP($N225,[2]Cultures!$B$4:$M$283,MATCH(AK$1,[2]Cultures!$B$3:$M$3,0),FALSE)</f>
        <v>#N/A</v>
      </c>
      <c r="AL225" s="4" t="e">
        <f>VLOOKUP($N225,[2]Cultures!$B$4:$M$283,MATCH(AL$1,[2]Cultures!$B$3:$M$3,0),FALSE)</f>
        <v>#N/A</v>
      </c>
      <c r="AM225" s="4" t="e">
        <f>VLOOKUP($N225,[2]Cultures!$B$4:$M$283,MATCH(AM$1,[2]Cultures!$B$3:$M$3,0),FALSE)</f>
        <v>#N/A</v>
      </c>
      <c r="AN225" s="4" t="e">
        <f>VLOOKUP($N225,[2]Cultures!$B$4:$M$283,MATCH(AN$1,[2]Cultures!$B$3:$M$3,0),FALSE)</f>
        <v>#N/A</v>
      </c>
      <c r="AO225" s="4" t="e">
        <f>VLOOKUP($N225,[2]Cultures!$B$4:$M$283,MATCH(AO$1,[2]Cultures!$B$3:$M$3,0),FALSE)</f>
        <v>#N/A</v>
      </c>
      <c r="AP225" s="4" t="e">
        <f>VLOOKUP($N225,[2]Cultures!$B$4:$M$283,MATCH(AP$1,[2]Cultures!$B$3:$M$3,0),FALSE)</f>
        <v>#N/A</v>
      </c>
      <c r="AQ225" s="4" t="e">
        <f>VLOOKUP($N225,[2]Cultures!$B$4:$M$283,MATCH(AQ$1,[2]Cultures!$B$3:$M$3,0),FALSE)</f>
        <v>#N/A</v>
      </c>
      <c r="AR225" s="4" t="e">
        <f>VLOOKUP($N225,[2]Cultures!$B$4:$M$283,MATCH(AR$1,[2]Cultures!$B$3:$M$3,0),FALSE)</f>
        <v>#N/A</v>
      </c>
      <c r="AS225" s="4" t="e">
        <f>VLOOKUP($N225,[2]Cultures!$B$4:$M$283,MATCH(AS$1,[2]Cultures!$B$3:$M$3,0),FALSE)</f>
        <v>#N/A</v>
      </c>
      <c r="AT225" s="4"/>
      <c r="AU225" s="4">
        <f>IF(ISNUMBER(SEARCH(N225&amp;";",Calculations!$Q$19)),VLOOKUP(Skills!N225,Calculations!$Q$2:$T$16,4,FALSE),0)</f>
        <v>0</v>
      </c>
      <c r="AV225" s="4">
        <f>IF(ISNUMBER(SEARCH(N225&amp;";",Calculations!$Q$18)),1,0)</f>
        <v>0</v>
      </c>
      <c r="AW225" s="4">
        <f t="shared" si="111"/>
        <v>0</v>
      </c>
      <c r="AX225" s="4">
        <f>VLOOKUP($N225,$N225:$CH225,MATCH('Character Sheet'!$BJ$3,Skills!$N$1:$CH$1,0),FALSE)</f>
        <v>0</v>
      </c>
    </row>
    <row r="226" spans="2:50" x14ac:dyDescent="0.25">
      <c r="B226" s="4" t="e">
        <f t="shared" si="113"/>
        <v>#N/A</v>
      </c>
      <c r="E226" s="4"/>
      <c r="F226" s="4">
        <f t="shared" si="98"/>
        <v>0</v>
      </c>
      <c r="G226" s="4"/>
      <c r="H226" s="4" t="e">
        <f t="shared" si="104"/>
        <v>#N/A</v>
      </c>
      <c r="I226" s="4" t="e">
        <f t="shared" si="109"/>
        <v>#N/A</v>
      </c>
      <c r="J226" s="4">
        <f t="shared" si="95"/>
        <v>0</v>
      </c>
      <c r="K226" s="4" t="e">
        <f t="shared" si="107"/>
        <v>#N/A</v>
      </c>
      <c r="M226" t="str">
        <f t="shared" si="112"/>
        <v>Survival, Desert &amp; Xeric Shrublands</v>
      </c>
      <c r="N226" s="3" t="str">
        <f>'Character Sheet'!BAV28</f>
        <v>Desert &amp; Xeric Shrublands</v>
      </c>
      <c r="O226" s="4" t="s">
        <v>796</v>
      </c>
      <c r="P226" s="4" t="s">
        <v>792</v>
      </c>
      <c r="Q226" s="4" t="e">
        <f t="shared" si="87"/>
        <v>#N/A</v>
      </c>
      <c r="R226" s="4">
        <f>IF(ISNUMBER(SEARCH("Category",N226)),"- -",IF(ISNUMBER(SEARCH("Skills",N226)),"- -",'Level-up'!C244))</f>
        <v>0</v>
      </c>
      <c r="S226" s="4" t="e">
        <f t="shared" si="96"/>
        <v>#N/A</v>
      </c>
      <c r="T226" s="4" t="e">
        <f t="shared" si="97"/>
        <v>#N/A</v>
      </c>
      <c r="U226" s="4">
        <f t="shared" ca="1" si="103"/>
        <v>5</v>
      </c>
      <c r="V226" s="4">
        <f t="shared" si="110"/>
        <v>0</v>
      </c>
      <c r="W226" s="4">
        <f t="shared" si="88"/>
        <v>0</v>
      </c>
      <c r="X226" s="4">
        <f t="shared" si="114"/>
        <v>0</v>
      </c>
      <c r="Y226" s="4">
        <f t="shared" si="99"/>
        <v>0</v>
      </c>
      <c r="Z226" s="4">
        <f t="shared" si="100"/>
        <v>0</v>
      </c>
      <c r="AA226" s="4">
        <f t="shared" si="101"/>
        <v>0</v>
      </c>
      <c r="AB226" s="4">
        <f t="shared" si="102"/>
        <v>0</v>
      </c>
      <c r="AC226" s="8"/>
      <c r="AD226" s="4"/>
      <c r="AE226" s="4"/>
      <c r="AF226" s="4" t="e">
        <f t="shared" si="106"/>
        <v>#N/A</v>
      </c>
      <c r="AG226" s="4"/>
      <c r="AH226" s="4">
        <f>IFERROR(VLOOKUP(M226,Calculations!$AC$2:$AD$251,2,FALSE),0)</f>
        <v>0</v>
      </c>
      <c r="AI226" s="4" t="e">
        <f>VLOOKUP(N226,$N$2:$AS$620,MATCH('Character Creation'!$Z$12,Skills!$N$1:$AS$1,0),FALSE)</f>
        <v>#N/A</v>
      </c>
      <c r="AJ226" s="4" t="e">
        <f>VLOOKUP($N226,[2]Cultures!$B$4:$M$283,MATCH(AJ$1,[2]Cultures!$B$3:$M$3,0),FALSE)</f>
        <v>#N/A</v>
      </c>
      <c r="AK226" s="4" t="e">
        <f>VLOOKUP($N226,[2]Cultures!$B$4:$M$283,MATCH(AK$1,[2]Cultures!$B$3:$M$3,0),FALSE)</f>
        <v>#N/A</v>
      </c>
      <c r="AL226" s="4" t="e">
        <f>VLOOKUP($N226,[2]Cultures!$B$4:$M$283,MATCH(AL$1,[2]Cultures!$B$3:$M$3,0),FALSE)</f>
        <v>#N/A</v>
      </c>
      <c r="AM226" s="4" t="e">
        <f>VLOOKUP($N226,[2]Cultures!$B$4:$M$283,MATCH(AM$1,[2]Cultures!$B$3:$M$3,0),FALSE)</f>
        <v>#N/A</v>
      </c>
      <c r="AN226" s="4" t="e">
        <f>VLOOKUP($N226,[2]Cultures!$B$4:$M$283,MATCH(AN$1,[2]Cultures!$B$3:$M$3,0),FALSE)</f>
        <v>#N/A</v>
      </c>
      <c r="AO226" s="4" t="e">
        <f>VLOOKUP($N226,[2]Cultures!$B$4:$M$283,MATCH(AO$1,[2]Cultures!$B$3:$M$3,0),FALSE)</f>
        <v>#N/A</v>
      </c>
      <c r="AP226" s="4" t="e">
        <f>VLOOKUP($N226,[2]Cultures!$B$4:$M$283,MATCH(AP$1,[2]Cultures!$B$3:$M$3,0),FALSE)</f>
        <v>#N/A</v>
      </c>
      <c r="AQ226" s="4" t="e">
        <f>VLOOKUP($N226,[2]Cultures!$B$4:$M$283,MATCH(AQ$1,[2]Cultures!$B$3:$M$3,0),FALSE)</f>
        <v>#N/A</v>
      </c>
      <c r="AR226" s="4" t="e">
        <f>VLOOKUP($N226,[2]Cultures!$B$4:$M$283,MATCH(AR$1,[2]Cultures!$B$3:$M$3,0),FALSE)</f>
        <v>#N/A</v>
      </c>
      <c r="AS226" s="4" t="e">
        <f>VLOOKUP($N226,[2]Cultures!$B$4:$M$283,MATCH(AS$1,[2]Cultures!$B$3:$M$3,0),FALSE)</f>
        <v>#N/A</v>
      </c>
      <c r="AT226" s="4"/>
      <c r="AU226" s="4">
        <f>IF(ISNUMBER(SEARCH(N226&amp;";",Calculations!$Q$19)),VLOOKUP(Skills!N226,Calculations!$Q$2:$T$16,4,FALSE),0)</f>
        <v>0</v>
      </c>
      <c r="AV226" s="4">
        <f>IF(ISNUMBER(SEARCH(N226&amp;";",Calculations!$Q$18)),1,0)</f>
        <v>0</v>
      </c>
      <c r="AW226" s="4">
        <f t="shared" si="111"/>
        <v>0</v>
      </c>
      <c r="AX226" s="4">
        <f>VLOOKUP($N226,$N226:$CH226,MATCH('Character Sheet'!$BJ$3,Skills!$N$1:$CH$1,0),FALSE)</f>
        <v>0</v>
      </c>
    </row>
    <row r="227" spans="2:50" x14ac:dyDescent="0.25">
      <c r="B227" s="4" t="e">
        <f t="shared" si="113"/>
        <v>#N/A</v>
      </c>
      <c r="E227" s="4"/>
      <c r="F227" s="4">
        <f t="shared" si="98"/>
        <v>0</v>
      </c>
      <c r="G227" s="4"/>
      <c r="H227" s="4" t="e">
        <f t="shared" si="104"/>
        <v>#N/A</v>
      </c>
      <c r="I227" s="4" t="e">
        <f t="shared" si="109"/>
        <v>#N/A</v>
      </c>
      <c r="J227" s="4">
        <f t="shared" si="95"/>
        <v>0</v>
      </c>
      <c r="K227" s="4" t="e">
        <f t="shared" si="107"/>
        <v>#N/A</v>
      </c>
      <c r="M227" t="str">
        <f t="shared" si="112"/>
        <v>Survival, Prairies &amp; Steppes</v>
      </c>
      <c r="N227" s="3" t="str">
        <f>'Character Sheet'!BAV29</f>
        <v>Prairies &amp; Steppes</v>
      </c>
      <c r="O227" s="4" t="s">
        <v>796</v>
      </c>
      <c r="P227" s="4" t="s">
        <v>792</v>
      </c>
      <c r="Q227" s="4" t="e">
        <f t="shared" si="87"/>
        <v>#N/A</v>
      </c>
      <c r="R227" s="4">
        <f>IF(ISNUMBER(SEARCH("Category",N227)),"- -",IF(ISNUMBER(SEARCH("Skills",N227)),"- -",'Level-up'!C245))</f>
        <v>0</v>
      </c>
      <c r="S227" s="4" t="e">
        <f t="shared" si="96"/>
        <v>#N/A</v>
      </c>
      <c r="T227" s="4" t="e">
        <f t="shared" si="97"/>
        <v>#N/A</v>
      </c>
      <c r="U227" s="4">
        <f t="shared" ca="1" si="103"/>
        <v>5</v>
      </c>
      <c r="V227" s="4">
        <f t="shared" si="110"/>
        <v>0</v>
      </c>
      <c r="W227" s="4">
        <f t="shared" si="88"/>
        <v>0</v>
      </c>
      <c r="X227" s="4">
        <f t="shared" si="114"/>
        <v>0</v>
      </c>
      <c r="Y227" s="4">
        <f t="shared" si="99"/>
        <v>0</v>
      </c>
      <c r="Z227" s="4">
        <f t="shared" si="100"/>
        <v>0</v>
      </c>
      <c r="AA227" s="4">
        <f t="shared" si="101"/>
        <v>0</v>
      </c>
      <c r="AB227" s="4">
        <f t="shared" si="102"/>
        <v>0</v>
      </c>
      <c r="AC227" s="8"/>
      <c r="AD227" s="4"/>
      <c r="AE227" s="4"/>
      <c r="AF227" s="4" t="e">
        <f t="shared" si="106"/>
        <v>#N/A</v>
      </c>
      <c r="AG227" s="4"/>
      <c r="AH227" s="4">
        <f>IFERROR(VLOOKUP(M227,Calculations!$AC$2:$AD$251,2,FALSE),0)</f>
        <v>0</v>
      </c>
      <c r="AI227" s="4" t="e">
        <f>VLOOKUP(N227,$N$2:$AS$620,MATCH('Character Creation'!$Z$12,Skills!$N$1:$AS$1,0),FALSE)</f>
        <v>#N/A</v>
      </c>
      <c r="AJ227" s="4" t="e">
        <f>VLOOKUP($N227,[2]Cultures!$B$4:$M$283,MATCH(AJ$1,[2]Cultures!$B$3:$M$3,0),FALSE)</f>
        <v>#N/A</v>
      </c>
      <c r="AK227" s="4" t="e">
        <f>VLOOKUP($N227,[2]Cultures!$B$4:$M$283,MATCH(AK$1,[2]Cultures!$B$3:$M$3,0),FALSE)</f>
        <v>#N/A</v>
      </c>
      <c r="AL227" s="4" t="e">
        <f>VLOOKUP($N227,[2]Cultures!$B$4:$M$283,MATCH(AL$1,[2]Cultures!$B$3:$M$3,0),FALSE)</f>
        <v>#N/A</v>
      </c>
      <c r="AM227" s="4" t="e">
        <f>VLOOKUP($N227,[2]Cultures!$B$4:$M$283,MATCH(AM$1,[2]Cultures!$B$3:$M$3,0),FALSE)</f>
        <v>#N/A</v>
      </c>
      <c r="AN227" s="4" t="e">
        <f>VLOOKUP($N227,[2]Cultures!$B$4:$M$283,MATCH(AN$1,[2]Cultures!$B$3:$M$3,0),FALSE)</f>
        <v>#N/A</v>
      </c>
      <c r="AO227" s="4" t="e">
        <f>VLOOKUP($N227,[2]Cultures!$B$4:$M$283,MATCH(AO$1,[2]Cultures!$B$3:$M$3,0),FALSE)</f>
        <v>#N/A</v>
      </c>
      <c r="AP227" s="4" t="e">
        <f>VLOOKUP($N227,[2]Cultures!$B$4:$M$283,MATCH(AP$1,[2]Cultures!$B$3:$M$3,0),FALSE)</f>
        <v>#N/A</v>
      </c>
      <c r="AQ227" s="4" t="e">
        <f>VLOOKUP($N227,[2]Cultures!$B$4:$M$283,MATCH(AQ$1,[2]Cultures!$B$3:$M$3,0),FALSE)</f>
        <v>#N/A</v>
      </c>
      <c r="AR227" s="4" t="e">
        <f>VLOOKUP($N227,[2]Cultures!$B$4:$M$283,MATCH(AR$1,[2]Cultures!$B$3:$M$3,0),FALSE)</f>
        <v>#N/A</v>
      </c>
      <c r="AS227" s="4" t="e">
        <f>VLOOKUP($N227,[2]Cultures!$B$4:$M$283,MATCH(AS$1,[2]Cultures!$B$3:$M$3,0),FALSE)</f>
        <v>#N/A</v>
      </c>
      <c r="AT227" s="4"/>
      <c r="AU227" s="4">
        <f>IF(ISNUMBER(SEARCH(N227&amp;";",Calculations!$Q$19)),VLOOKUP(Skills!N227,Calculations!$Q$2:$T$16,4,FALSE),0)</f>
        <v>0</v>
      </c>
      <c r="AV227" s="4">
        <f>IF(ISNUMBER(SEARCH(N227&amp;";",Calculations!$Q$18)),1,0)</f>
        <v>0</v>
      </c>
      <c r="AW227" s="4">
        <f t="shared" si="111"/>
        <v>0</v>
      </c>
      <c r="AX227" s="4">
        <f>VLOOKUP($N227,$N227:$CH227,MATCH('Character Sheet'!$BJ$3,Skills!$N$1:$CH$1,0),FALSE)</f>
        <v>0</v>
      </c>
    </row>
    <row r="228" spans="2:50" x14ac:dyDescent="0.25">
      <c r="B228" s="4" t="e">
        <f t="shared" si="113"/>
        <v>#N/A</v>
      </c>
      <c r="E228" s="4"/>
      <c r="F228" s="4">
        <f t="shared" si="98"/>
        <v>0</v>
      </c>
      <c r="G228" s="4"/>
      <c r="H228" s="4" t="e">
        <f t="shared" si="104"/>
        <v>#N/A</v>
      </c>
      <c r="I228" s="4" t="e">
        <f t="shared" si="109"/>
        <v>#N/A</v>
      </c>
      <c r="J228" s="4">
        <f t="shared" si="95"/>
        <v>0</v>
      </c>
      <c r="K228" s="4" t="e">
        <f t="shared" si="107"/>
        <v>#N/A</v>
      </c>
      <c r="M228" t="str">
        <f t="shared" si="112"/>
        <v>Survival, Temperate Forests</v>
      </c>
      <c r="N228" s="3" t="str">
        <f>'Character Sheet'!BAV30</f>
        <v>Temperate Forests</v>
      </c>
      <c r="O228" s="4" t="s">
        <v>796</v>
      </c>
      <c r="P228" s="4" t="s">
        <v>792</v>
      </c>
      <c r="Q228" s="4" t="e">
        <f t="shared" ref="Q228:Q292" si="115">IF(ISNUMBER(SEARCH("Category",N228)),"- -",IF(ISNUMBER(SEARCH("Skills",N228)),"- -",AH228+AI228))</f>
        <v>#N/A</v>
      </c>
      <c r="R228" s="4">
        <f>IF(ISNUMBER(SEARCH("Category",N228)),"- -",IF(ISNUMBER(SEARCH("Skills",N228)),"- -",'Level-up'!C246))</f>
        <v>0</v>
      </c>
      <c r="S228" s="4" t="e">
        <f t="shared" si="96"/>
        <v>#N/A</v>
      </c>
      <c r="T228" s="4" t="e">
        <f t="shared" si="97"/>
        <v>#N/A</v>
      </c>
      <c r="U228" s="4">
        <f t="shared" ca="1" si="103"/>
        <v>5</v>
      </c>
      <c r="V228" s="4">
        <f t="shared" si="110"/>
        <v>0</v>
      </c>
      <c r="W228" s="4">
        <f t="shared" ref="W228:W291" si="116">IF(ISNUMBER(SEARCH("Category",N228)),"- -",IF(ISNUMBER(SEARCH("Skills",N228)),"- -",IF(AW228=1,MIN(S228,30),0)))</f>
        <v>0</v>
      </c>
      <c r="X228" s="4">
        <f t="shared" si="114"/>
        <v>0</v>
      </c>
      <c r="Y228" s="4">
        <f t="shared" si="99"/>
        <v>0</v>
      </c>
      <c r="Z228" s="4">
        <f t="shared" si="100"/>
        <v>0</v>
      </c>
      <c r="AA228" s="4">
        <f t="shared" si="101"/>
        <v>0</v>
      </c>
      <c r="AB228" s="4">
        <f t="shared" si="102"/>
        <v>0</v>
      </c>
      <c r="AC228" s="8"/>
      <c r="AD228" s="4"/>
      <c r="AE228" s="4"/>
      <c r="AF228" s="4" t="e">
        <f t="shared" si="106"/>
        <v>#N/A</v>
      </c>
      <c r="AG228" s="4"/>
      <c r="AH228" s="4">
        <f>IFERROR(VLOOKUP(M228,Calculations!$AC$2:$AD$251,2,FALSE),0)</f>
        <v>0</v>
      </c>
      <c r="AI228" s="4" t="e">
        <f>VLOOKUP(N228,$N$2:$AS$620,MATCH('Character Creation'!$Z$12,Skills!$N$1:$AS$1,0),FALSE)</f>
        <v>#N/A</v>
      </c>
      <c r="AJ228" s="4" t="e">
        <f>VLOOKUP($N228,[2]Cultures!$B$4:$M$283,MATCH(AJ$1,[2]Cultures!$B$3:$M$3,0),FALSE)</f>
        <v>#N/A</v>
      </c>
      <c r="AK228" s="4" t="e">
        <f>VLOOKUP($N228,[2]Cultures!$B$4:$M$283,MATCH(AK$1,[2]Cultures!$B$3:$M$3,0),FALSE)</f>
        <v>#N/A</v>
      </c>
      <c r="AL228" s="4" t="e">
        <f>VLOOKUP($N228,[2]Cultures!$B$4:$M$283,MATCH(AL$1,[2]Cultures!$B$3:$M$3,0),FALSE)</f>
        <v>#N/A</v>
      </c>
      <c r="AM228" s="4" t="e">
        <f>VLOOKUP($N228,[2]Cultures!$B$4:$M$283,MATCH(AM$1,[2]Cultures!$B$3:$M$3,0),FALSE)</f>
        <v>#N/A</v>
      </c>
      <c r="AN228" s="4" t="e">
        <f>VLOOKUP($N228,[2]Cultures!$B$4:$M$283,MATCH(AN$1,[2]Cultures!$B$3:$M$3,0),FALSE)</f>
        <v>#N/A</v>
      </c>
      <c r="AO228" s="4" t="e">
        <f>VLOOKUP($N228,[2]Cultures!$B$4:$M$283,MATCH(AO$1,[2]Cultures!$B$3:$M$3,0),FALSE)</f>
        <v>#N/A</v>
      </c>
      <c r="AP228" s="4" t="e">
        <f>VLOOKUP($N228,[2]Cultures!$B$4:$M$283,MATCH(AP$1,[2]Cultures!$B$3:$M$3,0),FALSE)</f>
        <v>#N/A</v>
      </c>
      <c r="AQ228" s="4" t="e">
        <f>VLOOKUP($N228,[2]Cultures!$B$4:$M$283,MATCH(AQ$1,[2]Cultures!$B$3:$M$3,0),FALSE)</f>
        <v>#N/A</v>
      </c>
      <c r="AR228" s="4" t="e">
        <f>VLOOKUP($N228,[2]Cultures!$B$4:$M$283,MATCH(AR$1,[2]Cultures!$B$3:$M$3,0),FALSE)</f>
        <v>#N/A</v>
      </c>
      <c r="AS228" s="4" t="e">
        <f>VLOOKUP($N228,[2]Cultures!$B$4:$M$283,MATCH(AS$1,[2]Cultures!$B$3:$M$3,0),FALSE)</f>
        <v>#N/A</v>
      </c>
      <c r="AT228" s="4"/>
      <c r="AU228" s="4">
        <f>IF(ISNUMBER(SEARCH(N228&amp;";",Calculations!$Q$19)),VLOOKUP(Skills!N228,Calculations!$Q$2:$T$16,4,FALSE),0)</f>
        <v>0</v>
      </c>
      <c r="AV228" s="4">
        <f>IF(ISNUMBER(SEARCH(N228&amp;";",Calculations!$Q$18)),1,0)</f>
        <v>0</v>
      </c>
      <c r="AW228" s="4">
        <f t="shared" si="111"/>
        <v>0</v>
      </c>
      <c r="AX228" s="4">
        <f>VLOOKUP($N228,$N228:$CH228,MATCH('Character Sheet'!$BJ$3,Skills!$N$1:$CH$1,0),FALSE)</f>
        <v>0</v>
      </c>
    </row>
    <row r="229" spans="2:50" x14ac:dyDescent="0.25">
      <c r="B229" s="4" t="e">
        <f t="shared" si="113"/>
        <v>#N/A</v>
      </c>
      <c r="E229" s="4"/>
      <c r="F229" s="4">
        <f t="shared" si="98"/>
        <v>0</v>
      </c>
      <c r="G229" s="4"/>
      <c r="H229" s="4" t="e">
        <f t="shared" si="104"/>
        <v>#N/A</v>
      </c>
      <c r="I229" s="4" t="e">
        <f t="shared" si="109"/>
        <v>#N/A</v>
      </c>
      <c r="J229" s="4">
        <f t="shared" si="95"/>
        <v>0</v>
      </c>
      <c r="K229" s="4" t="e">
        <f t="shared" si="107"/>
        <v>#N/A</v>
      </c>
      <c r="M229" t="str">
        <f t="shared" si="112"/>
        <v>Survival, Hot Deserts</v>
      </c>
      <c r="N229" s="3" t="str">
        <f>'Character Sheet'!BAV31</f>
        <v>Hot Deserts</v>
      </c>
      <c r="O229" s="4" t="s">
        <v>796</v>
      </c>
      <c r="P229" s="4" t="s">
        <v>792</v>
      </c>
      <c r="Q229" s="4" t="e">
        <f t="shared" si="115"/>
        <v>#N/A</v>
      </c>
      <c r="R229" s="4">
        <f>IF(ISNUMBER(SEARCH("Category",N229)),"- -",IF(ISNUMBER(SEARCH("Skills",N229)),"- -",'Level-up'!C247))</f>
        <v>0</v>
      </c>
      <c r="S229" s="4" t="e">
        <f t="shared" si="96"/>
        <v>#N/A</v>
      </c>
      <c r="T229" s="4" t="e">
        <f t="shared" si="97"/>
        <v>#N/A</v>
      </c>
      <c r="U229" s="4">
        <f t="shared" ca="1" si="103"/>
        <v>5</v>
      </c>
      <c r="V229" s="4">
        <f t="shared" si="110"/>
        <v>0</v>
      </c>
      <c r="W229" s="4">
        <f t="shared" si="116"/>
        <v>0</v>
      </c>
      <c r="X229" s="4">
        <f t="shared" si="114"/>
        <v>0</v>
      </c>
      <c r="Y229" s="4">
        <f t="shared" si="99"/>
        <v>0</v>
      </c>
      <c r="Z229" s="4">
        <f t="shared" si="100"/>
        <v>0</v>
      </c>
      <c r="AA229" s="4">
        <f t="shared" si="101"/>
        <v>0</v>
      </c>
      <c r="AB229" s="4">
        <f t="shared" si="102"/>
        <v>0</v>
      </c>
      <c r="AC229" s="8"/>
      <c r="AD229" s="4"/>
      <c r="AE229" s="4"/>
      <c r="AF229" s="4" t="e">
        <f t="shared" si="106"/>
        <v>#N/A</v>
      </c>
      <c r="AG229" s="4"/>
      <c r="AH229" s="4">
        <f>IFERROR(VLOOKUP(M229,Calculations!$AC$2:$AD$251,2,FALSE),0)</f>
        <v>0</v>
      </c>
      <c r="AI229" s="4" t="e">
        <f>VLOOKUP(N229,$N$2:$AS$620,MATCH('Character Creation'!$Z$12,Skills!$N$1:$AS$1,0),FALSE)</f>
        <v>#N/A</v>
      </c>
      <c r="AJ229" s="4" t="e">
        <f>VLOOKUP($N229,[2]Cultures!$B$4:$M$283,MATCH(AJ$1,[2]Cultures!$B$3:$M$3,0),FALSE)</f>
        <v>#N/A</v>
      </c>
      <c r="AK229" s="4" t="e">
        <f>VLOOKUP($N229,[2]Cultures!$B$4:$M$283,MATCH(AK$1,[2]Cultures!$B$3:$M$3,0),FALSE)</f>
        <v>#N/A</v>
      </c>
      <c r="AL229" s="4" t="e">
        <f>VLOOKUP($N229,[2]Cultures!$B$4:$M$283,MATCH(AL$1,[2]Cultures!$B$3:$M$3,0),FALSE)</f>
        <v>#N/A</v>
      </c>
      <c r="AM229" s="4" t="e">
        <f>VLOOKUP($N229,[2]Cultures!$B$4:$M$283,MATCH(AM$1,[2]Cultures!$B$3:$M$3,0),FALSE)</f>
        <v>#N/A</v>
      </c>
      <c r="AN229" s="4" t="e">
        <f>VLOOKUP($N229,[2]Cultures!$B$4:$M$283,MATCH(AN$1,[2]Cultures!$B$3:$M$3,0),FALSE)</f>
        <v>#N/A</v>
      </c>
      <c r="AO229" s="4" t="e">
        <f>VLOOKUP($N229,[2]Cultures!$B$4:$M$283,MATCH(AO$1,[2]Cultures!$B$3:$M$3,0),FALSE)</f>
        <v>#N/A</v>
      </c>
      <c r="AP229" s="4" t="e">
        <f>VLOOKUP($N229,[2]Cultures!$B$4:$M$283,MATCH(AP$1,[2]Cultures!$B$3:$M$3,0),FALSE)</f>
        <v>#N/A</v>
      </c>
      <c r="AQ229" s="4" t="e">
        <f>VLOOKUP($N229,[2]Cultures!$B$4:$M$283,MATCH(AQ$1,[2]Cultures!$B$3:$M$3,0),FALSE)</f>
        <v>#N/A</v>
      </c>
      <c r="AR229" s="4" t="e">
        <f>VLOOKUP($N229,[2]Cultures!$B$4:$M$283,MATCH(AR$1,[2]Cultures!$B$3:$M$3,0),FALSE)</f>
        <v>#N/A</v>
      </c>
      <c r="AS229" s="4" t="e">
        <f>VLOOKUP($N229,[2]Cultures!$B$4:$M$283,MATCH(AS$1,[2]Cultures!$B$3:$M$3,0),FALSE)</f>
        <v>#N/A</v>
      </c>
      <c r="AT229" s="4"/>
      <c r="AU229" s="4">
        <f>IF(ISNUMBER(SEARCH(N229&amp;";",Calculations!$Q$19)),VLOOKUP(Skills!N229,Calculations!$Q$2:$T$16,4,FALSE),0)</f>
        <v>0</v>
      </c>
      <c r="AV229" s="4">
        <f>IF(ISNUMBER(SEARCH(N229&amp;";",Calculations!$Q$18)),1,0)</f>
        <v>0</v>
      </c>
      <c r="AW229" s="4">
        <f t="shared" si="111"/>
        <v>0</v>
      </c>
      <c r="AX229" s="4">
        <f>VLOOKUP($N229,$N229:$CH229,MATCH('Character Sheet'!$BJ$3,Skills!$N$1:$CH$1,0),FALSE)</f>
        <v>0</v>
      </c>
    </row>
    <row r="230" spans="2:50" x14ac:dyDescent="0.25">
      <c r="B230" s="4" t="e">
        <f t="shared" si="113"/>
        <v>#N/A</v>
      </c>
      <c r="E230" s="4"/>
      <c r="F230" s="4">
        <f t="shared" si="98"/>
        <v>0</v>
      </c>
      <c r="G230" s="4"/>
      <c r="H230" s="4" t="e">
        <f t="shared" si="104"/>
        <v>#N/A</v>
      </c>
      <c r="I230" s="4" t="e">
        <f t="shared" si="109"/>
        <v>#N/A</v>
      </c>
      <c r="J230" s="4">
        <f t="shared" si="95"/>
        <v>0</v>
      </c>
      <c r="K230" s="4" t="e">
        <f t="shared" si="107"/>
        <v>#N/A</v>
      </c>
      <c r="M230" t="str">
        <f t="shared" si="112"/>
        <v>Survival, Savannas &amp; Grasslands</v>
      </c>
      <c r="N230" s="3" t="str">
        <f>'Character Sheet'!BAV32</f>
        <v>Savannas &amp; Grasslands</v>
      </c>
      <c r="O230" s="4" t="s">
        <v>796</v>
      </c>
      <c r="P230" s="4" t="s">
        <v>792</v>
      </c>
      <c r="Q230" s="4" t="e">
        <f t="shared" si="115"/>
        <v>#N/A</v>
      </c>
      <c r="R230" s="4">
        <f>IF(ISNUMBER(SEARCH("Category",N230)),"- -",IF(ISNUMBER(SEARCH("Skills",N230)),"- -",'Level-up'!C248))</f>
        <v>0</v>
      </c>
      <c r="S230" s="4" t="e">
        <f t="shared" si="96"/>
        <v>#N/A</v>
      </c>
      <c r="T230" s="4" t="e">
        <f t="shared" si="97"/>
        <v>#N/A</v>
      </c>
      <c r="U230" s="4">
        <f t="shared" ca="1" si="103"/>
        <v>5</v>
      </c>
      <c r="V230" s="4">
        <f t="shared" si="110"/>
        <v>0</v>
      </c>
      <c r="W230" s="4">
        <f t="shared" si="116"/>
        <v>0</v>
      </c>
      <c r="X230" s="4">
        <f t="shared" si="114"/>
        <v>0</v>
      </c>
      <c r="Y230" s="4">
        <f t="shared" si="99"/>
        <v>0</v>
      </c>
      <c r="Z230" s="4">
        <f t="shared" si="100"/>
        <v>0</v>
      </c>
      <c r="AA230" s="4">
        <f t="shared" si="101"/>
        <v>0</v>
      </c>
      <c r="AB230" s="4">
        <f t="shared" si="102"/>
        <v>0</v>
      </c>
      <c r="AC230" s="8"/>
      <c r="AD230" s="4"/>
      <c r="AE230" s="4"/>
      <c r="AF230" s="4" t="e">
        <f t="shared" si="106"/>
        <v>#N/A</v>
      </c>
      <c r="AG230" s="4"/>
      <c r="AH230" s="4">
        <f>IFERROR(VLOOKUP(M230,Calculations!$AC$2:$AD$251,2,FALSE),0)</f>
        <v>0</v>
      </c>
      <c r="AI230" s="4" t="e">
        <f>VLOOKUP(N230,$N$2:$AS$620,MATCH('Character Creation'!$Z$12,Skills!$N$1:$AS$1,0),FALSE)</f>
        <v>#N/A</v>
      </c>
      <c r="AJ230" s="4" t="e">
        <f>VLOOKUP($N230,[2]Cultures!$B$4:$M$283,MATCH(AJ$1,[2]Cultures!$B$3:$M$3,0),FALSE)</f>
        <v>#N/A</v>
      </c>
      <c r="AK230" s="4" t="e">
        <f>VLOOKUP($N230,[2]Cultures!$B$4:$M$283,MATCH(AK$1,[2]Cultures!$B$3:$M$3,0),FALSE)</f>
        <v>#N/A</v>
      </c>
      <c r="AL230" s="4" t="e">
        <f>VLOOKUP($N230,[2]Cultures!$B$4:$M$283,MATCH(AL$1,[2]Cultures!$B$3:$M$3,0),FALSE)</f>
        <v>#N/A</v>
      </c>
      <c r="AM230" s="4" t="e">
        <f>VLOOKUP($N230,[2]Cultures!$B$4:$M$283,MATCH(AM$1,[2]Cultures!$B$3:$M$3,0),FALSE)</f>
        <v>#N/A</v>
      </c>
      <c r="AN230" s="4" t="e">
        <f>VLOOKUP($N230,[2]Cultures!$B$4:$M$283,MATCH(AN$1,[2]Cultures!$B$3:$M$3,0),FALSE)</f>
        <v>#N/A</v>
      </c>
      <c r="AO230" s="4" t="e">
        <f>VLOOKUP($N230,[2]Cultures!$B$4:$M$283,MATCH(AO$1,[2]Cultures!$B$3:$M$3,0),FALSE)</f>
        <v>#N/A</v>
      </c>
      <c r="AP230" s="4" t="e">
        <f>VLOOKUP($N230,[2]Cultures!$B$4:$M$283,MATCH(AP$1,[2]Cultures!$B$3:$M$3,0),FALSE)</f>
        <v>#N/A</v>
      </c>
      <c r="AQ230" s="4" t="e">
        <f>VLOOKUP($N230,[2]Cultures!$B$4:$M$283,MATCH(AQ$1,[2]Cultures!$B$3:$M$3,0),FALSE)</f>
        <v>#N/A</v>
      </c>
      <c r="AR230" s="4" t="e">
        <f>VLOOKUP($N230,[2]Cultures!$B$4:$M$283,MATCH(AR$1,[2]Cultures!$B$3:$M$3,0),FALSE)</f>
        <v>#N/A</v>
      </c>
      <c r="AS230" s="4" t="e">
        <f>VLOOKUP($N230,[2]Cultures!$B$4:$M$283,MATCH(AS$1,[2]Cultures!$B$3:$M$3,0),FALSE)</f>
        <v>#N/A</v>
      </c>
      <c r="AT230" s="4"/>
      <c r="AU230" s="4">
        <f>IF(ISNUMBER(SEARCH(N230&amp;";",Calculations!$Q$19)),VLOOKUP(Skills!N230,Calculations!$Q$2:$T$16,4,FALSE),0)</f>
        <v>0</v>
      </c>
      <c r="AV230" s="4">
        <f>IF(ISNUMBER(SEARCH(N230&amp;";",Calculations!$Q$18)),1,0)</f>
        <v>0</v>
      </c>
      <c r="AW230" s="4">
        <f t="shared" si="111"/>
        <v>0</v>
      </c>
      <c r="AX230" s="4">
        <f>VLOOKUP($N230,$N230:$CH230,MATCH('Character Sheet'!$BJ$3,Skills!$N$1:$CH$1,0),FALSE)</f>
        <v>0</v>
      </c>
    </row>
    <row r="231" spans="2:50" x14ac:dyDescent="0.25">
      <c r="B231" s="4" t="e">
        <f t="shared" si="113"/>
        <v>#N/A</v>
      </c>
      <c r="E231" s="4"/>
      <c r="F231" s="4">
        <f t="shared" si="98"/>
        <v>0</v>
      </c>
      <c r="G231" s="4"/>
      <c r="H231" s="4" t="e">
        <f t="shared" si="104"/>
        <v>#N/A</v>
      </c>
      <c r="I231" s="4" t="e">
        <f t="shared" si="109"/>
        <v>#N/A</v>
      </c>
      <c r="J231" s="4">
        <f t="shared" si="95"/>
        <v>0</v>
      </c>
      <c r="K231" s="4" t="e">
        <f>IF(ISNUMBER(SEARCH("Category",N231)),K233,AI231)</f>
        <v>#N/A</v>
      </c>
      <c r="M231" t="str">
        <f t="shared" si="112"/>
        <v>Survival, Tropical Forests</v>
      </c>
      <c r="N231" s="3" t="str">
        <f>'Character Sheet'!BAV33</f>
        <v>Tropical Forests</v>
      </c>
      <c r="O231" s="4" t="s">
        <v>796</v>
      </c>
      <c r="P231" s="4" t="s">
        <v>792</v>
      </c>
      <c r="Q231" s="4" t="e">
        <f t="shared" si="115"/>
        <v>#N/A</v>
      </c>
      <c r="R231" s="4">
        <f>IF(ISNUMBER(SEARCH("Category",N231)),"- -",IF(ISNUMBER(SEARCH("Skills",N231)),"- -",'Level-up'!C249))</f>
        <v>0</v>
      </c>
      <c r="S231" s="4" t="e">
        <f t="shared" si="96"/>
        <v>#N/A</v>
      </c>
      <c r="T231" s="4" t="e">
        <f t="shared" si="97"/>
        <v>#N/A</v>
      </c>
      <c r="U231" s="4">
        <f t="shared" ca="1" si="103"/>
        <v>5</v>
      </c>
      <c r="V231" s="4">
        <f t="shared" si="110"/>
        <v>0</v>
      </c>
      <c r="W231" s="4">
        <f t="shared" si="116"/>
        <v>0</v>
      </c>
      <c r="X231" s="4">
        <f t="shared" si="114"/>
        <v>0</v>
      </c>
      <c r="Y231" s="4">
        <f t="shared" si="99"/>
        <v>0</v>
      </c>
      <c r="Z231" s="4">
        <f t="shared" si="100"/>
        <v>0</v>
      </c>
      <c r="AA231" s="4">
        <f t="shared" si="101"/>
        <v>0</v>
      </c>
      <c r="AB231" s="4">
        <f t="shared" si="102"/>
        <v>0</v>
      </c>
      <c r="AC231" s="8"/>
      <c r="AD231" s="4"/>
      <c r="AE231" s="4"/>
      <c r="AF231" s="4" t="e">
        <f t="shared" si="106"/>
        <v>#N/A</v>
      </c>
      <c r="AG231" s="4"/>
      <c r="AH231" s="4">
        <f>IFERROR(VLOOKUP(M231,Calculations!$AC$2:$AD$251,2,FALSE),0)</f>
        <v>0</v>
      </c>
      <c r="AI231" s="4" t="e">
        <f>VLOOKUP(N231,$N$2:$AS$620,MATCH('Character Creation'!$Z$12,Skills!$N$1:$AS$1,0),FALSE)</f>
        <v>#N/A</v>
      </c>
      <c r="AJ231" s="4" t="e">
        <f>VLOOKUP($N231,[2]Cultures!$B$4:$M$283,MATCH(AJ$1,[2]Cultures!$B$3:$M$3,0),FALSE)</f>
        <v>#N/A</v>
      </c>
      <c r="AK231" s="4" t="e">
        <f>VLOOKUP($N231,[2]Cultures!$B$4:$M$283,MATCH(AK$1,[2]Cultures!$B$3:$M$3,0),FALSE)</f>
        <v>#N/A</v>
      </c>
      <c r="AL231" s="4" t="e">
        <f>VLOOKUP($N231,[2]Cultures!$B$4:$M$283,MATCH(AL$1,[2]Cultures!$B$3:$M$3,0),FALSE)</f>
        <v>#N/A</v>
      </c>
      <c r="AM231" s="4" t="e">
        <f>VLOOKUP($N231,[2]Cultures!$B$4:$M$283,MATCH(AM$1,[2]Cultures!$B$3:$M$3,0),FALSE)</f>
        <v>#N/A</v>
      </c>
      <c r="AN231" s="4" t="e">
        <f>VLOOKUP($N231,[2]Cultures!$B$4:$M$283,MATCH(AN$1,[2]Cultures!$B$3:$M$3,0),FALSE)</f>
        <v>#N/A</v>
      </c>
      <c r="AO231" s="4" t="e">
        <f>VLOOKUP($N231,[2]Cultures!$B$4:$M$283,MATCH(AO$1,[2]Cultures!$B$3:$M$3,0),FALSE)</f>
        <v>#N/A</v>
      </c>
      <c r="AP231" s="4" t="e">
        <f>VLOOKUP($N231,[2]Cultures!$B$4:$M$283,MATCH(AP$1,[2]Cultures!$B$3:$M$3,0),FALSE)</f>
        <v>#N/A</v>
      </c>
      <c r="AQ231" s="4" t="e">
        <f>VLOOKUP($N231,[2]Cultures!$B$4:$M$283,MATCH(AQ$1,[2]Cultures!$B$3:$M$3,0),FALSE)</f>
        <v>#N/A</v>
      </c>
      <c r="AR231" s="4" t="e">
        <f>VLOOKUP($N231,[2]Cultures!$B$4:$M$283,MATCH(AR$1,[2]Cultures!$B$3:$M$3,0),FALSE)</f>
        <v>#N/A</v>
      </c>
      <c r="AS231" s="4" t="e">
        <f>VLOOKUP($N231,[2]Cultures!$B$4:$M$283,MATCH(AS$1,[2]Cultures!$B$3:$M$3,0),FALSE)</f>
        <v>#N/A</v>
      </c>
      <c r="AT231" s="4"/>
      <c r="AU231" s="4">
        <f>IF(ISNUMBER(SEARCH(N231&amp;";",Calculations!$Q$19)),VLOOKUP(Skills!N231,Calculations!$Q$2:$T$16,4,FALSE),0)</f>
        <v>0</v>
      </c>
      <c r="AV231" s="4">
        <f>IF(ISNUMBER(SEARCH(N231&amp;";",Calculations!$Q$18)),1,0)</f>
        <v>0</v>
      </c>
      <c r="AW231" s="4">
        <f t="shared" si="111"/>
        <v>0</v>
      </c>
      <c r="AX231" s="4">
        <f>VLOOKUP($N231,$N231:$CH231,MATCH('Character Sheet'!$BJ$3,Skills!$N$1:$CH$1,0),FALSE)</f>
        <v>0</v>
      </c>
    </row>
    <row r="232" spans="2:50" x14ac:dyDescent="0.25">
      <c r="B232" s="4" t="e">
        <f t="shared" si="113"/>
        <v>#N/A</v>
      </c>
      <c r="E232" s="4"/>
      <c r="F232" s="4">
        <f t="shared" si="98"/>
        <v>0</v>
      </c>
      <c r="G232" s="4"/>
      <c r="H232" s="4" t="e">
        <f t="shared" si="104"/>
        <v>#N/A</v>
      </c>
      <c r="I232" s="4" t="e">
        <f t="shared" si="109"/>
        <v>#N/A</v>
      </c>
      <c r="J232" s="4">
        <f t="shared" ref="J232" si="117">IF(ISNUMBER(SEARCH("Skills",N232)),IF(AI232&gt;=1,1,0),0)</f>
        <v>0</v>
      </c>
      <c r="K232" s="4" t="e">
        <f>IF(ISNUMBER(SEARCH("Category",N232)),K234,AI232)</f>
        <v>#N/A</v>
      </c>
      <c r="M232" t="str">
        <f t="shared" ref="M232" si="118">"Survival, "&amp;N232</f>
        <v>Survival, Urban</v>
      </c>
      <c r="N232" s="3" t="str">
        <f>'Character Sheet'!BAV34</f>
        <v>Urban</v>
      </c>
      <c r="O232" s="4" t="s">
        <v>796</v>
      </c>
      <c r="P232" s="4" t="s">
        <v>792</v>
      </c>
      <c r="Q232" s="4" t="e">
        <f t="shared" ref="Q232" si="119">IF(ISNUMBER(SEARCH("Category",N232)),"- -",IF(ISNUMBER(SEARCH("Skills",N232)),"- -",AH232+AI232))</f>
        <v>#N/A</v>
      </c>
      <c r="R232" s="4">
        <f>IF(ISNUMBER(SEARCH("Category",N232)),"- -",IF(ISNUMBER(SEARCH("Skills",N232)),"- -",'Level-up'!C250))</f>
        <v>0</v>
      </c>
      <c r="S232" s="4" t="e">
        <f t="shared" ref="S232" si="120">IF(ISNUMBER(SEARCH("Skills",N232)),"- -",IF(ISNUMBER(SEARCH("category",N232)),"- -",SUM(Q232:R232)))</f>
        <v>#N/A</v>
      </c>
      <c r="T232" s="4" t="e">
        <f t="shared" ref="T232" si="121">IF(ISNUMBER(SEARCH("Skills",N232)),"- -",IF(ISNUMBER(SEARCH("category",N232)),"- -",IF(S232="",0,IF(S232=0,(IF(O232="- -",0,-25)),IF(S232&lt;11,S232*5,IF(S232&lt;21,((S232-10)*3)+50,IF(S232&lt;31,((S232-20)*2)+80,IF(S232&gt;30,(S232-30)+100))))))))</f>
        <v>#N/A</v>
      </c>
      <c r="U232" s="4">
        <f t="shared" ref="U232" ca="1" si="122">IFERROR(INDIRECT(LEFT(O232,FIND("/",O232)-1))+INDIRECT(MID(O232,FIND("/",O232)+1,2))+INDIRECT(P232),"- -")</f>
        <v>5</v>
      </c>
      <c r="V232" s="4">
        <f t="shared" si="110"/>
        <v>0</v>
      </c>
      <c r="W232" s="4">
        <f t="shared" si="116"/>
        <v>0</v>
      </c>
      <c r="X232" s="4">
        <f t="shared" ref="X232" si="123">IF(ISNUMBER(SEARCH("Category",N232)),"- -",IF(ISNUMBER(SEARCH("Skills",N232)),"- -",0))</f>
        <v>0</v>
      </c>
      <c r="Y232" s="4">
        <f t="shared" ref="Y232" si="124">IF(ISNUMBER(SEARCH("Category",N232)),"- -",IF(ISNUMBER(SEARCH("Skills",N232)),"- -",0))</f>
        <v>0</v>
      </c>
      <c r="Z232" s="4">
        <f t="shared" ref="Z232" si="125">IF(ISNUMBER(SEARCH("Category",N232)),"- -",IF(ISNUMBER(SEARCH("Skills",N232)),"- -",0))</f>
        <v>0</v>
      </c>
      <c r="AA232" s="4">
        <f t="shared" ref="AA232" si="126">IF(ISNUMBER(SEARCH("Category",N232)),"- -",IF(ISNUMBER(SEARCH("Skills",N232)),"- -",0))</f>
        <v>0</v>
      </c>
      <c r="AB232" s="4">
        <f t="shared" ref="AB232" si="127">IF(ISNUMBER(SEARCH("Category",N232)),"- -",IF(ISNUMBER(SEARCH("Skills",N232)),"- -",0))</f>
        <v>0</v>
      </c>
      <c r="AC232" s="8"/>
      <c r="AD232" s="4"/>
      <c r="AE232" s="4"/>
      <c r="AF232" s="4" t="e">
        <f t="shared" ref="AF232" si="128">IF(ISNUMBER(SEARCH("Skills",N232)),"- -",IF(ISNUMBER(SEARCH("category",N232)),"- -",SUM(T232:Y232)+SUM(AA232:AE232)&amp;IF(AA232=Z232,"","/"&amp;SUM(T232:AE232))))</f>
        <v>#N/A</v>
      </c>
      <c r="AG232" s="4"/>
      <c r="AH232" s="4">
        <f>IFERROR(VLOOKUP(M232,Calculations!$AC$2:$AD$251,2,FALSE),0)</f>
        <v>0</v>
      </c>
      <c r="AI232" s="4" t="e">
        <f>VLOOKUP(N232,$N$2:$AS$620,MATCH('Character Creation'!$Z$12,Skills!$N$1:$AS$1,0),FALSE)</f>
        <v>#N/A</v>
      </c>
      <c r="AJ232" s="4" t="e">
        <f>VLOOKUP($N232,[2]Cultures!$B$4:$M$283,MATCH(AJ$1,[2]Cultures!$B$3:$M$3,0),FALSE)</f>
        <v>#N/A</v>
      </c>
      <c r="AK232" s="4" t="e">
        <f>VLOOKUP($N232,[2]Cultures!$B$4:$M$283,MATCH(AK$1,[2]Cultures!$B$3:$M$3,0),FALSE)</f>
        <v>#N/A</v>
      </c>
      <c r="AL232" s="4" t="e">
        <f>VLOOKUP($N232,[2]Cultures!$B$4:$M$283,MATCH(AL$1,[2]Cultures!$B$3:$M$3,0),FALSE)</f>
        <v>#N/A</v>
      </c>
      <c r="AM232" s="4" t="e">
        <f>VLOOKUP($N232,[2]Cultures!$B$4:$M$283,MATCH(AM$1,[2]Cultures!$B$3:$M$3,0),FALSE)</f>
        <v>#N/A</v>
      </c>
      <c r="AN232" s="4" t="e">
        <f>VLOOKUP($N232,[2]Cultures!$B$4:$M$283,MATCH(AN$1,[2]Cultures!$B$3:$M$3,0),FALSE)</f>
        <v>#N/A</v>
      </c>
      <c r="AO232" s="4" t="e">
        <f>VLOOKUP($N232,[2]Cultures!$B$4:$M$283,MATCH(AO$1,[2]Cultures!$B$3:$M$3,0),FALSE)</f>
        <v>#N/A</v>
      </c>
      <c r="AP232" s="4" t="e">
        <f>VLOOKUP($N232,[2]Cultures!$B$4:$M$283,MATCH(AP$1,[2]Cultures!$B$3:$M$3,0),FALSE)</f>
        <v>#N/A</v>
      </c>
      <c r="AQ232" s="4" t="e">
        <f>VLOOKUP($N232,[2]Cultures!$B$4:$M$283,MATCH(AQ$1,[2]Cultures!$B$3:$M$3,0),FALSE)</f>
        <v>#N/A</v>
      </c>
      <c r="AR232" s="4" t="e">
        <f>VLOOKUP($N232,[2]Cultures!$B$4:$M$283,MATCH(AR$1,[2]Cultures!$B$3:$M$3,0),FALSE)</f>
        <v>#N/A</v>
      </c>
      <c r="AS232" s="4" t="e">
        <f>VLOOKUP($N232,[2]Cultures!$B$4:$M$283,MATCH(AS$1,[2]Cultures!$B$3:$M$3,0),FALSE)</f>
        <v>#N/A</v>
      </c>
      <c r="AT232" s="4"/>
      <c r="AU232" s="4">
        <f>IF(ISNUMBER(SEARCH(N232&amp;";",Calculations!$Q$19)),VLOOKUP(Skills!N232,Calculations!$Q$2:$T$16,4,FALSE),0)</f>
        <v>0</v>
      </c>
      <c r="AV232" s="4">
        <f>IF(ISNUMBER(SEARCH(N232&amp;";",Calculations!$Q$18)),1,0)</f>
        <v>0</v>
      </c>
      <c r="AW232" s="4">
        <f t="shared" ref="AW232" si="129">IF($AV$202=1,1,IF($AV$218=1,1,AV232))</f>
        <v>0</v>
      </c>
      <c r="AX232" s="4">
        <f>VLOOKUP($N232,$N232:$CH232,MATCH('Character Sheet'!$BJ$3,Skills!$N$1:$CH$1,0),FALSE)</f>
        <v>0</v>
      </c>
    </row>
    <row r="233" spans="2:50" x14ac:dyDescent="0.25">
      <c r="B233" s="4" t="e">
        <f t="shared" si="113"/>
        <v>#N/A</v>
      </c>
      <c r="E233" s="4"/>
      <c r="F233" s="4">
        <f t="shared" si="98"/>
        <v>0</v>
      </c>
      <c r="G233" s="4"/>
      <c r="H233" s="4" t="e">
        <f t="shared" si="104"/>
        <v>#N/A</v>
      </c>
      <c r="I233" s="4" t="e">
        <f>IF($J$234=1,1,0)</f>
        <v>#N/A</v>
      </c>
      <c r="J233" s="4">
        <f t="shared" si="95"/>
        <v>0</v>
      </c>
      <c r="K233" s="4" t="e">
        <f t="shared" si="107"/>
        <v>#N/A</v>
      </c>
      <c r="N233" s="3" t="s">
        <v>666</v>
      </c>
      <c r="O233" s="6" t="s">
        <v>782</v>
      </c>
      <c r="P233" s="6" t="s">
        <v>782</v>
      </c>
      <c r="Q233" s="4" t="str">
        <f t="shared" si="115"/>
        <v>- -</v>
      </c>
      <c r="R233" s="4" t="str">
        <f>IF(ISNUMBER(SEARCH("Category",N233)),"- -",IF(ISNUMBER(SEARCH("Skills",N233)),"- -",'Level-up'!C251))</f>
        <v>- -</v>
      </c>
      <c r="S233" s="4" t="str">
        <f t="shared" si="96"/>
        <v>- -</v>
      </c>
      <c r="T233" s="4" t="str">
        <f t="shared" si="97"/>
        <v>- -</v>
      </c>
      <c r="U233" s="4" t="str">
        <f t="shared" ca="1" si="103"/>
        <v>- -</v>
      </c>
      <c r="V233" s="4" t="str">
        <f t="shared" si="110"/>
        <v>- -</v>
      </c>
      <c r="W233" s="4" t="str">
        <f t="shared" si="116"/>
        <v>- -</v>
      </c>
      <c r="X233" s="4" t="str">
        <f t="shared" si="114"/>
        <v>- -</v>
      </c>
      <c r="Y233" s="4" t="str">
        <f t="shared" si="99"/>
        <v>- -</v>
      </c>
      <c r="Z233" s="4" t="str">
        <f t="shared" si="100"/>
        <v>- -</v>
      </c>
      <c r="AA233" s="4" t="str">
        <f t="shared" si="101"/>
        <v>- -</v>
      </c>
      <c r="AB233" s="4" t="str">
        <f t="shared" si="102"/>
        <v>- -</v>
      </c>
      <c r="AC233" s="8"/>
      <c r="AD233" s="4"/>
      <c r="AE233" s="4"/>
      <c r="AF233" s="4" t="str">
        <f t="shared" si="106"/>
        <v>- -</v>
      </c>
      <c r="AG233" s="4"/>
      <c r="AH233" s="4">
        <f>IFERROR(VLOOKUP(M233,Calculations!$AC$2:$AD$251,2,FALSE),0)</f>
        <v>0</v>
      </c>
      <c r="AI233" s="4" t="e">
        <f>VLOOKUP(N233,$N$2:$AS$620,MATCH('Character Creation'!$Z$12,Skills!$N$1:$AS$1,0),FALSE)</f>
        <v>#N/A</v>
      </c>
      <c r="AJ233" s="4" t="e">
        <f>VLOOKUP($N233,[2]Cultures!$B$4:$M$283,MATCH(AJ$1,[2]Cultures!$B$3:$M$3,0),FALSE)</f>
        <v>#N/A</v>
      </c>
      <c r="AK233" s="4" t="e">
        <f>VLOOKUP($N233,[2]Cultures!$B$4:$M$283,MATCH(AK$1,[2]Cultures!$B$3:$M$3,0),FALSE)</f>
        <v>#N/A</v>
      </c>
      <c r="AL233" s="4" t="e">
        <f>VLOOKUP($N233,[2]Cultures!$B$4:$M$283,MATCH(AL$1,[2]Cultures!$B$3:$M$3,0),FALSE)</f>
        <v>#N/A</v>
      </c>
      <c r="AM233" s="4" t="e">
        <f>VLOOKUP($N233,[2]Cultures!$B$4:$M$283,MATCH(AM$1,[2]Cultures!$B$3:$M$3,0),FALSE)</f>
        <v>#N/A</v>
      </c>
      <c r="AN233" s="4" t="e">
        <f>VLOOKUP($N233,[2]Cultures!$B$4:$M$283,MATCH(AN$1,[2]Cultures!$B$3:$M$3,0),FALSE)</f>
        <v>#N/A</v>
      </c>
      <c r="AO233" s="4" t="e">
        <f>VLOOKUP($N233,[2]Cultures!$B$4:$M$283,MATCH(AO$1,[2]Cultures!$B$3:$M$3,0),FALSE)</f>
        <v>#N/A</v>
      </c>
      <c r="AP233" s="4" t="e">
        <f>VLOOKUP($N233,[2]Cultures!$B$4:$M$283,MATCH(AP$1,[2]Cultures!$B$3:$M$3,0),FALSE)</f>
        <v>#N/A</v>
      </c>
      <c r="AQ233" s="4" t="e">
        <f>VLOOKUP($N233,[2]Cultures!$B$4:$M$283,MATCH(AQ$1,[2]Cultures!$B$3:$M$3,0),FALSE)</f>
        <v>#N/A</v>
      </c>
      <c r="AR233" s="4" t="e">
        <f>VLOOKUP($N233,[2]Cultures!$B$4:$M$283,MATCH(AR$1,[2]Cultures!$B$3:$M$3,0),FALSE)</f>
        <v>#N/A</v>
      </c>
      <c r="AS233" s="4" t="e">
        <f>VLOOKUP($N233,[2]Cultures!$B$4:$M$283,MATCH(AS$1,[2]Cultures!$B$3:$M$3,0),FALSE)</f>
        <v>#N/A</v>
      </c>
      <c r="AT233" s="4"/>
      <c r="AU233" s="4">
        <f>IF(ISNUMBER(SEARCH(N233&amp;";",Calculations!$Q$19)),VLOOKUP(Skills!N233,Calculations!$Q$2:$T$16,4,FALSE),0)</f>
        <v>0</v>
      </c>
      <c r="AV233" s="4">
        <f>IF(ISNUMBER(SEARCH(N233&amp;";",Calculations!$Q$18)),1,0)</f>
        <v>0</v>
      </c>
      <c r="AW233" s="4"/>
      <c r="AX233" s="4">
        <f>VLOOKUP($N233,$N233:$CH233,MATCH('Character Sheet'!$BJ$3,Skills!$N$1:$CH$1,0),FALSE)</f>
        <v>0</v>
      </c>
    </row>
    <row r="234" spans="2:50" x14ac:dyDescent="0.25">
      <c r="B234" s="4" t="e">
        <f t="shared" si="113"/>
        <v>#N/A</v>
      </c>
      <c r="E234" s="4"/>
      <c r="F234" s="4">
        <f t="shared" si="98"/>
        <v>0</v>
      </c>
      <c r="G234" s="4"/>
      <c r="H234" s="4" t="e">
        <f t="shared" si="104"/>
        <v>#N/A</v>
      </c>
      <c r="I234" s="4">
        <v>0</v>
      </c>
      <c r="J234" s="4" t="e">
        <f t="shared" si="95"/>
        <v>#N/A</v>
      </c>
      <c r="K234" s="4" t="e">
        <f t="shared" si="107"/>
        <v>#N/A</v>
      </c>
      <c r="N234" s="3" t="s">
        <v>667</v>
      </c>
      <c r="O234" s="6" t="s">
        <v>782</v>
      </c>
      <c r="P234" s="6" t="s">
        <v>782</v>
      </c>
      <c r="Q234" s="4" t="str">
        <f t="shared" si="115"/>
        <v>- -</v>
      </c>
      <c r="R234" s="4" t="str">
        <f>IF(ISNUMBER(SEARCH("Category",N234)),"- -",IF(ISNUMBER(SEARCH("Skills",N234)),"- -",'Level-up'!C252))</f>
        <v>- -</v>
      </c>
      <c r="S234" s="4" t="str">
        <f t="shared" si="96"/>
        <v>- -</v>
      </c>
      <c r="T234" s="4" t="str">
        <f t="shared" si="97"/>
        <v>- -</v>
      </c>
      <c r="U234" s="4" t="str">
        <f t="shared" ca="1" si="103"/>
        <v>- -</v>
      </c>
      <c r="V234" s="4" t="str">
        <f t="shared" si="110"/>
        <v>- -</v>
      </c>
      <c r="W234" s="4" t="str">
        <f t="shared" si="116"/>
        <v>- -</v>
      </c>
      <c r="X234" s="4" t="str">
        <f t="shared" si="114"/>
        <v>- -</v>
      </c>
      <c r="Y234" s="4" t="str">
        <f t="shared" si="99"/>
        <v>- -</v>
      </c>
      <c r="Z234" s="4" t="str">
        <f t="shared" si="100"/>
        <v>- -</v>
      </c>
      <c r="AA234" s="4" t="str">
        <f t="shared" si="101"/>
        <v>- -</v>
      </c>
      <c r="AB234" s="4" t="str">
        <f t="shared" si="102"/>
        <v>- -</v>
      </c>
      <c r="AC234" s="8"/>
      <c r="AD234" s="4"/>
      <c r="AE234" s="4"/>
      <c r="AF234" s="4" t="str">
        <f t="shared" si="106"/>
        <v>- -</v>
      </c>
      <c r="AG234" s="4"/>
      <c r="AH234" s="4">
        <f>IFERROR(VLOOKUP(M234,Calculations!$AC$2:$AD$251,2,FALSE),0)</f>
        <v>0</v>
      </c>
      <c r="AI234" s="4" t="e">
        <f>VLOOKUP(N234,$N$2:$AS$620,MATCH('Character Creation'!$Z$12,Skills!$N$1:$AS$1,0),FALSE)</f>
        <v>#N/A</v>
      </c>
      <c r="AJ234" s="4" t="e">
        <f>VLOOKUP($N234,[2]Cultures!$B$4:$M$283,MATCH(AJ$1,[2]Cultures!$B$3:$M$3,0),FALSE)</f>
        <v>#N/A</v>
      </c>
      <c r="AK234" s="4" t="e">
        <f>VLOOKUP($N234,[2]Cultures!$B$4:$M$283,MATCH(AK$1,[2]Cultures!$B$3:$M$3,0),FALSE)</f>
        <v>#N/A</v>
      </c>
      <c r="AL234" s="4" t="e">
        <f>VLOOKUP($N234,[2]Cultures!$B$4:$M$283,MATCH(AL$1,[2]Cultures!$B$3:$M$3,0),FALSE)</f>
        <v>#N/A</v>
      </c>
      <c r="AM234" s="4" t="e">
        <f>VLOOKUP($N234,[2]Cultures!$B$4:$M$283,MATCH(AM$1,[2]Cultures!$B$3:$M$3,0),FALSE)</f>
        <v>#N/A</v>
      </c>
      <c r="AN234" s="4" t="e">
        <f>VLOOKUP($N234,[2]Cultures!$B$4:$M$283,MATCH(AN$1,[2]Cultures!$B$3:$M$3,0),FALSE)</f>
        <v>#N/A</v>
      </c>
      <c r="AO234" s="4" t="e">
        <f>VLOOKUP($N234,[2]Cultures!$B$4:$M$283,MATCH(AO$1,[2]Cultures!$B$3:$M$3,0),FALSE)</f>
        <v>#N/A</v>
      </c>
      <c r="AP234" s="4" t="e">
        <f>VLOOKUP($N234,[2]Cultures!$B$4:$M$283,MATCH(AP$1,[2]Cultures!$B$3:$M$3,0),FALSE)</f>
        <v>#N/A</v>
      </c>
      <c r="AQ234" s="4" t="e">
        <f>VLOOKUP($N234,[2]Cultures!$B$4:$M$283,MATCH(AQ$1,[2]Cultures!$B$3:$M$3,0),FALSE)</f>
        <v>#N/A</v>
      </c>
      <c r="AR234" s="4" t="e">
        <f>VLOOKUP($N234,[2]Cultures!$B$4:$M$283,MATCH(AR$1,[2]Cultures!$B$3:$M$3,0),FALSE)</f>
        <v>#N/A</v>
      </c>
      <c r="AS234" s="4" t="e">
        <f>VLOOKUP($N234,[2]Cultures!$B$4:$M$283,MATCH(AS$1,[2]Cultures!$B$3:$M$3,0),FALSE)</f>
        <v>#N/A</v>
      </c>
      <c r="AT234" s="4"/>
      <c r="AU234" s="4">
        <f>IF(ISNUMBER(SEARCH(N234&amp;";",Calculations!$Q$19)),VLOOKUP(Skills!N234,Calculations!$Q$2:$T$16,4,FALSE),0)</f>
        <v>0</v>
      </c>
      <c r="AV234" s="4">
        <f>IF(ISNUMBER(SEARCH(N234&amp;";",Calculations!$Q$18)),1,0)</f>
        <v>0</v>
      </c>
      <c r="AW234" s="4"/>
      <c r="AX234" s="4">
        <f>VLOOKUP($N234,$N234:$CH234,MATCH('Character Sheet'!$BJ$3,Skills!$N$1:$CH$1,0),FALSE)</f>
        <v>0</v>
      </c>
    </row>
    <row r="235" spans="2:50" x14ac:dyDescent="0.25">
      <c r="B235" s="4" t="e">
        <f t="shared" si="113"/>
        <v>#N/A</v>
      </c>
      <c r="E235" s="4"/>
      <c r="F235" s="4">
        <f t="shared" si="98"/>
        <v>0</v>
      </c>
      <c r="G235" s="4"/>
      <c r="H235" s="4" t="e">
        <f t="shared" si="104"/>
        <v>#N/A</v>
      </c>
      <c r="I235" s="4" t="e">
        <f>IF($J$234=1,1,0)</f>
        <v>#N/A</v>
      </c>
      <c r="J235" s="4">
        <f t="shared" si="95"/>
        <v>0</v>
      </c>
      <c r="K235" s="4">
        <f t="shared" si="107"/>
        <v>0</v>
      </c>
      <c r="M235" t="str">
        <f>"Gunnery, "&amp;N235</f>
        <v>Gunnery, Gunslinging</v>
      </c>
      <c r="N235" s="3" t="str">
        <f>'Character Sheet'!BEL5</f>
        <v>Gunslinging</v>
      </c>
      <c r="O235" s="6" t="s">
        <v>782</v>
      </c>
      <c r="P235" s="6" t="s">
        <v>782</v>
      </c>
      <c r="Q235" s="4">
        <f t="shared" si="115"/>
        <v>0</v>
      </c>
      <c r="R235" s="4">
        <f>IF(ISNUMBER(SEARCH("Category",N235)),"- -",IF(ISNUMBER(SEARCH("Skills",N235)),"- -",'Level-up'!C253))</f>
        <v>0</v>
      </c>
      <c r="S235" s="4">
        <f t="shared" si="96"/>
        <v>0</v>
      </c>
      <c r="T235" s="4">
        <f t="shared" si="97"/>
        <v>0</v>
      </c>
      <c r="U235" s="4" t="str">
        <f t="shared" ca="1" si="103"/>
        <v>- -</v>
      </c>
      <c r="V235" s="4">
        <f t="shared" ref="V235:V240" si="130">IF(ISNUMBER(SEARCH("Category",N235)),"- -",IF(ISNUMBER(SEARCH("Skills",N235)),"- -",IF(AU235&gt;0,AU235,$AU$233)))</f>
        <v>0</v>
      </c>
      <c r="W235" s="4">
        <f t="shared" si="116"/>
        <v>0</v>
      </c>
      <c r="X235" s="4">
        <f t="shared" si="114"/>
        <v>0</v>
      </c>
      <c r="Y235" s="4">
        <f t="shared" si="99"/>
        <v>0</v>
      </c>
      <c r="Z235" s="4">
        <f t="shared" si="100"/>
        <v>0</v>
      </c>
      <c r="AA235" s="4">
        <f t="shared" si="101"/>
        <v>0</v>
      </c>
      <c r="AB235" s="4">
        <f t="shared" si="102"/>
        <v>0</v>
      </c>
      <c r="AC235" s="8"/>
      <c r="AD235" s="4"/>
      <c r="AE235" s="4"/>
      <c r="AF235" s="4" t="str">
        <f t="shared" ca="1" si="106"/>
        <v>0</v>
      </c>
      <c r="AG235" s="4"/>
      <c r="AH235" s="4">
        <f>IFERROR(VLOOKUP(M235,Calculations!$AC$2:$AD$251,2,FALSE),0)</f>
        <v>0</v>
      </c>
      <c r="AI235" s="4">
        <f>VLOOKUP(N235,$N$2:$AS$620,MATCH('Character Creation'!$Z$12,Skills!$N$1:$AS$1,0),FALSE)</f>
        <v>0</v>
      </c>
      <c r="AJ235" s="4">
        <f>VLOOKUP($N235,[2]Cultures!$B$4:$M$283,MATCH(AJ$1,[2]Cultures!$B$3:$M$3,0),FALSE)</f>
        <v>0</v>
      </c>
      <c r="AK235" s="4">
        <f>VLOOKUP($N235,[2]Cultures!$B$4:$M$283,MATCH(AK$1,[2]Cultures!$B$3:$M$3,0),FALSE)</f>
        <v>0</v>
      </c>
      <c r="AL235" s="4">
        <f>VLOOKUP($N235,[2]Cultures!$B$4:$M$283,MATCH(AL$1,[2]Cultures!$B$3:$M$3,0),FALSE)</f>
        <v>0</v>
      </c>
      <c r="AM235" s="4">
        <f>VLOOKUP($N235,[2]Cultures!$B$4:$M$283,MATCH(AM$1,[2]Cultures!$B$3:$M$3,0),FALSE)</f>
        <v>0</v>
      </c>
      <c r="AN235" s="4">
        <f>VLOOKUP($N235,[2]Cultures!$B$4:$M$283,MATCH(AN$1,[2]Cultures!$B$3:$M$3,0),FALSE)</f>
        <v>0</v>
      </c>
      <c r="AO235" s="4">
        <f>VLOOKUP($N235,[2]Cultures!$B$4:$M$283,MATCH(AO$1,[2]Cultures!$B$3:$M$3,0),FALSE)</f>
        <v>0</v>
      </c>
      <c r="AP235" s="4">
        <f>VLOOKUP($N235,[2]Cultures!$B$4:$M$283,MATCH(AP$1,[2]Cultures!$B$3:$M$3,0),FALSE)</f>
        <v>0</v>
      </c>
      <c r="AQ235" s="4">
        <f>VLOOKUP($N235,[2]Cultures!$B$4:$M$283,MATCH(AQ$1,[2]Cultures!$B$3:$M$3,0),FALSE)</f>
        <v>0</v>
      </c>
      <c r="AR235" s="4">
        <f>VLOOKUP($N235,[2]Cultures!$B$4:$M$283,MATCH(AR$1,[2]Cultures!$B$3:$M$3,0),FALSE)</f>
        <v>0</v>
      </c>
      <c r="AS235" s="4">
        <f>VLOOKUP($N235,[2]Cultures!$B$4:$M$283,MATCH(AS$1,[2]Cultures!$B$3:$M$3,0),FALSE)</f>
        <v>0</v>
      </c>
      <c r="AT235" s="4"/>
      <c r="AU235" s="4">
        <f>IF(ISNUMBER(SEARCH(N235&amp;";",Calculations!$Q$19)),VLOOKUP(Skills!N235,Calculations!$Q$2:$T$16,4,FALSE),0)</f>
        <v>0</v>
      </c>
      <c r="AV235" s="4">
        <f>IF(ISNUMBER(SEARCH(N235&amp;";",Calculations!$Q$18)),1,0)</f>
        <v>0</v>
      </c>
      <c r="AW235" s="4">
        <f>IF($AV$233=1,1,AV235)</f>
        <v>0</v>
      </c>
      <c r="AX235" s="4">
        <f>VLOOKUP($N235,$N235:$CH235,MATCH('Character Sheet'!$BJ$3,Skills!$N$1:$CH$1,0),FALSE)</f>
        <v>0</v>
      </c>
    </row>
    <row r="236" spans="2:50" x14ac:dyDescent="0.25">
      <c r="B236" s="4" t="e">
        <f t="shared" si="113"/>
        <v>#N/A</v>
      </c>
      <c r="E236" s="4"/>
      <c r="F236" s="4">
        <f t="shared" si="98"/>
        <v>0</v>
      </c>
      <c r="G236" s="4"/>
      <c r="H236" s="4" t="e">
        <f t="shared" si="104"/>
        <v>#N/A</v>
      </c>
      <c r="I236" s="4" t="e">
        <f>IF($J$234=1,1,0)</f>
        <v>#N/A</v>
      </c>
      <c r="J236" s="4">
        <f t="shared" si="95"/>
        <v>0</v>
      </c>
      <c r="K236" s="4">
        <f t="shared" ref="K236:K247" si="131">IF(ISNUMBER(SEARCH("Category",N236)),K237,AI236)</f>
        <v>0</v>
      </c>
      <c r="M236" t="str">
        <f>"Gunnery, "&amp;N236</f>
        <v>Gunnery, Moving Target</v>
      </c>
      <c r="N236" s="3" t="str">
        <f>'Character Sheet'!BEL6</f>
        <v>Moving Target</v>
      </c>
      <c r="O236" s="6" t="s">
        <v>782</v>
      </c>
      <c r="P236" s="6" t="s">
        <v>782</v>
      </c>
      <c r="Q236" s="4">
        <f t="shared" si="115"/>
        <v>0</v>
      </c>
      <c r="R236" s="4">
        <f>IF(ISNUMBER(SEARCH("Category",N236)),"- -",IF(ISNUMBER(SEARCH("Skills",N236)),"- -",'Level-up'!C254))</f>
        <v>0</v>
      </c>
      <c r="S236" s="4">
        <f t="shared" si="96"/>
        <v>0</v>
      </c>
      <c r="T236" s="4">
        <f t="shared" si="97"/>
        <v>0</v>
      </c>
      <c r="U236" s="4" t="str">
        <f t="shared" ca="1" si="103"/>
        <v>- -</v>
      </c>
      <c r="V236" s="4">
        <f t="shared" si="130"/>
        <v>0</v>
      </c>
      <c r="W236" s="4">
        <f t="shared" si="116"/>
        <v>0</v>
      </c>
      <c r="X236" s="4">
        <f t="shared" si="114"/>
        <v>0</v>
      </c>
      <c r="Y236" s="4">
        <f t="shared" si="99"/>
        <v>0</v>
      </c>
      <c r="Z236" s="4">
        <f t="shared" si="100"/>
        <v>0</v>
      </c>
      <c r="AA236" s="4">
        <f t="shared" si="101"/>
        <v>0</v>
      </c>
      <c r="AB236" s="4">
        <f t="shared" si="102"/>
        <v>0</v>
      </c>
      <c r="AC236" s="8"/>
      <c r="AD236" s="4"/>
      <c r="AE236" s="4"/>
      <c r="AF236" s="4" t="str">
        <f t="shared" ca="1" si="106"/>
        <v>0</v>
      </c>
      <c r="AG236" s="4"/>
      <c r="AH236" s="4">
        <f>IFERROR(VLOOKUP(M236,Calculations!$AC$2:$AD$251,2,FALSE),0)</f>
        <v>0</v>
      </c>
      <c r="AI236" s="4">
        <f>VLOOKUP(N236,$N$2:$AS$620,MATCH('Character Creation'!$Z$12,Skills!$N$1:$AS$1,0),FALSE)</f>
        <v>0</v>
      </c>
      <c r="AJ236" s="4">
        <f>VLOOKUP($N236,[2]Cultures!$B$4:$M$283,MATCH(AJ$1,[2]Cultures!$B$3:$M$3,0),FALSE)</f>
        <v>0</v>
      </c>
      <c r="AK236" s="4">
        <f>VLOOKUP($N236,[2]Cultures!$B$4:$M$283,MATCH(AK$1,[2]Cultures!$B$3:$M$3,0),FALSE)</f>
        <v>0</v>
      </c>
      <c r="AL236" s="4">
        <f>VLOOKUP($N236,[2]Cultures!$B$4:$M$283,MATCH(AL$1,[2]Cultures!$B$3:$M$3,0),FALSE)</f>
        <v>0</v>
      </c>
      <c r="AM236" s="4">
        <f>VLOOKUP($N236,[2]Cultures!$B$4:$M$283,MATCH(AM$1,[2]Cultures!$B$3:$M$3,0),FALSE)</f>
        <v>0</v>
      </c>
      <c r="AN236" s="4">
        <f>VLOOKUP($N236,[2]Cultures!$B$4:$M$283,MATCH(AN$1,[2]Cultures!$B$3:$M$3,0),FALSE)</f>
        <v>0</v>
      </c>
      <c r="AO236" s="4">
        <f>VLOOKUP($N236,[2]Cultures!$B$4:$M$283,MATCH(AO$1,[2]Cultures!$B$3:$M$3,0),FALSE)</f>
        <v>0</v>
      </c>
      <c r="AP236" s="4">
        <f>VLOOKUP($N236,[2]Cultures!$B$4:$M$283,MATCH(AP$1,[2]Cultures!$B$3:$M$3,0),FALSE)</f>
        <v>0</v>
      </c>
      <c r="AQ236" s="4">
        <f>VLOOKUP($N236,[2]Cultures!$B$4:$M$283,MATCH(AQ$1,[2]Cultures!$B$3:$M$3,0),FALSE)</f>
        <v>0</v>
      </c>
      <c r="AR236" s="4">
        <f>VLOOKUP($N236,[2]Cultures!$B$4:$M$283,MATCH(AR$1,[2]Cultures!$B$3:$M$3,0),FALSE)</f>
        <v>0</v>
      </c>
      <c r="AS236" s="4">
        <f>VLOOKUP($N236,[2]Cultures!$B$4:$M$283,MATCH(AS$1,[2]Cultures!$B$3:$M$3,0),FALSE)</f>
        <v>0</v>
      </c>
      <c r="AT236" s="4"/>
      <c r="AU236" s="4">
        <f>IF(ISNUMBER(SEARCH(N236&amp;";",Calculations!$Q$19)),VLOOKUP(Skills!N236,Calculations!$Q$2:$T$16,4,FALSE),0)</f>
        <v>0</v>
      </c>
      <c r="AV236" s="4">
        <f>IF(ISNUMBER(SEARCH(N236&amp;";",Calculations!$Q$18)),1,0)</f>
        <v>0</v>
      </c>
      <c r="AW236" s="4">
        <f>IF($AV$233=1,1,AV236)</f>
        <v>0</v>
      </c>
      <c r="AX236" s="4">
        <f>VLOOKUP($N236,$N236:$CH236,MATCH('Character Sheet'!$BJ$3,Skills!$N$1:$CH$1,0),FALSE)</f>
        <v>0</v>
      </c>
    </row>
    <row r="237" spans="2:50" x14ac:dyDescent="0.25">
      <c r="B237" s="4" t="e">
        <f t="shared" si="113"/>
        <v>#N/A</v>
      </c>
      <c r="E237" s="4"/>
      <c r="F237" s="4">
        <f t="shared" si="98"/>
        <v>0</v>
      </c>
      <c r="G237" s="4"/>
      <c r="H237" s="4" t="e">
        <f t="shared" si="104"/>
        <v>#N/A</v>
      </c>
      <c r="I237" s="4" t="e">
        <f>IF($J$234=1,1,0)</f>
        <v>#N/A</v>
      </c>
      <c r="J237" s="4">
        <f t="shared" si="95"/>
        <v>0</v>
      </c>
      <c r="K237" s="4">
        <f t="shared" si="131"/>
        <v>0</v>
      </c>
      <c r="M237" t="str">
        <f>"Gunnery, "&amp;N237</f>
        <v>Gunnery, Sniping</v>
      </c>
      <c r="N237" s="3" t="str">
        <f>'Character Sheet'!BEL7</f>
        <v>Sniping</v>
      </c>
      <c r="O237" s="6" t="s">
        <v>782</v>
      </c>
      <c r="P237" s="6" t="s">
        <v>782</v>
      </c>
      <c r="Q237" s="4">
        <f t="shared" si="115"/>
        <v>0</v>
      </c>
      <c r="R237" s="4">
        <f>IF(ISNUMBER(SEARCH("Category",N237)),"- -",IF(ISNUMBER(SEARCH("Skills",N237)),"- -",'Level-up'!C255))</f>
        <v>0</v>
      </c>
      <c r="S237" s="4">
        <f t="shared" si="96"/>
        <v>0</v>
      </c>
      <c r="T237" s="4">
        <f t="shared" si="97"/>
        <v>0</v>
      </c>
      <c r="U237" s="4" t="str">
        <f t="shared" ca="1" si="103"/>
        <v>- -</v>
      </c>
      <c r="V237" s="4">
        <f t="shared" si="130"/>
        <v>0</v>
      </c>
      <c r="W237" s="4">
        <f t="shared" si="116"/>
        <v>0</v>
      </c>
      <c r="X237" s="4">
        <f t="shared" si="114"/>
        <v>0</v>
      </c>
      <c r="Y237" s="4">
        <f t="shared" si="99"/>
        <v>0</v>
      </c>
      <c r="Z237" s="4">
        <f t="shared" si="100"/>
        <v>0</v>
      </c>
      <c r="AA237" s="4">
        <f t="shared" si="101"/>
        <v>0</v>
      </c>
      <c r="AB237" s="4">
        <f t="shared" si="102"/>
        <v>0</v>
      </c>
      <c r="AC237" s="8"/>
      <c r="AD237" s="4"/>
      <c r="AE237" s="4"/>
      <c r="AF237" s="4" t="str">
        <f t="shared" ca="1" si="106"/>
        <v>0</v>
      </c>
      <c r="AG237" s="4"/>
      <c r="AH237" s="4">
        <f>IFERROR(VLOOKUP(M237,Calculations!$AC$2:$AD$251,2,FALSE),0)</f>
        <v>0</v>
      </c>
      <c r="AI237" s="4">
        <f>VLOOKUP(N237,$N$2:$AS$620,MATCH('Character Creation'!$Z$12,Skills!$N$1:$AS$1,0),FALSE)</f>
        <v>0</v>
      </c>
      <c r="AJ237" s="4">
        <f>VLOOKUP($N237,[2]Cultures!$B$4:$M$283,MATCH(AJ$1,[2]Cultures!$B$3:$M$3,0),FALSE)</f>
        <v>0</v>
      </c>
      <c r="AK237" s="4">
        <f>VLOOKUP($N237,[2]Cultures!$B$4:$M$283,MATCH(AK$1,[2]Cultures!$B$3:$M$3,0),FALSE)</f>
        <v>0</v>
      </c>
      <c r="AL237" s="4">
        <f>VLOOKUP($N237,[2]Cultures!$B$4:$M$283,MATCH(AL$1,[2]Cultures!$B$3:$M$3,0),FALSE)</f>
        <v>0</v>
      </c>
      <c r="AM237" s="4">
        <f>VLOOKUP($N237,[2]Cultures!$B$4:$M$283,MATCH(AM$1,[2]Cultures!$B$3:$M$3,0),FALSE)</f>
        <v>0</v>
      </c>
      <c r="AN237" s="4">
        <f>VLOOKUP($N237,[2]Cultures!$B$4:$M$283,MATCH(AN$1,[2]Cultures!$B$3:$M$3,0),FALSE)</f>
        <v>0</v>
      </c>
      <c r="AO237" s="4">
        <f>VLOOKUP($N237,[2]Cultures!$B$4:$M$283,MATCH(AO$1,[2]Cultures!$B$3:$M$3,0),FALSE)</f>
        <v>0</v>
      </c>
      <c r="AP237" s="4">
        <f>VLOOKUP($N237,[2]Cultures!$B$4:$M$283,MATCH(AP$1,[2]Cultures!$B$3:$M$3,0),FALSE)</f>
        <v>0</v>
      </c>
      <c r="AQ237" s="4">
        <f>VLOOKUP($N237,[2]Cultures!$B$4:$M$283,MATCH(AQ$1,[2]Cultures!$B$3:$M$3,0),FALSE)</f>
        <v>0</v>
      </c>
      <c r="AR237" s="4">
        <f>VLOOKUP($N237,[2]Cultures!$B$4:$M$283,MATCH(AR$1,[2]Cultures!$B$3:$M$3,0),FALSE)</f>
        <v>0</v>
      </c>
      <c r="AS237" s="4">
        <f>VLOOKUP($N237,[2]Cultures!$B$4:$M$283,MATCH(AS$1,[2]Cultures!$B$3:$M$3,0),FALSE)</f>
        <v>0</v>
      </c>
      <c r="AT237" s="4"/>
      <c r="AU237" s="4">
        <f>IF(ISNUMBER(SEARCH(N237&amp;";",Calculations!$Q$19)),VLOOKUP(Skills!N237,Calculations!$Q$2:$T$16,4,FALSE),0)</f>
        <v>0</v>
      </c>
      <c r="AV237" s="4">
        <f>IF(ISNUMBER(SEARCH(N237&amp;";",Calculations!$Q$18)),1,0)</f>
        <v>0</v>
      </c>
      <c r="AW237" s="4">
        <f>IF($AV$233=1,1,AV237)</f>
        <v>0</v>
      </c>
      <c r="AX237" s="4">
        <f>VLOOKUP($N237,$N237:$CH237,MATCH('Character Sheet'!$BJ$3,Skills!$N$1:$CH$1,0),FALSE)</f>
        <v>0</v>
      </c>
    </row>
    <row r="238" spans="2:50" x14ac:dyDescent="0.25">
      <c r="B238" s="4" t="e">
        <f t="shared" si="113"/>
        <v>#N/A</v>
      </c>
      <c r="E238" s="4"/>
      <c r="F238" s="4">
        <f t="shared" si="98"/>
        <v>0</v>
      </c>
      <c r="G238" s="4"/>
      <c r="H238" s="4" t="e">
        <f t="shared" si="104"/>
        <v>#N/A</v>
      </c>
      <c r="I238" s="4" t="e">
        <f>IF($J$234=1,1,0)</f>
        <v>#N/A</v>
      </c>
      <c r="J238" s="4">
        <f t="shared" si="95"/>
        <v>0</v>
      </c>
      <c r="K238" s="4">
        <f t="shared" si="131"/>
        <v>0</v>
      </c>
      <c r="M238" t="str">
        <f>"Gunnery, "&amp;N238</f>
        <v>Gunnery, Targeting</v>
      </c>
      <c r="N238" s="3" t="str">
        <f>'Character Sheet'!BEL8</f>
        <v>Targeting</v>
      </c>
      <c r="O238" s="6" t="s">
        <v>782</v>
      </c>
      <c r="P238" s="6" t="s">
        <v>782</v>
      </c>
      <c r="Q238" s="4">
        <f t="shared" si="115"/>
        <v>0</v>
      </c>
      <c r="R238" s="4">
        <f>IF(ISNUMBER(SEARCH("Category",N238)),"- -",IF(ISNUMBER(SEARCH("Skills",N238)),"- -",'Level-up'!C256))</f>
        <v>0</v>
      </c>
      <c r="S238" s="4">
        <f t="shared" si="96"/>
        <v>0</v>
      </c>
      <c r="T238" s="4">
        <f t="shared" si="97"/>
        <v>0</v>
      </c>
      <c r="U238" s="4" t="str">
        <f t="shared" ca="1" si="103"/>
        <v>- -</v>
      </c>
      <c r="V238" s="4">
        <f t="shared" si="130"/>
        <v>0</v>
      </c>
      <c r="W238" s="4">
        <f t="shared" si="116"/>
        <v>0</v>
      </c>
      <c r="X238" s="4">
        <f t="shared" si="114"/>
        <v>0</v>
      </c>
      <c r="Y238" s="4">
        <f t="shared" si="99"/>
        <v>0</v>
      </c>
      <c r="Z238" s="4">
        <f t="shared" si="100"/>
        <v>0</v>
      </c>
      <c r="AA238" s="4">
        <f t="shared" si="101"/>
        <v>0</v>
      </c>
      <c r="AB238" s="4">
        <f t="shared" si="102"/>
        <v>0</v>
      </c>
      <c r="AC238" s="8"/>
      <c r="AD238" s="4"/>
      <c r="AE238" s="4"/>
      <c r="AF238" s="4" t="str">
        <f t="shared" ca="1" si="106"/>
        <v>0</v>
      </c>
      <c r="AG238" s="4"/>
      <c r="AH238" s="4">
        <f>IFERROR(VLOOKUP(M238,Calculations!$AC$2:$AD$251,2,FALSE),0)</f>
        <v>0</v>
      </c>
      <c r="AI238" s="4">
        <f>VLOOKUP(N238,$N$2:$AS$620,MATCH('Character Creation'!$Z$12,Skills!$N$1:$AS$1,0),FALSE)</f>
        <v>0</v>
      </c>
      <c r="AJ238" s="4">
        <f>VLOOKUP($N238,[2]Cultures!$B$4:$M$283,MATCH(AJ$1,[2]Cultures!$B$3:$M$3,0),FALSE)</f>
        <v>0</v>
      </c>
      <c r="AK238" s="4">
        <f>VLOOKUP($N238,[2]Cultures!$B$4:$M$283,MATCH(AK$1,[2]Cultures!$B$3:$M$3,0),FALSE)</f>
        <v>0</v>
      </c>
      <c r="AL238" s="4">
        <f>VLOOKUP($N238,[2]Cultures!$B$4:$M$283,MATCH(AL$1,[2]Cultures!$B$3:$M$3,0),FALSE)</f>
        <v>0</v>
      </c>
      <c r="AM238" s="4">
        <f>VLOOKUP($N238,[2]Cultures!$B$4:$M$283,MATCH(AM$1,[2]Cultures!$B$3:$M$3,0),FALSE)</f>
        <v>0</v>
      </c>
      <c r="AN238" s="4">
        <f>VLOOKUP($N238,[2]Cultures!$B$4:$M$283,MATCH(AN$1,[2]Cultures!$B$3:$M$3,0),FALSE)</f>
        <v>0</v>
      </c>
      <c r="AO238" s="4">
        <f>VLOOKUP($N238,[2]Cultures!$B$4:$M$283,MATCH(AO$1,[2]Cultures!$B$3:$M$3,0),FALSE)</f>
        <v>0</v>
      </c>
      <c r="AP238" s="4">
        <f>VLOOKUP($N238,[2]Cultures!$B$4:$M$283,MATCH(AP$1,[2]Cultures!$B$3:$M$3,0),FALSE)</f>
        <v>0</v>
      </c>
      <c r="AQ238" s="4">
        <f>VLOOKUP($N238,[2]Cultures!$B$4:$M$283,MATCH(AQ$1,[2]Cultures!$B$3:$M$3,0),FALSE)</f>
        <v>0</v>
      </c>
      <c r="AR238" s="4">
        <f>VLOOKUP($N238,[2]Cultures!$B$4:$M$283,MATCH(AR$1,[2]Cultures!$B$3:$M$3,0),FALSE)</f>
        <v>0</v>
      </c>
      <c r="AS238" s="4">
        <f>VLOOKUP($N238,[2]Cultures!$B$4:$M$283,MATCH(AS$1,[2]Cultures!$B$3:$M$3,0),FALSE)</f>
        <v>0</v>
      </c>
      <c r="AT238" s="4"/>
      <c r="AU238" s="4">
        <f>IF(ISNUMBER(SEARCH(N238&amp;";",Calculations!$Q$19)),VLOOKUP(Skills!N238,Calculations!$Q$2:$T$16,4,FALSE),0)</f>
        <v>0</v>
      </c>
      <c r="AV238" s="4">
        <f>IF(ISNUMBER(SEARCH(N238&amp;";",Calculations!$Q$18)),1,0)</f>
        <v>0</v>
      </c>
      <c r="AW238" s="4">
        <f>IF($AV$233=1,1,AV238)</f>
        <v>0</v>
      </c>
      <c r="AX238" s="4">
        <f>VLOOKUP($N238,$N238:$CH238,MATCH('Character Sheet'!$BJ$3,Skills!$N$1:$CH$1,0),FALSE)</f>
        <v>0</v>
      </c>
    </row>
    <row r="239" spans="2:50" x14ac:dyDescent="0.25">
      <c r="B239" s="4" t="e">
        <f t="shared" si="113"/>
        <v>#N/A</v>
      </c>
      <c r="E239" s="4"/>
      <c r="F239" s="4">
        <f t="shared" si="98"/>
        <v>0</v>
      </c>
      <c r="G239" s="4"/>
      <c r="H239" s="4" t="e">
        <f t="shared" si="104"/>
        <v>#N/A</v>
      </c>
      <c r="I239" s="4" t="e">
        <f>IF($J$240=1,1,0)</f>
        <v>#N/A</v>
      </c>
      <c r="J239" s="4">
        <f t="shared" si="95"/>
        <v>0</v>
      </c>
      <c r="K239" s="4" t="e">
        <f t="shared" si="131"/>
        <v>#N/A</v>
      </c>
      <c r="N239" s="3" t="s">
        <v>668</v>
      </c>
      <c r="O239" s="6" t="s">
        <v>782</v>
      </c>
      <c r="P239" s="6" t="s">
        <v>782</v>
      </c>
      <c r="Q239" s="4" t="str">
        <f t="shared" si="115"/>
        <v>- -</v>
      </c>
      <c r="R239" s="4" t="str">
        <f>IF(ISNUMBER(SEARCH("Category",N239)),"- -",IF(ISNUMBER(SEARCH("Skills",N239)),"- -",'Level-up'!C257))</f>
        <v>- -</v>
      </c>
      <c r="S239" s="4" t="str">
        <f t="shared" si="96"/>
        <v>- -</v>
      </c>
      <c r="T239" s="4" t="str">
        <f t="shared" si="97"/>
        <v>- -</v>
      </c>
      <c r="U239" s="4" t="str">
        <f t="shared" ca="1" si="103"/>
        <v>- -</v>
      </c>
      <c r="V239" s="4" t="str">
        <f t="shared" si="130"/>
        <v>- -</v>
      </c>
      <c r="W239" s="4" t="str">
        <f t="shared" si="116"/>
        <v>- -</v>
      </c>
      <c r="X239" s="4" t="str">
        <f t="shared" si="114"/>
        <v>- -</v>
      </c>
      <c r="Y239" s="4" t="str">
        <f t="shared" si="99"/>
        <v>- -</v>
      </c>
      <c r="Z239" s="4" t="str">
        <f t="shared" si="100"/>
        <v>- -</v>
      </c>
      <c r="AA239" s="4" t="str">
        <f t="shared" si="101"/>
        <v>- -</v>
      </c>
      <c r="AB239" s="4" t="str">
        <f t="shared" si="102"/>
        <v>- -</v>
      </c>
      <c r="AC239" s="8"/>
      <c r="AD239" s="4"/>
      <c r="AE239" s="4"/>
      <c r="AF239" s="4" t="str">
        <f t="shared" si="106"/>
        <v>- -</v>
      </c>
      <c r="AG239" s="4"/>
      <c r="AH239" s="4">
        <f>IFERROR(VLOOKUP(M239,Calculations!$AC$2:$AD$251,2,FALSE),0)</f>
        <v>0</v>
      </c>
      <c r="AI239" s="4" t="e">
        <f>VLOOKUP(N239,$N$2:$AS$620,MATCH('Character Creation'!$Z$12,Skills!$N$1:$AS$1,0),FALSE)</f>
        <v>#N/A</v>
      </c>
      <c r="AJ239" s="4" t="e">
        <f>VLOOKUP($N239,[2]Cultures!$B$4:$M$283,MATCH(AJ$1,[2]Cultures!$B$3:$M$3,0),FALSE)</f>
        <v>#N/A</v>
      </c>
      <c r="AK239" s="4" t="e">
        <f>VLOOKUP($N239,[2]Cultures!$B$4:$M$283,MATCH(AK$1,[2]Cultures!$B$3:$M$3,0),FALSE)</f>
        <v>#N/A</v>
      </c>
      <c r="AL239" s="4" t="e">
        <f>VLOOKUP($N239,[2]Cultures!$B$4:$M$283,MATCH(AL$1,[2]Cultures!$B$3:$M$3,0),FALSE)</f>
        <v>#N/A</v>
      </c>
      <c r="AM239" s="4" t="e">
        <f>VLOOKUP($N239,[2]Cultures!$B$4:$M$283,MATCH(AM$1,[2]Cultures!$B$3:$M$3,0),FALSE)</f>
        <v>#N/A</v>
      </c>
      <c r="AN239" s="4" t="e">
        <f>VLOOKUP($N239,[2]Cultures!$B$4:$M$283,MATCH(AN$1,[2]Cultures!$B$3:$M$3,0),FALSE)</f>
        <v>#N/A</v>
      </c>
      <c r="AO239" s="4" t="e">
        <f>VLOOKUP($N239,[2]Cultures!$B$4:$M$283,MATCH(AO$1,[2]Cultures!$B$3:$M$3,0),FALSE)</f>
        <v>#N/A</v>
      </c>
      <c r="AP239" s="4" t="e">
        <f>VLOOKUP($N239,[2]Cultures!$B$4:$M$283,MATCH(AP$1,[2]Cultures!$B$3:$M$3,0),FALSE)</f>
        <v>#N/A</v>
      </c>
      <c r="AQ239" s="4" t="e">
        <f>VLOOKUP($N239,[2]Cultures!$B$4:$M$283,MATCH(AQ$1,[2]Cultures!$B$3:$M$3,0),FALSE)</f>
        <v>#N/A</v>
      </c>
      <c r="AR239" s="4" t="e">
        <f>VLOOKUP($N239,[2]Cultures!$B$4:$M$283,MATCH(AR$1,[2]Cultures!$B$3:$M$3,0),FALSE)</f>
        <v>#N/A</v>
      </c>
      <c r="AS239" s="4" t="e">
        <f>VLOOKUP($N239,[2]Cultures!$B$4:$M$283,MATCH(AS$1,[2]Cultures!$B$3:$M$3,0),FALSE)</f>
        <v>#N/A</v>
      </c>
      <c r="AT239" s="4"/>
      <c r="AU239" s="4">
        <f>IF(ISNUMBER(SEARCH(N239&amp;";",Calculations!$Q$19)),VLOOKUP(Skills!N239,Calculations!$Q$2:$T$16,4,FALSE),0)</f>
        <v>0</v>
      </c>
      <c r="AV239" s="4">
        <f>IF(ISNUMBER(SEARCH(N239&amp;";",Calculations!$Q$18)),1,0)</f>
        <v>0</v>
      </c>
      <c r="AW239" s="4"/>
      <c r="AX239" s="4">
        <f>VLOOKUP($N239,$N239:$CH239,MATCH('Character Sheet'!$BJ$3,Skills!$N$1:$CH$1,0),FALSE)</f>
        <v>0</v>
      </c>
    </row>
    <row r="240" spans="2:50" x14ac:dyDescent="0.25">
      <c r="B240" s="4" t="e">
        <f t="shared" si="113"/>
        <v>#N/A</v>
      </c>
      <c r="E240" s="4"/>
      <c r="F240" s="4">
        <f t="shared" si="98"/>
        <v>0</v>
      </c>
      <c r="G240" s="4"/>
      <c r="H240" s="4" t="e">
        <f t="shared" si="104"/>
        <v>#N/A</v>
      </c>
      <c r="I240" s="4">
        <v>0</v>
      </c>
      <c r="J240" s="4" t="e">
        <f t="shared" si="95"/>
        <v>#N/A</v>
      </c>
      <c r="K240" s="4" t="e">
        <f t="shared" si="131"/>
        <v>#N/A</v>
      </c>
      <c r="N240" s="3" t="s">
        <v>669</v>
      </c>
      <c r="O240" s="6" t="s">
        <v>782</v>
      </c>
      <c r="P240" s="6" t="s">
        <v>782</v>
      </c>
      <c r="Q240" s="4" t="str">
        <f t="shared" si="115"/>
        <v>- -</v>
      </c>
      <c r="R240" s="4" t="str">
        <f>IF(ISNUMBER(SEARCH("Category",N240)),"- -",IF(ISNUMBER(SEARCH("Skills",N240)),"- -",'Level-up'!C258))</f>
        <v>- -</v>
      </c>
      <c r="S240" s="4" t="str">
        <f t="shared" si="96"/>
        <v>- -</v>
      </c>
      <c r="T240" s="4" t="str">
        <f t="shared" si="97"/>
        <v>- -</v>
      </c>
      <c r="U240" s="4" t="str">
        <f t="shared" ca="1" si="103"/>
        <v>- -</v>
      </c>
      <c r="V240" s="4" t="str">
        <f t="shared" si="130"/>
        <v>- -</v>
      </c>
      <c r="W240" s="4" t="str">
        <f t="shared" si="116"/>
        <v>- -</v>
      </c>
      <c r="X240" s="4" t="str">
        <f t="shared" si="114"/>
        <v>- -</v>
      </c>
      <c r="Y240" s="4" t="str">
        <f t="shared" si="99"/>
        <v>- -</v>
      </c>
      <c r="Z240" s="4" t="str">
        <f t="shared" si="100"/>
        <v>- -</v>
      </c>
      <c r="AA240" s="4" t="str">
        <f t="shared" si="101"/>
        <v>- -</v>
      </c>
      <c r="AB240" s="4" t="str">
        <f t="shared" si="102"/>
        <v>- -</v>
      </c>
      <c r="AC240" s="8"/>
      <c r="AD240" s="4"/>
      <c r="AE240" s="4"/>
      <c r="AF240" s="4" t="str">
        <f t="shared" si="106"/>
        <v>- -</v>
      </c>
      <c r="AG240" s="4"/>
      <c r="AH240" s="4">
        <f>IFERROR(VLOOKUP(M240,Calculations!$AC$2:$AD$251,2,FALSE),0)</f>
        <v>0</v>
      </c>
      <c r="AI240" s="4" t="e">
        <f>VLOOKUP(N240,$N$2:$AS$620,MATCH('Character Creation'!$Z$12,Skills!$N$1:$AS$1,0),FALSE)</f>
        <v>#N/A</v>
      </c>
      <c r="AJ240" s="4" t="e">
        <f>VLOOKUP($N240,[2]Cultures!$B$4:$M$283,MATCH(AJ$1,[2]Cultures!$B$3:$M$3,0),FALSE)</f>
        <v>#N/A</v>
      </c>
      <c r="AK240" s="4" t="e">
        <f>VLOOKUP($N240,[2]Cultures!$B$4:$M$283,MATCH(AK$1,[2]Cultures!$B$3:$M$3,0),FALSE)</f>
        <v>#N/A</v>
      </c>
      <c r="AL240" s="4" t="e">
        <f>VLOOKUP($N240,[2]Cultures!$B$4:$M$283,MATCH(AL$1,[2]Cultures!$B$3:$M$3,0),FALSE)</f>
        <v>#N/A</v>
      </c>
      <c r="AM240" s="4" t="e">
        <f>VLOOKUP($N240,[2]Cultures!$B$4:$M$283,MATCH(AM$1,[2]Cultures!$B$3:$M$3,0),FALSE)</f>
        <v>#N/A</v>
      </c>
      <c r="AN240" s="4" t="e">
        <f>VLOOKUP($N240,[2]Cultures!$B$4:$M$283,MATCH(AN$1,[2]Cultures!$B$3:$M$3,0),FALSE)</f>
        <v>#N/A</v>
      </c>
      <c r="AO240" s="4" t="e">
        <f>VLOOKUP($N240,[2]Cultures!$B$4:$M$283,MATCH(AO$1,[2]Cultures!$B$3:$M$3,0),FALSE)</f>
        <v>#N/A</v>
      </c>
      <c r="AP240" s="4" t="e">
        <f>VLOOKUP($N240,[2]Cultures!$B$4:$M$283,MATCH(AP$1,[2]Cultures!$B$3:$M$3,0),FALSE)</f>
        <v>#N/A</v>
      </c>
      <c r="AQ240" s="4" t="e">
        <f>VLOOKUP($N240,[2]Cultures!$B$4:$M$283,MATCH(AQ$1,[2]Cultures!$B$3:$M$3,0),FALSE)</f>
        <v>#N/A</v>
      </c>
      <c r="AR240" s="4" t="e">
        <f>VLOOKUP($N240,[2]Cultures!$B$4:$M$283,MATCH(AR$1,[2]Cultures!$B$3:$M$3,0),FALSE)</f>
        <v>#N/A</v>
      </c>
      <c r="AS240" s="4" t="e">
        <f>VLOOKUP($N240,[2]Cultures!$B$4:$M$283,MATCH(AS$1,[2]Cultures!$B$3:$M$3,0),FALSE)</f>
        <v>#N/A</v>
      </c>
      <c r="AT240" s="4"/>
      <c r="AU240" s="4">
        <f>IF(ISNUMBER(SEARCH(N240&amp;";",Calculations!$Q$19)),VLOOKUP(Skills!N240,Calculations!$Q$2:$T$16,4,FALSE),0)</f>
        <v>0</v>
      </c>
      <c r="AV240" s="4">
        <f>IF(ISNUMBER(SEARCH(N240&amp;";",Calculations!$Q$18)),1,0)</f>
        <v>0</v>
      </c>
      <c r="AW240" s="4"/>
      <c r="AX240" s="4">
        <f>VLOOKUP($N240,$N240:$CH240,MATCH('Character Sheet'!$BJ$3,Skills!$N$1:$CH$1,0),FALSE)</f>
        <v>0</v>
      </c>
    </row>
    <row r="241" spans="1:50" x14ac:dyDescent="0.25">
      <c r="A241" s="4" t="s">
        <v>2240</v>
      </c>
      <c r="B241" s="4" t="e">
        <f t="shared" si="113"/>
        <v>#N/A</v>
      </c>
      <c r="E241" s="4"/>
      <c r="F241" s="4">
        <f t="shared" si="98"/>
        <v>0</v>
      </c>
      <c r="G241" s="4"/>
      <c r="H241" s="4" t="e">
        <f t="shared" si="104"/>
        <v>#N/A</v>
      </c>
      <c r="I241" s="4" t="e">
        <f>IF($J$240=1,1,0)</f>
        <v>#N/A</v>
      </c>
      <c r="J241" s="4">
        <f t="shared" si="95"/>
        <v>0</v>
      </c>
      <c r="K241" s="4">
        <f t="shared" si="131"/>
        <v>0</v>
      </c>
      <c r="M241" t="str">
        <f>N241</f>
        <v>Acrobatics</v>
      </c>
      <c r="N241" s="3" t="str">
        <f>'Character Sheet'!BIB5</f>
        <v>Acrobatics</v>
      </c>
      <c r="O241" s="4" t="s">
        <v>797</v>
      </c>
      <c r="P241" s="4" t="s">
        <v>788</v>
      </c>
      <c r="Q241" s="4">
        <f t="shared" si="115"/>
        <v>0</v>
      </c>
      <c r="R241" s="4">
        <f>IF(ISNUMBER(SEARCH("Category",N241)),"- -",IF(ISNUMBER(SEARCH("Skills",N241)),"- -",'Level-up'!C259))</f>
        <v>0</v>
      </c>
      <c r="S241" s="4">
        <f t="shared" si="96"/>
        <v>0</v>
      </c>
      <c r="T241" s="4">
        <f t="shared" si="97"/>
        <v>-25</v>
      </c>
      <c r="U241" s="4">
        <f t="shared" ca="1" si="103"/>
        <v>4</v>
      </c>
      <c r="V241" s="4">
        <f t="shared" ref="V241:V246" si="132">IF(ISNUMBER(SEARCH("Category",N241)),"- -",IF(ISNUMBER(SEARCH("Skills",N241)),"- -",IF(AU241&gt;0,AU241,$AU$239)))</f>
        <v>0</v>
      </c>
      <c r="W241" s="4">
        <f t="shared" si="116"/>
        <v>0</v>
      </c>
      <c r="X241" s="4">
        <f t="shared" si="114"/>
        <v>0</v>
      </c>
      <c r="Y241" s="4">
        <f ca="1">IF(ISNUMBER(SEARCH("Category",N241)),"- -",IF(ISNUMBER(SEARCH("Skills",N241)),"- -",'Character Sheet'!$ES$11))</f>
        <v>-25</v>
      </c>
      <c r="Z241" s="4">
        <f>IF(ISNUMBER(SEARCH("Category",N241)),"- -",IF(ISNUMBER(SEARCH("Skills",N241)),"- -",'Character Sheet'!$EG$15))</f>
        <v>-12</v>
      </c>
      <c r="AA241" s="4">
        <f>IF(ISNUMBER(SEARCH("Category",N241)),"- -",IF(ISNUMBER(SEARCH("Skills",N241)),"- -",'Character Sheet'!$ES$15))</f>
        <v>-1</v>
      </c>
      <c r="AB241" s="4">
        <f t="shared" si="102"/>
        <v>0</v>
      </c>
      <c r="AC241" s="8"/>
      <c r="AD241" s="4"/>
      <c r="AE241" s="4"/>
      <c r="AF241" s="4" t="str">
        <f t="shared" ca="1" si="106"/>
        <v>-47/-59</v>
      </c>
      <c r="AG241" s="4"/>
      <c r="AH241" s="4">
        <f>IFERROR(VLOOKUP(M241,Calculations!$AC$2:$AD$251,2,FALSE),0)</f>
        <v>0</v>
      </c>
      <c r="AI241" s="4">
        <f>VLOOKUP(N241,$N$2:$AS$620,MATCH('Character Creation'!$Z$12,Skills!$N$1:$AS$1,0),FALSE)</f>
        <v>0</v>
      </c>
      <c r="AJ241" s="4">
        <f>VLOOKUP($N241,[2]Cultures!$B$4:$M$283,MATCH(AJ$1,[2]Cultures!$B$3:$M$3,0),FALSE)</f>
        <v>0</v>
      </c>
      <c r="AK241" s="4">
        <f>VLOOKUP($N241,[2]Cultures!$B$4:$M$283,MATCH(AK$1,[2]Cultures!$B$3:$M$3,0),FALSE)</f>
        <v>0</v>
      </c>
      <c r="AL241" s="4">
        <f>VLOOKUP($N241,[2]Cultures!$B$4:$M$283,MATCH(AL$1,[2]Cultures!$B$3:$M$3,0),FALSE)</f>
        <v>0</v>
      </c>
      <c r="AM241" s="4">
        <f>VLOOKUP($N241,[2]Cultures!$B$4:$M$283,MATCH(AM$1,[2]Cultures!$B$3:$M$3,0),FALSE)</f>
        <v>1</v>
      </c>
      <c r="AN241" s="4">
        <f>VLOOKUP($N241,[2]Cultures!$B$4:$M$283,MATCH(AN$1,[2]Cultures!$B$3:$M$3,0),FALSE)</f>
        <v>0</v>
      </c>
      <c r="AO241" s="4">
        <f>VLOOKUP($N241,[2]Cultures!$B$4:$M$283,MATCH(AO$1,[2]Cultures!$B$3:$M$3,0),FALSE)</f>
        <v>0</v>
      </c>
      <c r="AP241" s="4">
        <f>VLOOKUP($N241,[2]Cultures!$B$4:$M$283,MATCH(AP$1,[2]Cultures!$B$3:$M$3,0),FALSE)</f>
        <v>0</v>
      </c>
      <c r="AQ241" s="4">
        <f>VLOOKUP($N241,[2]Cultures!$B$4:$M$283,MATCH(AQ$1,[2]Cultures!$B$3:$M$3,0),FALSE)</f>
        <v>0</v>
      </c>
      <c r="AR241" s="4">
        <f>VLOOKUP($N241,[2]Cultures!$B$4:$M$283,MATCH(AR$1,[2]Cultures!$B$3:$M$3,0),FALSE)</f>
        <v>0</v>
      </c>
      <c r="AS241" s="4">
        <f>VLOOKUP($N241,[2]Cultures!$B$4:$M$283,MATCH(AS$1,[2]Cultures!$B$3:$M$3,0),FALSE)</f>
        <v>0</v>
      </c>
      <c r="AT241" s="4"/>
      <c r="AU241" s="4">
        <f>IF(ISNUMBER(SEARCH(N241&amp;";",Calculations!$Q$19)),VLOOKUP(Skills!N241,Calculations!$Q$2:$T$16,4,FALSE),0)</f>
        <v>0</v>
      </c>
      <c r="AV241" s="4">
        <f>IF(ISNUMBER(SEARCH(N241&amp;";",Calculations!$Q$18)),1,0)</f>
        <v>0</v>
      </c>
      <c r="AW241" s="4">
        <f>IF($AV$239=1,1,AV241)</f>
        <v>0</v>
      </c>
      <c r="AX241" s="4">
        <f>VLOOKUP($N241,$N241:$CH241,MATCH('Character Sheet'!$BJ$3,Skills!$N$1:$CH$1,0),FALSE)</f>
        <v>0</v>
      </c>
    </row>
    <row r="242" spans="1:50" x14ac:dyDescent="0.25">
      <c r="B242" s="4" t="e">
        <f t="shared" si="113"/>
        <v>#N/A</v>
      </c>
      <c r="E242" s="4"/>
      <c r="F242" s="4">
        <f t="shared" si="98"/>
        <v>0</v>
      </c>
      <c r="G242" s="4"/>
      <c r="H242" s="4" t="e">
        <f t="shared" si="104"/>
        <v>#N/A</v>
      </c>
      <c r="I242" s="4" t="e">
        <f>IF($J$240=1,1,0)</f>
        <v>#N/A</v>
      </c>
      <c r="J242" s="4">
        <f t="shared" si="95"/>
        <v>0</v>
      </c>
      <c r="K242" s="4">
        <f t="shared" si="131"/>
        <v>0</v>
      </c>
      <c r="M242" t="str">
        <f>N242</f>
        <v>Contortions</v>
      </c>
      <c r="N242" s="3" t="str">
        <f>'Character Sheet'!BIB6</f>
        <v>Contortions</v>
      </c>
      <c r="O242" s="4" t="s">
        <v>797</v>
      </c>
      <c r="P242" s="4" t="s">
        <v>784</v>
      </c>
      <c r="Q242" s="4">
        <f t="shared" si="115"/>
        <v>0</v>
      </c>
      <c r="R242" s="4">
        <f>IF(ISNUMBER(SEARCH("Category",N242)),"- -",IF(ISNUMBER(SEARCH("Skills",N242)),"- -",'Level-up'!C260))</f>
        <v>0</v>
      </c>
      <c r="S242" s="4">
        <f t="shared" si="96"/>
        <v>0</v>
      </c>
      <c r="T242" s="4">
        <f t="shared" si="97"/>
        <v>-25</v>
      </c>
      <c r="U242" s="4">
        <f t="shared" ca="1" si="103"/>
        <v>-1</v>
      </c>
      <c r="V242" s="4">
        <f t="shared" si="132"/>
        <v>0</v>
      </c>
      <c r="W242" s="4">
        <f t="shared" si="116"/>
        <v>0</v>
      </c>
      <c r="X242" s="4">
        <f t="shared" si="114"/>
        <v>0</v>
      </c>
      <c r="Y242" s="4">
        <f ca="1">IF(ISNUMBER(SEARCH("Category",N242)),"- -",IF(ISNUMBER(SEARCH("Skills",N242)),"- -",'Character Sheet'!$ES$11))</f>
        <v>-25</v>
      </c>
      <c r="Z242" s="4">
        <f>IF(ISNUMBER(SEARCH("Category",N242)),"- -",IF(ISNUMBER(SEARCH("Skills",N242)),"- -",'Character Sheet'!$EG$15))</f>
        <v>-12</v>
      </c>
      <c r="AA242" s="4">
        <f>IF(ISNUMBER(SEARCH("Category",N242)),"- -",IF(ISNUMBER(SEARCH("Skills",N242)),"- -",'Character Sheet'!$ES$15))</f>
        <v>-1</v>
      </c>
      <c r="AB242" s="4">
        <f t="shared" si="102"/>
        <v>0</v>
      </c>
      <c r="AC242" s="8"/>
      <c r="AD242" s="4"/>
      <c r="AE242" s="4"/>
      <c r="AF242" s="4" t="str">
        <f t="shared" ca="1" si="106"/>
        <v>-52/-64</v>
      </c>
      <c r="AG242" s="4"/>
      <c r="AH242" s="4">
        <f>IFERROR(VLOOKUP(M242,Calculations!$AC$2:$AD$251,2,FALSE),0)</f>
        <v>0</v>
      </c>
      <c r="AI242" s="4">
        <f>VLOOKUP(N242,$N$2:$AS$620,MATCH('Character Creation'!$Z$12,Skills!$N$1:$AS$1,0),FALSE)</f>
        <v>0</v>
      </c>
      <c r="AJ242" s="4">
        <f>VLOOKUP($N242,[2]Cultures!$B$4:$M$283,MATCH(AJ$1,[2]Cultures!$B$3:$M$3,0),FALSE)</f>
        <v>0</v>
      </c>
      <c r="AK242" s="4">
        <f>VLOOKUP($N242,[2]Cultures!$B$4:$M$283,MATCH(AK$1,[2]Cultures!$B$3:$M$3,0),FALSE)</f>
        <v>0</v>
      </c>
      <c r="AL242" s="4">
        <f>VLOOKUP($N242,[2]Cultures!$B$4:$M$283,MATCH(AL$1,[2]Cultures!$B$3:$M$3,0),FALSE)</f>
        <v>1</v>
      </c>
      <c r="AM242" s="4">
        <f>VLOOKUP($N242,[2]Cultures!$B$4:$M$283,MATCH(AM$1,[2]Cultures!$B$3:$M$3,0),FALSE)</f>
        <v>1</v>
      </c>
      <c r="AN242" s="4">
        <f>VLOOKUP($N242,[2]Cultures!$B$4:$M$283,MATCH(AN$1,[2]Cultures!$B$3:$M$3,0),FALSE)</f>
        <v>0</v>
      </c>
      <c r="AO242" s="4">
        <f>VLOOKUP($N242,[2]Cultures!$B$4:$M$283,MATCH(AO$1,[2]Cultures!$B$3:$M$3,0),FALSE)</f>
        <v>1</v>
      </c>
      <c r="AP242" s="4">
        <f>VLOOKUP($N242,[2]Cultures!$B$4:$M$283,MATCH(AP$1,[2]Cultures!$B$3:$M$3,0),FALSE)</f>
        <v>0</v>
      </c>
      <c r="AQ242" s="4">
        <f>VLOOKUP($N242,[2]Cultures!$B$4:$M$283,MATCH(AQ$1,[2]Cultures!$B$3:$M$3,0),FALSE)</f>
        <v>0</v>
      </c>
      <c r="AR242" s="4">
        <f>VLOOKUP($N242,[2]Cultures!$B$4:$M$283,MATCH(AR$1,[2]Cultures!$B$3:$M$3,0),FALSE)</f>
        <v>0</v>
      </c>
      <c r="AS242" s="4">
        <f>VLOOKUP($N242,[2]Cultures!$B$4:$M$283,MATCH(AS$1,[2]Cultures!$B$3:$M$3,0),FALSE)</f>
        <v>0</v>
      </c>
      <c r="AT242" s="4"/>
      <c r="AU242" s="4">
        <f>IF(ISNUMBER(SEARCH(N242&amp;";",Calculations!$Q$19)),VLOOKUP(Skills!N242,Calculations!$Q$2:$T$16,4,FALSE),0)</f>
        <v>0</v>
      </c>
      <c r="AV242" s="4">
        <f>IF(ISNUMBER(SEARCH(N242&amp;";",Calculations!$Q$18)),1,0)</f>
        <v>0</v>
      </c>
      <c r="AW242" s="4">
        <f>IF($AV$239=1,1,AV242)</f>
        <v>0</v>
      </c>
      <c r="AX242" s="4">
        <f>VLOOKUP($N242,$N242:$CH242,MATCH('Character Sheet'!$BJ$3,Skills!$N$1:$CH$1,0),FALSE)</f>
        <v>0</v>
      </c>
    </row>
    <row r="243" spans="1:50" x14ac:dyDescent="0.25">
      <c r="A243" s="4" t="s">
        <v>2240</v>
      </c>
      <c r="B243" s="4" t="e">
        <f t="shared" si="113"/>
        <v>#N/A</v>
      </c>
      <c r="E243" s="4"/>
      <c r="F243" s="4">
        <f t="shared" si="98"/>
        <v>0</v>
      </c>
      <c r="G243" s="4"/>
      <c r="H243" s="4" t="e">
        <f t="shared" si="104"/>
        <v>#N/A</v>
      </c>
      <c r="I243" s="4" t="e">
        <f>IF($J$240=1,1,0)</f>
        <v>#N/A</v>
      </c>
      <c r="J243" s="4">
        <f t="shared" si="95"/>
        <v>0</v>
      </c>
      <c r="K243" s="4">
        <f t="shared" si="131"/>
        <v>0</v>
      </c>
      <c r="M243" t="str">
        <f>N243</f>
        <v>Jumping</v>
      </c>
      <c r="N243" s="3" t="str">
        <f>'Character Sheet'!BIB7</f>
        <v>Jumping</v>
      </c>
      <c r="O243" s="4" t="s">
        <v>797</v>
      </c>
      <c r="P243" s="4" t="s">
        <v>788</v>
      </c>
      <c r="Q243" s="4">
        <f t="shared" si="115"/>
        <v>0</v>
      </c>
      <c r="R243" s="4">
        <f>IF(ISNUMBER(SEARCH("Category",N243)),"- -",IF(ISNUMBER(SEARCH("Skills",N243)),"- -",'Level-up'!C261))</f>
        <v>0</v>
      </c>
      <c r="S243" s="4">
        <f t="shared" si="96"/>
        <v>0</v>
      </c>
      <c r="T243" s="4">
        <f t="shared" si="97"/>
        <v>-25</v>
      </c>
      <c r="U243" s="4">
        <f t="shared" ca="1" si="103"/>
        <v>4</v>
      </c>
      <c r="V243" s="4">
        <f t="shared" si="132"/>
        <v>0</v>
      </c>
      <c r="W243" s="4">
        <f t="shared" si="116"/>
        <v>0</v>
      </c>
      <c r="X243" s="4">
        <f t="shared" si="114"/>
        <v>0</v>
      </c>
      <c r="Y243" s="4">
        <f ca="1">IF(ISNUMBER(SEARCH("Category",N243)),"- -",IF(ISNUMBER(SEARCH("Skills",N243)),"- -",'Character Sheet'!$ES$11))</f>
        <v>-25</v>
      </c>
      <c r="Z243" s="4">
        <f>IF(ISNUMBER(SEARCH("Category",N243)),"- -",IF(ISNUMBER(SEARCH("Skills",N243)),"- -",'Character Sheet'!$EG$15))</f>
        <v>-12</v>
      </c>
      <c r="AA243" s="4">
        <f>IF(ISNUMBER(SEARCH("Category",N243)),"- -",IF(ISNUMBER(SEARCH("Skills",N243)),"- -",'Character Sheet'!$ES$15))</f>
        <v>-1</v>
      </c>
      <c r="AB243" s="4">
        <f t="shared" si="102"/>
        <v>0</v>
      </c>
      <c r="AC243" s="8"/>
      <c r="AD243" s="4"/>
      <c r="AE243" s="4"/>
      <c r="AF243" s="4" t="str">
        <f t="shared" ca="1" si="106"/>
        <v>-47/-59</v>
      </c>
      <c r="AG243" s="4"/>
      <c r="AH243" s="4">
        <f>IFERROR(VLOOKUP(M243,Calculations!$AC$2:$AD$251,2,FALSE),0)</f>
        <v>0</v>
      </c>
      <c r="AI243" s="4">
        <f>VLOOKUP(N243,$N$2:$AS$620,MATCH('Character Creation'!$Z$12,Skills!$N$1:$AS$1,0),FALSE)</f>
        <v>0</v>
      </c>
      <c r="AJ243" s="4">
        <f>VLOOKUP($N243,[2]Cultures!$B$4:$M$283,MATCH(AJ$1,[2]Cultures!$B$3:$M$3,0),FALSE)</f>
        <v>0</v>
      </c>
      <c r="AK243" s="4">
        <f>VLOOKUP($N243,[2]Cultures!$B$4:$M$283,MATCH(AK$1,[2]Cultures!$B$3:$M$3,0),FALSE)</f>
        <v>0</v>
      </c>
      <c r="AL243" s="4">
        <f>VLOOKUP($N243,[2]Cultures!$B$4:$M$283,MATCH(AL$1,[2]Cultures!$B$3:$M$3,0),FALSE)</f>
        <v>0</v>
      </c>
      <c r="AM243" s="4">
        <f>VLOOKUP($N243,[2]Cultures!$B$4:$M$283,MATCH(AM$1,[2]Cultures!$B$3:$M$3,0),FALSE)</f>
        <v>0</v>
      </c>
      <c r="AN243" s="4">
        <f>VLOOKUP($N243,[2]Cultures!$B$4:$M$283,MATCH(AN$1,[2]Cultures!$B$3:$M$3,0),FALSE)</f>
        <v>0</v>
      </c>
      <c r="AO243" s="4">
        <f>VLOOKUP($N243,[2]Cultures!$B$4:$M$283,MATCH(AO$1,[2]Cultures!$B$3:$M$3,0),FALSE)</f>
        <v>0</v>
      </c>
      <c r="AP243" s="4">
        <f>VLOOKUP($N243,[2]Cultures!$B$4:$M$283,MATCH(AP$1,[2]Cultures!$B$3:$M$3,0),FALSE)</f>
        <v>0</v>
      </c>
      <c r="AQ243" s="4">
        <f>VLOOKUP($N243,[2]Cultures!$B$4:$M$283,MATCH(AQ$1,[2]Cultures!$B$3:$M$3,0),FALSE)</f>
        <v>0</v>
      </c>
      <c r="AR243" s="4">
        <f>VLOOKUP($N243,[2]Cultures!$B$4:$M$283,MATCH(AR$1,[2]Cultures!$B$3:$M$3,0),FALSE)</f>
        <v>0</v>
      </c>
      <c r="AS243" s="4">
        <f>VLOOKUP($N243,[2]Cultures!$B$4:$M$283,MATCH(AS$1,[2]Cultures!$B$3:$M$3,0),FALSE)</f>
        <v>0</v>
      </c>
      <c r="AT243" s="4"/>
      <c r="AU243" s="4">
        <f>IF(ISNUMBER(SEARCH(N243&amp;";",Calculations!$Q$19)),VLOOKUP(Skills!N243,Calculations!$Q$2:$T$16,4,FALSE),0)</f>
        <v>0</v>
      </c>
      <c r="AV243" s="4">
        <f>IF(ISNUMBER(SEARCH(N243&amp;";",Calculations!$Q$18)),1,0)</f>
        <v>0</v>
      </c>
      <c r="AW243" s="4">
        <f>IF($AV$239=1,1,AV243)</f>
        <v>0</v>
      </c>
      <c r="AX243" s="4">
        <f>VLOOKUP($N243,$N243:$CH243,MATCH('Character Sheet'!$BJ$3,Skills!$N$1:$CH$1,0),FALSE)</f>
        <v>0</v>
      </c>
    </row>
    <row r="244" spans="1:50" x14ac:dyDescent="0.25">
      <c r="B244" s="4" t="e">
        <f t="shared" si="113"/>
        <v>#N/A</v>
      </c>
      <c r="E244" s="4"/>
      <c r="F244" s="4">
        <f t="shared" si="98"/>
        <v>0</v>
      </c>
      <c r="G244" s="4"/>
      <c r="H244" s="4" t="e">
        <f t="shared" si="104"/>
        <v>#N/A</v>
      </c>
      <c r="I244" s="4" t="e">
        <f>IF($J$245=1,1,IF($J$263=1,1,IF($J$268=1,1,IF($J$273=1,1,IF($J$275=1,1,IF($J$280=1,1,IF($J$285=1,1,IF($J$289=1,1,IF($J$294=1,1,IF($J$302=1,1,IF($J$310=1,1,IF($J$318=1,1,0))))))))))))</f>
        <v>#N/A</v>
      </c>
      <c r="J244" s="4">
        <f t="shared" si="95"/>
        <v>0</v>
      </c>
      <c r="K244" s="4" t="e">
        <f t="shared" si="131"/>
        <v>#N/A</v>
      </c>
      <c r="N244" s="3" t="s">
        <v>670</v>
      </c>
      <c r="O244" s="6" t="s">
        <v>782</v>
      </c>
      <c r="P244" s="6" t="s">
        <v>782</v>
      </c>
      <c r="Q244" s="4" t="str">
        <f t="shared" si="115"/>
        <v>- -</v>
      </c>
      <c r="R244" s="4" t="str">
        <f>IF(ISNUMBER(SEARCH("Category",N244)),"- -",IF(ISNUMBER(SEARCH("Skills",N244)),"- -",'Level-up'!C262))</f>
        <v>- -</v>
      </c>
      <c r="S244" s="4" t="str">
        <f t="shared" si="96"/>
        <v>- -</v>
      </c>
      <c r="T244" s="4" t="str">
        <f t="shared" si="97"/>
        <v>- -</v>
      </c>
      <c r="U244" s="4" t="str">
        <f t="shared" ca="1" si="103"/>
        <v>- -</v>
      </c>
      <c r="V244" s="4" t="str">
        <f t="shared" si="132"/>
        <v>- -</v>
      </c>
      <c r="W244" s="4" t="str">
        <f t="shared" si="116"/>
        <v>- -</v>
      </c>
      <c r="X244" s="4" t="str">
        <f t="shared" si="114"/>
        <v>- -</v>
      </c>
      <c r="Y244" s="4" t="str">
        <f t="shared" si="99"/>
        <v>- -</v>
      </c>
      <c r="Z244" s="4" t="str">
        <f t="shared" si="100"/>
        <v>- -</v>
      </c>
      <c r="AA244" s="4" t="str">
        <f t="shared" si="101"/>
        <v>- -</v>
      </c>
      <c r="AB244" s="4" t="str">
        <f t="shared" si="102"/>
        <v>- -</v>
      </c>
      <c r="AC244" s="8"/>
      <c r="AD244" s="4"/>
      <c r="AE244" s="4"/>
      <c r="AF244" s="4" t="str">
        <f t="shared" si="106"/>
        <v>- -</v>
      </c>
      <c r="AG244" s="4"/>
      <c r="AH244" s="4">
        <f>IFERROR(VLOOKUP(M244,Calculations!$AC$2:$AD$251,2,FALSE),0)</f>
        <v>0</v>
      </c>
      <c r="AI244" s="4" t="e">
        <f>VLOOKUP(N244,$N$2:$AS$620,MATCH('Character Creation'!$Z$12,Skills!$N$1:$AS$1,0),FALSE)</f>
        <v>#N/A</v>
      </c>
      <c r="AJ244" s="4" t="e">
        <f>VLOOKUP($N244,[2]Cultures!$B$4:$M$283,MATCH(AJ$1,[2]Cultures!$B$3:$M$3,0),FALSE)</f>
        <v>#N/A</v>
      </c>
      <c r="AK244" s="4" t="e">
        <f>VLOOKUP($N244,[2]Cultures!$B$4:$M$283,MATCH(AK$1,[2]Cultures!$B$3:$M$3,0),FALSE)</f>
        <v>#N/A</v>
      </c>
      <c r="AL244" s="4" t="e">
        <f>VLOOKUP($N244,[2]Cultures!$B$4:$M$283,MATCH(AL$1,[2]Cultures!$B$3:$M$3,0),FALSE)</f>
        <v>#N/A</v>
      </c>
      <c r="AM244" s="4" t="e">
        <f>VLOOKUP($N244,[2]Cultures!$B$4:$M$283,MATCH(AM$1,[2]Cultures!$B$3:$M$3,0),FALSE)</f>
        <v>#N/A</v>
      </c>
      <c r="AN244" s="4" t="e">
        <f>VLOOKUP($N244,[2]Cultures!$B$4:$M$283,MATCH(AN$1,[2]Cultures!$B$3:$M$3,0),FALSE)</f>
        <v>#N/A</v>
      </c>
      <c r="AO244" s="4" t="e">
        <f>VLOOKUP($N244,[2]Cultures!$B$4:$M$283,MATCH(AO$1,[2]Cultures!$B$3:$M$3,0),FALSE)</f>
        <v>#N/A</v>
      </c>
      <c r="AP244" s="4" t="e">
        <f>VLOOKUP($N244,[2]Cultures!$B$4:$M$283,MATCH(AP$1,[2]Cultures!$B$3:$M$3,0),FALSE)</f>
        <v>#N/A</v>
      </c>
      <c r="AQ244" s="4" t="e">
        <f>VLOOKUP($N244,[2]Cultures!$B$4:$M$283,MATCH(AQ$1,[2]Cultures!$B$3:$M$3,0),FALSE)</f>
        <v>#N/A</v>
      </c>
      <c r="AR244" s="4" t="e">
        <f>VLOOKUP($N244,[2]Cultures!$B$4:$M$283,MATCH(AR$1,[2]Cultures!$B$3:$M$3,0),FALSE)</f>
        <v>#N/A</v>
      </c>
      <c r="AS244" s="4" t="e">
        <f>VLOOKUP($N244,[2]Cultures!$B$4:$M$283,MATCH(AS$1,[2]Cultures!$B$3:$M$3,0),FALSE)</f>
        <v>#N/A</v>
      </c>
      <c r="AT244" s="4"/>
      <c r="AU244" s="4">
        <f>IF(ISNUMBER(SEARCH(N244&amp;";",Calculations!$Q$19)),VLOOKUP(Skills!N244,Calculations!$Q$2:$T$16,4,FALSE),0)</f>
        <v>0</v>
      </c>
      <c r="AV244" s="4">
        <f>IF(ISNUMBER(SEARCH(N244&amp;";",Calculations!$Q$18)),1,0)</f>
        <v>0</v>
      </c>
      <c r="AW244" s="4"/>
      <c r="AX244" s="4">
        <f>VLOOKUP($N244,$N244:$CH244,MATCH('Character Sheet'!$BJ$3,Skills!$N$1:$CH$1,0),FALSE)</f>
        <v>0</v>
      </c>
    </row>
    <row r="245" spans="1:50" x14ac:dyDescent="0.25">
      <c r="B245" s="4" t="e">
        <f t="shared" si="113"/>
        <v>#N/A</v>
      </c>
      <c r="E245" s="4"/>
      <c r="F245" s="4">
        <f t="shared" si="98"/>
        <v>0</v>
      </c>
      <c r="G245" s="4"/>
      <c r="H245" s="4" t="e">
        <f t="shared" si="104"/>
        <v>#N/A</v>
      </c>
      <c r="I245" s="4">
        <v>0</v>
      </c>
      <c r="J245" s="4" t="e">
        <f t="shared" si="95"/>
        <v>#N/A</v>
      </c>
      <c r="K245" s="4" t="e">
        <f t="shared" si="131"/>
        <v>#N/A</v>
      </c>
      <c r="N245" s="3" t="s">
        <v>671</v>
      </c>
      <c r="O245" s="6" t="s">
        <v>782</v>
      </c>
      <c r="P245" s="6" t="s">
        <v>782</v>
      </c>
      <c r="Q245" s="4" t="str">
        <f t="shared" si="115"/>
        <v>- -</v>
      </c>
      <c r="R245" s="4" t="str">
        <f>IF(ISNUMBER(SEARCH("Category",N245)),"- -",IF(ISNUMBER(SEARCH("Skills",N245)),"- -",'Level-up'!C263))</f>
        <v>- -</v>
      </c>
      <c r="S245" s="4" t="str">
        <f t="shared" si="96"/>
        <v>- -</v>
      </c>
      <c r="T245" s="4" t="str">
        <f t="shared" si="97"/>
        <v>- -</v>
      </c>
      <c r="U245" s="4" t="str">
        <f t="shared" ca="1" si="103"/>
        <v>- -</v>
      </c>
      <c r="V245" s="4" t="str">
        <f t="shared" si="132"/>
        <v>- -</v>
      </c>
      <c r="W245" s="4" t="str">
        <f t="shared" si="116"/>
        <v>- -</v>
      </c>
      <c r="X245" s="4" t="str">
        <f t="shared" si="114"/>
        <v>- -</v>
      </c>
      <c r="Y245" s="4" t="str">
        <f t="shared" si="99"/>
        <v>- -</v>
      </c>
      <c r="Z245" s="4" t="str">
        <f t="shared" si="100"/>
        <v>- -</v>
      </c>
      <c r="AA245" s="4" t="str">
        <f t="shared" si="101"/>
        <v>- -</v>
      </c>
      <c r="AB245" s="4" t="str">
        <f t="shared" si="102"/>
        <v>- -</v>
      </c>
      <c r="AC245" s="8"/>
      <c r="AD245" s="4"/>
      <c r="AE245" s="4"/>
      <c r="AF245" s="4" t="str">
        <f t="shared" si="106"/>
        <v>- -</v>
      </c>
      <c r="AG245" s="4"/>
      <c r="AH245" s="4">
        <f>IFERROR(VLOOKUP(M245,Calculations!$AC$2:$AD$251,2,FALSE),0)</f>
        <v>0</v>
      </c>
      <c r="AI245" s="4" t="e">
        <f>VLOOKUP(N245,$N$2:$AS$620,MATCH('Character Creation'!$Z$12,Skills!$N$1:$AS$1,0),FALSE)</f>
        <v>#N/A</v>
      </c>
      <c r="AJ245" s="4" t="e">
        <f>VLOOKUP($N245,[2]Cultures!$B$4:$M$283,MATCH(AJ$1,[2]Cultures!$B$3:$M$3,0),FALSE)</f>
        <v>#N/A</v>
      </c>
      <c r="AK245" s="4" t="e">
        <f>VLOOKUP($N245,[2]Cultures!$B$4:$M$283,MATCH(AK$1,[2]Cultures!$B$3:$M$3,0),FALSE)</f>
        <v>#N/A</v>
      </c>
      <c r="AL245" s="4" t="e">
        <f>VLOOKUP($N245,[2]Cultures!$B$4:$M$283,MATCH(AL$1,[2]Cultures!$B$3:$M$3,0),FALSE)</f>
        <v>#N/A</v>
      </c>
      <c r="AM245" s="4" t="e">
        <f>VLOOKUP($N245,[2]Cultures!$B$4:$M$283,MATCH(AM$1,[2]Cultures!$B$3:$M$3,0),FALSE)</f>
        <v>#N/A</v>
      </c>
      <c r="AN245" s="4" t="e">
        <f>VLOOKUP($N245,[2]Cultures!$B$4:$M$283,MATCH(AN$1,[2]Cultures!$B$3:$M$3,0),FALSE)</f>
        <v>#N/A</v>
      </c>
      <c r="AO245" s="4" t="e">
        <f>VLOOKUP($N245,[2]Cultures!$B$4:$M$283,MATCH(AO$1,[2]Cultures!$B$3:$M$3,0),FALSE)</f>
        <v>#N/A</v>
      </c>
      <c r="AP245" s="4" t="e">
        <f>VLOOKUP($N245,[2]Cultures!$B$4:$M$283,MATCH(AP$1,[2]Cultures!$B$3:$M$3,0),FALSE)</f>
        <v>#N/A</v>
      </c>
      <c r="AQ245" s="4" t="e">
        <f>VLOOKUP($N245,[2]Cultures!$B$4:$M$283,MATCH(AQ$1,[2]Cultures!$B$3:$M$3,0),FALSE)</f>
        <v>#N/A</v>
      </c>
      <c r="AR245" s="4" t="e">
        <f>VLOOKUP($N245,[2]Cultures!$B$4:$M$283,MATCH(AR$1,[2]Cultures!$B$3:$M$3,0),FALSE)</f>
        <v>#N/A</v>
      </c>
      <c r="AS245" s="4" t="e">
        <f>VLOOKUP($N245,[2]Cultures!$B$4:$M$283,MATCH(AS$1,[2]Cultures!$B$3:$M$3,0),FALSE)</f>
        <v>#N/A</v>
      </c>
      <c r="AT245" s="4"/>
      <c r="AU245" s="4">
        <f>IF(ISNUMBER(SEARCH(N245&amp;";",Calculations!$Q$19)),VLOOKUP(Skills!N245,Calculations!$Q$2:$T$16,4,FALSE),0)</f>
        <v>0</v>
      </c>
      <c r="AV245" s="4">
        <f>IF(ISNUMBER(SEARCH(N245&amp;";",Calculations!$Q$18)),1,0)</f>
        <v>0</v>
      </c>
      <c r="AW245" s="4"/>
      <c r="AX245" s="4">
        <f>VLOOKUP($N245,$N245:$CH245,MATCH('Character Sheet'!$BJ$3,Skills!$N$1:$CH$1,0),FALSE)</f>
        <v>0</v>
      </c>
    </row>
    <row r="246" spans="1:50" x14ac:dyDescent="0.25">
      <c r="B246" s="4" t="e">
        <f t="shared" si="113"/>
        <v>#N/A</v>
      </c>
      <c r="E246" s="4"/>
      <c r="F246" s="4">
        <f t="shared" si="98"/>
        <v>0</v>
      </c>
      <c r="G246" s="4"/>
      <c r="H246" s="4" t="e">
        <f t="shared" si="104"/>
        <v>#N/A</v>
      </c>
      <c r="I246" s="4" t="e">
        <f t="shared" ref="I246:I261" si="133">IF($J$245=1,1,0)</f>
        <v>#N/A</v>
      </c>
      <c r="J246" s="4">
        <f t="shared" si="95"/>
        <v>0</v>
      </c>
      <c r="K246" s="4">
        <f t="shared" si="131"/>
        <v>0</v>
      </c>
      <c r="N246" s="3" t="s">
        <v>2000</v>
      </c>
      <c r="O246" s="6" t="s">
        <v>782</v>
      </c>
      <c r="P246" s="6" t="s">
        <v>782</v>
      </c>
      <c r="Q246" s="4" t="str">
        <f t="shared" si="115"/>
        <v>- -</v>
      </c>
      <c r="R246" s="4" t="str">
        <f>IF(ISNUMBER(SEARCH("Category",N246)),"- -",IF(ISNUMBER(SEARCH("Skills",N246)),"- -",'Level-up'!C264))</f>
        <v>- -</v>
      </c>
      <c r="S246" s="4" t="str">
        <f t="shared" si="96"/>
        <v>- -</v>
      </c>
      <c r="T246" s="4" t="str">
        <f t="shared" si="97"/>
        <v>- -</v>
      </c>
      <c r="U246" s="4" t="str">
        <f t="shared" ca="1" si="103"/>
        <v>- -</v>
      </c>
      <c r="V246" s="4" t="str">
        <f t="shared" si="132"/>
        <v>- -</v>
      </c>
      <c r="W246" s="4" t="str">
        <f t="shared" si="116"/>
        <v>- -</v>
      </c>
      <c r="X246" s="4" t="str">
        <f t="shared" si="114"/>
        <v>- -</v>
      </c>
      <c r="Y246" s="4" t="str">
        <f t="shared" si="99"/>
        <v>- -</v>
      </c>
      <c r="Z246" s="4" t="str">
        <f t="shared" si="100"/>
        <v>- -</v>
      </c>
      <c r="AA246" s="4" t="str">
        <f t="shared" si="101"/>
        <v>- -</v>
      </c>
      <c r="AB246" s="4" t="str">
        <f t="shared" si="102"/>
        <v>- -</v>
      </c>
      <c r="AC246" s="8"/>
      <c r="AD246" s="4"/>
      <c r="AE246" s="4"/>
      <c r="AF246" s="4" t="str">
        <f t="shared" si="106"/>
        <v>- -</v>
      </c>
      <c r="AG246" s="4"/>
      <c r="AH246" s="4">
        <f>IFERROR(VLOOKUP(M246,Calculations!$AC$2:$AD$251,2,FALSE),0)</f>
        <v>0</v>
      </c>
      <c r="AI246" s="4" t="e">
        <f>VLOOKUP(N246,$N$2:$AS$620,MATCH('Character Creation'!$Z$12,Skills!$N$1:$AS$1,0),FALSE)</f>
        <v>#N/A</v>
      </c>
      <c r="AJ246" s="4" t="e">
        <f>VLOOKUP($N246,[2]Cultures!$B$4:$M$283,MATCH(AJ$1,[2]Cultures!$B$3:$M$3,0),FALSE)</f>
        <v>#N/A</v>
      </c>
      <c r="AK246" s="4" t="e">
        <f>VLOOKUP($N246,[2]Cultures!$B$4:$M$283,MATCH(AK$1,[2]Cultures!$B$3:$M$3,0),FALSE)</f>
        <v>#N/A</v>
      </c>
      <c r="AL246" s="4" t="e">
        <f>VLOOKUP($N246,[2]Cultures!$B$4:$M$283,MATCH(AL$1,[2]Cultures!$B$3:$M$3,0),FALSE)</f>
        <v>#N/A</v>
      </c>
      <c r="AM246" s="4" t="e">
        <f>VLOOKUP($N246,[2]Cultures!$B$4:$M$283,MATCH(AM$1,[2]Cultures!$B$3:$M$3,0),FALSE)</f>
        <v>#N/A</v>
      </c>
      <c r="AN246" s="4" t="e">
        <f>VLOOKUP($N246,[2]Cultures!$B$4:$M$283,MATCH(AN$1,[2]Cultures!$B$3:$M$3,0),FALSE)</f>
        <v>#N/A</v>
      </c>
      <c r="AO246" s="4" t="e">
        <f>VLOOKUP($N246,[2]Cultures!$B$4:$M$283,MATCH(AO$1,[2]Cultures!$B$3:$M$3,0),FALSE)</f>
        <v>#N/A</v>
      </c>
      <c r="AP246" s="4" t="e">
        <f>VLOOKUP($N246,[2]Cultures!$B$4:$M$283,MATCH(AP$1,[2]Cultures!$B$3:$M$3,0),FALSE)</f>
        <v>#N/A</v>
      </c>
      <c r="AQ246" s="4" t="e">
        <f>VLOOKUP($N246,[2]Cultures!$B$4:$M$283,MATCH(AQ$1,[2]Cultures!$B$3:$M$3,0),FALSE)</f>
        <v>#N/A</v>
      </c>
      <c r="AR246" s="4" t="e">
        <f>VLOOKUP($N246,[2]Cultures!$B$4:$M$283,MATCH(AR$1,[2]Cultures!$B$3:$M$3,0),FALSE)</f>
        <v>#N/A</v>
      </c>
      <c r="AS246" s="4" t="e">
        <f>VLOOKUP($N246,[2]Cultures!$B$4:$M$283,MATCH(AS$1,[2]Cultures!$B$3:$M$3,0),FALSE)</f>
        <v>#N/A</v>
      </c>
      <c r="AT246" s="4"/>
      <c r="AU246" s="4">
        <f>IF(ISNUMBER(SEARCH(N246&amp;";",Calculations!$Q$19)),VLOOKUP(Skills!N246,Calculations!$Q$2:$T$16,4,FALSE),0)</f>
        <v>0</v>
      </c>
      <c r="AV246" s="4">
        <f>IF(ISNUMBER(SEARCH(N246&amp;";",Calculations!$Q$18)),1,0)</f>
        <v>0</v>
      </c>
      <c r="AW246" s="4"/>
      <c r="AX246" s="4">
        <f>VLOOKUP($N246,$N246:$CH246,MATCH('Character Sheet'!$BJ$3,Skills!$N$1:$CH$1,0),FALSE)</f>
        <v>0</v>
      </c>
    </row>
    <row r="247" spans="1:50" x14ac:dyDescent="0.25">
      <c r="B247" s="4" t="e">
        <f t="shared" si="113"/>
        <v>#N/A</v>
      </c>
      <c r="E247" s="4"/>
      <c r="F247" s="4">
        <f t="shared" si="98"/>
        <v>0</v>
      </c>
      <c r="G247" s="4"/>
      <c r="H247" s="4" t="e">
        <f t="shared" si="104"/>
        <v>#N/A</v>
      </c>
      <c r="I247" s="4" t="e">
        <f t="shared" si="133"/>
        <v>#N/A</v>
      </c>
      <c r="J247" s="4">
        <f t="shared" si="95"/>
        <v>0</v>
      </c>
      <c r="K247" s="4">
        <f t="shared" si="131"/>
        <v>0</v>
      </c>
      <c r="M247" t="str">
        <f>"Lore, "&amp;N247</f>
        <v>Lore, Art History</v>
      </c>
      <c r="N247" s="3" t="str">
        <f>'Character Sheet'!BLR5</f>
        <v>Art History</v>
      </c>
      <c r="O247" s="4" t="s">
        <v>798</v>
      </c>
      <c r="P247" s="4" t="s">
        <v>792</v>
      </c>
      <c r="Q247" s="4">
        <f t="shared" si="115"/>
        <v>0</v>
      </c>
      <c r="R247" s="4">
        <f>IF(ISNUMBER(SEARCH("Category",N247)),"- -",IF(ISNUMBER(SEARCH("Skills",N247)),"- -",'Level-up'!C265))</f>
        <v>0</v>
      </c>
      <c r="S247" s="4">
        <f t="shared" si="96"/>
        <v>0</v>
      </c>
      <c r="T247" s="4">
        <f t="shared" si="97"/>
        <v>-25</v>
      </c>
      <c r="U247" s="4">
        <f t="shared" ca="1" si="103"/>
        <v>3</v>
      </c>
      <c r="V247" s="4">
        <f t="shared" ref="V247:V263" si="134">IF(ISNUMBER(SEARCH("Category",N247)),"- -",IF(ISNUMBER(SEARCH("Skills",N247)),"- -",IF(AU247&gt;0,AU247,IF($AU$246&gt;0,$AU$246,$AU$244))))</f>
        <v>0</v>
      </c>
      <c r="W247" s="4">
        <f t="shared" si="116"/>
        <v>0</v>
      </c>
      <c r="X247" s="4">
        <f t="shared" si="114"/>
        <v>0</v>
      </c>
      <c r="Y247" s="4">
        <f t="shared" si="99"/>
        <v>0</v>
      </c>
      <c r="Z247" s="4">
        <f t="shared" si="100"/>
        <v>0</v>
      </c>
      <c r="AA247" s="4">
        <f t="shared" si="101"/>
        <v>0</v>
      </c>
      <c r="AB247" s="4">
        <f t="shared" si="102"/>
        <v>0</v>
      </c>
      <c r="AC247" s="8"/>
      <c r="AD247" s="4"/>
      <c r="AE247" s="4"/>
      <c r="AF247" s="4" t="str">
        <f t="shared" ca="1" si="106"/>
        <v>-22</v>
      </c>
      <c r="AG247" s="4"/>
      <c r="AH247" s="4">
        <f>IFERROR(VLOOKUP(M247,Calculations!$AC$2:$AD$251,2,FALSE),0)</f>
        <v>0</v>
      </c>
      <c r="AI247" s="4">
        <f>VLOOKUP(N247,$N$2:$AS$620,MATCH('Character Creation'!$Z$12,Skills!$N$1:$AS$1,0),FALSE)</f>
        <v>0</v>
      </c>
      <c r="AJ247" s="4">
        <f>VLOOKUP($N247,[2]Cultures!$B$4:$M$283,MATCH(AJ$1,[2]Cultures!$B$3:$M$3,0),FALSE)</f>
        <v>0</v>
      </c>
      <c r="AK247" s="4">
        <f>VLOOKUP($N247,[2]Cultures!$B$4:$M$283,MATCH(AK$1,[2]Cultures!$B$3:$M$3,0),FALSE)</f>
        <v>0</v>
      </c>
      <c r="AL247" s="4">
        <f>VLOOKUP($N247,[2]Cultures!$B$4:$M$283,MATCH(AL$1,[2]Cultures!$B$3:$M$3,0),FALSE)</f>
        <v>0</v>
      </c>
      <c r="AM247" s="4">
        <f>VLOOKUP($N247,[2]Cultures!$B$4:$M$283,MATCH(AM$1,[2]Cultures!$B$3:$M$3,0),FALSE)</f>
        <v>0</v>
      </c>
      <c r="AN247" s="4">
        <f>VLOOKUP($N247,[2]Cultures!$B$4:$M$283,MATCH(AN$1,[2]Cultures!$B$3:$M$3,0),FALSE)</f>
        <v>0</v>
      </c>
      <c r="AO247" s="4">
        <f>VLOOKUP($N247,[2]Cultures!$B$4:$M$283,MATCH(AO$1,[2]Cultures!$B$3:$M$3,0),FALSE)</f>
        <v>0</v>
      </c>
      <c r="AP247" s="4">
        <f>VLOOKUP($N247,[2]Cultures!$B$4:$M$283,MATCH(AP$1,[2]Cultures!$B$3:$M$3,0),FALSE)</f>
        <v>0</v>
      </c>
      <c r="AQ247" s="4">
        <f>VLOOKUP($N247,[2]Cultures!$B$4:$M$283,MATCH(AQ$1,[2]Cultures!$B$3:$M$3,0),FALSE)</f>
        <v>0</v>
      </c>
      <c r="AR247" s="4">
        <f>VLOOKUP($N247,[2]Cultures!$B$4:$M$283,MATCH(AR$1,[2]Cultures!$B$3:$M$3,0),FALSE)</f>
        <v>0</v>
      </c>
      <c r="AS247" s="4">
        <f>VLOOKUP($N247,[2]Cultures!$B$4:$M$283,MATCH(AS$1,[2]Cultures!$B$3:$M$3,0),FALSE)</f>
        <v>0</v>
      </c>
      <c r="AT247" s="4"/>
      <c r="AU247" s="4">
        <f>IF(ISNUMBER(SEARCH(N247&amp;";",Calculations!$Q$19)),VLOOKUP(Skills!N247,Calculations!$Q$2:$T$16,4,FALSE),0)</f>
        <v>0</v>
      </c>
      <c r="AV247" s="4">
        <f>IF(ISNUMBER(SEARCH(N247&amp;";",Calculations!$Q$18)),1,0)</f>
        <v>0</v>
      </c>
      <c r="AW247" s="4">
        <f t="shared" ref="AW247:AW261" si="135">IF($AV$244=1,1,IF($AV$246=1,1,AV247))</f>
        <v>0</v>
      </c>
      <c r="AX247" s="4">
        <f>VLOOKUP($N247,$N247:$CH247,MATCH('Character Sheet'!$BJ$3,Skills!$N$1:$CH$1,0),FALSE)</f>
        <v>0</v>
      </c>
    </row>
    <row r="248" spans="1:50" x14ac:dyDescent="0.25">
      <c r="B248" s="4" t="e">
        <f t="shared" si="113"/>
        <v>#N/A</v>
      </c>
      <c r="E248" s="4"/>
      <c r="F248" s="4">
        <f t="shared" si="98"/>
        <v>0</v>
      </c>
      <c r="G248" s="4"/>
      <c r="H248" s="4" t="e">
        <f t="shared" si="104"/>
        <v>#N/A</v>
      </c>
      <c r="I248" s="4" t="e">
        <f t="shared" si="133"/>
        <v>#N/A</v>
      </c>
      <c r="J248" s="4">
        <f t="shared" si="95"/>
        <v>0</v>
      </c>
      <c r="K248" s="4">
        <f>IF(ISNUMBER(SEARCH("Category",N248)),K250,AI248)</f>
        <v>0</v>
      </c>
      <c r="M248" t="str">
        <f>N248</f>
        <v>Circle Lore</v>
      </c>
      <c r="N248" s="3" t="str">
        <f>'Character Sheet'!BLR6</f>
        <v>Circle Lore</v>
      </c>
      <c r="O248" s="4" t="s">
        <v>798</v>
      </c>
      <c r="P248" s="4" t="s">
        <v>792</v>
      </c>
      <c r="Q248" s="4">
        <f t="shared" si="115"/>
        <v>0</v>
      </c>
      <c r="R248" s="4">
        <f>IF(ISNUMBER(SEARCH("Category",N248)),"- -",IF(ISNUMBER(SEARCH("Skills",N248)),"- -",'Level-up'!C266))</f>
        <v>0</v>
      </c>
      <c r="S248" s="4">
        <f t="shared" si="96"/>
        <v>0</v>
      </c>
      <c r="T248" s="4">
        <f t="shared" si="97"/>
        <v>-25</v>
      </c>
      <c r="U248" s="4">
        <f t="shared" ca="1" si="103"/>
        <v>3</v>
      </c>
      <c r="V248" s="4">
        <f t="shared" si="134"/>
        <v>0</v>
      </c>
      <c r="W248" s="4">
        <f t="shared" si="116"/>
        <v>0</v>
      </c>
      <c r="X248" s="4">
        <f t="shared" si="114"/>
        <v>0</v>
      </c>
      <c r="Y248" s="4">
        <f t="shared" si="99"/>
        <v>0</v>
      </c>
      <c r="Z248" s="4">
        <f t="shared" si="100"/>
        <v>0</v>
      </c>
      <c r="AA248" s="4">
        <f t="shared" si="101"/>
        <v>0</v>
      </c>
      <c r="AB248" s="4">
        <f t="shared" si="102"/>
        <v>0</v>
      </c>
      <c r="AC248" s="8"/>
      <c r="AD248" s="4"/>
      <c r="AE248" s="4"/>
      <c r="AF248" s="4" t="str">
        <f t="shared" ca="1" si="106"/>
        <v>-22</v>
      </c>
      <c r="AG248" s="4"/>
      <c r="AH248" s="4">
        <f>IFERROR(VLOOKUP(M248,Calculations!$AC$2:$AD$251,2,FALSE),0)</f>
        <v>0</v>
      </c>
      <c r="AI248" s="4">
        <f>VLOOKUP(N248,$N$2:$AS$620,MATCH('Character Creation'!$Z$12,Skills!$N$1:$AS$1,0),FALSE)</f>
        <v>0</v>
      </c>
      <c r="AJ248" s="4">
        <f>VLOOKUP($N248,[2]Cultures!$B$4:$M$283,MATCH(AJ$1,[2]Cultures!$B$3:$M$3,0),FALSE)</f>
        <v>0</v>
      </c>
      <c r="AK248" s="4">
        <f>VLOOKUP($N248,[2]Cultures!$B$4:$M$283,MATCH(AK$1,[2]Cultures!$B$3:$M$3,0),FALSE)</f>
        <v>0</v>
      </c>
      <c r="AL248" s="4">
        <f>VLOOKUP($N248,[2]Cultures!$B$4:$M$283,MATCH(AL$1,[2]Cultures!$B$3:$M$3,0),FALSE)</f>
        <v>0</v>
      </c>
      <c r="AM248" s="4">
        <f>VLOOKUP($N248,[2]Cultures!$B$4:$M$283,MATCH(AM$1,[2]Cultures!$B$3:$M$3,0),FALSE)</f>
        <v>0</v>
      </c>
      <c r="AN248" s="4">
        <f>VLOOKUP($N248,[2]Cultures!$B$4:$M$283,MATCH(AN$1,[2]Cultures!$B$3:$M$3,0),FALSE)</f>
        <v>0</v>
      </c>
      <c r="AO248" s="4">
        <f>VLOOKUP($N248,[2]Cultures!$B$4:$M$283,MATCH(AO$1,[2]Cultures!$B$3:$M$3,0),FALSE)</f>
        <v>0</v>
      </c>
      <c r="AP248" s="4">
        <f>VLOOKUP($N248,[2]Cultures!$B$4:$M$283,MATCH(AP$1,[2]Cultures!$B$3:$M$3,0),FALSE)</f>
        <v>0</v>
      </c>
      <c r="AQ248" s="4">
        <f>VLOOKUP($N248,[2]Cultures!$B$4:$M$283,MATCH(AQ$1,[2]Cultures!$B$3:$M$3,0),FALSE)</f>
        <v>0</v>
      </c>
      <c r="AR248" s="4">
        <f>VLOOKUP($N248,[2]Cultures!$B$4:$M$283,MATCH(AR$1,[2]Cultures!$B$3:$M$3,0),FALSE)</f>
        <v>0</v>
      </c>
      <c r="AS248" s="4">
        <f>VLOOKUP($N248,[2]Cultures!$B$4:$M$283,MATCH(AS$1,[2]Cultures!$B$3:$M$3,0),FALSE)</f>
        <v>0</v>
      </c>
      <c r="AT248" s="4"/>
      <c r="AU248" s="4">
        <f>IF(ISNUMBER(SEARCH(N248&amp;";",Calculations!$Q$19)),VLOOKUP(Skills!N248,Calculations!$Q$2:$T$16,4,FALSE),0)</f>
        <v>0</v>
      </c>
      <c r="AV248" s="4">
        <f>IF(ISNUMBER(SEARCH(N248&amp;";",Calculations!$Q$18)),1,0)</f>
        <v>0</v>
      </c>
      <c r="AW248" s="4">
        <f t="shared" si="135"/>
        <v>0</v>
      </c>
      <c r="AX248" s="4">
        <f>VLOOKUP($N248,$N248:$CH248,MATCH('Character Sheet'!$BJ$3,Skills!$N$1:$CH$1,0),FALSE)</f>
        <v>0</v>
      </c>
    </row>
    <row r="249" spans="1:50" x14ac:dyDescent="0.25">
      <c r="B249" s="4" t="e">
        <f t="shared" si="113"/>
        <v>#N/A</v>
      </c>
      <c r="E249" s="4"/>
      <c r="F249" s="4">
        <f t="shared" si="98"/>
        <v>0</v>
      </c>
      <c r="G249" s="4"/>
      <c r="H249" s="4" t="e">
        <f>H248+I249</f>
        <v>#N/A</v>
      </c>
      <c r="I249" s="4" t="e">
        <f t="shared" si="133"/>
        <v>#N/A</v>
      </c>
      <c r="J249" s="4">
        <f t="shared" si="95"/>
        <v>0</v>
      </c>
      <c r="K249" s="4">
        <f>IF(ISNUMBER(SEARCH("Category",N249)),K251,AI249)</f>
        <v>0</v>
      </c>
      <c r="M249" t="str">
        <f>N249</f>
        <v>Creature Lore</v>
      </c>
      <c r="N249" s="3" t="str">
        <f>'Character Sheet'!BLR7</f>
        <v>Creature Lore</v>
      </c>
      <c r="O249" s="4" t="s">
        <v>798</v>
      </c>
      <c r="P249" s="4" t="s">
        <v>792</v>
      </c>
      <c r="Q249" s="4">
        <f t="shared" si="115"/>
        <v>0</v>
      </c>
      <c r="R249" s="4">
        <f>IF(ISNUMBER(SEARCH("Category",N249)),"- -",IF(ISNUMBER(SEARCH("Skills",N249)),"- -",'Level-up'!C267))</f>
        <v>0</v>
      </c>
      <c r="S249" s="4">
        <f t="shared" si="96"/>
        <v>0</v>
      </c>
      <c r="T249" s="4">
        <f t="shared" si="97"/>
        <v>-25</v>
      </c>
      <c r="U249" s="4">
        <f ca="1">IFERROR(INDIRECT(LEFT(O249,FIND("/",O249)-1))+INDIRECT(MID(O249,FIND("/",O249)+1,2))+INDIRECT(P249),"- -")</f>
        <v>3</v>
      </c>
      <c r="V249" s="4">
        <f t="shared" si="134"/>
        <v>0</v>
      </c>
      <c r="W249" s="4">
        <f t="shared" si="116"/>
        <v>0</v>
      </c>
      <c r="X249" s="4">
        <f t="shared" si="114"/>
        <v>0</v>
      </c>
      <c r="Y249" s="4">
        <f t="shared" si="99"/>
        <v>0</v>
      </c>
      <c r="Z249" s="4">
        <f t="shared" si="100"/>
        <v>0</v>
      </c>
      <c r="AA249" s="4">
        <f t="shared" si="101"/>
        <v>0</v>
      </c>
      <c r="AB249" s="4">
        <f t="shared" si="102"/>
        <v>0</v>
      </c>
      <c r="AC249" s="8"/>
      <c r="AD249" s="4"/>
      <c r="AE249" s="4"/>
      <c r="AF249" s="4" t="str">
        <f t="shared" ca="1" si="106"/>
        <v>-22</v>
      </c>
      <c r="AG249" s="4"/>
      <c r="AH249" s="4">
        <f>IFERROR(VLOOKUP(M249,Calculations!$AC$2:$AD$251,2,FALSE),0)</f>
        <v>0</v>
      </c>
      <c r="AI249" s="4">
        <f>VLOOKUP(N249,$N$2:$AS$620,MATCH('Character Creation'!$Z$12,Skills!$N$1:$AS$1,0),FALSE)</f>
        <v>0</v>
      </c>
      <c r="AJ249" s="4">
        <f>VLOOKUP($N249,[2]Cultures!$B$4:$M$283,MATCH(AJ$1,[2]Cultures!$B$3:$M$3,0),FALSE)</f>
        <v>0</v>
      </c>
      <c r="AK249" s="4">
        <f>VLOOKUP($N249,[2]Cultures!$B$4:$M$283,MATCH(AK$1,[2]Cultures!$B$3:$M$3,0),FALSE)</f>
        <v>0</v>
      </c>
      <c r="AL249" s="4">
        <f>VLOOKUP($N249,[2]Cultures!$B$4:$M$283,MATCH(AL$1,[2]Cultures!$B$3:$M$3,0),FALSE)</f>
        <v>0</v>
      </c>
      <c r="AM249" s="4">
        <f>VLOOKUP($N249,[2]Cultures!$B$4:$M$283,MATCH(AM$1,[2]Cultures!$B$3:$M$3,0),FALSE)</f>
        <v>0</v>
      </c>
      <c r="AN249" s="4">
        <f>VLOOKUP($N249,[2]Cultures!$B$4:$M$283,MATCH(AN$1,[2]Cultures!$B$3:$M$3,0),FALSE)</f>
        <v>0</v>
      </c>
      <c r="AO249" s="4">
        <f>VLOOKUP($N249,[2]Cultures!$B$4:$M$283,MATCH(AO$1,[2]Cultures!$B$3:$M$3,0),FALSE)</f>
        <v>0</v>
      </c>
      <c r="AP249" s="4">
        <f>VLOOKUP($N249,[2]Cultures!$B$4:$M$283,MATCH(AP$1,[2]Cultures!$B$3:$M$3,0),FALSE)</f>
        <v>0</v>
      </c>
      <c r="AQ249" s="4">
        <f>VLOOKUP($N249,[2]Cultures!$B$4:$M$283,MATCH(AQ$1,[2]Cultures!$B$3:$M$3,0),FALSE)</f>
        <v>0</v>
      </c>
      <c r="AR249" s="4">
        <f>VLOOKUP($N249,[2]Cultures!$B$4:$M$283,MATCH(AR$1,[2]Cultures!$B$3:$M$3,0),FALSE)</f>
        <v>0</v>
      </c>
      <c r="AS249" s="4">
        <f>VLOOKUP($N249,[2]Cultures!$B$4:$M$283,MATCH(AS$1,[2]Cultures!$B$3:$M$3,0),FALSE)</f>
        <v>0</v>
      </c>
      <c r="AT249" s="4"/>
      <c r="AU249" s="4">
        <f>IF(ISNUMBER(SEARCH(N249&amp;";",Calculations!$Q$19)),VLOOKUP(Skills!N249,Calculations!$Q$2:$T$16,4,FALSE),0)</f>
        <v>0</v>
      </c>
      <c r="AV249" s="4">
        <f>IF(ISNUMBER(SEARCH(N249&amp;";",Calculations!$Q$18)),1,0)</f>
        <v>0</v>
      </c>
      <c r="AW249" s="4">
        <f t="shared" si="135"/>
        <v>0</v>
      </c>
      <c r="AX249" s="4">
        <f>VLOOKUP($N249,$N249:$CH249,MATCH('Character Sheet'!$BJ$3,Skills!$N$1:$CH$1,0),FALSE)</f>
        <v>0</v>
      </c>
    </row>
    <row r="250" spans="1:50" x14ac:dyDescent="0.25">
      <c r="B250" s="4" t="e">
        <f t="shared" si="113"/>
        <v>#N/A</v>
      </c>
      <c r="E250" s="4"/>
      <c r="F250" s="4">
        <f t="shared" si="98"/>
        <v>0</v>
      </c>
      <c r="G250" s="4"/>
      <c r="H250" s="4" t="e">
        <f>H249+I250</f>
        <v>#N/A</v>
      </c>
      <c r="I250" s="4" t="e">
        <f t="shared" si="133"/>
        <v>#N/A</v>
      </c>
      <c r="J250" s="4">
        <f t="shared" si="95"/>
        <v>0</v>
      </c>
      <c r="K250" s="4">
        <f>IF(ISNUMBER(SEARCH("Category",N250)),K252,AI250)</f>
        <v>0</v>
      </c>
      <c r="M250" t="str">
        <f t="shared" ref="M250:M260" si="136">N250</f>
        <v>Flora Lore</v>
      </c>
      <c r="N250" s="3" t="str">
        <f>'Character Sheet'!BLR8</f>
        <v>Flora Lore</v>
      </c>
      <c r="O250" s="4" t="s">
        <v>798</v>
      </c>
      <c r="P250" s="4" t="s">
        <v>792</v>
      </c>
      <c r="Q250" s="4">
        <f t="shared" si="115"/>
        <v>0</v>
      </c>
      <c r="R250" s="4">
        <f>IF(ISNUMBER(SEARCH("Category",N250)),"- -",IF(ISNUMBER(SEARCH("Skills",N250)),"- -",'Level-up'!C268))</f>
        <v>0</v>
      </c>
      <c r="S250" s="4">
        <f t="shared" si="96"/>
        <v>0</v>
      </c>
      <c r="T250" s="4">
        <f t="shared" si="97"/>
        <v>-25</v>
      </c>
      <c r="U250" s="4">
        <f t="shared" ca="1" si="103"/>
        <v>3</v>
      </c>
      <c r="V250" s="4">
        <f t="shared" si="134"/>
        <v>0</v>
      </c>
      <c r="W250" s="4">
        <f t="shared" si="116"/>
        <v>0</v>
      </c>
      <c r="X250" s="4">
        <f t="shared" si="114"/>
        <v>0</v>
      </c>
      <c r="Y250" s="4">
        <f t="shared" si="99"/>
        <v>0</v>
      </c>
      <c r="Z250" s="4">
        <f t="shared" si="100"/>
        <v>0</v>
      </c>
      <c r="AA250" s="4">
        <f t="shared" si="101"/>
        <v>0</v>
      </c>
      <c r="AB250" s="4">
        <f t="shared" si="102"/>
        <v>0</v>
      </c>
      <c r="AC250" s="8"/>
      <c r="AD250" s="4"/>
      <c r="AE250" s="4"/>
      <c r="AF250" s="4" t="str">
        <f t="shared" ca="1" si="106"/>
        <v>-22</v>
      </c>
      <c r="AG250" s="4"/>
      <c r="AH250" s="4">
        <f>IFERROR(VLOOKUP(M250,Calculations!$AC$2:$AD$251,2,FALSE),0)</f>
        <v>0</v>
      </c>
      <c r="AI250" s="4">
        <f>VLOOKUP(N250,$N$2:$AS$620,MATCH('Character Creation'!$Z$12,Skills!$N$1:$AS$1,0),FALSE)</f>
        <v>0</v>
      </c>
      <c r="AJ250" s="4">
        <f>VLOOKUP($N250,[2]Cultures!$B$4:$M$283,MATCH(AJ$1,[2]Cultures!$B$3:$M$3,0),FALSE)</f>
        <v>0</v>
      </c>
      <c r="AK250" s="4">
        <f>VLOOKUP($N250,[2]Cultures!$B$4:$M$283,MATCH(AK$1,[2]Cultures!$B$3:$M$3,0),FALSE)</f>
        <v>0</v>
      </c>
      <c r="AL250" s="4">
        <f>VLOOKUP($N250,[2]Cultures!$B$4:$M$283,MATCH(AL$1,[2]Cultures!$B$3:$M$3,0),FALSE)</f>
        <v>0</v>
      </c>
      <c r="AM250" s="4">
        <f>VLOOKUP($N250,[2]Cultures!$B$4:$M$283,MATCH(AM$1,[2]Cultures!$B$3:$M$3,0),FALSE)</f>
        <v>0</v>
      </c>
      <c r="AN250" s="4">
        <f>VLOOKUP($N250,[2]Cultures!$B$4:$M$283,MATCH(AN$1,[2]Cultures!$B$3:$M$3,0),FALSE)</f>
        <v>0</v>
      </c>
      <c r="AO250" s="4">
        <f>VLOOKUP($N250,[2]Cultures!$B$4:$M$283,MATCH(AO$1,[2]Cultures!$B$3:$M$3,0),FALSE)</f>
        <v>0</v>
      </c>
      <c r="AP250" s="4">
        <f>VLOOKUP($N250,[2]Cultures!$B$4:$M$283,MATCH(AP$1,[2]Cultures!$B$3:$M$3,0),FALSE)</f>
        <v>0</v>
      </c>
      <c r="AQ250" s="4">
        <f>VLOOKUP($N250,[2]Cultures!$B$4:$M$283,MATCH(AQ$1,[2]Cultures!$B$3:$M$3,0),FALSE)</f>
        <v>0</v>
      </c>
      <c r="AR250" s="4">
        <f>VLOOKUP($N250,[2]Cultures!$B$4:$M$283,MATCH(AR$1,[2]Cultures!$B$3:$M$3,0),FALSE)</f>
        <v>0</v>
      </c>
      <c r="AS250" s="4">
        <f>VLOOKUP($N250,[2]Cultures!$B$4:$M$283,MATCH(AS$1,[2]Cultures!$B$3:$M$3,0),FALSE)</f>
        <v>0</v>
      </c>
      <c r="AT250" s="4"/>
      <c r="AU250" s="4">
        <f>IF(ISNUMBER(SEARCH(N250&amp;";",Calculations!$Q$19)),VLOOKUP(Skills!N250,Calculations!$Q$2:$T$16,4,FALSE),0)</f>
        <v>0</v>
      </c>
      <c r="AV250" s="4">
        <f>IF(ISNUMBER(SEARCH(N250&amp;";",Calculations!$Q$18)),1,0)</f>
        <v>0</v>
      </c>
      <c r="AW250" s="4">
        <f t="shared" si="135"/>
        <v>0</v>
      </c>
      <c r="AX250" s="4">
        <f>VLOOKUP($N250,$N250:$CH250,MATCH('Character Sheet'!$BJ$3,Skills!$N$1:$CH$1,0),FALSE)</f>
        <v>0</v>
      </c>
    </row>
    <row r="251" spans="1:50" x14ac:dyDescent="0.25">
      <c r="B251" s="4" t="e">
        <f t="shared" si="113"/>
        <v>#N/A</v>
      </c>
      <c r="E251" s="4"/>
      <c r="F251" s="4">
        <f t="shared" si="98"/>
        <v>0</v>
      </c>
      <c r="G251" s="4"/>
      <c r="H251" s="4" t="e">
        <f t="shared" si="104"/>
        <v>#N/A</v>
      </c>
      <c r="I251" s="4" t="e">
        <f t="shared" si="133"/>
        <v>#N/A</v>
      </c>
      <c r="J251" s="4">
        <f t="shared" si="95"/>
        <v>0</v>
      </c>
      <c r="K251" s="4">
        <f t="shared" ref="K251:K282" si="137">IF(ISNUMBER(SEARCH("Category",N251)),K252,AI251)</f>
        <v>0</v>
      </c>
      <c r="M251" t="str">
        <f t="shared" si="136"/>
        <v>Heraldry Lore</v>
      </c>
      <c r="N251" s="3" t="str">
        <f>'Character Sheet'!BLR9</f>
        <v>Heraldry Lore</v>
      </c>
      <c r="O251" s="4" t="s">
        <v>798</v>
      </c>
      <c r="P251" s="4" t="s">
        <v>792</v>
      </c>
      <c r="Q251" s="4">
        <f t="shared" si="115"/>
        <v>0</v>
      </c>
      <c r="R251" s="4">
        <f>IF(ISNUMBER(SEARCH("Category",N251)),"- -",IF(ISNUMBER(SEARCH("Skills",N251)),"- -",'Level-up'!C269))</f>
        <v>0</v>
      </c>
      <c r="S251" s="4">
        <f t="shared" si="96"/>
        <v>0</v>
      </c>
      <c r="T251" s="4">
        <f t="shared" si="97"/>
        <v>-25</v>
      </c>
      <c r="U251" s="4">
        <f t="shared" ca="1" si="103"/>
        <v>3</v>
      </c>
      <c r="V251" s="4">
        <f t="shared" si="134"/>
        <v>0</v>
      </c>
      <c r="W251" s="4">
        <f t="shared" si="116"/>
        <v>0</v>
      </c>
      <c r="X251" s="4">
        <f t="shared" si="114"/>
        <v>0</v>
      </c>
      <c r="Y251" s="4">
        <f t="shared" si="99"/>
        <v>0</v>
      </c>
      <c r="Z251" s="4">
        <f t="shared" si="100"/>
        <v>0</v>
      </c>
      <c r="AA251" s="4">
        <f t="shared" si="101"/>
        <v>0</v>
      </c>
      <c r="AB251" s="4">
        <f t="shared" si="102"/>
        <v>0</v>
      </c>
      <c r="AC251" s="8"/>
      <c r="AD251" s="4"/>
      <c r="AE251" s="4"/>
      <c r="AF251" s="4" t="str">
        <f t="shared" ca="1" si="106"/>
        <v>-22</v>
      </c>
      <c r="AG251" s="4"/>
      <c r="AH251" s="4">
        <f>IFERROR(VLOOKUP(M251,Calculations!$AC$2:$AD$251,2,FALSE),0)</f>
        <v>0</v>
      </c>
      <c r="AI251" s="4">
        <f>VLOOKUP(N251,$N$2:$AS$620,MATCH('Character Creation'!$Z$12,Skills!$N$1:$AS$1,0),FALSE)</f>
        <v>0</v>
      </c>
      <c r="AJ251" s="4">
        <f>VLOOKUP($N251,[2]Cultures!$B$4:$M$283,MATCH(AJ$1,[2]Cultures!$B$3:$M$3,0),FALSE)</f>
        <v>0</v>
      </c>
      <c r="AK251" s="4">
        <f>VLOOKUP($N251,[2]Cultures!$B$4:$M$283,MATCH(AK$1,[2]Cultures!$B$3:$M$3,0),FALSE)</f>
        <v>0</v>
      </c>
      <c r="AL251" s="4">
        <f>VLOOKUP($N251,[2]Cultures!$B$4:$M$283,MATCH(AL$1,[2]Cultures!$B$3:$M$3,0),FALSE)</f>
        <v>0</v>
      </c>
      <c r="AM251" s="4">
        <f>VLOOKUP($N251,[2]Cultures!$B$4:$M$283,MATCH(AM$1,[2]Cultures!$B$3:$M$3,0),FALSE)</f>
        <v>0</v>
      </c>
      <c r="AN251" s="4">
        <f>VLOOKUP($N251,[2]Cultures!$B$4:$M$283,MATCH(AN$1,[2]Cultures!$B$3:$M$3,0),FALSE)</f>
        <v>0</v>
      </c>
      <c r="AO251" s="4">
        <f>VLOOKUP($N251,[2]Cultures!$B$4:$M$283,MATCH(AO$1,[2]Cultures!$B$3:$M$3,0),FALSE)</f>
        <v>0</v>
      </c>
      <c r="AP251" s="4">
        <f>VLOOKUP($N251,[2]Cultures!$B$4:$M$283,MATCH(AP$1,[2]Cultures!$B$3:$M$3,0),FALSE)</f>
        <v>0</v>
      </c>
      <c r="AQ251" s="4">
        <f>VLOOKUP($N251,[2]Cultures!$B$4:$M$283,MATCH(AQ$1,[2]Cultures!$B$3:$M$3,0),FALSE)</f>
        <v>0</v>
      </c>
      <c r="AR251" s="4">
        <f>VLOOKUP($N251,[2]Cultures!$B$4:$M$283,MATCH(AR$1,[2]Cultures!$B$3:$M$3,0),FALSE)</f>
        <v>0</v>
      </c>
      <c r="AS251" s="4">
        <f>VLOOKUP($N251,[2]Cultures!$B$4:$M$283,MATCH(AS$1,[2]Cultures!$B$3:$M$3,0),FALSE)</f>
        <v>0</v>
      </c>
      <c r="AT251" s="4"/>
      <c r="AU251" s="4">
        <f>IF(ISNUMBER(SEARCH(N251&amp;";",Calculations!$Q$19)),VLOOKUP(Skills!N251,Calculations!$Q$2:$T$16,4,FALSE),0)</f>
        <v>0</v>
      </c>
      <c r="AV251" s="4">
        <f>IF(ISNUMBER(SEARCH(N251&amp;";",Calculations!$Q$18)),1,0)</f>
        <v>0</v>
      </c>
      <c r="AW251" s="4">
        <f t="shared" si="135"/>
        <v>0</v>
      </c>
      <c r="AX251" s="4">
        <f>VLOOKUP($N251,$N251:$CH251,MATCH('Character Sheet'!$BJ$3,Skills!$N$1:$CH$1,0),FALSE)</f>
        <v>0</v>
      </c>
    </row>
    <row r="252" spans="1:50" x14ac:dyDescent="0.25">
      <c r="B252" s="4" t="e">
        <f t="shared" si="113"/>
        <v>#N/A</v>
      </c>
      <c r="E252" s="4"/>
      <c r="F252" s="4">
        <f t="shared" si="98"/>
        <v>0</v>
      </c>
      <c r="G252" s="4"/>
      <c r="H252" s="4" t="e">
        <f t="shared" si="104"/>
        <v>#N/A</v>
      </c>
      <c r="I252" s="4" t="e">
        <f t="shared" si="133"/>
        <v>#N/A</v>
      </c>
      <c r="J252" s="4">
        <f t="shared" si="95"/>
        <v>0</v>
      </c>
      <c r="K252" s="4">
        <f t="shared" si="137"/>
        <v>0</v>
      </c>
      <c r="M252" t="str">
        <f t="shared" si="136"/>
        <v>Historic Lore</v>
      </c>
      <c r="N252" s="3" t="str">
        <f>'Character Sheet'!BLR10</f>
        <v>Historic Lore</v>
      </c>
      <c r="O252" s="4" t="s">
        <v>798</v>
      </c>
      <c r="P252" s="4" t="s">
        <v>792</v>
      </c>
      <c r="Q252" s="4">
        <f t="shared" si="115"/>
        <v>0</v>
      </c>
      <c r="R252" s="4">
        <f>IF(ISNUMBER(SEARCH("Category",N252)),"- -",IF(ISNUMBER(SEARCH("Skills",N252)),"- -",'Level-up'!C270))</f>
        <v>0</v>
      </c>
      <c r="S252" s="4">
        <f t="shared" si="96"/>
        <v>0</v>
      </c>
      <c r="T252" s="4">
        <f t="shared" si="97"/>
        <v>-25</v>
      </c>
      <c r="U252" s="4">
        <f t="shared" ca="1" si="103"/>
        <v>3</v>
      </c>
      <c r="V252" s="4">
        <f t="shared" si="134"/>
        <v>0</v>
      </c>
      <c r="W252" s="4">
        <f t="shared" si="116"/>
        <v>0</v>
      </c>
      <c r="X252" s="4">
        <f t="shared" si="114"/>
        <v>0</v>
      </c>
      <c r="Y252" s="4">
        <f t="shared" si="99"/>
        <v>0</v>
      </c>
      <c r="Z252" s="4">
        <f t="shared" si="100"/>
        <v>0</v>
      </c>
      <c r="AA252" s="4">
        <f t="shared" si="101"/>
        <v>0</v>
      </c>
      <c r="AB252" s="4">
        <f t="shared" si="102"/>
        <v>0</v>
      </c>
      <c r="AC252" s="8"/>
      <c r="AD252" s="4"/>
      <c r="AE252" s="4"/>
      <c r="AF252" s="4" t="str">
        <f t="shared" ca="1" si="106"/>
        <v>-22</v>
      </c>
      <c r="AG252" s="4"/>
      <c r="AH252" s="4">
        <f>IFERROR(VLOOKUP(M252,Calculations!$AC$2:$AD$251,2,FALSE),0)</f>
        <v>0</v>
      </c>
      <c r="AI252" s="4">
        <f>VLOOKUP(N252,$N$2:$AS$620,MATCH('Character Creation'!$Z$12,Skills!$N$1:$AS$1,0),FALSE)</f>
        <v>0</v>
      </c>
      <c r="AJ252" s="4">
        <f>VLOOKUP($N252,[2]Cultures!$B$4:$M$283,MATCH(AJ$1,[2]Cultures!$B$3:$M$3,0),FALSE)</f>
        <v>0</v>
      </c>
      <c r="AK252" s="4">
        <f>VLOOKUP($N252,[2]Cultures!$B$4:$M$283,MATCH(AK$1,[2]Cultures!$B$3:$M$3,0),FALSE)</f>
        <v>0</v>
      </c>
      <c r="AL252" s="4">
        <f>VLOOKUP($N252,[2]Cultures!$B$4:$M$283,MATCH(AL$1,[2]Cultures!$B$3:$M$3,0),FALSE)</f>
        <v>0</v>
      </c>
      <c r="AM252" s="4">
        <f>VLOOKUP($N252,[2]Cultures!$B$4:$M$283,MATCH(AM$1,[2]Cultures!$B$3:$M$3,0),FALSE)</f>
        <v>0</v>
      </c>
      <c r="AN252" s="4">
        <f>VLOOKUP($N252,[2]Cultures!$B$4:$M$283,MATCH(AN$1,[2]Cultures!$B$3:$M$3,0),FALSE)</f>
        <v>0</v>
      </c>
      <c r="AO252" s="4">
        <f>VLOOKUP($N252,[2]Cultures!$B$4:$M$283,MATCH(AO$1,[2]Cultures!$B$3:$M$3,0),FALSE)</f>
        <v>0</v>
      </c>
      <c r="AP252" s="4">
        <f>VLOOKUP($N252,[2]Cultures!$B$4:$M$283,MATCH(AP$1,[2]Cultures!$B$3:$M$3,0),FALSE)</f>
        <v>0</v>
      </c>
      <c r="AQ252" s="4">
        <f>VLOOKUP($N252,[2]Cultures!$B$4:$M$283,MATCH(AQ$1,[2]Cultures!$B$3:$M$3,0),FALSE)</f>
        <v>0</v>
      </c>
      <c r="AR252" s="4">
        <f>VLOOKUP($N252,[2]Cultures!$B$4:$M$283,MATCH(AR$1,[2]Cultures!$B$3:$M$3,0),FALSE)</f>
        <v>0</v>
      </c>
      <c r="AS252" s="4">
        <f>VLOOKUP($N252,[2]Cultures!$B$4:$M$283,MATCH(AS$1,[2]Cultures!$B$3:$M$3,0),FALSE)</f>
        <v>0</v>
      </c>
      <c r="AT252" s="4"/>
      <c r="AU252" s="4">
        <f>IF(ISNUMBER(SEARCH(N252&amp;";",Calculations!$Q$19)),VLOOKUP(Skills!N252,Calculations!$Q$2:$T$16,4,FALSE),0)</f>
        <v>0</v>
      </c>
      <c r="AV252" s="4">
        <f>IF(ISNUMBER(SEARCH(N252&amp;";",Calculations!$Q$18)),1,0)</f>
        <v>0</v>
      </c>
      <c r="AW252" s="4">
        <f t="shared" si="135"/>
        <v>0</v>
      </c>
      <c r="AX252" s="4">
        <f>VLOOKUP($N252,$N252:$CH252,MATCH('Character Sheet'!$BJ$3,Skills!$N$1:$CH$1,0),FALSE)</f>
        <v>0</v>
      </c>
    </row>
    <row r="253" spans="1:50" x14ac:dyDescent="0.25">
      <c r="B253" s="4" t="e">
        <f t="shared" si="113"/>
        <v>#N/A</v>
      </c>
      <c r="E253" s="4"/>
      <c r="F253" s="4">
        <f t="shared" si="98"/>
        <v>0</v>
      </c>
      <c r="G253" s="4"/>
      <c r="H253" s="4" t="e">
        <f t="shared" si="104"/>
        <v>#N/A</v>
      </c>
      <c r="I253" s="4" t="e">
        <f t="shared" si="133"/>
        <v>#N/A</v>
      </c>
      <c r="J253" s="4">
        <f t="shared" si="95"/>
        <v>0</v>
      </c>
      <c r="K253" s="4">
        <f t="shared" si="137"/>
        <v>0</v>
      </c>
      <c r="M253" t="str">
        <f t="shared" si="136"/>
        <v>Lock Lore</v>
      </c>
      <c r="N253" s="3" t="str">
        <f>'Character Sheet'!BLR11</f>
        <v>Lock Lore</v>
      </c>
      <c r="O253" s="4" t="s">
        <v>798</v>
      </c>
      <c r="P253" s="4" t="s">
        <v>792</v>
      </c>
      <c r="Q253" s="4">
        <f t="shared" si="115"/>
        <v>0</v>
      </c>
      <c r="R253" s="4">
        <f>IF(ISNUMBER(SEARCH("Category",N253)),"- -",IF(ISNUMBER(SEARCH("Skills",N253)),"- -",'Level-up'!C271))</f>
        <v>0</v>
      </c>
      <c r="S253" s="4">
        <f t="shared" si="96"/>
        <v>0</v>
      </c>
      <c r="T253" s="4">
        <f t="shared" si="97"/>
        <v>-25</v>
      </c>
      <c r="U253" s="4">
        <f t="shared" ca="1" si="103"/>
        <v>3</v>
      </c>
      <c r="V253" s="4">
        <f t="shared" si="134"/>
        <v>0</v>
      </c>
      <c r="W253" s="4">
        <f t="shared" si="116"/>
        <v>0</v>
      </c>
      <c r="X253" s="4">
        <f t="shared" si="114"/>
        <v>0</v>
      </c>
      <c r="Y253" s="4">
        <f t="shared" si="99"/>
        <v>0</v>
      </c>
      <c r="Z253" s="4">
        <f t="shared" si="100"/>
        <v>0</v>
      </c>
      <c r="AA253" s="4">
        <f t="shared" si="101"/>
        <v>0</v>
      </c>
      <c r="AB253" s="4">
        <f t="shared" si="102"/>
        <v>0</v>
      </c>
      <c r="AC253" s="8"/>
      <c r="AD253" s="4"/>
      <c r="AE253" s="4"/>
      <c r="AF253" s="4" t="str">
        <f t="shared" ca="1" si="106"/>
        <v>-22</v>
      </c>
      <c r="AG253" s="4"/>
      <c r="AH253" s="4">
        <f>IFERROR(VLOOKUP(M253,Calculations!$AC$2:$AD$251,2,FALSE),0)</f>
        <v>0</v>
      </c>
      <c r="AI253" s="4">
        <f>VLOOKUP(N253,$N$2:$AS$620,MATCH('Character Creation'!$Z$12,Skills!$N$1:$AS$1,0),FALSE)</f>
        <v>0</v>
      </c>
      <c r="AJ253" s="4">
        <f>VLOOKUP($N253,[2]Cultures!$B$4:$M$283,MATCH(AJ$1,[2]Cultures!$B$3:$M$3,0),FALSE)</f>
        <v>0</v>
      </c>
      <c r="AK253" s="4">
        <f>VLOOKUP($N253,[2]Cultures!$B$4:$M$283,MATCH(AK$1,[2]Cultures!$B$3:$M$3,0),FALSE)</f>
        <v>0</v>
      </c>
      <c r="AL253" s="4">
        <f>VLOOKUP($N253,[2]Cultures!$B$4:$M$283,MATCH(AL$1,[2]Cultures!$B$3:$M$3,0),FALSE)</f>
        <v>0</v>
      </c>
      <c r="AM253" s="4">
        <f>VLOOKUP($N253,[2]Cultures!$B$4:$M$283,MATCH(AM$1,[2]Cultures!$B$3:$M$3,0),FALSE)</f>
        <v>0</v>
      </c>
      <c r="AN253" s="4">
        <f>VLOOKUP($N253,[2]Cultures!$B$4:$M$283,MATCH(AN$1,[2]Cultures!$B$3:$M$3,0),FALSE)</f>
        <v>0</v>
      </c>
      <c r="AO253" s="4">
        <f>VLOOKUP($N253,[2]Cultures!$B$4:$M$283,MATCH(AO$1,[2]Cultures!$B$3:$M$3,0),FALSE)</f>
        <v>0</v>
      </c>
      <c r="AP253" s="4">
        <f>VLOOKUP($N253,[2]Cultures!$B$4:$M$283,MATCH(AP$1,[2]Cultures!$B$3:$M$3,0),FALSE)</f>
        <v>0</v>
      </c>
      <c r="AQ253" s="4">
        <f>VLOOKUP($N253,[2]Cultures!$B$4:$M$283,MATCH(AQ$1,[2]Cultures!$B$3:$M$3,0),FALSE)</f>
        <v>0</v>
      </c>
      <c r="AR253" s="4">
        <f>VLOOKUP($N253,[2]Cultures!$B$4:$M$283,MATCH(AR$1,[2]Cultures!$B$3:$M$3,0),FALSE)</f>
        <v>0</v>
      </c>
      <c r="AS253" s="4">
        <f>VLOOKUP($N253,[2]Cultures!$B$4:$M$283,MATCH(AS$1,[2]Cultures!$B$3:$M$3,0),FALSE)</f>
        <v>0</v>
      </c>
      <c r="AT253" s="4"/>
      <c r="AU253" s="4">
        <f>IF(ISNUMBER(SEARCH(N253&amp;";",Calculations!$Q$19)),VLOOKUP(Skills!N253,Calculations!$Q$2:$T$16,4,FALSE),0)</f>
        <v>0</v>
      </c>
      <c r="AV253" s="4">
        <f>IF(ISNUMBER(SEARCH(N253&amp;";",Calculations!$Q$18)),1,0)</f>
        <v>0</v>
      </c>
      <c r="AW253" s="4">
        <f t="shared" si="135"/>
        <v>0</v>
      </c>
      <c r="AX253" s="4">
        <f>VLOOKUP($N253,$N253:$CH253,MATCH('Character Sheet'!$BJ$3,Skills!$N$1:$CH$1,0),FALSE)</f>
        <v>0</v>
      </c>
    </row>
    <row r="254" spans="1:50" x14ac:dyDescent="0.25">
      <c r="B254" s="4" t="e">
        <f t="shared" si="113"/>
        <v>#N/A</v>
      </c>
      <c r="E254" s="4"/>
      <c r="F254" s="4">
        <f t="shared" si="98"/>
        <v>0</v>
      </c>
      <c r="G254" s="4"/>
      <c r="H254" s="4" t="e">
        <f t="shared" si="104"/>
        <v>#N/A</v>
      </c>
      <c r="I254" s="4" t="e">
        <f t="shared" si="133"/>
        <v>#N/A</v>
      </c>
      <c r="J254" s="4">
        <f t="shared" si="95"/>
        <v>0</v>
      </c>
      <c r="K254" s="4">
        <f t="shared" si="137"/>
        <v>0</v>
      </c>
      <c r="M254" t="str">
        <f t="shared" si="136"/>
        <v>Philosophy Lore</v>
      </c>
      <c r="N254" s="3" t="str">
        <f>'Character Sheet'!BLR12</f>
        <v>Philosophy Lore</v>
      </c>
      <c r="O254" s="4" t="s">
        <v>798</v>
      </c>
      <c r="P254" s="4" t="s">
        <v>792</v>
      </c>
      <c r="Q254" s="4">
        <f t="shared" si="115"/>
        <v>0</v>
      </c>
      <c r="R254" s="4">
        <f>IF(ISNUMBER(SEARCH("Category",N254)),"- -",IF(ISNUMBER(SEARCH("Skills",N254)),"- -",'Level-up'!C272))</f>
        <v>0</v>
      </c>
      <c r="S254" s="4">
        <f t="shared" si="96"/>
        <v>0</v>
      </c>
      <c r="T254" s="4">
        <f t="shared" si="97"/>
        <v>-25</v>
      </c>
      <c r="U254" s="4">
        <f t="shared" ca="1" si="103"/>
        <v>3</v>
      </c>
      <c r="V254" s="4">
        <f t="shared" si="134"/>
        <v>0</v>
      </c>
      <c r="W254" s="4">
        <f t="shared" si="116"/>
        <v>0</v>
      </c>
      <c r="X254" s="4">
        <f t="shared" si="114"/>
        <v>0</v>
      </c>
      <c r="Y254" s="4">
        <f t="shared" si="99"/>
        <v>0</v>
      </c>
      <c r="Z254" s="4">
        <f t="shared" si="100"/>
        <v>0</v>
      </c>
      <c r="AA254" s="4">
        <f t="shared" si="101"/>
        <v>0</v>
      </c>
      <c r="AB254" s="4">
        <f t="shared" si="102"/>
        <v>0</v>
      </c>
      <c r="AC254" s="8"/>
      <c r="AD254" s="4"/>
      <c r="AE254" s="4"/>
      <c r="AF254" s="4" t="str">
        <f t="shared" ca="1" si="106"/>
        <v>-22</v>
      </c>
      <c r="AG254" s="4"/>
      <c r="AH254" s="4">
        <f>IFERROR(VLOOKUP(M254,Calculations!$AC$2:$AD$251,2,FALSE),0)</f>
        <v>0</v>
      </c>
      <c r="AI254" s="4">
        <f>VLOOKUP(N254,$N$2:$AS$620,MATCH('Character Creation'!$Z$12,Skills!$N$1:$AS$1,0),FALSE)</f>
        <v>0</v>
      </c>
      <c r="AJ254" s="4">
        <f>VLOOKUP($N254,[2]Cultures!$B$4:$M$283,MATCH(AJ$1,[2]Cultures!$B$3:$M$3,0),FALSE)</f>
        <v>0</v>
      </c>
      <c r="AK254" s="4">
        <f>VLOOKUP($N254,[2]Cultures!$B$4:$M$283,MATCH(AK$1,[2]Cultures!$B$3:$M$3,0),FALSE)</f>
        <v>0</v>
      </c>
      <c r="AL254" s="4">
        <f>VLOOKUP($N254,[2]Cultures!$B$4:$M$283,MATCH(AL$1,[2]Cultures!$B$3:$M$3,0),FALSE)</f>
        <v>0</v>
      </c>
      <c r="AM254" s="4">
        <f>VLOOKUP($N254,[2]Cultures!$B$4:$M$283,MATCH(AM$1,[2]Cultures!$B$3:$M$3,0),FALSE)</f>
        <v>0</v>
      </c>
      <c r="AN254" s="4">
        <f>VLOOKUP($N254,[2]Cultures!$B$4:$M$283,MATCH(AN$1,[2]Cultures!$B$3:$M$3,0),FALSE)</f>
        <v>0</v>
      </c>
      <c r="AO254" s="4">
        <f>VLOOKUP($N254,[2]Cultures!$B$4:$M$283,MATCH(AO$1,[2]Cultures!$B$3:$M$3,0),FALSE)</f>
        <v>0</v>
      </c>
      <c r="AP254" s="4">
        <f>VLOOKUP($N254,[2]Cultures!$B$4:$M$283,MATCH(AP$1,[2]Cultures!$B$3:$M$3,0),FALSE)</f>
        <v>0</v>
      </c>
      <c r="AQ254" s="4">
        <f>VLOOKUP($N254,[2]Cultures!$B$4:$M$283,MATCH(AQ$1,[2]Cultures!$B$3:$M$3,0),FALSE)</f>
        <v>0</v>
      </c>
      <c r="AR254" s="4">
        <f>VLOOKUP($N254,[2]Cultures!$B$4:$M$283,MATCH(AR$1,[2]Cultures!$B$3:$M$3,0),FALSE)</f>
        <v>0</v>
      </c>
      <c r="AS254" s="4">
        <f>VLOOKUP($N254,[2]Cultures!$B$4:$M$283,MATCH(AS$1,[2]Cultures!$B$3:$M$3,0),FALSE)</f>
        <v>0</v>
      </c>
      <c r="AT254" s="4"/>
      <c r="AU254" s="4">
        <f>IF(ISNUMBER(SEARCH(N254&amp;";",Calculations!$Q$19)),VLOOKUP(Skills!N254,Calculations!$Q$2:$T$16,4,FALSE),0)</f>
        <v>0</v>
      </c>
      <c r="AV254" s="4">
        <f>IF(ISNUMBER(SEARCH(N254&amp;";",Calculations!$Q$18)),1,0)</f>
        <v>0</v>
      </c>
      <c r="AW254" s="4">
        <f t="shared" si="135"/>
        <v>0</v>
      </c>
      <c r="AX254" s="4">
        <f>VLOOKUP($N254,$N254:$CH254,MATCH('Character Sheet'!$BJ$3,Skills!$N$1:$CH$1,0),FALSE)</f>
        <v>0</v>
      </c>
    </row>
    <row r="255" spans="1:50" x14ac:dyDescent="0.25">
      <c r="B255" s="4" t="e">
        <f t="shared" si="113"/>
        <v>#N/A</v>
      </c>
      <c r="E255" s="4"/>
      <c r="F255" s="4">
        <f t="shared" si="98"/>
        <v>0</v>
      </c>
      <c r="G255" s="4"/>
      <c r="H255" s="4" t="e">
        <f t="shared" si="104"/>
        <v>#N/A</v>
      </c>
      <c r="I255" s="4" t="e">
        <f t="shared" si="133"/>
        <v>#N/A</v>
      </c>
      <c r="J255" s="4">
        <f t="shared" si="95"/>
        <v>0</v>
      </c>
      <c r="K255" s="4">
        <f t="shared" si="137"/>
        <v>0</v>
      </c>
      <c r="M255" t="str">
        <f t="shared" si="136"/>
        <v>Poisons Lore</v>
      </c>
      <c r="N255" s="3" t="str">
        <f>'Character Sheet'!BLR13</f>
        <v>Poisons Lore</v>
      </c>
      <c r="O255" s="4" t="s">
        <v>798</v>
      </c>
      <c r="P255" s="4" t="s">
        <v>792</v>
      </c>
      <c r="Q255" s="4">
        <f t="shared" si="115"/>
        <v>0</v>
      </c>
      <c r="R255" s="4">
        <f>IF(ISNUMBER(SEARCH("Category",N255)),"- -",IF(ISNUMBER(SEARCH("Skills",N255)),"- -",'Level-up'!C273))</f>
        <v>0</v>
      </c>
      <c r="S255" s="4">
        <f t="shared" si="96"/>
        <v>0</v>
      </c>
      <c r="T255" s="4">
        <f t="shared" si="97"/>
        <v>-25</v>
      </c>
      <c r="U255" s="4">
        <f t="shared" ca="1" si="103"/>
        <v>3</v>
      </c>
      <c r="V255" s="4">
        <f t="shared" si="134"/>
        <v>0</v>
      </c>
      <c r="W255" s="4">
        <f t="shared" si="116"/>
        <v>0</v>
      </c>
      <c r="X255" s="4">
        <f t="shared" si="114"/>
        <v>0</v>
      </c>
      <c r="Y255" s="4">
        <f t="shared" si="99"/>
        <v>0</v>
      </c>
      <c r="Z255" s="4">
        <f t="shared" si="100"/>
        <v>0</v>
      </c>
      <c r="AA255" s="4">
        <f t="shared" si="101"/>
        <v>0</v>
      </c>
      <c r="AB255" s="4">
        <f t="shared" si="102"/>
        <v>0</v>
      </c>
      <c r="AC255" s="8"/>
      <c r="AD255" s="4"/>
      <c r="AE255" s="4"/>
      <c r="AF255" s="4" t="str">
        <f t="shared" ca="1" si="106"/>
        <v>-22</v>
      </c>
      <c r="AG255" s="4"/>
      <c r="AH255" s="4">
        <f>IFERROR(VLOOKUP(M255,Calculations!$AC$2:$AD$251,2,FALSE),0)</f>
        <v>0</v>
      </c>
      <c r="AI255" s="4">
        <f>VLOOKUP(N255,$N$2:$AS$620,MATCH('Character Creation'!$Z$12,Skills!$N$1:$AS$1,0),FALSE)</f>
        <v>0</v>
      </c>
      <c r="AJ255" s="4">
        <f>VLOOKUP($N255,[2]Cultures!$B$4:$M$283,MATCH(AJ$1,[2]Cultures!$B$3:$M$3,0),FALSE)</f>
        <v>0</v>
      </c>
      <c r="AK255" s="4">
        <f>VLOOKUP($N255,[2]Cultures!$B$4:$M$283,MATCH(AK$1,[2]Cultures!$B$3:$M$3,0),FALSE)</f>
        <v>0</v>
      </c>
      <c r="AL255" s="4">
        <f>VLOOKUP($N255,[2]Cultures!$B$4:$M$283,MATCH(AL$1,[2]Cultures!$B$3:$M$3,0),FALSE)</f>
        <v>0</v>
      </c>
      <c r="AM255" s="4">
        <f>VLOOKUP($N255,[2]Cultures!$B$4:$M$283,MATCH(AM$1,[2]Cultures!$B$3:$M$3,0),FALSE)</f>
        <v>0</v>
      </c>
      <c r="AN255" s="4">
        <f>VLOOKUP($N255,[2]Cultures!$B$4:$M$283,MATCH(AN$1,[2]Cultures!$B$3:$M$3,0),FALSE)</f>
        <v>0</v>
      </c>
      <c r="AO255" s="4">
        <f>VLOOKUP($N255,[2]Cultures!$B$4:$M$283,MATCH(AO$1,[2]Cultures!$B$3:$M$3,0),FALSE)</f>
        <v>0</v>
      </c>
      <c r="AP255" s="4">
        <f>VLOOKUP($N255,[2]Cultures!$B$4:$M$283,MATCH(AP$1,[2]Cultures!$B$3:$M$3,0),FALSE)</f>
        <v>0</v>
      </c>
      <c r="AQ255" s="4">
        <f>VLOOKUP($N255,[2]Cultures!$B$4:$M$283,MATCH(AQ$1,[2]Cultures!$B$3:$M$3,0),FALSE)</f>
        <v>0</v>
      </c>
      <c r="AR255" s="4">
        <f>VLOOKUP($N255,[2]Cultures!$B$4:$M$283,MATCH(AR$1,[2]Cultures!$B$3:$M$3,0),FALSE)</f>
        <v>0</v>
      </c>
      <c r="AS255" s="4">
        <f>VLOOKUP($N255,[2]Cultures!$B$4:$M$283,MATCH(AS$1,[2]Cultures!$B$3:$M$3,0),FALSE)</f>
        <v>0</v>
      </c>
      <c r="AT255" s="4"/>
      <c r="AU255" s="4">
        <f>IF(ISNUMBER(SEARCH(N255&amp;";",Calculations!$Q$19)),VLOOKUP(Skills!N255,Calculations!$Q$2:$T$16,4,FALSE),0)</f>
        <v>0</v>
      </c>
      <c r="AV255" s="4">
        <f>IF(ISNUMBER(SEARCH(N255&amp;";",Calculations!$Q$18)),1,0)</f>
        <v>0</v>
      </c>
      <c r="AW255" s="4">
        <f t="shared" si="135"/>
        <v>0</v>
      </c>
      <c r="AX255" s="4">
        <f>VLOOKUP($N255,$N255:$CH255,MATCH('Character Sheet'!$BJ$3,Skills!$N$1:$CH$1,0),FALSE)</f>
        <v>0</v>
      </c>
    </row>
    <row r="256" spans="1:50" x14ac:dyDescent="0.25">
      <c r="B256" s="4" t="e">
        <f t="shared" si="113"/>
        <v>#N/A</v>
      </c>
      <c r="E256" s="4"/>
      <c r="F256" s="4">
        <f t="shared" si="98"/>
        <v>0</v>
      </c>
      <c r="G256" s="4"/>
      <c r="H256" s="4" t="e">
        <f t="shared" si="104"/>
        <v>#N/A</v>
      </c>
      <c r="I256" s="4" t="e">
        <f t="shared" si="133"/>
        <v>#N/A</v>
      </c>
      <c r="J256" s="4">
        <f t="shared" si="95"/>
        <v>0</v>
      </c>
      <c r="K256" s="4">
        <f t="shared" si="137"/>
        <v>0</v>
      </c>
      <c r="M256" t="str">
        <f t="shared" si="136"/>
        <v>Magic Lore</v>
      </c>
      <c r="N256" s="3" t="str">
        <f>'Character Sheet'!BLR14</f>
        <v>Magic Lore</v>
      </c>
      <c r="O256" s="4" t="s">
        <v>798</v>
      </c>
      <c r="P256" s="4" t="s">
        <v>792</v>
      </c>
      <c r="Q256" s="4">
        <f t="shared" si="115"/>
        <v>0</v>
      </c>
      <c r="R256" s="4">
        <f>IF(ISNUMBER(SEARCH("Category",N256)),"- -",IF(ISNUMBER(SEARCH("Skills",N256)),"- -",'Level-up'!C274))</f>
        <v>0</v>
      </c>
      <c r="S256" s="4">
        <f t="shared" si="96"/>
        <v>0</v>
      </c>
      <c r="T256" s="4">
        <f t="shared" si="97"/>
        <v>-25</v>
      </c>
      <c r="U256" s="4">
        <f t="shared" ca="1" si="103"/>
        <v>3</v>
      </c>
      <c r="V256" s="4">
        <f t="shared" si="134"/>
        <v>0</v>
      </c>
      <c r="W256" s="4">
        <f t="shared" si="116"/>
        <v>0</v>
      </c>
      <c r="X256" s="4">
        <f t="shared" si="114"/>
        <v>0</v>
      </c>
      <c r="Y256" s="4">
        <f t="shared" si="99"/>
        <v>0</v>
      </c>
      <c r="Z256" s="4">
        <f t="shared" si="100"/>
        <v>0</v>
      </c>
      <c r="AA256" s="4">
        <f t="shared" si="101"/>
        <v>0</v>
      </c>
      <c r="AB256" s="4">
        <f t="shared" si="102"/>
        <v>0</v>
      </c>
      <c r="AC256" s="8"/>
      <c r="AD256" s="4"/>
      <c r="AE256" s="4"/>
      <c r="AF256" s="4" t="str">
        <f t="shared" ca="1" si="106"/>
        <v>-22</v>
      </c>
      <c r="AG256" s="4"/>
      <c r="AH256" s="4">
        <f>IFERROR(VLOOKUP(M256,Calculations!$AC$2:$AD$251,2,FALSE),0)</f>
        <v>0</v>
      </c>
      <c r="AI256" s="4">
        <f>VLOOKUP(N256,$N$2:$AS$620,MATCH('Character Creation'!$Z$12,Skills!$N$1:$AS$1,0),FALSE)</f>
        <v>0</v>
      </c>
      <c r="AJ256" s="4">
        <f>VLOOKUP($N256,[2]Cultures!$B$4:$M$283,MATCH(AJ$1,[2]Cultures!$B$3:$M$3,0),FALSE)</f>
        <v>0</v>
      </c>
      <c r="AK256" s="4">
        <f>VLOOKUP($N256,[2]Cultures!$B$4:$M$283,MATCH(AK$1,[2]Cultures!$B$3:$M$3,0),FALSE)</f>
        <v>0</v>
      </c>
      <c r="AL256" s="4">
        <f>VLOOKUP($N256,[2]Cultures!$B$4:$M$283,MATCH(AL$1,[2]Cultures!$B$3:$M$3,0),FALSE)</f>
        <v>0</v>
      </c>
      <c r="AM256" s="4">
        <f>VLOOKUP($N256,[2]Cultures!$B$4:$M$283,MATCH(AM$1,[2]Cultures!$B$3:$M$3,0),FALSE)</f>
        <v>0</v>
      </c>
      <c r="AN256" s="4">
        <f>VLOOKUP($N256,[2]Cultures!$B$4:$M$283,MATCH(AN$1,[2]Cultures!$B$3:$M$3,0),FALSE)</f>
        <v>0</v>
      </c>
      <c r="AO256" s="4">
        <f>VLOOKUP($N256,[2]Cultures!$B$4:$M$283,MATCH(AO$1,[2]Cultures!$B$3:$M$3,0),FALSE)</f>
        <v>0</v>
      </c>
      <c r="AP256" s="4">
        <f>VLOOKUP($N256,[2]Cultures!$B$4:$M$283,MATCH(AP$1,[2]Cultures!$B$3:$M$3,0),FALSE)</f>
        <v>0</v>
      </c>
      <c r="AQ256" s="4">
        <f>VLOOKUP($N256,[2]Cultures!$B$4:$M$283,MATCH(AQ$1,[2]Cultures!$B$3:$M$3,0),FALSE)</f>
        <v>0</v>
      </c>
      <c r="AR256" s="4">
        <f>VLOOKUP($N256,[2]Cultures!$B$4:$M$283,MATCH(AR$1,[2]Cultures!$B$3:$M$3,0),FALSE)</f>
        <v>0</v>
      </c>
      <c r="AS256" s="4">
        <f>VLOOKUP($N256,[2]Cultures!$B$4:$M$283,MATCH(AS$1,[2]Cultures!$B$3:$M$3,0),FALSE)</f>
        <v>0</v>
      </c>
      <c r="AT256" s="4"/>
      <c r="AU256" s="4">
        <f>IF(ISNUMBER(SEARCH(N256&amp;";",Calculations!$Q$19)),VLOOKUP(Skills!N256,Calculations!$Q$2:$T$16,4,FALSE),0)</f>
        <v>0</v>
      </c>
      <c r="AV256" s="4">
        <f>IF(ISNUMBER(SEARCH(N256&amp;";",Calculations!$Q$18)),1,0)</f>
        <v>1</v>
      </c>
      <c r="AW256" s="4">
        <f t="shared" si="135"/>
        <v>1</v>
      </c>
      <c r="AX256" s="4">
        <f>VLOOKUP($N256,$N256:$CH256,MATCH('Character Sheet'!$BJ$3,Skills!$N$1:$CH$1,0),FALSE)</f>
        <v>0</v>
      </c>
    </row>
    <row r="257" spans="2:50" x14ac:dyDescent="0.25">
      <c r="B257" s="4" t="e">
        <f t="shared" si="113"/>
        <v>#N/A</v>
      </c>
      <c r="E257" s="4"/>
      <c r="F257" s="4">
        <f t="shared" si="98"/>
        <v>0</v>
      </c>
      <c r="G257" s="4"/>
      <c r="H257" s="4" t="e">
        <f t="shared" si="104"/>
        <v>#N/A</v>
      </c>
      <c r="I257" s="4" t="e">
        <f t="shared" si="133"/>
        <v>#N/A</v>
      </c>
      <c r="J257" s="4">
        <f t="shared" si="95"/>
        <v>0</v>
      </c>
      <c r="K257" s="4">
        <f t="shared" si="137"/>
        <v>0</v>
      </c>
      <c r="M257" t="str">
        <f t="shared" si="136"/>
        <v>Religion Lore</v>
      </c>
      <c r="N257" s="3" t="str">
        <f>'Character Sheet'!BLR15</f>
        <v>Religion Lore</v>
      </c>
      <c r="O257" s="4" t="s">
        <v>798</v>
      </c>
      <c r="P257" s="4" t="s">
        <v>792</v>
      </c>
      <c r="Q257" s="4">
        <f t="shared" si="115"/>
        <v>0</v>
      </c>
      <c r="R257" s="4">
        <f>IF(ISNUMBER(SEARCH("Category",N257)),"- -",IF(ISNUMBER(SEARCH("Skills",N257)),"- -",'Level-up'!C275))</f>
        <v>0</v>
      </c>
      <c r="S257" s="4">
        <f t="shared" si="96"/>
        <v>0</v>
      </c>
      <c r="T257" s="4">
        <f t="shared" si="97"/>
        <v>-25</v>
      </c>
      <c r="U257" s="4">
        <f t="shared" ca="1" si="103"/>
        <v>3</v>
      </c>
      <c r="V257" s="4">
        <f t="shared" si="134"/>
        <v>0</v>
      </c>
      <c r="W257" s="4">
        <f t="shared" si="116"/>
        <v>0</v>
      </c>
      <c r="X257" s="4">
        <f t="shared" si="114"/>
        <v>0</v>
      </c>
      <c r="Y257" s="4">
        <f t="shared" si="99"/>
        <v>0</v>
      </c>
      <c r="Z257" s="4">
        <f t="shared" si="100"/>
        <v>0</v>
      </c>
      <c r="AA257" s="4">
        <f t="shared" si="101"/>
        <v>0</v>
      </c>
      <c r="AB257" s="4">
        <f t="shared" si="102"/>
        <v>0</v>
      </c>
      <c r="AC257" s="8"/>
      <c r="AD257" s="4"/>
      <c r="AE257" s="4"/>
      <c r="AF257" s="4" t="str">
        <f t="shared" ca="1" si="106"/>
        <v>-22</v>
      </c>
      <c r="AG257" s="4"/>
      <c r="AH257" s="4">
        <f>IFERROR(VLOOKUP(M257,Calculations!$AC$2:$AD$251,2,FALSE),0)</f>
        <v>0</v>
      </c>
      <c r="AI257" s="4">
        <f>VLOOKUP(N257,$N$2:$AS$620,MATCH('Character Creation'!$Z$12,Skills!$N$1:$AS$1,0),FALSE)</f>
        <v>0</v>
      </c>
      <c r="AJ257" s="4">
        <f>VLOOKUP($N257,[2]Cultures!$B$4:$M$283,MATCH(AJ$1,[2]Cultures!$B$3:$M$3,0),FALSE)</f>
        <v>1</v>
      </c>
      <c r="AK257" s="4">
        <f>VLOOKUP($N257,[2]Cultures!$B$4:$M$283,MATCH(AK$1,[2]Cultures!$B$3:$M$3,0),FALSE)</f>
        <v>0</v>
      </c>
      <c r="AL257" s="4">
        <f>VLOOKUP($N257,[2]Cultures!$B$4:$M$283,MATCH(AL$1,[2]Cultures!$B$3:$M$3,0),FALSE)</f>
        <v>0</v>
      </c>
      <c r="AM257" s="4">
        <f>VLOOKUP($N257,[2]Cultures!$B$4:$M$283,MATCH(AM$1,[2]Cultures!$B$3:$M$3,0),FALSE)</f>
        <v>0</v>
      </c>
      <c r="AN257" s="4">
        <f>VLOOKUP($N257,[2]Cultures!$B$4:$M$283,MATCH(AN$1,[2]Cultures!$B$3:$M$3,0),FALSE)</f>
        <v>0</v>
      </c>
      <c r="AO257" s="4">
        <f>VLOOKUP($N257,[2]Cultures!$B$4:$M$283,MATCH(AO$1,[2]Cultures!$B$3:$M$3,0),FALSE)</f>
        <v>0</v>
      </c>
      <c r="AP257" s="4">
        <f>VLOOKUP($N257,[2]Cultures!$B$4:$M$283,MATCH(AP$1,[2]Cultures!$B$3:$M$3,0),FALSE)</f>
        <v>0</v>
      </c>
      <c r="AQ257" s="4">
        <f>VLOOKUP($N257,[2]Cultures!$B$4:$M$283,MATCH(AQ$1,[2]Cultures!$B$3:$M$3,0),FALSE)</f>
        <v>0</v>
      </c>
      <c r="AR257" s="4">
        <f>VLOOKUP($N257,[2]Cultures!$B$4:$M$283,MATCH(AR$1,[2]Cultures!$B$3:$M$3,0),FALSE)</f>
        <v>0</v>
      </c>
      <c r="AS257" s="4">
        <f>VLOOKUP($N257,[2]Cultures!$B$4:$M$283,MATCH(AS$1,[2]Cultures!$B$3:$M$3,0),FALSE)</f>
        <v>1</v>
      </c>
      <c r="AT257" s="4"/>
      <c r="AU257" s="4">
        <f>IF(ISNUMBER(SEARCH(N257&amp;";",Calculations!$Q$19)),VLOOKUP(Skills!N257,Calculations!$Q$2:$T$16,4,FALSE),0)</f>
        <v>0</v>
      </c>
      <c r="AV257" s="4">
        <f>IF(ISNUMBER(SEARCH(N257&amp;";",Calculations!$Q$18)),1,0)</f>
        <v>0</v>
      </c>
      <c r="AW257" s="4">
        <f t="shared" si="135"/>
        <v>0</v>
      </c>
      <c r="AX257" s="4">
        <f>VLOOKUP($N257,$N257:$CH257,MATCH('Character Sheet'!$BJ$3,Skills!$N$1:$CH$1,0),FALSE)</f>
        <v>0</v>
      </c>
    </row>
    <row r="258" spans="2:50" x14ac:dyDescent="0.25">
      <c r="B258" s="4" t="e">
        <f t="shared" si="113"/>
        <v>#N/A</v>
      </c>
      <c r="E258" s="4"/>
      <c r="F258" s="4">
        <f t="shared" si="98"/>
        <v>0</v>
      </c>
      <c r="G258" s="4"/>
      <c r="H258" s="4" t="e">
        <f t="shared" si="104"/>
        <v>#N/A</v>
      </c>
      <c r="I258" s="4" t="e">
        <f t="shared" si="133"/>
        <v>#N/A</v>
      </c>
      <c r="J258" s="4">
        <f t="shared" si="95"/>
        <v>0</v>
      </c>
      <c r="K258" s="4">
        <f t="shared" si="137"/>
        <v>0</v>
      </c>
      <c r="M258" t="str">
        <f>"Lore, "&amp;N258</f>
        <v>Lore, Religious History</v>
      </c>
      <c r="N258" s="3" t="str">
        <f>'Character Sheet'!BLR16</f>
        <v>Religious History</v>
      </c>
      <c r="O258" s="4" t="s">
        <v>798</v>
      </c>
      <c r="P258" s="4" t="s">
        <v>792</v>
      </c>
      <c r="Q258" s="4">
        <f t="shared" si="115"/>
        <v>0</v>
      </c>
      <c r="R258" s="4">
        <f>IF(ISNUMBER(SEARCH("Category",N258)),"- -",IF(ISNUMBER(SEARCH("Skills",N258)),"- -",'Level-up'!C276))</f>
        <v>0</v>
      </c>
      <c r="S258" s="4">
        <f t="shared" si="96"/>
        <v>0</v>
      </c>
      <c r="T258" s="4">
        <f t="shared" si="97"/>
        <v>-25</v>
      </c>
      <c r="U258" s="4">
        <f t="shared" ca="1" si="103"/>
        <v>3</v>
      </c>
      <c r="V258" s="4">
        <f t="shared" si="134"/>
        <v>0</v>
      </c>
      <c r="W258" s="4">
        <f t="shared" si="116"/>
        <v>0</v>
      </c>
      <c r="X258" s="4">
        <f t="shared" si="114"/>
        <v>0</v>
      </c>
      <c r="Y258" s="4">
        <f t="shared" si="99"/>
        <v>0</v>
      </c>
      <c r="Z258" s="4">
        <f t="shared" si="100"/>
        <v>0</v>
      </c>
      <c r="AA258" s="4">
        <f t="shared" si="101"/>
        <v>0</v>
      </c>
      <c r="AB258" s="4">
        <f t="shared" si="102"/>
        <v>0</v>
      </c>
      <c r="AC258" s="8"/>
      <c r="AD258" s="4"/>
      <c r="AE258" s="4"/>
      <c r="AF258" s="4" t="str">
        <f t="shared" ca="1" si="106"/>
        <v>-22</v>
      </c>
      <c r="AG258" s="4"/>
      <c r="AH258" s="4">
        <f>IFERROR(VLOOKUP(M258,Calculations!$AC$2:$AD$251,2,FALSE),0)</f>
        <v>0</v>
      </c>
      <c r="AI258" s="4">
        <f>VLOOKUP(N258,$N$2:$AS$620,MATCH('Character Creation'!$Z$12,Skills!$N$1:$AS$1,0),FALSE)</f>
        <v>0</v>
      </c>
      <c r="AJ258" s="4">
        <f>VLOOKUP($N258,[2]Cultures!$B$4:$M$283,MATCH(AJ$1,[2]Cultures!$B$3:$M$3,0),FALSE)</f>
        <v>0</v>
      </c>
      <c r="AK258" s="4">
        <f>VLOOKUP($N258,[2]Cultures!$B$4:$M$283,MATCH(AK$1,[2]Cultures!$B$3:$M$3,0),FALSE)</f>
        <v>0</v>
      </c>
      <c r="AL258" s="4">
        <f>VLOOKUP($N258,[2]Cultures!$B$4:$M$283,MATCH(AL$1,[2]Cultures!$B$3:$M$3,0),FALSE)</f>
        <v>0</v>
      </c>
      <c r="AM258" s="4">
        <f>VLOOKUP($N258,[2]Cultures!$B$4:$M$283,MATCH(AM$1,[2]Cultures!$B$3:$M$3,0),FALSE)</f>
        <v>0</v>
      </c>
      <c r="AN258" s="4">
        <f>VLOOKUP($N258,[2]Cultures!$B$4:$M$283,MATCH(AN$1,[2]Cultures!$B$3:$M$3,0),FALSE)</f>
        <v>0</v>
      </c>
      <c r="AO258" s="4">
        <f>VLOOKUP($N258,[2]Cultures!$B$4:$M$283,MATCH(AO$1,[2]Cultures!$B$3:$M$3,0),FALSE)</f>
        <v>0</v>
      </c>
      <c r="AP258" s="4">
        <f>VLOOKUP($N258,[2]Cultures!$B$4:$M$283,MATCH(AP$1,[2]Cultures!$B$3:$M$3,0),FALSE)</f>
        <v>0</v>
      </c>
      <c r="AQ258" s="4">
        <f>VLOOKUP($N258,[2]Cultures!$B$4:$M$283,MATCH(AQ$1,[2]Cultures!$B$3:$M$3,0),FALSE)</f>
        <v>0</v>
      </c>
      <c r="AR258" s="4">
        <f>VLOOKUP($N258,[2]Cultures!$B$4:$M$283,MATCH(AR$1,[2]Cultures!$B$3:$M$3,0),FALSE)</f>
        <v>0</v>
      </c>
      <c r="AS258" s="4">
        <f>VLOOKUP($N258,[2]Cultures!$B$4:$M$283,MATCH(AS$1,[2]Cultures!$B$3:$M$3,0),FALSE)</f>
        <v>0</v>
      </c>
      <c r="AT258" s="4"/>
      <c r="AU258" s="4">
        <f>IF(ISNUMBER(SEARCH(N258&amp;";",Calculations!$Q$19)),VLOOKUP(Skills!N258,Calculations!$Q$2:$T$16,4,FALSE),0)</f>
        <v>0</v>
      </c>
      <c r="AV258" s="4">
        <f>IF(ISNUMBER(SEARCH(N258&amp;";",Calculations!$Q$18)),1,0)</f>
        <v>0</v>
      </c>
      <c r="AW258" s="4">
        <f t="shared" si="135"/>
        <v>0</v>
      </c>
      <c r="AX258" s="4">
        <f>VLOOKUP($N258,$N258:$CH258,MATCH('Character Sheet'!$BJ$3,Skills!$N$1:$CH$1,0),FALSE)</f>
        <v>0</v>
      </c>
    </row>
    <row r="259" spans="2:50" x14ac:dyDescent="0.25">
      <c r="B259" s="4" t="e">
        <f t="shared" si="113"/>
        <v>#N/A</v>
      </c>
      <c r="E259" s="4"/>
      <c r="F259" s="4">
        <f t="shared" ref="F259:F322" si="138">IF(AX259="x",F258+1,F258)</f>
        <v>0</v>
      </c>
      <c r="G259" s="4"/>
      <c r="H259" s="4" t="e">
        <f t="shared" si="104"/>
        <v>#N/A</v>
      </c>
      <c r="I259" s="4" t="e">
        <f t="shared" si="133"/>
        <v>#N/A</v>
      </c>
      <c r="J259" s="4">
        <f t="shared" ref="J259:J322" si="139">IF(ISNUMBER(SEARCH("Skills",N259)),IF(AI259&gt;=1,1,0),0)</f>
        <v>0</v>
      </c>
      <c r="K259" s="4">
        <f t="shared" si="137"/>
        <v>0</v>
      </c>
      <c r="M259" t="str">
        <f t="shared" si="136"/>
        <v>Trading Lore</v>
      </c>
      <c r="N259" s="3" t="str">
        <f>'Character Sheet'!BLR17</f>
        <v>Trading Lore</v>
      </c>
      <c r="O259" s="4" t="s">
        <v>798</v>
      </c>
      <c r="P259" s="4" t="s">
        <v>792</v>
      </c>
      <c r="Q259" s="4">
        <f t="shared" si="115"/>
        <v>0</v>
      </c>
      <c r="R259" s="4">
        <f>IF(ISNUMBER(SEARCH("Category",N259)),"- -",IF(ISNUMBER(SEARCH("Skills",N259)),"- -",'Level-up'!C277))</f>
        <v>0</v>
      </c>
      <c r="S259" s="4">
        <f t="shared" ref="S259:S322" si="140">IF(ISNUMBER(SEARCH("Skills",N259)),"- -",IF(ISNUMBER(SEARCH("category",N259)),"- -",SUM(Q259:R259)))</f>
        <v>0</v>
      </c>
      <c r="T259" s="4">
        <f t="shared" ref="T259:T322" si="141">IF(ISNUMBER(SEARCH("Skills",N259)),"- -",IF(ISNUMBER(SEARCH("category",N259)),"- -",IF(S259="",0,IF(S259=0,(IF(O259="- -",0,-25)),IF(S259&lt;11,S259*5,IF(S259&lt;21,((S259-10)*3)+50,IF(S259&lt;31,((S259-20)*2)+80,IF(S259&gt;30,(S259-30)+100))))))))</f>
        <v>-25</v>
      </c>
      <c r="U259" s="4">
        <f t="shared" ca="1" si="103"/>
        <v>3</v>
      </c>
      <c r="V259" s="4">
        <f t="shared" si="134"/>
        <v>0</v>
      </c>
      <c r="W259" s="4">
        <f t="shared" si="116"/>
        <v>0</v>
      </c>
      <c r="X259" s="4">
        <f t="shared" si="114"/>
        <v>0</v>
      </c>
      <c r="Y259" s="4">
        <f t="shared" si="99"/>
        <v>0</v>
      </c>
      <c r="Z259" s="4">
        <f t="shared" si="100"/>
        <v>0</v>
      </c>
      <c r="AA259" s="4">
        <f t="shared" si="101"/>
        <v>0</v>
      </c>
      <c r="AB259" s="4">
        <f t="shared" si="102"/>
        <v>0</v>
      </c>
      <c r="AC259" s="8"/>
      <c r="AD259" s="4"/>
      <c r="AE259" s="4"/>
      <c r="AF259" s="4" t="str">
        <f t="shared" ca="1" si="106"/>
        <v>-22</v>
      </c>
      <c r="AG259" s="4"/>
      <c r="AH259" s="4">
        <f>IFERROR(VLOOKUP(M259,Calculations!$AC$2:$AD$251,2,FALSE),0)</f>
        <v>0</v>
      </c>
      <c r="AI259" s="4">
        <f>VLOOKUP(N259,$N$2:$AS$620,MATCH('Character Creation'!$Z$12,Skills!$N$1:$AS$1,0),FALSE)</f>
        <v>0</v>
      </c>
      <c r="AJ259" s="4">
        <f>VLOOKUP($N259,[2]Cultures!$B$4:$M$283,MATCH(AJ$1,[2]Cultures!$B$3:$M$3,0),FALSE)</f>
        <v>0</v>
      </c>
      <c r="AK259" s="4">
        <f>VLOOKUP($N259,[2]Cultures!$B$4:$M$283,MATCH(AK$1,[2]Cultures!$B$3:$M$3,0),FALSE)</f>
        <v>0</v>
      </c>
      <c r="AL259" s="4">
        <f>VLOOKUP($N259,[2]Cultures!$B$4:$M$283,MATCH(AL$1,[2]Cultures!$B$3:$M$3,0),FALSE)</f>
        <v>0</v>
      </c>
      <c r="AM259" s="4">
        <f>VLOOKUP($N259,[2]Cultures!$B$4:$M$283,MATCH(AM$1,[2]Cultures!$B$3:$M$3,0),FALSE)</f>
        <v>0</v>
      </c>
      <c r="AN259" s="4">
        <f>VLOOKUP($N259,[2]Cultures!$B$4:$M$283,MATCH(AN$1,[2]Cultures!$B$3:$M$3,0),FALSE)</f>
        <v>0</v>
      </c>
      <c r="AO259" s="4">
        <f>VLOOKUP($N259,[2]Cultures!$B$4:$M$283,MATCH(AO$1,[2]Cultures!$B$3:$M$3,0),FALSE)</f>
        <v>0</v>
      </c>
      <c r="AP259" s="4">
        <f>VLOOKUP($N259,[2]Cultures!$B$4:$M$283,MATCH(AP$1,[2]Cultures!$B$3:$M$3,0),FALSE)</f>
        <v>0</v>
      </c>
      <c r="AQ259" s="4">
        <f>VLOOKUP($N259,[2]Cultures!$B$4:$M$283,MATCH(AQ$1,[2]Cultures!$B$3:$M$3,0),FALSE)</f>
        <v>0</v>
      </c>
      <c r="AR259" s="4">
        <f>VLOOKUP($N259,[2]Cultures!$B$4:$M$283,MATCH(AR$1,[2]Cultures!$B$3:$M$3,0),FALSE)</f>
        <v>0</v>
      </c>
      <c r="AS259" s="4">
        <f>VLOOKUP($N259,[2]Cultures!$B$4:$M$283,MATCH(AS$1,[2]Cultures!$B$3:$M$3,0),FALSE)</f>
        <v>0</v>
      </c>
      <c r="AT259" s="4"/>
      <c r="AU259" s="4">
        <f>IF(ISNUMBER(SEARCH(N259&amp;";",Calculations!$Q$19)),VLOOKUP(Skills!N259,Calculations!$Q$2:$T$16,4,FALSE),0)</f>
        <v>0</v>
      </c>
      <c r="AV259" s="4">
        <f>IF(ISNUMBER(SEARCH(N259&amp;";",Calculations!$Q$18)),1,0)</f>
        <v>0</v>
      </c>
      <c r="AW259" s="4">
        <f t="shared" si="135"/>
        <v>0</v>
      </c>
      <c r="AX259" s="4">
        <f>VLOOKUP($N259,$N259:$CH259,MATCH('Character Sheet'!$BJ$3,Skills!$N$1:$CH$1,0),FALSE)</f>
        <v>0</v>
      </c>
    </row>
    <row r="260" spans="2:50" x14ac:dyDescent="0.25">
      <c r="B260" s="4" t="e">
        <f t="shared" si="113"/>
        <v>#N/A</v>
      </c>
      <c r="E260" s="4"/>
      <c r="F260" s="4">
        <f t="shared" si="138"/>
        <v>0</v>
      </c>
      <c r="G260" s="4"/>
      <c r="H260" s="4" t="e">
        <f t="shared" si="104"/>
        <v>#N/A</v>
      </c>
      <c r="I260" s="4" t="e">
        <f t="shared" si="133"/>
        <v>#N/A</v>
      </c>
      <c r="J260" s="4">
        <f t="shared" si="139"/>
        <v>0</v>
      </c>
      <c r="K260" s="4">
        <f t="shared" si="137"/>
        <v>0</v>
      </c>
      <c r="M260" t="str">
        <f t="shared" si="136"/>
        <v>Vehicles Lore</v>
      </c>
      <c r="N260" s="3" t="str">
        <f>'Character Sheet'!BLR18</f>
        <v>Vehicles Lore</v>
      </c>
      <c r="O260" s="4" t="s">
        <v>798</v>
      </c>
      <c r="P260" s="4" t="s">
        <v>792</v>
      </c>
      <c r="Q260" s="4">
        <f t="shared" si="115"/>
        <v>0</v>
      </c>
      <c r="R260" s="4">
        <f>IF(ISNUMBER(SEARCH("Category",N260)),"- -",IF(ISNUMBER(SEARCH("Skills",N260)),"- -",'Level-up'!C278))</f>
        <v>0</v>
      </c>
      <c r="S260" s="4">
        <f t="shared" si="140"/>
        <v>0</v>
      </c>
      <c r="T260" s="4">
        <f t="shared" si="141"/>
        <v>-25</v>
      </c>
      <c r="U260" s="4">
        <f t="shared" ca="1" si="103"/>
        <v>3</v>
      </c>
      <c r="V260" s="4">
        <f t="shared" si="134"/>
        <v>0</v>
      </c>
      <c r="W260" s="4">
        <f t="shared" si="116"/>
        <v>0</v>
      </c>
      <c r="X260" s="4">
        <f t="shared" si="114"/>
        <v>0</v>
      </c>
      <c r="Y260" s="4">
        <f t="shared" ref="Y260:Y323" si="142">IF(ISNUMBER(SEARCH("Category",N260)),"- -",IF(ISNUMBER(SEARCH("Skills",N260)),"- -",0))</f>
        <v>0</v>
      </c>
      <c r="Z260" s="4">
        <f t="shared" ref="Z260:Z323" si="143">IF(ISNUMBER(SEARCH("Category",N260)),"- -",IF(ISNUMBER(SEARCH("Skills",N260)),"- -",0))</f>
        <v>0</v>
      </c>
      <c r="AA260" s="4">
        <f t="shared" ref="AA260:AA323" si="144">IF(ISNUMBER(SEARCH("Category",N260)),"- -",IF(ISNUMBER(SEARCH("Skills",N260)),"- -",0))</f>
        <v>0</v>
      </c>
      <c r="AB260" s="4">
        <f t="shared" ref="AB260:AB323" si="145">IF(ISNUMBER(SEARCH("Category",N260)),"- -",IF(ISNUMBER(SEARCH("Skills",N260)),"- -",0))</f>
        <v>0</v>
      </c>
      <c r="AC260" s="8"/>
      <c r="AD260" s="4"/>
      <c r="AE260" s="4"/>
      <c r="AF260" s="4" t="str">
        <f t="shared" ca="1" si="106"/>
        <v>-22</v>
      </c>
      <c r="AG260" s="4"/>
      <c r="AH260" s="4">
        <f>IFERROR(VLOOKUP(M260,Calculations!$AC$2:$AD$251,2,FALSE),0)</f>
        <v>0</v>
      </c>
      <c r="AI260" s="4">
        <f>VLOOKUP(N260,$N$2:$AS$620,MATCH('Character Creation'!$Z$12,Skills!$N$1:$AS$1,0),FALSE)</f>
        <v>0</v>
      </c>
      <c r="AJ260" s="4">
        <f>VLOOKUP($N260,[2]Cultures!$B$4:$M$283,MATCH(AJ$1,[2]Cultures!$B$3:$M$3,0),FALSE)</f>
        <v>0</v>
      </c>
      <c r="AK260" s="4">
        <f>VLOOKUP($N260,[2]Cultures!$B$4:$M$283,MATCH(AK$1,[2]Cultures!$B$3:$M$3,0),FALSE)</f>
        <v>0</v>
      </c>
      <c r="AL260" s="4">
        <f>VLOOKUP($N260,[2]Cultures!$B$4:$M$283,MATCH(AL$1,[2]Cultures!$B$3:$M$3,0),FALSE)</f>
        <v>0</v>
      </c>
      <c r="AM260" s="4">
        <f>VLOOKUP($N260,[2]Cultures!$B$4:$M$283,MATCH(AM$1,[2]Cultures!$B$3:$M$3,0),FALSE)</f>
        <v>0</v>
      </c>
      <c r="AN260" s="4">
        <f>VLOOKUP($N260,[2]Cultures!$B$4:$M$283,MATCH(AN$1,[2]Cultures!$B$3:$M$3,0),FALSE)</f>
        <v>0</v>
      </c>
      <c r="AO260" s="4">
        <f>VLOOKUP($N260,[2]Cultures!$B$4:$M$283,MATCH(AO$1,[2]Cultures!$B$3:$M$3,0),FALSE)</f>
        <v>0</v>
      </c>
      <c r="AP260" s="4">
        <f>VLOOKUP($N260,[2]Cultures!$B$4:$M$283,MATCH(AP$1,[2]Cultures!$B$3:$M$3,0),FALSE)</f>
        <v>0</v>
      </c>
      <c r="AQ260" s="4">
        <f>VLOOKUP($N260,[2]Cultures!$B$4:$M$283,MATCH(AQ$1,[2]Cultures!$B$3:$M$3,0),FALSE)</f>
        <v>0</v>
      </c>
      <c r="AR260" s="4">
        <f>VLOOKUP($N260,[2]Cultures!$B$4:$M$283,MATCH(AR$1,[2]Cultures!$B$3:$M$3,0),FALSE)</f>
        <v>0</v>
      </c>
      <c r="AS260" s="4">
        <f>VLOOKUP($N260,[2]Cultures!$B$4:$M$283,MATCH(AS$1,[2]Cultures!$B$3:$M$3,0),FALSE)</f>
        <v>0</v>
      </c>
      <c r="AT260" s="4"/>
      <c r="AU260" s="4">
        <f>IF(ISNUMBER(SEARCH(N260&amp;";",Calculations!$Q$19)),VLOOKUP(Skills!N260,Calculations!$Q$2:$T$16,4,FALSE),0)</f>
        <v>0</v>
      </c>
      <c r="AV260" s="4">
        <f>IF(ISNUMBER(SEARCH(N260&amp;";",Calculations!$Q$18)),1,0)</f>
        <v>0</v>
      </c>
      <c r="AW260" s="4">
        <f t="shared" si="135"/>
        <v>0</v>
      </c>
      <c r="AX260" s="4">
        <f>VLOOKUP($N260,$N260:$CH260,MATCH('Character Sheet'!$BJ$3,Skills!$N$1:$CH$1,0),FALSE)</f>
        <v>0</v>
      </c>
    </row>
    <row r="261" spans="2:50" x14ac:dyDescent="0.25">
      <c r="B261" s="4" t="e">
        <f t="shared" si="113"/>
        <v>#N/A</v>
      </c>
      <c r="E261" s="4"/>
      <c r="F261" s="4">
        <f t="shared" si="138"/>
        <v>0</v>
      </c>
      <c r="G261" s="4"/>
      <c r="H261" s="4" t="e">
        <f t="shared" si="104"/>
        <v>#N/A</v>
      </c>
      <c r="I261" s="4" t="e">
        <f t="shared" si="133"/>
        <v>#N/A</v>
      </c>
      <c r="J261" s="4">
        <f t="shared" si="139"/>
        <v>0</v>
      </c>
      <c r="K261" s="4">
        <f t="shared" si="137"/>
        <v>0</v>
      </c>
      <c r="M261" t="str">
        <f>"Lore, "&amp;N261</f>
        <v>Lore, Visual Arts</v>
      </c>
      <c r="N261" s="3" t="str">
        <f>'Character Sheet'!BLR19</f>
        <v>Visual Arts</v>
      </c>
      <c r="O261" s="4" t="s">
        <v>798</v>
      </c>
      <c r="P261" s="4" t="s">
        <v>792</v>
      </c>
      <c r="Q261" s="4">
        <f t="shared" si="115"/>
        <v>0</v>
      </c>
      <c r="R261" s="4">
        <f>IF(ISNUMBER(SEARCH("Category",N261)),"- -",IF(ISNUMBER(SEARCH("Skills",N261)),"- -",'Level-up'!C279))</f>
        <v>0</v>
      </c>
      <c r="S261" s="4">
        <f t="shared" si="140"/>
        <v>0</v>
      </c>
      <c r="T261" s="4">
        <f t="shared" si="141"/>
        <v>-25</v>
      </c>
      <c r="U261" s="4">
        <f t="shared" ca="1" si="103"/>
        <v>3</v>
      </c>
      <c r="V261" s="4">
        <f t="shared" si="134"/>
        <v>0</v>
      </c>
      <c r="W261" s="4">
        <f t="shared" si="116"/>
        <v>0</v>
      </c>
      <c r="X261" s="4">
        <f t="shared" si="114"/>
        <v>0</v>
      </c>
      <c r="Y261" s="4">
        <f t="shared" si="142"/>
        <v>0</v>
      </c>
      <c r="Z261" s="4">
        <f t="shared" si="143"/>
        <v>0</v>
      </c>
      <c r="AA261" s="4">
        <f t="shared" si="144"/>
        <v>0</v>
      </c>
      <c r="AB261" s="4">
        <f t="shared" si="145"/>
        <v>0</v>
      </c>
      <c r="AC261" s="8"/>
      <c r="AD261" s="4"/>
      <c r="AE261" s="4"/>
      <c r="AF261" s="4" t="str">
        <f t="shared" ca="1" si="106"/>
        <v>-22</v>
      </c>
      <c r="AG261" s="4"/>
      <c r="AH261" s="4">
        <f>IFERROR(VLOOKUP(M261,Calculations!$AC$2:$AD$251,2,FALSE),0)</f>
        <v>0</v>
      </c>
      <c r="AI261" s="4">
        <f>VLOOKUP(N261,$N$2:$AS$620,MATCH('Character Creation'!$Z$12,Skills!$N$1:$AS$1,0),FALSE)</f>
        <v>0</v>
      </c>
      <c r="AJ261" s="4">
        <f>VLOOKUP($N261,[2]Cultures!$B$4:$M$283,MATCH(AJ$1,[2]Cultures!$B$3:$M$3,0),FALSE)</f>
        <v>0</v>
      </c>
      <c r="AK261" s="4">
        <f>VLOOKUP($N261,[2]Cultures!$B$4:$M$283,MATCH(AK$1,[2]Cultures!$B$3:$M$3,0),FALSE)</f>
        <v>0</v>
      </c>
      <c r="AL261" s="4">
        <f>VLOOKUP($N261,[2]Cultures!$B$4:$M$283,MATCH(AL$1,[2]Cultures!$B$3:$M$3,0),FALSE)</f>
        <v>0</v>
      </c>
      <c r="AM261" s="4">
        <f>VLOOKUP($N261,[2]Cultures!$B$4:$M$283,MATCH(AM$1,[2]Cultures!$B$3:$M$3,0),FALSE)</f>
        <v>0</v>
      </c>
      <c r="AN261" s="4">
        <f>VLOOKUP($N261,[2]Cultures!$B$4:$M$283,MATCH(AN$1,[2]Cultures!$B$3:$M$3,0),FALSE)</f>
        <v>0</v>
      </c>
      <c r="AO261" s="4">
        <f>VLOOKUP($N261,[2]Cultures!$B$4:$M$283,MATCH(AO$1,[2]Cultures!$B$3:$M$3,0),FALSE)</f>
        <v>0</v>
      </c>
      <c r="AP261" s="4">
        <f>VLOOKUP($N261,[2]Cultures!$B$4:$M$283,MATCH(AP$1,[2]Cultures!$B$3:$M$3,0),FALSE)</f>
        <v>0</v>
      </c>
      <c r="AQ261" s="4">
        <f>VLOOKUP($N261,[2]Cultures!$B$4:$M$283,MATCH(AQ$1,[2]Cultures!$B$3:$M$3,0),FALSE)</f>
        <v>0</v>
      </c>
      <c r="AR261" s="4">
        <f>VLOOKUP($N261,[2]Cultures!$B$4:$M$283,MATCH(AR$1,[2]Cultures!$B$3:$M$3,0),FALSE)</f>
        <v>0</v>
      </c>
      <c r="AS261" s="4">
        <f>VLOOKUP($N261,[2]Cultures!$B$4:$M$283,MATCH(AS$1,[2]Cultures!$B$3:$M$3,0),FALSE)</f>
        <v>0</v>
      </c>
      <c r="AT261" s="4"/>
      <c r="AU261" s="4">
        <f>IF(ISNUMBER(SEARCH(N261&amp;";",Calculations!$Q$19)),VLOOKUP(Skills!N261,Calculations!$Q$2:$T$16,4,FALSE),0)</f>
        <v>0</v>
      </c>
      <c r="AV261" s="4">
        <f>IF(ISNUMBER(SEARCH(N261&amp;";",Calculations!$Q$18)),1,0)</f>
        <v>0</v>
      </c>
      <c r="AW261" s="4">
        <f t="shared" si="135"/>
        <v>0</v>
      </c>
      <c r="AX261" s="4">
        <f>VLOOKUP($N261,$N261:$CH261,MATCH('Character Sheet'!$BJ$3,Skills!$N$1:$CH$1,0),FALSE)</f>
        <v>0</v>
      </c>
    </row>
    <row r="262" spans="2:50" x14ac:dyDescent="0.25">
      <c r="B262" s="4" t="e">
        <f t="shared" si="113"/>
        <v>#N/A</v>
      </c>
      <c r="E262" s="4"/>
      <c r="F262" s="4">
        <f t="shared" si="138"/>
        <v>0</v>
      </c>
      <c r="G262" s="4"/>
      <c r="H262" s="4" t="e">
        <f t="shared" si="104"/>
        <v>#N/A</v>
      </c>
      <c r="I262" s="4" t="e">
        <f>IF($J$245=1,1,IF($J$263=1,1,0))</f>
        <v>#N/A</v>
      </c>
      <c r="J262" s="4">
        <f t="shared" si="139"/>
        <v>0</v>
      </c>
      <c r="K262" s="4" t="e">
        <f t="shared" si="137"/>
        <v>#N/A</v>
      </c>
      <c r="N262" s="3" t="s">
        <v>763</v>
      </c>
      <c r="O262" s="6" t="s">
        <v>782</v>
      </c>
      <c r="P262" s="6" t="s">
        <v>782</v>
      </c>
      <c r="Q262" s="4" t="str">
        <f t="shared" si="115"/>
        <v>- -</v>
      </c>
      <c r="R262" s="4" t="str">
        <f>IF(ISNUMBER(SEARCH("Category",N262)),"- -",IF(ISNUMBER(SEARCH("Skills",N262)),"- -",'Level-up'!C280))</f>
        <v>- -</v>
      </c>
      <c r="S262" s="4" t="str">
        <f t="shared" si="140"/>
        <v>- -</v>
      </c>
      <c r="T262" s="4" t="str">
        <f t="shared" si="141"/>
        <v>- -</v>
      </c>
      <c r="U262" s="4" t="str">
        <f t="shared" ref="U262:U324" ca="1" si="146">IFERROR(INDIRECT(LEFT(O262,FIND("/",O262)-1))+INDIRECT(MID(O262,FIND("/",O262)+1,2))+INDIRECT(P262),"- -")</f>
        <v>- -</v>
      </c>
      <c r="V262" s="4" t="str">
        <f t="shared" si="134"/>
        <v>- -</v>
      </c>
      <c r="W262" s="4" t="str">
        <f t="shared" si="116"/>
        <v>- -</v>
      </c>
      <c r="X262" s="4" t="str">
        <f t="shared" si="114"/>
        <v>- -</v>
      </c>
      <c r="Y262" s="4" t="str">
        <f t="shared" si="142"/>
        <v>- -</v>
      </c>
      <c r="Z262" s="4" t="str">
        <f t="shared" si="143"/>
        <v>- -</v>
      </c>
      <c r="AA262" s="4" t="str">
        <f t="shared" si="144"/>
        <v>- -</v>
      </c>
      <c r="AB262" s="4" t="str">
        <f t="shared" si="145"/>
        <v>- -</v>
      </c>
      <c r="AC262" s="8"/>
      <c r="AD262" s="4"/>
      <c r="AE262" s="4"/>
      <c r="AF262" s="4" t="str">
        <f t="shared" si="106"/>
        <v>- -</v>
      </c>
      <c r="AG262" s="4"/>
      <c r="AH262" s="4">
        <f>IFERROR(VLOOKUP(M262,Calculations!$AC$2:$AD$251,2,FALSE),0)</f>
        <v>0</v>
      </c>
      <c r="AI262" s="4" t="e">
        <f>VLOOKUP(N262,$N$2:$AS$620,MATCH('Character Creation'!$Z$12,Skills!$N$1:$AS$1,0),FALSE)</f>
        <v>#N/A</v>
      </c>
      <c r="AJ262" s="4" t="e">
        <f>VLOOKUP($N262,[2]Cultures!$B$4:$M$283,MATCH(AJ$1,[2]Cultures!$B$3:$M$3,0),FALSE)</f>
        <v>#N/A</v>
      </c>
      <c r="AK262" s="4" t="e">
        <f>VLOOKUP($N262,[2]Cultures!$B$4:$M$283,MATCH(AK$1,[2]Cultures!$B$3:$M$3,0),FALSE)</f>
        <v>#N/A</v>
      </c>
      <c r="AL262" s="4" t="e">
        <f>VLOOKUP($N262,[2]Cultures!$B$4:$M$283,MATCH(AL$1,[2]Cultures!$B$3:$M$3,0),FALSE)</f>
        <v>#N/A</v>
      </c>
      <c r="AM262" s="4" t="e">
        <f>VLOOKUP($N262,[2]Cultures!$B$4:$M$283,MATCH(AM$1,[2]Cultures!$B$3:$M$3,0),FALSE)</f>
        <v>#N/A</v>
      </c>
      <c r="AN262" s="4" t="e">
        <f>VLOOKUP($N262,[2]Cultures!$B$4:$M$283,MATCH(AN$1,[2]Cultures!$B$3:$M$3,0),FALSE)</f>
        <v>#N/A</v>
      </c>
      <c r="AO262" s="4" t="e">
        <f>VLOOKUP($N262,[2]Cultures!$B$4:$M$283,MATCH(AO$1,[2]Cultures!$B$3:$M$3,0),FALSE)</f>
        <v>#N/A</v>
      </c>
      <c r="AP262" s="4" t="e">
        <f>VLOOKUP($N262,[2]Cultures!$B$4:$M$283,MATCH(AP$1,[2]Cultures!$B$3:$M$3,0),FALSE)</f>
        <v>#N/A</v>
      </c>
      <c r="AQ262" s="4" t="e">
        <f>VLOOKUP($N262,[2]Cultures!$B$4:$M$283,MATCH(AQ$1,[2]Cultures!$B$3:$M$3,0),FALSE)</f>
        <v>#N/A</v>
      </c>
      <c r="AR262" s="4" t="e">
        <f>VLOOKUP($N262,[2]Cultures!$B$4:$M$283,MATCH(AR$1,[2]Cultures!$B$3:$M$3,0),FALSE)</f>
        <v>#N/A</v>
      </c>
      <c r="AS262" s="4" t="e">
        <f>VLOOKUP($N262,[2]Cultures!$B$4:$M$283,MATCH(AS$1,[2]Cultures!$B$3:$M$3,0),FALSE)</f>
        <v>#N/A</v>
      </c>
      <c r="AT262" s="4"/>
      <c r="AU262" s="4">
        <f>IF(ISNUMBER(SEARCH(N262&amp;";",Calculations!$Q$19)),VLOOKUP(Skills!N262,Calculations!$Q$2:$T$16,4,FALSE),0)</f>
        <v>0</v>
      </c>
      <c r="AV262" s="4">
        <f>IF(ISNUMBER(SEARCH(N262&amp;";",Calculations!$Q$18)),1,0)</f>
        <v>0</v>
      </c>
      <c r="AW262" s="4"/>
      <c r="AX262" s="4">
        <f>VLOOKUP($N262,$N262:$CH262,MATCH('Character Sheet'!$BJ$3,Skills!$N$1:$CH$1,0),FALSE)</f>
        <v>0</v>
      </c>
    </row>
    <row r="263" spans="2:50" x14ac:dyDescent="0.25">
      <c r="B263" s="4" t="e">
        <f t="shared" si="113"/>
        <v>#N/A</v>
      </c>
      <c r="E263" s="4"/>
      <c r="F263" s="4">
        <f t="shared" si="138"/>
        <v>0</v>
      </c>
      <c r="G263" s="4"/>
      <c r="H263" s="4" t="e">
        <f t="shared" ref="H263:H325" si="147">H262+I263</f>
        <v>#N/A</v>
      </c>
      <c r="I263" s="4">
        <v>0</v>
      </c>
      <c r="J263" s="4" t="e">
        <f t="shared" si="139"/>
        <v>#N/A</v>
      </c>
      <c r="K263" s="4" t="e">
        <f t="shared" si="137"/>
        <v>#N/A</v>
      </c>
      <c r="N263" s="3" t="s">
        <v>672</v>
      </c>
      <c r="O263" s="6" t="s">
        <v>782</v>
      </c>
      <c r="P263" s="6" t="s">
        <v>782</v>
      </c>
      <c r="Q263" s="4" t="str">
        <f t="shared" si="115"/>
        <v>- -</v>
      </c>
      <c r="R263" s="4" t="str">
        <f>IF(ISNUMBER(SEARCH("Category",N263)),"- -",IF(ISNUMBER(SEARCH("Skills",N263)),"- -",'Level-up'!C281))</f>
        <v>- -</v>
      </c>
      <c r="S263" s="4" t="str">
        <f t="shared" si="140"/>
        <v>- -</v>
      </c>
      <c r="T263" s="4" t="str">
        <f t="shared" si="141"/>
        <v>- -</v>
      </c>
      <c r="U263" s="4" t="str">
        <f t="shared" ca="1" si="146"/>
        <v>- -</v>
      </c>
      <c r="V263" s="4" t="str">
        <f t="shared" si="134"/>
        <v>- -</v>
      </c>
      <c r="W263" s="4" t="str">
        <f t="shared" si="116"/>
        <v>- -</v>
      </c>
      <c r="X263" s="4" t="str">
        <f t="shared" si="114"/>
        <v>- -</v>
      </c>
      <c r="Y263" s="4" t="str">
        <f t="shared" si="142"/>
        <v>- -</v>
      </c>
      <c r="Z263" s="4" t="str">
        <f t="shared" si="143"/>
        <v>- -</v>
      </c>
      <c r="AA263" s="4" t="str">
        <f t="shared" si="144"/>
        <v>- -</v>
      </c>
      <c r="AB263" s="4" t="str">
        <f t="shared" si="145"/>
        <v>- -</v>
      </c>
      <c r="AC263" s="8"/>
      <c r="AD263" s="4"/>
      <c r="AE263" s="4"/>
      <c r="AF263" s="4" t="str">
        <f t="shared" si="106"/>
        <v>- -</v>
      </c>
      <c r="AG263" s="4"/>
      <c r="AH263" s="4">
        <f>IFERROR(VLOOKUP(M263,Calculations!$AC$2:$AD$251,2,FALSE),0)</f>
        <v>0</v>
      </c>
      <c r="AI263" s="4" t="e">
        <f>VLOOKUP(N263,$N$2:$AS$620,MATCH('Character Creation'!$Z$12,Skills!$N$1:$AS$1,0),FALSE)</f>
        <v>#N/A</v>
      </c>
      <c r="AJ263" s="4" t="e">
        <f>VLOOKUP($N263,[2]Cultures!$B$4:$M$283,MATCH(AJ$1,[2]Cultures!$B$3:$M$3,0),FALSE)</f>
        <v>#N/A</v>
      </c>
      <c r="AK263" s="4" t="e">
        <f>VLOOKUP($N263,[2]Cultures!$B$4:$M$283,MATCH(AK$1,[2]Cultures!$B$3:$M$3,0),FALSE)</f>
        <v>#N/A</v>
      </c>
      <c r="AL263" s="4" t="e">
        <f>VLOOKUP($N263,[2]Cultures!$B$4:$M$283,MATCH(AL$1,[2]Cultures!$B$3:$M$3,0),FALSE)</f>
        <v>#N/A</v>
      </c>
      <c r="AM263" s="4" t="e">
        <f>VLOOKUP($N263,[2]Cultures!$B$4:$M$283,MATCH(AM$1,[2]Cultures!$B$3:$M$3,0),FALSE)</f>
        <v>#N/A</v>
      </c>
      <c r="AN263" s="4" t="e">
        <f>VLOOKUP($N263,[2]Cultures!$B$4:$M$283,MATCH(AN$1,[2]Cultures!$B$3:$M$3,0),FALSE)</f>
        <v>#N/A</v>
      </c>
      <c r="AO263" s="4" t="e">
        <f>VLOOKUP($N263,[2]Cultures!$B$4:$M$283,MATCH(AO$1,[2]Cultures!$B$3:$M$3,0),FALSE)</f>
        <v>#N/A</v>
      </c>
      <c r="AP263" s="4" t="e">
        <f>VLOOKUP($N263,[2]Cultures!$B$4:$M$283,MATCH(AP$1,[2]Cultures!$B$3:$M$3,0),FALSE)</f>
        <v>#N/A</v>
      </c>
      <c r="AQ263" s="4" t="e">
        <f>VLOOKUP($N263,[2]Cultures!$B$4:$M$283,MATCH(AQ$1,[2]Cultures!$B$3:$M$3,0),FALSE)</f>
        <v>#N/A</v>
      </c>
      <c r="AR263" s="4" t="e">
        <f>VLOOKUP($N263,[2]Cultures!$B$4:$M$283,MATCH(AR$1,[2]Cultures!$B$3:$M$3,0),FALSE)</f>
        <v>#N/A</v>
      </c>
      <c r="AS263" s="4" t="e">
        <f>VLOOKUP($N263,[2]Cultures!$B$4:$M$283,MATCH(AS$1,[2]Cultures!$B$3:$M$3,0),FALSE)</f>
        <v>#N/A</v>
      </c>
      <c r="AT263" s="4"/>
      <c r="AU263" s="4">
        <f>IF(ISNUMBER(SEARCH(N263&amp;";",Calculations!$Q$19)),VLOOKUP(Skills!N263,Calculations!$Q$2:$T$16,4,FALSE),0)</f>
        <v>0</v>
      </c>
      <c r="AV263" s="4">
        <f>IF(ISNUMBER(SEARCH(N263&amp;";",Calculations!$Q$18)),1,0)</f>
        <v>0</v>
      </c>
      <c r="AW263" s="4"/>
      <c r="AX263" s="4">
        <f>VLOOKUP($N263,$N263:$CH263,MATCH('Character Sheet'!$BJ$3,Skills!$N$1:$CH$1,0),FALSE)</f>
        <v>0</v>
      </c>
    </row>
    <row r="264" spans="2:50" x14ac:dyDescent="0.25">
      <c r="B264" s="4" t="e">
        <f t="shared" si="113"/>
        <v>#N/A</v>
      </c>
      <c r="E264" s="4"/>
      <c r="F264" s="4">
        <f t="shared" si="138"/>
        <v>0</v>
      </c>
      <c r="G264" s="4"/>
      <c r="H264" s="4" t="e">
        <f t="shared" si="147"/>
        <v>#N/A</v>
      </c>
      <c r="I264" s="4" t="e">
        <f>IF($J$245=1,1,IF($J$263=1,1,0))</f>
        <v>#N/A</v>
      </c>
      <c r="J264" s="4">
        <f t="shared" si="139"/>
        <v>0</v>
      </c>
      <c r="K264" s="4" t="e">
        <f t="shared" si="137"/>
        <v>#N/A</v>
      </c>
      <c r="M264" t="str">
        <f>"Lore, "&amp;N264</f>
        <v>Lore, 0</v>
      </c>
      <c r="N264" s="3">
        <f>'Character Sheet'!BLR23</f>
        <v>0</v>
      </c>
      <c r="O264" s="4" t="s">
        <v>798</v>
      </c>
      <c r="P264" s="4" t="s">
        <v>792</v>
      </c>
      <c r="Q264" s="4" t="e">
        <f t="shared" si="115"/>
        <v>#N/A</v>
      </c>
      <c r="R264" s="4">
        <f>IF(ISNUMBER(SEARCH("Category",N264)),"- -",IF(ISNUMBER(SEARCH("Skills",N264)),"- -",'Level-up'!C282))</f>
        <v>0</v>
      </c>
      <c r="S264" s="4" t="e">
        <f t="shared" si="140"/>
        <v>#N/A</v>
      </c>
      <c r="T264" s="4" t="e">
        <f t="shared" si="141"/>
        <v>#N/A</v>
      </c>
      <c r="U264" s="4">
        <f t="shared" ca="1" si="146"/>
        <v>3</v>
      </c>
      <c r="V264" s="4">
        <f>IF(ISNUMBER(SEARCH("Category",N264)),"- -",IF(ISNUMBER(SEARCH("Skills",N264)),"- -",IF(AU264&gt;0,AU264,IF($AU$262&gt;0,$AU$262,$AU$244))))</f>
        <v>0</v>
      </c>
      <c r="W264" s="4">
        <f t="shared" si="116"/>
        <v>0</v>
      </c>
      <c r="X264" s="4">
        <f t="shared" si="114"/>
        <v>0</v>
      </c>
      <c r="Y264" s="4">
        <f t="shared" si="142"/>
        <v>0</v>
      </c>
      <c r="Z264" s="4">
        <f t="shared" si="143"/>
        <v>0</v>
      </c>
      <c r="AA264" s="4">
        <f t="shared" si="144"/>
        <v>0</v>
      </c>
      <c r="AB264" s="4">
        <f t="shared" si="145"/>
        <v>0</v>
      </c>
      <c r="AC264" s="8"/>
      <c r="AD264" s="4"/>
      <c r="AE264" s="4"/>
      <c r="AF264" s="4" t="e">
        <f t="shared" si="106"/>
        <v>#N/A</v>
      </c>
      <c r="AG264" s="4"/>
      <c r="AH264" s="4">
        <f>IFERROR(VLOOKUP(M264,Calculations!$AC$2:$AD$251,2,FALSE),0)</f>
        <v>0</v>
      </c>
      <c r="AI264" s="4" t="e">
        <f>VLOOKUP(N264,$N$2:$AS$620,MATCH('Character Creation'!$Z$12,Skills!$N$1:$AS$1,0),FALSE)</f>
        <v>#N/A</v>
      </c>
      <c r="AJ264" s="4" t="e">
        <f>VLOOKUP($N264,[2]Cultures!$B$4:$M$283,MATCH(AJ$1,[2]Cultures!$B$3:$M$3,0),FALSE)</f>
        <v>#N/A</v>
      </c>
      <c r="AK264" s="4" t="e">
        <f>VLOOKUP($N264,[2]Cultures!$B$4:$M$283,MATCH(AK$1,[2]Cultures!$B$3:$M$3,0),FALSE)</f>
        <v>#N/A</v>
      </c>
      <c r="AL264" s="4" t="e">
        <f>VLOOKUP($N264,[2]Cultures!$B$4:$M$283,MATCH(AL$1,[2]Cultures!$B$3:$M$3,0),FALSE)</f>
        <v>#N/A</v>
      </c>
      <c r="AM264" s="4" t="e">
        <f>VLOOKUP($N264,[2]Cultures!$B$4:$M$283,MATCH(AM$1,[2]Cultures!$B$3:$M$3,0),FALSE)</f>
        <v>#N/A</v>
      </c>
      <c r="AN264" s="4" t="e">
        <f>VLOOKUP($N264,[2]Cultures!$B$4:$M$283,MATCH(AN$1,[2]Cultures!$B$3:$M$3,0),FALSE)</f>
        <v>#N/A</v>
      </c>
      <c r="AO264" s="4" t="e">
        <f>VLOOKUP($N264,[2]Cultures!$B$4:$M$283,MATCH(AO$1,[2]Cultures!$B$3:$M$3,0),FALSE)</f>
        <v>#N/A</v>
      </c>
      <c r="AP264" s="4" t="e">
        <f>VLOOKUP($N264,[2]Cultures!$B$4:$M$283,MATCH(AP$1,[2]Cultures!$B$3:$M$3,0),FALSE)</f>
        <v>#N/A</v>
      </c>
      <c r="AQ264" s="4" t="e">
        <f>VLOOKUP($N264,[2]Cultures!$B$4:$M$283,MATCH(AQ$1,[2]Cultures!$B$3:$M$3,0),FALSE)</f>
        <v>#N/A</v>
      </c>
      <c r="AR264" s="4" t="e">
        <f>VLOOKUP($N264,[2]Cultures!$B$4:$M$283,MATCH(AR$1,[2]Cultures!$B$3:$M$3,0),FALSE)</f>
        <v>#N/A</v>
      </c>
      <c r="AS264" s="4" t="e">
        <f>VLOOKUP($N264,[2]Cultures!$B$4:$M$283,MATCH(AS$1,[2]Cultures!$B$3:$M$3,0),FALSE)</f>
        <v>#N/A</v>
      </c>
      <c r="AT264" s="4"/>
      <c r="AU264" s="4">
        <f>IF(ISNUMBER(SEARCH(N264&amp;";",Calculations!$Q$19)),VLOOKUP(Skills!N264,Calculations!$Q$2:$T$16,4,FALSE),0)</f>
        <v>0</v>
      </c>
      <c r="AV264" s="4">
        <f>IF(ISNUMBER(SEARCH(N264&amp;";",Calculations!$Q$18)),1,0)</f>
        <v>0</v>
      </c>
      <c r="AW264" s="4">
        <f>IF($AV$244=1,1,IF($AV$262=1,1,AV264))</f>
        <v>0</v>
      </c>
      <c r="AX264" s="4">
        <f>VLOOKUP($N264,$N264:$CH264,MATCH('Character Sheet'!$BJ$3,Skills!$N$1:$CH$1,0),FALSE)</f>
        <v>0</v>
      </c>
    </row>
    <row r="265" spans="2:50" x14ac:dyDescent="0.25">
      <c r="B265" s="4" t="e">
        <f t="shared" si="113"/>
        <v>#N/A</v>
      </c>
      <c r="E265" s="4"/>
      <c r="F265" s="4">
        <f t="shared" si="138"/>
        <v>0</v>
      </c>
      <c r="G265" s="4"/>
      <c r="H265" s="4" t="e">
        <f t="shared" si="147"/>
        <v>#N/A</v>
      </c>
      <c r="I265" s="4" t="e">
        <f>IF($J$245=1,1,IF($J$263=1,1,0))</f>
        <v>#N/A</v>
      </c>
      <c r="J265" s="4">
        <f t="shared" si="139"/>
        <v>0</v>
      </c>
      <c r="K265" s="4" t="e">
        <f t="shared" si="137"/>
        <v>#N/A</v>
      </c>
      <c r="M265" t="str">
        <f>"Lore, "&amp;N265</f>
        <v>Lore, 0</v>
      </c>
      <c r="N265" s="3">
        <f>'Character Sheet'!BLR24</f>
        <v>0</v>
      </c>
      <c r="O265" s="4" t="s">
        <v>798</v>
      </c>
      <c r="P265" s="4" t="s">
        <v>792</v>
      </c>
      <c r="Q265" s="4" t="e">
        <f t="shared" si="115"/>
        <v>#N/A</v>
      </c>
      <c r="R265" s="4">
        <f>IF(ISNUMBER(SEARCH("Category",N265)),"- -",IF(ISNUMBER(SEARCH("Skills",N265)),"- -",'Level-up'!C283))</f>
        <v>0</v>
      </c>
      <c r="S265" s="4" t="e">
        <f t="shared" si="140"/>
        <v>#N/A</v>
      </c>
      <c r="T265" s="4" t="e">
        <f t="shared" si="141"/>
        <v>#N/A</v>
      </c>
      <c r="U265" s="4">
        <f t="shared" ca="1" si="146"/>
        <v>3</v>
      </c>
      <c r="V265" s="4">
        <f>IF(ISNUMBER(SEARCH("Category",N265)),"- -",IF(ISNUMBER(SEARCH("Skills",N265)),"- -",IF(AU265&gt;0,AU265,IF($AU$262&gt;0,$AU$262,$AU$244))))</f>
        <v>0</v>
      </c>
      <c r="W265" s="4">
        <f t="shared" si="116"/>
        <v>0</v>
      </c>
      <c r="X265" s="4">
        <f t="shared" si="114"/>
        <v>0</v>
      </c>
      <c r="Y265" s="4">
        <f t="shared" si="142"/>
        <v>0</v>
      </c>
      <c r="Z265" s="4">
        <f t="shared" si="143"/>
        <v>0</v>
      </c>
      <c r="AA265" s="4">
        <f t="shared" si="144"/>
        <v>0</v>
      </c>
      <c r="AB265" s="4">
        <f t="shared" si="145"/>
        <v>0</v>
      </c>
      <c r="AC265" s="8"/>
      <c r="AD265" s="4"/>
      <c r="AE265" s="4"/>
      <c r="AF265" s="4" t="e">
        <f t="shared" si="106"/>
        <v>#N/A</v>
      </c>
      <c r="AG265" s="4"/>
      <c r="AH265" s="4">
        <f>IFERROR(VLOOKUP(M265,Calculations!$AC$2:$AD$251,2,FALSE),0)</f>
        <v>0</v>
      </c>
      <c r="AI265" s="4" t="e">
        <f>VLOOKUP(N265,$N$2:$AS$620,MATCH('Character Creation'!$Z$12,Skills!$N$1:$AS$1,0),FALSE)</f>
        <v>#N/A</v>
      </c>
      <c r="AJ265" s="4" t="e">
        <f>VLOOKUP($N265,[2]Cultures!$B$4:$M$283,MATCH(AJ$1,[2]Cultures!$B$3:$M$3,0),FALSE)</f>
        <v>#N/A</v>
      </c>
      <c r="AK265" s="4" t="e">
        <f>VLOOKUP($N265,[2]Cultures!$B$4:$M$283,MATCH(AK$1,[2]Cultures!$B$3:$M$3,0),FALSE)</f>
        <v>#N/A</v>
      </c>
      <c r="AL265" s="4" t="e">
        <f>VLOOKUP($N265,[2]Cultures!$B$4:$M$283,MATCH(AL$1,[2]Cultures!$B$3:$M$3,0),FALSE)</f>
        <v>#N/A</v>
      </c>
      <c r="AM265" s="4" t="e">
        <f>VLOOKUP($N265,[2]Cultures!$B$4:$M$283,MATCH(AM$1,[2]Cultures!$B$3:$M$3,0),FALSE)</f>
        <v>#N/A</v>
      </c>
      <c r="AN265" s="4" t="e">
        <f>VLOOKUP($N265,[2]Cultures!$B$4:$M$283,MATCH(AN$1,[2]Cultures!$B$3:$M$3,0),FALSE)</f>
        <v>#N/A</v>
      </c>
      <c r="AO265" s="4" t="e">
        <f>VLOOKUP($N265,[2]Cultures!$B$4:$M$283,MATCH(AO$1,[2]Cultures!$B$3:$M$3,0),FALSE)</f>
        <v>#N/A</v>
      </c>
      <c r="AP265" s="4" t="e">
        <f>VLOOKUP($N265,[2]Cultures!$B$4:$M$283,MATCH(AP$1,[2]Cultures!$B$3:$M$3,0),FALSE)</f>
        <v>#N/A</v>
      </c>
      <c r="AQ265" s="4" t="e">
        <f>VLOOKUP($N265,[2]Cultures!$B$4:$M$283,MATCH(AQ$1,[2]Cultures!$B$3:$M$3,0),FALSE)</f>
        <v>#N/A</v>
      </c>
      <c r="AR265" s="4" t="e">
        <f>VLOOKUP($N265,[2]Cultures!$B$4:$M$283,MATCH(AR$1,[2]Cultures!$B$3:$M$3,0),FALSE)</f>
        <v>#N/A</v>
      </c>
      <c r="AS265" s="4" t="e">
        <f>VLOOKUP($N265,[2]Cultures!$B$4:$M$283,MATCH(AS$1,[2]Cultures!$B$3:$M$3,0),FALSE)</f>
        <v>#N/A</v>
      </c>
      <c r="AT265" s="4"/>
      <c r="AU265" s="4">
        <f>IF(ISNUMBER(SEARCH(N265&amp;";",Calculations!$Q$19)),VLOOKUP(Skills!N265,Calculations!$Q$2:$T$16,4,FALSE),0)</f>
        <v>0</v>
      </c>
      <c r="AV265" s="4">
        <f>IF(ISNUMBER(SEARCH(N265&amp;";",Calculations!$Q$18)),1,0)</f>
        <v>0</v>
      </c>
      <c r="AW265" s="4">
        <f>IF($AV$244=1,1,IF($AV$262=1,1,AV265))</f>
        <v>0</v>
      </c>
      <c r="AX265" s="4">
        <f>VLOOKUP($N265,$N265:$CH265,MATCH('Character Sheet'!$BJ$3,Skills!$N$1:$CH$1,0),FALSE)</f>
        <v>0</v>
      </c>
    </row>
    <row r="266" spans="2:50" x14ac:dyDescent="0.25">
      <c r="B266" s="4" t="e">
        <f t="shared" si="113"/>
        <v>#N/A</v>
      </c>
      <c r="E266" s="4"/>
      <c r="F266" s="4">
        <f t="shared" si="138"/>
        <v>0</v>
      </c>
      <c r="G266" s="4"/>
      <c r="H266" s="4" t="e">
        <f t="shared" si="147"/>
        <v>#N/A</v>
      </c>
      <c r="I266" s="4" t="e">
        <f>IF($J$245=1,1,IF($J$263=1,1,0))</f>
        <v>#N/A</v>
      </c>
      <c r="J266" s="4">
        <f t="shared" si="139"/>
        <v>0</v>
      </c>
      <c r="K266" s="4" t="e">
        <f t="shared" si="137"/>
        <v>#N/A</v>
      </c>
      <c r="M266" t="str">
        <f>"Lore, "&amp;N266</f>
        <v>Lore, 0</v>
      </c>
      <c r="N266" s="3">
        <f>'Character Sheet'!BLR25</f>
        <v>0</v>
      </c>
      <c r="O266" s="4" t="s">
        <v>798</v>
      </c>
      <c r="P266" s="4" t="s">
        <v>792</v>
      </c>
      <c r="Q266" s="4" t="e">
        <f t="shared" si="115"/>
        <v>#N/A</v>
      </c>
      <c r="R266" s="4">
        <f>IF(ISNUMBER(SEARCH("Category",N266)),"- -",IF(ISNUMBER(SEARCH("Skills",N266)),"- -",'Level-up'!C284))</f>
        <v>0</v>
      </c>
      <c r="S266" s="4" t="e">
        <f t="shared" si="140"/>
        <v>#N/A</v>
      </c>
      <c r="T266" s="4" t="e">
        <f t="shared" si="141"/>
        <v>#N/A</v>
      </c>
      <c r="U266" s="4">
        <f t="shared" ca="1" si="146"/>
        <v>3</v>
      </c>
      <c r="V266" s="4">
        <f>IF(ISNUMBER(SEARCH("Category",N266)),"- -",IF(ISNUMBER(SEARCH("Skills",N266)),"- -",IF(AU266&gt;0,AU266,IF($AU$262&gt;0,$AU$262,$AU$244))))</f>
        <v>0</v>
      </c>
      <c r="W266" s="4">
        <f t="shared" si="116"/>
        <v>0</v>
      </c>
      <c r="X266" s="4">
        <f t="shared" si="114"/>
        <v>0</v>
      </c>
      <c r="Y266" s="4">
        <f t="shared" si="142"/>
        <v>0</v>
      </c>
      <c r="Z266" s="4">
        <f t="shared" si="143"/>
        <v>0</v>
      </c>
      <c r="AA266" s="4">
        <f t="shared" si="144"/>
        <v>0</v>
      </c>
      <c r="AB266" s="4">
        <f t="shared" si="145"/>
        <v>0</v>
      </c>
      <c r="AC266" s="8"/>
      <c r="AD266" s="4"/>
      <c r="AE266" s="4"/>
      <c r="AF266" s="4" t="e">
        <f t="shared" ref="AF266:AF329" si="148">IF(ISNUMBER(SEARCH("Skills",N266)),"- -",IF(ISNUMBER(SEARCH("category",N266)),"- -",SUM(T266:Y266)+SUM(AA266:AE266)&amp;IF(AA266=Z266,"","/"&amp;SUM(T266:AE266))))</f>
        <v>#N/A</v>
      </c>
      <c r="AG266" s="4"/>
      <c r="AH266" s="4">
        <f>IFERROR(VLOOKUP(M266,Calculations!$AC$2:$AD$251,2,FALSE),0)</f>
        <v>0</v>
      </c>
      <c r="AI266" s="4" t="e">
        <f>VLOOKUP(N266,$N$2:$AS$620,MATCH('Character Creation'!$Z$12,Skills!$N$1:$AS$1,0),FALSE)</f>
        <v>#N/A</v>
      </c>
      <c r="AJ266" s="4" t="e">
        <f>VLOOKUP($N266,[2]Cultures!$B$4:$M$283,MATCH(AJ$1,[2]Cultures!$B$3:$M$3,0),FALSE)</f>
        <v>#N/A</v>
      </c>
      <c r="AK266" s="4" t="e">
        <f>VLOOKUP($N266,[2]Cultures!$B$4:$M$283,MATCH(AK$1,[2]Cultures!$B$3:$M$3,0),FALSE)</f>
        <v>#N/A</v>
      </c>
      <c r="AL266" s="4" t="e">
        <f>VLOOKUP($N266,[2]Cultures!$B$4:$M$283,MATCH(AL$1,[2]Cultures!$B$3:$M$3,0),FALSE)</f>
        <v>#N/A</v>
      </c>
      <c r="AM266" s="4" t="e">
        <f>VLOOKUP($N266,[2]Cultures!$B$4:$M$283,MATCH(AM$1,[2]Cultures!$B$3:$M$3,0),FALSE)</f>
        <v>#N/A</v>
      </c>
      <c r="AN266" s="4" t="e">
        <f>VLOOKUP($N266,[2]Cultures!$B$4:$M$283,MATCH(AN$1,[2]Cultures!$B$3:$M$3,0),FALSE)</f>
        <v>#N/A</v>
      </c>
      <c r="AO266" s="4" t="e">
        <f>VLOOKUP($N266,[2]Cultures!$B$4:$M$283,MATCH(AO$1,[2]Cultures!$B$3:$M$3,0),FALSE)</f>
        <v>#N/A</v>
      </c>
      <c r="AP266" s="4" t="e">
        <f>VLOOKUP($N266,[2]Cultures!$B$4:$M$283,MATCH(AP$1,[2]Cultures!$B$3:$M$3,0),FALSE)</f>
        <v>#N/A</v>
      </c>
      <c r="AQ266" s="4" t="e">
        <f>VLOOKUP($N266,[2]Cultures!$B$4:$M$283,MATCH(AQ$1,[2]Cultures!$B$3:$M$3,0),FALSE)</f>
        <v>#N/A</v>
      </c>
      <c r="AR266" s="4" t="e">
        <f>VLOOKUP($N266,[2]Cultures!$B$4:$M$283,MATCH(AR$1,[2]Cultures!$B$3:$M$3,0),FALSE)</f>
        <v>#N/A</v>
      </c>
      <c r="AS266" s="4" t="e">
        <f>VLOOKUP($N266,[2]Cultures!$B$4:$M$283,MATCH(AS$1,[2]Cultures!$B$3:$M$3,0),FALSE)</f>
        <v>#N/A</v>
      </c>
      <c r="AT266" s="4"/>
      <c r="AU266" s="4">
        <f>IF(ISNUMBER(SEARCH(N266&amp;";",Calculations!$Q$19)),VLOOKUP(Skills!N266,Calculations!$Q$2:$T$16,4,FALSE),0)</f>
        <v>0</v>
      </c>
      <c r="AV266" s="4">
        <f>IF(ISNUMBER(SEARCH(N266&amp;";",Calculations!$Q$18)),1,0)</f>
        <v>0</v>
      </c>
      <c r="AW266" s="4">
        <f>IF($AV$244=1,1,IF($AV$262=1,1,AV266))</f>
        <v>0</v>
      </c>
      <c r="AX266" s="4">
        <f>VLOOKUP($N266,$N266:$CH266,MATCH('Character Sheet'!$BJ$3,Skills!$N$1:$CH$1,0),FALSE)</f>
        <v>0</v>
      </c>
    </row>
    <row r="267" spans="2:50" x14ac:dyDescent="0.25">
      <c r="B267" s="4" t="e">
        <f t="shared" si="113"/>
        <v>#N/A</v>
      </c>
      <c r="E267" s="4"/>
      <c r="F267" s="4">
        <f t="shared" si="138"/>
        <v>0</v>
      </c>
      <c r="G267" s="4"/>
      <c r="H267" s="4" t="e">
        <f t="shared" si="147"/>
        <v>#N/A</v>
      </c>
      <c r="I267" s="4" t="e">
        <f>IF($J$245=1,1,IF($J$268=1,1,0))</f>
        <v>#N/A</v>
      </c>
      <c r="J267" s="4">
        <f t="shared" si="139"/>
        <v>0</v>
      </c>
      <c r="K267" s="4" t="e">
        <f t="shared" si="137"/>
        <v>#N/A</v>
      </c>
      <c r="N267" s="3" t="s">
        <v>673</v>
      </c>
      <c r="O267" s="6" t="s">
        <v>782</v>
      </c>
      <c r="P267" s="6" t="s">
        <v>782</v>
      </c>
      <c r="Q267" s="4" t="str">
        <f t="shared" si="115"/>
        <v>- -</v>
      </c>
      <c r="R267" s="4" t="str">
        <f>IF(ISNUMBER(SEARCH("Category",N267)),"- -",IF(ISNUMBER(SEARCH("Skills",N267)),"- -",'Level-up'!C285))</f>
        <v>- -</v>
      </c>
      <c r="S267" s="4" t="str">
        <f t="shared" si="140"/>
        <v>- -</v>
      </c>
      <c r="T267" s="4" t="str">
        <f t="shared" si="141"/>
        <v>- -</v>
      </c>
      <c r="U267" s="4" t="str">
        <f t="shared" ca="1" si="146"/>
        <v>- -</v>
      </c>
      <c r="V267" s="4" t="str">
        <f>IF(ISNUMBER(SEARCH("Category",N267)),"- -",IF(ISNUMBER(SEARCH("Skills",N267)),"- -",IF(AU267&gt;0,AU267,IF($AU$262&gt;0,$AU$262,$AU$244))))</f>
        <v>- -</v>
      </c>
      <c r="W267" s="4" t="str">
        <f t="shared" si="116"/>
        <v>- -</v>
      </c>
      <c r="X267" s="4" t="str">
        <f t="shared" si="114"/>
        <v>- -</v>
      </c>
      <c r="Y267" s="4" t="str">
        <f t="shared" si="142"/>
        <v>- -</v>
      </c>
      <c r="Z267" s="4" t="str">
        <f t="shared" si="143"/>
        <v>- -</v>
      </c>
      <c r="AA267" s="4" t="str">
        <f t="shared" si="144"/>
        <v>- -</v>
      </c>
      <c r="AB267" s="4" t="str">
        <f t="shared" si="145"/>
        <v>- -</v>
      </c>
      <c r="AC267" s="8"/>
      <c r="AD267" s="4"/>
      <c r="AE267" s="4"/>
      <c r="AF267" s="4" t="str">
        <f t="shared" si="148"/>
        <v>- -</v>
      </c>
      <c r="AG267" s="4"/>
      <c r="AH267" s="4">
        <f>IFERROR(VLOOKUP(M267,Calculations!$AC$2:$AD$251,2,FALSE),0)</f>
        <v>0</v>
      </c>
      <c r="AI267" s="4" t="e">
        <f>VLOOKUP(N267,$N$2:$AS$620,MATCH('Character Creation'!$Z$12,Skills!$N$1:$AS$1,0),FALSE)</f>
        <v>#N/A</v>
      </c>
      <c r="AJ267" s="4" t="e">
        <f>VLOOKUP($N267,[2]Cultures!$B$4:$M$283,MATCH(AJ$1,[2]Cultures!$B$3:$M$3,0),FALSE)</f>
        <v>#N/A</v>
      </c>
      <c r="AK267" s="4" t="e">
        <f>VLOOKUP($N267,[2]Cultures!$B$4:$M$283,MATCH(AK$1,[2]Cultures!$B$3:$M$3,0),FALSE)</f>
        <v>#N/A</v>
      </c>
      <c r="AL267" s="4" t="e">
        <f>VLOOKUP($N267,[2]Cultures!$B$4:$M$283,MATCH(AL$1,[2]Cultures!$B$3:$M$3,0),FALSE)</f>
        <v>#N/A</v>
      </c>
      <c r="AM267" s="4" t="e">
        <f>VLOOKUP($N267,[2]Cultures!$B$4:$M$283,MATCH(AM$1,[2]Cultures!$B$3:$M$3,0),FALSE)</f>
        <v>#N/A</v>
      </c>
      <c r="AN267" s="4" t="e">
        <f>VLOOKUP($N267,[2]Cultures!$B$4:$M$283,MATCH(AN$1,[2]Cultures!$B$3:$M$3,0),FALSE)</f>
        <v>#N/A</v>
      </c>
      <c r="AO267" s="4" t="e">
        <f>VLOOKUP($N267,[2]Cultures!$B$4:$M$283,MATCH(AO$1,[2]Cultures!$B$3:$M$3,0),FALSE)</f>
        <v>#N/A</v>
      </c>
      <c r="AP267" s="4" t="e">
        <f>VLOOKUP($N267,[2]Cultures!$B$4:$M$283,MATCH(AP$1,[2]Cultures!$B$3:$M$3,0),FALSE)</f>
        <v>#N/A</v>
      </c>
      <c r="AQ267" s="4" t="e">
        <f>VLOOKUP($N267,[2]Cultures!$B$4:$M$283,MATCH(AQ$1,[2]Cultures!$B$3:$M$3,0),FALSE)</f>
        <v>#N/A</v>
      </c>
      <c r="AR267" s="4" t="e">
        <f>VLOOKUP($N267,[2]Cultures!$B$4:$M$283,MATCH(AR$1,[2]Cultures!$B$3:$M$3,0),FALSE)</f>
        <v>#N/A</v>
      </c>
      <c r="AS267" s="4" t="e">
        <f>VLOOKUP($N267,[2]Cultures!$B$4:$M$283,MATCH(AS$1,[2]Cultures!$B$3:$M$3,0),FALSE)</f>
        <v>#N/A</v>
      </c>
      <c r="AT267" s="4"/>
      <c r="AU267" s="4">
        <f>IF(ISNUMBER(SEARCH(N267&amp;";",Calculations!$Q$19)),VLOOKUP(Skills!N267,Calculations!$Q$2:$T$16,4,FALSE),0)</f>
        <v>0</v>
      </c>
      <c r="AV267" s="4">
        <f>IF(ISNUMBER(SEARCH(N267&amp;";",Calculations!$Q$18)),1,0)</f>
        <v>0</v>
      </c>
      <c r="AW267" s="4"/>
      <c r="AX267" s="4">
        <f>VLOOKUP($N267,$N267:$CH267,MATCH('Character Sheet'!$BJ$3,Skills!$N$1:$CH$1,0),FALSE)</f>
        <v>0</v>
      </c>
    </row>
    <row r="268" spans="2:50" x14ac:dyDescent="0.25">
      <c r="B268" s="4" t="e">
        <f t="shared" si="113"/>
        <v>#N/A</v>
      </c>
      <c r="E268" s="4"/>
      <c r="F268" s="4">
        <f t="shared" si="138"/>
        <v>0</v>
      </c>
      <c r="G268" s="4"/>
      <c r="H268" s="4" t="e">
        <f t="shared" si="147"/>
        <v>#N/A</v>
      </c>
      <c r="I268" s="4">
        <v>0</v>
      </c>
      <c r="J268" s="4" t="e">
        <f t="shared" si="139"/>
        <v>#N/A</v>
      </c>
      <c r="K268" s="4" t="e">
        <f t="shared" si="137"/>
        <v>#N/A</v>
      </c>
      <c r="N268" s="3" t="s">
        <v>674</v>
      </c>
      <c r="O268" s="6" t="s">
        <v>782</v>
      </c>
      <c r="P268" s="6" t="s">
        <v>782</v>
      </c>
      <c r="Q268" s="4" t="str">
        <f t="shared" si="115"/>
        <v>- -</v>
      </c>
      <c r="R268" s="4" t="str">
        <f>IF(ISNUMBER(SEARCH("Category",N268)),"- -",IF(ISNUMBER(SEARCH("Skills",N268)),"- -",'Level-up'!C286))</f>
        <v>- -</v>
      </c>
      <c r="S268" s="4" t="str">
        <f t="shared" si="140"/>
        <v>- -</v>
      </c>
      <c r="T268" s="4" t="str">
        <f t="shared" si="141"/>
        <v>- -</v>
      </c>
      <c r="U268" s="4" t="str">
        <f t="shared" ca="1" si="146"/>
        <v>- -</v>
      </c>
      <c r="V268" s="4" t="str">
        <f>IF(ISNUMBER(SEARCH("Category",N268)),"- -",IF(ISNUMBER(SEARCH("Skills",N268)),"- -",IF(AU268&gt;0,AU268,IF($AU$262&gt;0,$AU$262,$AU$244))))</f>
        <v>- -</v>
      </c>
      <c r="W268" s="4" t="str">
        <f t="shared" si="116"/>
        <v>- -</v>
      </c>
      <c r="X268" s="4" t="str">
        <f t="shared" si="114"/>
        <v>- -</v>
      </c>
      <c r="Y268" s="4" t="str">
        <f t="shared" si="142"/>
        <v>- -</v>
      </c>
      <c r="Z268" s="4" t="str">
        <f t="shared" si="143"/>
        <v>- -</v>
      </c>
      <c r="AA268" s="4" t="str">
        <f t="shared" si="144"/>
        <v>- -</v>
      </c>
      <c r="AB268" s="4" t="str">
        <f t="shared" si="145"/>
        <v>- -</v>
      </c>
      <c r="AC268" s="8"/>
      <c r="AD268" s="4"/>
      <c r="AE268" s="4"/>
      <c r="AF268" s="4" t="str">
        <f t="shared" si="148"/>
        <v>- -</v>
      </c>
      <c r="AG268" s="4"/>
      <c r="AH268" s="4">
        <f>IFERROR(VLOOKUP(M268,Calculations!$AC$2:$AD$251,2,FALSE),0)</f>
        <v>0</v>
      </c>
      <c r="AI268" s="4" t="e">
        <f>VLOOKUP(N268,$N$2:$AS$620,MATCH('Character Creation'!$Z$12,Skills!$N$1:$AS$1,0),FALSE)</f>
        <v>#N/A</v>
      </c>
      <c r="AJ268" s="4" t="e">
        <f>VLOOKUP($N268,[2]Cultures!$B$4:$M$283,MATCH(AJ$1,[2]Cultures!$B$3:$M$3,0),FALSE)</f>
        <v>#N/A</v>
      </c>
      <c r="AK268" s="4" t="e">
        <f>VLOOKUP($N268,[2]Cultures!$B$4:$M$283,MATCH(AK$1,[2]Cultures!$B$3:$M$3,0),FALSE)</f>
        <v>#N/A</v>
      </c>
      <c r="AL268" s="4" t="e">
        <f>VLOOKUP($N268,[2]Cultures!$B$4:$M$283,MATCH(AL$1,[2]Cultures!$B$3:$M$3,0),FALSE)</f>
        <v>#N/A</v>
      </c>
      <c r="AM268" s="4" t="e">
        <f>VLOOKUP($N268,[2]Cultures!$B$4:$M$283,MATCH(AM$1,[2]Cultures!$B$3:$M$3,0),FALSE)</f>
        <v>#N/A</v>
      </c>
      <c r="AN268" s="4" t="e">
        <f>VLOOKUP($N268,[2]Cultures!$B$4:$M$283,MATCH(AN$1,[2]Cultures!$B$3:$M$3,0),FALSE)</f>
        <v>#N/A</v>
      </c>
      <c r="AO268" s="4" t="e">
        <f>VLOOKUP($N268,[2]Cultures!$B$4:$M$283,MATCH(AO$1,[2]Cultures!$B$3:$M$3,0),FALSE)</f>
        <v>#N/A</v>
      </c>
      <c r="AP268" s="4" t="e">
        <f>VLOOKUP($N268,[2]Cultures!$B$4:$M$283,MATCH(AP$1,[2]Cultures!$B$3:$M$3,0),FALSE)</f>
        <v>#N/A</v>
      </c>
      <c r="AQ268" s="4" t="e">
        <f>VLOOKUP($N268,[2]Cultures!$B$4:$M$283,MATCH(AQ$1,[2]Cultures!$B$3:$M$3,0),FALSE)</f>
        <v>#N/A</v>
      </c>
      <c r="AR268" s="4" t="e">
        <f>VLOOKUP($N268,[2]Cultures!$B$4:$M$283,MATCH(AR$1,[2]Cultures!$B$3:$M$3,0),FALSE)</f>
        <v>#N/A</v>
      </c>
      <c r="AS268" s="4" t="e">
        <f>VLOOKUP($N268,[2]Cultures!$B$4:$M$283,MATCH(AS$1,[2]Cultures!$B$3:$M$3,0),FALSE)</f>
        <v>#N/A</v>
      </c>
      <c r="AT268" s="4"/>
      <c r="AU268" s="4">
        <f>IF(ISNUMBER(SEARCH(N268&amp;";",Calculations!$Q$19)),VLOOKUP(Skills!N268,Calculations!$Q$2:$T$16,4,FALSE),0)</f>
        <v>0</v>
      </c>
      <c r="AV268" s="4">
        <f>IF(ISNUMBER(SEARCH(N268&amp;";",Calculations!$Q$18)),1,0)</f>
        <v>0</v>
      </c>
      <c r="AW268" s="4"/>
      <c r="AX268" s="4">
        <f>VLOOKUP($N268,$N268:$CH268,MATCH('Character Sheet'!$BJ$3,Skills!$N$1:$CH$1,0),FALSE)</f>
        <v>0</v>
      </c>
    </row>
    <row r="269" spans="2:50" x14ac:dyDescent="0.25">
      <c r="B269" s="4" t="e">
        <f t="shared" si="113"/>
        <v>#N/A</v>
      </c>
      <c r="E269" s="4"/>
      <c r="F269" s="4">
        <f t="shared" si="138"/>
        <v>0</v>
      </c>
      <c r="G269" s="4"/>
      <c r="H269" s="4" t="e">
        <f t="shared" si="147"/>
        <v>#N/A</v>
      </c>
      <c r="I269" s="4" t="e">
        <f>IF($J$245=1,1,IF($J$268=1,1,0))</f>
        <v>#N/A</v>
      </c>
      <c r="J269" s="4">
        <f t="shared" si="139"/>
        <v>0</v>
      </c>
      <c r="K269" s="4">
        <f t="shared" si="137"/>
        <v>0</v>
      </c>
      <c r="M269" t="str">
        <f>N269</f>
        <v>Appraisal</v>
      </c>
      <c r="N269" s="3" t="str">
        <f>'Character Sheet'!BLR29</f>
        <v>Appraisal</v>
      </c>
      <c r="O269" s="4" t="s">
        <v>798</v>
      </c>
      <c r="P269" s="4" t="s">
        <v>792</v>
      </c>
      <c r="Q269" s="4">
        <f t="shared" si="115"/>
        <v>0</v>
      </c>
      <c r="R269" s="4">
        <f>IF(ISNUMBER(SEARCH("Category",N269)),"- -",IF(ISNUMBER(SEARCH("Skills",N269)),"- -",'Level-up'!C287))</f>
        <v>0</v>
      </c>
      <c r="S269" s="4">
        <f t="shared" si="140"/>
        <v>0</v>
      </c>
      <c r="T269" s="4">
        <f t="shared" si="141"/>
        <v>-25</v>
      </c>
      <c r="U269" s="4">
        <f t="shared" ca="1" si="146"/>
        <v>3</v>
      </c>
      <c r="V269" s="4">
        <f t="shared" ref="V269:V275" si="149">IF(ISNUMBER(SEARCH("Category",N269)),"- -",IF(ISNUMBER(SEARCH("Skills",N269)),"- -",IF(AU269&gt;0,AU269,IF($AU$267&gt;0,$AU$267,$AU$244))))</f>
        <v>0</v>
      </c>
      <c r="W269" s="4">
        <f t="shared" si="116"/>
        <v>0</v>
      </c>
      <c r="X269" s="4">
        <f t="shared" si="114"/>
        <v>0</v>
      </c>
      <c r="Y269" s="4">
        <f t="shared" si="142"/>
        <v>0</v>
      </c>
      <c r="Z269" s="4">
        <f t="shared" si="143"/>
        <v>0</v>
      </c>
      <c r="AA269" s="4">
        <f t="shared" si="144"/>
        <v>0</v>
      </c>
      <c r="AB269" s="4">
        <f t="shared" si="145"/>
        <v>0</v>
      </c>
      <c r="AC269" s="8"/>
      <c r="AD269" s="4"/>
      <c r="AE269" s="4"/>
      <c r="AF269" s="4" t="str">
        <f t="shared" ca="1" si="148"/>
        <v>-22</v>
      </c>
      <c r="AG269" s="4"/>
      <c r="AH269" s="4">
        <f>IFERROR(VLOOKUP(M269,Calculations!$AC$2:$AD$251,2,FALSE),0)</f>
        <v>0</v>
      </c>
      <c r="AI269" s="4">
        <f>VLOOKUP(N269,$N$2:$AS$620,MATCH('Character Creation'!$Z$12,Skills!$N$1:$AS$1,0),FALSE)</f>
        <v>0</v>
      </c>
      <c r="AJ269" s="4">
        <f>VLOOKUP($N269,[2]Cultures!$B$4:$M$283,MATCH(AJ$1,[2]Cultures!$B$3:$M$3,0),FALSE)</f>
        <v>0</v>
      </c>
      <c r="AK269" s="4">
        <f>VLOOKUP($N269,[2]Cultures!$B$4:$M$283,MATCH(AK$1,[2]Cultures!$B$3:$M$3,0),FALSE)</f>
        <v>0</v>
      </c>
      <c r="AL269" s="4">
        <f>VLOOKUP($N269,[2]Cultures!$B$4:$M$283,MATCH(AL$1,[2]Cultures!$B$3:$M$3,0),FALSE)</f>
        <v>0</v>
      </c>
      <c r="AM269" s="4">
        <f>VLOOKUP($N269,[2]Cultures!$B$4:$M$283,MATCH(AM$1,[2]Cultures!$B$3:$M$3,0),FALSE)</f>
        <v>0</v>
      </c>
      <c r="AN269" s="4">
        <f>VLOOKUP($N269,[2]Cultures!$B$4:$M$283,MATCH(AN$1,[2]Cultures!$B$3:$M$3,0),FALSE)</f>
        <v>0</v>
      </c>
      <c r="AO269" s="4">
        <f>VLOOKUP($N269,[2]Cultures!$B$4:$M$283,MATCH(AO$1,[2]Cultures!$B$3:$M$3,0),FALSE)</f>
        <v>0</v>
      </c>
      <c r="AP269" s="4">
        <f>VLOOKUP($N269,[2]Cultures!$B$4:$M$283,MATCH(AP$1,[2]Cultures!$B$3:$M$3,0),FALSE)</f>
        <v>0</v>
      </c>
      <c r="AQ269" s="4">
        <f>VLOOKUP($N269,[2]Cultures!$B$4:$M$283,MATCH(AQ$1,[2]Cultures!$B$3:$M$3,0),FALSE)</f>
        <v>0</v>
      </c>
      <c r="AR269" s="4">
        <f>VLOOKUP($N269,[2]Cultures!$B$4:$M$283,MATCH(AR$1,[2]Cultures!$B$3:$M$3,0),FALSE)</f>
        <v>0</v>
      </c>
      <c r="AS269" s="4">
        <f>VLOOKUP($N269,[2]Cultures!$B$4:$M$283,MATCH(AS$1,[2]Cultures!$B$3:$M$3,0),FALSE)</f>
        <v>0</v>
      </c>
      <c r="AT269" s="4"/>
      <c r="AU269" s="4">
        <f>IF(ISNUMBER(SEARCH(N269&amp;";",Calculations!$Q$19)),VLOOKUP(Skills!N269,Calculations!$Q$2:$T$16,4,FALSE),0)</f>
        <v>0</v>
      </c>
      <c r="AV269" s="4">
        <f>IF(ISNUMBER(SEARCH(N269&amp;";",Calculations!$Q$18)),1,0)</f>
        <v>0</v>
      </c>
      <c r="AW269" s="4">
        <f>IF($AV$244=1,1,IF($AV$267=1,1,AV269))</f>
        <v>0</v>
      </c>
      <c r="AX269" s="4">
        <f>VLOOKUP($N269,$N269:$CH269,MATCH('Character Sheet'!$BJ$3,Skills!$N$1:$CH$1,0),FALSE)</f>
        <v>0</v>
      </c>
    </row>
    <row r="270" spans="2:50" x14ac:dyDescent="0.25">
      <c r="B270" s="4" t="e">
        <f t="shared" si="113"/>
        <v>#N/A</v>
      </c>
      <c r="E270" s="4"/>
      <c r="F270" s="4">
        <f t="shared" si="138"/>
        <v>0</v>
      </c>
      <c r="G270" s="4"/>
      <c r="H270" s="4" t="e">
        <f t="shared" si="147"/>
        <v>#N/A</v>
      </c>
      <c r="I270" s="4" t="e">
        <f>IF($J$245=1,1,IF($J$268=1,1,0))</f>
        <v>#N/A</v>
      </c>
      <c r="J270" s="4">
        <f t="shared" si="139"/>
        <v>0</v>
      </c>
      <c r="K270" s="4" t="e">
        <f t="shared" si="137"/>
        <v>#N/A</v>
      </c>
      <c r="M270" t="str">
        <f>N270</f>
        <v>Evaluation, Armour</v>
      </c>
      <c r="N270" s="3" t="str">
        <f>'Character Sheet'!BLR30</f>
        <v>Evaluation, Armour</v>
      </c>
      <c r="O270" s="4" t="s">
        <v>798</v>
      </c>
      <c r="P270" s="4" t="s">
        <v>792</v>
      </c>
      <c r="Q270" s="4" t="e">
        <f t="shared" si="115"/>
        <v>#N/A</v>
      </c>
      <c r="R270" s="4">
        <f>IF(ISNUMBER(SEARCH("Category",N270)),"- -",IF(ISNUMBER(SEARCH("Skills",N270)),"- -",'Level-up'!C288))</f>
        <v>0</v>
      </c>
      <c r="S270" s="4" t="e">
        <f t="shared" si="140"/>
        <v>#N/A</v>
      </c>
      <c r="T270" s="4" t="e">
        <f t="shared" si="141"/>
        <v>#N/A</v>
      </c>
      <c r="U270" s="4">
        <f t="shared" ca="1" si="146"/>
        <v>3</v>
      </c>
      <c r="V270" s="4">
        <f t="shared" si="149"/>
        <v>0</v>
      </c>
      <c r="W270" s="4">
        <f t="shared" si="116"/>
        <v>0</v>
      </c>
      <c r="X270" s="4">
        <f t="shared" si="114"/>
        <v>0</v>
      </c>
      <c r="Y270" s="4">
        <f t="shared" si="142"/>
        <v>0</v>
      </c>
      <c r="Z270" s="4">
        <f t="shared" si="143"/>
        <v>0</v>
      </c>
      <c r="AA270" s="4">
        <f t="shared" si="144"/>
        <v>0</v>
      </c>
      <c r="AB270" s="4">
        <f t="shared" si="145"/>
        <v>0</v>
      </c>
      <c r="AC270" s="8"/>
      <c r="AD270" s="4"/>
      <c r="AE270" s="4"/>
      <c r="AF270" s="4" t="e">
        <f t="shared" si="148"/>
        <v>#N/A</v>
      </c>
      <c r="AG270" s="4"/>
      <c r="AH270" s="4">
        <f>IFERROR(VLOOKUP(M270,Calculations!$AC$2:$AD$251,2,FALSE),0)</f>
        <v>0</v>
      </c>
      <c r="AI270" s="4" t="e">
        <f>VLOOKUP(N270,$N$2:$AS$620,MATCH('Character Creation'!$Z$12,Skills!$N$1:$AS$1,0),FALSE)</f>
        <v>#N/A</v>
      </c>
      <c r="AJ270" s="4" t="e">
        <f>VLOOKUP($N270,[2]Cultures!$B$4:$M$283,MATCH(AJ$1,[2]Cultures!$B$3:$M$3,0),FALSE)</f>
        <v>#N/A</v>
      </c>
      <c r="AK270" s="4" t="e">
        <f>VLOOKUP($N270,[2]Cultures!$B$4:$M$283,MATCH(AK$1,[2]Cultures!$B$3:$M$3,0),FALSE)</f>
        <v>#N/A</v>
      </c>
      <c r="AL270" s="4" t="e">
        <f>VLOOKUP($N270,[2]Cultures!$B$4:$M$283,MATCH(AL$1,[2]Cultures!$B$3:$M$3,0),FALSE)</f>
        <v>#N/A</v>
      </c>
      <c r="AM270" s="4" t="e">
        <f>VLOOKUP($N270,[2]Cultures!$B$4:$M$283,MATCH(AM$1,[2]Cultures!$B$3:$M$3,0),FALSE)</f>
        <v>#N/A</v>
      </c>
      <c r="AN270" s="4" t="e">
        <f>VLOOKUP($N270,[2]Cultures!$B$4:$M$283,MATCH(AN$1,[2]Cultures!$B$3:$M$3,0),FALSE)</f>
        <v>#N/A</v>
      </c>
      <c r="AO270" s="4" t="e">
        <f>VLOOKUP($N270,[2]Cultures!$B$4:$M$283,MATCH(AO$1,[2]Cultures!$B$3:$M$3,0),FALSE)</f>
        <v>#N/A</v>
      </c>
      <c r="AP270" s="4" t="e">
        <f>VLOOKUP($N270,[2]Cultures!$B$4:$M$283,MATCH(AP$1,[2]Cultures!$B$3:$M$3,0),FALSE)</f>
        <v>#N/A</v>
      </c>
      <c r="AQ270" s="4" t="e">
        <f>VLOOKUP($N270,[2]Cultures!$B$4:$M$283,MATCH(AQ$1,[2]Cultures!$B$3:$M$3,0),FALSE)</f>
        <v>#N/A</v>
      </c>
      <c r="AR270" s="4" t="e">
        <f>VLOOKUP($N270,[2]Cultures!$B$4:$M$283,MATCH(AR$1,[2]Cultures!$B$3:$M$3,0),FALSE)</f>
        <v>#N/A</v>
      </c>
      <c r="AS270" s="4" t="e">
        <f>VLOOKUP($N270,[2]Cultures!$B$4:$M$283,MATCH(AS$1,[2]Cultures!$B$3:$M$3,0),FALSE)</f>
        <v>#N/A</v>
      </c>
      <c r="AT270" s="4"/>
      <c r="AU270" s="4">
        <f>IF(ISNUMBER(SEARCH(N270&amp;";",Calculations!$Q$19)),VLOOKUP(Skills!N270,Calculations!$Q$2:$T$16,4,FALSE),0)</f>
        <v>0</v>
      </c>
      <c r="AV270" s="4">
        <f>IF(ISNUMBER(SEARCH(N270&amp;";",Calculations!$Q$18)),1,0)</f>
        <v>0</v>
      </c>
      <c r="AW270" s="4">
        <f>IF($AV$244=1,1,IF($AV$267=1,1,AV270))</f>
        <v>0</v>
      </c>
      <c r="AX270" s="4">
        <f>VLOOKUP($N270,$N270:$CH270,MATCH('Character Sheet'!$BJ$3,Skills!$N$1:$CH$1,0),FALSE)</f>
        <v>0</v>
      </c>
    </row>
    <row r="271" spans="2:50" x14ac:dyDescent="0.25">
      <c r="B271" s="4" t="e">
        <f t="shared" si="113"/>
        <v>#N/A</v>
      </c>
      <c r="E271" s="4"/>
      <c r="F271" s="4">
        <f t="shared" si="138"/>
        <v>0</v>
      </c>
      <c r="G271" s="4"/>
      <c r="H271" s="4" t="e">
        <f t="shared" si="147"/>
        <v>#N/A</v>
      </c>
      <c r="I271" s="4" t="e">
        <f>IF($J$245=1,1,IF($J$268=1,1,0))</f>
        <v>#N/A</v>
      </c>
      <c r="J271" s="4">
        <f t="shared" si="139"/>
        <v>0</v>
      </c>
      <c r="K271" s="4" t="e">
        <f t="shared" si="137"/>
        <v>#N/A</v>
      </c>
      <c r="M271" t="str">
        <f>N271</f>
        <v>Evaluation, Weapon</v>
      </c>
      <c r="N271" s="3" t="str">
        <f>'Character Sheet'!BLR31</f>
        <v>Evaluation, Weapon</v>
      </c>
      <c r="O271" s="4" t="s">
        <v>798</v>
      </c>
      <c r="P271" s="4" t="s">
        <v>792</v>
      </c>
      <c r="Q271" s="4" t="e">
        <f t="shared" si="115"/>
        <v>#N/A</v>
      </c>
      <c r="R271" s="4">
        <f>IF(ISNUMBER(SEARCH("Category",N271)),"- -",IF(ISNUMBER(SEARCH("Skills",N271)),"- -",'Level-up'!C289))</f>
        <v>0</v>
      </c>
      <c r="S271" s="4" t="e">
        <f t="shared" si="140"/>
        <v>#N/A</v>
      </c>
      <c r="T271" s="4" t="e">
        <f t="shared" si="141"/>
        <v>#N/A</v>
      </c>
      <c r="U271" s="4">
        <f t="shared" ca="1" si="146"/>
        <v>3</v>
      </c>
      <c r="V271" s="4">
        <f t="shared" si="149"/>
        <v>0</v>
      </c>
      <c r="W271" s="4">
        <f t="shared" si="116"/>
        <v>0</v>
      </c>
      <c r="X271" s="4">
        <f t="shared" si="114"/>
        <v>0</v>
      </c>
      <c r="Y271" s="4">
        <f t="shared" si="142"/>
        <v>0</v>
      </c>
      <c r="Z271" s="4">
        <f t="shared" si="143"/>
        <v>0</v>
      </c>
      <c r="AA271" s="4">
        <f t="shared" si="144"/>
        <v>0</v>
      </c>
      <c r="AB271" s="4">
        <f t="shared" si="145"/>
        <v>0</v>
      </c>
      <c r="AC271" s="8"/>
      <c r="AD271" s="4"/>
      <c r="AE271" s="4"/>
      <c r="AF271" s="4" t="e">
        <f t="shared" si="148"/>
        <v>#N/A</v>
      </c>
      <c r="AG271" s="4"/>
      <c r="AH271" s="4">
        <f>IFERROR(VLOOKUP(M271,Calculations!$AC$2:$AD$251,2,FALSE),0)</f>
        <v>0</v>
      </c>
      <c r="AI271" s="4" t="e">
        <f>VLOOKUP(N271,$N$2:$AS$620,MATCH('Character Creation'!$Z$12,Skills!$N$1:$AS$1,0),FALSE)</f>
        <v>#N/A</v>
      </c>
      <c r="AJ271" s="4" t="e">
        <f>VLOOKUP($N271,[2]Cultures!$B$4:$M$283,MATCH(AJ$1,[2]Cultures!$B$3:$M$3,0),FALSE)</f>
        <v>#N/A</v>
      </c>
      <c r="AK271" s="4" t="e">
        <f>VLOOKUP($N271,[2]Cultures!$B$4:$M$283,MATCH(AK$1,[2]Cultures!$B$3:$M$3,0),FALSE)</f>
        <v>#N/A</v>
      </c>
      <c r="AL271" s="4" t="e">
        <f>VLOOKUP($N271,[2]Cultures!$B$4:$M$283,MATCH(AL$1,[2]Cultures!$B$3:$M$3,0),FALSE)</f>
        <v>#N/A</v>
      </c>
      <c r="AM271" s="4" t="e">
        <f>VLOOKUP($N271,[2]Cultures!$B$4:$M$283,MATCH(AM$1,[2]Cultures!$B$3:$M$3,0),FALSE)</f>
        <v>#N/A</v>
      </c>
      <c r="AN271" s="4" t="e">
        <f>VLOOKUP($N271,[2]Cultures!$B$4:$M$283,MATCH(AN$1,[2]Cultures!$B$3:$M$3,0),FALSE)</f>
        <v>#N/A</v>
      </c>
      <c r="AO271" s="4" t="e">
        <f>VLOOKUP($N271,[2]Cultures!$B$4:$M$283,MATCH(AO$1,[2]Cultures!$B$3:$M$3,0),FALSE)</f>
        <v>#N/A</v>
      </c>
      <c r="AP271" s="4" t="e">
        <f>VLOOKUP($N271,[2]Cultures!$B$4:$M$283,MATCH(AP$1,[2]Cultures!$B$3:$M$3,0),FALSE)</f>
        <v>#N/A</v>
      </c>
      <c r="AQ271" s="4" t="e">
        <f>VLOOKUP($N271,[2]Cultures!$B$4:$M$283,MATCH(AQ$1,[2]Cultures!$B$3:$M$3,0),FALSE)</f>
        <v>#N/A</v>
      </c>
      <c r="AR271" s="4" t="e">
        <f>VLOOKUP($N271,[2]Cultures!$B$4:$M$283,MATCH(AR$1,[2]Cultures!$B$3:$M$3,0),FALSE)</f>
        <v>#N/A</v>
      </c>
      <c r="AS271" s="4" t="e">
        <f>VLOOKUP($N271,[2]Cultures!$B$4:$M$283,MATCH(AS$1,[2]Cultures!$B$3:$M$3,0),FALSE)</f>
        <v>#N/A</v>
      </c>
      <c r="AT271" s="4"/>
      <c r="AU271" s="4">
        <f>IF(ISNUMBER(SEARCH(N271&amp;";",Calculations!$Q$19)),VLOOKUP(Skills!N271,Calculations!$Q$2:$T$16,4,FALSE),0)</f>
        <v>0</v>
      </c>
      <c r="AV271" s="4">
        <f>IF(ISNUMBER(SEARCH(N271&amp;";",Calculations!$Q$18)),1,0)</f>
        <v>0</v>
      </c>
      <c r="AW271" s="4">
        <f>IF($AV$244=1,1,IF($AV$267=1,1,AV271))</f>
        <v>0</v>
      </c>
      <c r="AX271" s="4">
        <f>VLOOKUP($N271,$N271:$CH271,MATCH('Character Sheet'!$BJ$3,Skills!$N$1:$CH$1,0),FALSE)</f>
        <v>0</v>
      </c>
    </row>
    <row r="272" spans="2:50" x14ac:dyDescent="0.25">
      <c r="B272" s="4" t="e">
        <f t="shared" si="113"/>
        <v>#N/A</v>
      </c>
      <c r="E272" s="4"/>
      <c r="F272" s="4">
        <f t="shared" si="138"/>
        <v>0</v>
      </c>
      <c r="G272" s="4"/>
      <c r="H272" s="4" t="e">
        <f t="shared" si="147"/>
        <v>#N/A</v>
      </c>
      <c r="I272" s="4" t="e">
        <f>IF($J$245=1,1,IF($J$273=1,1,IF($J$275=1,1,0)))</f>
        <v>#N/A</v>
      </c>
      <c r="J272" s="4">
        <f t="shared" si="139"/>
        <v>0</v>
      </c>
      <c r="K272" s="4" t="e">
        <f t="shared" si="137"/>
        <v>#N/A</v>
      </c>
      <c r="N272" s="3" t="s">
        <v>675</v>
      </c>
      <c r="O272" s="6" t="s">
        <v>782</v>
      </c>
      <c r="P272" s="6" t="s">
        <v>782</v>
      </c>
      <c r="Q272" s="4" t="str">
        <f t="shared" si="115"/>
        <v>- -</v>
      </c>
      <c r="R272" s="4" t="str">
        <f>IF(ISNUMBER(SEARCH("Category",N272)),"- -",IF(ISNUMBER(SEARCH("Skills",N272)),"- -",'Level-up'!C290))</f>
        <v>- -</v>
      </c>
      <c r="S272" s="4" t="str">
        <f t="shared" si="140"/>
        <v>- -</v>
      </c>
      <c r="T272" s="4" t="str">
        <f t="shared" si="141"/>
        <v>- -</v>
      </c>
      <c r="U272" s="4" t="str">
        <f t="shared" ca="1" si="146"/>
        <v>- -</v>
      </c>
      <c r="V272" s="4" t="str">
        <f t="shared" si="149"/>
        <v>- -</v>
      </c>
      <c r="W272" s="4" t="str">
        <f t="shared" si="116"/>
        <v>- -</v>
      </c>
      <c r="X272" s="4" t="str">
        <f t="shared" si="114"/>
        <v>- -</v>
      </c>
      <c r="Y272" s="4" t="str">
        <f t="shared" si="142"/>
        <v>- -</v>
      </c>
      <c r="Z272" s="4" t="str">
        <f t="shared" si="143"/>
        <v>- -</v>
      </c>
      <c r="AA272" s="4" t="str">
        <f t="shared" si="144"/>
        <v>- -</v>
      </c>
      <c r="AB272" s="4" t="str">
        <f t="shared" si="145"/>
        <v>- -</v>
      </c>
      <c r="AC272" s="8"/>
      <c r="AD272" s="4"/>
      <c r="AE272" s="4"/>
      <c r="AF272" s="4" t="str">
        <f t="shared" si="148"/>
        <v>- -</v>
      </c>
      <c r="AG272" s="4"/>
      <c r="AH272" s="4">
        <f>IFERROR(VLOOKUP(M272,Calculations!$AC$2:$AD$251,2,FALSE),0)</f>
        <v>0</v>
      </c>
      <c r="AI272" s="4" t="e">
        <f>VLOOKUP(N272,$N$2:$AS$620,MATCH('Character Creation'!$Z$12,Skills!$N$1:$AS$1,0),FALSE)</f>
        <v>#N/A</v>
      </c>
      <c r="AJ272" s="4" t="e">
        <f>VLOOKUP($N272,[2]Cultures!$B$4:$M$283,MATCH(AJ$1,[2]Cultures!$B$3:$M$3,0),FALSE)</f>
        <v>#N/A</v>
      </c>
      <c r="AK272" s="4" t="e">
        <f>VLOOKUP($N272,[2]Cultures!$B$4:$M$283,MATCH(AK$1,[2]Cultures!$B$3:$M$3,0),FALSE)</f>
        <v>#N/A</v>
      </c>
      <c r="AL272" s="4" t="e">
        <f>VLOOKUP($N272,[2]Cultures!$B$4:$M$283,MATCH(AL$1,[2]Cultures!$B$3:$M$3,0),FALSE)</f>
        <v>#N/A</v>
      </c>
      <c r="AM272" s="4" t="e">
        <f>VLOOKUP($N272,[2]Cultures!$B$4:$M$283,MATCH(AM$1,[2]Cultures!$B$3:$M$3,0),FALSE)</f>
        <v>#N/A</v>
      </c>
      <c r="AN272" s="4" t="e">
        <f>VLOOKUP($N272,[2]Cultures!$B$4:$M$283,MATCH(AN$1,[2]Cultures!$B$3:$M$3,0),FALSE)</f>
        <v>#N/A</v>
      </c>
      <c r="AO272" s="4" t="e">
        <f>VLOOKUP($N272,[2]Cultures!$B$4:$M$283,MATCH(AO$1,[2]Cultures!$B$3:$M$3,0),FALSE)</f>
        <v>#N/A</v>
      </c>
      <c r="AP272" s="4" t="e">
        <f>VLOOKUP($N272,[2]Cultures!$B$4:$M$283,MATCH(AP$1,[2]Cultures!$B$3:$M$3,0),FALSE)</f>
        <v>#N/A</v>
      </c>
      <c r="AQ272" s="4" t="e">
        <f>VLOOKUP($N272,[2]Cultures!$B$4:$M$283,MATCH(AQ$1,[2]Cultures!$B$3:$M$3,0),FALSE)</f>
        <v>#N/A</v>
      </c>
      <c r="AR272" s="4" t="e">
        <f>VLOOKUP($N272,[2]Cultures!$B$4:$M$283,MATCH(AR$1,[2]Cultures!$B$3:$M$3,0),FALSE)</f>
        <v>#N/A</v>
      </c>
      <c r="AS272" s="4" t="e">
        <f>VLOOKUP($N272,[2]Cultures!$B$4:$M$283,MATCH(AS$1,[2]Cultures!$B$3:$M$3,0),FALSE)</f>
        <v>#N/A</v>
      </c>
      <c r="AT272" s="4"/>
      <c r="AU272" s="4">
        <f>IF(ISNUMBER(SEARCH(N272&amp;";",Calculations!$Q$19)),VLOOKUP(Skills!N272,Calculations!$Q$2:$T$16,4,FALSE),0)</f>
        <v>0</v>
      </c>
      <c r="AV272" s="4">
        <f>IF(ISNUMBER(SEARCH(N272&amp;";",Calculations!$Q$18)),1,0)</f>
        <v>1</v>
      </c>
      <c r="AW272" s="4"/>
      <c r="AX272" s="4">
        <f>VLOOKUP($N272,$N272:$CH272,MATCH('Character Sheet'!$BJ$3,Skills!$N$1:$CH$1,0),FALSE)</f>
        <v>0</v>
      </c>
    </row>
    <row r="273" spans="2:50" x14ac:dyDescent="0.25">
      <c r="B273" s="4" t="e">
        <f t="shared" si="113"/>
        <v>#N/A</v>
      </c>
      <c r="E273" s="4"/>
      <c r="F273" s="4">
        <f t="shared" si="138"/>
        <v>0</v>
      </c>
      <c r="G273" s="4"/>
      <c r="H273" s="4" t="e">
        <f t="shared" si="147"/>
        <v>#N/A</v>
      </c>
      <c r="I273" s="4">
        <v>0</v>
      </c>
      <c r="J273" s="4" t="e">
        <f t="shared" si="139"/>
        <v>#N/A</v>
      </c>
      <c r="K273" s="4" t="e">
        <f t="shared" si="137"/>
        <v>#N/A</v>
      </c>
      <c r="N273" s="3" t="s">
        <v>676</v>
      </c>
      <c r="O273" s="6" t="s">
        <v>782</v>
      </c>
      <c r="P273" s="6" t="s">
        <v>782</v>
      </c>
      <c r="Q273" s="4" t="str">
        <f t="shared" si="115"/>
        <v>- -</v>
      </c>
      <c r="R273" s="4" t="str">
        <f>IF(ISNUMBER(SEARCH("Category",N273)),"- -",IF(ISNUMBER(SEARCH("Skills",N273)),"- -",'Level-up'!C291))</f>
        <v>- -</v>
      </c>
      <c r="S273" s="4" t="str">
        <f t="shared" si="140"/>
        <v>- -</v>
      </c>
      <c r="T273" s="4" t="str">
        <f t="shared" si="141"/>
        <v>- -</v>
      </c>
      <c r="U273" s="4" t="str">
        <f t="shared" ca="1" si="146"/>
        <v>- -</v>
      </c>
      <c r="V273" s="4" t="str">
        <f t="shared" si="149"/>
        <v>- -</v>
      </c>
      <c r="W273" s="4" t="str">
        <f t="shared" si="116"/>
        <v>- -</v>
      </c>
      <c r="X273" s="4" t="str">
        <f t="shared" si="114"/>
        <v>- -</v>
      </c>
      <c r="Y273" s="4" t="str">
        <f t="shared" si="142"/>
        <v>- -</v>
      </c>
      <c r="Z273" s="4" t="str">
        <f t="shared" si="143"/>
        <v>- -</v>
      </c>
      <c r="AA273" s="4" t="str">
        <f t="shared" si="144"/>
        <v>- -</v>
      </c>
      <c r="AB273" s="4" t="str">
        <f t="shared" si="145"/>
        <v>- -</v>
      </c>
      <c r="AC273" s="8"/>
      <c r="AD273" s="4"/>
      <c r="AE273" s="4"/>
      <c r="AF273" s="4" t="str">
        <f t="shared" si="148"/>
        <v>- -</v>
      </c>
      <c r="AG273" s="4"/>
      <c r="AH273" s="4">
        <f>IFERROR(VLOOKUP(M273,Calculations!$AC$2:$AD$251,2,FALSE),0)</f>
        <v>0</v>
      </c>
      <c r="AI273" s="4" t="e">
        <f>VLOOKUP(N273,$N$2:$AS$620,MATCH('Character Creation'!$Z$12,Skills!$N$1:$AS$1,0),FALSE)</f>
        <v>#N/A</v>
      </c>
      <c r="AJ273" s="4" t="e">
        <f>VLOOKUP($N273,[2]Cultures!$B$4:$M$283,MATCH(AJ$1,[2]Cultures!$B$3:$M$3,0),FALSE)</f>
        <v>#N/A</v>
      </c>
      <c r="AK273" s="4" t="e">
        <f>VLOOKUP($N273,[2]Cultures!$B$4:$M$283,MATCH(AK$1,[2]Cultures!$B$3:$M$3,0),FALSE)</f>
        <v>#N/A</v>
      </c>
      <c r="AL273" s="4" t="e">
        <f>VLOOKUP($N273,[2]Cultures!$B$4:$M$283,MATCH(AL$1,[2]Cultures!$B$3:$M$3,0),FALSE)</f>
        <v>#N/A</v>
      </c>
      <c r="AM273" s="4" t="e">
        <f>VLOOKUP($N273,[2]Cultures!$B$4:$M$283,MATCH(AM$1,[2]Cultures!$B$3:$M$3,0),FALSE)</f>
        <v>#N/A</v>
      </c>
      <c r="AN273" s="4" t="e">
        <f>VLOOKUP($N273,[2]Cultures!$B$4:$M$283,MATCH(AN$1,[2]Cultures!$B$3:$M$3,0),FALSE)</f>
        <v>#N/A</v>
      </c>
      <c r="AO273" s="4" t="e">
        <f>VLOOKUP($N273,[2]Cultures!$B$4:$M$283,MATCH(AO$1,[2]Cultures!$B$3:$M$3,0),FALSE)</f>
        <v>#N/A</v>
      </c>
      <c r="AP273" s="4" t="e">
        <f>VLOOKUP($N273,[2]Cultures!$B$4:$M$283,MATCH(AP$1,[2]Cultures!$B$3:$M$3,0),FALSE)</f>
        <v>#N/A</v>
      </c>
      <c r="AQ273" s="4" t="e">
        <f>VLOOKUP($N273,[2]Cultures!$B$4:$M$283,MATCH(AQ$1,[2]Cultures!$B$3:$M$3,0),FALSE)</f>
        <v>#N/A</v>
      </c>
      <c r="AR273" s="4" t="e">
        <f>VLOOKUP($N273,[2]Cultures!$B$4:$M$283,MATCH(AR$1,[2]Cultures!$B$3:$M$3,0),FALSE)</f>
        <v>#N/A</v>
      </c>
      <c r="AS273" s="4" t="e">
        <f>VLOOKUP($N273,[2]Cultures!$B$4:$M$283,MATCH(AS$1,[2]Cultures!$B$3:$M$3,0),FALSE)</f>
        <v>#N/A</v>
      </c>
      <c r="AT273" s="4"/>
      <c r="AU273" s="4">
        <f>IF(ISNUMBER(SEARCH(N273&amp;";",Calculations!$Q$19)),VLOOKUP(Skills!N273,Calculations!$Q$2:$T$16,4,FALSE),0)</f>
        <v>0</v>
      </c>
      <c r="AV273" s="4">
        <f>IF(ISNUMBER(SEARCH(N273&amp;";",Calculations!$Q$18)),1,0)</f>
        <v>0</v>
      </c>
      <c r="AW273" s="4"/>
      <c r="AX273" s="4">
        <f>VLOOKUP($N273,$N273:$CH273,MATCH('Character Sheet'!$BJ$3,Skills!$N$1:$CH$1,0),FALSE)</f>
        <v>0</v>
      </c>
    </row>
    <row r="274" spans="2:50" x14ac:dyDescent="0.25">
      <c r="B274" s="4" t="e">
        <f t="shared" si="113"/>
        <v>#N/A</v>
      </c>
      <c r="E274" s="4"/>
      <c r="F274" s="4">
        <f t="shared" si="138"/>
        <v>0</v>
      </c>
      <c r="G274" s="4"/>
      <c r="H274" s="4" t="e">
        <f t="shared" si="147"/>
        <v>#N/A</v>
      </c>
      <c r="I274" s="4" t="e">
        <f>IF($J$245=1,1,IF($J$273=1,1,IF($J$275=1,1,0)))</f>
        <v>#N/A</v>
      </c>
      <c r="J274" s="4">
        <f t="shared" si="139"/>
        <v>0</v>
      </c>
      <c r="K274" s="4" t="e">
        <f t="shared" si="137"/>
        <v>#N/A</v>
      </c>
      <c r="N274" s="3" t="s">
        <v>677</v>
      </c>
      <c r="O274" s="6" t="s">
        <v>782</v>
      </c>
      <c r="P274" s="6" t="s">
        <v>782</v>
      </c>
      <c r="Q274" s="4" t="str">
        <f t="shared" si="115"/>
        <v>- -</v>
      </c>
      <c r="R274" s="4" t="str">
        <f>IF(ISNUMBER(SEARCH("Category",N274)),"- -",IF(ISNUMBER(SEARCH("Skills",N274)),"- -",'Level-up'!C292))</f>
        <v>- -</v>
      </c>
      <c r="S274" s="4" t="str">
        <f t="shared" si="140"/>
        <v>- -</v>
      </c>
      <c r="T274" s="4" t="str">
        <f t="shared" si="141"/>
        <v>- -</v>
      </c>
      <c r="U274" s="4" t="str">
        <f t="shared" ca="1" si="146"/>
        <v>- -</v>
      </c>
      <c r="V274" s="4" t="str">
        <f t="shared" si="149"/>
        <v>- -</v>
      </c>
      <c r="W274" s="4" t="str">
        <f t="shared" si="116"/>
        <v>- -</v>
      </c>
      <c r="X274" s="4" t="str">
        <f t="shared" si="114"/>
        <v>- -</v>
      </c>
      <c r="Y274" s="4" t="str">
        <f t="shared" si="142"/>
        <v>- -</v>
      </c>
      <c r="Z274" s="4" t="str">
        <f t="shared" si="143"/>
        <v>- -</v>
      </c>
      <c r="AA274" s="4" t="str">
        <f t="shared" si="144"/>
        <v>- -</v>
      </c>
      <c r="AB274" s="4" t="str">
        <f t="shared" si="145"/>
        <v>- -</v>
      </c>
      <c r="AC274" s="8"/>
      <c r="AD274" s="4"/>
      <c r="AE274" s="4"/>
      <c r="AF274" s="4" t="str">
        <f t="shared" si="148"/>
        <v>- -</v>
      </c>
      <c r="AG274" s="4"/>
      <c r="AH274" s="4">
        <f>IFERROR(VLOOKUP(M274,Calculations!$AC$2:$AD$251,2,FALSE),0)</f>
        <v>0</v>
      </c>
      <c r="AI274" s="4" t="e">
        <f>VLOOKUP(N274,$N$2:$AS$620,MATCH('Character Creation'!$Z$12,Skills!$N$1:$AS$1,0),FALSE)</f>
        <v>#N/A</v>
      </c>
      <c r="AJ274" s="4" t="e">
        <f>VLOOKUP($N274,[2]Cultures!$B$4:$M$283,MATCH(AJ$1,[2]Cultures!$B$3:$M$3,0),FALSE)</f>
        <v>#N/A</v>
      </c>
      <c r="AK274" s="4" t="e">
        <f>VLOOKUP($N274,[2]Cultures!$B$4:$M$283,MATCH(AK$1,[2]Cultures!$B$3:$M$3,0),FALSE)</f>
        <v>#N/A</v>
      </c>
      <c r="AL274" s="4" t="e">
        <f>VLOOKUP($N274,[2]Cultures!$B$4:$M$283,MATCH(AL$1,[2]Cultures!$B$3:$M$3,0),FALSE)</f>
        <v>#N/A</v>
      </c>
      <c r="AM274" s="4" t="e">
        <f>VLOOKUP($N274,[2]Cultures!$B$4:$M$283,MATCH(AM$1,[2]Cultures!$B$3:$M$3,0),FALSE)</f>
        <v>#N/A</v>
      </c>
      <c r="AN274" s="4" t="e">
        <f>VLOOKUP($N274,[2]Cultures!$B$4:$M$283,MATCH(AN$1,[2]Cultures!$B$3:$M$3,0),FALSE)</f>
        <v>#N/A</v>
      </c>
      <c r="AO274" s="4" t="e">
        <f>VLOOKUP($N274,[2]Cultures!$B$4:$M$283,MATCH(AO$1,[2]Cultures!$B$3:$M$3,0),FALSE)</f>
        <v>#N/A</v>
      </c>
      <c r="AP274" s="4" t="e">
        <f>VLOOKUP($N274,[2]Cultures!$B$4:$M$283,MATCH(AP$1,[2]Cultures!$B$3:$M$3,0),FALSE)</f>
        <v>#N/A</v>
      </c>
      <c r="AQ274" s="4" t="e">
        <f>VLOOKUP($N274,[2]Cultures!$B$4:$M$283,MATCH(AQ$1,[2]Cultures!$B$3:$M$3,0),FALSE)</f>
        <v>#N/A</v>
      </c>
      <c r="AR274" s="4" t="e">
        <f>VLOOKUP($N274,[2]Cultures!$B$4:$M$283,MATCH(AR$1,[2]Cultures!$B$3:$M$3,0),FALSE)</f>
        <v>#N/A</v>
      </c>
      <c r="AS274" s="4" t="e">
        <f>VLOOKUP($N274,[2]Cultures!$B$4:$M$283,MATCH(AS$1,[2]Cultures!$B$3:$M$3,0),FALSE)</f>
        <v>#N/A</v>
      </c>
      <c r="AT274" s="4"/>
      <c r="AU274" s="4">
        <f>IF(ISNUMBER(SEARCH(N274&amp;";",Calculations!$Q$19)),VLOOKUP(Skills!N274,Calculations!$Q$2:$T$16,4,FALSE),0)</f>
        <v>0</v>
      </c>
      <c r="AV274" s="4">
        <f>IF(ISNUMBER(SEARCH(N274&amp;";",Calculations!$Q$18)),1,0)</f>
        <v>0</v>
      </c>
      <c r="AW274" s="4"/>
      <c r="AX274" s="4">
        <f>VLOOKUP($N274,$N274:$CH274,MATCH('Character Sheet'!$BJ$3,Skills!$N$1:$CH$1,0),FALSE)</f>
        <v>0</v>
      </c>
    </row>
    <row r="275" spans="2:50" x14ac:dyDescent="0.25">
      <c r="B275" s="4" t="e">
        <f t="shared" si="113"/>
        <v>#N/A</v>
      </c>
      <c r="E275" s="4"/>
      <c r="F275" s="4">
        <f t="shared" si="138"/>
        <v>0</v>
      </c>
      <c r="G275" s="4"/>
      <c r="H275" s="4" t="e">
        <f t="shared" si="147"/>
        <v>#N/A</v>
      </c>
      <c r="I275" s="4">
        <v>0</v>
      </c>
      <c r="J275" s="4" t="e">
        <f t="shared" si="139"/>
        <v>#N/A</v>
      </c>
      <c r="K275" s="4" t="e">
        <f t="shared" si="137"/>
        <v>#N/A</v>
      </c>
      <c r="N275" s="3" t="s">
        <v>678</v>
      </c>
      <c r="O275" s="6" t="s">
        <v>782</v>
      </c>
      <c r="P275" s="6" t="s">
        <v>782</v>
      </c>
      <c r="Q275" s="4" t="str">
        <f t="shared" si="115"/>
        <v>- -</v>
      </c>
      <c r="R275" s="4" t="str">
        <f>IF(ISNUMBER(SEARCH("Category",N275)),"- -",IF(ISNUMBER(SEARCH("Skills",N275)),"- -",'Level-up'!C293))</f>
        <v>- -</v>
      </c>
      <c r="S275" s="4" t="str">
        <f t="shared" si="140"/>
        <v>- -</v>
      </c>
      <c r="T275" s="4" t="str">
        <f t="shared" si="141"/>
        <v>- -</v>
      </c>
      <c r="U275" s="4" t="str">
        <f t="shared" ca="1" si="146"/>
        <v>- -</v>
      </c>
      <c r="V275" s="4" t="str">
        <f t="shared" si="149"/>
        <v>- -</v>
      </c>
      <c r="W275" s="4" t="str">
        <f t="shared" si="116"/>
        <v>- -</v>
      </c>
      <c r="X275" s="4" t="str">
        <f t="shared" si="114"/>
        <v>- -</v>
      </c>
      <c r="Y275" s="4" t="str">
        <f t="shared" si="142"/>
        <v>- -</v>
      </c>
      <c r="Z275" s="4" t="str">
        <f t="shared" si="143"/>
        <v>- -</v>
      </c>
      <c r="AA275" s="4" t="str">
        <f t="shared" si="144"/>
        <v>- -</v>
      </c>
      <c r="AB275" s="4" t="str">
        <f t="shared" si="145"/>
        <v>- -</v>
      </c>
      <c r="AC275" s="8"/>
      <c r="AD275" s="4"/>
      <c r="AE275" s="4"/>
      <c r="AF275" s="4" t="str">
        <f t="shared" si="148"/>
        <v>- -</v>
      </c>
      <c r="AG275" s="4"/>
      <c r="AH275" s="4">
        <f>IFERROR(VLOOKUP(M275,Calculations!$AC$2:$AD$251,2,FALSE),0)</f>
        <v>0</v>
      </c>
      <c r="AI275" s="4" t="e">
        <f>VLOOKUP(N275,$N$2:$AS$620,MATCH('Character Creation'!$Z$12,Skills!$N$1:$AS$1,0),FALSE)</f>
        <v>#N/A</v>
      </c>
      <c r="AJ275" s="4" t="e">
        <f>VLOOKUP($N275,[2]Cultures!$B$4:$M$283,MATCH(AJ$1,[2]Cultures!$B$3:$M$3,0),FALSE)</f>
        <v>#N/A</v>
      </c>
      <c r="AK275" s="4" t="e">
        <f>VLOOKUP($N275,[2]Cultures!$B$4:$M$283,MATCH(AK$1,[2]Cultures!$B$3:$M$3,0),FALSE)</f>
        <v>#N/A</v>
      </c>
      <c r="AL275" s="4" t="e">
        <f>VLOOKUP($N275,[2]Cultures!$B$4:$M$283,MATCH(AL$1,[2]Cultures!$B$3:$M$3,0),FALSE)</f>
        <v>#N/A</v>
      </c>
      <c r="AM275" s="4" t="e">
        <f>VLOOKUP($N275,[2]Cultures!$B$4:$M$283,MATCH(AM$1,[2]Cultures!$B$3:$M$3,0),FALSE)</f>
        <v>#N/A</v>
      </c>
      <c r="AN275" s="4" t="e">
        <f>VLOOKUP($N275,[2]Cultures!$B$4:$M$283,MATCH(AN$1,[2]Cultures!$B$3:$M$3,0),FALSE)</f>
        <v>#N/A</v>
      </c>
      <c r="AO275" s="4" t="e">
        <f>VLOOKUP($N275,[2]Cultures!$B$4:$M$283,MATCH(AO$1,[2]Cultures!$B$3:$M$3,0),FALSE)</f>
        <v>#N/A</v>
      </c>
      <c r="AP275" s="4" t="e">
        <f>VLOOKUP($N275,[2]Cultures!$B$4:$M$283,MATCH(AP$1,[2]Cultures!$B$3:$M$3,0),FALSE)</f>
        <v>#N/A</v>
      </c>
      <c r="AQ275" s="4" t="e">
        <f>VLOOKUP($N275,[2]Cultures!$B$4:$M$283,MATCH(AQ$1,[2]Cultures!$B$3:$M$3,0),FALSE)</f>
        <v>#N/A</v>
      </c>
      <c r="AR275" s="4" t="e">
        <f>VLOOKUP($N275,[2]Cultures!$B$4:$M$283,MATCH(AR$1,[2]Cultures!$B$3:$M$3,0),FALSE)</f>
        <v>#N/A</v>
      </c>
      <c r="AS275" s="4" t="e">
        <f>VLOOKUP($N275,[2]Cultures!$B$4:$M$283,MATCH(AS$1,[2]Cultures!$B$3:$M$3,0),FALSE)</f>
        <v>#N/A</v>
      </c>
      <c r="AT275" s="4"/>
      <c r="AU275" s="4">
        <f>IF(ISNUMBER(SEARCH(N275&amp;";",Calculations!$Q$19)),VLOOKUP(Skills!N275,Calculations!$Q$2:$T$16,4,FALSE),0)</f>
        <v>0</v>
      </c>
      <c r="AV275" s="4">
        <f>IF(ISNUMBER(SEARCH(N275&amp;";",Calculations!$Q$18)),1,0)</f>
        <v>0</v>
      </c>
      <c r="AW275" s="4"/>
      <c r="AX275" s="4">
        <f>VLOOKUP($N275,$N275:$CH275,MATCH('Character Sheet'!$BJ$3,Skills!$N$1:$CH$1,0),FALSE)</f>
        <v>0</v>
      </c>
    </row>
    <row r="276" spans="2:50" x14ac:dyDescent="0.25">
      <c r="B276" s="4" t="e">
        <f t="shared" si="113"/>
        <v>#N/A</v>
      </c>
      <c r="E276" s="4"/>
      <c r="F276" s="4">
        <f t="shared" si="138"/>
        <v>0</v>
      </c>
      <c r="G276" s="4"/>
      <c r="H276" s="4" t="e">
        <f t="shared" si="147"/>
        <v>#N/A</v>
      </c>
      <c r="I276" s="4" t="e">
        <f>IF($J$245=1,1,IF($J$273=1,1,IF($J$275=1,1,0)))</f>
        <v>#N/A</v>
      </c>
      <c r="J276" s="4">
        <f t="shared" si="139"/>
        <v>0</v>
      </c>
      <c r="K276" s="4" t="e">
        <f t="shared" si="137"/>
        <v>#N/A</v>
      </c>
      <c r="M276" t="str">
        <f>N276&amp;", Spoken"</f>
        <v>Russian, Spoken</v>
      </c>
      <c r="N276" s="3" t="str">
        <f>'Character Sheet'!BLR35</f>
        <v>Russian</v>
      </c>
      <c r="O276" s="4" t="s">
        <v>798</v>
      </c>
      <c r="P276" s="4" t="s">
        <v>792</v>
      </c>
      <c r="Q276" s="4" t="e">
        <f t="shared" si="115"/>
        <v>#N/A</v>
      </c>
      <c r="R276" s="4">
        <f>IF(ISNUMBER(SEARCH("Category",N276)),"- -",IF(ISNUMBER(SEARCH("Skills",N276)),"- -",'Level-up'!C294))</f>
        <v>0</v>
      </c>
      <c r="S276" s="4" t="e">
        <f t="shared" si="140"/>
        <v>#N/A</v>
      </c>
      <c r="T276" s="4" t="e">
        <f t="shared" si="141"/>
        <v>#N/A</v>
      </c>
      <c r="U276" s="4">
        <f t="shared" ca="1" si="146"/>
        <v>3</v>
      </c>
      <c r="V276" s="4">
        <f>IF(ISNUMBER(SEARCH("Category",N276)),"- -",IF(ISNUMBER(SEARCH("Skills",N276)),"- -",IF(AU276&gt;0,AU276,IF($AU$274&gt;0,$AU$274,IF($AU$272&gt;0,$AU$272,$AU$244)))))</f>
        <v>0</v>
      </c>
      <c r="W276" s="4" t="e">
        <f t="shared" si="116"/>
        <v>#N/A</v>
      </c>
      <c r="X276" s="4">
        <f t="shared" si="114"/>
        <v>0</v>
      </c>
      <c r="Y276" s="4">
        <f t="shared" si="142"/>
        <v>0</v>
      </c>
      <c r="Z276" s="4">
        <f t="shared" si="143"/>
        <v>0</v>
      </c>
      <c r="AA276" s="4">
        <f t="shared" si="144"/>
        <v>0</v>
      </c>
      <c r="AB276" s="4">
        <f t="shared" si="145"/>
        <v>0</v>
      </c>
      <c r="AC276" s="8"/>
      <c r="AD276" s="4"/>
      <c r="AE276" s="4"/>
      <c r="AF276" s="4" t="e">
        <f t="shared" si="148"/>
        <v>#N/A</v>
      </c>
      <c r="AG276" s="4"/>
      <c r="AH276" s="4">
        <f>IFERROR(VLOOKUP(M276,Calculations!$AC$2:$AD$251,2,FALSE),0)</f>
        <v>0</v>
      </c>
      <c r="AI276" s="4" t="e">
        <f>VLOOKUP(N276,$N$2:$AS$620,MATCH('Character Creation'!$Z$12,Skills!$N$1:$AS$1,0),FALSE)</f>
        <v>#N/A</v>
      </c>
      <c r="AJ276" s="4" t="e">
        <f>VLOOKUP($N276,[2]Cultures!$B$4:$M$283,MATCH(AJ$1,[2]Cultures!$B$3:$M$3,0),FALSE)</f>
        <v>#N/A</v>
      </c>
      <c r="AK276" s="4" t="e">
        <f>VLOOKUP($N276,[2]Cultures!$B$4:$M$283,MATCH(AK$1,[2]Cultures!$B$3:$M$3,0),FALSE)</f>
        <v>#N/A</v>
      </c>
      <c r="AL276" s="4" t="e">
        <f>VLOOKUP($N276,[2]Cultures!$B$4:$M$283,MATCH(AL$1,[2]Cultures!$B$3:$M$3,0),FALSE)</f>
        <v>#N/A</v>
      </c>
      <c r="AM276" s="4" t="e">
        <f>VLOOKUP($N276,[2]Cultures!$B$4:$M$283,MATCH(AM$1,[2]Cultures!$B$3:$M$3,0),FALSE)</f>
        <v>#N/A</v>
      </c>
      <c r="AN276" s="4" t="e">
        <f>VLOOKUP($N276,[2]Cultures!$B$4:$M$283,MATCH(AN$1,[2]Cultures!$B$3:$M$3,0),FALSE)</f>
        <v>#N/A</v>
      </c>
      <c r="AO276" s="4" t="e">
        <f>VLOOKUP($N276,[2]Cultures!$B$4:$M$283,MATCH(AO$1,[2]Cultures!$B$3:$M$3,0),FALSE)</f>
        <v>#N/A</v>
      </c>
      <c r="AP276" s="4" t="e">
        <f>VLOOKUP($N276,[2]Cultures!$B$4:$M$283,MATCH(AP$1,[2]Cultures!$B$3:$M$3,0),FALSE)</f>
        <v>#N/A</v>
      </c>
      <c r="AQ276" s="4" t="e">
        <f>VLOOKUP($N276,[2]Cultures!$B$4:$M$283,MATCH(AQ$1,[2]Cultures!$B$3:$M$3,0),FALSE)</f>
        <v>#N/A</v>
      </c>
      <c r="AR276" s="4" t="e">
        <f>VLOOKUP($N276,[2]Cultures!$B$4:$M$283,MATCH(AR$1,[2]Cultures!$B$3:$M$3,0),FALSE)</f>
        <v>#N/A</v>
      </c>
      <c r="AS276" s="4" t="e">
        <f>VLOOKUP($N276,[2]Cultures!$B$4:$M$283,MATCH(AS$1,[2]Cultures!$B$3:$M$3,0),FALSE)</f>
        <v>#N/A</v>
      </c>
      <c r="AT276" s="4"/>
      <c r="AU276" s="4">
        <f>IF(ISNUMBER(SEARCH(N276&amp;";",Calculations!$Q$19)),VLOOKUP(Skills!N276,Calculations!$Q$2:$T$16,4,FALSE),0)</f>
        <v>0</v>
      </c>
      <c r="AV276" s="4">
        <f>IF(ISNUMBER(SEARCH(N276&amp;";",Calculations!$Q$18)),1,0)</f>
        <v>0</v>
      </c>
      <c r="AW276" s="4">
        <f>IF($AV$244=1,1,IF($AV$272=1,1,IF($AV$274=1,1,AV276)))</f>
        <v>1</v>
      </c>
      <c r="AX276" s="4">
        <f>VLOOKUP($N276,$N276:$CH276,MATCH('Character Sheet'!$BJ$3,Skills!$N$1:$CH$1,0),FALSE)</f>
        <v>0</v>
      </c>
    </row>
    <row r="277" spans="2:50" x14ac:dyDescent="0.25">
      <c r="B277" s="4" t="e">
        <f t="shared" si="113"/>
        <v>#N/A</v>
      </c>
      <c r="E277" s="4"/>
      <c r="F277" s="4">
        <f t="shared" si="138"/>
        <v>0</v>
      </c>
      <c r="G277" s="4"/>
      <c r="H277" s="4" t="e">
        <f t="shared" si="147"/>
        <v>#N/A</v>
      </c>
      <c r="I277" s="4" t="e">
        <f>IF($J$245=1,1,IF($J$273=1,1,IF($J$275=1,1,0)))</f>
        <v>#N/A</v>
      </c>
      <c r="J277" s="4">
        <f t="shared" si="139"/>
        <v>0</v>
      </c>
      <c r="K277" s="4" t="e">
        <f t="shared" si="137"/>
        <v>#N/A</v>
      </c>
      <c r="M277" t="str">
        <f t="shared" ref="M277:M278" si="150">N277&amp;", Spoken"</f>
        <v>English, Spoken</v>
      </c>
      <c r="N277" s="3" t="str">
        <f>'Character Sheet'!BLR36</f>
        <v>English</v>
      </c>
      <c r="O277" s="4" t="s">
        <v>798</v>
      </c>
      <c r="P277" s="4" t="s">
        <v>792</v>
      </c>
      <c r="Q277" s="4" t="e">
        <f t="shared" si="115"/>
        <v>#N/A</v>
      </c>
      <c r="R277" s="4">
        <f>IF(ISNUMBER(SEARCH("Category",N277)),"- -",IF(ISNUMBER(SEARCH("Skills",N277)),"- -",'Level-up'!C295))</f>
        <v>0</v>
      </c>
      <c r="S277" s="4" t="e">
        <f t="shared" si="140"/>
        <v>#N/A</v>
      </c>
      <c r="T277" s="4" t="e">
        <f t="shared" si="141"/>
        <v>#N/A</v>
      </c>
      <c r="U277" s="4">
        <f t="shared" ca="1" si="146"/>
        <v>3</v>
      </c>
      <c r="V277" s="4">
        <f>IF(ISNUMBER(SEARCH("Category",N277)),"- -",IF(ISNUMBER(SEARCH("Skills",N277)),"- -",IF(AU277&gt;0,AU277,IF($AU$274&gt;0,$AU$274,IF($AU$272&gt;0,$AU$272,$AU$244)))))</f>
        <v>0</v>
      </c>
      <c r="W277" s="4" t="e">
        <f t="shared" si="116"/>
        <v>#N/A</v>
      </c>
      <c r="X277" s="4">
        <f t="shared" si="114"/>
        <v>0</v>
      </c>
      <c r="Y277" s="4">
        <f t="shared" si="142"/>
        <v>0</v>
      </c>
      <c r="Z277" s="4">
        <f t="shared" si="143"/>
        <v>0</v>
      </c>
      <c r="AA277" s="4">
        <f t="shared" si="144"/>
        <v>0</v>
      </c>
      <c r="AB277" s="4">
        <f t="shared" si="145"/>
        <v>0</v>
      </c>
      <c r="AC277" s="8"/>
      <c r="AD277" s="4"/>
      <c r="AE277" s="4"/>
      <c r="AF277" s="4" t="e">
        <f t="shared" si="148"/>
        <v>#N/A</v>
      </c>
      <c r="AG277" s="4"/>
      <c r="AH277" s="4">
        <f>IFERROR(VLOOKUP(M277,Calculations!$AC$2:$AD$251,2,FALSE),0)</f>
        <v>0</v>
      </c>
      <c r="AI277" s="4" t="e">
        <f>VLOOKUP(N277,$N$2:$AS$620,MATCH('Character Creation'!$Z$12,Skills!$N$1:$AS$1,0),FALSE)</f>
        <v>#N/A</v>
      </c>
      <c r="AJ277" s="4" t="e">
        <f>VLOOKUP($N277,[2]Cultures!$B$4:$M$283,MATCH(AJ$1,[2]Cultures!$B$3:$M$3,0),FALSE)</f>
        <v>#N/A</v>
      </c>
      <c r="AK277" s="4" t="e">
        <f>VLOOKUP($N277,[2]Cultures!$B$4:$M$283,MATCH(AK$1,[2]Cultures!$B$3:$M$3,0),FALSE)</f>
        <v>#N/A</v>
      </c>
      <c r="AL277" s="4" t="e">
        <f>VLOOKUP($N277,[2]Cultures!$B$4:$M$283,MATCH(AL$1,[2]Cultures!$B$3:$M$3,0),FALSE)</f>
        <v>#N/A</v>
      </c>
      <c r="AM277" s="4" t="e">
        <f>VLOOKUP($N277,[2]Cultures!$B$4:$M$283,MATCH(AM$1,[2]Cultures!$B$3:$M$3,0),FALSE)</f>
        <v>#N/A</v>
      </c>
      <c r="AN277" s="4" t="e">
        <f>VLOOKUP($N277,[2]Cultures!$B$4:$M$283,MATCH(AN$1,[2]Cultures!$B$3:$M$3,0),FALSE)</f>
        <v>#N/A</v>
      </c>
      <c r="AO277" s="4" t="e">
        <f>VLOOKUP($N277,[2]Cultures!$B$4:$M$283,MATCH(AO$1,[2]Cultures!$B$3:$M$3,0),FALSE)</f>
        <v>#N/A</v>
      </c>
      <c r="AP277" s="4" t="e">
        <f>VLOOKUP($N277,[2]Cultures!$B$4:$M$283,MATCH(AP$1,[2]Cultures!$B$3:$M$3,0),FALSE)</f>
        <v>#N/A</v>
      </c>
      <c r="AQ277" s="4" t="e">
        <f>VLOOKUP($N277,[2]Cultures!$B$4:$M$283,MATCH(AQ$1,[2]Cultures!$B$3:$M$3,0),FALSE)</f>
        <v>#N/A</v>
      </c>
      <c r="AR277" s="4" t="e">
        <f>VLOOKUP($N277,[2]Cultures!$B$4:$M$283,MATCH(AR$1,[2]Cultures!$B$3:$M$3,0),FALSE)</f>
        <v>#N/A</v>
      </c>
      <c r="AS277" s="4" t="e">
        <f>VLOOKUP($N277,[2]Cultures!$B$4:$M$283,MATCH(AS$1,[2]Cultures!$B$3:$M$3,0),FALSE)</f>
        <v>#N/A</v>
      </c>
      <c r="AT277" s="4"/>
      <c r="AU277" s="4">
        <f>IF(ISNUMBER(SEARCH(N277&amp;";",Calculations!$Q$19)),VLOOKUP(Skills!N277,Calculations!$Q$2:$T$16,4,FALSE),0)</f>
        <v>0</v>
      </c>
      <c r="AV277" s="4">
        <f>IF(ISNUMBER(SEARCH(N277&amp;";",Calculations!$Q$18)),1,0)</f>
        <v>0</v>
      </c>
      <c r="AW277" s="4">
        <f>IF($AV$244=1,1,IF($AV$272=1,1,IF($AV$274=1,1,AV277)))</f>
        <v>1</v>
      </c>
      <c r="AX277" s="4">
        <f>VLOOKUP($N277,$N277:$CH277,MATCH('Character Sheet'!$BJ$3,Skills!$N$1:$CH$1,0),FALSE)</f>
        <v>0</v>
      </c>
    </row>
    <row r="278" spans="2:50" x14ac:dyDescent="0.25">
      <c r="B278" s="4" t="e">
        <f t="shared" si="113"/>
        <v>#N/A</v>
      </c>
      <c r="E278" s="4"/>
      <c r="F278" s="4">
        <f t="shared" si="138"/>
        <v>0</v>
      </c>
      <c r="G278" s="4"/>
      <c r="H278" s="4" t="e">
        <f t="shared" si="147"/>
        <v>#N/A</v>
      </c>
      <c r="I278" s="4" t="e">
        <f>IF($J$245=1,1,IF($J$273=1,1,IF($J$275=1,1,0)))</f>
        <v>#N/A</v>
      </c>
      <c r="J278" s="4">
        <f t="shared" si="139"/>
        <v>0</v>
      </c>
      <c r="K278" s="4" t="e">
        <f t="shared" si="137"/>
        <v>#N/A</v>
      </c>
      <c r="M278" t="str">
        <f t="shared" si="150"/>
        <v>0, Spoken</v>
      </c>
      <c r="N278" s="3">
        <f>'Character Sheet'!BLR37</f>
        <v>0</v>
      </c>
      <c r="O278" s="4" t="s">
        <v>798</v>
      </c>
      <c r="P278" s="4" t="s">
        <v>792</v>
      </c>
      <c r="Q278" s="4" t="e">
        <f t="shared" si="115"/>
        <v>#N/A</v>
      </c>
      <c r="R278" s="4">
        <f>IF(ISNUMBER(SEARCH("Category",N278)),"- -",IF(ISNUMBER(SEARCH("Skills",N278)),"- -",'Level-up'!C296))</f>
        <v>0</v>
      </c>
      <c r="S278" s="4" t="e">
        <f t="shared" si="140"/>
        <v>#N/A</v>
      </c>
      <c r="T278" s="4" t="e">
        <f t="shared" si="141"/>
        <v>#N/A</v>
      </c>
      <c r="U278" s="4">
        <f t="shared" ca="1" si="146"/>
        <v>3</v>
      </c>
      <c r="V278" s="4">
        <f>IF(ISNUMBER(SEARCH("Category",N278)),"- -",IF(ISNUMBER(SEARCH("Skills",N278)),"- -",IF(AU278&gt;0,AU278,IF($AU$274&gt;0,$AU$274,IF($AU$272&gt;0,$AU$272,$AU$244)))))</f>
        <v>0</v>
      </c>
      <c r="W278" s="4" t="e">
        <f t="shared" si="116"/>
        <v>#N/A</v>
      </c>
      <c r="X278" s="4">
        <f t="shared" si="114"/>
        <v>0</v>
      </c>
      <c r="Y278" s="4">
        <f t="shared" si="142"/>
        <v>0</v>
      </c>
      <c r="Z278" s="4">
        <f t="shared" si="143"/>
        <v>0</v>
      </c>
      <c r="AA278" s="4">
        <f t="shared" si="144"/>
        <v>0</v>
      </c>
      <c r="AB278" s="4">
        <f t="shared" si="145"/>
        <v>0</v>
      </c>
      <c r="AC278" s="8"/>
      <c r="AD278" s="4"/>
      <c r="AE278" s="4"/>
      <c r="AF278" s="4" t="e">
        <f t="shared" si="148"/>
        <v>#N/A</v>
      </c>
      <c r="AG278" s="4"/>
      <c r="AH278" s="4">
        <f>IFERROR(VLOOKUP(M278,Calculations!$AC$2:$AD$251,2,FALSE),0)</f>
        <v>0</v>
      </c>
      <c r="AI278" s="4" t="e">
        <f>VLOOKUP(N278,$N$2:$AS$620,MATCH('Character Creation'!$Z$12,Skills!$N$1:$AS$1,0),FALSE)</f>
        <v>#N/A</v>
      </c>
      <c r="AJ278" s="4" t="e">
        <f>VLOOKUP($N278,[2]Cultures!$B$4:$M$283,MATCH(AJ$1,[2]Cultures!$B$3:$M$3,0),FALSE)</f>
        <v>#N/A</v>
      </c>
      <c r="AK278" s="4" t="e">
        <f>VLOOKUP($N278,[2]Cultures!$B$4:$M$283,MATCH(AK$1,[2]Cultures!$B$3:$M$3,0),FALSE)</f>
        <v>#N/A</v>
      </c>
      <c r="AL278" s="4" t="e">
        <f>VLOOKUP($N278,[2]Cultures!$B$4:$M$283,MATCH(AL$1,[2]Cultures!$B$3:$M$3,0),FALSE)</f>
        <v>#N/A</v>
      </c>
      <c r="AM278" s="4" t="e">
        <f>VLOOKUP($N278,[2]Cultures!$B$4:$M$283,MATCH(AM$1,[2]Cultures!$B$3:$M$3,0),FALSE)</f>
        <v>#N/A</v>
      </c>
      <c r="AN278" s="4" t="e">
        <f>VLOOKUP($N278,[2]Cultures!$B$4:$M$283,MATCH(AN$1,[2]Cultures!$B$3:$M$3,0),FALSE)</f>
        <v>#N/A</v>
      </c>
      <c r="AO278" s="4" t="e">
        <f>VLOOKUP($N278,[2]Cultures!$B$4:$M$283,MATCH(AO$1,[2]Cultures!$B$3:$M$3,0),FALSE)</f>
        <v>#N/A</v>
      </c>
      <c r="AP278" s="4" t="e">
        <f>VLOOKUP($N278,[2]Cultures!$B$4:$M$283,MATCH(AP$1,[2]Cultures!$B$3:$M$3,0),FALSE)</f>
        <v>#N/A</v>
      </c>
      <c r="AQ278" s="4" t="e">
        <f>VLOOKUP($N278,[2]Cultures!$B$4:$M$283,MATCH(AQ$1,[2]Cultures!$B$3:$M$3,0),FALSE)</f>
        <v>#N/A</v>
      </c>
      <c r="AR278" s="4" t="e">
        <f>VLOOKUP($N278,[2]Cultures!$B$4:$M$283,MATCH(AR$1,[2]Cultures!$B$3:$M$3,0),FALSE)</f>
        <v>#N/A</v>
      </c>
      <c r="AS278" s="4" t="e">
        <f>VLOOKUP($N278,[2]Cultures!$B$4:$M$283,MATCH(AS$1,[2]Cultures!$B$3:$M$3,0),FALSE)</f>
        <v>#N/A</v>
      </c>
      <c r="AT278" s="4"/>
      <c r="AU278" s="4">
        <f>IF(ISNUMBER(SEARCH(N278&amp;";",Calculations!$Q$19)),VLOOKUP(Skills!N278,Calculations!$Q$2:$T$16,4,FALSE),0)</f>
        <v>0</v>
      </c>
      <c r="AV278" s="4">
        <f>IF(ISNUMBER(SEARCH(N278&amp;";",Calculations!$Q$18)),1,0)</f>
        <v>0</v>
      </c>
      <c r="AW278" s="4">
        <f>IF($AV$244=1,1,IF($AV$272=1,1,IF($AV$274=1,1,AV278)))</f>
        <v>1</v>
      </c>
      <c r="AX278" s="4">
        <f>VLOOKUP($N278,$N278:$CH278,MATCH('Character Sheet'!$BJ$3,Skills!$N$1:$CH$1,0),FALSE)</f>
        <v>0</v>
      </c>
    </row>
    <row r="279" spans="2:50" x14ac:dyDescent="0.25">
      <c r="B279" s="4" t="e">
        <f t="shared" si="113"/>
        <v>#N/A</v>
      </c>
      <c r="E279" s="4"/>
      <c r="F279" s="4">
        <f t="shared" si="138"/>
        <v>0</v>
      </c>
      <c r="G279" s="4"/>
      <c r="H279" s="4" t="e">
        <f t="shared" si="147"/>
        <v>#N/A</v>
      </c>
      <c r="I279" s="4" t="e">
        <f>IF($J$245=1,1,IF($J$273=1,1,IF($J$280=1,1,0)))</f>
        <v>#N/A</v>
      </c>
      <c r="J279" s="4">
        <f t="shared" si="139"/>
        <v>0</v>
      </c>
      <c r="K279" s="4" t="e">
        <f t="shared" si="137"/>
        <v>#N/A</v>
      </c>
      <c r="N279" s="3" t="s">
        <v>679</v>
      </c>
      <c r="O279" s="6" t="s">
        <v>782</v>
      </c>
      <c r="P279" s="6" t="s">
        <v>782</v>
      </c>
      <c r="Q279" s="4" t="str">
        <f t="shared" si="115"/>
        <v>- -</v>
      </c>
      <c r="R279" s="4" t="str">
        <f>IF(ISNUMBER(SEARCH("Category",N279)),"- -",IF(ISNUMBER(SEARCH("Skills",N279)),"- -",'Level-up'!C297))</f>
        <v>- -</v>
      </c>
      <c r="S279" s="4" t="str">
        <f t="shared" si="140"/>
        <v>- -</v>
      </c>
      <c r="T279" s="4" t="str">
        <f t="shared" si="141"/>
        <v>- -</v>
      </c>
      <c r="U279" s="4" t="str">
        <f t="shared" ca="1" si="146"/>
        <v>- -</v>
      </c>
      <c r="V279" s="4" t="str">
        <f>IF(ISNUMBER(SEARCH("Category",N279)),"- -",IF(ISNUMBER(SEARCH("Skills",N279)),"- -",IF(AU279&gt;0,AU279,IF($AU$274&gt;0,$AU$274,IF($AU$272&gt;0,$AU$272,$AU$244)))))</f>
        <v>- -</v>
      </c>
      <c r="W279" s="4" t="str">
        <f t="shared" si="116"/>
        <v>- -</v>
      </c>
      <c r="X279" s="4" t="str">
        <f t="shared" si="114"/>
        <v>- -</v>
      </c>
      <c r="Y279" s="4" t="str">
        <f t="shared" si="142"/>
        <v>- -</v>
      </c>
      <c r="Z279" s="4" t="str">
        <f t="shared" si="143"/>
        <v>- -</v>
      </c>
      <c r="AA279" s="4" t="str">
        <f t="shared" si="144"/>
        <v>- -</v>
      </c>
      <c r="AB279" s="4" t="str">
        <f t="shared" si="145"/>
        <v>- -</v>
      </c>
      <c r="AC279" s="8"/>
      <c r="AD279" s="4"/>
      <c r="AE279" s="4"/>
      <c r="AF279" s="4" t="str">
        <f t="shared" si="148"/>
        <v>- -</v>
      </c>
      <c r="AG279" s="4"/>
      <c r="AH279" s="4">
        <f>IFERROR(VLOOKUP(M279,Calculations!$AC$2:$AD$251,2,FALSE),0)</f>
        <v>0</v>
      </c>
      <c r="AI279" s="4" t="e">
        <f>VLOOKUP(N279,$N$2:$AS$620,MATCH('Character Creation'!$Z$12,Skills!$N$1:$AS$1,0),FALSE)</f>
        <v>#N/A</v>
      </c>
      <c r="AJ279" s="4" t="e">
        <f>VLOOKUP($N279,[2]Cultures!$B$4:$M$283,MATCH(AJ$1,[2]Cultures!$B$3:$M$3,0),FALSE)</f>
        <v>#N/A</v>
      </c>
      <c r="AK279" s="4" t="e">
        <f>VLOOKUP($N279,[2]Cultures!$B$4:$M$283,MATCH(AK$1,[2]Cultures!$B$3:$M$3,0),FALSE)</f>
        <v>#N/A</v>
      </c>
      <c r="AL279" s="4" t="e">
        <f>VLOOKUP($N279,[2]Cultures!$B$4:$M$283,MATCH(AL$1,[2]Cultures!$B$3:$M$3,0),FALSE)</f>
        <v>#N/A</v>
      </c>
      <c r="AM279" s="4" t="e">
        <f>VLOOKUP($N279,[2]Cultures!$B$4:$M$283,MATCH(AM$1,[2]Cultures!$B$3:$M$3,0),FALSE)</f>
        <v>#N/A</v>
      </c>
      <c r="AN279" s="4" t="e">
        <f>VLOOKUP($N279,[2]Cultures!$B$4:$M$283,MATCH(AN$1,[2]Cultures!$B$3:$M$3,0),FALSE)</f>
        <v>#N/A</v>
      </c>
      <c r="AO279" s="4" t="e">
        <f>VLOOKUP($N279,[2]Cultures!$B$4:$M$283,MATCH(AO$1,[2]Cultures!$B$3:$M$3,0),FALSE)</f>
        <v>#N/A</v>
      </c>
      <c r="AP279" s="4" t="e">
        <f>VLOOKUP($N279,[2]Cultures!$B$4:$M$283,MATCH(AP$1,[2]Cultures!$B$3:$M$3,0),FALSE)</f>
        <v>#N/A</v>
      </c>
      <c r="AQ279" s="4" t="e">
        <f>VLOOKUP($N279,[2]Cultures!$B$4:$M$283,MATCH(AQ$1,[2]Cultures!$B$3:$M$3,0),FALSE)</f>
        <v>#N/A</v>
      </c>
      <c r="AR279" s="4" t="e">
        <f>VLOOKUP($N279,[2]Cultures!$B$4:$M$283,MATCH(AR$1,[2]Cultures!$B$3:$M$3,0),FALSE)</f>
        <v>#N/A</v>
      </c>
      <c r="AS279" s="4" t="e">
        <f>VLOOKUP($N279,[2]Cultures!$B$4:$M$283,MATCH(AS$1,[2]Cultures!$B$3:$M$3,0),FALSE)</f>
        <v>#N/A</v>
      </c>
      <c r="AT279" s="4"/>
      <c r="AU279" s="4">
        <f>IF(ISNUMBER(SEARCH(N279&amp;";",Calculations!$Q$19)),VLOOKUP(Skills!N279,Calculations!$Q$2:$T$16,4,FALSE),0)</f>
        <v>0</v>
      </c>
      <c r="AV279" s="4">
        <f>IF(ISNUMBER(SEARCH(N279&amp;";",Calculations!$Q$18)),1,0)</f>
        <v>0</v>
      </c>
      <c r="AW279" s="4"/>
      <c r="AX279" s="4">
        <f>VLOOKUP($N279,$N279:$CH279,MATCH('Character Sheet'!$BJ$3,Skills!$N$1:$CH$1,0),FALSE)</f>
        <v>0</v>
      </c>
    </row>
    <row r="280" spans="2:50" x14ac:dyDescent="0.25">
      <c r="B280" s="4" t="e">
        <f t="shared" si="113"/>
        <v>#N/A</v>
      </c>
      <c r="E280" s="4"/>
      <c r="F280" s="4">
        <f t="shared" si="138"/>
        <v>0</v>
      </c>
      <c r="G280" s="4"/>
      <c r="H280" s="4" t="e">
        <f t="shared" si="147"/>
        <v>#N/A</v>
      </c>
      <c r="I280" s="4">
        <v>0</v>
      </c>
      <c r="J280" s="4" t="e">
        <f t="shared" si="139"/>
        <v>#N/A</v>
      </c>
      <c r="K280" s="4" t="e">
        <f t="shared" si="137"/>
        <v>#N/A</v>
      </c>
      <c r="N280" s="3" t="s">
        <v>680</v>
      </c>
      <c r="O280" s="6" t="s">
        <v>782</v>
      </c>
      <c r="P280" s="6" t="s">
        <v>782</v>
      </c>
      <c r="Q280" s="4" t="str">
        <f t="shared" si="115"/>
        <v>- -</v>
      </c>
      <c r="R280" s="4" t="str">
        <f>IF(ISNUMBER(SEARCH("Category",N280)),"- -",IF(ISNUMBER(SEARCH("Skills",N280)),"- -",'Level-up'!C298))</f>
        <v>- -</v>
      </c>
      <c r="S280" s="4" t="str">
        <f t="shared" si="140"/>
        <v>- -</v>
      </c>
      <c r="T280" s="4" t="str">
        <f t="shared" si="141"/>
        <v>- -</v>
      </c>
      <c r="U280" s="4" t="str">
        <f t="shared" ca="1" si="146"/>
        <v>- -</v>
      </c>
      <c r="V280" s="4" t="str">
        <f>IF(ISNUMBER(SEARCH("Category",N280)),"- -",IF(ISNUMBER(SEARCH("Skills",N280)),"- -",IF(AU280&gt;0,AU280,IF($AU$274&gt;0,$AU$274,IF($AU$272&gt;0,$AU$272,$AU$244)))))</f>
        <v>- -</v>
      </c>
      <c r="W280" s="4" t="str">
        <f t="shared" si="116"/>
        <v>- -</v>
      </c>
      <c r="X280" s="4" t="str">
        <f t="shared" si="114"/>
        <v>- -</v>
      </c>
      <c r="Y280" s="4" t="str">
        <f t="shared" si="142"/>
        <v>- -</v>
      </c>
      <c r="Z280" s="4" t="str">
        <f t="shared" si="143"/>
        <v>- -</v>
      </c>
      <c r="AA280" s="4" t="str">
        <f t="shared" si="144"/>
        <v>- -</v>
      </c>
      <c r="AB280" s="4" t="str">
        <f t="shared" si="145"/>
        <v>- -</v>
      </c>
      <c r="AC280" s="8"/>
      <c r="AD280" s="4"/>
      <c r="AE280" s="4"/>
      <c r="AF280" s="4" t="str">
        <f t="shared" si="148"/>
        <v>- -</v>
      </c>
      <c r="AG280" s="4"/>
      <c r="AH280" s="4">
        <f>IFERROR(VLOOKUP(M280,Calculations!$AC$2:$AD$251,2,FALSE),0)</f>
        <v>0</v>
      </c>
      <c r="AI280" s="4" t="e">
        <f>VLOOKUP(N280,$N$2:$AS$620,MATCH('Character Creation'!$Z$12,Skills!$N$1:$AS$1,0),FALSE)</f>
        <v>#N/A</v>
      </c>
      <c r="AJ280" s="4" t="e">
        <f>VLOOKUP($N280,[2]Cultures!$B$4:$M$283,MATCH(AJ$1,[2]Cultures!$B$3:$M$3,0),FALSE)</f>
        <v>#N/A</v>
      </c>
      <c r="AK280" s="4" t="e">
        <f>VLOOKUP($N280,[2]Cultures!$B$4:$M$283,MATCH(AK$1,[2]Cultures!$B$3:$M$3,0),FALSE)</f>
        <v>#N/A</v>
      </c>
      <c r="AL280" s="4" t="e">
        <f>VLOOKUP($N280,[2]Cultures!$B$4:$M$283,MATCH(AL$1,[2]Cultures!$B$3:$M$3,0),FALSE)</f>
        <v>#N/A</v>
      </c>
      <c r="AM280" s="4" t="e">
        <f>VLOOKUP($N280,[2]Cultures!$B$4:$M$283,MATCH(AM$1,[2]Cultures!$B$3:$M$3,0),FALSE)</f>
        <v>#N/A</v>
      </c>
      <c r="AN280" s="4" t="e">
        <f>VLOOKUP($N280,[2]Cultures!$B$4:$M$283,MATCH(AN$1,[2]Cultures!$B$3:$M$3,0),FALSE)</f>
        <v>#N/A</v>
      </c>
      <c r="AO280" s="4" t="e">
        <f>VLOOKUP($N280,[2]Cultures!$B$4:$M$283,MATCH(AO$1,[2]Cultures!$B$3:$M$3,0),FALSE)</f>
        <v>#N/A</v>
      </c>
      <c r="AP280" s="4" t="e">
        <f>VLOOKUP($N280,[2]Cultures!$B$4:$M$283,MATCH(AP$1,[2]Cultures!$B$3:$M$3,0),FALSE)</f>
        <v>#N/A</v>
      </c>
      <c r="AQ280" s="4" t="e">
        <f>VLOOKUP($N280,[2]Cultures!$B$4:$M$283,MATCH(AQ$1,[2]Cultures!$B$3:$M$3,0),FALSE)</f>
        <v>#N/A</v>
      </c>
      <c r="AR280" s="4" t="e">
        <f>VLOOKUP($N280,[2]Cultures!$B$4:$M$283,MATCH(AR$1,[2]Cultures!$B$3:$M$3,0),FALSE)</f>
        <v>#N/A</v>
      </c>
      <c r="AS280" s="4" t="e">
        <f>VLOOKUP($N280,[2]Cultures!$B$4:$M$283,MATCH(AS$1,[2]Cultures!$B$3:$M$3,0),FALSE)</f>
        <v>#N/A</v>
      </c>
      <c r="AT280" s="4"/>
      <c r="AU280" s="4">
        <f>IF(ISNUMBER(SEARCH(N280&amp;";",Calculations!$Q$19)),VLOOKUP(Skills!N280,Calculations!$Q$2:$T$16,4,FALSE),0)</f>
        <v>0</v>
      </c>
      <c r="AV280" s="4">
        <f>IF(ISNUMBER(SEARCH(N280&amp;";",Calculations!$Q$18)),1,0)</f>
        <v>0</v>
      </c>
      <c r="AW280" s="4"/>
      <c r="AX280" s="4">
        <f>VLOOKUP($N280,$N280:$CH280,MATCH('Character Sheet'!$BJ$3,Skills!$N$1:$CH$1,0),FALSE)</f>
        <v>0</v>
      </c>
    </row>
    <row r="281" spans="2:50" x14ac:dyDescent="0.25">
      <c r="B281" s="4" t="e">
        <f t="shared" si="113"/>
        <v>#N/A</v>
      </c>
      <c r="E281" s="4"/>
      <c r="F281" s="4">
        <f t="shared" si="138"/>
        <v>0</v>
      </c>
      <c r="G281" s="4"/>
      <c r="H281" s="4" t="e">
        <f t="shared" si="147"/>
        <v>#N/A</v>
      </c>
      <c r="I281" s="4" t="e">
        <f>IF($J$245=1,1,IF($J$273=1,1,IF($J$280=1,1,0)))</f>
        <v>#N/A</v>
      </c>
      <c r="J281" s="4">
        <f t="shared" si="139"/>
        <v>0</v>
      </c>
      <c r="K281" s="4" t="e">
        <f t="shared" si="137"/>
        <v>#N/A</v>
      </c>
      <c r="M281" t="str">
        <f>N281&amp;", Written"</f>
        <v>Russian, Written</v>
      </c>
      <c r="N281" s="3" t="str">
        <f>'Character Sheet'!BLR41</f>
        <v>Russian</v>
      </c>
      <c r="O281" s="4" t="s">
        <v>798</v>
      </c>
      <c r="P281" s="4" t="s">
        <v>792</v>
      </c>
      <c r="Q281" s="4" t="e">
        <f>IF(ISNUMBER(SEARCH("Category",N281)),"- -",IF(ISNUMBER(SEARCH("Skills",N281)),"- -",AH281+AI281))</f>
        <v>#N/A</v>
      </c>
      <c r="R281" s="4">
        <f>IF(ISNUMBER(SEARCH("Category",N281)),"- -",IF(ISNUMBER(SEARCH("Skills",N281)),"- -",'Level-up'!C299))</f>
        <v>0</v>
      </c>
      <c r="S281" s="4" t="e">
        <f t="shared" si="140"/>
        <v>#N/A</v>
      </c>
      <c r="T281" s="4" t="e">
        <f t="shared" si="141"/>
        <v>#N/A</v>
      </c>
      <c r="U281" s="4">
        <f t="shared" ca="1" si="146"/>
        <v>3</v>
      </c>
      <c r="V281" s="4">
        <f>IF(ISNUMBER(SEARCH("Category",N281)),"- -",IF(ISNUMBER(SEARCH("Skills",N281)),"- -",IF(AU281&gt;0,AU281,IF($AU$279&gt;0,$AU$279,IF($AU$272&gt;0,$AU$272,$AU$244)))))</f>
        <v>0</v>
      </c>
      <c r="W281" s="4" t="e">
        <f t="shared" si="116"/>
        <v>#N/A</v>
      </c>
      <c r="X281" s="4">
        <f t="shared" si="114"/>
        <v>0</v>
      </c>
      <c r="Y281" s="4">
        <f t="shared" si="142"/>
        <v>0</v>
      </c>
      <c r="Z281" s="4">
        <f t="shared" si="143"/>
        <v>0</v>
      </c>
      <c r="AA281" s="4">
        <f t="shared" si="144"/>
        <v>0</v>
      </c>
      <c r="AB281" s="4">
        <f t="shared" si="145"/>
        <v>0</v>
      </c>
      <c r="AC281" s="8"/>
      <c r="AD281" s="4"/>
      <c r="AE281" s="4"/>
      <c r="AF281" s="4" t="e">
        <f t="shared" si="148"/>
        <v>#N/A</v>
      </c>
      <c r="AG281" s="4"/>
      <c r="AH281" s="4">
        <f>IFERROR(VLOOKUP(M281,Calculations!$AC$2:$AD$251,2,FALSE),0)</f>
        <v>0</v>
      </c>
      <c r="AI281" s="4" t="e">
        <f>VLOOKUP(N281,$N$2:$AS$620,MATCH('Character Creation'!$Z$12,Skills!$N$1:$AS$1,0),FALSE)</f>
        <v>#N/A</v>
      </c>
      <c r="AJ281" s="4" t="e">
        <f>VLOOKUP($N281,[2]Cultures!$B$4:$M$283,MATCH(AJ$1,[2]Cultures!$B$3:$M$3,0),FALSE)</f>
        <v>#N/A</v>
      </c>
      <c r="AK281" s="4" t="e">
        <f>VLOOKUP($N281,[2]Cultures!$B$4:$M$283,MATCH(AK$1,[2]Cultures!$B$3:$M$3,0),FALSE)</f>
        <v>#N/A</v>
      </c>
      <c r="AL281" s="4" t="e">
        <f>VLOOKUP($N281,[2]Cultures!$B$4:$M$283,MATCH(AL$1,[2]Cultures!$B$3:$M$3,0),FALSE)</f>
        <v>#N/A</v>
      </c>
      <c r="AM281" s="4" t="e">
        <f>VLOOKUP($N281,[2]Cultures!$B$4:$M$283,MATCH(AM$1,[2]Cultures!$B$3:$M$3,0),FALSE)</f>
        <v>#N/A</v>
      </c>
      <c r="AN281" s="4" t="e">
        <f>VLOOKUP($N281,[2]Cultures!$B$4:$M$283,MATCH(AN$1,[2]Cultures!$B$3:$M$3,0),FALSE)</f>
        <v>#N/A</v>
      </c>
      <c r="AO281" s="4" t="e">
        <f>VLOOKUP($N281,[2]Cultures!$B$4:$M$283,MATCH(AO$1,[2]Cultures!$B$3:$M$3,0),FALSE)</f>
        <v>#N/A</v>
      </c>
      <c r="AP281" s="4" t="e">
        <f>VLOOKUP($N281,[2]Cultures!$B$4:$M$283,MATCH(AP$1,[2]Cultures!$B$3:$M$3,0),FALSE)</f>
        <v>#N/A</v>
      </c>
      <c r="AQ281" s="4" t="e">
        <f>VLOOKUP($N281,[2]Cultures!$B$4:$M$283,MATCH(AQ$1,[2]Cultures!$B$3:$M$3,0),FALSE)</f>
        <v>#N/A</v>
      </c>
      <c r="AR281" s="4" t="e">
        <f>VLOOKUP($N281,[2]Cultures!$B$4:$M$283,MATCH(AR$1,[2]Cultures!$B$3:$M$3,0),FALSE)</f>
        <v>#N/A</v>
      </c>
      <c r="AS281" s="4" t="e">
        <f>VLOOKUP($N281,[2]Cultures!$B$4:$M$283,MATCH(AS$1,[2]Cultures!$B$3:$M$3,0),FALSE)</f>
        <v>#N/A</v>
      </c>
      <c r="AT281" s="4"/>
      <c r="AU281" s="4">
        <f>IF(ISNUMBER(SEARCH(N281&amp;";",Calculations!$Q$19)),VLOOKUP(Skills!N281,Calculations!$Q$2:$T$16,4,FALSE),0)</f>
        <v>0</v>
      </c>
      <c r="AV281" s="4">
        <f>IF(ISNUMBER(SEARCH(N281&amp;";",Calculations!$Q$18)),1,0)</f>
        <v>0</v>
      </c>
      <c r="AW281" s="4">
        <f>IF($AV$244=1,1,IF($AV$272=1,1,IF($AV$279=1,1,AV281)))</f>
        <v>1</v>
      </c>
      <c r="AX281" s="4">
        <f>VLOOKUP($N281,$N281:$CH281,MATCH('Character Sheet'!$BJ$3,Skills!$N$1:$CH$1,0),FALSE)</f>
        <v>0</v>
      </c>
    </row>
    <row r="282" spans="2:50" x14ac:dyDescent="0.25">
      <c r="B282" s="4" t="e">
        <f t="shared" si="113"/>
        <v>#N/A</v>
      </c>
      <c r="E282" s="4"/>
      <c r="F282" s="4">
        <f t="shared" si="138"/>
        <v>0</v>
      </c>
      <c r="G282" s="4"/>
      <c r="H282" s="4" t="e">
        <f t="shared" si="147"/>
        <v>#N/A</v>
      </c>
      <c r="I282" s="4" t="e">
        <f>IF($J$245=1,1,IF($J$273=1,1,IF($J$280=1,1,0)))</f>
        <v>#N/A</v>
      </c>
      <c r="J282" s="4">
        <f t="shared" si="139"/>
        <v>0</v>
      </c>
      <c r="K282" s="4" t="e">
        <f t="shared" si="137"/>
        <v>#N/A</v>
      </c>
      <c r="M282" t="str">
        <f t="shared" ref="M282:M283" si="151">N282&amp;", Written"</f>
        <v>English, Written</v>
      </c>
      <c r="N282" s="3" t="str">
        <f>'Character Sheet'!BLR42</f>
        <v>English</v>
      </c>
      <c r="O282" s="4" t="s">
        <v>798</v>
      </c>
      <c r="P282" s="4" t="s">
        <v>792</v>
      </c>
      <c r="Q282" s="4" t="e">
        <f t="shared" si="115"/>
        <v>#N/A</v>
      </c>
      <c r="R282" s="4">
        <f>IF(ISNUMBER(SEARCH("Category",N282)),"- -",IF(ISNUMBER(SEARCH("Skills",N282)),"- -",'Level-up'!C300))</f>
        <v>0</v>
      </c>
      <c r="S282" s="4" t="e">
        <f t="shared" si="140"/>
        <v>#N/A</v>
      </c>
      <c r="T282" s="4" t="e">
        <f t="shared" si="141"/>
        <v>#N/A</v>
      </c>
      <c r="U282" s="4">
        <f t="shared" ca="1" si="146"/>
        <v>3</v>
      </c>
      <c r="V282" s="4">
        <f>IF(ISNUMBER(SEARCH("Category",N282)),"- -",IF(ISNUMBER(SEARCH("Skills",N282)),"- -",IF(AU282&gt;0,AU282,IF($AU$279&gt;0,$AU$279,IF($AU$272&gt;0,$AU$272,$AU$244)))))</f>
        <v>0</v>
      </c>
      <c r="W282" s="4" t="e">
        <f t="shared" si="116"/>
        <v>#N/A</v>
      </c>
      <c r="X282" s="4">
        <f t="shared" si="114"/>
        <v>0</v>
      </c>
      <c r="Y282" s="4">
        <f t="shared" si="142"/>
        <v>0</v>
      </c>
      <c r="Z282" s="4">
        <f t="shared" si="143"/>
        <v>0</v>
      </c>
      <c r="AA282" s="4">
        <f t="shared" si="144"/>
        <v>0</v>
      </c>
      <c r="AB282" s="4">
        <f t="shared" si="145"/>
        <v>0</v>
      </c>
      <c r="AC282" s="8"/>
      <c r="AD282" s="4"/>
      <c r="AE282" s="4"/>
      <c r="AF282" s="4" t="e">
        <f t="shared" si="148"/>
        <v>#N/A</v>
      </c>
      <c r="AG282" s="4"/>
      <c r="AH282" s="4">
        <f>IFERROR(VLOOKUP(M282,Calculations!$AC$2:$AD$251,2,FALSE),0)</f>
        <v>0</v>
      </c>
      <c r="AI282" s="4" t="e">
        <f>VLOOKUP(N282,$N$2:$AS$620,MATCH('Character Creation'!$Z$12,Skills!$N$1:$AS$1,0),FALSE)</f>
        <v>#N/A</v>
      </c>
      <c r="AJ282" s="4" t="e">
        <f>VLOOKUP($N282,[2]Cultures!$B$4:$M$283,MATCH(AJ$1,[2]Cultures!$B$3:$M$3,0),FALSE)</f>
        <v>#N/A</v>
      </c>
      <c r="AK282" s="4" t="e">
        <f>VLOOKUP($N282,[2]Cultures!$B$4:$M$283,MATCH(AK$1,[2]Cultures!$B$3:$M$3,0),FALSE)</f>
        <v>#N/A</v>
      </c>
      <c r="AL282" s="4" t="e">
        <f>VLOOKUP($N282,[2]Cultures!$B$4:$M$283,MATCH(AL$1,[2]Cultures!$B$3:$M$3,0),FALSE)</f>
        <v>#N/A</v>
      </c>
      <c r="AM282" s="4" t="e">
        <f>VLOOKUP($N282,[2]Cultures!$B$4:$M$283,MATCH(AM$1,[2]Cultures!$B$3:$M$3,0),FALSE)</f>
        <v>#N/A</v>
      </c>
      <c r="AN282" s="4" t="e">
        <f>VLOOKUP($N282,[2]Cultures!$B$4:$M$283,MATCH(AN$1,[2]Cultures!$B$3:$M$3,0),FALSE)</f>
        <v>#N/A</v>
      </c>
      <c r="AO282" s="4" t="e">
        <f>VLOOKUP($N282,[2]Cultures!$B$4:$M$283,MATCH(AO$1,[2]Cultures!$B$3:$M$3,0),FALSE)</f>
        <v>#N/A</v>
      </c>
      <c r="AP282" s="4" t="e">
        <f>VLOOKUP($N282,[2]Cultures!$B$4:$M$283,MATCH(AP$1,[2]Cultures!$B$3:$M$3,0),FALSE)</f>
        <v>#N/A</v>
      </c>
      <c r="AQ282" s="4" t="e">
        <f>VLOOKUP($N282,[2]Cultures!$B$4:$M$283,MATCH(AQ$1,[2]Cultures!$B$3:$M$3,0),FALSE)</f>
        <v>#N/A</v>
      </c>
      <c r="AR282" s="4" t="e">
        <f>VLOOKUP($N282,[2]Cultures!$B$4:$M$283,MATCH(AR$1,[2]Cultures!$B$3:$M$3,0),FALSE)</f>
        <v>#N/A</v>
      </c>
      <c r="AS282" s="4" t="e">
        <f>VLOOKUP($N282,[2]Cultures!$B$4:$M$283,MATCH(AS$1,[2]Cultures!$B$3:$M$3,0),FALSE)</f>
        <v>#N/A</v>
      </c>
      <c r="AT282" s="4"/>
      <c r="AU282" s="4">
        <f>IF(ISNUMBER(SEARCH(N282&amp;";",Calculations!$Q$19)),VLOOKUP(Skills!N282,Calculations!$Q$2:$T$16,4,FALSE),0)</f>
        <v>0</v>
      </c>
      <c r="AV282" s="4">
        <f>IF(ISNUMBER(SEARCH(N282&amp;";",Calculations!$Q$18)),1,0)</f>
        <v>0</v>
      </c>
      <c r="AW282" s="4">
        <f>IF($AV$244=1,1,IF($AV$272=1,1,IF($AV$279=1,1,AV282)))</f>
        <v>1</v>
      </c>
      <c r="AX282" s="4">
        <f>VLOOKUP($N282,$N282:$CH282,MATCH('Character Sheet'!$BJ$3,Skills!$N$1:$CH$1,0),FALSE)</f>
        <v>0</v>
      </c>
    </row>
    <row r="283" spans="2:50" x14ac:dyDescent="0.25">
      <c r="B283" s="4" t="e">
        <f t="shared" si="113"/>
        <v>#N/A</v>
      </c>
      <c r="E283" s="4"/>
      <c r="F283" s="4">
        <f t="shared" si="138"/>
        <v>0</v>
      </c>
      <c r="G283" s="4"/>
      <c r="H283" s="4" t="e">
        <f t="shared" si="147"/>
        <v>#N/A</v>
      </c>
      <c r="I283" s="4" t="e">
        <f>IF($J$245=1,1,IF($J$273=1,1,IF($J$280=1,1,0)))</f>
        <v>#N/A</v>
      </c>
      <c r="J283" s="4">
        <f t="shared" si="139"/>
        <v>0</v>
      </c>
      <c r="K283" s="4" t="e">
        <f t="shared" ref="K283:K302" si="152">IF(ISNUMBER(SEARCH("Category",N283)),K284,AI283)</f>
        <v>#N/A</v>
      </c>
      <c r="M283" t="str">
        <f t="shared" si="151"/>
        <v>0, Written</v>
      </c>
      <c r="N283" s="3">
        <f>'Character Sheet'!BLR43</f>
        <v>0</v>
      </c>
      <c r="O283" s="4" t="s">
        <v>798</v>
      </c>
      <c r="P283" s="4" t="s">
        <v>792</v>
      </c>
      <c r="Q283" s="4" t="e">
        <f t="shared" si="115"/>
        <v>#N/A</v>
      </c>
      <c r="R283" s="4">
        <f>IF(ISNUMBER(SEARCH("Category",N283)),"- -",IF(ISNUMBER(SEARCH("Skills",N283)),"- -",'Level-up'!C301))</f>
        <v>0</v>
      </c>
      <c r="S283" s="4" t="e">
        <f t="shared" si="140"/>
        <v>#N/A</v>
      </c>
      <c r="T283" s="4" t="e">
        <f t="shared" si="141"/>
        <v>#N/A</v>
      </c>
      <c r="U283" s="4">
        <f t="shared" ca="1" si="146"/>
        <v>3</v>
      </c>
      <c r="V283" s="4">
        <f>IF(ISNUMBER(SEARCH("Category",N283)),"- -",IF(ISNUMBER(SEARCH("Skills",N283)),"- -",IF(AU283&gt;0,AU283,IF($AU$279&gt;0,$AU$279,IF($AU$272&gt;0,$AU$272,$AU$244)))))</f>
        <v>0</v>
      </c>
      <c r="W283" s="4" t="e">
        <f t="shared" si="116"/>
        <v>#N/A</v>
      </c>
      <c r="X283" s="4">
        <f t="shared" si="114"/>
        <v>0</v>
      </c>
      <c r="Y283" s="4">
        <f t="shared" si="142"/>
        <v>0</v>
      </c>
      <c r="Z283" s="4">
        <f t="shared" si="143"/>
        <v>0</v>
      </c>
      <c r="AA283" s="4">
        <f t="shared" si="144"/>
        <v>0</v>
      </c>
      <c r="AB283" s="4">
        <f t="shared" si="145"/>
        <v>0</v>
      </c>
      <c r="AC283" s="8"/>
      <c r="AD283" s="4"/>
      <c r="AE283" s="4"/>
      <c r="AF283" s="4" t="e">
        <f t="shared" si="148"/>
        <v>#N/A</v>
      </c>
      <c r="AG283" s="4"/>
      <c r="AH283" s="4">
        <f>IFERROR(VLOOKUP(M283,Calculations!$AC$2:$AD$251,2,FALSE),0)</f>
        <v>0</v>
      </c>
      <c r="AI283" s="4" t="e">
        <f>VLOOKUP(N283,$N$2:$AS$620,MATCH('Character Creation'!$Z$12,Skills!$N$1:$AS$1,0),FALSE)</f>
        <v>#N/A</v>
      </c>
      <c r="AJ283" s="4" t="e">
        <f>VLOOKUP($N283,[2]Cultures!$B$4:$M$283,MATCH(AJ$1,[2]Cultures!$B$3:$M$3,0),FALSE)</f>
        <v>#N/A</v>
      </c>
      <c r="AK283" s="4" t="e">
        <f>VLOOKUP($N283,[2]Cultures!$B$4:$M$283,MATCH(AK$1,[2]Cultures!$B$3:$M$3,0),FALSE)</f>
        <v>#N/A</v>
      </c>
      <c r="AL283" s="4" t="e">
        <f>VLOOKUP($N283,[2]Cultures!$B$4:$M$283,MATCH(AL$1,[2]Cultures!$B$3:$M$3,0),FALSE)</f>
        <v>#N/A</v>
      </c>
      <c r="AM283" s="4" t="e">
        <f>VLOOKUP($N283,[2]Cultures!$B$4:$M$283,MATCH(AM$1,[2]Cultures!$B$3:$M$3,0),FALSE)</f>
        <v>#N/A</v>
      </c>
      <c r="AN283" s="4" t="e">
        <f>VLOOKUP($N283,[2]Cultures!$B$4:$M$283,MATCH(AN$1,[2]Cultures!$B$3:$M$3,0),FALSE)</f>
        <v>#N/A</v>
      </c>
      <c r="AO283" s="4" t="e">
        <f>VLOOKUP($N283,[2]Cultures!$B$4:$M$283,MATCH(AO$1,[2]Cultures!$B$3:$M$3,0),FALSE)</f>
        <v>#N/A</v>
      </c>
      <c r="AP283" s="4" t="e">
        <f>VLOOKUP($N283,[2]Cultures!$B$4:$M$283,MATCH(AP$1,[2]Cultures!$B$3:$M$3,0),FALSE)</f>
        <v>#N/A</v>
      </c>
      <c r="AQ283" s="4" t="e">
        <f>VLOOKUP($N283,[2]Cultures!$B$4:$M$283,MATCH(AQ$1,[2]Cultures!$B$3:$M$3,0),FALSE)</f>
        <v>#N/A</v>
      </c>
      <c r="AR283" s="4" t="e">
        <f>VLOOKUP($N283,[2]Cultures!$B$4:$M$283,MATCH(AR$1,[2]Cultures!$B$3:$M$3,0),FALSE)</f>
        <v>#N/A</v>
      </c>
      <c r="AS283" s="4" t="e">
        <f>VLOOKUP($N283,[2]Cultures!$B$4:$M$283,MATCH(AS$1,[2]Cultures!$B$3:$M$3,0),FALSE)</f>
        <v>#N/A</v>
      </c>
      <c r="AT283" s="4"/>
      <c r="AU283" s="4">
        <f>IF(ISNUMBER(SEARCH(N283&amp;";",Calculations!$Q$19)),VLOOKUP(Skills!N283,Calculations!$Q$2:$T$16,4,FALSE),0)</f>
        <v>0</v>
      </c>
      <c r="AV283" s="4">
        <f>IF(ISNUMBER(SEARCH(N283&amp;";",Calculations!$Q$18)),1,0)</f>
        <v>0</v>
      </c>
      <c r="AW283" s="4">
        <f>IF($AV$244=1,1,IF($AV$272=1,1,IF($AV$279=1,1,AV283)))</f>
        <v>1</v>
      </c>
      <c r="AX283" s="4">
        <f>VLOOKUP($N283,$N283:$CH283,MATCH('Character Sheet'!$BJ$3,Skills!$N$1:$CH$1,0),FALSE)</f>
        <v>0</v>
      </c>
    </row>
    <row r="284" spans="2:50" x14ac:dyDescent="0.25">
      <c r="B284" s="4" t="e">
        <f t="shared" si="113"/>
        <v>#N/A</v>
      </c>
      <c r="E284" s="4"/>
      <c r="F284" s="4">
        <f t="shared" si="138"/>
        <v>0</v>
      </c>
      <c r="G284" s="4"/>
      <c r="H284" s="4" t="e">
        <f t="shared" si="147"/>
        <v>#N/A</v>
      </c>
      <c r="I284" s="4" t="e">
        <f>IF($J$245=1,1,IF($J$273=1,1,IF($J$285=1,1,0)))</f>
        <v>#N/A</v>
      </c>
      <c r="J284" s="4">
        <f t="shared" si="139"/>
        <v>0</v>
      </c>
      <c r="K284" s="4" t="e">
        <f t="shared" si="152"/>
        <v>#N/A</v>
      </c>
      <c r="N284" s="3" t="s">
        <v>675</v>
      </c>
      <c r="O284" s="6" t="s">
        <v>782</v>
      </c>
      <c r="P284" s="6" t="s">
        <v>782</v>
      </c>
      <c r="Q284" s="4" t="str">
        <f t="shared" si="115"/>
        <v>- -</v>
      </c>
      <c r="R284" s="4" t="str">
        <f>IF(ISNUMBER(SEARCH("Category",N284)),"- -",IF(ISNUMBER(SEARCH("Skills",N284)),"- -",'Level-up'!C302))</f>
        <v>- -</v>
      </c>
      <c r="S284" s="4" t="str">
        <f t="shared" si="140"/>
        <v>- -</v>
      </c>
      <c r="T284" s="4" t="str">
        <f t="shared" si="141"/>
        <v>- -</v>
      </c>
      <c r="U284" s="4" t="str">
        <f t="shared" ca="1" si="146"/>
        <v>- -</v>
      </c>
      <c r="V284" s="4" t="str">
        <f>IF(ISNUMBER(SEARCH("Category",N284)),"- -",IF(ISNUMBER(SEARCH("Skills",N284)),"- -",IF(AU284&gt;0,AU284,IF($AU$279&gt;0,$AU$279,IF($AU$272&gt;0,$AU$272,$AU$244)))))</f>
        <v>- -</v>
      </c>
      <c r="W284" s="4" t="str">
        <f t="shared" si="116"/>
        <v>- -</v>
      </c>
      <c r="X284" s="4" t="str">
        <f t="shared" si="114"/>
        <v>- -</v>
      </c>
      <c r="Y284" s="4" t="str">
        <f t="shared" si="142"/>
        <v>- -</v>
      </c>
      <c r="Z284" s="4" t="str">
        <f t="shared" si="143"/>
        <v>- -</v>
      </c>
      <c r="AA284" s="4" t="str">
        <f t="shared" si="144"/>
        <v>- -</v>
      </c>
      <c r="AB284" s="4" t="str">
        <f t="shared" si="145"/>
        <v>- -</v>
      </c>
      <c r="AC284" s="8"/>
      <c r="AD284" s="4"/>
      <c r="AE284" s="4"/>
      <c r="AF284" s="4" t="str">
        <f t="shared" si="148"/>
        <v>- -</v>
      </c>
      <c r="AG284" s="4"/>
      <c r="AH284" s="4">
        <f>IFERROR(VLOOKUP(M284,Calculations!$AC$2:$AD$251,2,FALSE),0)</f>
        <v>0</v>
      </c>
      <c r="AI284" s="4" t="e">
        <f>VLOOKUP(N284,$N$2:$AS$620,MATCH('Character Creation'!$Z$12,Skills!$N$1:$AS$1,0),FALSE)</f>
        <v>#N/A</v>
      </c>
      <c r="AJ284" s="4" t="e">
        <f>VLOOKUP($N284,[2]Cultures!$B$4:$M$283,MATCH(AJ$1,[2]Cultures!$B$3:$M$3,0),FALSE)</f>
        <v>#N/A</v>
      </c>
      <c r="AK284" s="4" t="e">
        <f>VLOOKUP($N284,[2]Cultures!$B$4:$M$283,MATCH(AK$1,[2]Cultures!$B$3:$M$3,0),FALSE)</f>
        <v>#N/A</v>
      </c>
      <c r="AL284" s="4" t="e">
        <f>VLOOKUP($N284,[2]Cultures!$B$4:$M$283,MATCH(AL$1,[2]Cultures!$B$3:$M$3,0),FALSE)</f>
        <v>#N/A</v>
      </c>
      <c r="AM284" s="4" t="e">
        <f>VLOOKUP($N284,[2]Cultures!$B$4:$M$283,MATCH(AM$1,[2]Cultures!$B$3:$M$3,0),FALSE)</f>
        <v>#N/A</v>
      </c>
      <c r="AN284" s="4" t="e">
        <f>VLOOKUP($N284,[2]Cultures!$B$4:$M$283,MATCH(AN$1,[2]Cultures!$B$3:$M$3,0),FALSE)</f>
        <v>#N/A</v>
      </c>
      <c r="AO284" s="4" t="e">
        <f>VLOOKUP($N284,[2]Cultures!$B$4:$M$283,MATCH(AO$1,[2]Cultures!$B$3:$M$3,0),FALSE)</f>
        <v>#N/A</v>
      </c>
      <c r="AP284" s="4" t="e">
        <f>VLOOKUP($N284,[2]Cultures!$B$4:$M$283,MATCH(AP$1,[2]Cultures!$B$3:$M$3,0),FALSE)</f>
        <v>#N/A</v>
      </c>
      <c r="AQ284" s="4" t="e">
        <f>VLOOKUP($N284,[2]Cultures!$B$4:$M$283,MATCH(AQ$1,[2]Cultures!$B$3:$M$3,0),FALSE)</f>
        <v>#N/A</v>
      </c>
      <c r="AR284" s="4" t="e">
        <f>VLOOKUP($N284,[2]Cultures!$B$4:$M$283,MATCH(AR$1,[2]Cultures!$B$3:$M$3,0),FALSE)</f>
        <v>#N/A</v>
      </c>
      <c r="AS284" s="4" t="e">
        <f>VLOOKUP($N284,[2]Cultures!$B$4:$M$283,MATCH(AS$1,[2]Cultures!$B$3:$M$3,0),FALSE)</f>
        <v>#N/A</v>
      </c>
      <c r="AT284" s="4"/>
      <c r="AU284" s="4">
        <f>IF(ISNUMBER(SEARCH(N284&amp;";",Calculations!$Q$19)),VLOOKUP(Skills!N284,Calculations!$Q$2:$T$16,4,FALSE),0)</f>
        <v>0</v>
      </c>
      <c r="AV284" s="4">
        <f>IF(ISNUMBER(SEARCH(N284&amp;";",Calculations!$Q$18)),1,0)</f>
        <v>1</v>
      </c>
      <c r="AW284" s="4"/>
      <c r="AX284" s="4">
        <f>VLOOKUP($N284,$N284:$CH284,MATCH('Character Sheet'!$BJ$3,Skills!$N$1:$CH$1,0),FALSE)</f>
        <v>0</v>
      </c>
    </row>
    <row r="285" spans="2:50" x14ac:dyDescent="0.25">
      <c r="B285" s="4" t="e">
        <f t="shared" si="113"/>
        <v>#N/A</v>
      </c>
      <c r="E285" s="4"/>
      <c r="F285" s="4">
        <f t="shared" si="138"/>
        <v>0</v>
      </c>
      <c r="G285" s="4"/>
      <c r="H285" s="4" t="e">
        <f t="shared" si="147"/>
        <v>#N/A</v>
      </c>
      <c r="I285" s="4">
        <v>0</v>
      </c>
      <c r="J285" s="4" t="e">
        <f t="shared" si="139"/>
        <v>#N/A</v>
      </c>
      <c r="K285" s="4" t="e">
        <f t="shared" si="152"/>
        <v>#N/A</v>
      </c>
      <c r="N285" s="3" t="s">
        <v>681</v>
      </c>
      <c r="O285" s="6" t="s">
        <v>782</v>
      </c>
      <c r="P285" s="6" t="s">
        <v>782</v>
      </c>
      <c r="Q285" s="4" t="str">
        <f t="shared" si="115"/>
        <v>- -</v>
      </c>
      <c r="R285" s="4" t="str">
        <f>IF(ISNUMBER(SEARCH("Category",N285)),"- -",IF(ISNUMBER(SEARCH("Skills",N285)),"- -",'Level-up'!C303))</f>
        <v>- -</v>
      </c>
      <c r="S285" s="4" t="str">
        <f t="shared" si="140"/>
        <v>- -</v>
      </c>
      <c r="T285" s="4" t="str">
        <f t="shared" si="141"/>
        <v>- -</v>
      </c>
      <c r="U285" s="4" t="str">
        <f t="shared" ca="1" si="146"/>
        <v>- -</v>
      </c>
      <c r="V285" s="4" t="str">
        <f>IF(ISNUMBER(SEARCH("Category",N285)),"- -",IF(ISNUMBER(SEARCH("Skills",N285)),"- -",IF(AU285&gt;0,AU285,IF($AU$279&gt;0,$AU$279,IF($AU$272&gt;0,$AU$272,$AU$244)))))</f>
        <v>- -</v>
      </c>
      <c r="W285" s="4" t="str">
        <f t="shared" si="116"/>
        <v>- -</v>
      </c>
      <c r="X285" s="4" t="str">
        <f t="shared" si="114"/>
        <v>- -</v>
      </c>
      <c r="Y285" s="4" t="str">
        <f t="shared" si="142"/>
        <v>- -</v>
      </c>
      <c r="Z285" s="4" t="str">
        <f t="shared" si="143"/>
        <v>- -</v>
      </c>
      <c r="AA285" s="4" t="str">
        <f t="shared" si="144"/>
        <v>- -</v>
      </c>
      <c r="AB285" s="4" t="str">
        <f t="shared" si="145"/>
        <v>- -</v>
      </c>
      <c r="AC285" s="8"/>
      <c r="AD285" s="4"/>
      <c r="AE285" s="4"/>
      <c r="AF285" s="4" t="str">
        <f t="shared" si="148"/>
        <v>- -</v>
      </c>
      <c r="AG285" s="4"/>
      <c r="AH285" s="4">
        <f>IFERROR(VLOOKUP(M285,Calculations!$AC$2:$AD$251,2,FALSE),0)</f>
        <v>0</v>
      </c>
      <c r="AI285" s="4" t="e">
        <f>VLOOKUP(N285,$N$2:$AS$620,MATCH('Character Creation'!$Z$12,Skills!$N$1:$AS$1,0),FALSE)</f>
        <v>#N/A</v>
      </c>
      <c r="AJ285" s="4" t="e">
        <f>VLOOKUP($N285,[2]Cultures!$B$4:$M$283,MATCH(AJ$1,[2]Cultures!$B$3:$M$3,0),FALSE)</f>
        <v>#N/A</v>
      </c>
      <c r="AK285" s="4" t="e">
        <f>VLOOKUP($N285,[2]Cultures!$B$4:$M$283,MATCH(AK$1,[2]Cultures!$B$3:$M$3,0),FALSE)</f>
        <v>#N/A</v>
      </c>
      <c r="AL285" s="4" t="e">
        <f>VLOOKUP($N285,[2]Cultures!$B$4:$M$283,MATCH(AL$1,[2]Cultures!$B$3:$M$3,0),FALSE)</f>
        <v>#N/A</v>
      </c>
      <c r="AM285" s="4" t="e">
        <f>VLOOKUP($N285,[2]Cultures!$B$4:$M$283,MATCH(AM$1,[2]Cultures!$B$3:$M$3,0),FALSE)</f>
        <v>#N/A</v>
      </c>
      <c r="AN285" s="4" t="e">
        <f>VLOOKUP($N285,[2]Cultures!$B$4:$M$283,MATCH(AN$1,[2]Cultures!$B$3:$M$3,0),FALSE)</f>
        <v>#N/A</v>
      </c>
      <c r="AO285" s="4" t="e">
        <f>VLOOKUP($N285,[2]Cultures!$B$4:$M$283,MATCH(AO$1,[2]Cultures!$B$3:$M$3,0),FALSE)</f>
        <v>#N/A</v>
      </c>
      <c r="AP285" s="4" t="e">
        <f>VLOOKUP($N285,[2]Cultures!$B$4:$M$283,MATCH(AP$1,[2]Cultures!$B$3:$M$3,0),FALSE)</f>
        <v>#N/A</v>
      </c>
      <c r="AQ285" s="4" t="e">
        <f>VLOOKUP($N285,[2]Cultures!$B$4:$M$283,MATCH(AQ$1,[2]Cultures!$B$3:$M$3,0),FALSE)</f>
        <v>#N/A</v>
      </c>
      <c r="AR285" s="4" t="e">
        <f>VLOOKUP($N285,[2]Cultures!$B$4:$M$283,MATCH(AR$1,[2]Cultures!$B$3:$M$3,0),FALSE)</f>
        <v>#N/A</v>
      </c>
      <c r="AS285" s="4" t="e">
        <f>VLOOKUP($N285,[2]Cultures!$B$4:$M$283,MATCH(AS$1,[2]Cultures!$B$3:$M$3,0),FALSE)</f>
        <v>#N/A</v>
      </c>
      <c r="AT285" s="4"/>
      <c r="AU285" s="4">
        <f>IF(ISNUMBER(SEARCH(N285&amp;";",Calculations!$Q$19)),VLOOKUP(Skills!N285,Calculations!$Q$2:$T$16,4,FALSE),0)</f>
        <v>0</v>
      </c>
      <c r="AV285" s="4">
        <f>IF(ISNUMBER(SEARCH(N285&amp;";",Calculations!$Q$18)),1,0)</f>
        <v>0</v>
      </c>
      <c r="AW285" s="4"/>
      <c r="AX285" s="4">
        <f>VLOOKUP($N285,$N285:$CH285,MATCH('Character Sheet'!$BJ$3,Skills!$N$1:$CH$1,0),FALSE)</f>
        <v>0</v>
      </c>
    </row>
    <row r="286" spans="2:50" x14ac:dyDescent="0.25">
      <c r="B286" s="4" t="e">
        <f t="shared" si="113"/>
        <v>#N/A</v>
      </c>
      <c r="E286" s="4"/>
      <c r="F286" s="4">
        <f t="shared" si="138"/>
        <v>0</v>
      </c>
      <c r="G286" s="4"/>
      <c r="H286" s="4" t="e">
        <f t="shared" si="147"/>
        <v>#N/A</v>
      </c>
      <c r="I286" s="4" t="e">
        <f>IF($J$245=1,1,IF($J$273=1,1,IF($J$285=1,1,0)))</f>
        <v>#N/A</v>
      </c>
      <c r="J286" s="4">
        <f t="shared" si="139"/>
        <v>0</v>
      </c>
      <c r="K286" s="4" t="e">
        <f t="shared" si="152"/>
        <v>#N/A</v>
      </c>
      <c r="M286" t="str">
        <f>N286</f>
        <v>Lip Reading</v>
      </c>
      <c r="N286" s="3" t="str">
        <f>'Character Sheet'!BLR47</f>
        <v>Lip Reading</v>
      </c>
      <c r="O286" s="4" t="s">
        <v>798</v>
      </c>
      <c r="P286" s="4" t="s">
        <v>792</v>
      </c>
      <c r="Q286" s="4" t="e">
        <f t="shared" si="115"/>
        <v>#N/A</v>
      </c>
      <c r="R286" s="4">
        <f>IF(ISNUMBER(SEARCH("Category",N286)),"- -",IF(ISNUMBER(SEARCH("Skills",N286)),"- -",'Level-up'!C304))</f>
        <v>0</v>
      </c>
      <c r="S286" s="4" t="e">
        <f t="shared" si="140"/>
        <v>#N/A</v>
      </c>
      <c r="T286" s="4" t="e">
        <f t="shared" si="141"/>
        <v>#N/A</v>
      </c>
      <c r="U286" s="4">
        <f t="shared" ca="1" si="146"/>
        <v>3</v>
      </c>
      <c r="V286" s="4">
        <f>IF(ISNUMBER(SEARCH("Category",N286)),"- -",IF(ISNUMBER(SEARCH("Skills",N286)),"- -",IF(AU286&gt;0,AU286,IF($AU$284&gt;0,$AU$284,IF($AU$272&gt;0,$AU$272,$AU$244)))))</f>
        <v>0</v>
      </c>
      <c r="W286" s="4" t="e">
        <f t="shared" si="116"/>
        <v>#N/A</v>
      </c>
      <c r="X286" s="4">
        <f t="shared" si="114"/>
        <v>0</v>
      </c>
      <c r="Y286" s="4">
        <f t="shared" si="142"/>
        <v>0</v>
      </c>
      <c r="Z286" s="4">
        <f t="shared" si="143"/>
        <v>0</v>
      </c>
      <c r="AA286" s="4">
        <f t="shared" si="144"/>
        <v>0</v>
      </c>
      <c r="AB286" s="4">
        <f t="shared" si="145"/>
        <v>0</v>
      </c>
      <c r="AC286" s="8"/>
      <c r="AD286" s="4"/>
      <c r="AE286" s="4"/>
      <c r="AF286" s="4" t="e">
        <f t="shared" si="148"/>
        <v>#N/A</v>
      </c>
      <c r="AG286" s="4"/>
      <c r="AH286" s="4">
        <f>IFERROR(VLOOKUP(M286,Calculations!$AC$2:$AD$251,2,FALSE),0)</f>
        <v>0</v>
      </c>
      <c r="AI286" s="4" t="e">
        <f>VLOOKUP(N286,$N$2:$AS$620,MATCH('Character Creation'!$Z$12,Skills!$N$1:$AS$1,0),FALSE)</f>
        <v>#N/A</v>
      </c>
      <c r="AJ286" s="4" t="e">
        <f>VLOOKUP($N286,[2]Cultures!$B$4:$M$283,MATCH(AJ$1,[2]Cultures!$B$3:$M$3,0),FALSE)</f>
        <v>#N/A</v>
      </c>
      <c r="AK286" s="4" t="e">
        <f>VLOOKUP($N286,[2]Cultures!$B$4:$M$283,MATCH(AK$1,[2]Cultures!$B$3:$M$3,0),FALSE)</f>
        <v>#N/A</v>
      </c>
      <c r="AL286" s="4" t="e">
        <f>VLOOKUP($N286,[2]Cultures!$B$4:$M$283,MATCH(AL$1,[2]Cultures!$B$3:$M$3,0),FALSE)</f>
        <v>#N/A</v>
      </c>
      <c r="AM286" s="4" t="e">
        <f>VLOOKUP($N286,[2]Cultures!$B$4:$M$283,MATCH(AM$1,[2]Cultures!$B$3:$M$3,0),FALSE)</f>
        <v>#N/A</v>
      </c>
      <c r="AN286" s="4" t="e">
        <f>VLOOKUP($N286,[2]Cultures!$B$4:$M$283,MATCH(AN$1,[2]Cultures!$B$3:$M$3,0),FALSE)</f>
        <v>#N/A</v>
      </c>
      <c r="AO286" s="4" t="e">
        <f>VLOOKUP($N286,[2]Cultures!$B$4:$M$283,MATCH(AO$1,[2]Cultures!$B$3:$M$3,0),FALSE)</f>
        <v>#N/A</v>
      </c>
      <c r="AP286" s="4" t="e">
        <f>VLOOKUP($N286,[2]Cultures!$B$4:$M$283,MATCH(AP$1,[2]Cultures!$B$3:$M$3,0),FALSE)</f>
        <v>#N/A</v>
      </c>
      <c r="AQ286" s="4" t="e">
        <f>VLOOKUP($N286,[2]Cultures!$B$4:$M$283,MATCH(AQ$1,[2]Cultures!$B$3:$M$3,0),FALSE)</f>
        <v>#N/A</v>
      </c>
      <c r="AR286" s="4" t="e">
        <f>VLOOKUP($N286,[2]Cultures!$B$4:$M$283,MATCH(AR$1,[2]Cultures!$B$3:$M$3,0),FALSE)</f>
        <v>#N/A</v>
      </c>
      <c r="AS286" s="4" t="e">
        <f>VLOOKUP($N286,[2]Cultures!$B$4:$M$283,MATCH(AS$1,[2]Cultures!$B$3:$M$3,0),FALSE)</f>
        <v>#N/A</v>
      </c>
      <c r="AT286" s="4"/>
      <c r="AU286" s="4">
        <f>IF(ISNUMBER(SEARCH(N286&amp;";",Calculations!$Q$19)),VLOOKUP(Skills!N286,Calculations!$Q$2:$T$16,4,FALSE),0)</f>
        <v>0</v>
      </c>
      <c r="AV286" s="4">
        <f>IF(ISNUMBER(SEARCH(N286&amp;";",Calculations!$Q$18)),1,0)</f>
        <v>0</v>
      </c>
      <c r="AW286" s="4">
        <f>IF($AV$244=1,1,IF($AV$272=1,1,IF($AV$284=1,1,AV286)))</f>
        <v>1</v>
      </c>
      <c r="AX286" s="4">
        <f>VLOOKUP($N286,$N286:$CH286,MATCH('Character Sheet'!$BJ$3,Skills!$N$1:$CH$1,0),FALSE)</f>
        <v>0</v>
      </c>
    </row>
    <row r="287" spans="2:50" x14ac:dyDescent="0.25">
      <c r="B287" s="4" t="e">
        <f t="shared" si="113"/>
        <v>#N/A</v>
      </c>
      <c r="E287" s="4"/>
      <c r="F287" s="4">
        <f t="shared" si="138"/>
        <v>0</v>
      </c>
      <c r="G287" s="4"/>
      <c r="H287" s="4" t="e">
        <f t="shared" si="147"/>
        <v>#N/A</v>
      </c>
      <c r="I287" s="4" t="e">
        <f>IF($J$245=1,1,IF($J$273=1,1,IF($J$285=1,1,0)))</f>
        <v>#N/A</v>
      </c>
      <c r="J287" s="4">
        <f t="shared" si="139"/>
        <v>0</v>
      </c>
      <c r="K287" s="4" t="e">
        <f t="shared" si="152"/>
        <v>#N/A</v>
      </c>
      <c r="M287" t="str">
        <f>N287</f>
        <v>Signalling</v>
      </c>
      <c r="N287" s="3" t="str">
        <f>'Character Sheet'!BLR48</f>
        <v>Signalling</v>
      </c>
      <c r="O287" s="4" t="s">
        <v>798</v>
      </c>
      <c r="P287" s="4" t="s">
        <v>792</v>
      </c>
      <c r="Q287" s="4" t="e">
        <f t="shared" si="115"/>
        <v>#N/A</v>
      </c>
      <c r="R287" s="4">
        <f>IF(ISNUMBER(SEARCH("Category",N287)),"- -",IF(ISNUMBER(SEARCH("Skills",N287)),"- -",'Level-up'!C305))</f>
        <v>0</v>
      </c>
      <c r="S287" s="4" t="e">
        <f t="shared" si="140"/>
        <v>#N/A</v>
      </c>
      <c r="T287" s="4" t="e">
        <f t="shared" si="141"/>
        <v>#N/A</v>
      </c>
      <c r="U287" s="4">
        <f t="shared" ca="1" si="146"/>
        <v>3</v>
      </c>
      <c r="V287" s="4">
        <f>IF(ISNUMBER(SEARCH("Category",N287)),"- -",IF(ISNUMBER(SEARCH("Skills",N287)),"- -",IF(AU287&gt;0,AU287,IF($AU$284&gt;0,$AU$284,IF($AU$272&gt;0,$AU$272,$AU$244)))))</f>
        <v>0</v>
      </c>
      <c r="W287" s="4" t="e">
        <f t="shared" si="116"/>
        <v>#N/A</v>
      </c>
      <c r="X287" s="4">
        <f t="shared" si="114"/>
        <v>0</v>
      </c>
      <c r="Y287" s="4">
        <f t="shared" si="142"/>
        <v>0</v>
      </c>
      <c r="Z287" s="4">
        <f t="shared" si="143"/>
        <v>0</v>
      </c>
      <c r="AA287" s="4">
        <f t="shared" si="144"/>
        <v>0</v>
      </c>
      <c r="AB287" s="4">
        <f t="shared" si="145"/>
        <v>0</v>
      </c>
      <c r="AC287" s="8"/>
      <c r="AD287" s="4"/>
      <c r="AE287" s="4"/>
      <c r="AF287" s="4" t="e">
        <f t="shared" si="148"/>
        <v>#N/A</v>
      </c>
      <c r="AG287" s="4"/>
      <c r="AH287" s="4">
        <f>IFERROR(VLOOKUP(M287,Calculations!$AC$2:$AD$251,2,FALSE),0)</f>
        <v>0</v>
      </c>
      <c r="AI287" s="4" t="e">
        <f>VLOOKUP(N287,$N$2:$AS$620,MATCH('Character Creation'!$Z$12,Skills!$N$1:$AS$1,0),FALSE)</f>
        <v>#N/A</v>
      </c>
      <c r="AJ287" s="4" t="e">
        <f>VLOOKUP($N287,[2]Cultures!$B$4:$M$283,MATCH(AJ$1,[2]Cultures!$B$3:$M$3,0),FALSE)</f>
        <v>#N/A</v>
      </c>
      <c r="AK287" s="4" t="e">
        <f>VLOOKUP($N287,[2]Cultures!$B$4:$M$283,MATCH(AK$1,[2]Cultures!$B$3:$M$3,0),FALSE)</f>
        <v>#N/A</v>
      </c>
      <c r="AL287" s="4" t="e">
        <f>VLOOKUP($N287,[2]Cultures!$B$4:$M$283,MATCH(AL$1,[2]Cultures!$B$3:$M$3,0),FALSE)</f>
        <v>#N/A</v>
      </c>
      <c r="AM287" s="4" t="e">
        <f>VLOOKUP($N287,[2]Cultures!$B$4:$M$283,MATCH(AM$1,[2]Cultures!$B$3:$M$3,0),FALSE)</f>
        <v>#N/A</v>
      </c>
      <c r="AN287" s="4" t="e">
        <f>VLOOKUP($N287,[2]Cultures!$B$4:$M$283,MATCH(AN$1,[2]Cultures!$B$3:$M$3,0),FALSE)</f>
        <v>#N/A</v>
      </c>
      <c r="AO287" s="4" t="e">
        <f>VLOOKUP($N287,[2]Cultures!$B$4:$M$283,MATCH(AO$1,[2]Cultures!$B$3:$M$3,0),FALSE)</f>
        <v>#N/A</v>
      </c>
      <c r="AP287" s="4" t="e">
        <f>VLOOKUP($N287,[2]Cultures!$B$4:$M$283,MATCH(AP$1,[2]Cultures!$B$3:$M$3,0),FALSE)</f>
        <v>#N/A</v>
      </c>
      <c r="AQ287" s="4" t="e">
        <f>VLOOKUP($N287,[2]Cultures!$B$4:$M$283,MATCH(AQ$1,[2]Cultures!$B$3:$M$3,0),FALSE)</f>
        <v>#N/A</v>
      </c>
      <c r="AR287" s="4" t="e">
        <f>VLOOKUP($N287,[2]Cultures!$B$4:$M$283,MATCH(AR$1,[2]Cultures!$B$3:$M$3,0),FALSE)</f>
        <v>#N/A</v>
      </c>
      <c r="AS287" s="4" t="e">
        <f>VLOOKUP($N287,[2]Cultures!$B$4:$M$283,MATCH(AS$1,[2]Cultures!$B$3:$M$3,0),FALSE)</f>
        <v>#N/A</v>
      </c>
      <c r="AT287" s="4"/>
      <c r="AU287" s="4">
        <f>IF(ISNUMBER(SEARCH(N287&amp;";",Calculations!$Q$19)),VLOOKUP(Skills!N287,Calculations!$Q$2:$T$16,4,FALSE),0)</f>
        <v>0</v>
      </c>
      <c r="AV287" s="4">
        <f>IF(ISNUMBER(SEARCH(N287&amp;";",Calculations!$Q$18)),1,0)</f>
        <v>0</v>
      </c>
      <c r="AW287" s="4">
        <f>IF($AV$244=1,1,IF($AV$272=1,1,IF($AV$284=1,1,AV287)))</f>
        <v>1</v>
      </c>
      <c r="AX287" s="4">
        <f>VLOOKUP($N287,$N287:$CH287,MATCH('Character Sheet'!$BJ$3,Skills!$N$1:$CH$1,0),FALSE)</f>
        <v>0</v>
      </c>
    </row>
    <row r="288" spans="2:50" x14ac:dyDescent="0.25">
      <c r="B288" s="4" t="e">
        <f t="shared" ref="B288:B351" si="153">IF(A288="Y",B287+1,IF(A288="N",B287,IF(S288="- -",B287,IF(S288&gt;0,B287+1,B287))))</f>
        <v>#N/A</v>
      </c>
      <c r="E288" s="4"/>
      <c r="F288" s="4">
        <f t="shared" si="138"/>
        <v>0</v>
      </c>
      <c r="G288" s="4"/>
      <c r="H288" s="4" t="e">
        <f t="shared" si="147"/>
        <v>#N/A</v>
      </c>
      <c r="I288" s="4" t="e">
        <f>IF($J$245=1,1,IF($J$289=1,1,0))</f>
        <v>#N/A</v>
      </c>
      <c r="J288" s="4">
        <f t="shared" si="139"/>
        <v>0</v>
      </c>
      <c r="K288" s="4" t="e">
        <f t="shared" si="152"/>
        <v>#N/A</v>
      </c>
      <c r="N288" s="3" t="s">
        <v>682</v>
      </c>
      <c r="O288" s="6" t="s">
        <v>782</v>
      </c>
      <c r="P288" s="6" t="s">
        <v>782</v>
      </c>
      <c r="Q288" s="4" t="str">
        <f t="shared" si="115"/>
        <v>- -</v>
      </c>
      <c r="R288" s="4" t="str">
        <f>IF(ISNUMBER(SEARCH("Category",N288)),"- -",IF(ISNUMBER(SEARCH("Skills",N288)),"- -",'Level-up'!C306))</f>
        <v>- -</v>
      </c>
      <c r="S288" s="4" t="str">
        <f t="shared" si="140"/>
        <v>- -</v>
      </c>
      <c r="T288" s="4" t="str">
        <f t="shared" si="141"/>
        <v>- -</v>
      </c>
      <c r="U288" s="4" t="str">
        <f t="shared" ca="1" si="146"/>
        <v>- -</v>
      </c>
      <c r="V288" s="4" t="str">
        <f>IF(ISNUMBER(SEARCH("Category",N288)),"- -",IF(ISNUMBER(SEARCH("Skills",N288)),"- -",IF(AU288&gt;0,AU288,IF($AU$284&gt;0,$AU$284,IF($AU$272&gt;0,$AU$272,$AU$244)))))</f>
        <v>- -</v>
      </c>
      <c r="W288" s="4" t="str">
        <f t="shared" si="116"/>
        <v>- -</v>
      </c>
      <c r="X288" s="4" t="str">
        <f t="shared" si="114"/>
        <v>- -</v>
      </c>
      <c r="Y288" s="4" t="str">
        <f t="shared" si="142"/>
        <v>- -</v>
      </c>
      <c r="Z288" s="4" t="str">
        <f t="shared" si="143"/>
        <v>- -</v>
      </c>
      <c r="AA288" s="4" t="str">
        <f t="shared" si="144"/>
        <v>- -</v>
      </c>
      <c r="AB288" s="4" t="str">
        <f t="shared" si="145"/>
        <v>- -</v>
      </c>
      <c r="AC288" s="8"/>
      <c r="AD288" s="4"/>
      <c r="AE288" s="4"/>
      <c r="AF288" s="4" t="str">
        <f t="shared" si="148"/>
        <v>- -</v>
      </c>
      <c r="AG288" s="4"/>
      <c r="AH288" s="4">
        <f>IFERROR(VLOOKUP(M288,Calculations!$AC$2:$AD$251,2,FALSE),0)</f>
        <v>0</v>
      </c>
      <c r="AI288" s="4" t="e">
        <f>VLOOKUP(N288,$N$2:$AS$620,MATCH('Character Creation'!$Z$12,Skills!$N$1:$AS$1,0),FALSE)</f>
        <v>#N/A</v>
      </c>
      <c r="AJ288" s="4" t="e">
        <f>VLOOKUP($N288,[2]Cultures!$B$4:$M$283,MATCH(AJ$1,[2]Cultures!$B$3:$M$3,0),FALSE)</f>
        <v>#N/A</v>
      </c>
      <c r="AK288" s="4" t="e">
        <f>VLOOKUP($N288,[2]Cultures!$B$4:$M$283,MATCH(AK$1,[2]Cultures!$B$3:$M$3,0),FALSE)</f>
        <v>#N/A</v>
      </c>
      <c r="AL288" s="4" t="e">
        <f>VLOOKUP($N288,[2]Cultures!$B$4:$M$283,MATCH(AL$1,[2]Cultures!$B$3:$M$3,0),FALSE)</f>
        <v>#N/A</v>
      </c>
      <c r="AM288" s="4" t="e">
        <f>VLOOKUP($N288,[2]Cultures!$B$4:$M$283,MATCH(AM$1,[2]Cultures!$B$3:$M$3,0),FALSE)</f>
        <v>#N/A</v>
      </c>
      <c r="AN288" s="4" t="e">
        <f>VLOOKUP($N288,[2]Cultures!$B$4:$M$283,MATCH(AN$1,[2]Cultures!$B$3:$M$3,0),FALSE)</f>
        <v>#N/A</v>
      </c>
      <c r="AO288" s="4" t="e">
        <f>VLOOKUP($N288,[2]Cultures!$B$4:$M$283,MATCH(AO$1,[2]Cultures!$B$3:$M$3,0),FALSE)</f>
        <v>#N/A</v>
      </c>
      <c r="AP288" s="4" t="e">
        <f>VLOOKUP($N288,[2]Cultures!$B$4:$M$283,MATCH(AP$1,[2]Cultures!$B$3:$M$3,0),FALSE)</f>
        <v>#N/A</v>
      </c>
      <c r="AQ288" s="4" t="e">
        <f>VLOOKUP($N288,[2]Cultures!$B$4:$M$283,MATCH(AQ$1,[2]Cultures!$B$3:$M$3,0),FALSE)</f>
        <v>#N/A</v>
      </c>
      <c r="AR288" s="4" t="e">
        <f>VLOOKUP($N288,[2]Cultures!$B$4:$M$283,MATCH(AR$1,[2]Cultures!$B$3:$M$3,0),FALSE)</f>
        <v>#N/A</v>
      </c>
      <c r="AS288" s="4" t="e">
        <f>VLOOKUP($N288,[2]Cultures!$B$4:$M$283,MATCH(AS$1,[2]Cultures!$B$3:$M$3,0),FALSE)</f>
        <v>#N/A</v>
      </c>
      <c r="AT288" s="4"/>
      <c r="AU288" s="4">
        <f>IF(ISNUMBER(SEARCH(N288&amp;";",Calculations!$Q$19)),VLOOKUP(Skills!N288,Calculations!$Q$2:$T$16,4,FALSE),0)</f>
        <v>0</v>
      </c>
      <c r="AV288" s="4">
        <f>IF(ISNUMBER(SEARCH(N288&amp;";",Calculations!$Q$18)),1,0)</f>
        <v>0</v>
      </c>
      <c r="AW288" s="4"/>
      <c r="AX288" s="4">
        <f>VLOOKUP($N288,$N288:$CH288,MATCH('Character Sheet'!$BJ$3,Skills!$N$1:$CH$1,0),FALSE)</f>
        <v>0</v>
      </c>
    </row>
    <row r="289" spans="2:50" x14ac:dyDescent="0.25">
      <c r="B289" s="4" t="e">
        <f t="shared" si="153"/>
        <v>#N/A</v>
      </c>
      <c r="E289" s="4"/>
      <c r="F289" s="4">
        <f t="shared" si="138"/>
        <v>0</v>
      </c>
      <c r="G289" s="4"/>
      <c r="H289" s="4" t="e">
        <f t="shared" si="147"/>
        <v>#N/A</v>
      </c>
      <c r="I289" s="4">
        <v>0</v>
      </c>
      <c r="J289" s="4" t="e">
        <f t="shared" si="139"/>
        <v>#N/A</v>
      </c>
      <c r="K289" s="4" t="e">
        <f t="shared" si="152"/>
        <v>#N/A</v>
      </c>
      <c r="N289" s="3" t="s">
        <v>683</v>
      </c>
      <c r="O289" s="6" t="s">
        <v>782</v>
      </c>
      <c r="P289" s="6" t="s">
        <v>782</v>
      </c>
      <c r="Q289" s="4" t="str">
        <f t="shared" si="115"/>
        <v>- -</v>
      </c>
      <c r="R289" s="4" t="str">
        <f>IF(ISNUMBER(SEARCH("Category",N289)),"- -",IF(ISNUMBER(SEARCH("Skills",N289)),"- -",'Level-up'!C307))</f>
        <v>- -</v>
      </c>
      <c r="S289" s="4" t="str">
        <f t="shared" si="140"/>
        <v>- -</v>
      </c>
      <c r="T289" s="4" t="str">
        <f t="shared" si="141"/>
        <v>- -</v>
      </c>
      <c r="U289" s="4" t="str">
        <f t="shared" ca="1" si="146"/>
        <v>- -</v>
      </c>
      <c r="V289" s="4" t="str">
        <f>IF(ISNUMBER(SEARCH("Category",N289)),"- -",IF(ISNUMBER(SEARCH("Skills",N289)),"- -",IF(AU289&gt;0,AU289,IF($AU$284&gt;0,$AU$284,IF($AU$272&gt;0,$AU$272,$AU$244)))))</f>
        <v>- -</v>
      </c>
      <c r="W289" s="4" t="str">
        <f t="shared" si="116"/>
        <v>- -</v>
      </c>
      <c r="X289" s="4" t="str">
        <f t="shared" si="114"/>
        <v>- -</v>
      </c>
      <c r="Y289" s="4" t="str">
        <f t="shared" si="142"/>
        <v>- -</v>
      </c>
      <c r="Z289" s="4" t="str">
        <f t="shared" si="143"/>
        <v>- -</v>
      </c>
      <c r="AA289" s="4" t="str">
        <f t="shared" si="144"/>
        <v>- -</v>
      </c>
      <c r="AB289" s="4" t="str">
        <f t="shared" si="145"/>
        <v>- -</v>
      </c>
      <c r="AC289" s="8"/>
      <c r="AD289" s="4"/>
      <c r="AE289" s="4"/>
      <c r="AF289" s="4" t="str">
        <f t="shared" si="148"/>
        <v>- -</v>
      </c>
      <c r="AG289" s="4"/>
      <c r="AH289" s="4">
        <f>IFERROR(VLOOKUP(M289,Calculations!$AC$2:$AD$251,2,FALSE),0)</f>
        <v>0</v>
      </c>
      <c r="AI289" s="4" t="e">
        <f>VLOOKUP(N289,$N$2:$AS$620,MATCH('Character Creation'!$Z$12,Skills!$N$1:$AS$1,0),FALSE)</f>
        <v>#N/A</v>
      </c>
      <c r="AJ289" s="4" t="e">
        <f>VLOOKUP($N289,[2]Cultures!$B$4:$M$283,MATCH(AJ$1,[2]Cultures!$B$3:$M$3,0),FALSE)</f>
        <v>#N/A</v>
      </c>
      <c r="AK289" s="4" t="e">
        <f>VLOOKUP($N289,[2]Cultures!$B$4:$M$283,MATCH(AK$1,[2]Cultures!$B$3:$M$3,0),FALSE)</f>
        <v>#N/A</v>
      </c>
      <c r="AL289" s="4" t="e">
        <f>VLOOKUP($N289,[2]Cultures!$B$4:$M$283,MATCH(AL$1,[2]Cultures!$B$3:$M$3,0),FALSE)</f>
        <v>#N/A</v>
      </c>
      <c r="AM289" s="4" t="e">
        <f>VLOOKUP($N289,[2]Cultures!$B$4:$M$283,MATCH(AM$1,[2]Cultures!$B$3:$M$3,0),FALSE)</f>
        <v>#N/A</v>
      </c>
      <c r="AN289" s="4" t="e">
        <f>VLOOKUP($N289,[2]Cultures!$B$4:$M$283,MATCH(AN$1,[2]Cultures!$B$3:$M$3,0),FALSE)</f>
        <v>#N/A</v>
      </c>
      <c r="AO289" s="4" t="e">
        <f>VLOOKUP($N289,[2]Cultures!$B$4:$M$283,MATCH(AO$1,[2]Cultures!$B$3:$M$3,0),FALSE)</f>
        <v>#N/A</v>
      </c>
      <c r="AP289" s="4" t="e">
        <f>VLOOKUP($N289,[2]Cultures!$B$4:$M$283,MATCH(AP$1,[2]Cultures!$B$3:$M$3,0),FALSE)</f>
        <v>#N/A</v>
      </c>
      <c r="AQ289" s="4" t="e">
        <f>VLOOKUP($N289,[2]Cultures!$B$4:$M$283,MATCH(AQ$1,[2]Cultures!$B$3:$M$3,0),FALSE)</f>
        <v>#N/A</v>
      </c>
      <c r="AR289" s="4" t="e">
        <f>VLOOKUP($N289,[2]Cultures!$B$4:$M$283,MATCH(AR$1,[2]Cultures!$B$3:$M$3,0),FALSE)</f>
        <v>#N/A</v>
      </c>
      <c r="AS289" s="4" t="e">
        <f>VLOOKUP($N289,[2]Cultures!$B$4:$M$283,MATCH(AS$1,[2]Cultures!$B$3:$M$3,0),FALSE)</f>
        <v>#N/A</v>
      </c>
      <c r="AT289" s="4"/>
      <c r="AU289" s="4">
        <f>IF(ISNUMBER(SEARCH(N289&amp;";",Calculations!$Q$19)),VLOOKUP(Skills!N289,Calculations!$Q$2:$T$16,4,FALSE),0)</f>
        <v>0</v>
      </c>
      <c r="AV289" s="4">
        <f>IF(ISNUMBER(SEARCH(N289&amp;";",Calculations!$Q$18)),1,0)</f>
        <v>0</v>
      </c>
      <c r="AW289" s="4"/>
      <c r="AX289" s="4">
        <f>VLOOKUP($N289,$N289:$CH289,MATCH('Character Sheet'!$BJ$3,Skills!$N$1:$CH$1,0),FALSE)</f>
        <v>0</v>
      </c>
    </row>
    <row r="290" spans="2:50" x14ac:dyDescent="0.25">
      <c r="B290" s="4" t="e">
        <f t="shared" si="153"/>
        <v>#N/A</v>
      </c>
      <c r="E290" s="4"/>
      <c r="F290" s="4">
        <f t="shared" si="138"/>
        <v>0</v>
      </c>
      <c r="G290" s="4"/>
      <c r="H290" s="4" t="e">
        <f t="shared" si="147"/>
        <v>#N/A</v>
      </c>
      <c r="I290" s="4" t="e">
        <f>IF($J$245=1,1,IF($J$289=1,1,0))</f>
        <v>#N/A</v>
      </c>
      <c r="J290" s="4">
        <f t="shared" si="139"/>
        <v>0</v>
      </c>
      <c r="K290" s="4" t="e">
        <f t="shared" si="152"/>
        <v>#N/A</v>
      </c>
      <c r="M290" t="str">
        <f>"Law, "&amp;N290</f>
        <v>Law, Business Law</v>
      </c>
      <c r="N290" s="3" t="str">
        <f>'Character Sheet'!BLR52</f>
        <v>Business Law</v>
      </c>
      <c r="O290" s="4" t="s">
        <v>798</v>
      </c>
      <c r="P290" s="4" t="s">
        <v>792</v>
      </c>
      <c r="Q290" s="4" t="e">
        <f t="shared" si="115"/>
        <v>#N/A</v>
      </c>
      <c r="R290" s="4">
        <f>IF(ISNUMBER(SEARCH("Category",N290)),"- -",IF(ISNUMBER(SEARCH("Skills",N290)),"- -",'Level-up'!C308))</f>
        <v>0</v>
      </c>
      <c r="S290" s="4" t="e">
        <f t="shared" si="140"/>
        <v>#N/A</v>
      </c>
      <c r="T290" s="4" t="e">
        <f t="shared" si="141"/>
        <v>#N/A</v>
      </c>
      <c r="U290" s="4">
        <f t="shared" ca="1" si="146"/>
        <v>3</v>
      </c>
      <c r="V290" s="4">
        <f>IF(ISNUMBER(SEARCH("Category",N290)),"- -",IF(ISNUMBER(SEARCH("Skills",N290)),"- -",IF(AU290&gt;0,AU290,IF($AU$288&gt;0,$AU$288,$AU$244))))</f>
        <v>0</v>
      </c>
      <c r="W290" s="4">
        <f t="shared" si="116"/>
        <v>0</v>
      </c>
      <c r="X290" s="4">
        <f t="shared" ref="X290:X353" si="154">IF(ISNUMBER(SEARCH("Category",N290)),"- -",IF(ISNUMBER(SEARCH("Skills",N290)),"- -",0))</f>
        <v>0</v>
      </c>
      <c r="Y290" s="4">
        <f t="shared" si="142"/>
        <v>0</v>
      </c>
      <c r="Z290" s="4">
        <f t="shared" si="143"/>
        <v>0</v>
      </c>
      <c r="AA290" s="4">
        <f t="shared" si="144"/>
        <v>0</v>
      </c>
      <c r="AB290" s="4">
        <f t="shared" si="145"/>
        <v>0</v>
      </c>
      <c r="AC290" s="8"/>
      <c r="AD290" s="4"/>
      <c r="AE290" s="4"/>
      <c r="AF290" s="4" t="e">
        <f t="shared" si="148"/>
        <v>#N/A</v>
      </c>
      <c r="AG290" s="4"/>
      <c r="AH290" s="4">
        <f>IFERROR(VLOOKUP(M290,Calculations!$AC$2:$AD$251,2,FALSE),0)</f>
        <v>0</v>
      </c>
      <c r="AI290" s="4" t="e">
        <f>VLOOKUP(N290,$N$2:$AS$620,MATCH('Character Creation'!$Z$12,Skills!$N$1:$AS$1,0),FALSE)</f>
        <v>#N/A</v>
      </c>
      <c r="AJ290" s="4" t="e">
        <f>VLOOKUP($N290,[2]Cultures!$B$4:$M$283,MATCH(AJ$1,[2]Cultures!$B$3:$M$3,0),FALSE)</f>
        <v>#N/A</v>
      </c>
      <c r="AK290" s="4" t="e">
        <f>VLOOKUP($N290,[2]Cultures!$B$4:$M$283,MATCH(AK$1,[2]Cultures!$B$3:$M$3,0),FALSE)</f>
        <v>#N/A</v>
      </c>
      <c r="AL290" s="4" t="e">
        <f>VLOOKUP($N290,[2]Cultures!$B$4:$M$283,MATCH(AL$1,[2]Cultures!$B$3:$M$3,0),FALSE)</f>
        <v>#N/A</v>
      </c>
      <c r="AM290" s="4" t="e">
        <f>VLOOKUP($N290,[2]Cultures!$B$4:$M$283,MATCH(AM$1,[2]Cultures!$B$3:$M$3,0),FALSE)</f>
        <v>#N/A</v>
      </c>
      <c r="AN290" s="4" t="e">
        <f>VLOOKUP($N290,[2]Cultures!$B$4:$M$283,MATCH(AN$1,[2]Cultures!$B$3:$M$3,0),FALSE)</f>
        <v>#N/A</v>
      </c>
      <c r="AO290" s="4" t="e">
        <f>VLOOKUP($N290,[2]Cultures!$B$4:$M$283,MATCH(AO$1,[2]Cultures!$B$3:$M$3,0),FALSE)</f>
        <v>#N/A</v>
      </c>
      <c r="AP290" s="4" t="e">
        <f>VLOOKUP($N290,[2]Cultures!$B$4:$M$283,MATCH(AP$1,[2]Cultures!$B$3:$M$3,0),FALSE)</f>
        <v>#N/A</v>
      </c>
      <c r="AQ290" s="4" t="e">
        <f>VLOOKUP($N290,[2]Cultures!$B$4:$M$283,MATCH(AQ$1,[2]Cultures!$B$3:$M$3,0),FALSE)</f>
        <v>#N/A</v>
      </c>
      <c r="AR290" s="4" t="e">
        <f>VLOOKUP($N290,[2]Cultures!$B$4:$M$283,MATCH(AR$1,[2]Cultures!$B$3:$M$3,0),FALSE)</f>
        <v>#N/A</v>
      </c>
      <c r="AS290" s="4" t="e">
        <f>VLOOKUP($N290,[2]Cultures!$B$4:$M$283,MATCH(AS$1,[2]Cultures!$B$3:$M$3,0),FALSE)</f>
        <v>#N/A</v>
      </c>
      <c r="AT290" s="4"/>
      <c r="AU290" s="4">
        <f>IF(ISNUMBER(SEARCH(N290&amp;";",Calculations!$Q$19)),VLOOKUP(Skills!N290,Calculations!$Q$2:$T$16,4,FALSE),0)</f>
        <v>0</v>
      </c>
      <c r="AV290" s="4">
        <f>IF(ISNUMBER(SEARCH(N290&amp;";",Calculations!$Q$18)),1,0)</f>
        <v>0</v>
      </c>
      <c r="AW290" s="4">
        <f>IF($AV$244=1,1,IF($AV$288=1,1,AV290))</f>
        <v>0</v>
      </c>
      <c r="AX290" s="4">
        <f>VLOOKUP($N290,$N290:$CH290,MATCH('Character Sheet'!$BJ$3,Skills!$N$1:$CH$1,0),FALSE)</f>
        <v>0</v>
      </c>
    </row>
    <row r="291" spans="2:50" x14ac:dyDescent="0.25">
      <c r="B291" s="4" t="e">
        <f t="shared" si="153"/>
        <v>#N/A</v>
      </c>
      <c r="E291" s="4"/>
      <c r="F291" s="4">
        <f t="shared" si="138"/>
        <v>0</v>
      </c>
      <c r="G291" s="4"/>
      <c r="H291" s="4" t="e">
        <f t="shared" si="147"/>
        <v>#N/A</v>
      </c>
      <c r="I291" s="4" t="e">
        <f>IF($J$245=1,1,IF($J$289=1,1,0))</f>
        <v>#N/A</v>
      </c>
      <c r="J291" s="4">
        <f t="shared" si="139"/>
        <v>0</v>
      </c>
      <c r="K291" s="4" t="e">
        <f t="shared" si="152"/>
        <v>#N/A</v>
      </c>
      <c r="M291" t="str">
        <f>"Law, "&amp;N291</f>
        <v>Law, Civil Law</v>
      </c>
      <c r="N291" s="3" t="str">
        <f>'Character Sheet'!BLR53</f>
        <v>Civil Law</v>
      </c>
      <c r="O291" s="4" t="s">
        <v>798</v>
      </c>
      <c r="P291" s="4" t="s">
        <v>792</v>
      </c>
      <c r="Q291" s="4" t="e">
        <f t="shared" si="115"/>
        <v>#N/A</v>
      </c>
      <c r="R291" s="4">
        <f>IF(ISNUMBER(SEARCH("Category",N291)),"- -",IF(ISNUMBER(SEARCH("Skills",N291)),"- -",'Level-up'!C309))</f>
        <v>0</v>
      </c>
      <c r="S291" s="4" t="e">
        <f t="shared" si="140"/>
        <v>#N/A</v>
      </c>
      <c r="T291" s="4" t="e">
        <f t="shared" si="141"/>
        <v>#N/A</v>
      </c>
      <c r="U291" s="4">
        <f t="shared" ca="1" si="146"/>
        <v>3</v>
      </c>
      <c r="V291" s="4">
        <f>IF(ISNUMBER(SEARCH("Category",N291)),"- -",IF(ISNUMBER(SEARCH("Skills",N291)),"- -",IF(AU291&gt;0,AU291,IF($AU$288&gt;0,$AU$288,$AU$244))))</f>
        <v>0</v>
      </c>
      <c r="W291" s="4">
        <f t="shared" si="116"/>
        <v>0</v>
      </c>
      <c r="X291" s="4">
        <f t="shared" si="154"/>
        <v>0</v>
      </c>
      <c r="Y291" s="4">
        <f t="shared" si="142"/>
        <v>0</v>
      </c>
      <c r="Z291" s="4">
        <f t="shared" si="143"/>
        <v>0</v>
      </c>
      <c r="AA291" s="4">
        <f t="shared" si="144"/>
        <v>0</v>
      </c>
      <c r="AB291" s="4">
        <f t="shared" si="145"/>
        <v>0</v>
      </c>
      <c r="AC291" s="8"/>
      <c r="AD291" s="4"/>
      <c r="AE291" s="4"/>
      <c r="AF291" s="4" t="e">
        <f t="shared" si="148"/>
        <v>#N/A</v>
      </c>
      <c r="AG291" s="4"/>
      <c r="AH291" s="4">
        <f>IFERROR(VLOOKUP(M291,Calculations!$AC$2:$AD$251,2,FALSE),0)</f>
        <v>0</v>
      </c>
      <c r="AI291" s="4" t="e">
        <f>VLOOKUP(N291,$N$2:$AS$620,MATCH('Character Creation'!$Z$12,Skills!$N$1:$AS$1,0),FALSE)</f>
        <v>#N/A</v>
      </c>
      <c r="AJ291" s="4" t="e">
        <f>VLOOKUP($N291,[2]Cultures!$B$4:$M$283,MATCH(AJ$1,[2]Cultures!$B$3:$M$3,0),FALSE)</f>
        <v>#N/A</v>
      </c>
      <c r="AK291" s="4" t="e">
        <f>VLOOKUP($N291,[2]Cultures!$B$4:$M$283,MATCH(AK$1,[2]Cultures!$B$3:$M$3,0),FALSE)</f>
        <v>#N/A</v>
      </c>
      <c r="AL291" s="4" t="e">
        <f>VLOOKUP($N291,[2]Cultures!$B$4:$M$283,MATCH(AL$1,[2]Cultures!$B$3:$M$3,0),FALSE)</f>
        <v>#N/A</v>
      </c>
      <c r="AM291" s="4" t="e">
        <f>VLOOKUP($N291,[2]Cultures!$B$4:$M$283,MATCH(AM$1,[2]Cultures!$B$3:$M$3,0),FALSE)</f>
        <v>#N/A</v>
      </c>
      <c r="AN291" s="4" t="e">
        <f>VLOOKUP($N291,[2]Cultures!$B$4:$M$283,MATCH(AN$1,[2]Cultures!$B$3:$M$3,0),FALSE)</f>
        <v>#N/A</v>
      </c>
      <c r="AO291" s="4" t="e">
        <f>VLOOKUP($N291,[2]Cultures!$B$4:$M$283,MATCH(AO$1,[2]Cultures!$B$3:$M$3,0),FALSE)</f>
        <v>#N/A</v>
      </c>
      <c r="AP291" s="4" t="e">
        <f>VLOOKUP($N291,[2]Cultures!$B$4:$M$283,MATCH(AP$1,[2]Cultures!$B$3:$M$3,0),FALSE)</f>
        <v>#N/A</v>
      </c>
      <c r="AQ291" s="4" t="e">
        <f>VLOOKUP($N291,[2]Cultures!$B$4:$M$283,MATCH(AQ$1,[2]Cultures!$B$3:$M$3,0),FALSE)</f>
        <v>#N/A</v>
      </c>
      <c r="AR291" s="4" t="e">
        <f>VLOOKUP($N291,[2]Cultures!$B$4:$M$283,MATCH(AR$1,[2]Cultures!$B$3:$M$3,0),FALSE)</f>
        <v>#N/A</v>
      </c>
      <c r="AS291" s="4" t="e">
        <f>VLOOKUP($N291,[2]Cultures!$B$4:$M$283,MATCH(AS$1,[2]Cultures!$B$3:$M$3,0),FALSE)</f>
        <v>#N/A</v>
      </c>
      <c r="AT291" s="4"/>
      <c r="AU291" s="4">
        <f>IF(ISNUMBER(SEARCH(N291&amp;";",Calculations!$Q$19)),VLOOKUP(Skills!N291,Calculations!$Q$2:$T$16,4,FALSE),0)</f>
        <v>0</v>
      </c>
      <c r="AV291" s="4">
        <f>IF(ISNUMBER(SEARCH(N291&amp;";",Calculations!$Q$18)),1,0)</f>
        <v>0</v>
      </c>
      <c r="AW291" s="4">
        <f>IF($AV$244=1,1,IF($AV$288=1,1,AV291))</f>
        <v>0</v>
      </c>
      <c r="AX291" s="4">
        <f>VLOOKUP($N291,$N291:$CH291,MATCH('Character Sheet'!$BJ$3,Skills!$N$1:$CH$1,0),FALSE)</f>
        <v>0</v>
      </c>
    </row>
    <row r="292" spans="2:50" x14ac:dyDescent="0.25">
      <c r="B292" s="4" t="e">
        <f t="shared" si="153"/>
        <v>#N/A</v>
      </c>
      <c r="E292" s="4"/>
      <c r="F292" s="4">
        <f t="shared" si="138"/>
        <v>0</v>
      </c>
      <c r="G292" s="4"/>
      <c r="H292" s="4" t="e">
        <f t="shared" si="147"/>
        <v>#N/A</v>
      </c>
      <c r="I292" s="4" t="e">
        <f>IF($J$245=1,1,IF($J$289=1,1,0))</f>
        <v>#N/A</v>
      </c>
      <c r="J292" s="4">
        <f t="shared" si="139"/>
        <v>0</v>
      </c>
      <c r="K292" s="4" t="e">
        <f t="shared" si="152"/>
        <v>#N/A</v>
      </c>
      <c r="M292" t="str">
        <f>"Law, "&amp;N292</f>
        <v>Law, Criminal Law</v>
      </c>
      <c r="N292" s="3" t="str">
        <f>'Character Sheet'!BLR54</f>
        <v>Criminal Law</v>
      </c>
      <c r="O292" s="4" t="s">
        <v>798</v>
      </c>
      <c r="P292" s="4" t="s">
        <v>792</v>
      </c>
      <c r="Q292" s="4" t="e">
        <f t="shared" si="115"/>
        <v>#N/A</v>
      </c>
      <c r="R292" s="4">
        <f>IF(ISNUMBER(SEARCH("Category",N292)),"- -",IF(ISNUMBER(SEARCH("Skills",N292)),"- -",'Level-up'!C310))</f>
        <v>0</v>
      </c>
      <c r="S292" s="4" t="e">
        <f t="shared" si="140"/>
        <v>#N/A</v>
      </c>
      <c r="T292" s="4" t="e">
        <f t="shared" si="141"/>
        <v>#N/A</v>
      </c>
      <c r="U292" s="4">
        <f t="shared" ca="1" si="146"/>
        <v>3</v>
      </c>
      <c r="V292" s="4">
        <f>IF(ISNUMBER(SEARCH("Category",N292)),"- -",IF(ISNUMBER(SEARCH("Skills",N292)),"- -",IF(AU292&gt;0,AU292,IF($AU$288&gt;0,$AU$288,$AU$244))))</f>
        <v>0</v>
      </c>
      <c r="W292" s="4">
        <f t="shared" ref="W292:W355" si="155">IF(ISNUMBER(SEARCH("Category",N292)),"- -",IF(ISNUMBER(SEARCH("Skills",N292)),"- -",IF(AW292=1,MIN(S292,30),0)))</f>
        <v>0</v>
      </c>
      <c r="X292" s="4">
        <f t="shared" si="154"/>
        <v>0</v>
      </c>
      <c r="Y292" s="4">
        <f t="shared" si="142"/>
        <v>0</v>
      </c>
      <c r="Z292" s="4">
        <f t="shared" si="143"/>
        <v>0</v>
      </c>
      <c r="AA292" s="4">
        <f t="shared" si="144"/>
        <v>0</v>
      </c>
      <c r="AB292" s="4">
        <f t="shared" si="145"/>
        <v>0</v>
      </c>
      <c r="AC292" s="8"/>
      <c r="AD292" s="4"/>
      <c r="AE292" s="4"/>
      <c r="AF292" s="4" t="e">
        <f t="shared" si="148"/>
        <v>#N/A</v>
      </c>
      <c r="AG292" s="4"/>
      <c r="AH292" s="4">
        <f>IFERROR(VLOOKUP(M292,Calculations!$AC$2:$AD$251,2,FALSE),0)</f>
        <v>0</v>
      </c>
      <c r="AI292" s="4" t="e">
        <f>VLOOKUP(N292,$N$2:$AS$620,MATCH('Character Creation'!$Z$12,Skills!$N$1:$AS$1,0),FALSE)</f>
        <v>#N/A</v>
      </c>
      <c r="AJ292" s="4" t="e">
        <f>VLOOKUP($N292,[2]Cultures!$B$4:$M$283,MATCH(AJ$1,[2]Cultures!$B$3:$M$3,0),FALSE)</f>
        <v>#N/A</v>
      </c>
      <c r="AK292" s="4" t="e">
        <f>VLOOKUP($N292,[2]Cultures!$B$4:$M$283,MATCH(AK$1,[2]Cultures!$B$3:$M$3,0),FALSE)</f>
        <v>#N/A</v>
      </c>
      <c r="AL292" s="4" t="e">
        <f>VLOOKUP($N292,[2]Cultures!$B$4:$M$283,MATCH(AL$1,[2]Cultures!$B$3:$M$3,0),FALSE)</f>
        <v>#N/A</v>
      </c>
      <c r="AM292" s="4" t="e">
        <f>VLOOKUP($N292,[2]Cultures!$B$4:$M$283,MATCH(AM$1,[2]Cultures!$B$3:$M$3,0),FALSE)</f>
        <v>#N/A</v>
      </c>
      <c r="AN292" s="4" t="e">
        <f>VLOOKUP($N292,[2]Cultures!$B$4:$M$283,MATCH(AN$1,[2]Cultures!$B$3:$M$3,0),FALSE)</f>
        <v>#N/A</v>
      </c>
      <c r="AO292" s="4" t="e">
        <f>VLOOKUP($N292,[2]Cultures!$B$4:$M$283,MATCH(AO$1,[2]Cultures!$B$3:$M$3,0),FALSE)</f>
        <v>#N/A</v>
      </c>
      <c r="AP292" s="4" t="e">
        <f>VLOOKUP($N292,[2]Cultures!$B$4:$M$283,MATCH(AP$1,[2]Cultures!$B$3:$M$3,0),FALSE)</f>
        <v>#N/A</v>
      </c>
      <c r="AQ292" s="4" t="e">
        <f>VLOOKUP($N292,[2]Cultures!$B$4:$M$283,MATCH(AQ$1,[2]Cultures!$B$3:$M$3,0),FALSE)</f>
        <v>#N/A</v>
      </c>
      <c r="AR292" s="4" t="e">
        <f>VLOOKUP($N292,[2]Cultures!$B$4:$M$283,MATCH(AR$1,[2]Cultures!$B$3:$M$3,0),FALSE)</f>
        <v>#N/A</v>
      </c>
      <c r="AS292" s="4" t="e">
        <f>VLOOKUP($N292,[2]Cultures!$B$4:$M$283,MATCH(AS$1,[2]Cultures!$B$3:$M$3,0),FALSE)</f>
        <v>#N/A</v>
      </c>
      <c r="AT292" s="4"/>
      <c r="AU292" s="4">
        <f>IF(ISNUMBER(SEARCH(N292&amp;";",Calculations!$Q$19)),VLOOKUP(Skills!N292,Calculations!$Q$2:$T$16,4,FALSE),0)</f>
        <v>0</v>
      </c>
      <c r="AV292" s="4">
        <f>IF(ISNUMBER(SEARCH(N292&amp;";",Calculations!$Q$18)),1,0)</f>
        <v>0</v>
      </c>
      <c r="AW292" s="4">
        <f>IF($AV$244=1,1,IF($AV$288=1,1,AV292))</f>
        <v>0</v>
      </c>
      <c r="AX292" s="4">
        <f>VLOOKUP($N292,$N292:$CH292,MATCH('Character Sheet'!$BJ$3,Skills!$N$1:$CH$1,0),FALSE)</f>
        <v>0</v>
      </c>
    </row>
    <row r="293" spans="2:50" x14ac:dyDescent="0.25">
      <c r="B293" s="4" t="e">
        <f t="shared" si="153"/>
        <v>#N/A</v>
      </c>
      <c r="E293" s="4"/>
      <c r="F293" s="4">
        <f t="shared" si="138"/>
        <v>0</v>
      </c>
      <c r="G293" s="4"/>
      <c r="H293" s="4" t="e">
        <f t="shared" si="147"/>
        <v>#N/A</v>
      </c>
      <c r="I293" s="4" t="e">
        <f>IF($J$245=1,1,IF($J$294=1,1,0))</f>
        <v>#N/A</v>
      </c>
      <c r="J293" s="4">
        <f t="shared" si="139"/>
        <v>0</v>
      </c>
      <c r="K293" s="4" t="e">
        <f t="shared" si="152"/>
        <v>#N/A</v>
      </c>
      <c r="N293" s="3" t="s">
        <v>684</v>
      </c>
      <c r="O293" s="6" t="s">
        <v>782</v>
      </c>
      <c r="P293" s="6" t="s">
        <v>782</v>
      </c>
      <c r="Q293" s="4" t="str">
        <f t="shared" ref="Q293:Q356" si="156">IF(ISNUMBER(SEARCH("Category",N293)),"- -",IF(ISNUMBER(SEARCH("Skills",N293)),"- -",AH293+AI293))</f>
        <v>- -</v>
      </c>
      <c r="R293" s="4" t="str">
        <f>IF(ISNUMBER(SEARCH("Category",N293)),"- -",IF(ISNUMBER(SEARCH("Skills",N293)),"- -",'Level-up'!C311))</f>
        <v>- -</v>
      </c>
      <c r="S293" s="4" t="str">
        <f t="shared" si="140"/>
        <v>- -</v>
      </c>
      <c r="T293" s="4" t="str">
        <f t="shared" si="141"/>
        <v>- -</v>
      </c>
      <c r="U293" s="4" t="str">
        <f t="shared" ca="1" si="146"/>
        <v>- -</v>
      </c>
      <c r="V293" s="4" t="str">
        <f>IF(ISNUMBER(SEARCH("Category",N293)),"- -",IF(ISNUMBER(SEARCH("Skills",N293)),"- -",IF(AU293&gt;0,AU293,IF($AU$288&gt;0,$AU$288,$AU$244))))</f>
        <v>- -</v>
      </c>
      <c r="W293" s="4" t="str">
        <f t="shared" si="155"/>
        <v>- -</v>
      </c>
      <c r="X293" s="4" t="str">
        <f t="shared" si="154"/>
        <v>- -</v>
      </c>
      <c r="Y293" s="4" t="str">
        <f t="shared" si="142"/>
        <v>- -</v>
      </c>
      <c r="Z293" s="4" t="str">
        <f t="shared" si="143"/>
        <v>- -</v>
      </c>
      <c r="AA293" s="4" t="str">
        <f t="shared" si="144"/>
        <v>- -</v>
      </c>
      <c r="AB293" s="4" t="str">
        <f t="shared" si="145"/>
        <v>- -</v>
      </c>
      <c r="AC293" s="8"/>
      <c r="AD293" s="4"/>
      <c r="AE293" s="4"/>
      <c r="AF293" s="4" t="str">
        <f t="shared" si="148"/>
        <v>- -</v>
      </c>
      <c r="AG293" s="4"/>
      <c r="AH293" s="4">
        <f>IFERROR(VLOOKUP(M293,Calculations!$AC$2:$AD$251,2,FALSE),0)</f>
        <v>0</v>
      </c>
      <c r="AI293" s="4" t="e">
        <f>VLOOKUP(N293,$N$2:$AS$620,MATCH('Character Creation'!$Z$12,Skills!$N$1:$AS$1,0),FALSE)</f>
        <v>#N/A</v>
      </c>
      <c r="AJ293" s="4" t="e">
        <f>VLOOKUP($N293,[2]Cultures!$B$4:$M$283,MATCH(AJ$1,[2]Cultures!$B$3:$M$3,0),FALSE)</f>
        <v>#N/A</v>
      </c>
      <c r="AK293" s="4" t="e">
        <f>VLOOKUP($N293,[2]Cultures!$B$4:$M$283,MATCH(AK$1,[2]Cultures!$B$3:$M$3,0),FALSE)</f>
        <v>#N/A</v>
      </c>
      <c r="AL293" s="4" t="e">
        <f>VLOOKUP($N293,[2]Cultures!$B$4:$M$283,MATCH(AL$1,[2]Cultures!$B$3:$M$3,0),FALSE)</f>
        <v>#N/A</v>
      </c>
      <c r="AM293" s="4" t="e">
        <f>VLOOKUP($N293,[2]Cultures!$B$4:$M$283,MATCH(AM$1,[2]Cultures!$B$3:$M$3,0),FALSE)</f>
        <v>#N/A</v>
      </c>
      <c r="AN293" s="4" t="e">
        <f>VLOOKUP($N293,[2]Cultures!$B$4:$M$283,MATCH(AN$1,[2]Cultures!$B$3:$M$3,0),FALSE)</f>
        <v>#N/A</v>
      </c>
      <c r="AO293" s="4" t="e">
        <f>VLOOKUP($N293,[2]Cultures!$B$4:$M$283,MATCH(AO$1,[2]Cultures!$B$3:$M$3,0),FALSE)</f>
        <v>#N/A</v>
      </c>
      <c r="AP293" s="4" t="e">
        <f>VLOOKUP($N293,[2]Cultures!$B$4:$M$283,MATCH(AP$1,[2]Cultures!$B$3:$M$3,0),FALSE)</f>
        <v>#N/A</v>
      </c>
      <c r="AQ293" s="4" t="e">
        <f>VLOOKUP($N293,[2]Cultures!$B$4:$M$283,MATCH(AQ$1,[2]Cultures!$B$3:$M$3,0),FALSE)</f>
        <v>#N/A</v>
      </c>
      <c r="AR293" s="4" t="e">
        <f>VLOOKUP($N293,[2]Cultures!$B$4:$M$283,MATCH(AR$1,[2]Cultures!$B$3:$M$3,0),FALSE)</f>
        <v>#N/A</v>
      </c>
      <c r="AS293" s="4" t="e">
        <f>VLOOKUP($N293,[2]Cultures!$B$4:$M$283,MATCH(AS$1,[2]Cultures!$B$3:$M$3,0),FALSE)</f>
        <v>#N/A</v>
      </c>
      <c r="AT293" s="4"/>
      <c r="AU293" s="4">
        <f>IF(ISNUMBER(SEARCH(N293&amp;";",Calculations!$Q$19)),VLOOKUP(Skills!N293,Calculations!$Q$2:$T$16,4,FALSE),0)</f>
        <v>0</v>
      </c>
      <c r="AV293" s="4">
        <f>IF(ISNUMBER(SEARCH(N293&amp;";",Calculations!$Q$18)),1,0)</f>
        <v>0</v>
      </c>
      <c r="AW293" s="4"/>
      <c r="AX293" s="4">
        <f>VLOOKUP($N293,$N293:$CH293,MATCH('Character Sheet'!$BJ$3,Skills!$N$1:$CH$1,0),FALSE)</f>
        <v>0</v>
      </c>
    </row>
    <row r="294" spans="2:50" x14ac:dyDescent="0.25">
      <c r="B294" s="4" t="e">
        <f t="shared" si="153"/>
        <v>#N/A</v>
      </c>
      <c r="E294" s="4"/>
      <c r="F294" s="4">
        <f t="shared" si="138"/>
        <v>0</v>
      </c>
      <c r="G294" s="4"/>
      <c r="H294" s="4" t="e">
        <f t="shared" si="147"/>
        <v>#N/A</v>
      </c>
      <c r="I294" s="4">
        <v>0</v>
      </c>
      <c r="J294" s="4" t="e">
        <f t="shared" si="139"/>
        <v>#N/A</v>
      </c>
      <c r="K294" s="4" t="e">
        <f t="shared" si="152"/>
        <v>#N/A</v>
      </c>
      <c r="N294" s="3" t="s">
        <v>685</v>
      </c>
      <c r="O294" s="6" t="s">
        <v>782</v>
      </c>
      <c r="P294" s="6" t="s">
        <v>782</v>
      </c>
      <c r="Q294" s="4" t="str">
        <f t="shared" si="156"/>
        <v>- -</v>
      </c>
      <c r="R294" s="4" t="str">
        <f>IF(ISNUMBER(SEARCH("Category",N294)),"- -",IF(ISNUMBER(SEARCH("Skills",N294)),"- -",'Level-up'!C312))</f>
        <v>- -</v>
      </c>
      <c r="S294" s="4" t="str">
        <f t="shared" si="140"/>
        <v>- -</v>
      </c>
      <c r="T294" s="4" t="str">
        <f t="shared" si="141"/>
        <v>- -</v>
      </c>
      <c r="U294" s="4" t="str">
        <f t="shared" ca="1" si="146"/>
        <v>- -</v>
      </c>
      <c r="V294" s="4" t="str">
        <f>IF(ISNUMBER(SEARCH("Category",N294)),"- -",IF(ISNUMBER(SEARCH("Skills",N294)),"- -",IF(AU294&gt;0,AU294,IF($AU$288&gt;0,$AU$288,$AU$244))))</f>
        <v>- -</v>
      </c>
      <c r="W294" s="4" t="str">
        <f t="shared" si="155"/>
        <v>- -</v>
      </c>
      <c r="X294" s="4" t="str">
        <f t="shared" si="154"/>
        <v>- -</v>
      </c>
      <c r="Y294" s="4" t="str">
        <f t="shared" si="142"/>
        <v>- -</v>
      </c>
      <c r="Z294" s="4" t="str">
        <f t="shared" si="143"/>
        <v>- -</v>
      </c>
      <c r="AA294" s="4" t="str">
        <f t="shared" si="144"/>
        <v>- -</v>
      </c>
      <c r="AB294" s="4" t="str">
        <f t="shared" si="145"/>
        <v>- -</v>
      </c>
      <c r="AC294" s="8"/>
      <c r="AD294" s="4"/>
      <c r="AE294" s="4"/>
      <c r="AF294" s="4" t="str">
        <f t="shared" si="148"/>
        <v>- -</v>
      </c>
      <c r="AG294" s="4"/>
      <c r="AH294" s="4">
        <f>IFERROR(VLOOKUP(M294,Calculations!$AC$2:$AD$251,2,FALSE),0)</f>
        <v>0</v>
      </c>
      <c r="AI294" s="4" t="e">
        <f>VLOOKUP(N294,$N$2:$AS$620,MATCH('Character Creation'!$Z$12,Skills!$N$1:$AS$1,0),FALSE)</f>
        <v>#N/A</v>
      </c>
      <c r="AJ294" s="4" t="e">
        <f>VLOOKUP($N294,[2]Cultures!$B$4:$M$283,MATCH(AJ$1,[2]Cultures!$B$3:$M$3,0),FALSE)</f>
        <v>#N/A</v>
      </c>
      <c r="AK294" s="4" t="e">
        <f>VLOOKUP($N294,[2]Cultures!$B$4:$M$283,MATCH(AK$1,[2]Cultures!$B$3:$M$3,0),FALSE)</f>
        <v>#N/A</v>
      </c>
      <c r="AL294" s="4" t="e">
        <f>VLOOKUP($N294,[2]Cultures!$B$4:$M$283,MATCH(AL$1,[2]Cultures!$B$3:$M$3,0),FALSE)</f>
        <v>#N/A</v>
      </c>
      <c r="AM294" s="4" t="e">
        <f>VLOOKUP($N294,[2]Cultures!$B$4:$M$283,MATCH(AM$1,[2]Cultures!$B$3:$M$3,0),FALSE)</f>
        <v>#N/A</v>
      </c>
      <c r="AN294" s="4" t="e">
        <f>VLOOKUP($N294,[2]Cultures!$B$4:$M$283,MATCH(AN$1,[2]Cultures!$B$3:$M$3,0),FALSE)</f>
        <v>#N/A</v>
      </c>
      <c r="AO294" s="4" t="e">
        <f>VLOOKUP($N294,[2]Cultures!$B$4:$M$283,MATCH(AO$1,[2]Cultures!$B$3:$M$3,0),FALSE)</f>
        <v>#N/A</v>
      </c>
      <c r="AP294" s="4" t="e">
        <f>VLOOKUP($N294,[2]Cultures!$B$4:$M$283,MATCH(AP$1,[2]Cultures!$B$3:$M$3,0),FALSE)</f>
        <v>#N/A</v>
      </c>
      <c r="AQ294" s="4" t="e">
        <f>VLOOKUP($N294,[2]Cultures!$B$4:$M$283,MATCH(AQ$1,[2]Cultures!$B$3:$M$3,0),FALSE)</f>
        <v>#N/A</v>
      </c>
      <c r="AR294" s="4" t="e">
        <f>VLOOKUP($N294,[2]Cultures!$B$4:$M$283,MATCH(AR$1,[2]Cultures!$B$3:$M$3,0),FALSE)</f>
        <v>#N/A</v>
      </c>
      <c r="AS294" s="4" t="e">
        <f>VLOOKUP($N294,[2]Cultures!$B$4:$M$283,MATCH(AS$1,[2]Cultures!$B$3:$M$3,0),FALSE)</f>
        <v>#N/A</v>
      </c>
      <c r="AT294" s="4"/>
      <c r="AU294" s="4">
        <f>IF(ISNUMBER(SEARCH(N294&amp;";",Calculations!$Q$19)),VLOOKUP(Skills!N294,Calculations!$Q$2:$T$16,4,FALSE),0)</f>
        <v>0</v>
      </c>
      <c r="AV294" s="4">
        <f>IF(ISNUMBER(SEARCH(N294&amp;";",Calculations!$Q$18)),1,0)</f>
        <v>0</v>
      </c>
      <c r="AW294" s="4"/>
      <c r="AX294" s="4">
        <f>VLOOKUP($N294,$N294:$CH294,MATCH('Character Sheet'!$BJ$3,Skills!$N$1:$CH$1,0),FALSE)</f>
        <v>0</v>
      </c>
    </row>
    <row r="295" spans="2:50" x14ac:dyDescent="0.25">
      <c r="B295" s="4" t="e">
        <f t="shared" si="153"/>
        <v>#N/A</v>
      </c>
      <c r="E295" s="4"/>
      <c r="F295" s="4">
        <f t="shared" si="138"/>
        <v>0</v>
      </c>
      <c r="G295" s="4"/>
      <c r="H295" s="4" t="e">
        <f t="shared" si="147"/>
        <v>#N/A</v>
      </c>
      <c r="I295" s="4" t="e">
        <f t="shared" ref="I295:I300" si="157">IF($J$245=1,1,IF($J$294=1,1,0))</f>
        <v>#N/A</v>
      </c>
      <c r="J295" s="4">
        <f t="shared" si="139"/>
        <v>0</v>
      </c>
      <c r="K295" s="4" t="e">
        <f t="shared" si="152"/>
        <v>#N/A</v>
      </c>
      <c r="M295" t="str">
        <f t="shared" ref="M295:M300" si="158">"Material Lore, "&amp;N295</f>
        <v>Material Lore, Bone/Horn</v>
      </c>
      <c r="N295" s="3" t="str">
        <f>'Character Sheet'!BLR58</f>
        <v>Bone/Horn</v>
      </c>
      <c r="O295" s="4" t="s">
        <v>798</v>
      </c>
      <c r="P295" s="4" t="s">
        <v>792</v>
      </c>
      <c r="Q295" s="4" t="e">
        <f t="shared" si="156"/>
        <v>#N/A</v>
      </c>
      <c r="R295" s="4">
        <f>IF(ISNUMBER(SEARCH("Category",N295)),"- -",IF(ISNUMBER(SEARCH("Skills",N295)),"- -",'Level-up'!C313))</f>
        <v>0</v>
      </c>
      <c r="S295" s="4" t="e">
        <f t="shared" si="140"/>
        <v>#N/A</v>
      </c>
      <c r="T295" s="4" t="e">
        <f t="shared" si="141"/>
        <v>#N/A</v>
      </c>
      <c r="U295" s="4">
        <f t="shared" ca="1" si="146"/>
        <v>3</v>
      </c>
      <c r="V295" s="4">
        <f t="shared" ref="V295:V302" si="159">IF(ISNUMBER(SEARCH("Category",N295)),"- -",IF(ISNUMBER(SEARCH("Skills",N295)),"- -",IF(AU295&gt;0,AU295,IF($AU$293&gt;0,$AU$293,$AU$244))))</f>
        <v>0</v>
      </c>
      <c r="W295" s="4">
        <f t="shared" si="155"/>
        <v>0</v>
      </c>
      <c r="X295" s="4">
        <f t="shared" si="154"/>
        <v>0</v>
      </c>
      <c r="Y295" s="4">
        <f t="shared" si="142"/>
        <v>0</v>
      </c>
      <c r="Z295" s="4">
        <f t="shared" si="143"/>
        <v>0</v>
      </c>
      <c r="AA295" s="4">
        <f t="shared" si="144"/>
        <v>0</v>
      </c>
      <c r="AB295" s="4">
        <f t="shared" si="145"/>
        <v>0</v>
      </c>
      <c r="AC295" s="8"/>
      <c r="AD295" s="4"/>
      <c r="AE295" s="4"/>
      <c r="AF295" s="4" t="e">
        <f t="shared" si="148"/>
        <v>#N/A</v>
      </c>
      <c r="AG295" s="4"/>
      <c r="AH295" s="4">
        <f>IFERROR(VLOOKUP(M295,Calculations!$AC$2:$AD$251,2,FALSE),0)</f>
        <v>0</v>
      </c>
      <c r="AI295" s="4" t="e">
        <f>VLOOKUP(N295,$N$2:$AS$620,MATCH('Character Creation'!$Z$12,Skills!$N$1:$AS$1,0),FALSE)</f>
        <v>#N/A</v>
      </c>
      <c r="AJ295" s="4" t="e">
        <f>VLOOKUP($N295,[2]Cultures!$B$4:$M$283,MATCH(AJ$1,[2]Cultures!$B$3:$M$3,0),FALSE)</f>
        <v>#N/A</v>
      </c>
      <c r="AK295" s="4" t="e">
        <f>VLOOKUP($N295,[2]Cultures!$B$4:$M$283,MATCH(AK$1,[2]Cultures!$B$3:$M$3,0),FALSE)</f>
        <v>#N/A</v>
      </c>
      <c r="AL295" s="4" t="e">
        <f>VLOOKUP($N295,[2]Cultures!$B$4:$M$283,MATCH(AL$1,[2]Cultures!$B$3:$M$3,0),FALSE)</f>
        <v>#N/A</v>
      </c>
      <c r="AM295" s="4" t="e">
        <f>VLOOKUP($N295,[2]Cultures!$B$4:$M$283,MATCH(AM$1,[2]Cultures!$B$3:$M$3,0),FALSE)</f>
        <v>#N/A</v>
      </c>
      <c r="AN295" s="4" t="e">
        <f>VLOOKUP($N295,[2]Cultures!$B$4:$M$283,MATCH(AN$1,[2]Cultures!$B$3:$M$3,0),FALSE)</f>
        <v>#N/A</v>
      </c>
      <c r="AO295" s="4" t="e">
        <f>VLOOKUP($N295,[2]Cultures!$B$4:$M$283,MATCH(AO$1,[2]Cultures!$B$3:$M$3,0),FALSE)</f>
        <v>#N/A</v>
      </c>
      <c r="AP295" s="4" t="e">
        <f>VLOOKUP($N295,[2]Cultures!$B$4:$M$283,MATCH(AP$1,[2]Cultures!$B$3:$M$3,0),FALSE)</f>
        <v>#N/A</v>
      </c>
      <c r="AQ295" s="4" t="e">
        <f>VLOOKUP($N295,[2]Cultures!$B$4:$M$283,MATCH(AQ$1,[2]Cultures!$B$3:$M$3,0),FALSE)</f>
        <v>#N/A</v>
      </c>
      <c r="AR295" s="4" t="e">
        <f>VLOOKUP($N295,[2]Cultures!$B$4:$M$283,MATCH(AR$1,[2]Cultures!$B$3:$M$3,0),FALSE)</f>
        <v>#N/A</v>
      </c>
      <c r="AS295" s="4" t="e">
        <f>VLOOKUP($N295,[2]Cultures!$B$4:$M$283,MATCH(AS$1,[2]Cultures!$B$3:$M$3,0),FALSE)</f>
        <v>#N/A</v>
      </c>
      <c r="AT295" s="4"/>
      <c r="AU295" s="4">
        <f>IF(ISNUMBER(SEARCH(N295&amp;";",Calculations!$Q$19)),VLOOKUP(Skills!N295,Calculations!$Q$2:$T$16,4,FALSE),0)</f>
        <v>0</v>
      </c>
      <c r="AV295" s="4">
        <f>IF(ISNUMBER(SEARCH(N295&amp;";",Calculations!$Q$18)),1,0)</f>
        <v>0</v>
      </c>
      <c r="AW295" s="4">
        <f t="shared" ref="AW295:AW300" si="160">IF($AV$244=1,1,IF($AV$293=1,1,AV295))</f>
        <v>0</v>
      </c>
      <c r="AX295" s="4">
        <f>VLOOKUP($N295,$N295:$CH295,MATCH('Character Sheet'!$BJ$3,Skills!$N$1:$CH$1,0),FALSE)</f>
        <v>0</v>
      </c>
    </row>
    <row r="296" spans="2:50" x14ac:dyDescent="0.25">
      <c r="B296" s="4" t="e">
        <f t="shared" si="153"/>
        <v>#N/A</v>
      </c>
      <c r="E296" s="4"/>
      <c r="F296" s="4">
        <f t="shared" si="138"/>
        <v>0</v>
      </c>
      <c r="G296" s="4"/>
      <c r="H296" s="4" t="e">
        <f t="shared" si="147"/>
        <v>#N/A</v>
      </c>
      <c r="I296" s="4" t="e">
        <f t="shared" si="157"/>
        <v>#N/A</v>
      </c>
      <c r="J296" s="4">
        <f t="shared" si="139"/>
        <v>0</v>
      </c>
      <c r="K296" s="4" t="e">
        <f t="shared" si="152"/>
        <v>#N/A</v>
      </c>
      <c r="M296" t="str">
        <f t="shared" si="158"/>
        <v>Material Lore, Fabrics</v>
      </c>
      <c r="N296" s="3" t="str">
        <f>'Character Sheet'!BLR59</f>
        <v>Fabrics</v>
      </c>
      <c r="O296" s="4" t="s">
        <v>798</v>
      </c>
      <c r="P296" s="4" t="s">
        <v>792</v>
      </c>
      <c r="Q296" s="4" t="e">
        <f t="shared" si="156"/>
        <v>#N/A</v>
      </c>
      <c r="R296" s="4">
        <f>IF(ISNUMBER(SEARCH("Category",N296)),"- -",IF(ISNUMBER(SEARCH("Skills",N296)),"- -",'Level-up'!C314))</f>
        <v>0</v>
      </c>
      <c r="S296" s="4" t="e">
        <f t="shared" si="140"/>
        <v>#N/A</v>
      </c>
      <c r="T296" s="4" t="e">
        <f t="shared" si="141"/>
        <v>#N/A</v>
      </c>
      <c r="U296" s="4">
        <f t="shared" ca="1" si="146"/>
        <v>3</v>
      </c>
      <c r="V296" s="4">
        <f t="shared" si="159"/>
        <v>0</v>
      </c>
      <c r="W296" s="4">
        <f t="shared" si="155"/>
        <v>0</v>
      </c>
      <c r="X296" s="4">
        <f t="shared" si="154"/>
        <v>0</v>
      </c>
      <c r="Y296" s="4">
        <f t="shared" si="142"/>
        <v>0</v>
      </c>
      <c r="Z296" s="4">
        <f t="shared" si="143"/>
        <v>0</v>
      </c>
      <c r="AA296" s="4">
        <f t="shared" si="144"/>
        <v>0</v>
      </c>
      <c r="AB296" s="4">
        <f t="shared" si="145"/>
        <v>0</v>
      </c>
      <c r="AC296" s="8"/>
      <c r="AD296" s="4"/>
      <c r="AE296" s="4"/>
      <c r="AF296" s="4" t="e">
        <f t="shared" si="148"/>
        <v>#N/A</v>
      </c>
      <c r="AG296" s="4"/>
      <c r="AH296" s="4">
        <f>IFERROR(VLOOKUP(M296,Calculations!$AC$2:$AD$251,2,FALSE),0)</f>
        <v>0</v>
      </c>
      <c r="AI296" s="4" t="e">
        <f>VLOOKUP(N296,$N$2:$AS$620,MATCH('Character Creation'!$Z$12,Skills!$N$1:$AS$1,0),FALSE)</f>
        <v>#N/A</v>
      </c>
      <c r="AJ296" s="4" t="e">
        <f>VLOOKUP($N296,[2]Cultures!$B$4:$M$283,MATCH(AJ$1,[2]Cultures!$B$3:$M$3,0),FALSE)</f>
        <v>#N/A</v>
      </c>
      <c r="AK296" s="4" t="e">
        <f>VLOOKUP($N296,[2]Cultures!$B$4:$M$283,MATCH(AK$1,[2]Cultures!$B$3:$M$3,0),FALSE)</f>
        <v>#N/A</v>
      </c>
      <c r="AL296" s="4" t="e">
        <f>VLOOKUP($N296,[2]Cultures!$B$4:$M$283,MATCH(AL$1,[2]Cultures!$B$3:$M$3,0),FALSE)</f>
        <v>#N/A</v>
      </c>
      <c r="AM296" s="4" t="e">
        <f>VLOOKUP($N296,[2]Cultures!$B$4:$M$283,MATCH(AM$1,[2]Cultures!$B$3:$M$3,0),FALSE)</f>
        <v>#N/A</v>
      </c>
      <c r="AN296" s="4" t="e">
        <f>VLOOKUP($N296,[2]Cultures!$B$4:$M$283,MATCH(AN$1,[2]Cultures!$B$3:$M$3,0),FALSE)</f>
        <v>#N/A</v>
      </c>
      <c r="AO296" s="4" t="e">
        <f>VLOOKUP($N296,[2]Cultures!$B$4:$M$283,MATCH(AO$1,[2]Cultures!$B$3:$M$3,0),FALSE)</f>
        <v>#N/A</v>
      </c>
      <c r="AP296" s="4" t="e">
        <f>VLOOKUP($N296,[2]Cultures!$B$4:$M$283,MATCH(AP$1,[2]Cultures!$B$3:$M$3,0),FALSE)</f>
        <v>#N/A</v>
      </c>
      <c r="AQ296" s="4" t="e">
        <f>VLOOKUP($N296,[2]Cultures!$B$4:$M$283,MATCH(AQ$1,[2]Cultures!$B$3:$M$3,0),FALSE)</f>
        <v>#N/A</v>
      </c>
      <c r="AR296" s="4" t="e">
        <f>VLOOKUP($N296,[2]Cultures!$B$4:$M$283,MATCH(AR$1,[2]Cultures!$B$3:$M$3,0),FALSE)</f>
        <v>#N/A</v>
      </c>
      <c r="AS296" s="4" t="e">
        <f>VLOOKUP($N296,[2]Cultures!$B$4:$M$283,MATCH(AS$1,[2]Cultures!$B$3:$M$3,0),FALSE)</f>
        <v>#N/A</v>
      </c>
      <c r="AT296" s="4"/>
      <c r="AU296" s="4">
        <f>IF(ISNUMBER(SEARCH(N296&amp;";",Calculations!$Q$19)),VLOOKUP(Skills!N296,Calculations!$Q$2:$T$16,4,FALSE),0)</f>
        <v>0</v>
      </c>
      <c r="AV296" s="4">
        <f>IF(ISNUMBER(SEARCH(N296&amp;";",Calculations!$Q$18)),1,0)</f>
        <v>0</v>
      </c>
      <c r="AW296" s="4">
        <f t="shared" si="160"/>
        <v>0</v>
      </c>
      <c r="AX296" s="4">
        <f>VLOOKUP($N296,$N296:$CH296,MATCH('Character Sheet'!$BJ$3,Skills!$N$1:$CH$1,0),FALSE)</f>
        <v>0</v>
      </c>
    </row>
    <row r="297" spans="2:50" x14ac:dyDescent="0.25">
      <c r="B297" s="4" t="e">
        <f t="shared" si="153"/>
        <v>#N/A</v>
      </c>
      <c r="E297" s="4"/>
      <c r="F297" s="4">
        <f t="shared" si="138"/>
        <v>0</v>
      </c>
      <c r="G297" s="4"/>
      <c r="H297" s="4" t="e">
        <f t="shared" si="147"/>
        <v>#N/A</v>
      </c>
      <c r="I297" s="4" t="e">
        <f t="shared" si="157"/>
        <v>#N/A</v>
      </c>
      <c r="J297" s="4">
        <f t="shared" si="139"/>
        <v>0</v>
      </c>
      <c r="K297" s="4" t="e">
        <f t="shared" si="152"/>
        <v>#N/A</v>
      </c>
      <c r="M297" t="str">
        <f t="shared" si="158"/>
        <v>Material Lore, Leather</v>
      </c>
      <c r="N297" s="3" t="str">
        <f>'Character Sheet'!BLR60</f>
        <v>Leather</v>
      </c>
      <c r="O297" s="4" t="s">
        <v>798</v>
      </c>
      <c r="P297" s="4" t="s">
        <v>792</v>
      </c>
      <c r="Q297" s="4" t="e">
        <f t="shared" si="156"/>
        <v>#N/A</v>
      </c>
      <c r="R297" s="4">
        <f>IF(ISNUMBER(SEARCH("Category",N297)),"- -",IF(ISNUMBER(SEARCH("Skills",N297)),"- -",'Level-up'!C315))</f>
        <v>0</v>
      </c>
      <c r="S297" s="4" t="e">
        <f t="shared" si="140"/>
        <v>#N/A</v>
      </c>
      <c r="T297" s="4" t="e">
        <f t="shared" si="141"/>
        <v>#N/A</v>
      </c>
      <c r="U297" s="4">
        <f t="shared" ca="1" si="146"/>
        <v>3</v>
      </c>
      <c r="V297" s="4">
        <f t="shared" si="159"/>
        <v>0</v>
      </c>
      <c r="W297" s="4">
        <f t="shared" si="155"/>
        <v>0</v>
      </c>
      <c r="X297" s="4">
        <f t="shared" si="154"/>
        <v>0</v>
      </c>
      <c r="Y297" s="4">
        <f t="shared" si="142"/>
        <v>0</v>
      </c>
      <c r="Z297" s="4">
        <f t="shared" si="143"/>
        <v>0</v>
      </c>
      <c r="AA297" s="4">
        <f t="shared" si="144"/>
        <v>0</v>
      </c>
      <c r="AB297" s="4">
        <f t="shared" si="145"/>
        <v>0</v>
      </c>
      <c r="AC297" s="8"/>
      <c r="AD297" s="4"/>
      <c r="AE297" s="4"/>
      <c r="AF297" s="4" t="e">
        <f t="shared" si="148"/>
        <v>#N/A</v>
      </c>
      <c r="AG297" s="4"/>
      <c r="AH297" s="4">
        <f>IFERROR(VLOOKUP(M297,Calculations!$AC$2:$AD$251,2,FALSE),0)</f>
        <v>0</v>
      </c>
      <c r="AI297" s="4" t="e">
        <f>VLOOKUP(N297,$N$2:$AS$620,MATCH('Character Creation'!$Z$12,Skills!$N$1:$AS$1,0),FALSE)</f>
        <v>#N/A</v>
      </c>
      <c r="AJ297" s="4" t="e">
        <f>VLOOKUP($N297,[2]Cultures!$B$4:$M$283,MATCH(AJ$1,[2]Cultures!$B$3:$M$3,0),FALSE)</f>
        <v>#N/A</v>
      </c>
      <c r="AK297" s="4" t="e">
        <f>VLOOKUP($N297,[2]Cultures!$B$4:$M$283,MATCH(AK$1,[2]Cultures!$B$3:$M$3,0),FALSE)</f>
        <v>#N/A</v>
      </c>
      <c r="AL297" s="4" t="e">
        <f>VLOOKUP($N297,[2]Cultures!$B$4:$M$283,MATCH(AL$1,[2]Cultures!$B$3:$M$3,0),FALSE)</f>
        <v>#N/A</v>
      </c>
      <c r="AM297" s="4" t="e">
        <f>VLOOKUP($N297,[2]Cultures!$B$4:$M$283,MATCH(AM$1,[2]Cultures!$B$3:$M$3,0),FALSE)</f>
        <v>#N/A</v>
      </c>
      <c r="AN297" s="4" t="e">
        <f>VLOOKUP($N297,[2]Cultures!$B$4:$M$283,MATCH(AN$1,[2]Cultures!$B$3:$M$3,0),FALSE)</f>
        <v>#N/A</v>
      </c>
      <c r="AO297" s="4" t="e">
        <f>VLOOKUP($N297,[2]Cultures!$B$4:$M$283,MATCH(AO$1,[2]Cultures!$B$3:$M$3,0),FALSE)</f>
        <v>#N/A</v>
      </c>
      <c r="AP297" s="4" t="e">
        <f>VLOOKUP($N297,[2]Cultures!$B$4:$M$283,MATCH(AP$1,[2]Cultures!$B$3:$M$3,0),FALSE)</f>
        <v>#N/A</v>
      </c>
      <c r="AQ297" s="4" t="e">
        <f>VLOOKUP($N297,[2]Cultures!$B$4:$M$283,MATCH(AQ$1,[2]Cultures!$B$3:$M$3,0),FALSE)</f>
        <v>#N/A</v>
      </c>
      <c r="AR297" s="4" t="e">
        <f>VLOOKUP($N297,[2]Cultures!$B$4:$M$283,MATCH(AR$1,[2]Cultures!$B$3:$M$3,0),FALSE)</f>
        <v>#N/A</v>
      </c>
      <c r="AS297" s="4" t="e">
        <f>VLOOKUP($N297,[2]Cultures!$B$4:$M$283,MATCH(AS$1,[2]Cultures!$B$3:$M$3,0),FALSE)</f>
        <v>#N/A</v>
      </c>
      <c r="AT297" s="4"/>
      <c r="AU297" s="4">
        <f>IF(ISNUMBER(SEARCH(N297&amp;";",Calculations!$Q$19)),VLOOKUP(Skills!N297,Calculations!$Q$2:$T$16,4,FALSE),0)</f>
        <v>0</v>
      </c>
      <c r="AV297" s="4">
        <f>IF(ISNUMBER(SEARCH(N297&amp;";",Calculations!$Q$18)),1,0)</f>
        <v>0</v>
      </c>
      <c r="AW297" s="4">
        <f t="shared" si="160"/>
        <v>0</v>
      </c>
      <c r="AX297" s="4">
        <f>VLOOKUP($N297,$N297:$CH297,MATCH('Character Sheet'!$BJ$3,Skills!$N$1:$CH$1,0),FALSE)</f>
        <v>0</v>
      </c>
    </row>
    <row r="298" spans="2:50" x14ac:dyDescent="0.25">
      <c r="B298" s="4" t="e">
        <f t="shared" si="153"/>
        <v>#N/A</v>
      </c>
      <c r="E298" s="4"/>
      <c r="F298" s="4">
        <f t="shared" si="138"/>
        <v>0</v>
      </c>
      <c r="G298" s="4"/>
      <c r="H298" s="4" t="e">
        <f t="shared" si="147"/>
        <v>#N/A</v>
      </c>
      <c r="I298" s="4" t="e">
        <f t="shared" si="157"/>
        <v>#N/A</v>
      </c>
      <c r="J298" s="4">
        <f t="shared" si="139"/>
        <v>0</v>
      </c>
      <c r="K298" s="4" t="e">
        <f t="shared" si="152"/>
        <v>#N/A</v>
      </c>
      <c r="M298" t="str">
        <f t="shared" si="158"/>
        <v>Material Lore, Metal</v>
      </c>
      <c r="N298" s="3" t="str">
        <f>'Character Sheet'!BLR61</f>
        <v>Metal</v>
      </c>
      <c r="O298" s="4" t="s">
        <v>798</v>
      </c>
      <c r="P298" s="4" t="s">
        <v>792</v>
      </c>
      <c r="Q298" s="4" t="e">
        <f t="shared" si="156"/>
        <v>#N/A</v>
      </c>
      <c r="R298" s="4">
        <f>IF(ISNUMBER(SEARCH("Category",N298)),"- -",IF(ISNUMBER(SEARCH("Skills",N298)),"- -",'Level-up'!C316))</f>
        <v>0</v>
      </c>
      <c r="S298" s="4" t="e">
        <f t="shared" si="140"/>
        <v>#N/A</v>
      </c>
      <c r="T298" s="4" t="e">
        <f t="shared" si="141"/>
        <v>#N/A</v>
      </c>
      <c r="U298" s="4">
        <f t="shared" ca="1" si="146"/>
        <v>3</v>
      </c>
      <c r="V298" s="4">
        <f t="shared" si="159"/>
        <v>0</v>
      </c>
      <c r="W298" s="4">
        <f t="shared" si="155"/>
        <v>0</v>
      </c>
      <c r="X298" s="4">
        <f t="shared" si="154"/>
        <v>0</v>
      </c>
      <c r="Y298" s="4">
        <f t="shared" si="142"/>
        <v>0</v>
      </c>
      <c r="Z298" s="4">
        <f t="shared" si="143"/>
        <v>0</v>
      </c>
      <c r="AA298" s="4">
        <f t="shared" si="144"/>
        <v>0</v>
      </c>
      <c r="AB298" s="4">
        <f t="shared" si="145"/>
        <v>0</v>
      </c>
      <c r="AC298" s="8"/>
      <c r="AD298" s="4"/>
      <c r="AE298" s="4"/>
      <c r="AF298" s="4" t="e">
        <f t="shared" si="148"/>
        <v>#N/A</v>
      </c>
      <c r="AG298" s="4"/>
      <c r="AH298" s="4">
        <f>IFERROR(VLOOKUP(M298,Calculations!$AC$2:$AD$251,2,FALSE),0)</f>
        <v>0</v>
      </c>
      <c r="AI298" s="4" t="e">
        <f>VLOOKUP(N298,$N$2:$AS$620,MATCH('Character Creation'!$Z$12,Skills!$N$1:$AS$1,0),FALSE)</f>
        <v>#N/A</v>
      </c>
      <c r="AJ298" s="4" t="e">
        <f>VLOOKUP($N298,[2]Cultures!$B$4:$M$283,MATCH(AJ$1,[2]Cultures!$B$3:$M$3,0),FALSE)</f>
        <v>#N/A</v>
      </c>
      <c r="AK298" s="4" t="e">
        <f>VLOOKUP($N298,[2]Cultures!$B$4:$M$283,MATCH(AK$1,[2]Cultures!$B$3:$M$3,0),FALSE)</f>
        <v>#N/A</v>
      </c>
      <c r="AL298" s="4" t="e">
        <f>VLOOKUP($N298,[2]Cultures!$B$4:$M$283,MATCH(AL$1,[2]Cultures!$B$3:$M$3,0),FALSE)</f>
        <v>#N/A</v>
      </c>
      <c r="AM298" s="4" t="e">
        <f>VLOOKUP($N298,[2]Cultures!$B$4:$M$283,MATCH(AM$1,[2]Cultures!$B$3:$M$3,0),FALSE)</f>
        <v>#N/A</v>
      </c>
      <c r="AN298" s="4" t="e">
        <f>VLOOKUP($N298,[2]Cultures!$B$4:$M$283,MATCH(AN$1,[2]Cultures!$B$3:$M$3,0),FALSE)</f>
        <v>#N/A</v>
      </c>
      <c r="AO298" s="4" t="e">
        <f>VLOOKUP($N298,[2]Cultures!$B$4:$M$283,MATCH(AO$1,[2]Cultures!$B$3:$M$3,0),FALSE)</f>
        <v>#N/A</v>
      </c>
      <c r="AP298" s="4" t="e">
        <f>VLOOKUP($N298,[2]Cultures!$B$4:$M$283,MATCH(AP$1,[2]Cultures!$B$3:$M$3,0),FALSE)</f>
        <v>#N/A</v>
      </c>
      <c r="AQ298" s="4" t="e">
        <f>VLOOKUP($N298,[2]Cultures!$B$4:$M$283,MATCH(AQ$1,[2]Cultures!$B$3:$M$3,0),FALSE)</f>
        <v>#N/A</v>
      </c>
      <c r="AR298" s="4" t="e">
        <f>VLOOKUP($N298,[2]Cultures!$B$4:$M$283,MATCH(AR$1,[2]Cultures!$B$3:$M$3,0),FALSE)</f>
        <v>#N/A</v>
      </c>
      <c r="AS298" s="4" t="e">
        <f>VLOOKUP($N298,[2]Cultures!$B$4:$M$283,MATCH(AS$1,[2]Cultures!$B$3:$M$3,0),FALSE)</f>
        <v>#N/A</v>
      </c>
      <c r="AT298" s="4"/>
      <c r="AU298" s="4">
        <f>IF(ISNUMBER(SEARCH(N298&amp;";",Calculations!$Q$19)),VLOOKUP(Skills!N298,Calculations!$Q$2:$T$16,4,FALSE),0)</f>
        <v>0</v>
      </c>
      <c r="AV298" s="4">
        <f>IF(ISNUMBER(SEARCH(N298&amp;";",Calculations!$Q$18)),1,0)</f>
        <v>0</v>
      </c>
      <c r="AW298" s="4">
        <f t="shared" si="160"/>
        <v>0</v>
      </c>
      <c r="AX298" s="4">
        <f>VLOOKUP($N298,$N298:$CH298,MATCH('Character Sheet'!$BJ$3,Skills!$N$1:$CH$1,0),FALSE)</f>
        <v>0</v>
      </c>
    </row>
    <row r="299" spans="2:50" x14ac:dyDescent="0.25">
      <c r="B299" s="4" t="e">
        <f t="shared" si="153"/>
        <v>#N/A</v>
      </c>
      <c r="E299" s="4"/>
      <c r="F299" s="4">
        <f t="shared" si="138"/>
        <v>0</v>
      </c>
      <c r="G299" s="4"/>
      <c r="H299" s="4" t="e">
        <f t="shared" si="147"/>
        <v>#N/A</v>
      </c>
      <c r="I299" s="4" t="e">
        <f t="shared" si="157"/>
        <v>#N/A</v>
      </c>
      <c r="J299" s="4">
        <f t="shared" si="139"/>
        <v>0</v>
      </c>
      <c r="K299" s="4" t="e">
        <f t="shared" si="152"/>
        <v>#N/A</v>
      </c>
      <c r="M299" t="str">
        <f t="shared" si="158"/>
        <v>Material Lore, Stone</v>
      </c>
      <c r="N299" s="3" t="str">
        <f>'Character Sheet'!BLR62</f>
        <v>Stone</v>
      </c>
      <c r="O299" s="4" t="s">
        <v>798</v>
      </c>
      <c r="P299" s="4" t="s">
        <v>792</v>
      </c>
      <c r="Q299" s="4" t="e">
        <f t="shared" si="156"/>
        <v>#N/A</v>
      </c>
      <c r="R299" s="4">
        <f>IF(ISNUMBER(SEARCH("Category",N299)),"- -",IF(ISNUMBER(SEARCH("Skills",N299)),"- -",'Level-up'!C317))</f>
        <v>0</v>
      </c>
      <c r="S299" s="4" t="e">
        <f t="shared" si="140"/>
        <v>#N/A</v>
      </c>
      <c r="T299" s="4" t="e">
        <f t="shared" si="141"/>
        <v>#N/A</v>
      </c>
      <c r="U299" s="4">
        <f t="shared" ca="1" si="146"/>
        <v>3</v>
      </c>
      <c r="V299" s="4">
        <f t="shared" si="159"/>
        <v>0</v>
      </c>
      <c r="W299" s="4">
        <f t="shared" si="155"/>
        <v>0</v>
      </c>
      <c r="X299" s="4">
        <f t="shared" si="154"/>
        <v>0</v>
      </c>
      <c r="Y299" s="4">
        <f t="shared" si="142"/>
        <v>0</v>
      </c>
      <c r="Z299" s="4">
        <f t="shared" si="143"/>
        <v>0</v>
      </c>
      <c r="AA299" s="4">
        <f t="shared" si="144"/>
        <v>0</v>
      </c>
      <c r="AB299" s="4">
        <f t="shared" si="145"/>
        <v>0</v>
      </c>
      <c r="AC299" s="8"/>
      <c r="AD299" s="4"/>
      <c r="AE299" s="4"/>
      <c r="AF299" s="4" t="e">
        <f t="shared" si="148"/>
        <v>#N/A</v>
      </c>
      <c r="AG299" s="4"/>
      <c r="AH299" s="4">
        <f>IFERROR(VLOOKUP(M299,Calculations!$AC$2:$AD$251,2,FALSE),0)</f>
        <v>0</v>
      </c>
      <c r="AI299" s="4" t="e">
        <f>VLOOKUP(N299,$N$2:$AS$620,MATCH('Character Creation'!$Z$12,Skills!$N$1:$AS$1,0),FALSE)</f>
        <v>#N/A</v>
      </c>
      <c r="AJ299" s="4" t="e">
        <f>VLOOKUP($N299,[2]Cultures!$B$4:$M$283,MATCH(AJ$1,[2]Cultures!$B$3:$M$3,0),FALSE)</f>
        <v>#N/A</v>
      </c>
      <c r="AK299" s="4" t="e">
        <f>VLOOKUP($N299,[2]Cultures!$B$4:$M$283,MATCH(AK$1,[2]Cultures!$B$3:$M$3,0),FALSE)</f>
        <v>#N/A</v>
      </c>
      <c r="AL299" s="4" t="e">
        <f>VLOOKUP($N299,[2]Cultures!$B$4:$M$283,MATCH(AL$1,[2]Cultures!$B$3:$M$3,0),FALSE)</f>
        <v>#N/A</v>
      </c>
      <c r="AM299" s="4" t="e">
        <f>VLOOKUP($N299,[2]Cultures!$B$4:$M$283,MATCH(AM$1,[2]Cultures!$B$3:$M$3,0),FALSE)</f>
        <v>#N/A</v>
      </c>
      <c r="AN299" s="4" t="e">
        <f>VLOOKUP($N299,[2]Cultures!$B$4:$M$283,MATCH(AN$1,[2]Cultures!$B$3:$M$3,0),FALSE)</f>
        <v>#N/A</v>
      </c>
      <c r="AO299" s="4" t="e">
        <f>VLOOKUP($N299,[2]Cultures!$B$4:$M$283,MATCH(AO$1,[2]Cultures!$B$3:$M$3,0),FALSE)</f>
        <v>#N/A</v>
      </c>
      <c r="AP299" s="4" t="e">
        <f>VLOOKUP($N299,[2]Cultures!$B$4:$M$283,MATCH(AP$1,[2]Cultures!$B$3:$M$3,0),FALSE)</f>
        <v>#N/A</v>
      </c>
      <c r="AQ299" s="4" t="e">
        <f>VLOOKUP($N299,[2]Cultures!$B$4:$M$283,MATCH(AQ$1,[2]Cultures!$B$3:$M$3,0),FALSE)</f>
        <v>#N/A</v>
      </c>
      <c r="AR299" s="4" t="e">
        <f>VLOOKUP($N299,[2]Cultures!$B$4:$M$283,MATCH(AR$1,[2]Cultures!$B$3:$M$3,0),FALSE)</f>
        <v>#N/A</v>
      </c>
      <c r="AS299" s="4" t="e">
        <f>VLOOKUP($N299,[2]Cultures!$B$4:$M$283,MATCH(AS$1,[2]Cultures!$B$3:$M$3,0),FALSE)</f>
        <v>#N/A</v>
      </c>
      <c r="AT299" s="4"/>
      <c r="AU299" s="4">
        <f>IF(ISNUMBER(SEARCH(N299&amp;";",Calculations!$Q$19)),VLOOKUP(Skills!N299,Calculations!$Q$2:$T$16,4,FALSE),0)</f>
        <v>0</v>
      </c>
      <c r="AV299" s="4">
        <f>IF(ISNUMBER(SEARCH(N299&amp;";",Calculations!$Q$18)),1,0)</f>
        <v>0</v>
      </c>
      <c r="AW299" s="4">
        <f t="shared" si="160"/>
        <v>0</v>
      </c>
      <c r="AX299" s="4">
        <f>VLOOKUP($N299,$N299:$CH299,MATCH('Character Sheet'!$BJ$3,Skills!$N$1:$CH$1,0),FALSE)</f>
        <v>0</v>
      </c>
    </row>
    <row r="300" spans="2:50" x14ac:dyDescent="0.25">
      <c r="B300" s="4" t="e">
        <f t="shared" si="153"/>
        <v>#N/A</v>
      </c>
      <c r="E300" s="4"/>
      <c r="F300" s="4">
        <f t="shared" si="138"/>
        <v>0</v>
      </c>
      <c r="G300" s="4"/>
      <c r="H300" s="4" t="e">
        <f t="shared" si="147"/>
        <v>#N/A</v>
      </c>
      <c r="I300" s="4" t="e">
        <f t="shared" si="157"/>
        <v>#N/A</v>
      </c>
      <c r="J300" s="4">
        <f t="shared" si="139"/>
        <v>0</v>
      </c>
      <c r="K300" s="4" t="e">
        <f t="shared" si="152"/>
        <v>#N/A</v>
      </c>
      <c r="M300" t="str">
        <f t="shared" si="158"/>
        <v>Material Lore, Wood</v>
      </c>
      <c r="N300" s="3" t="str">
        <f>'Character Sheet'!BLR63</f>
        <v>Wood</v>
      </c>
      <c r="O300" s="4" t="s">
        <v>798</v>
      </c>
      <c r="P300" s="4" t="s">
        <v>792</v>
      </c>
      <c r="Q300" s="4" t="e">
        <f t="shared" si="156"/>
        <v>#N/A</v>
      </c>
      <c r="R300" s="4">
        <f>IF(ISNUMBER(SEARCH("Category",N300)),"- -",IF(ISNUMBER(SEARCH("Skills",N300)),"- -",'Level-up'!C318))</f>
        <v>0</v>
      </c>
      <c r="S300" s="4" t="e">
        <f t="shared" si="140"/>
        <v>#N/A</v>
      </c>
      <c r="T300" s="4" t="e">
        <f t="shared" si="141"/>
        <v>#N/A</v>
      </c>
      <c r="U300" s="4">
        <f t="shared" ca="1" si="146"/>
        <v>3</v>
      </c>
      <c r="V300" s="4">
        <f t="shared" si="159"/>
        <v>0</v>
      </c>
      <c r="W300" s="4">
        <f t="shared" si="155"/>
        <v>0</v>
      </c>
      <c r="X300" s="4">
        <f t="shared" si="154"/>
        <v>0</v>
      </c>
      <c r="Y300" s="4">
        <f t="shared" si="142"/>
        <v>0</v>
      </c>
      <c r="Z300" s="4">
        <f t="shared" si="143"/>
        <v>0</v>
      </c>
      <c r="AA300" s="4">
        <f t="shared" si="144"/>
        <v>0</v>
      </c>
      <c r="AB300" s="4">
        <f t="shared" si="145"/>
        <v>0</v>
      </c>
      <c r="AC300" s="8"/>
      <c r="AD300" s="4"/>
      <c r="AE300" s="4"/>
      <c r="AF300" s="4" t="e">
        <f t="shared" si="148"/>
        <v>#N/A</v>
      </c>
      <c r="AG300" s="4"/>
      <c r="AH300" s="4">
        <f>IFERROR(VLOOKUP(M300,Calculations!$AC$2:$AD$251,2,FALSE),0)</f>
        <v>0</v>
      </c>
      <c r="AI300" s="4" t="e">
        <f>VLOOKUP(N300,$N$2:$AS$620,MATCH('Character Creation'!$Z$12,Skills!$N$1:$AS$1,0),FALSE)</f>
        <v>#N/A</v>
      </c>
      <c r="AJ300" s="4" t="e">
        <f>VLOOKUP($N300,[2]Cultures!$B$4:$M$283,MATCH(AJ$1,[2]Cultures!$B$3:$M$3,0),FALSE)</f>
        <v>#N/A</v>
      </c>
      <c r="AK300" s="4" t="e">
        <f>VLOOKUP($N300,[2]Cultures!$B$4:$M$283,MATCH(AK$1,[2]Cultures!$B$3:$M$3,0),FALSE)</f>
        <v>#N/A</v>
      </c>
      <c r="AL300" s="4" t="e">
        <f>VLOOKUP($N300,[2]Cultures!$B$4:$M$283,MATCH(AL$1,[2]Cultures!$B$3:$M$3,0),FALSE)</f>
        <v>#N/A</v>
      </c>
      <c r="AM300" s="4" t="e">
        <f>VLOOKUP($N300,[2]Cultures!$B$4:$M$283,MATCH(AM$1,[2]Cultures!$B$3:$M$3,0),FALSE)</f>
        <v>#N/A</v>
      </c>
      <c r="AN300" s="4" t="e">
        <f>VLOOKUP($N300,[2]Cultures!$B$4:$M$283,MATCH(AN$1,[2]Cultures!$B$3:$M$3,0),FALSE)</f>
        <v>#N/A</v>
      </c>
      <c r="AO300" s="4" t="e">
        <f>VLOOKUP($N300,[2]Cultures!$B$4:$M$283,MATCH(AO$1,[2]Cultures!$B$3:$M$3,0),FALSE)</f>
        <v>#N/A</v>
      </c>
      <c r="AP300" s="4" t="e">
        <f>VLOOKUP($N300,[2]Cultures!$B$4:$M$283,MATCH(AP$1,[2]Cultures!$B$3:$M$3,0),FALSE)</f>
        <v>#N/A</v>
      </c>
      <c r="AQ300" s="4" t="e">
        <f>VLOOKUP($N300,[2]Cultures!$B$4:$M$283,MATCH(AQ$1,[2]Cultures!$B$3:$M$3,0),FALSE)</f>
        <v>#N/A</v>
      </c>
      <c r="AR300" s="4" t="e">
        <f>VLOOKUP($N300,[2]Cultures!$B$4:$M$283,MATCH(AR$1,[2]Cultures!$B$3:$M$3,0),FALSE)</f>
        <v>#N/A</v>
      </c>
      <c r="AS300" s="4" t="e">
        <f>VLOOKUP($N300,[2]Cultures!$B$4:$M$283,MATCH(AS$1,[2]Cultures!$B$3:$M$3,0),FALSE)</f>
        <v>#N/A</v>
      </c>
      <c r="AT300" s="4"/>
      <c r="AU300" s="4">
        <f>IF(ISNUMBER(SEARCH(N300&amp;";",Calculations!$Q$19)),VLOOKUP(Skills!N300,Calculations!$Q$2:$T$16,4,FALSE),0)</f>
        <v>0</v>
      </c>
      <c r="AV300" s="4">
        <f>IF(ISNUMBER(SEARCH(N300&amp;";",Calculations!$Q$18)),1,0)</f>
        <v>0</v>
      </c>
      <c r="AW300" s="4">
        <f t="shared" si="160"/>
        <v>0</v>
      </c>
      <c r="AX300" s="4">
        <f>VLOOKUP($N300,$N300:$CH300,MATCH('Character Sheet'!$BJ$3,Skills!$N$1:$CH$1,0),FALSE)</f>
        <v>0</v>
      </c>
    </row>
    <row r="301" spans="2:50" x14ac:dyDescent="0.25">
      <c r="B301" s="4" t="e">
        <f t="shared" si="153"/>
        <v>#N/A</v>
      </c>
      <c r="E301" s="4"/>
      <c r="F301" s="4">
        <f t="shared" si="138"/>
        <v>0</v>
      </c>
      <c r="G301" s="4"/>
      <c r="H301" s="4" t="e">
        <f t="shared" si="147"/>
        <v>#N/A</v>
      </c>
      <c r="I301" s="4" t="e">
        <f>IF($J$245=1,1,IF($J$302=1,1,0))</f>
        <v>#N/A</v>
      </c>
      <c r="J301" s="4">
        <f t="shared" si="139"/>
        <v>0</v>
      </c>
      <c r="K301" s="4" t="e">
        <f t="shared" si="152"/>
        <v>#N/A</v>
      </c>
      <c r="N301" s="3" t="s">
        <v>686</v>
      </c>
      <c r="O301" s="6" t="s">
        <v>782</v>
      </c>
      <c r="P301" s="6" t="s">
        <v>782</v>
      </c>
      <c r="Q301" s="4" t="str">
        <f t="shared" si="156"/>
        <v>- -</v>
      </c>
      <c r="R301" s="4" t="str">
        <f>IF(ISNUMBER(SEARCH("Category",N301)),"- -",IF(ISNUMBER(SEARCH("Skills",N301)),"- -",'Level-up'!C319))</f>
        <v>- -</v>
      </c>
      <c r="S301" s="4" t="str">
        <f t="shared" si="140"/>
        <v>- -</v>
      </c>
      <c r="T301" s="4" t="str">
        <f t="shared" si="141"/>
        <v>- -</v>
      </c>
      <c r="U301" s="4" t="str">
        <f t="shared" ca="1" si="146"/>
        <v>- -</v>
      </c>
      <c r="V301" s="4" t="str">
        <f t="shared" si="159"/>
        <v>- -</v>
      </c>
      <c r="W301" s="4" t="str">
        <f t="shared" si="155"/>
        <v>- -</v>
      </c>
      <c r="X301" s="4" t="str">
        <f t="shared" si="154"/>
        <v>- -</v>
      </c>
      <c r="Y301" s="4" t="str">
        <f t="shared" si="142"/>
        <v>- -</v>
      </c>
      <c r="Z301" s="4" t="str">
        <f t="shared" si="143"/>
        <v>- -</v>
      </c>
      <c r="AA301" s="4" t="str">
        <f t="shared" si="144"/>
        <v>- -</v>
      </c>
      <c r="AB301" s="4" t="str">
        <f t="shared" si="145"/>
        <v>- -</v>
      </c>
      <c r="AC301" s="8"/>
      <c r="AD301" s="4"/>
      <c r="AE301" s="4"/>
      <c r="AF301" s="4" t="str">
        <f t="shared" si="148"/>
        <v>- -</v>
      </c>
      <c r="AG301" s="4"/>
      <c r="AH301" s="4">
        <f>IFERROR(VLOOKUP(M301,Calculations!$AC$2:$AD$251,2,FALSE),0)</f>
        <v>0</v>
      </c>
      <c r="AI301" s="4" t="e">
        <f>VLOOKUP(N301,$N$2:$AS$620,MATCH('Character Creation'!$Z$12,Skills!$N$1:$AS$1,0),FALSE)</f>
        <v>#N/A</v>
      </c>
      <c r="AJ301" s="4" t="e">
        <f>VLOOKUP($N301,[2]Cultures!$B$4:$M$283,MATCH(AJ$1,[2]Cultures!$B$3:$M$3,0),FALSE)</f>
        <v>#N/A</v>
      </c>
      <c r="AK301" s="4" t="e">
        <f>VLOOKUP($N301,[2]Cultures!$B$4:$M$283,MATCH(AK$1,[2]Cultures!$B$3:$M$3,0),FALSE)</f>
        <v>#N/A</v>
      </c>
      <c r="AL301" s="4" t="e">
        <f>VLOOKUP($N301,[2]Cultures!$B$4:$M$283,MATCH(AL$1,[2]Cultures!$B$3:$M$3,0),FALSE)</f>
        <v>#N/A</v>
      </c>
      <c r="AM301" s="4" t="e">
        <f>VLOOKUP($N301,[2]Cultures!$B$4:$M$283,MATCH(AM$1,[2]Cultures!$B$3:$M$3,0),FALSE)</f>
        <v>#N/A</v>
      </c>
      <c r="AN301" s="4" t="e">
        <f>VLOOKUP($N301,[2]Cultures!$B$4:$M$283,MATCH(AN$1,[2]Cultures!$B$3:$M$3,0),FALSE)</f>
        <v>#N/A</v>
      </c>
      <c r="AO301" s="4" t="e">
        <f>VLOOKUP($N301,[2]Cultures!$B$4:$M$283,MATCH(AO$1,[2]Cultures!$B$3:$M$3,0),FALSE)</f>
        <v>#N/A</v>
      </c>
      <c r="AP301" s="4" t="e">
        <f>VLOOKUP($N301,[2]Cultures!$B$4:$M$283,MATCH(AP$1,[2]Cultures!$B$3:$M$3,0),FALSE)</f>
        <v>#N/A</v>
      </c>
      <c r="AQ301" s="4" t="e">
        <f>VLOOKUP($N301,[2]Cultures!$B$4:$M$283,MATCH(AQ$1,[2]Cultures!$B$3:$M$3,0),FALSE)</f>
        <v>#N/A</v>
      </c>
      <c r="AR301" s="4" t="e">
        <f>VLOOKUP($N301,[2]Cultures!$B$4:$M$283,MATCH(AR$1,[2]Cultures!$B$3:$M$3,0),FALSE)</f>
        <v>#N/A</v>
      </c>
      <c r="AS301" s="4" t="e">
        <f>VLOOKUP($N301,[2]Cultures!$B$4:$M$283,MATCH(AS$1,[2]Cultures!$B$3:$M$3,0),FALSE)</f>
        <v>#N/A</v>
      </c>
      <c r="AT301" s="4"/>
      <c r="AU301" s="4">
        <f>IF(ISNUMBER(SEARCH(N301&amp;";",Calculations!$Q$19)),VLOOKUP(Skills!N301,Calculations!$Q$2:$T$16,4,FALSE),0)</f>
        <v>0</v>
      </c>
      <c r="AV301" s="4">
        <f>IF(ISNUMBER(SEARCH(N301&amp;";",Calculations!$Q$18)),1,0)</f>
        <v>0</v>
      </c>
      <c r="AW301" s="4"/>
      <c r="AX301" s="4">
        <f>VLOOKUP($N301,$N301:$CH301,MATCH('Character Sheet'!$BJ$3,Skills!$N$1:$CH$1,0),FALSE)</f>
        <v>0</v>
      </c>
    </row>
    <row r="302" spans="2:50" x14ac:dyDescent="0.25">
      <c r="B302" s="4" t="e">
        <f t="shared" si="153"/>
        <v>#N/A</v>
      </c>
      <c r="E302" s="4"/>
      <c r="F302" s="4">
        <f t="shared" si="138"/>
        <v>0</v>
      </c>
      <c r="G302" s="4"/>
      <c r="H302" s="4" t="e">
        <f t="shared" si="147"/>
        <v>#N/A</v>
      </c>
      <c r="I302" s="4">
        <v>0</v>
      </c>
      <c r="J302" s="4" t="e">
        <f t="shared" si="139"/>
        <v>#N/A</v>
      </c>
      <c r="K302" s="4" t="e">
        <f t="shared" si="152"/>
        <v>#N/A</v>
      </c>
      <c r="N302" s="3" t="s">
        <v>687</v>
      </c>
      <c r="O302" s="6" t="s">
        <v>782</v>
      </c>
      <c r="P302" s="6" t="s">
        <v>782</v>
      </c>
      <c r="Q302" s="4" t="str">
        <f t="shared" si="156"/>
        <v>- -</v>
      </c>
      <c r="R302" s="4" t="str">
        <f>IF(ISNUMBER(SEARCH("Category",N302)),"- -",IF(ISNUMBER(SEARCH("Skills",N302)),"- -",'Level-up'!C320))</f>
        <v>- -</v>
      </c>
      <c r="S302" s="4" t="str">
        <f t="shared" si="140"/>
        <v>- -</v>
      </c>
      <c r="T302" s="4" t="str">
        <f t="shared" si="141"/>
        <v>- -</v>
      </c>
      <c r="U302" s="4" t="str">
        <f t="shared" ca="1" si="146"/>
        <v>- -</v>
      </c>
      <c r="V302" s="4" t="str">
        <f t="shared" si="159"/>
        <v>- -</v>
      </c>
      <c r="W302" s="4" t="str">
        <f t="shared" si="155"/>
        <v>- -</v>
      </c>
      <c r="X302" s="4" t="str">
        <f t="shared" si="154"/>
        <v>- -</v>
      </c>
      <c r="Y302" s="4" t="str">
        <f t="shared" si="142"/>
        <v>- -</v>
      </c>
      <c r="Z302" s="4" t="str">
        <f t="shared" si="143"/>
        <v>- -</v>
      </c>
      <c r="AA302" s="4" t="str">
        <f t="shared" si="144"/>
        <v>- -</v>
      </c>
      <c r="AB302" s="4" t="str">
        <f t="shared" si="145"/>
        <v>- -</v>
      </c>
      <c r="AC302" s="8"/>
      <c r="AD302" s="4"/>
      <c r="AE302" s="4"/>
      <c r="AF302" s="4" t="str">
        <f t="shared" si="148"/>
        <v>- -</v>
      </c>
      <c r="AG302" s="4"/>
      <c r="AH302" s="4">
        <f>IFERROR(VLOOKUP(M302,Calculations!$AC$2:$AD$251,2,FALSE),0)</f>
        <v>0</v>
      </c>
      <c r="AI302" s="4" t="e">
        <f>VLOOKUP(N302,$N$2:$AS$620,MATCH('Character Creation'!$Z$12,Skills!$N$1:$AS$1,0),FALSE)</f>
        <v>#N/A</v>
      </c>
      <c r="AJ302" s="4" t="e">
        <f>VLOOKUP($N302,[2]Cultures!$B$4:$M$283,MATCH(AJ$1,[2]Cultures!$B$3:$M$3,0),FALSE)</f>
        <v>#N/A</v>
      </c>
      <c r="AK302" s="4" t="e">
        <f>VLOOKUP($N302,[2]Cultures!$B$4:$M$283,MATCH(AK$1,[2]Cultures!$B$3:$M$3,0),FALSE)</f>
        <v>#N/A</v>
      </c>
      <c r="AL302" s="4" t="e">
        <f>VLOOKUP($N302,[2]Cultures!$B$4:$M$283,MATCH(AL$1,[2]Cultures!$B$3:$M$3,0),FALSE)</f>
        <v>#N/A</v>
      </c>
      <c r="AM302" s="4" t="e">
        <f>VLOOKUP($N302,[2]Cultures!$B$4:$M$283,MATCH(AM$1,[2]Cultures!$B$3:$M$3,0),FALSE)</f>
        <v>#N/A</v>
      </c>
      <c r="AN302" s="4" t="e">
        <f>VLOOKUP($N302,[2]Cultures!$B$4:$M$283,MATCH(AN$1,[2]Cultures!$B$3:$M$3,0),FALSE)</f>
        <v>#N/A</v>
      </c>
      <c r="AO302" s="4" t="e">
        <f>VLOOKUP($N302,[2]Cultures!$B$4:$M$283,MATCH(AO$1,[2]Cultures!$B$3:$M$3,0),FALSE)</f>
        <v>#N/A</v>
      </c>
      <c r="AP302" s="4" t="e">
        <f>VLOOKUP($N302,[2]Cultures!$B$4:$M$283,MATCH(AP$1,[2]Cultures!$B$3:$M$3,0),FALSE)</f>
        <v>#N/A</v>
      </c>
      <c r="AQ302" s="4" t="e">
        <f>VLOOKUP($N302,[2]Cultures!$B$4:$M$283,MATCH(AQ$1,[2]Cultures!$B$3:$M$3,0),FALSE)</f>
        <v>#N/A</v>
      </c>
      <c r="AR302" s="4" t="e">
        <f>VLOOKUP($N302,[2]Cultures!$B$4:$M$283,MATCH(AR$1,[2]Cultures!$B$3:$M$3,0),FALSE)</f>
        <v>#N/A</v>
      </c>
      <c r="AS302" s="4" t="e">
        <f>VLOOKUP($N302,[2]Cultures!$B$4:$M$283,MATCH(AS$1,[2]Cultures!$B$3:$M$3,0),FALSE)</f>
        <v>#N/A</v>
      </c>
      <c r="AT302" s="4"/>
      <c r="AU302" s="4">
        <f>IF(ISNUMBER(SEARCH(N302&amp;";",Calculations!$Q$19)),VLOOKUP(Skills!N302,Calculations!$Q$2:$T$16,4,FALSE),0)</f>
        <v>0</v>
      </c>
      <c r="AV302" s="4">
        <f>IF(ISNUMBER(SEARCH(N302&amp;";",Calculations!$Q$18)),1,0)</f>
        <v>0</v>
      </c>
      <c r="AW302" s="4"/>
      <c r="AX302" s="4">
        <f>VLOOKUP($N302,$N302:$CH302,MATCH('Character Sheet'!$BJ$3,Skills!$N$1:$CH$1,0),FALSE)</f>
        <v>0</v>
      </c>
    </row>
    <row r="303" spans="2:50" x14ac:dyDescent="0.25">
      <c r="B303" s="4" t="e">
        <f t="shared" si="153"/>
        <v>#N/A</v>
      </c>
      <c r="E303" s="4"/>
      <c r="F303" s="4">
        <f t="shared" si="138"/>
        <v>0</v>
      </c>
      <c r="G303" s="4"/>
      <c r="H303" s="4" t="e">
        <f t="shared" si="147"/>
        <v>#N/A</v>
      </c>
      <c r="I303" s="4" t="e">
        <f t="shared" ref="I303:I308" si="161">IF($J$245=1,1,IF($J$302=1,1,0))</f>
        <v>#N/A</v>
      </c>
      <c r="J303" s="4">
        <f t="shared" si="139"/>
        <v>0</v>
      </c>
      <c r="K303" s="4" t="e">
        <f>IF(ISNUMBER(SEARCH("Category",N303)),#REF!,AI303)</f>
        <v>#N/A</v>
      </c>
      <c r="M303" t="str">
        <f t="shared" ref="M303:M308" si="162">"Racial Lore, "&amp;N303</f>
        <v>Racial Lore, Alien</v>
      </c>
      <c r="N303" s="3" t="str">
        <f>'Character Sheet'!BLR67</f>
        <v>Alien</v>
      </c>
      <c r="O303" s="4" t="s">
        <v>798</v>
      </c>
      <c r="P303" s="4" t="s">
        <v>792</v>
      </c>
      <c r="Q303" s="4" t="e">
        <f t="shared" si="156"/>
        <v>#N/A</v>
      </c>
      <c r="R303" s="4">
        <f>IF(ISNUMBER(SEARCH("Category",N303)),"- -",IF(ISNUMBER(SEARCH("Skills",N303)),"- -",'Level-up'!C321))</f>
        <v>0</v>
      </c>
      <c r="S303" s="4" t="e">
        <f t="shared" si="140"/>
        <v>#N/A</v>
      </c>
      <c r="T303" s="4" t="e">
        <f t="shared" si="141"/>
        <v>#N/A</v>
      </c>
      <c r="U303" s="4">
        <f t="shared" ca="1" si="146"/>
        <v>3</v>
      </c>
      <c r="V303" s="4">
        <f t="shared" ref="V303:V310" si="163">IF(ISNUMBER(SEARCH("Category",N303)),"- -",IF(ISNUMBER(SEARCH("Skills",N303)),"- -",IF(AU303&gt;0,AU303,IF($AU$301&gt;0,$AU$301,$AU$244))))</f>
        <v>0</v>
      </c>
      <c r="W303" s="4">
        <f t="shared" si="155"/>
        <v>0</v>
      </c>
      <c r="X303" s="4">
        <f t="shared" si="154"/>
        <v>0</v>
      </c>
      <c r="Y303" s="4">
        <f t="shared" si="142"/>
        <v>0</v>
      </c>
      <c r="Z303" s="4">
        <f t="shared" si="143"/>
        <v>0</v>
      </c>
      <c r="AA303" s="4">
        <f t="shared" si="144"/>
        <v>0</v>
      </c>
      <c r="AB303" s="4">
        <f t="shared" si="145"/>
        <v>0</v>
      </c>
      <c r="AC303" s="8"/>
      <c r="AD303" s="4"/>
      <c r="AE303" s="4"/>
      <c r="AF303" s="4" t="e">
        <f t="shared" si="148"/>
        <v>#N/A</v>
      </c>
      <c r="AG303" s="4"/>
      <c r="AH303" s="4">
        <f>IFERROR(VLOOKUP(M303,Calculations!$AC$2:$AD$251,2,FALSE),0)</f>
        <v>0</v>
      </c>
      <c r="AI303" s="4" t="e">
        <f>VLOOKUP(N303,$N$2:$AS$620,MATCH('Character Creation'!$Z$12,Skills!$N$1:$AS$1,0),FALSE)</f>
        <v>#N/A</v>
      </c>
      <c r="AJ303" s="4" t="e">
        <f>VLOOKUP($N303,[2]Cultures!$B$4:$M$283,MATCH(AJ$1,[2]Cultures!$B$3:$M$3,0),FALSE)</f>
        <v>#N/A</v>
      </c>
      <c r="AK303" s="4" t="e">
        <f>VLOOKUP($N303,[2]Cultures!$B$4:$M$283,MATCH(AK$1,[2]Cultures!$B$3:$M$3,0),FALSE)</f>
        <v>#N/A</v>
      </c>
      <c r="AL303" s="4" t="e">
        <f>VLOOKUP($N303,[2]Cultures!$B$4:$M$283,MATCH(AL$1,[2]Cultures!$B$3:$M$3,0),FALSE)</f>
        <v>#N/A</v>
      </c>
      <c r="AM303" s="4" t="e">
        <f>VLOOKUP($N303,[2]Cultures!$B$4:$M$283,MATCH(AM$1,[2]Cultures!$B$3:$M$3,0),FALSE)</f>
        <v>#N/A</v>
      </c>
      <c r="AN303" s="4" t="e">
        <f>VLOOKUP($N303,[2]Cultures!$B$4:$M$283,MATCH(AN$1,[2]Cultures!$B$3:$M$3,0),FALSE)</f>
        <v>#N/A</v>
      </c>
      <c r="AO303" s="4" t="e">
        <f>VLOOKUP($N303,[2]Cultures!$B$4:$M$283,MATCH(AO$1,[2]Cultures!$B$3:$M$3,0),FALSE)</f>
        <v>#N/A</v>
      </c>
      <c r="AP303" s="4" t="e">
        <f>VLOOKUP($N303,[2]Cultures!$B$4:$M$283,MATCH(AP$1,[2]Cultures!$B$3:$M$3,0),FALSE)</f>
        <v>#N/A</v>
      </c>
      <c r="AQ303" s="4" t="e">
        <f>VLOOKUP($N303,[2]Cultures!$B$4:$M$283,MATCH(AQ$1,[2]Cultures!$B$3:$M$3,0),FALSE)</f>
        <v>#N/A</v>
      </c>
      <c r="AR303" s="4" t="e">
        <f>VLOOKUP($N303,[2]Cultures!$B$4:$M$283,MATCH(AR$1,[2]Cultures!$B$3:$M$3,0),FALSE)</f>
        <v>#N/A</v>
      </c>
      <c r="AS303" s="4" t="e">
        <f>VLOOKUP($N303,[2]Cultures!$B$4:$M$283,MATCH(AS$1,[2]Cultures!$B$3:$M$3,0),FALSE)</f>
        <v>#N/A</v>
      </c>
      <c r="AT303" s="4"/>
      <c r="AU303" s="4">
        <f>IF(ISNUMBER(SEARCH(N303&amp;";",Calculations!$Q$19)),VLOOKUP(Skills!N303,Calculations!$Q$2:$T$16,4,FALSE),0)</f>
        <v>0</v>
      </c>
      <c r="AV303" s="4">
        <f>IF(ISNUMBER(SEARCH(N303&amp;";",Calculations!$Q$18)),1,0)</f>
        <v>0</v>
      </c>
      <c r="AW303" s="4">
        <f t="shared" ref="AW303:AW308" si="164">IF($AV$244=1,1,IF($AV$301=1,1,AV303))</f>
        <v>0</v>
      </c>
      <c r="AX303" s="4">
        <f>VLOOKUP($N303,$N303:$CH303,MATCH('Character Sheet'!$BJ$3,Skills!$N$1:$CH$1,0),FALSE)</f>
        <v>0</v>
      </c>
    </row>
    <row r="304" spans="2:50" x14ac:dyDescent="0.25">
      <c r="B304" s="4" t="e">
        <f t="shared" si="153"/>
        <v>#N/A</v>
      </c>
      <c r="E304" s="4"/>
      <c r="F304" s="4">
        <f t="shared" si="138"/>
        <v>0</v>
      </c>
      <c r="G304" s="4"/>
      <c r="H304" s="4" t="e">
        <f t="shared" si="147"/>
        <v>#N/A</v>
      </c>
      <c r="I304" s="4" t="e">
        <f t="shared" si="161"/>
        <v>#N/A</v>
      </c>
      <c r="J304" s="4">
        <f t="shared" si="139"/>
        <v>0</v>
      </c>
      <c r="K304" s="4" t="e">
        <f t="shared" ref="K304:K335" si="165">IF(ISNUMBER(SEARCH("Category",N304)),K305,AI304)</f>
        <v>#N/A</v>
      </c>
      <c r="M304" t="str">
        <f t="shared" si="162"/>
        <v>Racial Lore, Human</v>
      </c>
      <c r="N304" s="3" t="str">
        <f>'Character Sheet'!BLR68</f>
        <v>Human</v>
      </c>
      <c r="O304" s="4" t="s">
        <v>798</v>
      </c>
      <c r="P304" s="4" t="s">
        <v>792</v>
      </c>
      <c r="Q304" s="4" t="e">
        <f t="shared" si="156"/>
        <v>#N/A</v>
      </c>
      <c r="R304" s="4">
        <f>IF(ISNUMBER(SEARCH("Category",N304)),"- -",IF(ISNUMBER(SEARCH("Skills",N304)),"- -",'Level-up'!C322))</f>
        <v>0</v>
      </c>
      <c r="S304" s="4" t="e">
        <f t="shared" si="140"/>
        <v>#N/A</v>
      </c>
      <c r="T304" s="4" t="e">
        <f t="shared" si="141"/>
        <v>#N/A</v>
      </c>
      <c r="U304" s="4">
        <f t="shared" ca="1" si="146"/>
        <v>3</v>
      </c>
      <c r="V304" s="4">
        <f t="shared" si="163"/>
        <v>0</v>
      </c>
      <c r="W304" s="4">
        <f t="shared" si="155"/>
        <v>0</v>
      </c>
      <c r="X304" s="4">
        <f t="shared" si="154"/>
        <v>0</v>
      </c>
      <c r="Y304" s="4">
        <f t="shared" si="142"/>
        <v>0</v>
      </c>
      <c r="Z304" s="4">
        <f t="shared" si="143"/>
        <v>0</v>
      </c>
      <c r="AA304" s="4">
        <f t="shared" si="144"/>
        <v>0</v>
      </c>
      <c r="AB304" s="4">
        <f t="shared" si="145"/>
        <v>0</v>
      </c>
      <c r="AC304" s="8"/>
      <c r="AD304" s="4"/>
      <c r="AE304" s="4"/>
      <c r="AF304" s="4" t="e">
        <f t="shared" si="148"/>
        <v>#N/A</v>
      </c>
      <c r="AG304" s="4"/>
      <c r="AH304" s="4">
        <f>IFERROR(VLOOKUP(M304,Calculations!$AC$2:$AD$251,2,FALSE),0)</f>
        <v>0</v>
      </c>
      <c r="AI304" s="4" t="e">
        <f>VLOOKUP(N304,$N$2:$AS$620,MATCH('Character Creation'!$Z$12,Skills!$N$1:$AS$1,0),FALSE)</f>
        <v>#N/A</v>
      </c>
      <c r="AJ304" s="4" t="e">
        <f>VLOOKUP($N304,[2]Cultures!$B$4:$M$283,MATCH(AJ$1,[2]Cultures!$B$3:$M$3,0),FALSE)</f>
        <v>#N/A</v>
      </c>
      <c r="AK304" s="4" t="e">
        <f>VLOOKUP($N304,[2]Cultures!$B$4:$M$283,MATCH(AK$1,[2]Cultures!$B$3:$M$3,0),FALSE)</f>
        <v>#N/A</v>
      </c>
      <c r="AL304" s="4" t="e">
        <f>VLOOKUP($N304,[2]Cultures!$B$4:$M$283,MATCH(AL$1,[2]Cultures!$B$3:$M$3,0),FALSE)</f>
        <v>#N/A</v>
      </c>
      <c r="AM304" s="4" t="e">
        <f>VLOOKUP($N304,[2]Cultures!$B$4:$M$283,MATCH(AM$1,[2]Cultures!$B$3:$M$3,0),FALSE)</f>
        <v>#N/A</v>
      </c>
      <c r="AN304" s="4" t="e">
        <f>VLOOKUP($N304,[2]Cultures!$B$4:$M$283,MATCH(AN$1,[2]Cultures!$B$3:$M$3,0),FALSE)</f>
        <v>#N/A</v>
      </c>
      <c r="AO304" s="4" t="e">
        <f>VLOOKUP($N304,[2]Cultures!$B$4:$M$283,MATCH(AO$1,[2]Cultures!$B$3:$M$3,0),FALSE)</f>
        <v>#N/A</v>
      </c>
      <c r="AP304" s="4" t="e">
        <f>VLOOKUP($N304,[2]Cultures!$B$4:$M$283,MATCH(AP$1,[2]Cultures!$B$3:$M$3,0),FALSE)</f>
        <v>#N/A</v>
      </c>
      <c r="AQ304" s="4" t="e">
        <f>VLOOKUP($N304,[2]Cultures!$B$4:$M$283,MATCH(AQ$1,[2]Cultures!$B$3:$M$3,0),FALSE)</f>
        <v>#N/A</v>
      </c>
      <c r="AR304" s="4" t="e">
        <f>VLOOKUP($N304,[2]Cultures!$B$4:$M$283,MATCH(AR$1,[2]Cultures!$B$3:$M$3,0),FALSE)</f>
        <v>#N/A</v>
      </c>
      <c r="AS304" s="4" t="e">
        <f>VLOOKUP($N304,[2]Cultures!$B$4:$M$283,MATCH(AS$1,[2]Cultures!$B$3:$M$3,0),FALSE)</f>
        <v>#N/A</v>
      </c>
      <c r="AT304" s="4"/>
      <c r="AU304" s="4">
        <f>IF(ISNUMBER(SEARCH(N304&amp;";",Calculations!$Q$19)),VLOOKUP(Skills!N304,Calculations!$Q$2:$T$16,4,FALSE),0)</f>
        <v>0</v>
      </c>
      <c r="AV304" s="4">
        <f>IF(ISNUMBER(SEARCH(N304&amp;";",Calculations!$Q$18)),1,0)</f>
        <v>0</v>
      </c>
      <c r="AW304" s="4">
        <f t="shared" si="164"/>
        <v>0</v>
      </c>
      <c r="AX304" s="4">
        <f>VLOOKUP($N304,$N304:$CH304,MATCH('Character Sheet'!$BJ$3,Skills!$N$1:$CH$1,0),FALSE)</f>
        <v>0</v>
      </c>
    </row>
    <row r="305" spans="2:50" x14ac:dyDescent="0.25">
      <c r="B305" s="4" t="e">
        <f t="shared" si="153"/>
        <v>#N/A</v>
      </c>
      <c r="E305" s="4"/>
      <c r="F305" s="4">
        <f t="shared" si="138"/>
        <v>0</v>
      </c>
      <c r="G305" s="4"/>
      <c r="H305" s="4" t="e">
        <f t="shared" si="147"/>
        <v>#N/A</v>
      </c>
      <c r="I305" s="4" t="e">
        <f t="shared" si="161"/>
        <v>#N/A</v>
      </c>
      <c r="J305" s="4">
        <f t="shared" si="139"/>
        <v>0</v>
      </c>
      <c r="K305" s="4" t="e">
        <f t="shared" si="165"/>
        <v>#N/A</v>
      </c>
      <c r="M305" t="str">
        <f t="shared" si="162"/>
        <v>Racial Lore, Sasquatch</v>
      </c>
      <c r="N305" s="3" t="str">
        <f>'Character Sheet'!BLR69</f>
        <v>Sasquatch</v>
      </c>
      <c r="O305" s="4" t="s">
        <v>798</v>
      </c>
      <c r="P305" s="4" t="s">
        <v>792</v>
      </c>
      <c r="Q305" s="4" t="e">
        <f t="shared" si="156"/>
        <v>#N/A</v>
      </c>
      <c r="R305" s="4">
        <f>IF(ISNUMBER(SEARCH("Category",N305)),"- -",IF(ISNUMBER(SEARCH("Skills",N305)),"- -",'Level-up'!C323))</f>
        <v>0</v>
      </c>
      <c r="S305" s="4" t="e">
        <f t="shared" si="140"/>
        <v>#N/A</v>
      </c>
      <c r="T305" s="4" t="e">
        <f t="shared" si="141"/>
        <v>#N/A</v>
      </c>
      <c r="U305" s="4">
        <f t="shared" ca="1" si="146"/>
        <v>3</v>
      </c>
      <c r="V305" s="4">
        <f t="shared" si="163"/>
        <v>0</v>
      </c>
      <c r="W305" s="4">
        <f t="shared" si="155"/>
        <v>0</v>
      </c>
      <c r="X305" s="4">
        <f t="shared" si="154"/>
        <v>0</v>
      </c>
      <c r="Y305" s="4">
        <f t="shared" si="142"/>
        <v>0</v>
      </c>
      <c r="Z305" s="4">
        <f t="shared" si="143"/>
        <v>0</v>
      </c>
      <c r="AA305" s="4">
        <f t="shared" si="144"/>
        <v>0</v>
      </c>
      <c r="AB305" s="4">
        <f t="shared" si="145"/>
        <v>0</v>
      </c>
      <c r="AC305" s="8"/>
      <c r="AD305" s="4"/>
      <c r="AE305" s="4"/>
      <c r="AF305" s="4" t="e">
        <f t="shared" si="148"/>
        <v>#N/A</v>
      </c>
      <c r="AG305" s="4"/>
      <c r="AH305" s="4">
        <f>IFERROR(VLOOKUP(M305,Calculations!$AC$2:$AD$251,2,FALSE),0)</f>
        <v>0</v>
      </c>
      <c r="AI305" s="4" t="e">
        <f>VLOOKUP(N305,$N$2:$AS$620,MATCH('Character Creation'!$Z$12,Skills!$N$1:$AS$1,0),FALSE)</f>
        <v>#N/A</v>
      </c>
      <c r="AJ305" s="4" t="e">
        <f>VLOOKUP($N305,[2]Cultures!$B$4:$M$283,MATCH(AJ$1,[2]Cultures!$B$3:$M$3,0),FALSE)</f>
        <v>#N/A</v>
      </c>
      <c r="AK305" s="4" t="e">
        <f>VLOOKUP($N305,[2]Cultures!$B$4:$M$283,MATCH(AK$1,[2]Cultures!$B$3:$M$3,0),FALSE)</f>
        <v>#N/A</v>
      </c>
      <c r="AL305" s="4" t="e">
        <f>VLOOKUP($N305,[2]Cultures!$B$4:$M$283,MATCH(AL$1,[2]Cultures!$B$3:$M$3,0),FALSE)</f>
        <v>#N/A</v>
      </c>
      <c r="AM305" s="4" t="e">
        <f>VLOOKUP($N305,[2]Cultures!$B$4:$M$283,MATCH(AM$1,[2]Cultures!$B$3:$M$3,0),FALSE)</f>
        <v>#N/A</v>
      </c>
      <c r="AN305" s="4" t="e">
        <f>VLOOKUP($N305,[2]Cultures!$B$4:$M$283,MATCH(AN$1,[2]Cultures!$B$3:$M$3,0),FALSE)</f>
        <v>#N/A</v>
      </c>
      <c r="AO305" s="4" t="e">
        <f>VLOOKUP($N305,[2]Cultures!$B$4:$M$283,MATCH(AO$1,[2]Cultures!$B$3:$M$3,0),FALSE)</f>
        <v>#N/A</v>
      </c>
      <c r="AP305" s="4" t="e">
        <f>VLOOKUP($N305,[2]Cultures!$B$4:$M$283,MATCH(AP$1,[2]Cultures!$B$3:$M$3,0),FALSE)</f>
        <v>#N/A</v>
      </c>
      <c r="AQ305" s="4" t="e">
        <f>VLOOKUP($N305,[2]Cultures!$B$4:$M$283,MATCH(AQ$1,[2]Cultures!$B$3:$M$3,0),FALSE)</f>
        <v>#N/A</v>
      </c>
      <c r="AR305" s="4" t="e">
        <f>VLOOKUP($N305,[2]Cultures!$B$4:$M$283,MATCH(AR$1,[2]Cultures!$B$3:$M$3,0),FALSE)</f>
        <v>#N/A</v>
      </c>
      <c r="AS305" s="4" t="e">
        <f>VLOOKUP($N305,[2]Cultures!$B$4:$M$283,MATCH(AS$1,[2]Cultures!$B$3:$M$3,0),FALSE)</f>
        <v>#N/A</v>
      </c>
      <c r="AT305" s="4"/>
      <c r="AU305" s="4">
        <f>IF(ISNUMBER(SEARCH(N305&amp;";",Calculations!$Q$19)),VLOOKUP(Skills!N305,Calculations!$Q$2:$T$16,4,FALSE),0)</f>
        <v>0</v>
      </c>
      <c r="AV305" s="4">
        <f>IF(ISNUMBER(SEARCH(N305&amp;";",Calculations!$Q$18)),1,0)</f>
        <v>0</v>
      </c>
      <c r="AW305" s="4">
        <f t="shared" si="164"/>
        <v>0</v>
      </c>
      <c r="AX305" s="4">
        <f>VLOOKUP($N305,$N305:$CH305,MATCH('Character Sheet'!$BJ$3,Skills!$N$1:$CH$1,0),FALSE)</f>
        <v>0</v>
      </c>
    </row>
    <row r="306" spans="2:50" x14ac:dyDescent="0.25">
      <c r="B306" s="4" t="e">
        <f t="shared" si="153"/>
        <v>#N/A</v>
      </c>
      <c r="E306" s="4"/>
      <c r="F306" s="4">
        <f t="shared" si="138"/>
        <v>0</v>
      </c>
      <c r="G306" s="4"/>
      <c r="H306" s="4" t="e">
        <f t="shared" si="147"/>
        <v>#N/A</v>
      </c>
      <c r="I306" s="4" t="e">
        <f t="shared" si="161"/>
        <v>#N/A</v>
      </c>
      <c r="J306" s="4">
        <f t="shared" si="139"/>
        <v>0</v>
      </c>
      <c r="K306" s="4" t="e">
        <f t="shared" si="165"/>
        <v>#N/A</v>
      </c>
      <c r="M306" t="str">
        <f t="shared" si="162"/>
        <v>Racial Lore, Vampire</v>
      </c>
      <c r="N306" s="3" t="str">
        <f>'Character Sheet'!BLR70</f>
        <v>Vampire</v>
      </c>
      <c r="O306" s="4" t="s">
        <v>798</v>
      </c>
      <c r="P306" s="4" t="s">
        <v>792</v>
      </c>
      <c r="Q306" s="4" t="e">
        <f t="shared" si="156"/>
        <v>#N/A</v>
      </c>
      <c r="R306" s="4">
        <f>IF(ISNUMBER(SEARCH("Category",N306)),"- -",IF(ISNUMBER(SEARCH("Skills",N306)),"- -",'Level-up'!C324))</f>
        <v>0</v>
      </c>
      <c r="S306" s="4" t="e">
        <f t="shared" si="140"/>
        <v>#N/A</v>
      </c>
      <c r="T306" s="4" t="e">
        <f t="shared" si="141"/>
        <v>#N/A</v>
      </c>
      <c r="U306" s="4">
        <f t="shared" ca="1" si="146"/>
        <v>3</v>
      </c>
      <c r="V306" s="4">
        <f t="shared" si="163"/>
        <v>0</v>
      </c>
      <c r="W306" s="4">
        <f t="shared" si="155"/>
        <v>0</v>
      </c>
      <c r="X306" s="4">
        <f t="shared" si="154"/>
        <v>0</v>
      </c>
      <c r="Y306" s="4">
        <f t="shared" si="142"/>
        <v>0</v>
      </c>
      <c r="Z306" s="4">
        <f t="shared" si="143"/>
        <v>0</v>
      </c>
      <c r="AA306" s="4">
        <f t="shared" si="144"/>
        <v>0</v>
      </c>
      <c r="AB306" s="4">
        <f t="shared" si="145"/>
        <v>0</v>
      </c>
      <c r="AC306" s="8"/>
      <c r="AD306" s="4"/>
      <c r="AE306" s="4"/>
      <c r="AF306" s="4" t="e">
        <f t="shared" si="148"/>
        <v>#N/A</v>
      </c>
      <c r="AG306" s="4"/>
      <c r="AH306" s="4">
        <f>IFERROR(VLOOKUP(M306,Calculations!$AC$2:$AD$251,2,FALSE),0)</f>
        <v>0</v>
      </c>
      <c r="AI306" s="4" t="e">
        <f>VLOOKUP(N306,$N$2:$AS$620,MATCH('Character Creation'!$Z$12,Skills!$N$1:$AS$1,0),FALSE)</f>
        <v>#N/A</v>
      </c>
      <c r="AJ306" s="4" t="e">
        <f>VLOOKUP($N306,[2]Cultures!$B$4:$M$283,MATCH(AJ$1,[2]Cultures!$B$3:$M$3,0),FALSE)</f>
        <v>#N/A</v>
      </c>
      <c r="AK306" s="4" t="e">
        <f>VLOOKUP($N306,[2]Cultures!$B$4:$M$283,MATCH(AK$1,[2]Cultures!$B$3:$M$3,0),FALSE)</f>
        <v>#N/A</v>
      </c>
      <c r="AL306" s="4" t="e">
        <f>VLOOKUP($N306,[2]Cultures!$B$4:$M$283,MATCH(AL$1,[2]Cultures!$B$3:$M$3,0),FALSE)</f>
        <v>#N/A</v>
      </c>
      <c r="AM306" s="4" t="e">
        <f>VLOOKUP($N306,[2]Cultures!$B$4:$M$283,MATCH(AM$1,[2]Cultures!$B$3:$M$3,0),FALSE)</f>
        <v>#N/A</v>
      </c>
      <c r="AN306" s="4" t="e">
        <f>VLOOKUP($N306,[2]Cultures!$B$4:$M$283,MATCH(AN$1,[2]Cultures!$B$3:$M$3,0),FALSE)</f>
        <v>#N/A</v>
      </c>
      <c r="AO306" s="4" t="e">
        <f>VLOOKUP($N306,[2]Cultures!$B$4:$M$283,MATCH(AO$1,[2]Cultures!$B$3:$M$3,0),FALSE)</f>
        <v>#N/A</v>
      </c>
      <c r="AP306" s="4" t="e">
        <f>VLOOKUP($N306,[2]Cultures!$B$4:$M$283,MATCH(AP$1,[2]Cultures!$B$3:$M$3,0),FALSE)</f>
        <v>#N/A</v>
      </c>
      <c r="AQ306" s="4" t="e">
        <f>VLOOKUP($N306,[2]Cultures!$B$4:$M$283,MATCH(AQ$1,[2]Cultures!$B$3:$M$3,0),FALSE)</f>
        <v>#N/A</v>
      </c>
      <c r="AR306" s="4" t="e">
        <f>VLOOKUP($N306,[2]Cultures!$B$4:$M$283,MATCH(AR$1,[2]Cultures!$B$3:$M$3,0),FALSE)</f>
        <v>#N/A</v>
      </c>
      <c r="AS306" s="4" t="e">
        <f>VLOOKUP($N306,[2]Cultures!$B$4:$M$283,MATCH(AS$1,[2]Cultures!$B$3:$M$3,0),FALSE)</f>
        <v>#N/A</v>
      </c>
      <c r="AT306" s="4"/>
      <c r="AU306" s="4">
        <f>IF(ISNUMBER(SEARCH(N306&amp;";",Calculations!$Q$19)),VLOOKUP(Skills!N306,Calculations!$Q$2:$T$16,4,FALSE),0)</f>
        <v>0</v>
      </c>
      <c r="AV306" s="4">
        <f>IF(ISNUMBER(SEARCH(N306&amp;";",Calculations!$Q$18)),1,0)</f>
        <v>0</v>
      </c>
      <c r="AW306" s="4">
        <f t="shared" si="164"/>
        <v>0</v>
      </c>
      <c r="AX306" s="4">
        <f>VLOOKUP($N306,$N306:$CH306,MATCH('Character Sheet'!$BJ$3,Skills!$N$1:$CH$1,0),FALSE)</f>
        <v>0</v>
      </c>
    </row>
    <row r="307" spans="2:50" x14ac:dyDescent="0.25">
      <c r="B307" s="4" t="e">
        <f t="shared" si="153"/>
        <v>#N/A</v>
      </c>
      <c r="E307" s="4"/>
      <c r="F307" s="4">
        <f t="shared" si="138"/>
        <v>0</v>
      </c>
      <c r="G307" s="4"/>
      <c r="H307" s="4" t="e">
        <f t="shared" si="147"/>
        <v>#N/A</v>
      </c>
      <c r="I307" s="4" t="e">
        <f t="shared" si="161"/>
        <v>#N/A</v>
      </c>
      <c r="J307" s="4">
        <f t="shared" si="139"/>
        <v>0</v>
      </c>
      <c r="K307" s="4" t="e">
        <f t="shared" si="165"/>
        <v>#N/A</v>
      </c>
      <c r="M307" t="str">
        <f t="shared" si="162"/>
        <v>Racial Lore, Werewolf</v>
      </c>
      <c r="N307" s="3" t="str">
        <f>'Character Sheet'!BLR71</f>
        <v>Werewolf</v>
      </c>
      <c r="O307" s="4" t="s">
        <v>798</v>
      </c>
      <c r="P307" s="4" t="s">
        <v>792</v>
      </c>
      <c r="Q307" s="4" t="e">
        <f t="shared" si="156"/>
        <v>#N/A</v>
      </c>
      <c r="R307" s="4">
        <f>IF(ISNUMBER(SEARCH("Category",N307)),"- -",IF(ISNUMBER(SEARCH("Skills",N307)),"- -",'Level-up'!C325))</f>
        <v>0</v>
      </c>
      <c r="S307" s="4" t="e">
        <f t="shared" si="140"/>
        <v>#N/A</v>
      </c>
      <c r="T307" s="4" t="e">
        <f t="shared" si="141"/>
        <v>#N/A</v>
      </c>
      <c r="U307" s="4">
        <f t="shared" ca="1" si="146"/>
        <v>3</v>
      </c>
      <c r="V307" s="4">
        <f t="shared" si="163"/>
        <v>0</v>
      </c>
      <c r="W307" s="4">
        <f t="shared" si="155"/>
        <v>0</v>
      </c>
      <c r="X307" s="4">
        <f t="shared" si="154"/>
        <v>0</v>
      </c>
      <c r="Y307" s="4">
        <f t="shared" si="142"/>
        <v>0</v>
      </c>
      <c r="Z307" s="4">
        <f t="shared" si="143"/>
        <v>0</v>
      </c>
      <c r="AA307" s="4">
        <f t="shared" si="144"/>
        <v>0</v>
      </c>
      <c r="AB307" s="4">
        <f t="shared" si="145"/>
        <v>0</v>
      </c>
      <c r="AC307" s="8"/>
      <c r="AD307" s="4"/>
      <c r="AE307" s="4"/>
      <c r="AF307" s="4" t="e">
        <f t="shared" si="148"/>
        <v>#N/A</v>
      </c>
      <c r="AG307" s="4"/>
      <c r="AH307" s="4">
        <f>IFERROR(VLOOKUP(M307,Calculations!$AC$2:$AD$251,2,FALSE),0)</f>
        <v>0</v>
      </c>
      <c r="AI307" s="4" t="e">
        <f>VLOOKUP(N307,$N$2:$AS$620,MATCH('Character Creation'!$Z$12,Skills!$N$1:$AS$1,0),FALSE)</f>
        <v>#N/A</v>
      </c>
      <c r="AJ307" s="4" t="e">
        <f>VLOOKUP($N307,[2]Cultures!$B$4:$M$283,MATCH(AJ$1,[2]Cultures!$B$3:$M$3,0),FALSE)</f>
        <v>#N/A</v>
      </c>
      <c r="AK307" s="4" t="e">
        <f>VLOOKUP($N307,[2]Cultures!$B$4:$M$283,MATCH(AK$1,[2]Cultures!$B$3:$M$3,0),FALSE)</f>
        <v>#N/A</v>
      </c>
      <c r="AL307" s="4" t="e">
        <f>VLOOKUP($N307,[2]Cultures!$B$4:$M$283,MATCH(AL$1,[2]Cultures!$B$3:$M$3,0),FALSE)</f>
        <v>#N/A</v>
      </c>
      <c r="AM307" s="4" t="e">
        <f>VLOOKUP($N307,[2]Cultures!$B$4:$M$283,MATCH(AM$1,[2]Cultures!$B$3:$M$3,0),FALSE)</f>
        <v>#N/A</v>
      </c>
      <c r="AN307" s="4" t="e">
        <f>VLOOKUP($N307,[2]Cultures!$B$4:$M$283,MATCH(AN$1,[2]Cultures!$B$3:$M$3,0),FALSE)</f>
        <v>#N/A</v>
      </c>
      <c r="AO307" s="4" t="e">
        <f>VLOOKUP($N307,[2]Cultures!$B$4:$M$283,MATCH(AO$1,[2]Cultures!$B$3:$M$3,0),FALSE)</f>
        <v>#N/A</v>
      </c>
      <c r="AP307" s="4" t="e">
        <f>VLOOKUP($N307,[2]Cultures!$B$4:$M$283,MATCH(AP$1,[2]Cultures!$B$3:$M$3,0),FALSE)</f>
        <v>#N/A</v>
      </c>
      <c r="AQ307" s="4" t="e">
        <f>VLOOKUP($N307,[2]Cultures!$B$4:$M$283,MATCH(AQ$1,[2]Cultures!$B$3:$M$3,0),FALSE)</f>
        <v>#N/A</v>
      </c>
      <c r="AR307" s="4" t="e">
        <f>VLOOKUP($N307,[2]Cultures!$B$4:$M$283,MATCH(AR$1,[2]Cultures!$B$3:$M$3,0),FALSE)</f>
        <v>#N/A</v>
      </c>
      <c r="AS307" s="4" t="e">
        <f>VLOOKUP($N307,[2]Cultures!$B$4:$M$283,MATCH(AS$1,[2]Cultures!$B$3:$M$3,0),FALSE)</f>
        <v>#N/A</v>
      </c>
      <c r="AT307" s="4"/>
      <c r="AU307" s="4">
        <f>IF(ISNUMBER(SEARCH(N307&amp;";",Calculations!$Q$19)),VLOOKUP(Skills!N307,Calculations!$Q$2:$T$16,4,FALSE),0)</f>
        <v>0</v>
      </c>
      <c r="AV307" s="4">
        <f>IF(ISNUMBER(SEARCH(N307&amp;";",Calculations!$Q$18)),1,0)</f>
        <v>0</v>
      </c>
      <c r="AW307" s="4">
        <f t="shared" si="164"/>
        <v>0</v>
      </c>
      <c r="AX307" s="4">
        <f>VLOOKUP($N307,$N307:$CH307,MATCH('Character Sheet'!$BJ$3,Skills!$N$1:$CH$1,0),FALSE)</f>
        <v>0</v>
      </c>
    </row>
    <row r="308" spans="2:50" x14ac:dyDescent="0.25">
      <c r="B308" s="4" t="e">
        <f t="shared" si="153"/>
        <v>#N/A</v>
      </c>
      <c r="E308" s="4"/>
      <c r="F308" s="4">
        <f t="shared" si="138"/>
        <v>0</v>
      </c>
      <c r="G308" s="4"/>
      <c r="H308" s="4" t="e">
        <f t="shared" si="147"/>
        <v>#N/A</v>
      </c>
      <c r="I308" s="4" t="e">
        <f t="shared" si="161"/>
        <v>#N/A</v>
      </c>
      <c r="J308" s="4">
        <f t="shared" si="139"/>
        <v>0</v>
      </c>
      <c r="K308" s="4" t="e">
        <f t="shared" si="165"/>
        <v>#N/A</v>
      </c>
      <c r="M308" t="str">
        <f t="shared" si="162"/>
        <v>Racial Lore, Witch</v>
      </c>
      <c r="N308" s="3" t="str">
        <f>'Character Sheet'!BLR72</f>
        <v>Witch</v>
      </c>
      <c r="O308" s="4" t="s">
        <v>798</v>
      </c>
      <c r="P308" s="4" t="s">
        <v>792</v>
      </c>
      <c r="Q308" s="4" t="e">
        <f t="shared" si="156"/>
        <v>#N/A</v>
      </c>
      <c r="R308" s="4">
        <f>IF(ISNUMBER(SEARCH("Category",N308)),"- -",IF(ISNUMBER(SEARCH("Skills",N308)),"- -",'Level-up'!C326))</f>
        <v>0</v>
      </c>
      <c r="S308" s="4" t="e">
        <f t="shared" si="140"/>
        <v>#N/A</v>
      </c>
      <c r="T308" s="4" t="e">
        <f t="shared" si="141"/>
        <v>#N/A</v>
      </c>
      <c r="U308" s="4">
        <f t="shared" ca="1" si="146"/>
        <v>3</v>
      </c>
      <c r="V308" s="4">
        <f t="shared" si="163"/>
        <v>0</v>
      </c>
      <c r="W308" s="4">
        <f t="shared" si="155"/>
        <v>0</v>
      </c>
      <c r="X308" s="4">
        <f t="shared" si="154"/>
        <v>0</v>
      </c>
      <c r="Y308" s="4">
        <f t="shared" si="142"/>
        <v>0</v>
      </c>
      <c r="Z308" s="4">
        <f t="shared" si="143"/>
        <v>0</v>
      </c>
      <c r="AA308" s="4">
        <f t="shared" si="144"/>
        <v>0</v>
      </c>
      <c r="AB308" s="4">
        <f t="shared" si="145"/>
        <v>0</v>
      </c>
      <c r="AC308" s="8"/>
      <c r="AD308" s="4"/>
      <c r="AE308" s="4"/>
      <c r="AF308" s="4" t="e">
        <f t="shared" si="148"/>
        <v>#N/A</v>
      </c>
      <c r="AG308" s="4"/>
      <c r="AH308" s="4">
        <f>IFERROR(VLOOKUP(M308,Calculations!$AC$2:$AD$251,2,FALSE),0)</f>
        <v>0</v>
      </c>
      <c r="AI308" s="4" t="e">
        <f>VLOOKUP(N308,$N$2:$AS$620,MATCH('Character Creation'!$Z$12,Skills!$N$1:$AS$1,0),FALSE)</f>
        <v>#N/A</v>
      </c>
      <c r="AJ308" s="4" t="e">
        <f>VLOOKUP($N308,[2]Cultures!$B$4:$M$283,MATCH(AJ$1,[2]Cultures!$B$3:$M$3,0),FALSE)</f>
        <v>#N/A</v>
      </c>
      <c r="AK308" s="4" t="e">
        <f>VLOOKUP($N308,[2]Cultures!$B$4:$M$283,MATCH(AK$1,[2]Cultures!$B$3:$M$3,0),FALSE)</f>
        <v>#N/A</v>
      </c>
      <c r="AL308" s="4" t="e">
        <f>VLOOKUP($N308,[2]Cultures!$B$4:$M$283,MATCH(AL$1,[2]Cultures!$B$3:$M$3,0),FALSE)</f>
        <v>#N/A</v>
      </c>
      <c r="AM308" s="4" t="e">
        <f>VLOOKUP($N308,[2]Cultures!$B$4:$M$283,MATCH(AM$1,[2]Cultures!$B$3:$M$3,0),FALSE)</f>
        <v>#N/A</v>
      </c>
      <c r="AN308" s="4" t="e">
        <f>VLOOKUP($N308,[2]Cultures!$B$4:$M$283,MATCH(AN$1,[2]Cultures!$B$3:$M$3,0),FALSE)</f>
        <v>#N/A</v>
      </c>
      <c r="AO308" s="4" t="e">
        <f>VLOOKUP($N308,[2]Cultures!$B$4:$M$283,MATCH(AO$1,[2]Cultures!$B$3:$M$3,0),FALSE)</f>
        <v>#N/A</v>
      </c>
      <c r="AP308" s="4" t="e">
        <f>VLOOKUP($N308,[2]Cultures!$B$4:$M$283,MATCH(AP$1,[2]Cultures!$B$3:$M$3,0),FALSE)</f>
        <v>#N/A</v>
      </c>
      <c r="AQ308" s="4" t="e">
        <f>VLOOKUP($N308,[2]Cultures!$B$4:$M$283,MATCH(AQ$1,[2]Cultures!$B$3:$M$3,0),FALSE)</f>
        <v>#N/A</v>
      </c>
      <c r="AR308" s="4" t="e">
        <f>VLOOKUP($N308,[2]Cultures!$B$4:$M$283,MATCH(AR$1,[2]Cultures!$B$3:$M$3,0),FALSE)</f>
        <v>#N/A</v>
      </c>
      <c r="AS308" s="4" t="e">
        <f>VLOOKUP($N308,[2]Cultures!$B$4:$M$283,MATCH(AS$1,[2]Cultures!$B$3:$M$3,0),FALSE)</f>
        <v>#N/A</v>
      </c>
      <c r="AT308" s="4"/>
      <c r="AU308" s="4">
        <f>IF(ISNUMBER(SEARCH(N308&amp;";",Calculations!$Q$19)),VLOOKUP(Skills!N308,Calculations!$Q$2:$T$16,4,FALSE),0)</f>
        <v>0</v>
      </c>
      <c r="AV308" s="4">
        <f>IF(ISNUMBER(SEARCH(N308&amp;";",Calculations!$Q$18)),1,0)</f>
        <v>0</v>
      </c>
      <c r="AW308" s="4">
        <f t="shared" si="164"/>
        <v>0</v>
      </c>
      <c r="AX308" s="4">
        <f>VLOOKUP($N308,$N308:$CH308,MATCH('Character Sheet'!$BJ$3,Skills!$N$1:$CH$1,0),FALSE)</f>
        <v>0</v>
      </c>
    </row>
    <row r="309" spans="2:50" x14ac:dyDescent="0.25">
      <c r="B309" s="4" t="e">
        <f t="shared" si="153"/>
        <v>#N/A</v>
      </c>
      <c r="E309" s="4"/>
      <c r="F309" s="4">
        <f t="shared" si="138"/>
        <v>0</v>
      </c>
      <c r="G309" s="4"/>
      <c r="H309" s="4" t="e">
        <f t="shared" si="147"/>
        <v>#N/A</v>
      </c>
      <c r="I309" s="4" t="e">
        <f>IF($J$245=1,1,IF($J$310=1,1,0))</f>
        <v>#N/A</v>
      </c>
      <c r="J309" s="4">
        <f t="shared" si="139"/>
        <v>0</v>
      </c>
      <c r="K309" s="4" t="e">
        <f t="shared" si="165"/>
        <v>#N/A</v>
      </c>
      <c r="N309" s="3" t="s">
        <v>688</v>
      </c>
      <c r="O309" s="6" t="s">
        <v>782</v>
      </c>
      <c r="P309" s="6" t="s">
        <v>782</v>
      </c>
      <c r="Q309" s="4" t="str">
        <f t="shared" si="156"/>
        <v>- -</v>
      </c>
      <c r="R309" s="4" t="str">
        <f>IF(ISNUMBER(SEARCH("Category",N309)),"- -",IF(ISNUMBER(SEARCH("Skills",N309)),"- -",'Level-up'!C327))</f>
        <v>- -</v>
      </c>
      <c r="S309" s="4" t="str">
        <f t="shared" si="140"/>
        <v>- -</v>
      </c>
      <c r="T309" s="4" t="str">
        <f t="shared" si="141"/>
        <v>- -</v>
      </c>
      <c r="U309" s="4" t="str">
        <f t="shared" ca="1" si="146"/>
        <v>- -</v>
      </c>
      <c r="V309" s="4" t="str">
        <f t="shared" si="163"/>
        <v>- -</v>
      </c>
      <c r="W309" s="4" t="str">
        <f t="shared" si="155"/>
        <v>- -</v>
      </c>
      <c r="X309" s="4" t="str">
        <f t="shared" si="154"/>
        <v>- -</v>
      </c>
      <c r="Y309" s="4" t="str">
        <f t="shared" si="142"/>
        <v>- -</v>
      </c>
      <c r="Z309" s="4" t="str">
        <f t="shared" si="143"/>
        <v>- -</v>
      </c>
      <c r="AA309" s="4" t="str">
        <f t="shared" si="144"/>
        <v>- -</v>
      </c>
      <c r="AB309" s="4" t="str">
        <f t="shared" si="145"/>
        <v>- -</v>
      </c>
      <c r="AC309" s="8"/>
      <c r="AD309" s="4"/>
      <c r="AE309" s="4"/>
      <c r="AF309" s="4" t="str">
        <f t="shared" si="148"/>
        <v>- -</v>
      </c>
      <c r="AG309" s="4"/>
      <c r="AH309" s="4">
        <f>IFERROR(VLOOKUP(M309,Calculations!$AC$2:$AD$251,2,FALSE),0)</f>
        <v>0</v>
      </c>
      <c r="AI309" s="4" t="e">
        <f>VLOOKUP(N309,$N$2:$AS$620,MATCH('Character Creation'!$Z$12,Skills!$N$1:$AS$1,0),FALSE)</f>
        <v>#N/A</v>
      </c>
      <c r="AJ309" s="4" t="e">
        <f>VLOOKUP($N309,[2]Cultures!$B$4:$M$283,MATCH(AJ$1,[2]Cultures!$B$3:$M$3,0),FALSE)</f>
        <v>#N/A</v>
      </c>
      <c r="AK309" s="4" t="e">
        <f>VLOOKUP($N309,[2]Cultures!$B$4:$M$283,MATCH(AK$1,[2]Cultures!$B$3:$M$3,0),FALSE)</f>
        <v>#N/A</v>
      </c>
      <c r="AL309" s="4" t="e">
        <f>VLOOKUP($N309,[2]Cultures!$B$4:$M$283,MATCH(AL$1,[2]Cultures!$B$3:$M$3,0),FALSE)</f>
        <v>#N/A</v>
      </c>
      <c r="AM309" s="4" t="e">
        <f>VLOOKUP($N309,[2]Cultures!$B$4:$M$283,MATCH(AM$1,[2]Cultures!$B$3:$M$3,0),FALSE)</f>
        <v>#N/A</v>
      </c>
      <c r="AN309" s="4" t="e">
        <f>VLOOKUP($N309,[2]Cultures!$B$4:$M$283,MATCH(AN$1,[2]Cultures!$B$3:$M$3,0),FALSE)</f>
        <v>#N/A</v>
      </c>
      <c r="AO309" s="4" t="e">
        <f>VLOOKUP($N309,[2]Cultures!$B$4:$M$283,MATCH(AO$1,[2]Cultures!$B$3:$M$3,0),FALSE)</f>
        <v>#N/A</v>
      </c>
      <c r="AP309" s="4" t="e">
        <f>VLOOKUP($N309,[2]Cultures!$B$4:$M$283,MATCH(AP$1,[2]Cultures!$B$3:$M$3,0),FALSE)</f>
        <v>#N/A</v>
      </c>
      <c r="AQ309" s="4" t="e">
        <f>VLOOKUP($N309,[2]Cultures!$B$4:$M$283,MATCH(AQ$1,[2]Cultures!$B$3:$M$3,0),FALSE)</f>
        <v>#N/A</v>
      </c>
      <c r="AR309" s="4" t="e">
        <f>VLOOKUP($N309,[2]Cultures!$B$4:$M$283,MATCH(AR$1,[2]Cultures!$B$3:$M$3,0),FALSE)</f>
        <v>#N/A</v>
      </c>
      <c r="AS309" s="4" t="e">
        <f>VLOOKUP($N309,[2]Cultures!$B$4:$M$283,MATCH(AS$1,[2]Cultures!$B$3:$M$3,0),FALSE)</f>
        <v>#N/A</v>
      </c>
      <c r="AT309" s="4"/>
      <c r="AU309" s="4">
        <f>IF(ISNUMBER(SEARCH(N309&amp;";",Calculations!$Q$19)),VLOOKUP(Skills!N309,Calculations!$Q$2:$T$16,4,FALSE),0)</f>
        <v>0</v>
      </c>
      <c r="AV309" s="4">
        <f>IF(ISNUMBER(SEARCH(N309&amp;";",Calculations!$Q$18)),1,0)</f>
        <v>0</v>
      </c>
      <c r="AW309" s="4"/>
      <c r="AX309" s="4">
        <f>VLOOKUP($N309,$N309:$CH309,MATCH('Character Sheet'!$BJ$3,Skills!$N$1:$CH$1,0),FALSE)</f>
        <v>0</v>
      </c>
    </row>
    <row r="310" spans="2:50" x14ac:dyDescent="0.25">
      <c r="B310" s="4" t="e">
        <f t="shared" si="153"/>
        <v>#N/A</v>
      </c>
      <c r="E310" s="4"/>
      <c r="F310" s="4">
        <f t="shared" si="138"/>
        <v>0</v>
      </c>
      <c r="G310" s="4"/>
      <c r="H310" s="4" t="e">
        <f t="shared" si="147"/>
        <v>#N/A</v>
      </c>
      <c r="I310" s="4">
        <v>0</v>
      </c>
      <c r="J310" s="4" t="e">
        <f t="shared" si="139"/>
        <v>#N/A</v>
      </c>
      <c r="K310" s="4" t="e">
        <f t="shared" si="165"/>
        <v>#N/A</v>
      </c>
      <c r="N310" s="3" t="s">
        <v>689</v>
      </c>
      <c r="O310" s="6" t="s">
        <v>782</v>
      </c>
      <c r="P310" s="6" t="s">
        <v>782</v>
      </c>
      <c r="Q310" s="4" t="str">
        <f t="shared" si="156"/>
        <v>- -</v>
      </c>
      <c r="R310" s="4" t="str">
        <f>IF(ISNUMBER(SEARCH("Category",N310)),"- -",IF(ISNUMBER(SEARCH("Skills",N310)),"- -",'Level-up'!C328))</f>
        <v>- -</v>
      </c>
      <c r="S310" s="4" t="str">
        <f t="shared" si="140"/>
        <v>- -</v>
      </c>
      <c r="T310" s="4" t="str">
        <f t="shared" si="141"/>
        <v>- -</v>
      </c>
      <c r="U310" s="4" t="str">
        <f t="shared" ca="1" si="146"/>
        <v>- -</v>
      </c>
      <c r="V310" s="4" t="str">
        <f t="shared" si="163"/>
        <v>- -</v>
      </c>
      <c r="W310" s="4" t="str">
        <f t="shared" si="155"/>
        <v>- -</v>
      </c>
      <c r="X310" s="4" t="str">
        <f t="shared" si="154"/>
        <v>- -</v>
      </c>
      <c r="Y310" s="4" t="str">
        <f t="shared" si="142"/>
        <v>- -</v>
      </c>
      <c r="Z310" s="4" t="str">
        <f t="shared" si="143"/>
        <v>- -</v>
      </c>
      <c r="AA310" s="4" t="str">
        <f t="shared" si="144"/>
        <v>- -</v>
      </c>
      <c r="AB310" s="4" t="str">
        <f t="shared" si="145"/>
        <v>- -</v>
      </c>
      <c r="AC310" s="8"/>
      <c r="AD310" s="4"/>
      <c r="AE310" s="4"/>
      <c r="AF310" s="4" t="str">
        <f t="shared" si="148"/>
        <v>- -</v>
      </c>
      <c r="AG310" s="4"/>
      <c r="AH310" s="4">
        <f>IFERROR(VLOOKUP(M310,Calculations!$AC$2:$AD$251,2,FALSE),0)</f>
        <v>0</v>
      </c>
      <c r="AI310" s="4" t="e">
        <f>VLOOKUP(N310,$N$2:$AS$620,MATCH('Character Creation'!$Z$12,Skills!$N$1:$AS$1,0),FALSE)</f>
        <v>#N/A</v>
      </c>
      <c r="AJ310" s="4" t="e">
        <f>VLOOKUP($N310,[2]Cultures!$B$4:$M$283,MATCH(AJ$1,[2]Cultures!$B$3:$M$3,0),FALSE)</f>
        <v>#N/A</v>
      </c>
      <c r="AK310" s="4" t="e">
        <f>VLOOKUP($N310,[2]Cultures!$B$4:$M$283,MATCH(AK$1,[2]Cultures!$B$3:$M$3,0),FALSE)</f>
        <v>#N/A</v>
      </c>
      <c r="AL310" s="4" t="e">
        <f>VLOOKUP($N310,[2]Cultures!$B$4:$M$283,MATCH(AL$1,[2]Cultures!$B$3:$M$3,0),FALSE)</f>
        <v>#N/A</v>
      </c>
      <c r="AM310" s="4" t="e">
        <f>VLOOKUP($N310,[2]Cultures!$B$4:$M$283,MATCH(AM$1,[2]Cultures!$B$3:$M$3,0),FALSE)</f>
        <v>#N/A</v>
      </c>
      <c r="AN310" s="4" t="e">
        <f>VLOOKUP($N310,[2]Cultures!$B$4:$M$283,MATCH(AN$1,[2]Cultures!$B$3:$M$3,0),FALSE)</f>
        <v>#N/A</v>
      </c>
      <c r="AO310" s="4" t="e">
        <f>VLOOKUP($N310,[2]Cultures!$B$4:$M$283,MATCH(AO$1,[2]Cultures!$B$3:$M$3,0),FALSE)</f>
        <v>#N/A</v>
      </c>
      <c r="AP310" s="4" t="e">
        <f>VLOOKUP($N310,[2]Cultures!$B$4:$M$283,MATCH(AP$1,[2]Cultures!$B$3:$M$3,0),FALSE)</f>
        <v>#N/A</v>
      </c>
      <c r="AQ310" s="4" t="e">
        <f>VLOOKUP($N310,[2]Cultures!$B$4:$M$283,MATCH(AQ$1,[2]Cultures!$B$3:$M$3,0),FALSE)</f>
        <v>#N/A</v>
      </c>
      <c r="AR310" s="4" t="e">
        <f>VLOOKUP($N310,[2]Cultures!$B$4:$M$283,MATCH(AR$1,[2]Cultures!$B$3:$M$3,0),FALSE)</f>
        <v>#N/A</v>
      </c>
      <c r="AS310" s="4" t="e">
        <f>VLOOKUP($N310,[2]Cultures!$B$4:$M$283,MATCH(AS$1,[2]Cultures!$B$3:$M$3,0),FALSE)</f>
        <v>#N/A</v>
      </c>
      <c r="AT310" s="4"/>
      <c r="AU310" s="4">
        <f>IF(ISNUMBER(SEARCH(N310&amp;";",Calculations!$Q$19)),VLOOKUP(Skills!N310,Calculations!$Q$2:$T$16,4,FALSE),0)</f>
        <v>0</v>
      </c>
      <c r="AV310" s="4">
        <f>IF(ISNUMBER(SEARCH(N310&amp;";",Calculations!$Q$18)),1,0)</f>
        <v>0</v>
      </c>
      <c r="AW310" s="4"/>
      <c r="AX310" s="4">
        <f>VLOOKUP($N310,$N310:$CH310,MATCH('Character Sheet'!$BJ$3,Skills!$N$1:$CH$1,0),FALSE)</f>
        <v>0</v>
      </c>
    </row>
    <row r="311" spans="2:50" x14ac:dyDescent="0.25">
      <c r="B311" s="4" t="e">
        <f t="shared" si="153"/>
        <v>#N/A</v>
      </c>
      <c r="E311" s="4"/>
      <c r="F311" s="4">
        <f t="shared" si="138"/>
        <v>0</v>
      </c>
      <c r="G311" s="4"/>
      <c r="H311" s="4" t="e">
        <f t="shared" si="147"/>
        <v>#N/A</v>
      </c>
      <c r="I311" s="4" t="e">
        <f t="shared" ref="I311:I316" si="166">IF($J$245=1,1,IF($J$310=1,1,0))</f>
        <v>#N/A</v>
      </c>
      <c r="J311" s="4">
        <f t="shared" si="139"/>
        <v>0</v>
      </c>
      <c r="K311" s="4" t="e">
        <f t="shared" si="165"/>
        <v>#N/A</v>
      </c>
      <c r="M311" t="str">
        <f t="shared" ref="M311:M316" si="167">"Region Lore, "&amp;N311</f>
        <v>Region Lore, Region 1</v>
      </c>
      <c r="N311" s="3" t="str">
        <f>'Character Sheet'!BLR76</f>
        <v>Region 1</v>
      </c>
      <c r="O311" s="4" t="s">
        <v>798</v>
      </c>
      <c r="P311" s="4" t="s">
        <v>792</v>
      </c>
      <c r="Q311" s="4" t="e">
        <f t="shared" si="156"/>
        <v>#N/A</v>
      </c>
      <c r="R311" s="4">
        <f>IF(ISNUMBER(SEARCH("Category",N311)),"- -",IF(ISNUMBER(SEARCH("Skills",N311)),"- -",'Level-up'!C329))</f>
        <v>0</v>
      </c>
      <c r="S311" s="4" t="e">
        <f t="shared" si="140"/>
        <v>#N/A</v>
      </c>
      <c r="T311" s="4" t="e">
        <f t="shared" si="141"/>
        <v>#N/A</v>
      </c>
      <c r="U311" s="4">
        <f t="shared" ca="1" si="146"/>
        <v>3</v>
      </c>
      <c r="V311" s="4">
        <f t="shared" ref="V311:V318" si="168">IF(ISNUMBER(SEARCH("Category",N311)),"- -",IF(ISNUMBER(SEARCH("Skills",N311)),"- -",IF(AU311&gt;0,AU311,IF($AU$309&gt;0,$AU$309,$AU$244))))</f>
        <v>0</v>
      </c>
      <c r="W311" s="4">
        <f t="shared" si="155"/>
        <v>0</v>
      </c>
      <c r="X311" s="4">
        <f t="shared" si="154"/>
        <v>0</v>
      </c>
      <c r="Y311" s="4">
        <f t="shared" si="142"/>
        <v>0</v>
      </c>
      <c r="Z311" s="4">
        <f t="shared" si="143"/>
        <v>0</v>
      </c>
      <c r="AA311" s="4">
        <f t="shared" si="144"/>
        <v>0</v>
      </c>
      <c r="AB311" s="4">
        <f t="shared" si="145"/>
        <v>0</v>
      </c>
      <c r="AC311" s="8"/>
      <c r="AD311" s="4"/>
      <c r="AE311" s="4"/>
      <c r="AF311" s="4" t="e">
        <f t="shared" si="148"/>
        <v>#N/A</v>
      </c>
      <c r="AG311" s="4"/>
      <c r="AH311" s="4">
        <f>IFERROR(VLOOKUP(M311,Calculations!$AC$2:$AD$251,2,FALSE),0)</f>
        <v>0</v>
      </c>
      <c r="AI311" s="4" t="e">
        <f>VLOOKUP(N311,$N$2:$AS$620,MATCH('Character Creation'!$Z$12,Skills!$N$1:$AS$1,0),FALSE)</f>
        <v>#N/A</v>
      </c>
      <c r="AJ311" s="4" t="e">
        <f>VLOOKUP($N311,[2]Cultures!$B$4:$M$283,MATCH(AJ$1,[2]Cultures!$B$3:$M$3,0),FALSE)</f>
        <v>#N/A</v>
      </c>
      <c r="AK311" s="4" t="e">
        <f>VLOOKUP($N311,[2]Cultures!$B$4:$M$283,MATCH(AK$1,[2]Cultures!$B$3:$M$3,0),FALSE)</f>
        <v>#N/A</v>
      </c>
      <c r="AL311" s="4" t="e">
        <f>VLOOKUP($N311,[2]Cultures!$B$4:$M$283,MATCH(AL$1,[2]Cultures!$B$3:$M$3,0),FALSE)</f>
        <v>#N/A</v>
      </c>
      <c r="AM311" s="4" t="e">
        <f>VLOOKUP($N311,[2]Cultures!$B$4:$M$283,MATCH(AM$1,[2]Cultures!$B$3:$M$3,0),FALSE)</f>
        <v>#N/A</v>
      </c>
      <c r="AN311" s="4" t="e">
        <f>VLOOKUP($N311,[2]Cultures!$B$4:$M$283,MATCH(AN$1,[2]Cultures!$B$3:$M$3,0),FALSE)</f>
        <v>#N/A</v>
      </c>
      <c r="AO311" s="4" t="e">
        <f>VLOOKUP($N311,[2]Cultures!$B$4:$M$283,MATCH(AO$1,[2]Cultures!$B$3:$M$3,0),FALSE)</f>
        <v>#N/A</v>
      </c>
      <c r="AP311" s="4" t="e">
        <f>VLOOKUP($N311,[2]Cultures!$B$4:$M$283,MATCH(AP$1,[2]Cultures!$B$3:$M$3,0),FALSE)</f>
        <v>#N/A</v>
      </c>
      <c r="AQ311" s="4" t="e">
        <f>VLOOKUP($N311,[2]Cultures!$B$4:$M$283,MATCH(AQ$1,[2]Cultures!$B$3:$M$3,0),FALSE)</f>
        <v>#N/A</v>
      </c>
      <c r="AR311" s="4" t="e">
        <f>VLOOKUP($N311,[2]Cultures!$B$4:$M$283,MATCH(AR$1,[2]Cultures!$B$3:$M$3,0),FALSE)</f>
        <v>#N/A</v>
      </c>
      <c r="AS311" s="4" t="e">
        <f>VLOOKUP($N311,[2]Cultures!$B$4:$M$283,MATCH(AS$1,[2]Cultures!$B$3:$M$3,0),FALSE)</f>
        <v>#N/A</v>
      </c>
      <c r="AT311" s="4"/>
      <c r="AU311" s="4">
        <f>IF(ISNUMBER(SEARCH(N311&amp;";",Calculations!$Q$19)),VLOOKUP(Skills!N311,Calculations!$Q$2:$T$16,4,FALSE),0)</f>
        <v>0</v>
      </c>
      <c r="AV311" s="4">
        <f>IF(ISNUMBER(SEARCH(N311&amp;";",Calculations!$Q$18)),1,0)</f>
        <v>0</v>
      </c>
      <c r="AW311" s="4">
        <f t="shared" ref="AW311:AW316" si="169">IF($AV$244=1,1,IF($AV$309=1,1,AV311))</f>
        <v>0</v>
      </c>
      <c r="AX311" s="4">
        <f>VLOOKUP($N311,$N311:$CH311,MATCH('Character Sheet'!$BJ$3,Skills!$N$1:$CH$1,0),FALSE)</f>
        <v>0</v>
      </c>
    </row>
    <row r="312" spans="2:50" x14ac:dyDescent="0.25">
      <c r="B312" s="4" t="e">
        <f t="shared" si="153"/>
        <v>#N/A</v>
      </c>
      <c r="E312" s="4"/>
      <c r="F312" s="4">
        <f t="shared" si="138"/>
        <v>0</v>
      </c>
      <c r="G312" s="4"/>
      <c r="H312" s="4" t="e">
        <f t="shared" si="147"/>
        <v>#N/A</v>
      </c>
      <c r="I312" s="4" t="e">
        <f t="shared" si="166"/>
        <v>#N/A</v>
      </c>
      <c r="J312" s="4">
        <f t="shared" si="139"/>
        <v>0</v>
      </c>
      <c r="K312" s="4" t="e">
        <f t="shared" si="165"/>
        <v>#N/A</v>
      </c>
      <c r="M312" t="str">
        <f t="shared" si="167"/>
        <v>Region Lore, Region 2</v>
      </c>
      <c r="N312" s="3" t="str">
        <f>'Character Sheet'!BLR77</f>
        <v>Region 2</v>
      </c>
      <c r="O312" s="4" t="s">
        <v>798</v>
      </c>
      <c r="P312" s="4" t="s">
        <v>792</v>
      </c>
      <c r="Q312" s="4" t="e">
        <f t="shared" si="156"/>
        <v>#N/A</v>
      </c>
      <c r="R312" s="4">
        <f>IF(ISNUMBER(SEARCH("Category",N312)),"- -",IF(ISNUMBER(SEARCH("Skills",N312)),"- -",'Level-up'!C330))</f>
        <v>0</v>
      </c>
      <c r="S312" s="4" t="e">
        <f t="shared" si="140"/>
        <v>#N/A</v>
      </c>
      <c r="T312" s="4" t="e">
        <f t="shared" si="141"/>
        <v>#N/A</v>
      </c>
      <c r="U312" s="4">
        <f t="shared" ca="1" si="146"/>
        <v>3</v>
      </c>
      <c r="V312" s="4">
        <f t="shared" si="168"/>
        <v>0</v>
      </c>
      <c r="W312" s="4">
        <f t="shared" si="155"/>
        <v>0</v>
      </c>
      <c r="X312" s="4">
        <f t="shared" si="154"/>
        <v>0</v>
      </c>
      <c r="Y312" s="4">
        <f t="shared" si="142"/>
        <v>0</v>
      </c>
      <c r="Z312" s="4">
        <f t="shared" si="143"/>
        <v>0</v>
      </c>
      <c r="AA312" s="4">
        <f t="shared" si="144"/>
        <v>0</v>
      </c>
      <c r="AB312" s="4">
        <f t="shared" si="145"/>
        <v>0</v>
      </c>
      <c r="AC312" s="8"/>
      <c r="AD312" s="4"/>
      <c r="AE312" s="4"/>
      <c r="AF312" s="4" t="e">
        <f t="shared" si="148"/>
        <v>#N/A</v>
      </c>
      <c r="AG312" s="4"/>
      <c r="AH312" s="4">
        <f>IFERROR(VLOOKUP(M312,Calculations!$AC$2:$AD$251,2,FALSE),0)</f>
        <v>0</v>
      </c>
      <c r="AI312" s="4" t="e">
        <f>VLOOKUP(N312,$N$2:$AS$620,MATCH('Character Creation'!$Z$12,Skills!$N$1:$AS$1,0),FALSE)</f>
        <v>#N/A</v>
      </c>
      <c r="AJ312" s="4" t="e">
        <f>VLOOKUP($N312,[2]Cultures!$B$4:$M$283,MATCH(AJ$1,[2]Cultures!$B$3:$M$3,0),FALSE)</f>
        <v>#N/A</v>
      </c>
      <c r="AK312" s="4" t="e">
        <f>VLOOKUP($N312,[2]Cultures!$B$4:$M$283,MATCH(AK$1,[2]Cultures!$B$3:$M$3,0),FALSE)</f>
        <v>#N/A</v>
      </c>
      <c r="AL312" s="4" t="e">
        <f>VLOOKUP($N312,[2]Cultures!$B$4:$M$283,MATCH(AL$1,[2]Cultures!$B$3:$M$3,0),FALSE)</f>
        <v>#N/A</v>
      </c>
      <c r="AM312" s="4" t="e">
        <f>VLOOKUP($N312,[2]Cultures!$B$4:$M$283,MATCH(AM$1,[2]Cultures!$B$3:$M$3,0),FALSE)</f>
        <v>#N/A</v>
      </c>
      <c r="AN312" s="4" t="e">
        <f>VLOOKUP($N312,[2]Cultures!$B$4:$M$283,MATCH(AN$1,[2]Cultures!$B$3:$M$3,0),FALSE)</f>
        <v>#N/A</v>
      </c>
      <c r="AO312" s="4" t="e">
        <f>VLOOKUP($N312,[2]Cultures!$B$4:$M$283,MATCH(AO$1,[2]Cultures!$B$3:$M$3,0),FALSE)</f>
        <v>#N/A</v>
      </c>
      <c r="AP312" s="4" t="e">
        <f>VLOOKUP($N312,[2]Cultures!$B$4:$M$283,MATCH(AP$1,[2]Cultures!$B$3:$M$3,0),FALSE)</f>
        <v>#N/A</v>
      </c>
      <c r="AQ312" s="4" t="e">
        <f>VLOOKUP($N312,[2]Cultures!$B$4:$M$283,MATCH(AQ$1,[2]Cultures!$B$3:$M$3,0),FALSE)</f>
        <v>#N/A</v>
      </c>
      <c r="AR312" s="4" t="e">
        <f>VLOOKUP($N312,[2]Cultures!$B$4:$M$283,MATCH(AR$1,[2]Cultures!$B$3:$M$3,0),FALSE)</f>
        <v>#N/A</v>
      </c>
      <c r="AS312" s="4" t="e">
        <f>VLOOKUP($N312,[2]Cultures!$B$4:$M$283,MATCH(AS$1,[2]Cultures!$B$3:$M$3,0),FALSE)</f>
        <v>#N/A</v>
      </c>
      <c r="AT312" s="4"/>
      <c r="AU312" s="4">
        <f>IF(ISNUMBER(SEARCH(N312&amp;";",Calculations!$Q$19)),VLOOKUP(Skills!N312,Calculations!$Q$2:$T$16,4,FALSE),0)</f>
        <v>0</v>
      </c>
      <c r="AV312" s="4">
        <f>IF(ISNUMBER(SEARCH(N312&amp;";",Calculations!$Q$18)),1,0)</f>
        <v>0</v>
      </c>
      <c r="AW312" s="4">
        <f t="shared" si="169"/>
        <v>0</v>
      </c>
      <c r="AX312" s="4">
        <f>VLOOKUP($N312,$N312:$CH312,MATCH('Character Sheet'!$BJ$3,Skills!$N$1:$CH$1,0),FALSE)</f>
        <v>0</v>
      </c>
    </row>
    <row r="313" spans="2:50" x14ac:dyDescent="0.25">
      <c r="B313" s="4" t="e">
        <f t="shared" si="153"/>
        <v>#N/A</v>
      </c>
      <c r="E313" s="4"/>
      <c r="F313" s="4">
        <f t="shared" si="138"/>
        <v>0</v>
      </c>
      <c r="G313" s="4"/>
      <c r="H313" s="4" t="e">
        <f t="shared" si="147"/>
        <v>#N/A</v>
      </c>
      <c r="I313" s="4" t="e">
        <f t="shared" si="166"/>
        <v>#N/A</v>
      </c>
      <c r="J313" s="4">
        <f t="shared" si="139"/>
        <v>0</v>
      </c>
      <c r="K313" s="4" t="e">
        <f t="shared" si="165"/>
        <v>#N/A</v>
      </c>
      <c r="M313" t="str">
        <f t="shared" si="167"/>
        <v>Region Lore, Region 3</v>
      </c>
      <c r="N313" s="3" t="str">
        <f>'Character Sheet'!BLR78</f>
        <v>Region 3</v>
      </c>
      <c r="O313" s="4" t="s">
        <v>798</v>
      </c>
      <c r="P313" s="4" t="s">
        <v>792</v>
      </c>
      <c r="Q313" s="4" t="e">
        <f t="shared" si="156"/>
        <v>#N/A</v>
      </c>
      <c r="R313" s="4">
        <f>IF(ISNUMBER(SEARCH("Category",N313)),"- -",IF(ISNUMBER(SEARCH("Skills",N313)),"- -",'Level-up'!C331))</f>
        <v>0</v>
      </c>
      <c r="S313" s="4" t="e">
        <f t="shared" si="140"/>
        <v>#N/A</v>
      </c>
      <c r="T313" s="4" t="e">
        <f t="shared" si="141"/>
        <v>#N/A</v>
      </c>
      <c r="U313" s="4">
        <f t="shared" ca="1" si="146"/>
        <v>3</v>
      </c>
      <c r="V313" s="4">
        <f t="shared" si="168"/>
        <v>0</v>
      </c>
      <c r="W313" s="4">
        <f t="shared" si="155"/>
        <v>0</v>
      </c>
      <c r="X313" s="4">
        <f t="shared" si="154"/>
        <v>0</v>
      </c>
      <c r="Y313" s="4">
        <f t="shared" si="142"/>
        <v>0</v>
      </c>
      <c r="Z313" s="4">
        <f t="shared" si="143"/>
        <v>0</v>
      </c>
      <c r="AA313" s="4">
        <f t="shared" si="144"/>
        <v>0</v>
      </c>
      <c r="AB313" s="4">
        <f t="shared" si="145"/>
        <v>0</v>
      </c>
      <c r="AC313" s="8"/>
      <c r="AD313" s="4"/>
      <c r="AE313" s="4"/>
      <c r="AF313" s="4" t="e">
        <f t="shared" si="148"/>
        <v>#N/A</v>
      </c>
      <c r="AG313" s="4"/>
      <c r="AH313" s="4">
        <f>IFERROR(VLOOKUP(M313,Calculations!$AC$2:$AD$251,2,FALSE),0)</f>
        <v>0</v>
      </c>
      <c r="AI313" s="4" t="e">
        <f>VLOOKUP(N313,$N$2:$AS$620,MATCH('Character Creation'!$Z$12,Skills!$N$1:$AS$1,0),FALSE)</f>
        <v>#N/A</v>
      </c>
      <c r="AJ313" s="4" t="e">
        <f>VLOOKUP($N313,[2]Cultures!$B$4:$M$283,MATCH(AJ$1,[2]Cultures!$B$3:$M$3,0),FALSE)</f>
        <v>#N/A</v>
      </c>
      <c r="AK313" s="4" t="e">
        <f>VLOOKUP($N313,[2]Cultures!$B$4:$M$283,MATCH(AK$1,[2]Cultures!$B$3:$M$3,0),FALSE)</f>
        <v>#N/A</v>
      </c>
      <c r="AL313" s="4" t="e">
        <f>VLOOKUP($N313,[2]Cultures!$B$4:$M$283,MATCH(AL$1,[2]Cultures!$B$3:$M$3,0),FALSE)</f>
        <v>#N/A</v>
      </c>
      <c r="AM313" s="4" t="e">
        <f>VLOOKUP($N313,[2]Cultures!$B$4:$M$283,MATCH(AM$1,[2]Cultures!$B$3:$M$3,0),FALSE)</f>
        <v>#N/A</v>
      </c>
      <c r="AN313" s="4" t="e">
        <f>VLOOKUP($N313,[2]Cultures!$B$4:$M$283,MATCH(AN$1,[2]Cultures!$B$3:$M$3,0),FALSE)</f>
        <v>#N/A</v>
      </c>
      <c r="AO313" s="4" t="e">
        <f>VLOOKUP($N313,[2]Cultures!$B$4:$M$283,MATCH(AO$1,[2]Cultures!$B$3:$M$3,0),FALSE)</f>
        <v>#N/A</v>
      </c>
      <c r="AP313" s="4" t="e">
        <f>VLOOKUP($N313,[2]Cultures!$B$4:$M$283,MATCH(AP$1,[2]Cultures!$B$3:$M$3,0),FALSE)</f>
        <v>#N/A</v>
      </c>
      <c r="AQ313" s="4" t="e">
        <f>VLOOKUP($N313,[2]Cultures!$B$4:$M$283,MATCH(AQ$1,[2]Cultures!$B$3:$M$3,0),FALSE)</f>
        <v>#N/A</v>
      </c>
      <c r="AR313" s="4" t="e">
        <f>VLOOKUP($N313,[2]Cultures!$B$4:$M$283,MATCH(AR$1,[2]Cultures!$B$3:$M$3,0),FALSE)</f>
        <v>#N/A</v>
      </c>
      <c r="AS313" s="4" t="e">
        <f>VLOOKUP($N313,[2]Cultures!$B$4:$M$283,MATCH(AS$1,[2]Cultures!$B$3:$M$3,0),FALSE)</f>
        <v>#N/A</v>
      </c>
      <c r="AT313" s="4"/>
      <c r="AU313" s="4">
        <f>IF(ISNUMBER(SEARCH(N313&amp;";",Calculations!$Q$19)),VLOOKUP(Skills!N313,Calculations!$Q$2:$T$16,4,FALSE),0)</f>
        <v>0</v>
      </c>
      <c r="AV313" s="4">
        <f>IF(ISNUMBER(SEARCH(N313&amp;";",Calculations!$Q$18)),1,0)</f>
        <v>0</v>
      </c>
      <c r="AW313" s="4">
        <f t="shared" si="169"/>
        <v>0</v>
      </c>
      <c r="AX313" s="4">
        <f>VLOOKUP($N313,$N313:$CH313,MATCH('Character Sheet'!$BJ$3,Skills!$N$1:$CH$1,0),FALSE)</f>
        <v>0</v>
      </c>
    </row>
    <row r="314" spans="2:50" x14ac:dyDescent="0.25">
      <c r="B314" s="4" t="e">
        <f t="shared" si="153"/>
        <v>#N/A</v>
      </c>
      <c r="E314" s="4"/>
      <c r="F314" s="4">
        <f t="shared" si="138"/>
        <v>0</v>
      </c>
      <c r="G314" s="4"/>
      <c r="H314" s="4" t="e">
        <f t="shared" si="147"/>
        <v>#N/A</v>
      </c>
      <c r="I314" s="4" t="e">
        <f t="shared" si="166"/>
        <v>#N/A</v>
      </c>
      <c r="J314" s="4">
        <f t="shared" si="139"/>
        <v>0</v>
      </c>
      <c r="K314" s="4" t="e">
        <f t="shared" si="165"/>
        <v>#N/A</v>
      </c>
      <c r="M314" t="str">
        <f t="shared" si="167"/>
        <v>Region Lore, 0</v>
      </c>
      <c r="N314" s="3">
        <f>'Character Sheet'!BLR79</f>
        <v>0</v>
      </c>
      <c r="O314" s="4" t="s">
        <v>798</v>
      </c>
      <c r="P314" s="4" t="s">
        <v>792</v>
      </c>
      <c r="Q314" s="4" t="e">
        <f t="shared" si="156"/>
        <v>#N/A</v>
      </c>
      <c r="R314" s="4">
        <f>IF(ISNUMBER(SEARCH("Category",N314)),"- -",IF(ISNUMBER(SEARCH("Skills",N314)),"- -",'Level-up'!C332))</f>
        <v>0</v>
      </c>
      <c r="S314" s="4" t="e">
        <f t="shared" si="140"/>
        <v>#N/A</v>
      </c>
      <c r="T314" s="4" t="e">
        <f t="shared" si="141"/>
        <v>#N/A</v>
      </c>
      <c r="U314" s="4">
        <f t="shared" ca="1" si="146"/>
        <v>3</v>
      </c>
      <c r="V314" s="4">
        <f t="shared" si="168"/>
        <v>0</v>
      </c>
      <c r="W314" s="4">
        <f t="shared" si="155"/>
        <v>0</v>
      </c>
      <c r="X314" s="4">
        <f t="shared" si="154"/>
        <v>0</v>
      </c>
      <c r="Y314" s="4">
        <f t="shared" si="142"/>
        <v>0</v>
      </c>
      <c r="Z314" s="4">
        <f t="shared" si="143"/>
        <v>0</v>
      </c>
      <c r="AA314" s="4">
        <f t="shared" si="144"/>
        <v>0</v>
      </c>
      <c r="AB314" s="4">
        <f t="shared" si="145"/>
        <v>0</v>
      </c>
      <c r="AC314" s="8"/>
      <c r="AD314" s="4"/>
      <c r="AE314" s="4"/>
      <c r="AF314" s="4" t="e">
        <f t="shared" si="148"/>
        <v>#N/A</v>
      </c>
      <c r="AG314" s="4"/>
      <c r="AH314" s="4">
        <f>IFERROR(VLOOKUP(M314,Calculations!$AC$2:$AD$251,2,FALSE),0)</f>
        <v>0</v>
      </c>
      <c r="AI314" s="4" t="e">
        <f>VLOOKUP(N314,$N$2:$AS$620,MATCH('Character Creation'!$Z$12,Skills!$N$1:$AS$1,0),FALSE)</f>
        <v>#N/A</v>
      </c>
      <c r="AJ314" s="4" t="e">
        <f>VLOOKUP($N314,[2]Cultures!$B$4:$M$283,MATCH(AJ$1,[2]Cultures!$B$3:$M$3,0),FALSE)</f>
        <v>#N/A</v>
      </c>
      <c r="AK314" s="4" t="e">
        <f>VLOOKUP($N314,[2]Cultures!$B$4:$M$283,MATCH(AK$1,[2]Cultures!$B$3:$M$3,0),FALSE)</f>
        <v>#N/A</v>
      </c>
      <c r="AL314" s="4" t="e">
        <f>VLOOKUP($N314,[2]Cultures!$B$4:$M$283,MATCH(AL$1,[2]Cultures!$B$3:$M$3,0),FALSE)</f>
        <v>#N/A</v>
      </c>
      <c r="AM314" s="4" t="e">
        <f>VLOOKUP($N314,[2]Cultures!$B$4:$M$283,MATCH(AM$1,[2]Cultures!$B$3:$M$3,0),FALSE)</f>
        <v>#N/A</v>
      </c>
      <c r="AN314" s="4" t="e">
        <f>VLOOKUP($N314,[2]Cultures!$B$4:$M$283,MATCH(AN$1,[2]Cultures!$B$3:$M$3,0),FALSE)</f>
        <v>#N/A</v>
      </c>
      <c r="AO314" s="4" t="e">
        <f>VLOOKUP($N314,[2]Cultures!$B$4:$M$283,MATCH(AO$1,[2]Cultures!$B$3:$M$3,0),FALSE)</f>
        <v>#N/A</v>
      </c>
      <c r="AP314" s="4" t="e">
        <f>VLOOKUP($N314,[2]Cultures!$B$4:$M$283,MATCH(AP$1,[2]Cultures!$B$3:$M$3,0),FALSE)</f>
        <v>#N/A</v>
      </c>
      <c r="AQ314" s="4" t="e">
        <f>VLOOKUP($N314,[2]Cultures!$B$4:$M$283,MATCH(AQ$1,[2]Cultures!$B$3:$M$3,0),FALSE)</f>
        <v>#N/A</v>
      </c>
      <c r="AR314" s="4" t="e">
        <f>VLOOKUP($N314,[2]Cultures!$B$4:$M$283,MATCH(AR$1,[2]Cultures!$B$3:$M$3,0),FALSE)</f>
        <v>#N/A</v>
      </c>
      <c r="AS314" s="4" t="e">
        <f>VLOOKUP($N314,[2]Cultures!$B$4:$M$283,MATCH(AS$1,[2]Cultures!$B$3:$M$3,0),FALSE)</f>
        <v>#N/A</v>
      </c>
      <c r="AT314" s="4"/>
      <c r="AU314" s="4">
        <f>IF(ISNUMBER(SEARCH(N314&amp;";",Calculations!$Q$19)),VLOOKUP(Skills!N314,Calculations!$Q$2:$T$16,4,FALSE),0)</f>
        <v>0</v>
      </c>
      <c r="AV314" s="4">
        <f>IF(ISNUMBER(SEARCH(N314&amp;";",Calculations!$Q$18)),1,0)</f>
        <v>0</v>
      </c>
      <c r="AW314" s="4">
        <f t="shared" si="169"/>
        <v>0</v>
      </c>
      <c r="AX314" s="4">
        <f>VLOOKUP($N314,$N314:$CH314,MATCH('Character Sheet'!$BJ$3,Skills!$N$1:$CH$1,0),FALSE)</f>
        <v>0</v>
      </c>
    </row>
    <row r="315" spans="2:50" x14ac:dyDescent="0.25">
      <c r="B315" s="4" t="e">
        <f t="shared" si="153"/>
        <v>#N/A</v>
      </c>
      <c r="E315" s="4"/>
      <c r="F315" s="4">
        <f t="shared" si="138"/>
        <v>0</v>
      </c>
      <c r="G315" s="4"/>
      <c r="H315" s="4" t="e">
        <f t="shared" si="147"/>
        <v>#N/A</v>
      </c>
      <c r="I315" s="4" t="e">
        <f t="shared" si="166"/>
        <v>#N/A</v>
      </c>
      <c r="J315" s="4">
        <f t="shared" si="139"/>
        <v>0</v>
      </c>
      <c r="K315" s="4" t="e">
        <f t="shared" si="165"/>
        <v>#N/A</v>
      </c>
      <c r="M315" t="str">
        <f t="shared" si="167"/>
        <v>Region Lore, 0</v>
      </c>
      <c r="N315" s="3">
        <f>'Character Sheet'!BLR80</f>
        <v>0</v>
      </c>
      <c r="O315" s="4" t="s">
        <v>798</v>
      </c>
      <c r="P315" s="4" t="s">
        <v>792</v>
      </c>
      <c r="Q315" s="4" t="e">
        <f t="shared" si="156"/>
        <v>#N/A</v>
      </c>
      <c r="R315" s="4">
        <f>IF(ISNUMBER(SEARCH("Category",N315)),"- -",IF(ISNUMBER(SEARCH("Skills",N315)),"- -",'Level-up'!C333))</f>
        <v>0</v>
      </c>
      <c r="S315" s="4" t="e">
        <f t="shared" si="140"/>
        <v>#N/A</v>
      </c>
      <c r="T315" s="4" t="e">
        <f t="shared" si="141"/>
        <v>#N/A</v>
      </c>
      <c r="U315" s="4">
        <f t="shared" ca="1" si="146"/>
        <v>3</v>
      </c>
      <c r="V315" s="4">
        <f t="shared" si="168"/>
        <v>0</v>
      </c>
      <c r="W315" s="4">
        <f t="shared" si="155"/>
        <v>0</v>
      </c>
      <c r="X315" s="4">
        <f t="shared" si="154"/>
        <v>0</v>
      </c>
      <c r="Y315" s="4">
        <f t="shared" si="142"/>
        <v>0</v>
      </c>
      <c r="Z315" s="4">
        <f t="shared" si="143"/>
        <v>0</v>
      </c>
      <c r="AA315" s="4">
        <f t="shared" si="144"/>
        <v>0</v>
      </c>
      <c r="AB315" s="4">
        <f t="shared" si="145"/>
        <v>0</v>
      </c>
      <c r="AC315" s="8"/>
      <c r="AD315" s="4"/>
      <c r="AE315" s="4"/>
      <c r="AF315" s="4" t="e">
        <f t="shared" si="148"/>
        <v>#N/A</v>
      </c>
      <c r="AG315" s="4"/>
      <c r="AH315" s="4">
        <f>IFERROR(VLOOKUP(M315,Calculations!$AC$2:$AD$251,2,FALSE),0)</f>
        <v>0</v>
      </c>
      <c r="AI315" s="4" t="e">
        <f>VLOOKUP(N315,$N$2:$AS$620,MATCH('Character Creation'!$Z$12,Skills!$N$1:$AS$1,0),FALSE)</f>
        <v>#N/A</v>
      </c>
      <c r="AJ315" s="4" t="e">
        <f>VLOOKUP($N315,[2]Cultures!$B$4:$M$283,MATCH(AJ$1,[2]Cultures!$B$3:$M$3,0),FALSE)</f>
        <v>#N/A</v>
      </c>
      <c r="AK315" s="4" t="e">
        <f>VLOOKUP($N315,[2]Cultures!$B$4:$M$283,MATCH(AK$1,[2]Cultures!$B$3:$M$3,0),FALSE)</f>
        <v>#N/A</v>
      </c>
      <c r="AL315" s="4" t="e">
        <f>VLOOKUP($N315,[2]Cultures!$B$4:$M$283,MATCH(AL$1,[2]Cultures!$B$3:$M$3,0),FALSE)</f>
        <v>#N/A</v>
      </c>
      <c r="AM315" s="4" t="e">
        <f>VLOOKUP($N315,[2]Cultures!$B$4:$M$283,MATCH(AM$1,[2]Cultures!$B$3:$M$3,0),FALSE)</f>
        <v>#N/A</v>
      </c>
      <c r="AN315" s="4" t="e">
        <f>VLOOKUP($N315,[2]Cultures!$B$4:$M$283,MATCH(AN$1,[2]Cultures!$B$3:$M$3,0),FALSE)</f>
        <v>#N/A</v>
      </c>
      <c r="AO315" s="4" t="e">
        <f>VLOOKUP($N315,[2]Cultures!$B$4:$M$283,MATCH(AO$1,[2]Cultures!$B$3:$M$3,0),FALSE)</f>
        <v>#N/A</v>
      </c>
      <c r="AP315" s="4" t="e">
        <f>VLOOKUP($N315,[2]Cultures!$B$4:$M$283,MATCH(AP$1,[2]Cultures!$B$3:$M$3,0),FALSE)</f>
        <v>#N/A</v>
      </c>
      <c r="AQ315" s="4" t="e">
        <f>VLOOKUP($N315,[2]Cultures!$B$4:$M$283,MATCH(AQ$1,[2]Cultures!$B$3:$M$3,0),FALSE)</f>
        <v>#N/A</v>
      </c>
      <c r="AR315" s="4" t="e">
        <f>VLOOKUP($N315,[2]Cultures!$B$4:$M$283,MATCH(AR$1,[2]Cultures!$B$3:$M$3,0),FALSE)</f>
        <v>#N/A</v>
      </c>
      <c r="AS315" s="4" t="e">
        <f>VLOOKUP($N315,[2]Cultures!$B$4:$M$283,MATCH(AS$1,[2]Cultures!$B$3:$M$3,0),FALSE)</f>
        <v>#N/A</v>
      </c>
      <c r="AT315" s="4"/>
      <c r="AU315" s="4">
        <f>IF(ISNUMBER(SEARCH(N315&amp;";",Calculations!$Q$19)),VLOOKUP(Skills!N315,Calculations!$Q$2:$T$16,4,FALSE),0)</f>
        <v>0</v>
      </c>
      <c r="AV315" s="4">
        <f>IF(ISNUMBER(SEARCH(N315&amp;";",Calculations!$Q$18)),1,0)</f>
        <v>0</v>
      </c>
      <c r="AW315" s="4">
        <f t="shared" si="169"/>
        <v>0</v>
      </c>
      <c r="AX315" s="4">
        <f>VLOOKUP($N315,$N315:$CH315,MATCH('Character Sheet'!$BJ$3,Skills!$N$1:$CH$1,0),FALSE)</f>
        <v>0</v>
      </c>
    </row>
    <row r="316" spans="2:50" x14ac:dyDescent="0.25">
      <c r="B316" s="4" t="e">
        <f t="shared" si="153"/>
        <v>#N/A</v>
      </c>
      <c r="E316" s="4"/>
      <c r="F316" s="4">
        <f t="shared" si="138"/>
        <v>0</v>
      </c>
      <c r="G316" s="4"/>
      <c r="H316" s="4" t="e">
        <f t="shared" si="147"/>
        <v>#N/A</v>
      </c>
      <c r="I316" s="4" t="e">
        <f t="shared" si="166"/>
        <v>#N/A</v>
      </c>
      <c r="J316" s="4">
        <f t="shared" si="139"/>
        <v>0</v>
      </c>
      <c r="K316" s="4" t="e">
        <f t="shared" si="165"/>
        <v>#N/A</v>
      </c>
      <c r="M316" t="str">
        <f t="shared" si="167"/>
        <v>Region Lore, 0</v>
      </c>
      <c r="N316" s="3">
        <f>'Character Sheet'!BLR81</f>
        <v>0</v>
      </c>
      <c r="O316" s="4" t="s">
        <v>798</v>
      </c>
      <c r="P316" s="4" t="s">
        <v>792</v>
      </c>
      <c r="Q316" s="4" t="e">
        <f t="shared" si="156"/>
        <v>#N/A</v>
      </c>
      <c r="R316" s="4">
        <f>IF(ISNUMBER(SEARCH("Category",N316)),"- -",IF(ISNUMBER(SEARCH("Skills",N316)),"- -",'Level-up'!C334))</f>
        <v>0</v>
      </c>
      <c r="S316" s="4" t="e">
        <f t="shared" si="140"/>
        <v>#N/A</v>
      </c>
      <c r="T316" s="4" t="e">
        <f t="shared" si="141"/>
        <v>#N/A</v>
      </c>
      <c r="U316" s="4">
        <f t="shared" ca="1" si="146"/>
        <v>3</v>
      </c>
      <c r="V316" s="4">
        <f t="shared" si="168"/>
        <v>0</v>
      </c>
      <c r="W316" s="4">
        <f t="shared" si="155"/>
        <v>0</v>
      </c>
      <c r="X316" s="4">
        <f t="shared" si="154"/>
        <v>0</v>
      </c>
      <c r="Y316" s="4">
        <f t="shared" si="142"/>
        <v>0</v>
      </c>
      <c r="Z316" s="4">
        <f t="shared" si="143"/>
        <v>0</v>
      </c>
      <c r="AA316" s="4">
        <f t="shared" si="144"/>
        <v>0</v>
      </c>
      <c r="AB316" s="4">
        <f t="shared" si="145"/>
        <v>0</v>
      </c>
      <c r="AC316" s="8"/>
      <c r="AD316" s="4"/>
      <c r="AE316" s="4"/>
      <c r="AF316" s="4" t="e">
        <f t="shared" si="148"/>
        <v>#N/A</v>
      </c>
      <c r="AG316" s="4"/>
      <c r="AH316" s="4">
        <f>IFERROR(VLOOKUP(M316,Calculations!$AC$2:$AD$251,2,FALSE),0)</f>
        <v>0</v>
      </c>
      <c r="AI316" s="4" t="e">
        <f>VLOOKUP(N316,$N$2:$AS$620,MATCH('Character Creation'!$Z$12,Skills!$N$1:$AS$1,0),FALSE)</f>
        <v>#N/A</v>
      </c>
      <c r="AJ316" s="4" t="e">
        <f>VLOOKUP($N316,[2]Cultures!$B$4:$M$283,MATCH(AJ$1,[2]Cultures!$B$3:$M$3,0),FALSE)</f>
        <v>#N/A</v>
      </c>
      <c r="AK316" s="4" t="e">
        <f>VLOOKUP($N316,[2]Cultures!$B$4:$M$283,MATCH(AK$1,[2]Cultures!$B$3:$M$3,0),FALSE)</f>
        <v>#N/A</v>
      </c>
      <c r="AL316" s="4" t="e">
        <f>VLOOKUP($N316,[2]Cultures!$B$4:$M$283,MATCH(AL$1,[2]Cultures!$B$3:$M$3,0),FALSE)</f>
        <v>#N/A</v>
      </c>
      <c r="AM316" s="4" t="e">
        <f>VLOOKUP($N316,[2]Cultures!$B$4:$M$283,MATCH(AM$1,[2]Cultures!$B$3:$M$3,0),FALSE)</f>
        <v>#N/A</v>
      </c>
      <c r="AN316" s="4" t="e">
        <f>VLOOKUP($N316,[2]Cultures!$B$4:$M$283,MATCH(AN$1,[2]Cultures!$B$3:$M$3,0),FALSE)</f>
        <v>#N/A</v>
      </c>
      <c r="AO316" s="4" t="e">
        <f>VLOOKUP($N316,[2]Cultures!$B$4:$M$283,MATCH(AO$1,[2]Cultures!$B$3:$M$3,0),FALSE)</f>
        <v>#N/A</v>
      </c>
      <c r="AP316" s="4" t="e">
        <f>VLOOKUP($N316,[2]Cultures!$B$4:$M$283,MATCH(AP$1,[2]Cultures!$B$3:$M$3,0),FALSE)</f>
        <v>#N/A</v>
      </c>
      <c r="AQ316" s="4" t="e">
        <f>VLOOKUP($N316,[2]Cultures!$B$4:$M$283,MATCH(AQ$1,[2]Cultures!$B$3:$M$3,0),FALSE)</f>
        <v>#N/A</v>
      </c>
      <c r="AR316" s="4" t="e">
        <f>VLOOKUP($N316,[2]Cultures!$B$4:$M$283,MATCH(AR$1,[2]Cultures!$B$3:$M$3,0),FALSE)</f>
        <v>#N/A</v>
      </c>
      <c r="AS316" s="4" t="e">
        <f>VLOOKUP($N316,[2]Cultures!$B$4:$M$283,MATCH(AS$1,[2]Cultures!$B$3:$M$3,0),FALSE)</f>
        <v>#N/A</v>
      </c>
      <c r="AT316" s="4"/>
      <c r="AU316" s="4">
        <f>IF(ISNUMBER(SEARCH(N316&amp;";",Calculations!$Q$19)),VLOOKUP(Skills!N316,Calculations!$Q$2:$T$16,4,FALSE),0)</f>
        <v>0</v>
      </c>
      <c r="AV316" s="4">
        <f>IF(ISNUMBER(SEARCH(N316&amp;";",Calculations!$Q$18)),1,0)</f>
        <v>0</v>
      </c>
      <c r="AW316" s="4">
        <f t="shared" si="169"/>
        <v>0</v>
      </c>
      <c r="AX316" s="4">
        <f>VLOOKUP($N316,$N316:$CH316,MATCH('Character Sheet'!$BJ$3,Skills!$N$1:$CH$1,0),FALSE)</f>
        <v>0</v>
      </c>
    </row>
    <row r="317" spans="2:50" x14ac:dyDescent="0.25">
      <c r="B317" s="4" t="e">
        <f t="shared" si="153"/>
        <v>#N/A</v>
      </c>
      <c r="E317" s="4"/>
      <c r="F317" s="4">
        <f t="shared" si="138"/>
        <v>0</v>
      </c>
      <c r="G317" s="4"/>
      <c r="H317" s="4" t="e">
        <f t="shared" si="147"/>
        <v>#N/A</v>
      </c>
      <c r="I317" s="4" t="e">
        <f>IF($J$245=1,1,IF($J$318=1,1,0))</f>
        <v>#N/A</v>
      </c>
      <c r="J317" s="4">
        <f t="shared" si="139"/>
        <v>0</v>
      </c>
      <c r="K317" s="4" t="e">
        <f t="shared" si="165"/>
        <v>#N/A</v>
      </c>
      <c r="N317" s="3" t="s">
        <v>690</v>
      </c>
      <c r="O317" s="6" t="s">
        <v>782</v>
      </c>
      <c r="P317" s="6" t="s">
        <v>782</v>
      </c>
      <c r="Q317" s="4" t="str">
        <f t="shared" si="156"/>
        <v>- -</v>
      </c>
      <c r="R317" s="4" t="str">
        <f>IF(ISNUMBER(SEARCH("Category",N317)),"- -",IF(ISNUMBER(SEARCH("Skills",N317)),"- -",'Level-up'!C335))</f>
        <v>- -</v>
      </c>
      <c r="S317" s="4" t="str">
        <f t="shared" si="140"/>
        <v>- -</v>
      </c>
      <c r="T317" s="4" t="str">
        <f t="shared" si="141"/>
        <v>- -</v>
      </c>
      <c r="U317" s="4" t="str">
        <f t="shared" ca="1" si="146"/>
        <v>- -</v>
      </c>
      <c r="V317" s="4" t="str">
        <f t="shared" si="168"/>
        <v>- -</v>
      </c>
      <c r="W317" s="4" t="str">
        <f t="shared" si="155"/>
        <v>- -</v>
      </c>
      <c r="X317" s="4" t="str">
        <f t="shared" si="154"/>
        <v>- -</v>
      </c>
      <c r="Y317" s="4" t="str">
        <f t="shared" si="142"/>
        <v>- -</v>
      </c>
      <c r="Z317" s="4" t="str">
        <f t="shared" si="143"/>
        <v>- -</v>
      </c>
      <c r="AA317" s="4" t="str">
        <f t="shared" si="144"/>
        <v>- -</v>
      </c>
      <c r="AB317" s="4" t="str">
        <f t="shared" si="145"/>
        <v>- -</v>
      </c>
      <c r="AC317" s="8"/>
      <c r="AD317" s="4"/>
      <c r="AE317" s="4"/>
      <c r="AF317" s="4" t="str">
        <f t="shared" si="148"/>
        <v>- -</v>
      </c>
      <c r="AG317" s="4"/>
      <c r="AH317" s="4">
        <f>IFERROR(VLOOKUP(M317,Calculations!$AC$2:$AD$251,2,FALSE),0)</f>
        <v>0</v>
      </c>
      <c r="AI317" s="4" t="e">
        <f>VLOOKUP(N317,$N$2:$AS$620,MATCH('Character Creation'!$Z$12,Skills!$N$1:$AS$1,0),FALSE)</f>
        <v>#N/A</v>
      </c>
      <c r="AJ317" s="4" t="e">
        <f>VLOOKUP($N317,[2]Cultures!$B$4:$M$283,MATCH(AJ$1,[2]Cultures!$B$3:$M$3,0),FALSE)</f>
        <v>#N/A</v>
      </c>
      <c r="AK317" s="4" t="e">
        <f>VLOOKUP($N317,[2]Cultures!$B$4:$M$283,MATCH(AK$1,[2]Cultures!$B$3:$M$3,0),FALSE)</f>
        <v>#N/A</v>
      </c>
      <c r="AL317" s="4" t="e">
        <f>VLOOKUP($N317,[2]Cultures!$B$4:$M$283,MATCH(AL$1,[2]Cultures!$B$3:$M$3,0),FALSE)</f>
        <v>#N/A</v>
      </c>
      <c r="AM317" s="4" t="e">
        <f>VLOOKUP($N317,[2]Cultures!$B$4:$M$283,MATCH(AM$1,[2]Cultures!$B$3:$M$3,0),FALSE)</f>
        <v>#N/A</v>
      </c>
      <c r="AN317" s="4" t="e">
        <f>VLOOKUP($N317,[2]Cultures!$B$4:$M$283,MATCH(AN$1,[2]Cultures!$B$3:$M$3,0),FALSE)</f>
        <v>#N/A</v>
      </c>
      <c r="AO317" s="4" t="e">
        <f>VLOOKUP($N317,[2]Cultures!$B$4:$M$283,MATCH(AO$1,[2]Cultures!$B$3:$M$3,0),FALSE)</f>
        <v>#N/A</v>
      </c>
      <c r="AP317" s="4" t="e">
        <f>VLOOKUP($N317,[2]Cultures!$B$4:$M$283,MATCH(AP$1,[2]Cultures!$B$3:$M$3,0),FALSE)</f>
        <v>#N/A</v>
      </c>
      <c r="AQ317" s="4" t="e">
        <f>VLOOKUP($N317,[2]Cultures!$B$4:$M$283,MATCH(AQ$1,[2]Cultures!$B$3:$M$3,0),FALSE)</f>
        <v>#N/A</v>
      </c>
      <c r="AR317" s="4" t="e">
        <f>VLOOKUP($N317,[2]Cultures!$B$4:$M$283,MATCH(AR$1,[2]Cultures!$B$3:$M$3,0),FALSE)</f>
        <v>#N/A</v>
      </c>
      <c r="AS317" s="4" t="e">
        <f>VLOOKUP($N317,[2]Cultures!$B$4:$M$283,MATCH(AS$1,[2]Cultures!$B$3:$M$3,0),FALSE)</f>
        <v>#N/A</v>
      </c>
      <c r="AT317" s="4"/>
      <c r="AU317" s="4">
        <f>IF(ISNUMBER(SEARCH(N317&amp;";",Calculations!$Q$19)),VLOOKUP(Skills!N317,Calculations!$Q$2:$T$16,4,FALSE),0)</f>
        <v>0</v>
      </c>
      <c r="AV317" s="4">
        <f>IF(ISNUMBER(SEARCH(N317&amp;";",Calculations!$Q$18)),1,0)</f>
        <v>0</v>
      </c>
      <c r="AW317" s="4"/>
      <c r="AX317" s="4">
        <f>VLOOKUP($N317,$N317:$CH317,MATCH('Character Sheet'!$BJ$3,Skills!$N$1:$CH$1,0),FALSE)</f>
        <v>0</v>
      </c>
    </row>
    <row r="318" spans="2:50" x14ac:dyDescent="0.25">
      <c r="B318" s="4" t="e">
        <f t="shared" si="153"/>
        <v>#N/A</v>
      </c>
      <c r="E318" s="4"/>
      <c r="F318" s="4">
        <f t="shared" si="138"/>
        <v>0</v>
      </c>
      <c r="G318" s="4"/>
      <c r="H318" s="4" t="e">
        <f t="shared" si="147"/>
        <v>#N/A</v>
      </c>
      <c r="I318" s="4">
        <v>0</v>
      </c>
      <c r="J318" s="4" t="e">
        <f t="shared" si="139"/>
        <v>#N/A</v>
      </c>
      <c r="K318" s="4" t="e">
        <f t="shared" si="165"/>
        <v>#N/A</v>
      </c>
      <c r="N318" s="3" t="s">
        <v>691</v>
      </c>
      <c r="O318" s="6" t="s">
        <v>782</v>
      </c>
      <c r="P318" s="6" t="s">
        <v>782</v>
      </c>
      <c r="Q318" s="4" t="str">
        <f t="shared" si="156"/>
        <v>- -</v>
      </c>
      <c r="R318" s="4" t="str">
        <f>IF(ISNUMBER(SEARCH("Category",N318)),"- -",IF(ISNUMBER(SEARCH("Skills",N318)),"- -",'Level-up'!C336))</f>
        <v>- -</v>
      </c>
      <c r="S318" s="4" t="str">
        <f t="shared" si="140"/>
        <v>- -</v>
      </c>
      <c r="T318" s="4" t="str">
        <f t="shared" si="141"/>
        <v>- -</v>
      </c>
      <c r="U318" s="4" t="str">
        <f t="shared" ca="1" si="146"/>
        <v>- -</v>
      </c>
      <c r="V318" s="4" t="str">
        <f t="shared" si="168"/>
        <v>- -</v>
      </c>
      <c r="W318" s="4" t="str">
        <f t="shared" si="155"/>
        <v>- -</v>
      </c>
      <c r="X318" s="4" t="str">
        <f t="shared" si="154"/>
        <v>- -</v>
      </c>
      <c r="Y318" s="4" t="str">
        <f t="shared" si="142"/>
        <v>- -</v>
      </c>
      <c r="Z318" s="4" t="str">
        <f t="shared" si="143"/>
        <v>- -</v>
      </c>
      <c r="AA318" s="4" t="str">
        <f t="shared" si="144"/>
        <v>- -</v>
      </c>
      <c r="AB318" s="4" t="str">
        <f t="shared" si="145"/>
        <v>- -</v>
      </c>
      <c r="AC318" s="8"/>
      <c r="AD318" s="4"/>
      <c r="AE318" s="4"/>
      <c r="AF318" s="4" t="str">
        <f t="shared" si="148"/>
        <v>- -</v>
      </c>
      <c r="AG318" s="4"/>
      <c r="AH318" s="4">
        <f>IFERROR(VLOOKUP(M318,Calculations!$AC$2:$AD$251,2,FALSE),0)</f>
        <v>0</v>
      </c>
      <c r="AI318" s="4" t="e">
        <f>VLOOKUP(N318,$N$2:$AS$620,MATCH('Character Creation'!$Z$12,Skills!$N$1:$AS$1,0),FALSE)</f>
        <v>#N/A</v>
      </c>
      <c r="AJ318" s="4" t="e">
        <f>VLOOKUP($N318,[2]Cultures!$B$4:$M$283,MATCH(AJ$1,[2]Cultures!$B$3:$M$3,0),FALSE)</f>
        <v>#N/A</v>
      </c>
      <c r="AK318" s="4" t="e">
        <f>VLOOKUP($N318,[2]Cultures!$B$4:$M$283,MATCH(AK$1,[2]Cultures!$B$3:$M$3,0),FALSE)</f>
        <v>#N/A</v>
      </c>
      <c r="AL318" s="4" t="e">
        <f>VLOOKUP($N318,[2]Cultures!$B$4:$M$283,MATCH(AL$1,[2]Cultures!$B$3:$M$3,0),FALSE)</f>
        <v>#N/A</v>
      </c>
      <c r="AM318" s="4" t="e">
        <f>VLOOKUP($N318,[2]Cultures!$B$4:$M$283,MATCH(AM$1,[2]Cultures!$B$3:$M$3,0),FALSE)</f>
        <v>#N/A</v>
      </c>
      <c r="AN318" s="4" t="e">
        <f>VLOOKUP($N318,[2]Cultures!$B$4:$M$283,MATCH(AN$1,[2]Cultures!$B$3:$M$3,0),FALSE)</f>
        <v>#N/A</v>
      </c>
      <c r="AO318" s="4" t="e">
        <f>VLOOKUP($N318,[2]Cultures!$B$4:$M$283,MATCH(AO$1,[2]Cultures!$B$3:$M$3,0),FALSE)</f>
        <v>#N/A</v>
      </c>
      <c r="AP318" s="4" t="e">
        <f>VLOOKUP($N318,[2]Cultures!$B$4:$M$283,MATCH(AP$1,[2]Cultures!$B$3:$M$3,0),FALSE)</f>
        <v>#N/A</v>
      </c>
      <c r="AQ318" s="4" t="e">
        <f>VLOOKUP($N318,[2]Cultures!$B$4:$M$283,MATCH(AQ$1,[2]Cultures!$B$3:$M$3,0),FALSE)</f>
        <v>#N/A</v>
      </c>
      <c r="AR318" s="4" t="e">
        <f>VLOOKUP($N318,[2]Cultures!$B$4:$M$283,MATCH(AR$1,[2]Cultures!$B$3:$M$3,0),FALSE)</f>
        <v>#N/A</v>
      </c>
      <c r="AS318" s="4" t="e">
        <f>VLOOKUP($N318,[2]Cultures!$B$4:$M$283,MATCH(AS$1,[2]Cultures!$B$3:$M$3,0),FALSE)</f>
        <v>#N/A</v>
      </c>
      <c r="AT318" s="4"/>
      <c r="AU318" s="4">
        <f>IF(ISNUMBER(SEARCH(N318&amp;";",Calculations!$Q$19)),VLOOKUP(Skills!N318,Calculations!$Q$2:$T$16,4,FALSE),0)</f>
        <v>0</v>
      </c>
      <c r="AV318" s="4">
        <f>IF(ISNUMBER(SEARCH(N318&amp;";",Calculations!$Q$18)),1,0)</f>
        <v>0</v>
      </c>
      <c r="AW318" s="4"/>
      <c r="AX318" s="4">
        <f>VLOOKUP($N318,$N318:$CH318,MATCH('Character Sheet'!$BJ$3,Skills!$N$1:$CH$1,0),FALSE)</f>
        <v>0</v>
      </c>
    </row>
    <row r="319" spans="2:50" x14ac:dyDescent="0.25">
      <c r="B319" s="4" t="e">
        <f t="shared" si="153"/>
        <v>#N/A</v>
      </c>
      <c r="E319" s="4"/>
      <c r="F319" s="4">
        <f t="shared" si="138"/>
        <v>0</v>
      </c>
      <c r="G319" s="4"/>
      <c r="H319" s="4" t="e">
        <f t="shared" si="147"/>
        <v>#N/A</v>
      </c>
      <c r="I319" s="4" t="e">
        <f t="shared" ref="I319:I324" si="170">IF($J$245=1,1,IF($J$318=1,1,0))</f>
        <v>#N/A</v>
      </c>
      <c r="J319" s="4">
        <f t="shared" si="139"/>
        <v>0</v>
      </c>
      <c r="K319" s="4" t="e">
        <f t="shared" si="165"/>
        <v>#N/A</v>
      </c>
      <c r="M319" t="str">
        <f t="shared" ref="M319:M324" si="171">"Tactics Lore, "&amp;N319</f>
        <v>Tactics Lore, Battlefield</v>
      </c>
      <c r="N319" s="3" t="str">
        <f>'Character Sheet'!BLR85</f>
        <v>Battlefield</v>
      </c>
      <c r="O319" s="4" t="s">
        <v>798</v>
      </c>
      <c r="P319" s="4" t="s">
        <v>792</v>
      </c>
      <c r="Q319" s="4" t="e">
        <f t="shared" si="156"/>
        <v>#N/A</v>
      </c>
      <c r="R319" s="4">
        <f>IF(ISNUMBER(SEARCH("Category",N319)),"- -",IF(ISNUMBER(SEARCH("Skills",N319)),"- -",'Level-up'!C337))</f>
        <v>0</v>
      </c>
      <c r="S319" s="4" t="e">
        <f t="shared" si="140"/>
        <v>#N/A</v>
      </c>
      <c r="T319" s="4" t="e">
        <f t="shared" si="141"/>
        <v>#N/A</v>
      </c>
      <c r="U319" s="4">
        <f t="shared" ca="1" si="146"/>
        <v>3</v>
      </c>
      <c r="V319" s="4">
        <f t="shared" ref="V319:V326" si="172">IF(ISNUMBER(SEARCH("Category",N319)),"- -",IF(ISNUMBER(SEARCH("Skills",N319)),"- -",IF(AU319&gt;0,AU319,IF($AU$317&gt;0,$AU$317,$AU$244))))</f>
        <v>0</v>
      </c>
      <c r="W319" s="4">
        <f t="shared" si="155"/>
        <v>0</v>
      </c>
      <c r="X319" s="4">
        <f t="shared" si="154"/>
        <v>0</v>
      </c>
      <c r="Y319" s="4">
        <f t="shared" si="142"/>
        <v>0</v>
      </c>
      <c r="Z319" s="4">
        <f t="shared" si="143"/>
        <v>0</v>
      </c>
      <c r="AA319" s="4">
        <f t="shared" si="144"/>
        <v>0</v>
      </c>
      <c r="AB319" s="4">
        <f t="shared" si="145"/>
        <v>0</v>
      </c>
      <c r="AC319" s="8"/>
      <c r="AD319" s="4"/>
      <c r="AE319" s="4"/>
      <c r="AF319" s="4" t="e">
        <f t="shared" si="148"/>
        <v>#N/A</v>
      </c>
      <c r="AG319" s="4"/>
      <c r="AH319" s="4">
        <f>IFERROR(VLOOKUP(M319,Calculations!$AC$2:$AD$251,2,FALSE),0)</f>
        <v>0</v>
      </c>
      <c r="AI319" s="4" t="e">
        <f>VLOOKUP(N319,$N$2:$AS$620,MATCH('Character Creation'!$Z$12,Skills!$N$1:$AS$1,0),FALSE)</f>
        <v>#N/A</v>
      </c>
      <c r="AJ319" s="4" t="e">
        <f>VLOOKUP($N319,[2]Cultures!$B$4:$M$283,MATCH(AJ$1,[2]Cultures!$B$3:$M$3,0),FALSE)</f>
        <v>#N/A</v>
      </c>
      <c r="AK319" s="4" t="e">
        <f>VLOOKUP($N319,[2]Cultures!$B$4:$M$283,MATCH(AK$1,[2]Cultures!$B$3:$M$3,0),FALSE)</f>
        <v>#N/A</v>
      </c>
      <c r="AL319" s="4" t="e">
        <f>VLOOKUP($N319,[2]Cultures!$B$4:$M$283,MATCH(AL$1,[2]Cultures!$B$3:$M$3,0),FALSE)</f>
        <v>#N/A</v>
      </c>
      <c r="AM319" s="4" t="e">
        <f>VLOOKUP($N319,[2]Cultures!$B$4:$M$283,MATCH(AM$1,[2]Cultures!$B$3:$M$3,0),FALSE)</f>
        <v>#N/A</v>
      </c>
      <c r="AN319" s="4" t="e">
        <f>VLOOKUP($N319,[2]Cultures!$B$4:$M$283,MATCH(AN$1,[2]Cultures!$B$3:$M$3,0),FALSE)</f>
        <v>#N/A</v>
      </c>
      <c r="AO319" s="4" t="e">
        <f>VLOOKUP($N319,[2]Cultures!$B$4:$M$283,MATCH(AO$1,[2]Cultures!$B$3:$M$3,0),FALSE)</f>
        <v>#N/A</v>
      </c>
      <c r="AP319" s="4" t="e">
        <f>VLOOKUP($N319,[2]Cultures!$B$4:$M$283,MATCH(AP$1,[2]Cultures!$B$3:$M$3,0),FALSE)</f>
        <v>#N/A</v>
      </c>
      <c r="AQ319" s="4" t="e">
        <f>VLOOKUP($N319,[2]Cultures!$B$4:$M$283,MATCH(AQ$1,[2]Cultures!$B$3:$M$3,0),FALSE)</f>
        <v>#N/A</v>
      </c>
      <c r="AR319" s="4" t="e">
        <f>VLOOKUP($N319,[2]Cultures!$B$4:$M$283,MATCH(AR$1,[2]Cultures!$B$3:$M$3,0),FALSE)</f>
        <v>#N/A</v>
      </c>
      <c r="AS319" s="4" t="e">
        <f>VLOOKUP($N319,[2]Cultures!$B$4:$M$283,MATCH(AS$1,[2]Cultures!$B$3:$M$3,0),FALSE)</f>
        <v>#N/A</v>
      </c>
      <c r="AT319" s="4"/>
      <c r="AU319" s="4">
        <f>IF(ISNUMBER(SEARCH(N319&amp;";",Calculations!$Q$19)),VLOOKUP(Skills!N319,Calculations!$Q$2:$T$16,4,FALSE),0)</f>
        <v>0</v>
      </c>
      <c r="AV319" s="4">
        <f>IF(ISNUMBER(SEARCH(N319&amp;";",Calculations!$Q$18)),1,0)</f>
        <v>0</v>
      </c>
      <c r="AW319" s="4">
        <f t="shared" ref="AW319:AW324" si="173">IF($AV$244=1,1,IF($AV$317=1,1,AV319))</f>
        <v>0</v>
      </c>
      <c r="AX319" s="4">
        <f>VLOOKUP($N319,$N319:$CH319,MATCH('Character Sheet'!$BJ$3,Skills!$N$1:$CH$1,0),FALSE)</f>
        <v>0</v>
      </c>
    </row>
    <row r="320" spans="2:50" x14ac:dyDescent="0.25">
      <c r="B320" s="4" t="e">
        <f t="shared" si="153"/>
        <v>#N/A</v>
      </c>
      <c r="E320" s="4"/>
      <c r="F320" s="4">
        <f t="shared" si="138"/>
        <v>0</v>
      </c>
      <c r="G320" s="4"/>
      <c r="H320" s="4" t="e">
        <f t="shared" si="147"/>
        <v>#N/A</v>
      </c>
      <c r="I320" s="4" t="e">
        <f t="shared" si="170"/>
        <v>#N/A</v>
      </c>
      <c r="J320" s="4">
        <f t="shared" si="139"/>
        <v>0</v>
      </c>
      <c r="K320" s="4" t="e">
        <f t="shared" si="165"/>
        <v>#N/A</v>
      </c>
      <c r="M320" t="str">
        <f t="shared" si="171"/>
        <v>Tactics Lore, Guerrilla</v>
      </c>
      <c r="N320" s="3" t="str">
        <f>'Character Sheet'!BLR86</f>
        <v>Guerrilla</v>
      </c>
      <c r="O320" s="4" t="s">
        <v>798</v>
      </c>
      <c r="P320" s="4" t="s">
        <v>792</v>
      </c>
      <c r="Q320" s="4" t="e">
        <f t="shared" si="156"/>
        <v>#N/A</v>
      </c>
      <c r="R320" s="4">
        <f>IF(ISNUMBER(SEARCH("Category",N320)),"- -",IF(ISNUMBER(SEARCH("Skills",N320)),"- -",'Level-up'!C338))</f>
        <v>0</v>
      </c>
      <c r="S320" s="4" t="e">
        <f t="shared" si="140"/>
        <v>#N/A</v>
      </c>
      <c r="T320" s="4" t="e">
        <f t="shared" si="141"/>
        <v>#N/A</v>
      </c>
      <c r="U320" s="4">
        <f t="shared" ca="1" si="146"/>
        <v>3</v>
      </c>
      <c r="V320" s="4">
        <f t="shared" si="172"/>
        <v>0</v>
      </c>
      <c r="W320" s="4">
        <f t="shared" si="155"/>
        <v>0</v>
      </c>
      <c r="X320" s="4">
        <f t="shared" si="154"/>
        <v>0</v>
      </c>
      <c r="Y320" s="4">
        <f t="shared" si="142"/>
        <v>0</v>
      </c>
      <c r="Z320" s="4">
        <f t="shared" si="143"/>
        <v>0</v>
      </c>
      <c r="AA320" s="4">
        <f t="shared" si="144"/>
        <v>0</v>
      </c>
      <c r="AB320" s="4">
        <f t="shared" si="145"/>
        <v>0</v>
      </c>
      <c r="AC320" s="8"/>
      <c r="AD320" s="4"/>
      <c r="AE320" s="4"/>
      <c r="AF320" s="4" t="e">
        <f t="shared" si="148"/>
        <v>#N/A</v>
      </c>
      <c r="AG320" s="4"/>
      <c r="AH320" s="4">
        <f>IFERROR(VLOOKUP(M320,Calculations!$AC$2:$AD$251,2,FALSE),0)</f>
        <v>0</v>
      </c>
      <c r="AI320" s="4" t="e">
        <f>VLOOKUP(N320,$N$2:$AS$620,MATCH('Character Creation'!$Z$12,Skills!$N$1:$AS$1,0),FALSE)</f>
        <v>#N/A</v>
      </c>
      <c r="AJ320" s="4" t="e">
        <f>VLOOKUP($N320,[2]Cultures!$B$4:$M$283,MATCH(AJ$1,[2]Cultures!$B$3:$M$3,0),FALSE)</f>
        <v>#N/A</v>
      </c>
      <c r="AK320" s="4" t="e">
        <f>VLOOKUP($N320,[2]Cultures!$B$4:$M$283,MATCH(AK$1,[2]Cultures!$B$3:$M$3,0),FALSE)</f>
        <v>#N/A</v>
      </c>
      <c r="AL320" s="4" t="e">
        <f>VLOOKUP($N320,[2]Cultures!$B$4:$M$283,MATCH(AL$1,[2]Cultures!$B$3:$M$3,0),FALSE)</f>
        <v>#N/A</v>
      </c>
      <c r="AM320" s="4" t="e">
        <f>VLOOKUP($N320,[2]Cultures!$B$4:$M$283,MATCH(AM$1,[2]Cultures!$B$3:$M$3,0),FALSE)</f>
        <v>#N/A</v>
      </c>
      <c r="AN320" s="4" t="e">
        <f>VLOOKUP($N320,[2]Cultures!$B$4:$M$283,MATCH(AN$1,[2]Cultures!$B$3:$M$3,0),FALSE)</f>
        <v>#N/A</v>
      </c>
      <c r="AO320" s="4" t="e">
        <f>VLOOKUP($N320,[2]Cultures!$B$4:$M$283,MATCH(AO$1,[2]Cultures!$B$3:$M$3,0),FALSE)</f>
        <v>#N/A</v>
      </c>
      <c r="AP320" s="4" t="e">
        <f>VLOOKUP($N320,[2]Cultures!$B$4:$M$283,MATCH(AP$1,[2]Cultures!$B$3:$M$3,0),FALSE)</f>
        <v>#N/A</v>
      </c>
      <c r="AQ320" s="4" t="e">
        <f>VLOOKUP($N320,[2]Cultures!$B$4:$M$283,MATCH(AQ$1,[2]Cultures!$B$3:$M$3,0),FALSE)</f>
        <v>#N/A</v>
      </c>
      <c r="AR320" s="4" t="e">
        <f>VLOOKUP($N320,[2]Cultures!$B$4:$M$283,MATCH(AR$1,[2]Cultures!$B$3:$M$3,0),FALSE)</f>
        <v>#N/A</v>
      </c>
      <c r="AS320" s="4" t="e">
        <f>VLOOKUP($N320,[2]Cultures!$B$4:$M$283,MATCH(AS$1,[2]Cultures!$B$3:$M$3,0),FALSE)</f>
        <v>#N/A</v>
      </c>
      <c r="AT320" s="4"/>
      <c r="AU320" s="4">
        <f>IF(ISNUMBER(SEARCH(N320&amp;";",Calculations!$Q$19)),VLOOKUP(Skills!N320,Calculations!$Q$2:$T$16,4,FALSE),0)</f>
        <v>0</v>
      </c>
      <c r="AV320" s="4">
        <f>IF(ISNUMBER(SEARCH(N320&amp;";",Calculations!$Q$18)),1,0)</f>
        <v>0</v>
      </c>
      <c r="AW320" s="4">
        <f t="shared" si="173"/>
        <v>0</v>
      </c>
      <c r="AX320" s="4">
        <f>VLOOKUP($N320,$N320:$CH320,MATCH('Character Sheet'!$BJ$3,Skills!$N$1:$CH$1,0),FALSE)</f>
        <v>0</v>
      </c>
    </row>
    <row r="321" spans="1:50" x14ac:dyDescent="0.25">
      <c r="B321" s="4" t="e">
        <f t="shared" si="153"/>
        <v>#N/A</v>
      </c>
      <c r="E321" s="4"/>
      <c r="F321" s="4">
        <f t="shared" si="138"/>
        <v>0</v>
      </c>
      <c r="G321" s="4"/>
      <c r="H321" s="4" t="e">
        <f t="shared" si="147"/>
        <v>#N/A</v>
      </c>
      <c r="I321" s="4" t="e">
        <f t="shared" si="170"/>
        <v>#N/A</v>
      </c>
      <c r="J321" s="4">
        <f t="shared" si="139"/>
        <v>0</v>
      </c>
      <c r="K321" s="4" t="e">
        <f t="shared" si="165"/>
        <v>#N/A</v>
      </c>
      <c r="M321" t="str">
        <f t="shared" si="171"/>
        <v>Tactics Lore, Sabotage</v>
      </c>
      <c r="N321" s="3" t="str">
        <f>'Character Sheet'!BLR87</f>
        <v>Sabotage</v>
      </c>
      <c r="O321" s="4" t="s">
        <v>798</v>
      </c>
      <c r="P321" s="4" t="s">
        <v>792</v>
      </c>
      <c r="Q321" s="4" t="e">
        <f t="shared" si="156"/>
        <v>#N/A</v>
      </c>
      <c r="R321" s="4">
        <f>IF(ISNUMBER(SEARCH("Category",N321)),"- -",IF(ISNUMBER(SEARCH("Skills",N321)),"- -",'Level-up'!C339))</f>
        <v>0</v>
      </c>
      <c r="S321" s="4" t="e">
        <f t="shared" si="140"/>
        <v>#N/A</v>
      </c>
      <c r="T321" s="4" t="e">
        <f t="shared" si="141"/>
        <v>#N/A</v>
      </c>
      <c r="U321" s="4">
        <f t="shared" ca="1" si="146"/>
        <v>3</v>
      </c>
      <c r="V321" s="4">
        <f t="shared" si="172"/>
        <v>0</v>
      </c>
      <c r="W321" s="4">
        <f t="shared" si="155"/>
        <v>0</v>
      </c>
      <c r="X321" s="4">
        <f t="shared" si="154"/>
        <v>0</v>
      </c>
      <c r="Y321" s="4">
        <f t="shared" si="142"/>
        <v>0</v>
      </c>
      <c r="Z321" s="4">
        <f t="shared" si="143"/>
        <v>0</v>
      </c>
      <c r="AA321" s="4">
        <f t="shared" si="144"/>
        <v>0</v>
      </c>
      <c r="AB321" s="4">
        <f t="shared" si="145"/>
        <v>0</v>
      </c>
      <c r="AC321" s="8"/>
      <c r="AD321" s="4"/>
      <c r="AE321" s="4"/>
      <c r="AF321" s="4" t="e">
        <f t="shared" si="148"/>
        <v>#N/A</v>
      </c>
      <c r="AG321" s="4"/>
      <c r="AH321" s="4">
        <f>IFERROR(VLOOKUP(M321,Calculations!$AC$2:$AD$251,2,FALSE),0)</f>
        <v>0</v>
      </c>
      <c r="AI321" s="4" t="e">
        <f>VLOOKUP(N321,$N$2:$AS$620,MATCH('Character Creation'!$Z$12,Skills!$N$1:$AS$1,0),FALSE)</f>
        <v>#N/A</v>
      </c>
      <c r="AJ321" s="4" t="e">
        <f>VLOOKUP($N321,[2]Cultures!$B$4:$M$283,MATCH(AJ$1,[2]Cultures!$B$3:$M$3,0),FALSE)</f>
        <v>#N/A</v>
      </c>
      <c r="AK321" s="4" t="e">
        <f>VLOOKUP($N321,[2]Cultures!$B$4:$M$283,MATCH(AK$1,[2]Cultures!$B$3:$M$3,0),FALSE)</f>
        <v>#N/A</v>
      </c>
      <c r="AL321" s="4" t="e">
        <f>VLOOKUP($N321,[2]Cultures!$B$4:$M$283,MATCH(AL$1,[2]Cultures!$B$3:$M$3,0),FALSE)</f>
        <v>#N/A</v>
      </c>
      <c r="AM321" s="4" t="e">
        <f>VLOOKUP($N321,[2]Cultures!$B$4:$M$283,MATCH(AM$1,[2]Cultures!$B$3:$M$3,0),FALSE)</f>
        <v>#N/A</v>
      </c>
      <c r="AN321" s="4" t="e">
        <f>VLOOKUP($N321,[2]Cultures!$B$4:$M$283,MATCH(AN$1,[2]Cultures!$B$3:$M$3,0),FALSE)</f>
        <v>#N/A</v>
      </c>
      <c r="AO321" s="4" t="e">
        <f>VLOOKUP($N321,[2]Cultures!$B$4:$M$283,MATCH(AO$1,[2]Cultures!$B$3:$M$3,0),FALSE)</f>
        <v>#N/A</v>
      </c>
      <c r="AP321" s="4" t="e">
        <f>VLOOKUP($N321,[2]Cultures!$B$4:$M$283,MATCH(AP$1,[2]Cultures!$B$3:$M$3,0),FALSE)</f>
        <v>#N/A</v>
      </c>
      <c r="AQ321" s="4" t="e">
        <f>VLOOKUP($N321,[2]Cultures!$B$4:$M$283,MATCH(AQ$1,[2]Cultures!$B$3:$M$3,0),FALSE)</f>
        <v>#N/A</v>
      </c>
      <c r="AR321" s="4" t="e">
        <f>VLOOKUP($N321,[2]Cultures!$B$4:$M$283,MATCH(AR$1,[2]Cultures!$B$3:$M$3,0),FALSE)</f>
        <v>#N/A</v>
      </c>
      <c r="AS321" s="4" t="e">
        <f>VLOOKUP($N321,[2]Cultures!$B$4:$M$283,MATCH(AS$1,[2]Cultures!$B$3:$M$3,0),FALSE)</f>
        <v>#N/A</v>
      </c>
      <c r="AT321" s="4"/>
      <c r="AU321" s="4">
        <f>IF(ISNUMBER(SEARCH(N321&amp;";",Calculations!$Q$19)),VLOOKUP(Skills!N321,Calculations!$Q$2:$T$16,4,FALSE),0)</f>
        <v>0</v>
      </c>
      <c r="AV321" s="4">
        <f>IF(ISNUMBER(SEARCH(N321&amp;";",Calculations!$Q$18)),1,0)</f>
        <v>0</v>
      </c>
      <c r="AW321" s="4">
        <f t="shared" si="173"/>
        <v>0</v>
      </c>
      <c r="AX321" s="4">
        <f>VLOOKUP($N321,$N321:$CH321,MATCH('Character Sheet'!$BJ$3,Skills!$N$1:$CH$1,0),FALSE)</f>
        <v>0</v>
      </c>
    </row>
    <row r="322" spans="1:50" x14ac:dyDescent="0.25">
      <c r="B322" s="4" t="e">
        <f t="shared" si="153"/>
        <v>#N/A</v>
      </c>
      <c r="E322" s="4"/>
      <c r="F322" s="4">
        <f t="shared" si="138"/>
        <v>0</v>
      </c>
      <c r="G322" s="4"/>
      <c r="H322" s="4" t="e">
        <f t="shared" si="147"/>
        <v>#N/A</v>
      </c>
      <c r="I322" s="4" t="e">
        <f t="shared" si="170"/>
        <v>#N/A</v>
      </c>
      <c r="J322" s="4">
        <f t="shared" si="139"/>
        <v>0</v>
      </c>
      <c r="K322" s="4" t="e">
        <f t="shared" si="165"/>
        <v>#N/A</v>
      </c>
      <c r="M322" t="str">
        <f t="shared" si="171"/>
        <v>Tactics Lore, Siege</v>
      </c>
      <c r="N322" s="3" t="str">
        <f>'Character Sheet'!BLR88</f>
        <v>Siege</v>
      </c>
      <c r="O322" s="4" t="s">
        <v>798</v>
      </c>
      <c r="P322" s="4" t="s">
        <v>792</v>
      </c>
      <c r="Q322" s="4" t="e">
        <f t="shared" si="156"/>
        <v>#N/A</v>
      </c>
      <c r="R322" s="4">
        <f>IF(ISNUMBER(SEARCH("Category",N322)),"- -",IF(ISNUMBER(SEARCH("Skills",N322)),"- -",'Level-up'!C340))</f>
        <v>0</v>
      </c>
      <c r="S322" s="4" t="e">
        <f t="shared" si="140"/>
        <v>#N/A</v>
      </c>
      <c r="T322" s="4" t="e">
        <f t="shared" si="141"/>
        <v>#N/A</v>
      </c>
      <c r="U322" s="4">
        <f t="shared" ca="1" si="146"/>
        <v>3</v>
      </c>
      <c r="V322" s="4">
        <f t="shared" si="172"/>
        <v>0</v>
      </c>
      <c r="W322" s="4">
        <f t="shared" si="155"/>
        <v>0</v>
      </c>
      <c r="X322" s="4">
        <f t="shared" si="154"/>
        <v>0</v>
      </c>
      <c r="Y322" s="4">
        <f t="shared" si="142"/>
        <v>0</v>
      </c>
      <c r="Z322" s="4">
        <f t="shared" si="143"/>
        <v>0</v>
      </c>
      <c r="AA322" s="4">
        <f t="shared" si="144"/>
        <v>0</v>
      </c>
      <c r="AB322" s="4">
        <f t="shared" si="145"/>
        <v>0</v>
      </c>
      <c r="AC322" s="8"/>
      <c r="AD322" s="4"/>
      <c r="AE322" s="4"/>
      <c r="AF322" s="4" t="e">
        <f t="shared" si="148"/>
        <v>#N/A</v>
      </c>
      <c r="AG322" s="4"/>
      <c r="AH322" s="4">
        <f>IFERROR(VLOOKUP(M322,Calculations!$AC$2:$AD$251,2,FALSE),0)</f>
        <v>0</v>
      </c>
      <c r="AI322" s="4" t="e">
        <f>VLOOKUP(N322,$N$2:$AS$620,MATCH('Character Creation'!$Z$12,Skills!$N$1:$AS$1,0),FALSE)</f>
        <v>#N/A</v>
      </c>
      <c r="AJ322" s="4" t="e">
        <f>VLOOKUP($N322,[2]Cultures!$B$4:$M$283,MATCH(AJ$1,[2]Cultures!$B$3:$M$3,0),FALSE)</f>
        <v>#N/A</v>
      </c>
      <c r="AK322" s="4" t="e">
        <f>VLOOKUP($N322,[2]Cultures!$B$4:$M$283,MATCH(AK$1,[2]Cultures!$B$3:$M$3,0),FALSE)</f>
        <v>#N/A</v>
      </c>
      <c r="AL322" s="4" t="e">
        <f>VLOOKUP($N322,[2]Cultures!$B$4:$M$283,MATCH(AL$1,[2]Cultures!$B$3:$M$3,0),FALSE)</f>
        <v>#N/A</v>
      </c>
      <c r="AM322" s="4" t="e">
        <f>VLOOKUP($N322,[2]Cultures!$B$4:$M$283,MATCH(AM$1,[2]Cultures!$B$3:$M$3,0),FALSE)</f>
        <v>#N/A</v>
      </c>
      <c r="AN322" s="4" t="e">
        <f>VLOOKUP($N322,[2]Cultures!$B$4:$M$283,MATCH(AN$1,[2]Cultures!$B$3:$M$3,0),FALSE)</f>
        <v>#N/A</v>
      </c>
      <c r="AO322" s="4" t="e">
        <f>VLOOKUP($N322,[2]Cultures!$B$4:$M$283,MATCH(AO$1,[2]Cultures!$B$3:$M$3,0),FALSE)</f>
        <v>#N/A</v>
      </c>
      <c r="AP322" s="4" t="e">
        <f>VLOOKUP($N322,[2]Cultures!$B$4:$M$283,MATCH(AP$1,[2]Cultures!$B$3:$M$3,0),FALSE)</f>
        <v>#N/A</v>
      </c>
      <c r="AQ322" s="4" t="e">
        <f>VLOOKUP($N322,[2]Cultures!$B$4:$M$283,MATCH(AQ$1,[2]Cultures!$B$3:$M$3,0),FALSE)</f>
        <v>#N/A</v>
      </c>
      <c r="AR322" s="4" t="e">
        <f>VLOOKUP($N322,[2]Cultures!$B$4:$M$283,MATCH(AR$1,[2]Cultures!$B$3:$M$3,0),FALSE)</f>
        <v>#N/A</v>
      </c>
      <c r="AS322" s="4" t="e">
        <f>VLOOKUP($N322,[2]Cultures!$B$4:$M$283,MATCH(AS$1,[2]Cultures!$B$3:$M$3,0),FALSE)</f>
        <v>#N/A</v>
      </c>
      <c r="AT322" s="4"/>
      <c r="AU322" s="4">
        <f>IF(ISNUMBER(SEARCH(N322&amp;";",Calculations!$Q$19)),VLOOKUP(Skills!N322,Calculations!$Q$2:$T$16,4,FALSE),0)</f>
        <v>0</v>
      </c>
      <c r="AV322" s="4">
        <f>IF(ISNUMBER(SEARCH(N322&amp;";",Calculations!$Q$18)),1,0)</f>
        <v>0</v>
      </c>
      <c r="AW322" s="4">
        <f t="shared" si="173"/>
        <v>0</v>
      </c>
      <c r="AX322" s="4">
        <f>VLOOKUP($N322,$N322:$CH322,MATCH('Character Sheet'!$BJ$3,Skills!$N$1:$CH$1,0),FALSE)</f>
        <v>0</v>
      </c>
    </row>
    <row r="323" spans="1:50" x14ac:dyDescent="0.25">
      <c r="B323" s="4" t="e">
        <f t="shared" si="153"/>
        <v>#N/A</v>
      </c>
      <c r="E323" s="4"/>
      <c r="F323" s="4">
        <f t="shared" ref="F323:F386" si="174">IF(AX323="x",F322+1,F322)</f>
        <v>0</v>
      </c>
      <c r="G323" s="4"/>
      <c r="H323" s="4" t="e">
        <f t="shared" si="147"/>
        <v>#N/A</v>
      </c>
      <c r="I323" s="4" t="e">
        <f t="shared" si="170"/>
        <v>#N/A</v>
      </c>
      <c r="J323" s="4">
        <f t="shared" ref="J323:J386" si="175">IF(ISNUMBER(SEARCH("Skills",N323)),IF(AI323&gt;=1,1,0),0)</f>
        <v>0</v>
      </c>
      <c r="K323" s="4" t="e">
        <f t="shared" si="165"/>
        <v>#N/A</v>
      </c>
      <c r="M323" t="str">
        <f t="shared" si="171"/>
        <v>Tactics Lore, Small Unit</v>
      </c>
      <c r="N323" s="3" t="str">
        <f>'Character Sheet'!BLR89</f>
        <v>Small Unit</v>
      </c>
      <c r="O323" s="4" t="s">
        <v>798</v>
      </c>
      <c r="P323" s="4" t="s">
        <v>792</v>
      </c>
      <c r="Q323" s="4" t="e">
        <f t="shared" si="156"/>
        <v>#N/A</v>
      </c>
      <c r="R323" s="4">
        <f>IF(ISNUMBER(SEARCH("Category",N323)),"- -",IF(ISNUMBER(SEARCH("Skills",N323)),"- -",'Level-up'!C341))</f>
        <v>0</v>
      </c>
      <c r="S323" s="4" t="e">
        <f t="shared" ref="S323:S386" si="176">IF(ISNUMBER(SEARCH("Skills",N323)),"- -",IF(ISNUMBER(SEARCH("category",N323)),"- -",SUM(Q323:R323)))</f>
        <v>#N/A</v>
      </c>
      <c r="T323" s="4" t="e">
        <f t="shared" ref="T323:T386" si="177">IF(ISNUMBER(SEARCH("Skills",N323)),"- -",IF(ISNUMBER(SEARCH("category",N323)),"- -",IF(S323="",0,IF(S323=0,(IF(O323="- -",0,-25)),IF(S323&lt;11,S323*5,IF(S323&lt;21,((S323-10)*3)+50,IF(S323&lt;31,((S323-20)*2)+80,IF(S323&gt;30,(S323-30)+100))))))))</f>
        <v>#N/A</v>
      </c>
      <c r="U323" s="4">
        <f t="shared" ca="1" si="146"/>
        <v>3</v>
      </c>
      <c r="V323" s="4">
        <f t="shared" si="172"/>
        <v>0</v>
      </c>
      <c r="W323" s="4">
        <f t="shared" si="155"/>
        <v>0</v>
      </c>
      <c r="X323" s="4">
        <f t="shared" si="154"/>
        <v>0</v>
      </c>
      <c r="Y323" s="4">
        <f t="shared" si="142"/>
        <v>0</v>
      </c>
      <c r="Z323" s="4">
        <f t="shared" si="143"/>
        <v>0</v>
      </c>
      <c r="AA323" s="4">
        <f t="shared" si="144"/>
        <v>0</v>
      </c>
      <c r="AB323" s="4">
        <f t="shared" si="145"/>
        <v>0</v>
      </c>
      <c r="AC323" s="8"/>
      <c r="AD323" s="4"/>
      <c r="AE323" s="4"/>
      <c r="AF323" s="4" t="e">
        <f t="shared" si="148"/>
        <v>#N/A</v>
      </c>
      <c r="AG323" s="4"/>
      <c r="AH323" s="4">
        <f>IFERROR(VLOOKUP(M323,Calculations!$AC$2:$AD$251,2,FALSE),0)</f>
        <v>0</v>
      </c>
      <c r="AI323" s="4" t="e">
        <f>VLOOKUP(N323,$N$2:$AS$620,MATCH('Character Creation'!$Z$12,Skills!$N$1:$AS$1,0),FALSE)</f>
        <v>#N/A</v>
      </c>
      <c r="AJ323" s="4" t="e">
        <f>VLOOKUP($N323,[2]Cultures!$B$4:$M$283,MATCH(AJ$1,[2]Cultures!$B$3:$M$3,0),FALSE)</f>
        <v>#N/A</v>
      </c>
      <c r="AK323" s="4" t="e">
        <f>VLOOKUP($N323,[2]Cultures!$B$4:$M$283,MATCH(AK$1,[2]Cultures!$B$3:$M$3,0),FALSE)</f>
        <v>#N/A</v>
      </c>
      <c r="AL323" s="4" t="e">
        <f>VLOOKUP($N323,[2]Cultures!$B$4:$M$283,MATCH(AL$1,[2]Cultures!$B$3:$M$3,0),FALSE)</f>
        <v>#N/A</v>
      </c>
      <c r="AM323" s="4" t="e">
        <f>VLOOKUP($N323,[2]Cultures!$B$4:$M$283,MATCH(AM$1,[2]Cultures!$B$3:$M$3,0),FALSE)</f>
        <v>#N/A</v>
      </c>
      <c r="AN323" s="4" t="e">
        <f>VLOOKUP($N323,[2]Cultures!$B$4:$M$283,MATCH(AN$1,[2]Cultures!$B$3:$M$3,0),FALSE)</f>
        <v>#N/A</v>
      </c>
      <c r="AO323" s="4" t="e">
        <f>VLOOKUP($N323,[2]Cultures!$B$4:$M$283,MATCH(AO$1,[2]Cultures!$B$3:$M$3,0),FALSE)</f>
        <v>#N/A</v>
      </c>
      <c r="AP323" s="4" t="e">
        <f>VLOOKUP($N323,[2]Cultures!$B$4:$M$283,MATCH(AP$1,[2]Cultures!$B$3:$M$3,0),FALSE)</f>
        <v>#N/A</v>
      </c>
      <c r="AQ323" s="4" t="e">
        <f>VLOOKUP($N323,[2]Cultures!$B$4:$M$283,MATCH(AQ$1,[2]Cultures!$B$3:$M$3,0),FALSE)</f>
        <v>#N/A</v>
      </c>
      <c r="AR323" s="4" t="e">
        <f>VLOOKUP($N323,[2]Cultures!$B$4:$M$283,MATCH(AR$1,[2]Cultures!$B$3:$M$3,0),FALSE)</f>
        <v>#N/A</v>
      </c>
      <c r="AS323" s="4" t="e">
        <f>VLOOKUP($N323,[2]Cultures!$B$4:$M$283,MATCH(AS$1,[2]Cultures!$B$3:$M$3,0),FALSE)</f>
        <v>#N/A</v>
      </c>
      <c r="AT323" s="4"/>
      <c r="AU323" s="4">
        <f>IF(ISNUMBER(SEARCH(N323&amp;";",Calculations!$Q$19)),VLOOKUP(Skills!N323,Calculations!$Q$2:$T$16,4,FALSE),0)</f>
        <v>0</v>
      </c>
      <c r="AV323" s="4">
        <f>IF(ISNUMBER(SEARCH(N323&amp;";",Calculations!$Q$18)),1,0)</f>
        <v>0</v>
      </c>
      <c r="AW323" s="4">
        <f t="shared" si="173"/>
        <v>0</v>
      </c>
      <c r="AX323" s="4">
        <f>VLOOKUP($N323,$N323:$CH323,MATCH('Character Sheet'!$BJ$3,Skills!$N$1:$CH$1,0),FALSE)</f>
        <v>0</v>
      </c>
    </row>
    <row r="324" spans="1:50" x14ac:dyDescent="0.25">
      <c r="B324" s="4" t="e">
        <f t="shared" si="153"/>
        <v>#N/A</v>
      </c>
      <c r="E324" s="4"/>
      <c r="F324" s="4">
        <f t="shared" si="174"/>
        <v>0</v>
      </c>
      <c r="G324" s="4"/>
      <c r="H324" s="4" t="e">
        <f t="shared" si="147"/>
        <v>#N/A</v>
      </c>
      <c r="I324" s="4" t="e">
        <f t="shared" si="170"/>
        <v>#N/A</v>
      </c>
      <c r="J324" s="4">
        <f t="shared" si="175"/>
        <v>0</v>
      </c>
      <c r="K324" s="4" t="e">
        <f t="shared" si="165"/>
        <v>#N/A</v>
      </c>
      <c r="M324" t="str">
        <f t="shared" si="171"/>
        <v>Tactics Lore, Strategic</v>
      </c>
      <c r="N324" s="3" t="str">
        <f>'Character Sheet'!BLR90</f>
        <v>Strategic</v>
      </c>
      <c r="O324" s="4" t="s">
        <v>798</v>
      </c>
      <c r="P324" s="4" t="s">
        <v>792</v>
      </c>
      <c r="Q324" s="4" t="e">
        <f t="shared" si="156"/>
        <v>#N/A</v>
      </c>
      <c r="R324" s="4">
        <f>IF(ISNUMBER(SEARCH("Category",N324)),"- -",IF(ISNUMBER(SEARCH("Skills",N324)),"- -",'Level-up'!C342))</f>
        <v>0</v>
      </c>
      <c r="S324" s="4" t="e">
        <f t="shared" si="176"/>
        <v>#N/A</v>
      </c>
      <c r="T324" s="4" t="e">
        <f t="shared" si="177"/>
        <v>#N/A</v>
      </c>
      <c r="U324" s="4">
        <f t="shared" ca="1" si="146"/>
        <v>3</v>
      </c>
      <c r="V324" s="4">
        <f t="shared" si="172"/>
        <v>0</v>
      </c>
      <c r="W324" s="4">
        <f t="shared" si="155"/>
        <v>0</v>
      </c>
      <c r="X324" s="4">
        <f t="shared" si="154"/>
        <v>0</v>
      </c>
      <c r="Y324" s="4">
        <f t="shared" ref="Y324:Y387" si="178">IF(ISNUMBER(SEARCH("Category",N324)),"- -",IF(ISNUMBER(SEARCH("Skills",N324)),"- -",0))</f>
        <v>0</v>
      </c>
      <c r="Z324" s="4">
        <f t="shared" ref="Z324:Z387" si="179">IF(ISNUMBER(SEARCH("Category",N324)),"- -",IF(ISNUMBER(SEARCH("Skills",N324)),"- -",0))</f>
        <v>0</v>
      </c>
      <c r="AA324" s="4">
        <f t="shared" ref="AA324:AA387" si="180">IF(ISNUMBER(SEARCH("Category",N324)),"- -",IF(ISNUMBER(SEARCH("Skills",N324)),"- -",0))</f>
        <v>0</v>
      </c>
      <c r="AB324" s="4">
        <f t="shared" ref="AB324:AB387" si="181">IF(ISNUMBER(SEARCH("Category",N324)),"- -",IF(ISNUMBER(SEARCH("Skills",N324)),"- -",0))</f>
        <v>0</v>
      </c>
      <c r="AC324" s="8"/>
      <c r="AD324" s="4"/>
      <c r="AE324" s="4"/>
      <c r="AF324" s="4" t="e">
        <f t="shared" si="148"/>
        <v>#N/A</v>
      </c>
      <c r="AG324" s="4"/>
      <c r="AH324" s="4">
        <f>IFERROR(VLOOKUP(M324,Calculations!$AC$2:$AD$251,2,FALSE),0)</f>
        <v>0</v>
      </c>
      <c r="AI324" s="4" t="e">
        <f>VLOOKUP(N324,$N$2:$AS$620,MATCH('Character Creation'!$Z$12,Skills!$N$1:$AS$1,0),FALSE)</f>
        <v>#N/A</v>
      </c>
      <c r="AJ324" s="4" t="e">
        <f>VLOOKUP($N324,[2]Cultures!$B$4:$M$283,MATCH(AJ$1,[2]Cultures!$B$3:$M$3,0),FALSE)</f>
        <v>#N/A</v>
      </c>
      <c r="AK324" s="4" t="e">
        <f>VLOOKUP($N324,[2]Cultures!$B$4:$M$283,MATCH(AK$1,[2]Cultures!$B$3:$M$3,0),FALSE)</f>
        <v>#N/A</v>
      </c>
      <c r="AL324" s="4" t="e">
        <f>VLOOKUP($N324,[2]Cultures!$B$4:$M$283,MATCH(AL$1,[2]Cultures!$B$3:$M$3,0),FALSE)</f>
        <v>#N/A</v>
      </c>
      <c r="AM324" s="4" t="e">
        <f>VLOOKUP($N324,[2]Cultures!$B$4:$M$283,MATCH(AM$1,[2]Cultures!$B$3:$M$3,0),FALSE)</f>
        <v>#N/A</v>
      </c>
      <c r="AN324" s="4" t="e">
        <f>VLOOKUP($N324,[2]Cultures!$B$4:$M$283,MATCH(AN$1,[2]Cultures!$B$3:$M$3,0),FALSE)</f>
        <v>#N/A</v>
      </c>
      <c r="AO324" s="4" t="e">
        <f>VLOOKUP($N324,[2]Cultures!$B$4:$M$283,MATCH(AO$1,[2]Cultures!$B$3:$M$3,0),FALSE)</f>
        <v>#N/A</v>
      </c>
      <c r="AP324" s="4" t="e">
        <f>VLOOKUP($N324,[2]Cultures!$B$4:$M$283,MATCH(AP$1,[2]Cultures!$B$3:$M$3,0),FALSE)</f>
        <v>#N/A</v>
      </c>
      <c r="AQ324" s="4" t="e">
        <f>VLOOKUP($N324,[2]Cultures!$B$4:$M$283,MATCH(AQ$1,[2]Cultures!$B$3:$M$3,0),FALSE)</f>
        <v>#N/A</v>
      </c>
      <c r="AR324" s="4" t="e">
        <f>VLOOKUP($N324,[2]Cultures!$B$4:$M$283,MATCH(AR$1,[2]Cultures!$B$3:$M$3,0),FALSE)</f>
        <v>#N/A</v>
      </c>
      <c r="AS324" s="4" t="e">
        <f>VLOOKUP($N324,[2]Cultures!$B$4:$M$283,MATCH(AS$1,[2]Cultures!$B$3:$M$3,0),FALSE)</f>
        <v>#N/A</v>
      </c>
      <c r="AT324" s="4"/>
      <c r="AU324" s="4">
        <f>IF(ISNUMBER(SEARCH(N324&amp;";",Calculations!$Q$19)),VLOOKUP(Skills!N324,Calculations!$Q$2:$T$16,4,FALSE),0)</f>
        <v>0</v>
      </c>
      <c r="AV324" s="4">
        <f>IF(ISNUMBER(SEARCH(N324&amp;";",Calculations!$Q$18)),1,0)</f>
        <v>0</v>
      </c>
      <c r="AW324" s="4">
        <f t="shared" si="173"/>
        <v>0</v>
      </c>
      <c r="AX324" s="4">
        <f>VLOOKUP($N324,$N324:$CH324,MATCH('Character Sheet'!$BJ$3,Skills!$N$1:$CH$1,0),FALSE)</f>
        <v>0</v>
      </c>
    </row>
    <row r="325" spans="1:50" x14ac:dyDescent="0.25">
      <c r="B325" s="4" t="e">
        <f t="shared" si="153"/>
        <v>#N/A</v>
      </c>
      <c r="E325" s="4"/>
      <c r="F325" s="4">
        <f t="shared" si="174"/>
        <v>0</v>
      </c>
      <c r="G325" s="4"/>
      <c r="H325" s="4" t="e">
        <f t="shared" si="147"/>
        <v>#N/A</v>
      </c>
      <c r="I325" s="4" t="e">
        <f>IF($J$326=1,1,0)</f>
        <v>#N/A</v>
      </c>
      <c r="J325" s="4">
        <f t="shared" si="175"/>
        <v>0</v>
      </c>
      <c r="K325" s="4" t="e">
        <f t="shared" si="165"/>
        <v>#N/A</v>
      </c>
      <c r="N325" s="3" t="s">
        <v>692</v>
      </c>
      <c r="O325" s="6" t="s">
        <v>782</v>
      </c>
      <c r="P325" s="6" t="s">
        <v>782</v>
      </c>
      <c r="Q325" s="4" t="str">
        <f t="shared" si="156"/>
        <v>- -</v>
      </c>
      <c r="R325" s="4" t="str">
        <f>IF(ISNUMBER(SEARCH("Category",N325)),"- -",IF(ISNUMBER(SEARCH("Skills",N325)),"- -",'Level-up'!C343))</f>
        <v>- -</v>
      </c>
      <c r="S325" s="4" t="str">
        <f t="shared" si="176"/>
        <v>- -</v>
      </c>
      <c r="T325" s="4" t="str">
        <f t="shared" si="177"/>
        <v>- -</v>
      </c>
      <c r="U325" s="4" t="str">
        <f t="shared" ref="U325:U367" ca="1" si="182">IFERROR(INDIRECT(LEFT(O325,FIND("/",O325)-1))+INDIRECT(MID(O325,FIND("/",O325)+1,2))+INDIRECT(P325),"- -")</f>
        <v>- -</v>
      </c>
      <c r="V325" s="4" t="str">
        <f t="shared" si="172"/>
        <v>- -</v>
      </c>
      <c r="W325" s="4" t="str">
        <f t="shared" si="155"/>
        <v>- -</v>
      </c>
      <c r="X325" s="4" t="str">
        <f t="shared" si="154"/>
        <v>- -</v>
      </c>
      <c r="Y325" s="4" t="str">
        <f t="shared" si="178"/>
        <v>- -</v>
      </c>
      <c r="Z325" s="4" t="str">
        <f t="shared" si="179"/>
        <v>- -</v>
      </c>
      <c r="AA325" s="4" t="str">
        <f t="shared" si="180"/>
        <v>- -</v>
      </c>
      <c r="AB325" s="4" t="str">
        <f t="shared" si="181"/>
        <v>- -</v>
      </c>
      <c r="AC325" s="8"/>
      <c r="AD325" s="4"/>
      <c r="AE325" s="4"/>
      <c r="AF325" s="4" t="str">
        <f t="shared" si="148"/>
        <v>- -</v>
      </c>
      <c r="AG325" s="4"/>
      <c r="AH325" s="4">
        <f>IFERROR(VLOOKUP(M325,Calculations!$AC$2:$AD$251,2,FALSE),0)</f>
        <v>0</v>
      </c>
      <c r="AI325" s="4" t="e">
        <f>VLOOKUP(N325,$N$2:$AS$620,MATCH('Character Creation'!$Z$12,Skills!$N$1:$AS$1,0),FALSE)</f>
        <v>#N/A</v>
      </c>
      <c r="AJ325" s="4" t="e">
        <f>VLOOKUP($N325,[2]Cultures!$B$4:$M$283,MATCH(AJ$1,[2]Cultures!$B$3:$M$3,0),FALSE)</f>
        <v>#N/A</v>
      </c>
      <c r="AK325" s="4" t="e">
        <f>VLOOKUP($N325,[2]Cultures!$B$4:$M$283,MATCH(AK$1,[2]Cultures!$B$3:$M$3,0),FALSE)</f>
        <v>#N/A</v>
      </c>
      <c r="AL325" s="4" t="e">
        <f>VLOOKUP($N325,[2]Cultures!$B$4:$M$283,MATCH(AL$1,[2]Cultures!$B$3:$M$3,0),FALSE)</f>
        <v>#N/A</v>
      </c>
      <c r="AM325" s="4" t="e">
        <f>VLOOKUP($N325,[2]Cultures!$B$4:$M$283,MATCH(AM$1,[2]Cultures!$B$3:$M$3,0),FALSE)</f>
        <v>#N/A</v>
      </c>
      <c r="AN325" s="4" t="e">
        <f>VLOOKUP($N325,[2]Cultures!$B$4:$M$283,MATCH(AN$1,[2]Cultures!$B$3:$M$3,0),FALSE)</f>
        <v>#N/A</v>
      </c>
      <c r="AO325" s="4" t="e">
        <f>VLOOKUP($N325,[2]Cultures!$B$4:$M$283,MATCH(AO$1,[2]Cultures!$B$3:$M$3,0),FALSE)</f>
        <v>#N/A</v>
      </c>
      <c r="AP325" s="4" t="e">
        <f>VLOOKUP($N325,[2]Cultures!$B$4:$M$283,MATCH(AP$1,[2]Cultures!$B$3:$M$3,0),FALSE)</f>
        <v>#N/A</v>
      </c>
      <c r="AQ325" s="4" t="e">
        <f>VLOOKUP($N325,[2]Cultures!$B$4:$M$283,MATCH(AQ$1,[2]Cultures!$B$3:$M$3,0),FALSE)</f>
        <v>#N/A</v>
      </c>
      <c r="AR325" s="4" t="e">
        <f>VLOOKUP($N325,[2]Cultures!$B$4:$M$283,MATCH(AR$1,[2]Cultures!$B$3:$M$3,0),FALSE)</f>
        <v>#N/A</v>
      </c>
      <c r="AS325" s="4" t="e">
        <f>VLOOKUP($N325,[2]Cultures!$B$4:$M$283,MATCH(AS$1,[2]Cultures!$B$3:$M$3,0),FALSE)</f>
        <v>#N/A</v>
      </c>
      <c r="AT325" s="4"/>
      <c r="AU325" s="4">
        <f>IF(ISNUMBER(SEARCH(N325&amp;";",Calculations!$Q$19)),VLOOKUP(Skills!N325,Calculations!$Q$2:$T$16,4,FALSE),0)</f>
        <v>0</v>
      </c>
      <c r="AV325" s="4">
        <f>IF(ISNUMBER(SEARCH(N325&amp;";",Calculations!$Q$18)),1,0)</f>
        <v>0</v>
      </c>
      <c r="AW325" s="4"/>
      <c r="AX325" s="4">
        <f>VLOOKUP($N325,$N325:$CH325,MATCH('Character Sheet'!$BJ$3,Skills!$N$1:$CH$1,0),FALSE)</f>
        <v>0</v>
      </c>
    </row>
    <row r="326" spans="1:50" x14ac:dyDescent="0.25">
      <c r="B326" s="4" t="e">
        <f t="shared" si="153"/>
        <v>#N/A</v>
      </c>
      <c r="E326" s="4"/>
      <c r="F326" s="4">
        <f t="shared" si="174"/>
        <v>0</v>
      </c>
      <c r="G326" s="4"/>
      <c r="H326" s="4" t="e">
        <f t="shared" ref="H326:H368" si="183">H325+I326</f>
        <v>#N/A</v>
      </c>
      <c r="I326" s="4">
        <v>0</v>
      </c>
      <c r="J326" s="4" t="e">
        <f t="shared" si="175"/>
        <v>#N/A</v>
      </c>
      <c r="K326" s="4" t="e">
        <f t="shared" si="165"/>
        <v>#N/A</v>
      </c>
      <c r="N326" s="3" t="s">
        <v>693</v>
      </c>
      <c r="O326" s="6" t="s">
        <v>782</v>
      </c>
      <c r="P326" s="6" t="s">
        <v>782</v>
      </c>
      <c r="Q326" s="4" t="str">
        <f t="shared" si="156"/>
        <v>- -</v>
      </c>
      <c r="R326" s="4" t="str">
        <f>IF(ISNUMBER(SEARCH("Category",N326)),"- -",IF(ISNUMBER(SEARCH("Skills",N326)),"- -",'Level-up'!C344))</f>
        <v>- -</v>
      </c>
      <c r="S326" s="4" t="str">
        <f t="shared" si="176"/>
        <v>- -</v>
      </c>
      <c r="T326" s="4" t="str">
        <f t="shared" si="177"/>
        <v>- -</v>
      </c>
      <c r="U326" s="4" t="str">
        <f t="shared" ca="1" si="182"/>
        <v>- -</v>
      </c>
      <c r="V326" s="4" t="str">
        <f t="shared" si="172"/>
        <v>- -</v>
      </c>
      <c r="W326" s="4" t="str">
        <f t="shared" si="155"/>
        <v>- -</v>
      </c>
      <c r="X326" s="4" t="str">
        <f t="shared" si="154"/>
        <v>- -</v>
      </c>
      <c r="Y326" s="4" t="str">
        <f t="shared" si="178"/>
        <v>- -</v>
      </c>
      <c r="Z326" s="4" t="str">
        <f t="shared" si="179"/>
        <v>- -</v>
      </c>
      <c r="AA326" s="4" t="str">
        <f t="shared" si="180"/>
        <v>- -</v>
      </c>
      <c r="AB326" s="4" t="str">
        <f t="shared" si="181"/>
        <v>- -</v>
      </c>
      <c r="AC326" s="8"/>
      <c r="AD326" s="4"/>
      <c r="AE326" s="4"/>
      <c r="AF326" s="4" t="str">
        <f t="shared" si="148"/>
        <v>- -</v>
      </c>
      <c r="AG326" s="4"/>
      <c r="AH326" s="4">
        <f>IFERROR(VLOOKUP(M326,Calculations!$AC$2:$AD$251,2,FALSE),0)</f>
        <v>0</v>
      </c>
      <c r="AI326" s="4" t="e">
        <f>VLOOKUP(N326,$N$2:$AS$620,MATCH('Character Creation'!$Z$12,Skills!$N$1:$AS$1,0),FALSE)</f>
        <v>#N/A</v>
      </c>
      <c r="AJ326" s="4" t="e">
        <f>VLOOKUP($N326,[2]Cultures!$B$4:$M$283,MATCH(AJ$1,[2]Cultures!$B$3:$M$3,0),FALSE)</f>
        <v>#N/A</v>
      </c>
      <c r="AK326" s="4" t="e">
        <f>VLOOKUP($N326,[2]Cultures!$B$4:$M$283,MATCH(AK$1,[2]Cultures!$B$3:$M$3,0),FALSE)</f>
        <v>#N/A</v>
      </c>
      <c r="AL326" s="4" t="e">
        <f>VLOOKUP($N326,[2]Cultures!$B$4:$M$283,MATCH(AL$1,[2]Cultures!$B$3:$M$3,0),FALSE)</f>
        <v>#N/A</v>
      </c>
      <c r="AM326" s="4" t="e">
        <f>VLOOKUP($N326,[2]Cultures!$B$4:$M$283,MATCH(AM$1,[2]Cultures!$B$3:$M$3,0),FALSE)</f>
        <v>#N/A</v>
      </c>
      <c r="AN326" s="4" t="e">
        <f>VLOOKUP($N326,[2]Cultures!$B$4:$M$283,MATCH(AN$1,[2]Cultures!$B$3:$M$3,0),FALSE)</f>
        <v>#N/A</v>
      </c>
      <c r="AO326" s="4" t="e">
        <f>VLOOKUP($N326,[2]Cultures!$B$4:$M$283,MATCH(AO$1,[2]Cultures!$B$3:$M$3,0),FALSE)</f>
        <v>#N/A</v>
      </c>
      <c r="AP326" s="4" t="e">
        <f>VLOOKUP($N326,[2]Cultures!$B$4:$M$283,MATCH(AP$1,[2]Cultures!$B$3:$M$3,0),FALSE)</f>
        <v>#N/A</v>
      </c>
      <c r="AQ326" s="4" t="e">
        <f>VLOOKUP($N326,[2]Cultures!$B$4:$M$283,MATCH(AQ$1,[2]Cultures!$B$3:$M$3,0),FALSE)</f>
        <v>#N/A</v>
      </c>
      <c r="AR326" s="4" t="e">
        <f>VLOOKUP($N326,[2]Cultures!$B$4:$M$283,MATCH(AR$1,[2]Cultures!$B$3:$M$3,0),FALSE)</f>
        <v>#N/A</v>
      </c>
      <c r="AS326" s="4" t="e">
        <f>VLOOKUP($N326,[2]Cultures!$B$4:$M$283,MATCH(AS$1,[2]Cultures!$B$3:$M$3,0),FALSE)</f>
        <v>#N/A</v>
      </c>
      <c r="AT326" s="4"/>
      <c r="AU326" s="4">
        <f>IF(ISNUMBER(SEARCH(N326&amp;";",Calculations!$Q$19)),VLOOKUP(Skills!N326,Calculations!$Q$2:$T$16,4,FALSE),0)</f>
        <v>0</v>
      </c>
      <c r="AV326" s="4">
        <f>IF(ISNUMBER(SEARCH(N326&amp;";",Calculations!$Q$18)),1,0)</f>
        <v>0</v>
      </c>
      <c r="AW326" s="4"/>
      <c r="AX326" s="4">
        <f>VLOOKUP($N326,$N326:$CH326,MATCH('Character Sheet'!$BJ$3,Skills!$N$1:$CH$1,0),FALSE)</f>
        <v>0</v>
      </c>
    </row>
    <row r="327" spans="1:50" x14ac:dyDescent="0.25">
      <c r="B327" s="4" t="e">
        <f t="shared" si="153"/>
        <v>#N/A</v>
      </c>
      <c r="E327" s="4"/>
      <c r="F327" s="4">
        <f t="shared" si="174"/>
        <v>0</v>
      </c>
      <c r="G327" s="4"/>
      <c r="H327" s="4" t="e">
        <f t="shared" si="183"/>
        <v>#N/A</v>
      </c>
      <c r="I327" s="4" t="e">
        <f>IF($J$326=1,1,0)</f>
        <v>#N/A</v>
      </c>
      <c r="J327" s="4">
        <f t="shared" si="175"/>
        <v>0</v>
      </c>
      <c r="K327" s="4">
        <f t="shared" si="165"/>
        <v>0</v>
      </c>
      <c r="M327" t="str">
        <f>N327</f>
        <v>Herbalism</v>
      </c>
      <c r="N327" s="3" t="str">
        <f>'Character Sheet'!BPH5</f>
        <v>Herbalism</v>
      </c>
      <c r="O327" s="4" t="s">
        <v>796</v>
      </c>
      <c r="P327" s="4" t="s">
        <v>792</v>
      </c>
      <c r="Q327" s="4">
        <f t="shared" si="156"/>
        <v>0</v>
      </c>
      <c r="R327" s="4">
        <f>IF(ISNUMBER(SEARCH("Category",N327)),"- -",IF(ISNUMBER(SEARCH("Skills",N327)),"- -",'Level-up'!C345))</f>
        <v>0</v>
      </c>
      <c r="S327" s="4">
        <f t="shared" si="176"/>
        <v>0</v>
      </c>
      <c r="T327" s="4">
        <f t="shared" si="177"/>
        <v>-25</v>
      </c>
      <c r="U327" s="4">
        <f t="shared" ca="1" si="182"/>
        <v>5</v>
      </c>
      <c r="V327" s="4">
        <f t="shared" ref="V327:V333" si="184">IF(ISNUMBER(SEARCH("Category",N327)),"- -",IF(ISNUMBER(SEARCH("Skills",N327)),"- -",IF(AU327&gt;0,AU327,$AU$325)))</f>
        <v>0</v>
      </c>
      <c r="W327" s="4">
        <f t="shared" si="155"/>
        <v>0</v>
      </c>
      <c r="X327" s="4">
        <f t="shared" si="154"/>
        <v>0</v>
      </c>
      <c r="Y327" s="4">
        <f t="shared" si="178"/>
        <v>0</v>
      </c>
      <c r="Z327" s="4">
        <f t="shared" si="179"/>
        <v>0</v>
      </c>
      <c r="AA327" s="4">
        <f t="shared" si="180"/>
        <v>0</v>
      </c>
      <c r="AB327" s="4">
        <f t="shared" si="181"/>
        <v>0</v>
      </c>
      <c r="AC327" s="8"/>
      <c r="AD327" s="4"/>
      <c r="AE327" s="4"/>
      <c r="AF327" s="4" t="str">
        <f t="shared" ca="1" si="148"/>
        <v>-20</v>
      </c>
      <c r="AG327" s="4"/>
      <c r="AH327" s="4">
        <f>IFERROR(VLOOKUP(M327,Calculations!$AC$2:$AD$251,2,FALSE),0)</f>
        <v>0</v>
      </c>
      <c r="AI327" s="4">
        <f>VLOOKUP(N327,$N$2:$AS$620,MATCH('Character Creation'!$Z$12,Skills!$N$1:$AS$1,0),FALSE)</f>
        <v>0</v>
      </c>
      <c r="AJ327" s="4">
        <f>VLOOKUP($N327,[2]Cultures!$B$4:$M$283,MATCH(AJ$1,[2]Cultures!$B$3:$M$3,0),FALSE)</f>
        <v>0</v>
      </c>
      <c r="AK327" s="4">
        <f>VLOOKUP($N327,[2]Cultures!$B$4:$M$283,MATCH(AK$1,[2]Cultures!$B$3:$M$3,0),FALSE)</f>
        <v>0</v>
      </c>
      <c r="AL327" s="4">
        <f>VLOOKUP($N327,[2]Cultures!$B$4:$M$283,MATCH(AL$1,[2]Cultures!$B$3:$M$3,0),FALSE)</f>
        <v>1</v>
      </c>
      <c r="AM327" s="4">
        <f>VLOOKUP($N327,[2]Cultures!$B$4:$M$283,MATCH(AM$1,[2]Cultures!$B$3:$M$3,0),FALSE)</f>
        <v>0</v>
      </c>
      <c r="AN327" s="4">
        <f>VLOOKUP($N327,[2]Cultures!$B$4:$M$283,MATCH(AN$1,[2]Cultures!$B$3:$M$3,0),FALSE)</f>
        <v>1</v>
      </c>
      <c r="AO327" s="4">
        <f>VLOOKUP($N327,[2]Cultures!$B$4:$M$283,MATCH(AO$1,[2]Cultures!$B$3:$M$3,0),FALSE)</f>
        <v>0</v>
      </c>
      <c r="AP327" s="4">
        <f>VLOOKUP($N327,[2]Cultures!$B$4:$M$283,MATCH(AP$1,[2]Cultures!$B$3:$M$3,0),FALSE)</f>
        <v>1</v>
      </c>
      <c r="AQ327" s="4">
        <f>VLOOKUP($N327,[2]Cultures!$B$4:$M$283,MATCH(AQ$1,[2]Cultures!$B$3:$M$3,0),FALSE)</f>
        <v>1</v>
      </c>
      <c r="AR327" s="4">
        <f>VLOOKUP($N327,[2]Cultures!$B$4:$M$283,MATCH(AR$1,[2]Cultures!$B$3:$M$3,0),FALSE)</f>
        <v>0</v>
      </c>
      <c r="AS327" s="4">
        <f>VLOOKUP($N327,[2]Cultures!$B$4:$M$283,MATCH(AS$1,[2]Cultures!$B$3:$M$3,0),FALSE)</f>
        <v>0</v>
      </c>
      <c r="AT327" s="4"/>
      <c r="AU327" s="4">
        <f>IF(ISNUMBER(SEARCH(N327&amp;";",Calculations!$Q$19)),VLOOKUP(Skills!N327,Calculations!$Q$2:$T$16,4,FALSE),0)</f>
        <v>0</v>
      </c>
      <c r="AV327" s="4">
        <f>IF(ISNUMBER(SEARCH(N327&amp;";",Calculations!$Q$18)),1,0)</f>
        <v>0</v>
      </c>
      <c r="AW327" s="4">
        <f>IF($AV$325=1,1,AV327)</f>
        <v>0</v>
      </c>
      <c r="AX327" s="4">
        <f>VLOOKUP($N327,$N327:$CH327,MATCH('Character Sheet'!$BJ$3,Skills!$N$1:$CH$1,0),FALSE)</f>
        <v>0</v>
      </c>
    </row>
    <row r="328" spans="1:50" x14ac:dyDescent="0.25">
      <c r="A328" s="4" t="s">
        <v>2240</v>
      </c>
      <c r="B328" s="4" t="e">
        <f t="shared" si="153"/>
        <v>#N/A</v>
      </c>
      <c r="E328" s="4"/>
      <c r="F328" s="4">
        <f t="shared" si="174"/>
        <v>0</v>
      </c>
      <c r="G328" s="4"/>
      <c r="H328" s="4" t="e">
        <f t="shared" si="183"/>
        <v>#N/A</v>
      </c>
      <c r="I328" s="4" t="e">
        <f>IF($J$326=1,1,0)</f>
        <v>#N/A</v>
      </c>
      <c r="J328" s="4">
        <f t="shared" si="175"/>
        <v>0</v>
      </c>
      <c r="K328" s="4">
        <f t="shared" si="165"/>
        <v>2</v>
      </c>
      <c r="M328" t="str">
        <f>N328</f>
        <v>First Aid</v>
      </c>
      <c r="N328" s="3" t="str">
        <f>'Character Sheet'!BPH6</f>
        <v>First Aid</v>
      </c>
      <c r="O328" s="4" t="s">
        <v>796</v>
      </c>
      <c r="P328" s="4" t="s">
        <v>792</v>
      </c>
      <c r="Q328" s="4">
        <f t="shared" si="156"/>
        <v>2</v>
      </c>
      <c r="R328" s="4">
        <f>IF(ISNUMBER(SEARCH("Category",N328)),"- -",IF(ISNUMBER(SEARCH("Skills",N328)),"- -",'Level-up'!C346))</f>
        <v>0</v>
      </c>
      <c r="S328" s="4">
        <f t="shared" si="176"/>
        <v>2</v>
      </c>
      <c r="T328" s="4">
        <f t="shared" si="177"/>
        <v>10</v>
      </c>
      <c r="U328" s="4">
        <f t="shared" ca="1" si="182"/>
        <v>5</v>
      </c>
      <c r="V328" s="4">
        <f t="shared" si="184"/>
        <v>0</v>
      </c>
      <c r="W328" s="4">
        <f t="shared" si="155"/>
        <v>0</v>
      </c>
      <c r="X328" s="4">
        <f t="shared" si="154"/>
        <v>0</v>
      </c>
      <c r="Y328" s="4">
        <f t="shared" si="178"/>
        <v>0</v>
      </c>
      <c r="Z328" s="4">
        <f t="shared" si="179"/>
        <v>0</v>
      </c>
      <c r="AA328" s="4">
        <f t="shared" si="180"/>
        <v>0</v>
      </c>
      <c r="AB328" s="4">
        <f t="shared" si="181"/>
        <v>0</v>
      </c>
      <c r="AC328" s="8"/>
      <c r="AD328" s="4"/>
      <c r="AE328" s="4"/>
      <c r="AF328" s="4" t="str">
        <f t="shared" ca="1" si="148"/>
        <v>15</v>
      </c>
      <c r="AG328" s="4"/>
      <c r="AH328" s="4">
        <f>IFERROR(VLOOKUP(M328,Calculations!$AC$2:$AD$251,2,FALSE),0)</f>
        <v>0</v>
      </c>
      <c r="AI328" s="4">
        <f>VLOOKUP(N328,$N$2:$AS$620,MATCH('Character Creation'!$Z$12,Skills!$N$1:$AS$1,0),FALSE)</f>
        <v>2</v>
      </c>
      <c r="AJ328" s="4">
        <f>VLOOKUP($N328,[2]Cultures!$B$4:$M$283,MATCH(AJ$1,[2]Cultures!$B$3:$M$3,0),FALSE)</f>
        <v>0</v>
      </c>
      <c r="AK328" s="4">
        <f>VLOOKUP($N328,[2]Cultures!$B$4:$M$283,MATCH(AK$1,[2]Cultures!$B$3:$M$3,0),FALSE)</f>
        <v>2</v>
      </c>
      <c r="AL328" s="4">
        <f>VLOOKUP($N328,[2]Cultures!$B$4:$M$283,MATCH(AL$1,[2]Cultures!$B$3:$M$3,0),FALSE)</f>
        <v>1</v>
      </c>
      <c r="AM328" s="4">
        <f>VLOOKUP($N328,[2]Cultures!$B$4:$M$283,MATCH(AM$1,[2]Cultures!$B$3:$M$3,0),FALSE)</f>
        <v>1</v>
      </c>
      <c r="AN328" s="4">
        <f>VLOOKUP($N328,[2]Cultures!$B$4:$M$283,MATCH(AN$1,[2]Cultures!$B$3:$M$3,0),FALSE)</f>
        <v>1</v>
      </c>
      <c r="AO328" s="4">
        <f>VLOOKUP($N328,[2]Cultures!$B$4:$M$283,MATCH(AO$1,[2]Cultures!$B$3:$M$3,0),FALSE)</f>
        <v>1</v>
      </c>
      <c r="AP328" s="4">
        <f>VLOOKUP($N328,[2]Cultures!$B$4:$M$283,MATCH(AP$1,[2]Cultures!$B$3:$M$3,0),FALSE)</f>
        <v>1</v>
      </c>
      <c r="AQ328" s="4">
        <f>VLOOKUP($N328,[2]Cultures!$B$4:$M$283,MATCH(AQ$1,[2]Cultures!$B$3:$M$3,0),FALSE)</f>
        <v>1</v>
      </c>
      <c r="AR328" s="4">
        <f>VLOOKUP($N328,[2]Cultures!$B$4:$M$283,MATCH(AR$1,[2]Cultures!$B$3:$M$3,0),FALSE)</f>
        <v>2</v>
      </c>
      <c r="AS328" s="4">
        <f>VLOOKUP($N328,[2]Cultures!$B$4:$M$283,MATCH(AS$1,[2]Cultures!$B$3:$M$3,0),FALSE)</f>
        <v>0</v>
      </c>
      <c r="AT328" s="4"/>
      <c r="AU328" s="4">
        <f>IF(ISNUMBER(SEARCH(N328&amp;";",Calculations!$Q$19)),VLOOKUP(Skills!N328,Calculations!$Q$2:$T$16,4,FALSE),0)</f>
        <v>0</v>
      </c>
      <c r="AV328" s="4">
        <f>IF(ISNUMBER(SEARCH(N328&amp;";",Calculations!$Q$18)),1,0)</f>
        <v>0</v>
      </c>
      <c r="AW328" s="4">
        <f>IF($AV$325=1,1,AV328)</f>
        <v>0</v>
      </c>
      <c r="AX328" s="4">
        <f>VLOOKUP($N328,$N328:$CH328,MATCH('Character Sheet'!$BJ$3,Skills!$N$1:$CH$1,0),FALSE)</f>
        <v>0</v>
      </c>
    </row>
    <row r="329" spans="1:50" x14ac:dyDescent="0.25">
      <c r="B329" s="4" t="e">
        <f t="shared" si="153"/>
        <v>#N/A</v>
      </c>
      <c r="E329" s="4"/>
      <c r="F329" s="4">
        <f t="shared" si="174"/>
        <v>0</v>
      </c>
      <c r="G329" s="4"/>
      <c r="H329" s="4" t="e">
        <f t="shared" si="183"/>
        <v>#N/A</v>
      </c>
      <c r="I329" s="4" t="e">
        <f>IF($J$326=1,1,0)</f>
        <v>#N/A</v>
      </c>
      <c r="J329" s="4">
        <f t="shared" si="175"/>
        <v>0</v>
      </c>
      <c r="K329" s="4">
        <f t="shared" si="165"/>
        <v>0</v>
      </c>
      <c r="M329" t="str">
        <f>N329</f>
        <v>Second Aid</v>
      </c>
      <c r="N329" s="3" t="str">
        <f>'Character Sheet'!BPH7</f>
        <v>Second Aid</v>
      </c>
      <c r="O329" s="4" t="s">
        <v>796</v>
      </c>
      <c r="P329" s="4" t="s">
        <v>792</v>
      </c>
      <c r="Q329" s="4">
        <f t="shared" si="156"/>
        <v>0</v>
      </c>
      <c r="R329" s="4">
        <f>IF(ISNUMBER(SEARCH("Category",N329)),"- -",IF(ISNUMBER(SEARCH("Skills",N329)),"- -",'Level-up'!C347))</f>
        <v>0</v>
      </c>
      <c r="S329" s="4">
        <f t="shared" si="176"/>
        <v>0</v>
      </c>
      <c r="T329" s="4">
        <f t="shared" si="177"/>
        <v>-25</v>
      </c>
      <c r="U329" s="4">
        <f t="shared" ca="1" si="182"/>
        <v>5</v>
      </c>
      <c r="V329" s="4">
        <f t="shared" si="184"/>
        <v>0</v>
      </c>
      <c r="W329" s="4">
        <f t="shared" si="155"/>
        <v>0</v>
      </c>
      <c r="X329" s="4">
        <f t="shared" si="154"/>
        <v>0</v>
      </c>
      <c r="Y329" s="4">
        <f t="shared" si="178"/>
        <v>0</v>
      </c>
      <c r="Z329" s="4">
        <f t="shared" si="179"/>
        <v>0</v>
      </c>
      <c r="AA329" s="4">
        <f t="shared" si="180"/>
        <v>0</v>
      </c>
      <c r="AB329" s="4">
        <f t="shared" si="181"/>
        <v>0</v>
      </c>
      <c r="AC329" s="8"/>
      <c r="AD329" s="4"/>
      <c r="AE329" s="4"/>
      <c r="AF329" s="4" t="str">
        <f t="shared" ca="1" si="148"/>
        <v>-20</v>
      </c>
      <c r="AG329" s="4"/>
      <c r="AH329" s="4">
        <f>IFERROR(VLOOKUP(M329,Calculations!$AC$2:$AD$251,2,FALSE),0)</f>
        <v>0</v>
      </c>
      <c r="AI329" s="4">
        <f>VLOOKUP(N329,$N$2:$AS$620,MATCH('Character Creation'!$Z$12,Skills!$N$1:$AS$1,0),FALSE)</f>
        <v>0</v>
      </c>
      <c r="AJ329" s="4">
        <f>VLOOKUP($N329,[2]Cultures!$B$4:$M$283,MATCH(AJ$1,[2]Cultures!$B$3:$M$3,0),FALSE)</f>
        <v>0</v>
      </c>
      <c r="AK329" s="4">
        <f>VLOOKUP($N329,[2]Cultures!$B$4:$M$283,MATCH(AK$1,[2]Cultures!$B$3:$M$3,0),FALSE)</f>
        <v>0</v>
      </c>
      <c r="AL329" s="4">
        <f>VLOOKUP($N329,[2]Cultures!$B$4:$M$283,MATCH(AL$1,[2]Cultures!$B$3:$M$3,0),FALSE)</f>
        <v>0</v>
      </c>
      <c r="AM329" s="4">
        <f>VLOOKUP($N329,[2]Cultures!$B$4:$M$283,MATCH(AM$1,[2]Cultures!$B$3:$M$3,0),FALSE)</f>
        <v>0</v>
      </c>
      <c r="AN329" s="4">
        <f>VLOOKUP($N329,[2]Cultures!$B$4:$M$283,MATCH(AN$1,[2]Cultures!$B$3:$M$3,0),FALSE)</f>
        <v>0</v>
      </c>
      <c r="AO329" s="4">
        <f>VLOOKUP($N329,[2]Cultures!$B$4:$M$283,MATCH(AO$1,[2]Cultures!$B$3:$M$3,0),FALSE)</f>
        <v>0</v>
      </c>
      <c r="AP329" s="4">
        <f>VLOOKUP($N329,[2]Cultures!$B$4:$M$283,MATCH(AP$1,[2]Cultures!$B$3:$M$3,0),FALSE)</f>
        <v>0</v>
      </c>
      <c r="AQ329" s="4">
        <f>VLOOKUP($N329,[2]Cultures!$B$4:$M$283,MATCH(AQ$1,[2]Cultures!$B$3:$M$3,0),FALSE)</f>
        <v>0</v>
      </c>
      <c r="AR329" s="4">
        <f>VLOOKUP($N329,[2]Cultures!$B$4:$M$283,MATCH(AR$1,[2]Cultures!$B$3:$M$3,0),FALSE)</f>
        <v>0</v>
      </c>
      <c r="AS329" s="4">
        <f>VLOOKUP($N329,[2]Cultures!$B$4:$M$283,MATCH(AS$1,[2]Cultures!$B$3:$M$3,0),FALSE)</f>
        <v>0</v>
      </c>
      <c r="AT329" s="4"/>
      <c r="AU329" s="4">
        <f>IF(ISNUMBER(SEARCH(N329&amp;";",Calculations!$Q$19)),VLOOKUP(Skills!N329,Calculations!$Q$2:$T$16,4,FALSE),0)</f>
        <v>0</v>
      </c>
      <c r="AV329" s="4">
        <f>IF(ISNUMBER(SEARCH(N329&amp;";",Calculations!$Q$18)),1,0)</f>
        <v>0</v>
      </c>
      <c r="AW329" s="4">
        <f>IF($AV$325=1,1,AV329)</f>
        <v>0</v>
      </c>
      <c r="AX329" s="4">
        <f>VLOOKUP($N329,$N329:$CH329,MATCH('Character Sheet'!$BJ$3,Skills!$N$1:$CH$1,0),FALSE)</f>
        <v>0</v>
      </c>
    </row>
    <row r="330" spans="1:50" x14ac:dyDescent="0.25">
      <c r="B330" s="4" t="e">
        <f t="shared" si="153"/>
        <v>#N/A</v>
      </c>
      <c r="E330" s="4"/>
      <c r="F330" s="4">
        <f t="shared" si="174"/>
        <v>0</v>
      </c>
      <c r="G330" s="4"/>
      <c r="H330" s="4" t="e">
        <f t="shared" si="183"/>
        <v>#N/A</v>
      </c>
      <c r="I330" s="4" t="e">
        <f>IF($J$326=1,1,0)</f>
        <v>#N/A</v>
      </c>
      <c r="J330" s="4">
        <f t="shared" si="175"/>
        <v>0</v>
      </c>
      <c r="K330" s="4">
        <f t="shared" si="165"/>
        <v>0</v>
      </c>
      <c r="M330" t="str">
        <f>N330</f>
        <v>Medical Practice</v>
      </c>
      <c r="N330" s="3" t="str">
        <f>'Character Sheet'!BPH8</f>
        <v>Medical Practice</v>
      </c>
      <c r="O330" s="4" t="s">
        <v>796</v>
      </c>
      <c r="P330" s="4" t="s">
        <v>792</v>
      </c>
      <c r="Q330" s="4">
        <f t="shared" si="156"/>
        <v>0</v>
      </c>
      <c r="R330" s="4">
        <f>IF(ISNUMBER(SEARCH("Category",N330)),"- -",IF(ISNUMBER(SEARCH("Skills",N330)),"- -",'Level-up'!C348))</f>
        <v>0</v>
      </c>
      <c r="S330" s="4">
        <f t="shared" si="176"/>
        <v>0</v>
      </c>
      <c r="T330" s="4">
        <f t="shared" si="177"/>
        <v>-25</v>
      </c>
      <c r="U330" s="4">
        <f t="shared" ca="1" si="182"/>
        <v>5</v>
      </c>
      <c r="V330" s="4">
        <f t="shared" si="184"/>
        <v>0</v>
      </c>
      <c r="W330" s="4">
        <f t="shared" si="155"/>
        <v>0</v>
      </c>
      <c r="X330" s="4">
        <f t="shared" si="154"/>
        <v>0</v>
      </c>
      <c r="Y330" s="4">
        <f t="shared" si="178"/>
        <v>0</v>
      </c>
      <c r="Z330" s="4">
        <f t="shared" si="179"/>
        <v>0</v>
      </c>
      <c r="AA330" s="4">
        <f t="shared" si="180"/>
        <v>0</v>
      </c>
      <c r="AB330" s="4">
        <f t="shared" si="181"/>
        <v>0</v>
      </c>
      <c r="AC330" s="8"/>
      <c r="AD330" s="4"/>
      <c r="AE330" s="4"/>
      <c r="AF330" s="4" t="str">
        <f t="shared" ref="AF330:AF393" ca="1" si="185">IF(ISNUMBER(SEARCH("Skills",N330)),"- -",IF(ISNUMBER(SEARCH("category",N330)),"- -",SUM(T330:Y330)+SUM(AA330:AE330)&amp;IF(AA330=Z330,"","/"&amp;SUM(T330:AE330))))</f>
        <v>-20</v>
      </c>
      <c r="AG330" s="4"/>
      <c r="AH330" s="4">
        <f>IFERROR(VLOOKUP(M330,Calculations!$AC$2:$AD$251,2,FALSE),0)</f>
        <v>0</v>
      </c>
      <c r="AI330" s="4">
        <f>VLOOKUP(N330,$N$2:$AS$620,MATCH('Character Creation'!$Z$12,Skills!$N$1:$AS$1,0),FALSE)</f>
        <v>0</v>
      </c>
      <c r="AJ330" s="4">
        <f>VLOOKUP($N330,[2]Cultures!$B$4:$M$283,MATCH(AJ$1,[2]Cultures!$B$3:$M$3,0),FALSE)</f>
        <v>0</v>
      </c>
      <c r="AK330" s="4">
        <f>VLOOKUP($N330,[2]Cultures!$B$4:$M$283,MATCH(AK$1,[2]Cultures!$B$3:$M$3,0),FALSE)</f>
        <v>0</v>
      </c>
      <c r="AL330" s="4">
        <f>VLOOKUP($N330,[2]Cultures!$B$4:$M$283,MATCH(AL$1,[2]Cultures!$B$3:$M$3,0),FALSE)</f>
        <v>0</v>
      </c>
      <c r="AM330" s="4">
        <f>VLOOKUP($N330,[2]Cultures!$B$4:$M$283,MATCH(AM$1,[2]Cultures!$B$3:$M$3,0),FALSE)</f>
        <v>0</v>
      </c>
      <c r="AN330" s="4">
        <f>VLOOKUP($N330,[2]Cultures!$B$4:$M$283,MATCH(AN$1,[2]Cultures!$B$3:$M$3,0),FALSE)</f>
        <v>0</v>
      </c>
      <c r="AO330" s="4">
        <f>VLOOKUP($N330,[2]Cultures!$B$4:$M$283,MATCH(AO$1,[2]Cultures!$B$3:$M$3,0),FALSE)</f>
        <v>0</v>
      </c>
      <c r="AP330" s="4">
        <f>VLOOKUP($N330,[2]Cultures!$B$4:$M$283,MATCH(AP$1,[2]Cultures!$B$3:$M$3,0),FALSE)</f>
        <v>0</v>
      </c>
      <c r="AQ330" s="4">
        <f>VLOOKUP($N330,[2]Cultures!$B$4:$M$283,MATCH(AQ$1,[2]Cultures!$B$3:$M$3,0),FALSE)</f>
        <v>0</v>
      </c>
      <c r="AR330" s="4">
        <f>VLOOKUP($N330,[2]Cultures!$B$4:$M$283,MATCH(AR$1,[2]Cultures!$B$3:$M$3,0),FALSE)</f>
        <v>0</v>
      </c>
      <c r="AS330" s="4">
        <f>VLOOKUP($N330,[2]Cultures!$B$4:$M$283,MATCH(AS$1,[2]Cultures!$B$3:$M$3,0),FALSE)</f>
        <v>0</v>
      </c>
      <c r="AT330" s="4"/>
      <c r="AU330" s="4">
        <f>IF(ISNUMBER(SEARCH(N330&amp;";",Calculations!$Q$19)),VLOOKUP(Skills!N330,Calculations!$Q$2:$T$16,4,FALSE),0)</f>
        <v>0</v>
      </c>
      <c r="AV330" s="4">
        <f>IF(ISNUMBER(SEARCH(N330&amp;";",Calculations!$Q$18)),1,0)</f>
        <v>0</v>
      </c>
      <c r="AW330" s="4">
        <f>IF($AV$325=1,1,AV330)</f>
        <v>0</v>
      </c>
      <c r="AX330" s="4">
        <f>VLOOKUP($N330,$N330:$CH330,MATCH('Character Sheet'!$BJ$3,Skills!$N$1:$CH$1,0),FALSE)</f>
        <v>0</v>
      </c>
    </row>
    <row r="331" spans="1:50" x14ac:dyDescent="0.25">
      <c r="B331" s="4" t="e">
        <f t="shared" si="153"/>
        <v>#N/A</v>
      </c>
      <c r="E331" s="4"/>
      <c r="F331" s="4">
        <f t="shared" si="174"/>
        <v>0</v>
      </c>
      <c r="G331" s="4"/>
      <c r="H331" s="4" t="e">
        <f t="shared" si="183"/>
        <v>#N/A</v>
      </c>
      <c r="I331" s="4" t="e">
        <f>IF($J$326=1,1,0)</f>
        <v>#N/A</v>
      </c>
      <c r="J331" s="4">
        <f t="shared" si="175"/>
        <v>0</v>
      </c>
      <c r="K331" s="4">
        <f t="shared" si="165"/>
        <v>0</v>
      </c>
      <c r="M331" t="str">
        <f>N331</f>
        <v>Poison Mastery</v>
      </c>
      <c r="N331" s="3" t="str">
        <f>'Character Sheet'!BPH9</f>
        <v>Poison Mastery</v>
      </c>
      <c r="O331" s="4" t="s">
        <v>796</v>
      </c>
      <c r="P331" s="4" t="s">
        <v>792</v>
      </c>
      <c r="Q331" s="4">
        <f t="shared" si="156"/>
        <v>0</v>
      </c>
      <c r="R331" s="4">
        <f>IF(ISNUMBER(SEARCH("Category",N331)),"- -",IF(ISNUMBER(SEARCH("Skills",N331)),"- -",'Level-up'!C349))</f>
        <v>0</v>
      </c>
      <c r="S331" s="4">
        <f t="shared" si="176"/>
        <v>0</v>
      </c>
      <c r="T331" s="4">
        <f t="shared" si="177"/>
        <v>-25</v>
      </c>
      <c r="U331" s="4">
        <f t="shared" ca="1" si="182"/>
        <v>5</v>
      </c>
      <c r="V331" s="4">
        <f t="shared" si="184"/>
        <v>0</v>
      </c>
      <c r="W331" s="4">
        <f t="shared" si="155"/>
        <v>0</v>
      </c>
      <c r="X331" s="4">
        <f t="shared" si="154"/>
        <v>0</v>
      </c>
      <c r="Y331" s="4">
        <f t="shared" si="178"/>
        <v>0</v>
      </c>
      <c r="Z331" s="4">
        <f t="shared" si="179"/>
        <v>0</v>
      </c>
      <c r="AA331" s="4">
        <f t="shared" si="180"/>
        <v>0</v>
      </c>
      <c r="AB331" s="4">
        <f t="shared" si="181"/>
        <v>0</v>
      </c>
      <c r="AC331" s="8"/>
      <c r="AD331" s="4"/>
      <c r="AE331" s="4"/>
      <c r="AF331" s="4" t="str">
        <f t="shared" ca="1" si="185"/>
        <v>-20</v>
      </c>
      <c r="AG331" s="4"/>
      <c r="AH331" s="4">
        <f>IFERROR(VLOOKUP(M331,Calculations!$AC$2:$AD$251,2,FALSE),0)</f>
        <v>0</v>
      </c>
      <c r="AI331" s="4">
        <f>VLOOKUP(N331,$N$2:$AS$620,MATCH('Character Creation'!$Z$12,Skills!$N$1:$AS$1,0),FALSE)</f>
        <v>0</v>
      </c>
      <c r="AJ331" s="4">
        <f>VLOOKUP($N331,[2]Cultures!$B$4:$M$283,MATCH(AJ$1,[2]Cultures!$B$3:$M$3,0),FALSE)</f>
        <v>0</v>
      </c>
      <c r="AK331" s="4">
        <f>VLOOKUP($N331,[2]Cultures!$B$4:$M$283,MATCH(AK$1,[2]Cultures!$B$3:$M$3,0),FALSE)</f>
        <v>0</v>
      </c>
      <c r="AL331" s="4">
        <f>VLOOKUP($N331,[2]Cultures!$B$4:$M$283,MATCH(AL$1,[2]Cultures!$B$3:$M$3,0),FALSE)</f>
        <v>0</v>
      </c>
      <c r="AM331" s="4">
        <f>VLOOKUP($N331,[2]Cultures!$B$4:$M$283,MATCH(AM$1,[2]Cultures!$B$3:$M$3,0),FALSE)</f>
        <v>0</v>
      </c>
      <c r="AN331" s="4">
        <f>VLOOKUP($N331,[2]Cultures!$B$4:$M$283,MATCH(AN$1,[2]Cultures!$B$3:$M$3,0),FALSE)</f>
        <v>0</v>
      </c>
      <c r="AO331" s="4">
        <f>VLOOKUP($N331,[2]Cultures!$B$4:$M$283,MATCH(AO$1,[2]Cultures!$B$3:$M$3,0),FALSE)</f>
        <v>0</v>
      </c>
      <c r="AP331" s="4">
        <f>VLOOKUP($N331,[2]Cultures!$B$4:$M$283,MATCH(AP$1,[2]Cultures!$B$3:$M$3,0),FALSE)</f>
        <v>0</v>
      </c>
      <c r="AQ331" s="4">
        <f>VLOOKUP($N331,[2]Cultures!$B$4:$M$283,MATCH(AQ$1,[2]Cultures!$B$3:$M$3,0),FALSE)</f>
        <v>0</v>
      </c>
      <c r="AR331" s="4">
        <f>VLOOKUP($N331,[2]Cultures!$B$4:$M$283,MATCH(AR$1,[2]Cultures!$B$3:$M$3,0),FALSE)</f>
        <v>0</v>
      </c>
      <c r="AS331" s="4">
        <f>VLOOKUP($N331,[2]Cultures!$B$4:$M$283,MATCH(AS$1,[2]Cultures!$B$3:$M$3,0),FALSE)</f>
        <v>0</v>
      </c>
      <c r="AT331" s="4"/>
      <c r="AU331" s="4">
        <f>IF(ISNUMBER(SEARCH(N331&amp;";",Calculations!$Q$19)),VLOOKUP(Skills!N331,Calculations!$Q$2:$T$16,4,FALSE),0)</f>
        <v>0</v>
      </c>
      <c r="AV331" s="4">
        <f>IF(ISNUMBER(SEARCH(N331&amp;";",Calculations!$Q$18)),1,0)</f>
        <v>0</v>
      </c>
      <c r="AW331" s="4">
        <f>IF($AV$325=1,1,AV331)</f>
        <v>0</v>
      </c>
      <c r="AX331" s="4">
        <f>VLOOKUP($N331,$N331:$CH331,MATCH('Character Sheet'!$BJ$3,Skills!$N$1:$CH$1,0),FALSE)</f>
        <v>0</v>
      </c>
    </row>
    <row r="332" spans="1:50" x14ac:dyDescent="0.25">
      <c r="B332" s="4" t="e">
        <f t="shared" si="153"/>
        <v>#N/A</v>
      </c>
      <c r="E332" s="4"/>
      <c r="F332" s="4">
        <f t="shared" si="174"/>
        <v>0</v>
      </c>
      <c r="G332" s="4"/>
      <c r="H332" s="4" t="e">
        <f t="shared" si="183"/>
        <v>#N/A</v>
      </c>
      <c r="I332" s="4" t="e">
        <f>IF($J$333=1,1,0)</f>
        <v>#N/A</v>
      </c>
      <c r="J332" s="4">
        <f t="shared" si="175"/>
        <v>0</v>
      </c>
      <c r="K332" s="4" t="e">
        <f t="shared" si="165"/>
        <v>#N/A</v>
      </c>
      <c r="N332" s="3" t="s">
        <v>694</v>
      </c>
      <c r="O332" s="6" t="s">
        <v>782</v>
      </c>
      <c r="P332" s="6" t="s">
        <v>782</v>
      </c>
      <c r="Q332" s="4" t="str">
        <f t="shared" si="156"/>
        <v>- -</v>
      </c>
      <c r="R332" s="4" t="str">
        <f>IF(ISNUMBER(SEARCH("Category",N332)),"- -",IF(ISNUMBER(SEARCH("Skills",N332)),"- -",'Level-up'!C350))</f>
        <v>- -</v>
      </c>
      <c r="S332" s="4" t="str">
        <f t="shared" si="176"/>
        <v>- -</v>
      </c>
      <c r="T332" s="4" t="str">
        <f t="shared" si="177"/>
        <v>- -</v>
      </c>
      <c r="U332" s="4" t="str">
        <f t="shared" ca="1" si="182"/>
        <v>- -</v>
      </c>
      <c r="V332" s="4" t="str">
        <f t="shared" si="184"/>
        <v>- -</v>
      </c>
      <c r="W332" s="4" t="str">
        <f t="shared" si="155"/>
        <v>- -</v>
      </c>
      <c r="X332" s="4" t="str">
        <f t="shared" si="154"/>
        <v>- -</v>
      </c>
      <c r="Y332" s="4" t="str">
        <f t="shared" si="178"/>
        <v>- -</v>
      </c>
      <c r="Z332" s="4" t="str">
        <f t="shared" si="179"/>
        <v>- -</v>
      </c>
      <c r="AA332" s="4" t="str">
        <f t="shared" si="180"/>
        <v>- -</v>
      </c>
      <c r="AB332" s="4" t="str">
        <f t="shared" si="181"/>
        <v>- -</v>
      </c>
      <c r="AC332" s="8"/>
      <c r="AD332" s="4"/>
      <c r="AE332" s="4"/>
      <c r="AF332" s="4" t="str">
        <f t="shared" si="185"/>
        <v>- -</v>
      </c>
      <c r="AG332" s="4"/>
      <c r="AH332" s="4">
        <f>IFERROR(VLOOKUP(M332,Calculations!$AC$2:$AD$251,2,FALSE),0)</f>
        <v>0</v>
      </c>
      <c r="AI332" s="4" t="e">
        <f>VLOOKUP(N332,$N$2:$AS$620,MATCH('Character Creation'!$Z$12,Skills!$N$1:$AS$1,0),FALSE)</f>
        <v>#N/A</v>
      </c>
      <c r="AJ332" s="4" t="e">
        <f>VLOOKUP($N332,[2]Cultures!$B$4:$M$283,MATCH(AJ$1,[2]Cultures!$B$3:$M$3,0),FALSE)</f>
        <v>#N/A</v>
      </c>
      <c r="AK332" s="4" t="e">
        <f>VLOOKUP($N332,[2]Cultures!$B$4:$M$283,MATCH(AK$1,[2]Cultures!$B$3:$M$3,0),FALSE)</f>
        <v>#N/A</v>
      </c>
      <c r="AL332" s="4" t="e">
        <f>VLOOKUP($N332,[2]Cultures!$B$4:$M$283,MATCH(AL$1,[2]Cultures!$B$3:$M$3,0),FALSE)</f>
        <v>#N/A</v>
      </c>
      <c r="AM332" s="4" t="e">
        <f>VLOOKUP($N332,[2]Cultures!$B$4:$M$283,MATCH(AM$1,[2]Cultures!$B$3:$M$3,0),FALSE)</f>
        <v>#N/A</v>
      </c>
      <c r="AN332" s="4" t="e">
        <f>VLOOKUP($N332,[2]Cultures!$B$4:$M$283,MATCH(AN$1,[2]Cultures!$B$3:$M$3,0),FALSE)</f>
        <v>#N/A</v>
      </c>
      <c r="AO332" s="4" t="e">
        <f>VLOOKUP($N332,[2]Cultures!$B$4:$M$283,MATCH(AO$1,[2]Cultures!$B$3:$M$3,0),FALSE)</f>
        <v>#N/A</v>
      </c>
      <c r="AP332" s="4" t="e">
        <f>VLOOKUP($N332,[2]Cultures!$B$4:$M$283,MATCH(AP$1,[2]Cultures!$B$3:$M$3,0),FALSE)</f>
        <v>#N/A</v>
      </c>
      <c r="AQ332" s="4" t="e">
        <f>VLOOKUP($N332,[2]Cultures!$B$4:$M$283,MATCH(AQ$1,[2]Cultures!$B$3:$M$3,0),FALSE)</f>
        <v>#N/A</v>
      </c>
      <c r="AR332" s="4" t="e">
        <f>VLOOKUP($N332,[2]Cultures!$B$4:$M$283,MATCH(AR$1,[2]Cultures!$B$3:$M$3,0),FALSE)</f>
        <v>#N/A</v>
      </c>
      <c r="AS332" s="4" t="e">
        <f>VLOOKUP($N332,[2]Cultures!$B$4:$M$283,MATCH(AS$1,[2]Cultures!$B$3:$M$3,0),FALSE)</f>
        <v>#N/A</v>
      </c>
      <c r="AT332" s="4"/>
      <c r="AU332" s="4">
        <f>IF(ISNUMBER(SEARCH(N332&amp;";",Calculations!$Q$19)),VLOOKUP(Skills!N332,Calculations!$Q$2:$T$16,4,FALSE),0)</f>
        <v>0</v>
      </c>
      <c r="AV332" s="4">
        <f>IF(ISNUMBER(SEARCH(N332&amp;";",Calculations!$Q$18)),1,0)</f>
        <v>0</v>
      </c>
      <c r="AW332" s="4"/>
      <c r="AX332" s="4">
        <f>VLOOKUP($N332,$N332:$CH332,MATCH('Character Sheet'!$BJ$3,Skills!$N$1:$CH$1,0),FALSE)</f>
        <v>0</v>
      </c>
    </row>
    <row r="333" spans="1:50" x14ac:dyDescent="0.25">
      <c r="B333" s="4" t="e">
        <f t="shared" si="153"/>
        <v>#N/A</v>
      </c>
      <c r="E333" s="4"/>
      <c r="F333" s="4">
        <f t="shared" si="174"/>
        <v>0</v>
      </c>
      <c r="G333" s="4"/>
      <c r="H333" s="4" t="e">
        <f t="shared" si="183"/>
        <v>#N/A</v>
      </c>
      <c r="I333" s="4">
        <v>0</v>
      </c>
      <c r="J333" s="4" t="e">
        <f t="shared" si="175"/>
        <v>#N/A</v>
      </c>
      <c r="K333" s="4" t="e">
        <f t="shared" si="165"/>
        <v>#N/A</v>
      </c>
      <c r="N333" s="3" t="s">
        <v>695</v>
      </c>
      <c r="O333" s="6" t="s">
        <v>782</v>
      </c>
      <c r="P333" s="6" t="s">
        <v>782</v>
      </c>
      <c r="Q333" s="4" t="str">
        <f t="shared" si="156"/>
        <v>- -</v>
      </c>
      <c r="R333" s="4" t="str">
        <f>IF(ISNUMBER(SEARCH("Category",N333)),"- -",IF(ISNUMBER(SEARCH("Skills",N333)),"- -",'Level-up'!C351))</f>
        <v>- -</v>
      </c>
      <c r="S333" s="4" t="str">
        <f t="shared" si="176"/>
        <v>- -</v>
      </c>
      <c r="T333" s="4" t="str">
        <f t="shared" si="177"/>
        <v>- -</v>
      </c>
      <c r="U333" s="4" t="str">
        <f t="shared" ca="1" si="182"/>
        <v>- -</v>
      </c>
      <c r="V333" s="4" t="str">
        <f t="shared" si="184"/>
        <v>- -</v>
      </c>
      <c r="W333" s="4" t="str">
        <f t="shared" si="155"/>
        <v>- -</v>
      </c>
      <c r="X333" s="4" t="str">
        <f t="shared" si="154"/>
        <v>- -</v>
      </c>
      <c r="Y333" s="4" t="str">
        <f t="shared" si="178"/>
        <v>- -</v>
      </c>
      <c r="Z333" s="4" t="str">
        <f t="shared" si="179"/>
        <v>- -</v>
      </c>
      <c r="AA333" s="4" t="str">
        <f t="shared" si="180"/>
        <v>- -</v>
      </c>
      <c r="AB333" s="4" t="str">
        <f t="shared" si="181"/>
        <v>- -</v>
      </c>
      <c r="AC333" s="8"/>
      <c r="AD333" s="4"/>
      <c r="AE333" s="4"/>
      <c r="AF333" s="4" t="str">
        <f t="shared" si="185"/>
        <v>- -</v>
      </c>
      <c r="AG333" s="4"/>
      <c r="AH333" s="4">
        <f>IFERROR(VLOOKUP(M333,Calculations!$AC$2:$AD$251,2,FALSE),0)</f>
        <v>0</v>
      </c>
      <c r="AI333" s="4" t="e">
        <f>VLOOKUP(N333,$N$2:$AS$620,MATCH('Character Creation'!$Z$12,Skills!$N$1:$AS$1,0),FALSE)</f>
        <v>#N/A</v>
      </c>
      <c r="AJ333" s="4" t="e">
        <f>VLOOKUP($N333,[2]Cultures!$B$4:$M$283,MATCH(AJ$1,[2]Cultures!$B$3:$M$3,0),FALSE)</f>
        <v>#N/A</v>
      </c>
      <c r="AK333" s="4" t="e">
        <f>VLOOKUP($N333,[2]Cultures!$B$4:$M$283,MATCH(AK$1,[2]Cultures!$B$3:$M$3,0),FALSE)</f>
        <v>#N/A</v>
      </c>
      <c r="AL333" s="4" t="e">
        <f>VLOOKUP($N333,[2]Cultures!$B$4:$M$283,MATCH(AL$1,[2]Cultures!$B$3:$M$3,0),FALSE)</f>
        <v>#N/A</v>
      </c>
      <c r="AM333" s="4" t="e">
        <f>VLOOKUP($N333,[2]Cultures!$B$4:$M$283,MATCH(AM$1,[2]Cultures!$B$3:$M$3,0),FALSE)</f>
        <v>#N/A</v>
      </c>
      <c r="AN333" s="4" t="e">
        <f>VLOOKUP($N333,[2]Cultures!$B$4:$M$283,MATCH(AN$1,[2]Cultures!$B$3:$M$3,0),FALSE)</f>
        <v>#N/A</v>
      </c>
      <c r="AO333" s="4" t="e">
        <f>VLOOKUP($N333,[2]Cultures!$B$4:$M$283,MATCH(AO$1,[2]Cultures!$B$3:$M$3,0),FALSE)</f>
        <v>#N/A</v>
      </c>
      <c r="AP333" s="4" t="e">
        <f>VLOOKUP($N333,[2]Cultures!$B$4:$M$283,MATCH(AP$1,[2]Cultures!$B$3:$M$3,0),FALSE)</f>
        <v>#N/A</v>
      </c>
      <c r="AQ333" s="4" t="e">
        <f>VLOOKUP($N333,[2]Cultures!$B$4:$M$283,MATCH(AQ$1,[2]Cultures!$B$3:$M$3,0),FALSE)</f>
        <v>#N/A</v>
      </c>
      <c r="AR333" s="4" t="e">
        <f>VLOOKUP($N333,[2]Cultures!$B$4:$M$283,MATCH(AR$1,[2]Cultures!$B$3:$M$3,0),FALSE)</f>
        <v>#N/A</v>
      </c>
      <c r="AS333" s="4" t="e">
        <f>VLOOKUP($N333,[2]Cultures!$B$4:$M$283,MATCH(AS$1,[2]Cultures!$B$3:$M$3,0),FALSE)</f>
        <v>#N/A</v>
      </c>
      <c r="AT333" s="4"/>
      <c r="AU333" s="4">
        <f>IF(ISNUMBER(SEARCH(N333&amp;";",Calculations!$Q$19)),VLOOKUP(Skills!N333,Calculations!$Q$2:$T$16,4,FALSE),0)</f>
        <v>0</v>
      </c>
      <c r="AV333" s="4">
        <f>IF(ISNUMBER(SEARCH(N333&amp;";",Calculations!$Q$18)),1,0)</f>
        <v>0</v>
      </c>
      <c r="AW333" s="4"/>
      <c r="AX333" s="4">
        <f>VLOOKUP($N333,$N333:$CH333,MATCH('Character Sheet'!$BJ$3,Skills!$N$1:$CH$1,0),FALSE)</f>
        <v>0</v>
      </c>
    </row>
    <row r="334" spans="1:50" x14ac:dyDescent="0.25">
      <c r="B334" s="4" t="e">
        <f t="shared" si="153"/>
        <v>#N/A</v>
      </c>
      <c r="E334" s="4"/>
      <c r="F334" s="4">
        <f t="shared" si="174"/>
        <v>0</v>
      </c>
      <c r="G334" s="4"/>
      <c r="H334" s="4" t="e">
        <f t="shared" si="183"/>
        <v>#N/A</v>
      </c>
      <c r="I334" s="4" t="e">
        <f>IF($J$333=1,1,0)</f>
        <v>#N/A</v>
      </c>
      <c r="J334" s="4">
        <f t="shared" si="175"/>
        <v>0</v>
      </c>
      <c r="K334" s="4" t="e">
        <f t="shared" si="165"/>
        <v>#N/A</v>
      </c>
      <c r="M334">
        <f>N334</f>
        <v>0</v>
      </c>
      <c r="N334" s="3">
        <f>'Character Sheet'!BSX5</f>
        <v>0</v>
      </c>
      <c r="O334" s="4" t="s">
        <v>795</v>
      </c>
      <c r="P334" s="4" t="s">
        <v>794</v>
      </c>
      <c r="Q334" s="4" t="e">
        <f t="shared" si="156"/>
        <v>#N/A</v>
      </c>
      <c r="R334" s="4">
        <f>IF(ISNUMBER(SEARCH("Category",N334)),"- -",IF(ISNUMBER(SEARCH("Skills",N334)),"- -",'Level-up'!C352))</f>
        <v>0</v>
      </c>
      <c r="S334" s="4" t="e">
        <f t="shared" si="176"/>
        <v>#N/A</v>
      </c>
      <c r="T334" s="4" t="e">
        <f t="shared" si="177"/>
        <v>#N/A</v>
      </c>
      <c r="U334" s="4">
        <f t="shared" ca="1" si="182"/>
        <v>5</v>
      </c>
      <c r="V334" s="4">
        <f t="shared" ref="V334:V339" si="186">IF(ISNUMBER(SEARCH("Category",N334)),"- -",IF(ISNUMBER(SEARCH("Skills",N334)),"- -",IF(AU334&gt;0,AU334,$AU$332)))</f>
        <v>0</v>
      </c>
      <c r="W334" s="4">
        <f t="shared" si="155"/>
        <v>0</v>
      </c>
      <c r="X334" s="4">
        <f t="shared" si="154"/>
        <v>0</v>
      </c>
      <c r="Y334" s="4">
        <f t="shared" si="178"/>
        <v>0</v>
      </c>
      <c r="Z334" s="4">
        <f t="shared" si="179"/>
        <v>0</v>
      </c>
      <c r="AA334" s="4">
        <f t="shared" si="180"/>
        <v>0</v>
      </c>
      <c r="AB334" s="4">
        <f t="shared" si="181"/>
        <v>0</v>
      </c>
      <c r="AC334" s="8"/>
      <c r="AD334" s="4"/>
      <c r="AE334" s="4"/>
      <c r="AF334" s="4" t="e">
        <f t="shared" si="185"/>
        <v>#N/A</v>
      </c>
      <c r="AG334" s="4"/>
      <c r="AH334" s="4">
        <f>IFERROR(VLOOKUP(M334,Calculations!$AC$2:$AD$251,2,FALSE),0)</f>
        <v>0</v>
      </c>
      <c r="AI334" s="4" t="e">
        <f>VLOOKUP(N334,$N$2:$AS$620,MATCH('Character Creation'!$Z$12,Skills!$N$1:$AS$1,0),FALSE)</f>
        <v>#N/A</v>
      </c>
      <c r="AJ334" s="4" t="e">
        <f>VLOOKUP($N334,[2]Cultures!$B$4:$M$283,MATCH(AJ$1,[2]Cultures!$B$3:$M$3,0),FALSE)</f>
        <v>#N/A</v>
      </c>
      <c r="AK334" s="4" t="e">
        <f>VLOOKUP($N334,[2]Cultures!$B$4:$M$283,MATCH(AK$1,[2]Cultures!$B$3:$M$3,0),FALSE)</f>
        <v>#N/A</v>
      </c>
      <c r="AL334" s="4" t="e">
        <f>VLOOKUP($N334,[2]Cultures!$B$4:$M$283,MATCH(AL$1,[2]Cultures!$B$3:$M$3,0),FALSE)</f>
        <v>#N/A</v>
      </c>
      <c r="AM334" s="4" t="e">
        <f>VLOOKUP($N334,[2]Cultures!$B$4:$M$283,MATCH(AM$1,[2]Cultures!$B$3:$M$3,0),FALSE)</f>
        <v>#N/A</v>
      </c>
      <c r="AN334" s="4" t="e">
        <f>VLOOKUP($N334,[2]Cultures!$B$4:$M$283,MATCH(AN$1,[2]Cultures!$B$3:$M$3,0),FALSE)</f>
        <v>#N/A</v>
      </c>
      <c r="AO334" s="4" t="e">
        <f>VLOOKUP($N334,[2]Cultures!$B$4:$M$283,MATCH(AO$1,[2]Cultures!$B$3:$M$3,0),FALSE)</f>
        <v>#N/A</v>
      </c>
      <c r="AP334" s="4" t="e">
        <f>VLOOKUP($N334,[2]Cultures!$B$4:$M$283,MATCH(AP$1,[2]Cultures!$B$3:$M$3,0),FALSE)</f>
        <v>#N/A</v>
      </c>
      <c r="AQ334" s="4" t="e">
        <f>VLOOKUP($N334,[2]Cultures!$B$4:$M$283,MATCH(AQ$1,[2]Cultures!$B$3:$M$3,0),FALSE)</f>
        <v>#N/A</v>
      </c>
      <c r="AR334" s="4" t="e">
        <f>VLOOKUP($N334,[2]Cultures!$B$4:$M$283,MATCH(AR$1,[2]Cultures!$B$3:$M$3,0),FALSE)</f>
        <v>#N/A</v>
      </c>
      <c r="AS334" s="4" t="e">
        <f>VLOOKUP($N334,[2]Cultures!$B$4:$M$283,MATCH(AS$1,[2]Cultures!$B$3:$M$3,0),FALSE)</f>
        <v>#N/A</v>
      </c>
      <c r="AT334" s="4"/>
      <c r="AU334" s="4">
        <f>IF(ISNUMBER(SEARCH(N334&amp;";",Calculations!$Q$19)),VLOOKUP(Skills!N334,Calculations!$Q$2:$T$16,4,FALSE),0)</f>
        <v>0</v>
      </c>
      <c r="AV334" s="4">
        <f>IF(ISNUMBER(SEARCH(N334&amp;";",Calculations!$Q$18)),1,0)</f>
        <v>0</v>
      </c>
      <c r="AW334" s="4">
        <f>IF($AV$332=1,1,AV334)</f>
        <v>0</v>
      </c>
      <c r="AX334" s="4">
        <f>VLOOKUP($N334,$N334:$CH334,MATCH('Character Sheet'!$BJ$3,Skills!$N$1:$CH$1,0),FALSE)</f>
        <v>0</v>
      </c>
    </row>
    <row r="335" spans="1:50" x14ac:dyDescent="0.25">
      <c r="B335" s="4" t="e">
        <f t="shared" si="153"/>
        <v>#N/A</v>
      </c>
      <c r="E335" s="4"/>
      <c r="F335" s="4">
        <f t="shared" si="174"/>
        <v>0</v>
      </c>
      <c r="G335" s="4"/>
      <c r="H335" s="4" t="e">
        <f t="shared" si="183"/>
        <v>#N/A</v>
      </c>
      <c r="I335" s="4" t="e">
        <f>IF($J$333=1,1,0)</f>
        <v>#N/A</v>
      </c>
      <c r="J335" s="4">
        <f t="shared" si="175"/>
        <v>0</v>
      </c>
      <c r="K335" s="4" t="e">
        <f t="shared" si="165"/>
        <v>#N/A</v>
      </c>
      <c r="M335">
        <f>N335</f>
        <v>0</v>
      </c>
      <c r="N335" s="3">
        <f>'Character Sheet'!BSX6</f>
        <v>0</v>
      </c>
      <c r="O335" s="4" t="s">
        <v>795</v>
      </c>
      <c r="P335" s="4" t="s">
        <v>794</v>
      </c>
      <c r="Q335" s="4" t="e">
        <f t="shared" si="156"/>
        <v>#N/A</v>
      </c>
      <c r="R335" s="4">
        <f>IF(ISNUMBER(SEARCH("Category",N335)),"- -",IF(ISNUMBER(SEARCH("Skills",N335)),"- -",'Level-up'!C353))</f>
        <v>0</v>
      </c>
      <c r="S335" s="4" t="e">
        <f t="shared" si="176"/>
        <v>#N/A</v>
      </c>
      <c r="T335" s="4" t="e">
        <f t="shared" si="177"/>
        <v>#N/A</v>
      </c>
      <c r="U335" s="4">
        <f t="shared" ca="1" si="182"/>
        <v>5</v>
      </c>
      <c r="V335" s="4">
        <f t="shared" si="186"/>
        <v>0</v>
      </c>
      <c r="W335" s="4">
        <f t="shared" si="155"/>
        <v>0</v>
      </c>
      <c r="X335" s="4">
        <f t="shared" si="154"/>
        <v>0</v>
      </c>
      <c r="Y335" s="4">
        <f t="shared" si="178"/>
        <v>0</v>
      </c>
      <c r="Z335" s="4">
        <f t="shared" si="179"/>
        <v>0</v>
      </c>
      <c r="AA335" s="4">
        <f t="shared" si="180"/>
        <v>0</v>
      </c>
      <c r="AB335" s="4">
        <f t="shared" si="181"/>
        <v>0</v>
      </c>
      <c r="AC335" s="8"/>
      <c r="AD335" s="4"/>
      <c r="AE335" s="4"/>
      <c r="AF335" s="4" t="e">
        <f t="shared" si="185"/>
        <v>#N/A</v>
      </c>
      <c r="AG335" s="4"/>
      <c r="AH335" s="4">
        <f>IFERROR(VLOOKUP(M335,Calculations!$AC$2:$AD$251,2,FALSE),0)</f>
        <v>0</v>
      </c>
      <c r="AI335" s="4" t="e">
        <f>VLOOKUP(N335,$N$2:$AS$620,MATCH('Character Creation'!$Z$12,Skills!$N$1:$AS$1,0),FALSE)</f>
        <v>#N/A</v>
      </c>
      <c r="AJ335" s="4" t="e">
        <f>VLOOKUP($N335,[2]Cultures!$B$4:$M$283,MATCH(AJ$1,[2]Cultures!$B$3:$M$3,0),FALSE)</f>
        <v>#N/A</v>
      </c>
      <c r="AK335" s="4" t="e">
        <f>VLOOKUP($N335,[2]Cultures!$B$4:$M$283,MATCH(AK$1,[2]Cultures!$B$3:$M$3,0),FALSE)</f>
        <v>#N/A</v>
      </c>
      <c r="AL335" s="4" t="e">
        <f>VLOOKUP($N335,[2]Cultures!$B$4:$M$283,MATCH(AL$1,[2]Cultures!$B$3:$M$3,0),FALSE)</f>
        <v>#N/A</v>
      </c>
      <c r="AM335" s="4" t="e">
        <f>VLOOKUP($N335,[2]Cultures!$B$4:$M$283,MATCH(AM$1,[2]Cultures!$B$3:$M$3,0),FALSE)</f>
        <v>#N/A</v>
      </c>
      <c r="AN335" s="4" t="e">
        <f>VLOOKUP($N335,[2]Cultures!$B$4:$M$283,MATCH(AN$1,[2]Cultures!$B$3:$M$3,0),FALSE)</f>
        <v>#N/A</v>
      </c>
      <c r="AO335" s="4" t="e">
        <f>VLOOKUP($N335,[2]Cultures!$B$4:$M$283,MATCH(AO$1,[2]Cultures!$B$3:$M$3,0),FALSE)</f>
        <v>#N/A</v>
      </c>
      <c r="AP335" s="4" t="e">
        <f>VLOOKUP($N335,[2]Cultures!$B$4:$M$283,MATCH(AP$1,[2]Cultures!$B$3:$M$3,0),FALSE)</f>
        <v>#N/A</v>
      </c>
      <c r="AQ335" s="4" t="e">
        <f>VLOOKUP($N335,[2]Cultures!$B$4:$M$283,MATCH(AQ$1,[2]Cultures!$B$3:$M$3,0),FALSE)</f>
        <v>#N/A</v>
      </c>
      <c r="AR335" s="4" t="e">
        <f>VLOOKUP($N335,[2]Cultures!$B$4:$M$283,MATCH(AR$1,[2]Cultures!$B$3:$M$3,0),FALSE)</f>
        <v>#N/A</v>
      </c>
      <c r="AS335" s="4" t="e">
        <f>VLOOKUP($N335,[2]Cultures!$B$4:$M$283,MATCH(AS$1,[2]Cultures!$B$3:$M$3,0),FALSE)</f>
        <v>#N/A</v>
      </c>
      <c r="AT335" s="4"/>
      <c r="AU335" s="4">
        <f>IF(ISNUMBER(SEARCH(N335&amp;";",Calculations!$Q$19)),VLOOKUP(Skills!N335,Calculations!$Q$2:$T$16,4,FALSE),0)</f>
        <v>0</v>
      </c>
      <c r="AV335" s="4">
        <f>IF(ISNUMBER(SEARCH(N335&amp;";",Calculations!$Q$18)),1,0)</f>
        <v>0</v>
      </c>
      <c r="AW335" s="4">
        <f>IF($AV$332=1,1,AV335)</f>
        <v>0</v>
      </c>
      <c r="AX335" s="4">
        <f>VLOOKUP($N335,$N335:$CH335,MATCH('Character Sheet'!$BJ$3,Skills!$N$1:$CH$1,0),FALSE)</f>
        <v>0</v>
      </c>
    </row>
    <row r="336" spans="1:50" x14ac:dyDescent="0.25">
      <c r="B336" s="4" t="e">
        <f t="shared" si="153"/>
        <v>#N/A</v>
      </c>
      <c r="E336" s="4"/>
      <c r="F336" s="4">
        <f t="shared" si="174"/>
        <v>0</v>
      </c>
      <c r="G336" s="4"/>
      <c r="H336" s="4" t="e">
        <f t="shared" si="183"/>
        <v>#N/A</v>
      </c>
      <c r="I336" s="4" t="e">
        <f>IF($J$333=1,1,0)</f>
        <v>#N/A</v>
      </c>
      <c r="J336" s="4">
        <f t="shared" si="175"/>
        <v>0</v>
      </c>
      <c r="K336" s="4" t="e">
        <f t="shared" ref="K336:K369" si="187">IF(ISNUMBER(SEARCH("Category",N336)),K337,AI336)</f>
        <v>#N/A</v>
      </c>
      <c r="M336">
        <f>N336</f>
        <v>0</v>
      </c>
      <c r="N336" s="3">
        <f>'Character Sheet'!BSX7</f>
        <v>0</v>
      </c>
      <c r="O336" s="4" t="s">
        <v>795</v>
      </c>
      <c r="P336" s="4" t="s">
        <v>794</v>
      </c>
      <c r="Q336" s="4" t="e">
        <f t="shared" si="156"/>
        <v>#N/A</v>
      </c>
      <c r="R336" s="4">
        <f>IF(ISNUMBER(SEARCH("Category",N336)),"- -",IF(ISNUMBER(SEARCH("Skills",N336)),"- -",'Level-up'!C354))</f>
        <v>0</v>
      </c>
      <c r="S336" s="4" t="e">
        <f t="shared" si="176"/>
        <v>#N/A</v>
      </c>
      <c r="T336" s="4" t="e">
        <f t="shared" si="177"/>
        <v>#N/A</v>
      </c>
      <c r="U336" s="4">
        <f t="shared" ca="1" si="182"/>
        <v>5</v>
      </c>
      <c r="V336" s="4">
        <f t="shared" si="186"/>
        <v>0</v>
      </c>
      <c r="W336" s="4">
        <f t="shared" si="155"/>
        <v>0</v>
      </c>
      <c r="X336" s="4">
        <f t="shared" si="154"/>
        <v>0</v>
      </c>
      <c r="Y336" s="4">
        <f t="shared" si="178"/>
        <v>0</v>
      </c>
      <c r="Z336" s="4">
        <f t="shared" si="179"/>
        <v>0</v>
      </c>
      <c r="AA336" s="4">
        <f t="shared" si="180"/>
        <v>0</v>
      </c>
      <c r="AB336" s="4">
        <f t="shared" si="181"/>
        <v>0</v>
      </c>
      <c r="AC336" s="8"/>
      <c r="AD336" s="4"/>
      <c r="AE336" s="4"/>
      <c r="AF336" s="4" t="e">
        <f t="shared" si="185"/>
        <v>#N/A</v>
      </c>
      <c r="AG336" s="4"/>
      <c r="AH336" s="4">
        <f>IFERROR(VLOOKUP(M336,Calculations!$AC$2:$AD$251,2,FALSE),0)</f>
        <v>0</v>
      </c>
      <c r="AI336" s="4" t="e">
        <f>VLOOKUP(N336,$N$2:$AS$620,MATCH('Character Creation'!$Z$12,Skills!$N$1:$AS$1,0),FALSE)</f>
        <v>#N/A</v>
      </c>
      <c r="AJ336" s="4" t="e">
        <f>VLOOKUP($N336,[2]Cultures!$B$4:$M$283,MATCH(AJ$1,[2]Cultures!$B$3:$M$3,0),FALSE)</f>
        <v>#N/A</v>
      </c>
      <c r="AK336" s="4" t="e">
        <f>VLOOKUP($N336,[2]Cultures!$B$4:$M$283,MATCH(AK$1,[2]Cultures!$B$3:$M$3,0),FALSE)</f>
        <v>#N/A</v>
      </c>
      <c r="AL336" s="4" t="e">
        <f>VLOOKUP($N336,[2]Cultures!$B$4:$M$283,MATCH(AL$1,[2]Cultures!$B$3:$M$3,0),FALSE)</f>
        <v>#N/A</v>
      </c>
      <c r="AM336" s="4" t="e">
        <f>VLOOKUP($N336,[2]Cultures!$B$4:$M$283,MATCH(AM$1,[2]Cultures!$B$3:$M$3,0),FALSE)</f>
        <v>#N/A</v>
      </c>
      <c r="AN336" s="4" t="e">
        <f>VLOOKUP($N336,[2]Cultures!$B$4:$M$283,MATCH(AN$1,[2]Cultures!$B$3:$M$3,0),FALSE)</f>
        <v>#N/A</v>
      </c>
      <c r="AO336" s="4" t="e">
        <f>VLOOKUP($N336,[2]Cultures!$B$4:$M$283,MATCH(AO$1,[2]Cultures!$B$3:$M$3,0),FALSE)</f>
        <v>#N/A</v>
      </c>
      <c r="AP336" s="4" t="e">
        <f>VLOOKUP($N336,[2]Cultures!$B$4:$M$283,MATCH(AP$1,[2]Cultures!$B$3:$M$3,0),FALSE)</f>
        <v>#N/A</v>
      </c>
      <c r="AQ336" s="4" t="e">
        <f>VLOOKUP($N336,[2]Cultures!$B$4:$M$283,MATCH(AQ$1,[2]Cultures!$B$3:$M$3,0),FALSE)</f>
        <v>#N/A</v>
      </c>
      <c r="AR336" s="4" t="e">
        <f>VLOOKUP($N336,[2]Cultures!$B$4:$M$283,MATCH(AR$1,[2]Cultures!$B$3:$M$3,0),FALSE)</f>
        <v>#N/A</v>
      </c>
      <c r="AS336" s="4" t="e">
        <f>VLOOKUP($N336,[2]Cultures!$B$4:$M$283,MATCH(AS$1,[2]Cultures!$B$3:$M$3,0),FALSE)</f>
        <v>#N/A</v>
      </c>
      <c r="AT336" s="4"/>
      <c r="AU336" s="4">
        <f>IF(ISNUMBER(SEARCH(N336&amp;";",Calculations!$Q$19)),VLOOKUP(Skills!N336,Calculations!$Q$2:$T$16,4,FALSE),0)</f>
        <v>0</v>
      </c>
      <c r="AV336" s="4">
        <f>IF(ISNUMBER(SEARCH(N336&amp;";",Calculations!$Q$18)),1,0)</f>
        <v>0</v>
      </c>
      <c r="AW336" s="4">
        <f>IF($AV$332=1,1,AV336)</f>
        <v>0</v>
      </c>
      <c r="AX336" s="4">
        <f>VLOOKUP($N336,$N336:$CH336,MATCH('Character Sheet'!$BJ$3,Skills!$N$1:$CH$1,0),FALSE)</f>
        <v>0</v>
      </c>
    </row>
    <row r="337" spans="1:50" x14ac:dyDescent="0.25">
      <c r="B337" s="4" t="e">
        <f t="shared" si="153"/>
        <v>#N/A</v>
      </c>
      <c r="E337" s="4"/>
      <c r="F337" s="4">
        <f t="shared" si="174"/>
        <v>0</v>
      </c>
      <c r="G337" s="4"/>
      <c r="H337" s="4" t="e">
        <f t="shared" si="183"/>
        <v>#N/A</v>
      </c>
      <c r="I337" s="4" t="e">
        <f>IF($J$333=1,1,0)</f>
        <v>#N/A</v>
      </c>
      <c r="J337" s="4">
        <f t="shared" si="175"/>
        <v>0</v>
      </c>
      <c r="K337" s="4" t="e">
        <f t="shared" si="187"/>
        <v>#N/A</v>
      </c>
      <c r="M337">
        <f>N337</f>
        <v>0</v>
      </c>
      <c r="N337" s="3">
        <f>'Character Sheet'!BSX8</f>
        <v>0</v>
      </c>
      <c r="O337" s="4" t="s">
        <v>795</v>
      </c>
      <c r="P337" s="4" t="s">
        <v>794</v>
      </c>
      <c r="Q337" s="4" t="e">
        <f t="shared" si="156"/>
        <v>#N/A</v>
      </c>
      <c r="R337" s="4">
        <f>IF(ISNUMBER(SEARCH("Category",N337)),"- -",IF(ISNUMBER(SEARCH("Skills",N337)),"- -",'Level-up'!C355))</f>
        <v>0</v>
      </c>
      <c r="S337" s="4" t="e">
        <f t="shared" si="176"/>
        <v>#N/A</v>
      </c>
      <c r="T337" s="4" t="e">
        <f t="shared" si="177"/>
        <v>#N/A</v>
      </c>
      <c r="U337" s="4">
        <f t="shared" ca="1" si="182"/>
        <v>5</v>
      </c>
      <c r="V337" s="4">
        <f t="shared" si="186"/>
        <v>0</v>
      </c>
      <c r="W337" s="4">
        <f t="shared" si="155"/>
        <v>0</v>
      </c>
      <c r="X337" s="4">
        <f t="shared" si="154"/>
        <v>0</v>
      </c>
      <c r="Y337" s="4">
        <f t="shared" si="178"/>
        <v>0</v>
      </c>
      <c r="Z337" s="4">
        <f t="shared" si="179"/>
        <v>0</v>
      </c>
      <c r="AA337" s="4">
        <f t="shared" si="180"/>
        <v>0</v>
      </c>
      <c r="AB337" s="4">
        <f t="shared" si="181"/>
        <v>0</v>
      </c>
      <c r="AC337" s="8"/>
      <c r="AD337" s="4"/>
      <c r="AE337" s="4"/>
      <c r="AF337" s="4" t="e">
        <f t="shared" si="185"/>
        <v>#N/A</v>
      </c>
      <c r="AG337" s="4"/>
      <c r="AH337" s="4">
        <f>IFERROR(VLOOKUP(M337,Calculations!$AC$2:$AD$251,2,FALSE),0)</f>
        <v>0</v>
      </c>
      <c r="AI337" s="4" t="e">
        <f>VLOOKUP(N337,$N$2:$AS$620,MATCH('Character Creation'!$Z$12,Skills!$N$1:$AS$1,0),FALSE)</f>
        <v>#N/A</v>
      </c>
      <c r="AJ337" s="4" t="e">
        <f>VLOOKUP($N337,[2]Cultures!$B$4:$M$283,MATCH(AJ$1,[2]Cultures!$B$3:$M$3,0),FALSE)</f>
        <v>#N/A</v>
      </c>
      <c r="AK337" s="4" t="e">
        <f>VLOOKUP($N337,[2]Cultures!$B$4:$M$283,MATCH(AK$1,[2]Cultures!$B$3:$M$3,0),FALSE)</f>
        <v>#N/A</v>
      </c>
      <c r="AL337" s="4" t="e">
        <f>VLOOKUP($N337,[2]Cultures!$B$4:$M$283,MATCH(AL$1,[2]Cultures!$B$3:$M$3,0),FALSE)</f>
        <v>#N/A</v>
      </c>
      <c r="AM337" s="4" t="e">
        <f>VLOOKUP($N337,[2]Cultures!$B$4:$M$283,MATCH(AM$1,[2]Cultures!$B$3:$M$3,0),FALSE)</f>
        <v>#N/A</v>
      </c>
      <c r="AN337" s="4" t="e">
        <f>VLOOKUP($N337,[2]Cultures!$B$4:$M$283,MATCH(AN$1,[2]Cultures!$B$3:$M$3,0),FALSE)</f>
        <v>#N/A</v>
      </c>
      <c r="AO337" s="4" t="e">
        <f>VLOOKUP($N337,[2]Cultures!$B$4:$M$283,MATCH(AO$1,[2]Cultures!$B$3:$M$3,0),FALSE)</f>
        <v>#N/A</v>
      </c>
      <c r="AP337" s="4" t="e">
        <f>VLOOKUP($N337,[2]Cultures!$B$4:$M$283,MATCH(AP$1,[2]Cultures!$B$3:$M$3,0),FALSE)</f>
        <v>#N/A</v>
      </c>
      <c r="AQ337" s="4" t="e">
        <f>VLOOKUP($N337,[2]Cultures!$B$4:$M$283,MATCH(AQ$1,[2]Cultures!$B$3:$M$3,0),FALSE)</f>
        <v>#N/A</v>
      </c>
      <c r="AR337" s="4" t="e">
        <f>VLOOKUP($N337,[2]Cultures!$B$4:$M$283,MATCH(AR$1,[2]Cultures!$B$3:$M$3,0),FALSE)</f>
        <v>#N/A</v>
      </c>
      <c r="AS337" s="4" t="e">
        <f>VLOOKUP($N337,[2]Cultures!$B$4:$M$283,MATCH(AS$1,[2]Cultures!$B$3:$M$3,0),FALSE)</f>
        <v>#N/A</v>
      </c>
      <c r="AT337" s="4"/>
      <c r="AU337" s="4">
        <f>IF(ISNUMBER(SEARCH(N337&amp;";",Calculations!$Q$19)),VLOOKUP(Skills!N337,Calculations!$Q$2:$T$16,4,FALSE),0)</f>
        <v>0</v>
      </c>
      <c r="AV337" s="4">
        <f>IF(ISNUMBER(SEARCH(N337&amp;";",Calculations!$Q$18)),1,0)</f>
        <v>0</v>
      </c>
      <c r="AW337" s="4">
        <f>IF($AV$332=1,1,AV337)</f>
        <v>0</v>
      </c>
      <c r="AX337" s="4">
        <f>VLOOKUP($N337,$N337:$CH337,MATCH('Character Sheet'!$BJ$3,Skills!$N$1:$CH$1,0),FALSE)</f>
        <v>0</v>
      </c>
    </row>
    <row r="338" spans="1:50" x14ac:dyDescent="0.25">
      <c r="B338" s="4" t="e">
        <f t="shared" si="153"/>
        <v>#N/A</v>
      </c>
      <c r="E338" s="4"/>
      <c r="F338" s="4">
        <f t="shared" si="174"/>
        <v>0</v>
      </c>
      <c r="G338" s="4"/>
      <c r="H338" s="4" t="e">
        <f t="shared" si="183"/>
        <v>#N/A</v>
      </c>
      <c r="I338" s="4" t="e">
        <f>IF($J$339=1,1,0)</f>
        <v>#N/A</v>
      </c>
      <c r="J338" s="4">
        <f t="shared" si="175"/>
        <v>0</v>
      </c>
      <c r="K338" s="4" t="e">
        <f t="shared" si="187"/>
        <v>#N/A</v>
      </c>
      <c r="N338" s="3" t="s">
        <v>696</v>
      </c>
      <c r="O338" s="6" t="s">
        <v>782</v>
      </c>
      <c r="P338" s="6" t="s">
        <v>782</v>
      </c>
      <c r="Q338" s="4" t="str">
        <f t="shared" si="156"/>
        <v>- -</v>
      </c>
      <c r="R338" s="4" t="str">
        <f>IF(ISNUMBER(SEARCH("Category",N338)),"- -",IF(ISNUMBER(SEARCH("Skills",N338)),"- -",'Level-up'!C356))</f>
        <v>- -</v>
      </c>
      <c r="S338" s="4" t="str">
        <f t="shared" si="176"/>
        <v>- -</v>
      </c>
      <c r="T338" s="4" t="str">
        <f t="shared" si="177"/>
        <v>- -</v>
      </c>
      <c r="U338" s="4" t="str">
        <f t="shared" ca="1" si="182"/>
        <v>- -</v>
      </c>
      <c r="V338" s="4" t="str">
        <f t="shared" si="186"/>
        <v>- -</v>
      </c>
      <c r="W338" s="4" t="str">
        <f t="shared" si="155"/>
        <v>- -</v>
      </c>
      <c r="X338" s="4" t="str">
        <f t="shared" si="154"/>
        <v>- -</v>
      </c>
      <c r="Y338" s="4" t="str">
        <f t="shared" si="178"/>
        <v>- -</v>
      </c>
      <c r="Z338" s="4" t="str">
        <f t="shared" si="179"/>
        <v>- -</v>
      </c>
      <c r="AA338" s="4" t="str">
        <f t="shared" si="180"/>
        <v>- -</v>
      </c>
      <c r="AB338" s="4" t="str">
        <f t="shared" si="181"/>
        <v>- -</v>
      </c>
      <c r="AC338" s="8"/>
      <c r="AD338" s="4"/>
      <c r="AE338" s="4"/>
      <c r="AF338" s="4" t="str">
        <f t="shared" si="185"/>
        <v>- -</v>
      </c>
      <c r="AG338" s="4"/>
      <c r="AH338" s="4">
        <f>IFERROR(VLOOKUP(M338,Calculations!$AC$2:$AD$251,2,FALSE),0)</f>
        <v>0</v>
      </c>
      <c r="AI338" s="4" t="e">
        <f>VLOOKUP(N338,$N$2:$AS$620,MATCH('Character Creation'!$Z$12,Skills!$N$1:$AS$1,0),FALSE)</f>
        <v>#N/A</v>
      </c>
      <c r="AJ338" s="4" t="e">
        <f>VLOOKUP($N338,[2]Cultures!$B$4:$M$283,MATCH(AJ$1,[2]Cultures!$B$3:$M$3,0),FALSE)</f>
        <v>#N/A</v>
      </c>
      <c r="AK338" s="4" t="e">
        <f>VLOOKUP($N338,[2]Cultures!$B$4:$M$283,MATCH(AK$1,[2]Cultures!$B$3:$M$3,0),FALSE)</f>
        <v>#N/A</v>
      </c>
      <c r="AL338" s="4" t="e">
        <f>VLOOKUP($N338,[2]Cultures!$B$4:$M$283,MATCH(AL$1,[2]Cultures!$B$3:$M$3,0),FALSE)</f>
        <v>#N/A</v>
      </c>
      <c r="AM338" s="4" t="e">
        <f>VLOOKUP($N338,[2]Cultures!$B$4:$M$283,MATCH(AM$1,[2]Cultures!$B$3:$M$3,0),FALSE)</f>
        <v>#N/A</v>
      </c>
      <c r="AN338" s="4" t="e">
        <f>VLOOKUP($N338,[2]Cultures!$B$4:$M$283,MATCH(AN$1,[2]Cultures!$B$3:$M$3,0),FALSE)</f>
        <v>#N/A</v>
      </c>
      <c r="AO338" s="4" t="e">
        <f>VLOOKUP($N338,[2]Cultures!$B$4:$M$283,MATCH(AO$1,[2]Cultures!$B$3:$M$3,0),FALSE)</f>
        <v>#N/A</v>
      </c>
      <c r="AP338" s="4" t="e">
        <f>VLOOKUP($N338,[2]Cultures!$B$4:$M$283,MATCH(AP$1,[2]Cultures!$B$3:$M$3,0),FALSE)</f>
        <v>#N/A</v>
      </c>
      <c r="AQ338" s="4" t="e">
        <f>VLOOKUP($N338,[2]Cultures!$B$4:$M$283,MATCH(AQ$1,[2]Cultures!$B$3:$M$3,0),FALSE)</f>
        <v>#N/A</v>
      </c>
      <c r="AR338" s="4" t="e">
        <f>VLOOKUP($N338,[2]Cultures!$B$4:$M$283,MATCH(AR$1,[2]Cultures!$B$3:$M$3,0),FALSE)</f>
        <v>#N/A</v>
      </c>
      <c r="AS338" s="4" t="e">
        <f>VLOOKUP($N338,[2]Cultures!$B$4:$M$283,MATCH(AS$1,[2]Cultures!$B$3:$M$3,0),FALSE)</f>
        <v>#N/A</v>
      </c>
      <c r="AT338" s="4"/>
      <c r="AU338" s="4">
        <f>IF(ISNUMBER(SEARCH(N338&amp;";",Calculations!$Q$19)),VLOOKUP(Skills!N338,Calculations!$Q$2:$T$16,4,FALSE),0)</f>
        <v>0</v>
      </c>
      <c r="AV338" s="4">
        <f>IF(ISNUMBER(SEARCH(N338&amp;";",Calculations!$Q$18)),1,0)</f>
        <v>0</v>
      </c>
      <c r="AW338" s="4"/>
      <c r="AX338" s="4">
        <f>VLOOKUP($N338,$N338:$CH338,MATCH('Character Sheet'!$BJ$3,Skills!$N$1:$CH$1,0),FALSE)</f>
        <v>0</v>
      </c>
    </row>
    <row r="339" spans="1:50" x14ac:dyDescent="0.25">
      <c r="B339" s="4" t="e">
        <f t="shared" si="153"/>
        <v>#N/A</v>
      </c>
      <c r="E339" s="4"/>
      <c r="F339" s="4">
        <f t="shared" si="174"/>
        <v>0</v>
      </c>
      <c r="G339" s="4"/>
      <c r="H339" s="4" t="e">
        <f t="shared" si="183"/>
        <v>#N/A</v>
      </c>
      <c r="I339" s="4">
        <v>0</v>
      </c>
      <c r="J339" s="4" t="e">
        <f t="shared" si="175"/>
        <v>#N/A</v>
      </c>
      <c r="K339" s="4" t="e">
        <f t="shared" si="187"/>
        <v>#N/A</v>
      </c>
      <c r="N339" s="3" t="s">
        <v>697</v>
      </c>
      <c r="O339" s="6" t="s">
        <v>782</v>
      </c>
      <c r="P339" s="6" t="s">
        <v>782</v>
      </c>
      <c r="Q339" s="4" t="str">
        <f t="shared" si="156"/>
        <v>- -</v>
      </c>
      <c r="R339" s="4" t="str">
        <f>IF(ISNUMBER(SEARCH("Category",N339)),"- -",IF(ISNUMBER(SEARCH("Skills",N339)),"- -",'Level-up'!C357))</f>
        <v>- -</v>
      </c>
      <c r="S339" s="4" t="str">
        <f t="shared" si="176"/>
        <v>- -</v>
      </c>
      <c r="T339" s="4" t="str">
        <f t="shared" si="177"/>
        <v>- -</v>
      </c>
      <c r="U339" s="4" t="str">
        <f t="shared" ca="1" si="182"/>
        <v>- -</v>
      </c>
      <c r="V339" s="4" t="str">
        <f t="shared" si="186"/>
        <v>- -</v>
      </c>
      <c r="W339" s="4" t="str">
        <f t="shared" si="155"/>
        <v>- -</v>
      </c>
      <c r="X339" s="4" t="str">
        <f t="shared" si="154"/>
        <v>- -</v>
      </c>
      <c r="Y339" s="4" t="str">
        <f t="shared" si="178"/>
        <v>- -</v>
      </c>
      <c r="Z339" s="4" t="str">
        <f t="shared" si="179"/>
        <v>- -</v>
      </c>
      <c r="AA339" s="4" t="str">
        <f t="shared" si="180"/>
        <v>- -</v>
      </c>
      <c r="AB339" s="4" t="str">
        <f t="shared" si="181"/>
        <v>- -</v>
      </c>
      <c r="AC339" s="8"/>
      <c r="AD339" s="4"/>
      <c r="AE339" s="4"/>
      <c r="AF339" s="4" t="str">
        <f t="shared" si="185"/>
        <v>- -</v>
      </c>
      <c r="AG339" s="4"/>
      <c r="AH339" s="4">
        <f>IFERROR(VLOOKUP(M339,Calculations!$AC$2:$AD$251,2,FALSE),0)</f>
        <v>0</v>
      </c>
      <c r="AI339" s="4" t="e">
        <f>VLOOKUP(N339,$N$2:$AS$620,MATCH('Character Creation'!$Z$12,Skills!$N$1:$AS$1,0),FALSE)</f>
        <v>#N/A</v>
      </c>
      <c r="AJ339" s="4" t="e">
        <f>VLOOKUP($N339,[2]Cultures!$B$4:$M$283,MATCH(AJ$1,[2]Cultures!$B$3:$M$3,0),FALSE)</f>
        <v>#N/A</v>
      </c>
      <c r="AK339" s="4" t="e">
        <f>VLOOKUP($N339,[2]Cultures!$B$4:$M$283,MATCH(AK$1,[2]Cultures!$B$3:$M$3,0),FALSE)</f>
        <v>#N/A</v>
      </c>
      <c r="AL339" s="4" t="e">
        <f>VLOOKUP($N339,[2]Cultures!$B$4:$M$283,MATCH(AL$1,[2]Cultures!$B$3:$M$3,0),FALSE)</f>
        <v>#N/A</v>
      </c>
      <c r="AM339" s="4" t="e">
        <f>VLOOKUP($N339,[2]Cultures!$B$4:$M$283,MATCH(AM$1,[2]Cultures!$B$3:$M$3,0),FALSE)</f>
        <v>#N/A</v>
      </c>
      <c r="AN339" s="4" t="e">
        <f>VLOOKUP($N339,[2]Cultures!$B$4:$M$283,MATCH(AN$1,[2]Cultures!$B$3:$M$3,0),FALSE)</f>
        <v>#N/A</v>
      </c>
      <c r="AO339" s="4" t="e">
        <f>VLOOKUP($N339,[2]Cultures!$B$4:$M$283,MATCH(AO$1,[2]Cultures!$B$3:$M$3,0),FALSE)</f>
        <v>#N/A</v>
      </c>
      <c r="AP339" s="4" t="e">
        <f>VLOOKUP($N339,[2]Cultures!$B$4:$M$283,MATCH(AP$1,[2]Cultures!$B$3:$M$3,0),FALSE)</f>
        <v>#N/A</v>
      </c>
      <c r="AQ339" s="4" t="e">
        <f>VLOOKUP($N339,[2]Cultures!$B$4:$M$283,MATCH(AQ$1,[2]Cultures!$B$3:$M$3,0),FALSE)</f>
        <v>#N/A</v>
      </c>
      <c r="AR339" s="4" t="e">
        <f>VLOOKUP($N339,[2]Cultures!$B$4:$M$283,MATCH(AR$1,[2]Cultures!$B$3:$M$3,0),FALSE)</f>
        <v>#N/A</v>
      </c>
      <c r="AS339" s="4" t="e">
        <f>VLOOKUP($N339,[2]Cultures!$B$4:$M$283,MATCH(AS$1,[2]Cultures!$B$3:$M$3,0),FALSE)</f>
        <v>#N/A</v>
      </c>
      <c r="AT339" s="4"/>
      <c r="AU339" s="4">
        <f>IF(ISNUMBER(SEARCH(N339&amp;";",Calculations!$Q$19)),VLOOKUP(Skills!N339,Calculations!$Q$2:$T$16,4,FALSE),0)</f>
        <v>0</v>
      </c>
      <c r="AV339" s="4">
        <f>IF(ISNUMBER(SEARCH(N339&amp;";",Calculations!$Q$18)),1,0)</f>
        <v>0</v>
      </c>
      <c r="AW339" s="4"/>
      <c r="AX339" s="4">
        <f>VLOOKUP($N339,$N339:$CH339,MATCH('Character Sheet'!$BJ$3,Skills!$N$1:$CH$1,0),FALSE)</f>
        <v>0</v>
      </c>
    </row>
    <row r="340" spans="1:50" x14ac:dyDescent="0.25">
      <c r="B340" s="4" t="e">
        <f t="shared" si="153"/>
        <v>#N/A</v>
      </c>
      <c r="E340" s="4"/>
      <c r="F340" s="4">
        <f t="shared" si="174"/>
        <v>0</v>
      </c>
      <c r="G340" s="4"/>
      <c r="H340" s="4" t="e">
        <f t="shared" si="183"/>
        <v>#N/A</v>
      </c>
      <c r="I340" s="4" t="e">
        <f>IF($J$339=1,1,0)</f>
        <v>#N/A</v>
      </c>
      <c r="J340" s="4">
        <f t="shared" si="175"/>
        <v>0</v>
      </c>
      <c r="K340" s="4">
        <f t="shared" si="187"/>
        <v>0</v>
      </c>
      <c r="M340" t="str">
        <f>N340</f>
        <v>Control Lycanthropy</v>
      </c>
      <c r="N340" s="3" t="str">
        <f>'Character Sheet'!BWN5</f>
        <v>Control Lycanthropy</v>
      </c>
      <c r="O340" s="4" t="s">
        <v>800</v>
      </c>
      <c r="P340" s="4" t="s">
        <v>784</v>
      </c>
      <c r="Q340" s="4">
        <f t="shared" si="156"/>
        <v>0</v>
      </c>
      <c r="R340" s="4">
        <f>IF(ISNUMBER(SEARCH("Category",N340)),"- -",IF(ISNUMBER(SEARCH("Skills",N340)),"- -",'Level-up'!C358))</f>
        <v>0</v>
      </c>
      <c r="S340" s="4">
        <f t="shared" si="176"/>
        <v>0</v>
      </c>
      <c r="T340" s="4">
        <f t="shared" si="177"/>
        <v>-25</v>
      </c>
      <c r="U340" s="4">
        <f t="shared" ca="1" si="182"/>
        <v>-7</v>
      </c>
      <c r="V340" s="4">
        <f t="shared" ref="V340:V345" si="188">IF(ISNUMBER(SEARCH("Category",N340)),"- -",IF(ISNUMBER(SEARCH("Skills",N340)),"- -",IF(AU340&gt;0,AU340,$AU$338)))</f>
        <v>0</v>
      </c>
      <c r="W340" s="4">
        <f t="shared" si="155"/>
        <v>0</v>
      </c>
      <c r="X340" s="4">
        <f t="shared" si="154"/>
        <v>0</v>
      </c>
      <c r="Y340" s="4">
        <f t="shared" si="178"/>
        <v>0</v>
      </c>
      <c r="Z340" s="4">
        <f t="shared" si="179"/>
        <v>0</v>
      </c>
      <c r="AA340" s="4">
        <f t="shared" si="180"/>
        <v>0</v>
      </c>
      <c r="AB340" s="4">
        <f t="shared" si="181"/>
        <v>0</v>
      </c>
      <c r="AC340" s="8"/>
      <c r="AD340" s="4"/>
      <c r="AE340" s="4"/>
      <c r="AF340" s="4" t="str">
        <f t="shared" ca="1" si="185"/>
        <v>-32</v>
      </c>
      <c r="AG340" s="4"/>
      <c r="AH340" s="4">
        <f>IFERROR(VLOOKUP(M340,Calculations!$AC$2:$AD$251,2,FALSE),0)</f>
        <v>0</v>
      </c>
      <c r="AI340" s="4">
        <f>VLOOKUP(N340,$N$2:$AS$620,MATCH('Character Creation'!$Z$12,Skills!$N$1:$AS$1,0),FALSE)</f>
        <v>0</v>
      </c>
      <c r="AJ340" s="4">
        <f>VLOOKUP($N340,[2]Cultures!$B$4:$M$283,MATCH(AJ$1,[2]Cultures!$B$3:$M$3,0),FALSE)</f>
        <v>0</v>
      </c>
      <c r="AK340" s="4">
        <f>VLOOKUP($N340,[2]Cultures!$B$4:$M$283,MATCH(AK$1,[2]Cultures!$B$3:$M$3,0),FALSE)</f>
        <v>0</v>
      </c>
      <c r="AL340" s="4">
        <f>VLOOKUP($N340,[2]Cultures!$B$4:$M$283,MATCH(AL$1,[2]Cultures!$B$3:$M$3,0),FALSE)</f>
        <v>0</v>
      </c>
      <c r="AM340" s="4">
        <f>VLOOKUP($N340,[2]Cultures!$B$4:$M$283,MATCH(AM$1,[2]Cultures!$B$3:$M$3,0),FALSE)</f>
        <v>0</v>
      </c>
      <c r="AN340" s="4">
        <f>VLOOKUP($N340,[2]Cultures!$B$4:$M$283,MATCH(AN$1,[2]Cultures!$B$3:$M$3,0),FALSE)</f>
        <v>0</v>
      </c>
      <c r="AO340" s="4">
        <f>VLOOKUP($N340,[2]Cultures!$B$4:$M$283,MATCH(AO$1,[2]Cultures!$B$3:$M$3,0),FALSE)</f>
        <v>0</v>
      </c>
      <c r="AP340" s="4">
        <f>VLOOKUP($N340,[2]Cultures!$B$4:$M$283,MATCH(AP$1,[2]Cultures!$B$3:$M$3,0),FALSE)</f>
        <v>0</v>
      </c>
      <c r="AQ340" s="4">
        <f>VLOOKUP($N340,[2]Cultures!$B$4:$M$283,MATCH(AQ$1,[2]Cultures!$B$3:$M$3,0),FALSE)</f>
        <v>0</v>
      </c>
      <c r="AR340" s="4">
        <f>VLOOKUP($N340,[2]Cultures!$B$4:$M$283,MATCH(AR$1,[2]Cultures!$B$3:$M$3,0),FALSE)</f>
        <v>0</v>
      </c>
      <c r="AS340" s="4">
        <f>VLOOKUP($N340,[2]Cultures!$B$4:$M$283,MATCH(AS$1,[2]Cultures!$B$3:$M$3,0),FALSE)</f>
        <v>0</v>
      </c>
      <c r="AT340" s="4"/>
      <c r="AU340" s="4">
        <f>IF(ISNUMBER(SEARCH(N340&amp;";",Calculations!$Q$19)),VLOOKUP(Skills!N340,Calculations!$Q$2:$T$16,4,FALSE),0)</f>
        <v>0</v>
      </c>
      <c r="AV340" s="4">
        <f>IF(ISNUMBER(SEARCH(N340&amp;";",Calculations!$Q$18)),1,0)</f>
        <v>0</v>
      </c>
      <c r="AW340" s="4">
        <f>IF($AV$338=1,1,AV340)</f>
        <v>0</v>
      </c>
      <c r="AX340" s="4">
        <f>VLOOKUP($N340,$N340:$CH340,MATCH('Character Sheet'!$BJ$3,Skills!$N$1:$CH$1,0),FALSE)</f>
        <v>0</v>
      </c>
    </row>
    <row r="341" spans="1:50" x14ac:dyDescent="0.25">
      <c r="B341" s="4" t="e">
        <f t="shared" si="153"/>
        <v>#N/A</v>
      </c>
      <c r="E341" s="4"/>
      <c r="F341" s="4">
        <f t="shared" si="174"/>
        <v>0</v>
      </c>
      <c r="G341" s="4"/>
      <c r="H341" s="4" t="e">
        <f t="shared" si="183"/>
        <v>#N/A</v>
      </c>
      <c r="I341" s="4" t="e">
        <f>IF($J$339=1,1,0)</f>
        <v>#N/A</v>
      </c>
      <c r="J341" s="4">
        <f t="shared" si="175"/>
        <v>0</v>
      </c>
      <c r="K341" s="4">
        <f t="shared" si="187"/>
        <v>0</v>
      </c>
      <c r="M341" t="str">
        <f>N341</f>
        <v>Meditation</v>
      </c>
      <c r="N341" s="3" t="str">
        <f>'Character Sheet'!BWN6</f>
        <v>Meditation</v>
      </c>
      <c r="O341" s="4" t="s">
        <v>800</v>
      </c>
      <c r="P341" s="4" t="s">
        <v>784</v>
      </c>
      <c r="Q341" s="4">
        <f t="shared" si="156"/>
        <v>0</v>
      </c>
      <c r="R341" s="4">
        <f>IF(ISNUMBER(SEARCH("Category",N341)),"- -",IF(ISNUMBER(SEARCH("Skills",N341)),"- -",'Level-up'!C359))</f>
        <v>0</v>
      </c>
      <c r="S341" s="4">
        <f t="shared" si="176"/>
        <v>0</v>
      </c>
      <c r="T341" s="4">
        <f t="shared" si="177"/>
        <v>-25</v>
      </c>
      <c r="U341" s="4">
        <f t="shared" ca="1" si="182"/>
        <v>-7</v>
      </c>
      <c r="V341" s="4">
        <f t="shared" si="188"/>
        <v>0</v>
      </c>
      <c r="W341" s="4">
        <f t="shared" si="155"/>
        <v>0</v>
      </c>
      <c r="X341" s="4">
        <f t="shared" si="154"/>
        <v>0</v>
      </c>
      <c r="Y341" s="4">
        <f t="shared" si="178"/>
        <v>0</v>
      </c>
      <c r="Z341" s="4">
        <f t="shared" si="179"/>
        <v>0</v>
      </c>
      <c r="AA341" s="4">
        <f t="shared" si="180"/>
        <v>0</v>
      </c>
      <c r="AB341" s="4">
        <f t="shared" si="181"/>
        <v>0</v>
      </c>
      <c r="AC341" s="8"/>
      <c r="AD341" s="4"/>
      <c r="AE341" s="4"/>
      <c r="AF341" s="4" t="str">
        <f t="shared" ca="1" si="185"/>
        <v>-32</v>
      </c>
      <c r="AG341" s="4"/>
      <c r="AH341" s="4">
        <f>IFERROR(VLOOKUP(M341,Calculations!$AC$2:$AD$251,2,FALSE),0)</f>
        <v>0</v>
      </c>
      <c r="AI341" s="4">
        <f>VLOOKUP(N341,$N$2:$AS$620,MATCH('Character Creation'!$Z$12,Skills!$N$1:$AS$1,0),FALSE)</f>
        <v>0</v>
      </c>
      <c r="AJ341" s="4">
        <f>VLOOKUP($N341,[2]Cultures!$B$4:$M$283,MATCH(AJ$1,[2]Cultures!$B$3:$M$3,0),FALSE)</f>
        <v>0</v>
      </c>
      <c r="AK341" s="4">
        <f>VLOOKUP($N341,[2]Cultures!$B$4:$M$283,MATCH(AK$1,[2]Cultures!$B$3:$M$3,0),FALSE)</f>
        <v>0</v>
      </c>
      <c r="AL341" s="4">
        <f>VLOOKUP($N341,[2]Cultures!$B$4:$M$283,MATCH(AL$1,[2]Cultures!$B$3:$M$3,0),FALSE)</f>
        <v>0</v>
      </c>
      <c r="AM341" s="4">
        <f>VLOOKUP($N341,[2]Cultures!$B$4:$M$283,MATCH(AM$1,[2]Cultures!$B$3:$M$3,0),FALSE)</f>
        <v>0</v>
      </c>
      <c r="AN341" s="4">
        <f>VLOOKUP($N341,[2]Cultures!$B$4:$M$283,MATCH(AN$1,[2]Cultures!$B$3:$M$3,0),FALSE)</f>
        <v>0</v>
      </c>
      <c r="AO341" s="4">
        <f>VLOOKUP($N341,[2]Cultures!$B$4:$M$283,MATCH(AO$1,[2]Cultures!$B$3:$M$3,0),FALSE)</f>
        <v>0</v>
      </c>
      <c r="AP341" s="4">
        <f>VLOOKUP($N341,[2]Cultures!$B$4:$M$283,MATCH(AP$1,[2]Cultures!$B$3:$M$3,0),FALSE)</f>
        <v>0</v>
      </c>
      <c r="AQ341" s="4">
        <f>VLOOKUP($N341,[2]Cultures!$B$4:$M$283,MATCH(AQ$1,[2]Cultures!$B$3:$M$3,0),FALSE)</f>
        <v>0</v>
      </c>
      <c r="AR341" s="4">
        <f>VLOOKUP($N341,[2]Cultures!$B$4:$M$283,MATCH(AR$1,[2]Cultures!$B$3:$M$3,0),FALSE)</f>
        <v>0</v>
      </c>
      <c r="AS341" s="4">
        <f>VLOOKUP($N341,[2]Cultures!$B$4:$M$283,MATCH(AS$1,[2]Cultures!$B$3:$M$3,0),FALSE)</f>
        <v>0</v>
      </c>
      <c r="AT341" s="4"/>
      <c r="AU341" s="4">
        <f>IF(ISNUMBER(SEARCH(N341&amp;";",Calculations!$Q$19)),VLOOKUP(Skills!N341,Calculations!$Q$2:$T$16,4,FALSE),0)</f>
        <v>0</v>
      </c>
      <c r="AV341" s="4">
        <f>IF(ISNUMBER(SEARCH(N341&amp;";",Calculations!$Q$18)),1,0)</f>
        <v>0</v>
      </c>
      <c r="AW341" s="4">
        <f>IF($AV$338=1,1,AV341)</f>
        <v>0</v>
      </c>
      <c r="AX341" s="4">
        <f>VLOOKUP($N341,$N341:$CH341,MATCH('Character Sheet'!$BJ$3,Skills!$N$1:$CH$1,0),FALSE)</f>
        <v>0</v>
      </c>
    </row>
    <row r="342" spans="1:50" x14ac:dyDescent="0.25">
      <c r="A342" s="4" t="s">
        <v>2240</v>
      </c>
      <c r="B342" s="4" t="e">
        <f t="shared" si="153"/>
        <v>#N/A</v>
      </c>
      <c r="E342" s="4"/>
      <c r="F342" s="4">
        <f t="shared" si="174"/>
        <v>0</v>
      </c>
      <c r="G342" s="4"/>
      <c r="H342" s="4" t="e">
        <f t="shared" si="183"/>
        <v>#N/A</v>
      </c>
      <c r="I342" s="4" t="e">
        <f>IF($J$339=1,1,0)</f>
        <v>#N/A</v>
      </c>
      <c r="J342" s="4">
        <f t="shared" si="175"/>
        <v>0</v>
      </c>
      <c r="K342" s="4">
        <f t="shared" si="187"/>
        <v>0</v>
      </c>
      <c r="M342" t="str">
        <f>N342</f>
        <v>Mental Focus</v>
      </c>
      <c r="N342" s="3" t="str">
        <f>'Character Sheet'!BWN7</f>
        <v>Mental Focus</v>
      </c>
      <c r="O342" s="4" t="s">
        <v>800</v>
      </c>
      <c r="P342" s="4" t="s">
        <v>784</v>
      </c>
      <c r="Q342" s="4">
        <f t="shared" si="156"/>
        <v>0</v>
      </c>
      <c r="R342" s="4">
        <f>IF(ISNUMBER(SEARCH("Category",N342)),"- -",IF(ISNUMBER(SEARCH("Skills",N342)),"- -",'Level-up'!C360))</f>
        <v>0</v>
      </c>
      <c r="S342" s="4">
        <f t="shared" si="176"/>
        <v>0</v>
      </c>
      <c r="T342" s="4">
        <f t="shared" si="177"/>
        <v>-25</v>
      </c>
      <c r="U342" s="4">
        <f t="shared" ca="1" si="182"/>
        <v>-7</v>
      </c>
      <c r="V342" s="4">
        <f t="shared" si="188"/>
        <v>0</v>
      </c>
      <c r="W342" s="4">
        <f t="shared" si="155"/>
        <v>0</v>
      </c>
      <c r="X342" s="4">
        <f t="shared" si="154"/>
        <v>0</v>
      </c>
      <c r="Y342" s="4">
        <f t="shared" si="178"/>
        <v>0</v>
      </c>
      <c r="Z342" s="4">
        <f t="shared" si="179"/>
        <v>0</v>
      </c>
      <c r="AA342" s="4">
        <f t="shared" si="180"/>
        <v>0</v>
      </c>
      <c r="AB342" s="4">
        <f t="shared" si="181"/>
        <v>0</v>
      </c>
      <c r="AC342" s="8"/>
      <c r="AD342" s="4"/>
      <c r="AE342" s="4"/>
      <c r="AF342" s="4" t="str">
        <f t="shared" ca="1" si="185"/>
        <v>-32</v>
      </c>
      <c r="AG342" s="4"/>
      <c r="AH342" s="4">
        <f>IFERROR(VLOOKUP(M342,Calculations!$AC$2:$AD$251,2,FALSE),0)</f>
        <v>0</v>
      </c>
      <c r="AI342" s="4">
        <f>VLOOKUP(N342,$N$2:$AS$620,MATCH('Character Creation'!$Z$12,Skills!$N$1:$AS$1,0),FALSE)</f>
        <v>0</v>
      </c>
      <c r="AJ342" s="4">
        <f>VLOOKUP($N342,[2]Cultures!$B$4:$M$283,MATCH(AJ$1,[2]Cultures!$B$3:$M$3,0),FALSE)</f>
        <v>0</v>
      </c>
      <c r="AK342" s="4">
        <f>VLOOKUP($N342,[2]Cultures!$B$4:$M$283,MATCH(AK$1,[2]Cultures!$B$3:$M$3,0),FALSE)</f>
        <v>0</v>
      </c>
      <c r="AL342" s="4">
        <f>VLOOKUP($N342,[2]Cultures!$B$4:$M$283,MATCH(AL$1,[2]Cultures!$B$3:$M$3,0),FALSE)</f>
        <v>0</v>
      </c>
      <c r="AM342" s="4">
        <f>VLOOKUP($N342,[2]Cultures!$B$4:$M$283,MATCH(AM$1,[2]Cultures!$B$3:$M$3,0),FALSE)</f>
        <v>0</v>
      </c>
      <c r="AN342" s="4">
        <f>VLOOKUP($N342,[2]Cultures!$B$4:$M$283,MATCH(AN$1,[2]Cultures!$B$3:$M$3,0),FALSE)</f>
        <v>0</v>
      </c>
      <c r="AO342" s="4">
        <f>VLOOKUP($N342,[2]Cultures!$B$4:$M$283,MATCH(AO$1,[2]Cultures!$B$3:$M$3,0),FALSE)</f>
        <v>0</v>
      </c>
      <c r="AP342" s="4">
        <f>VLOOKUP($N342,[2]Cultures!$B$4:$M$283,MATCH(AP$1,[2]Cultures!$B$3:$M$3,0),FALSE)</f>
        <v>0</v>
      </c>
      <c r="AQ342" s="4">
        <f>VLOOKUP($N342,[2]Cultures!$B$4:$M$283,MATCH(AQ$1,[2]Cultures!$B$3:$M$3,0),FALSE)</f>
        <v>0</v>
      </c>
      <c r="AR342" s="4">
        <f>VLOOKUP($N342,[2]Cultures!$B$4:$M$283,MATCH(AR$1,[2]Cultures!$B$3:$M$3,0),FALSE)</f>
        <v>0</v>
      </c>
      <c r="AS342" s="4">
        <f>VLOOKUP($N342,[2]Cultures!$B$4:$M$283,MATCH(AS$1,[2]Cultures!$B$3:$M$3,0),FALSE)</f>
        <v>0</v>
      </c>
      <c r="AT342" s="4"/>
      <c r="AU342" s="4">
        <f>IF(ISNUMBER(SEARCH(N342&amp;";",Calculations!$Q$19)),VLOOKUP(Skills!N342,Calculations!$Q$2:$T$16,4,FALSE),0)</f>
        <v>0</v>
      </c>
      <c r="AV342" s="4">
        <f>IF(ISNUMBER(SEARCH(N342&amp;";",Calculations!$Q$18)),1,0)</f>
        <v>1</v>
      </c>
      <c r="AW342" s="4">
        <f>IF($AV$338=1,1,AV342)</f>
        <v>1</v>
      </c>
      <c r="AX342" s="4">
        <f>VLOOKUP($N342,$N342:$CH342,MATCH('Character Sheet'!$BJ$3,Skills!$N$1:$CH$1,0),FALSE)</f>
        <v>0</v>
      </c>
    </row>
    <row r="343" spans="1:50" x14ac:dyDescent="0.25">
      <c r="B343" s="4" t="e">
        <f t="shared" si="153"/>
        <v>#N/A</v>
      </c>
      <c r="E343" s="4"/>
      <c r="F343" s="4">
        <f t="shared" si="174"/>
        <v>0</v>
      </c>
      <c r="G343" s="4"/>
      <c r="H343" s="4" t="e">
        <f t="shared" si="183"/>
        <v>#N/A</v>
      </c>
      <c r="I343" s="4" t="e">
        <f>IF($J$339=1,1,0)</f>
        <v>#N/A</v>
      </c>
      <c r="J343" s="4">
        <f t="shared" si="175"/>
        <v>0</v>
      </c>
      <c r="K343" s="4">
        <f t="shared" si="187"/>
        <v>0</v>
      </c>
      <c r="M343" t="str">
        <f>N343</f>
        <v>Mnemonics</v>
      </c>
      <c r="N343" s="3" t="str">
        <f>'Character Sheet'!BWN8</f>
        <v>Mnemonics</v>
      </c>
      <c r="O343" s="4" t="s">
        <v>800</v>
      </c>
      <c r="P343" s="4" t="s">
        <v>801</v>
      </c>
      <c r="Q343" s="4">
        <f t="shared" si="156"/>
        <v>0</v>
      </c>
      <c r="R343" s="4">
        <f>IF(ISNUMBER(SEARCH("Category",N343)),"- -",IF(ISNUMBER(SEARCH("Skills",N343)),"- -",'Level-up'!C361))</f>
        <v>0</v>
      </c>
      <c r="S343" s="4">
        <f t="shared" si="176"/>
        <v>0</v>
      </c>
      <c r="T343" s="4">
        <f t="shared" si="177"/>
        <v>-25</v>
      </c>
      <c r="U343" s="4">
        <f t="shared" ca="1" si="182"/>
        <v>-5</v>
      </c>
      <c r="V343" s="4">
        <f t="shared" si="188"/>
        <v>0</v>
      </c>
      <c r="W343" s="4">
        <f t="shared" si="155"/>
        <v>0</v>
      </c>
      <c r="X343" s="4">
        <f t="shared" si="154"/>
        <v>0</v>
      </c>
      <c r="Y343" s="4">
        <f t="shared" si="178"/>
        <v>0</v>
      </c>
      <c r="Z343" s="4">
        <f t="shared" si="179"/>
        <v>0</v>
      </c>
      <c r="AA343" s="4">
        <f t="shared" si="180"/>
        <v>0</v>
      </c>
      <c r="AB343" s="4">
        <f t="shared" si="181"/>
        <v>0</v>
      </c>
      <c r="AC343" s="8"/>
      <c r="AD343" s="4"/>
      <c r="AE343" s="4"/>
      <c r="AF343" s="4" t="str">
        <f t="shared" ca="1" si="185"/>
        <v>-30</v>
      </c>
      <c r="AG343" s="4"/>
      <c r="AH343" s="4">
        <f>IFERROR(VLOOKUP(M343,Calculations!$AC$2:$AD$251,2,FALSE),0)</f>
        <v>0</v>
      </c>
      <c r="AI343" s="4">
        <f>VLOOKUP(N343,$N$2:$AS$620,MATCH('Character Creation'!$Z$12,Skills!$N$1:$AS$1,0),FALSE)</f>
        <v>0</v>
      </c>
      <c r="AJ343" s="4">
        <f>VLOOKUP($N343,[2]Cultures!$B$4:$M$283,MATCH(AJ$1,[2]Cultures!$B$3:$M$3,0),FALSE)</f>
        <v>0</v>
      </c>
      <c r="AK343" s="4">
        <f>VLOOKUP($N343,[2]Cultures!$B$4:$M$283,MATCH(AK$1,[2]Cultures!$B$3:$M$3,0),FALSE)</f>
        <v>0</v>
      </c>
      <c r="AL343" s="4">
        <f>VLOOKUP($N343,[2]Cultures!$B$4:$M$283,MATCH(AL$1,[2]Cultures!$B$3:$M$3,0),FALSE)</f>
        <v>0</v>
      </c>
      <c r="AM343" s="4">
        <f>VLOOKUP($N343,[2]Cultures!$B$4:$M$283,MATCH(AM$1,[2]Cultures!$B$3:$M$3,0),FALSE)</f>
        <v>0</v>
      </c>
      <c r="AN343" s="4">
        <f>VLOOKUP($N343,[2]Cultures!$B$4:$M$283,MATCH(AN$1,[2]Cultures!$B$3:$M$3,0),FALSE)</f>
        <v>0</v>
      </c>
      <c r="AO343" s="4">
        <f>VLOOKUP($N343,[2]Cultures!$B$4:$M$283,MATCH(AO$1,[2]Cultures!$B$3:$M$3,0),FALSE)</f>
        <v>0</v>
      </c>
      <c r="AP343" s="4">
        <f>VLOOKUP($N343,[2]Cultures!$B$4:$M$283,MATCH(AP$1,[2]Cultures!$B$3:$M$3,0),FALSE)</f>
        <v>0</v>
      </c>
      <c r="AQ343" s="4">
        <f>VLOOKUP($N343,[2]Cultures!$B$4:$M$283,MATCH(AQ$1,[2]Cultures!$B$3:$M$3,0),FALSE)</f>
        <v>0</v>
      </c>
      <c r="AR343" s="4">
        <f>VLOOKUP($N343,[2]Cultures!$B$4:$M$283,MATCH(AR$1,[2]Cultures!$B$3:$M$3,0),FALSE)</f>
        <v>0</v>
      </c>
      <c r="AS343" s="4">
        <f>VLOOKUP($N343,[2]Cultures!$B$4:$M$283,MATCH(AS$1,[2]Cultures!$B$3:$M$3,0),FALSE)</f>
        <v>0</v>
      </c>
      <c r="AT343" s="4"/>
      <c r="AU343" s="4">
        <f>IF(ISNUMBER(SEARCH(N343&amp;";",Calculations!$Q$19)),VLOOKUP(Skills!N343,Calculations!$Q$2:$T$16,4,FALSE),0)</f>
        <v>0</v>
      </c>
      <c r="AV343" s="4">
        <f>IF(ISNUMBER(SEARCH(N343&amp;";",Calculations!$Q$18)),1,0)</f>
        <v>0</v>
      </c>
      <c r="AW343" s="4">
        <f>IF($AV$338=1,1,AV343)</f>
        <v>0</v>
      </c>
      <c r="AX343" s="4">
        <f>VLOOKUP($N343,$N343:$CH343,MATCH('Character Sheet'!$BJ$3,Skills!$N$1:$CH$1,0),FALSE)</f>
        <v>0</v>
      </c>
    </row>
    <row r="344" spans="1:50" x14ac:dyDescent="0.25">
      <c r="B344" s="4" t="e">
        <f t="shared" si="153"/>
        <v>#N/A</v>
      </c>
      <c r="E344" s="4"/>
      <c r="F344" s="4">
        <f t="shared" si="174"/>
        <v>0</v>
      </c>
      <c r="G344" s="4"/>
      <c r="H344" s="4" t="e">
        <f t="shared" si="183"/>
        <v>#N/A</v>
      </c>
      <c r="I344" s="4" t="e">
        <f>IF($J$345=1,1,0)</f>
        <v>#N/A</v>
      </c>
      <c r="J344" s="4">
        <f t="shared" si="175"/>
        <v>0</v>
      </c>
      <c r="K344" s="4" t="e">
        <f t="shared" si="187"/>
        <v>#N/A</v>
      </c>
      <c r="N344" s="3" t="s">
        <v>698</v>
      </c>
      <c r="O344" s="6" t="s">
        <v>782</v>
      </c>
      <c r="P344" s="6" t="s">
        <v>782</v>
      </c>
      <c r="Q344" s="4" t="str">
        <f t="shared" si="156"/>
        <v>- -</v>
      </c>
      <c r="R344" s="4" t="str">
        <f>IF(ISNUMBER(SEARCH("Category",N344)),"- -",IF(ISNUMBER(SEARCH("Skills",N344)),"- -",'Level-up'!C362))</f>
        <v>- -</v>
      </c>
      <c r="S344" s="4" t="str">
        <f t="shared" si="176"/>
        <v>- -</v>
      </c>
      <c r="T344" s="4" t="str">
        <f t="shared" si="177"/>
        <v>- -</v>
      </c>
      <c r="U344" s="4" t="str">
        <f t="shared" ca="1" si="182"/>
        <v>- -</v>
      </c>
      <c r="V344" s="4" t="str">
        <f t="shared" si="188"/>
        <v>- -</v>
      </c>
      <c r="W344" s="4" t="str">
        <f t="shared" si="155"/>
        <v>- -</v>
      </c>
      <c r="X344" s="4" t="str">
        <f t="shared" si="154"/>
        <v>- -</v>
      </c>
      <c r="Y344" s="4" t="str">
        <f t="shared" si="178"/>
        <v>- -</v>
      </c>
      <c r="Z344" s="4" t="str">
        <f t="shared" si="179"/>
        <v>- -</v>
      </c>
      <c r="AA344" s="4" t="str">
        <f t="shared" si="180"/>
        <v>- -</v>
      </c>
      <c r="AB344" s="4" t="str">
        <f t="shared" si="181"/>
        <v>- -</v>
      </c>
      <c r="AC344" s="8"/>
      <c r="AD344" s="4"/>
      <c r="AE344" s="4"/>
      <c r="AF344" s="4" t="str">
        <f t="shared" si="185"/>
        <v>- -</v>
      </c>
      <c r="AG344" s="4"/>
      <c r="AH344" s="4">
        <f>IFERROR(VLOOKUP(M344,Calculations!$AC$2:$AD$251,2,FALSE),0)</f>
        <v>0</v>
      </c>
      <c r="AI344" s="4" t="e">
        <f>VLOOKUP(N344,$N$2:$AS$620,MATCH('Character Creation'!$Z$12,Skills!$N$1:$AS$1,0),FALSE)</f>
        <v>#N/A</v>
      </c>
      <c r="AJ344" s="4" t="e">
        <f>VLOOKUP($N344,[2]Cultures!$B$4:$M$283,MATCH(AJ$1,[2]Cultures!$B$3:$M$3,0),FALSE)</f>
        <v>#N/A</v>
      </c>
      <c r="AK344" s="4" t="e">
        <f>VLOOKUP($N344,[2]Cultures!$B$4:$M$283,MATCH(AK$1,[2]Cultures!$B$3:$M$3,0),FALSE)</f>
        <v>#N/A</v>
      </c>
      <c r="AL344" s="4" t="e">
        <f>VLOOKUP($N344,[2]Cultures!$B$4:$M$283,MATCH(AL$1,[2]Cultures!$B$3:$M$3,0),FALSE)</f>
        <v>#N/A</v>
      </c>
      <c r="AM344" s="4" t="e">
        <f>VLOOKUP($N344,[2]Cultures!$B$4:$M$283,MATCH(AM$1,[2]Cultures!$B$3:$M$3,0),FALSE)</f>
        <v>#N/A</v>
      </c>
      <c r="AN344" s="4" t="e">
        <f>VLOOKUP($N344,[2]Cultures!$B$4:$M$283,MATCH(AN$1,[2]Cultures!$B$3:$M$3,0),FALSE)</f>
        <v>#N/A</v>
      </c>
      <c r="AO344" s="4" t="e">
        <f>VLOOKUP($N344,[2]Cultures!$B$4:$M$283,MATCH(AO$1,[2]Cultures!$B$3:$M$3,0),FALSE)</f>
        <v>#N/A</v>
      </c>
      <c r="AP344" s="4" t="e">
        <f>VLOOKUP($N344,[2]Cultures!$B$4:$M$283,MATCH(AP$1,[2]Cultures!$B$3:$M$3,0),FALSE)</f>
        <v>#N/A</v>
      </c>
      <c r="AQ344" s="4" t="e">
        <f>VLOOKUP($N344,[2]Cultures!$B$4:$M$283,MATCH(AQ$1,[2]Cultures!$B$3:$M$3,0),FALSE)</f>
        <v>#N/A</v>
      </c>
      <c r="AR344" s="4" t="e">
        <f>VLOOKUP($N344,[2]Cultures!$B$4:$M$283,MATCH(AR$1,[2]Cultures!$B$3:$M$3,0),FALSE)</f>
        <v>#N/A</v>
      </c>
      <c r="AS344" s="4" t="e">
        <f>VLOOKUP($N344,[2]Cultures!$B$4:$M$283,MATCH(AS$1,[2]Cultures!$B$3:$M$3,0),FALSE)</f>
        <v>#N/A</v>
      </c>
      <c r="AT344" s="4"/>
      <c r="AU344" s="4">
        <f>IF(ISNUMBER(SEARCH(N344&amp;";",Calculations!$Q$19)),VLOOKUP(Skills!N344,Calculations!$Q$2:$T$16,4,FALSE),0)</f>
        <v>0</v>
      </c>
      <c r="AV344" s="4">
        <f>IF(ISNUMBER(SEARCH(N344&amp;";",Calculations!$Q$18)),1,0)</f>
        <v>0</v>
      </c>
      <c r="AW344" s="4"/>
      <c r="AX344" s="4">
        <f>VLOOKUP($N344,$N344:$CH344,MATCH('Character Sheet'!$BJ$3,Skills!$N$1:$CH$1,0),FALSE)</f>
        <v>0</v>
      </c>
    </row>
    <row r="345" spans="1:50" x14ac:dyDescent="0.25">
      <c r="B345" s="4" t="e">
        <f t="shared" si="153"/>
        <v>#N/A</v>
      </c>
      <c r="E345" s="4"/>
      <c r="F345" s="4">
        <f t="shared" si="174"/>
        <v>0</v>
      </c>
      <c r="G345" s="4"/>
      <c r="H345" s="4" t="e">
        <f t="shared" si="183"/>
        <v>#N/A</v>
      </c>
      <c r="I345" s="4">
        <v>0</v>
      </c>
      <c r="J345" s="4" t="e">
        <f t="shared" si="175"/>
        <v>#N/A</v>
      </c>
      <c r="K345" s="4" t="e">
        <f t="shared" si="187"/>
        <v>#N/A</v>
      </c>
      <c r="N345" s="3" t="s">
        <v>699</v>
      </c>
      <c r="O345" s="6" t="s">
        <v>782</v>
      </c>
      <c r="P345" s="6" t="s">
        <v>782</v>
      </c>
      <c r="Q345" s="4" t="str">
        <f t="shared" si="156"/>
        <v>- -</v>
      </c>
      <c r="R345" s="4" t="str">
        <f>IF(ISNUMBER(SEARCH("Category",N345)),"- -",IF(ISNUMBER(SEARCH("Skills",N345)),"- -",'Level-up'!C363))</f>
        <v>- -</v>
      </c>
      <c r="S345" s="4" t="str">
        <f t="shared" si="176"/>
        <v>- -</v>
      </c>
      <c r="T345" s="4" t="str">
        <f t="shared" si="177"/>
        <v>- -</v>
      </c>
      <c r="U345" s="4" t="str">
        <f t="shared" ca="1" si="182"/>
        <v>- -</v>
      </c>
      <c r="V345" s="4" t="str">
        <f t="shared" si="188"/>
        <v>- -</v>
      </c>
      <c r="W345" s="4" t="str">
        <f t="shared" si="155"/>
        <v>- -</v>
      </c>
      <c r="X345" s="4" t="str">
        <f t="shared" si="154"/>
        <v>- -</v>
      </c>
      <c r="Y345" s="4" t="str">
        <f t="shared" si="178"/>
        <v>- -</v>
      </c>
      <c r="Z345" s="4" t="str">
        <f t="shared" si="179"/>
        <v>- -</v>
      </c>
      <c r="AA345" s="4" t="str">
        <f t="shared" si="180"/>
        <v>- -</v>
      </c>
      <c r="AB345" s="4" t="str">
        <f t="shared" si="181"/>
        <v>- -</v>
      </c>
      <c r="AC345" s="8"/>
      <c r="AD345" s="4"/>
      <c r="AE345" s="4"/>
      <c r="AF345" s="4" t="str">
        <f t="shared" si="185"/>
        <v>- -</v>
      </c>
      <c r="AG345" s="4"/>
      <c r="AH345" s="4">
        <f>IFERROR(VLOOKUP(M345,Calculations!$AC$2:$AD$251,2,FALSE),0)</f>
        <v>0</v>
      </c>
      <c r="AI345" s="4" t="e">
        <f>VLOOKUP(N345,$N$2:$AS$620,MATCH('Character Creation'!$Z$12,Skills!$N$1:$AS$1,0),FALSE)</f>
        <v>#N/A</v>
      </c>
      <c r="AJ345" s="4" t="e">
        <f>VLOOKUP($N345,[2]Cultures!$B$4:$M$283,MATCH(AJ$1,[2]Cultures!$B$3:$M$3,0),FALSE)</f>
        <v>#N/A</v>
      </c>
      <c r="AK345" s="4" t="e">
        <f>VLOOKUP($N345,[2]Cultures!$B$4:$M$283,MATCH(AK$1,[2]Cultures!$B$3:$M$3,0),FALSE)</f>
        <v>#N/A</v>
      </c>
      <c r="AL345" s="4" t="e">
        <f>VLOOKUP($N345,[2]Cultures!$B$4:$M$283,MATCH(AL$1,[2]Cultures!$B$3:$M$3,0),FALSE)</f>
        <v>#N/A</v>
      </c>
      <c r="AM345" s="4" t="e">
        <f>VLOOKUP($N345,[2]Cultures!$B$4:$M$283,MATCH(AM$1,[2]Cultures!$B$3:$M$3,0),FALSE)</f>
        <v>#N/A</v>
      </c>
      <c r="AN345" s="4" t="e">
        <f>VLOOKUP($N345,[2]Cultures!$B$4:$M$283,MATCH(AN$1,[2]Cultures!$B$3:$M$3,0),FALSE)</f>
        <v>#N/A</v>
      </c>
      <c r="AO345" s="4" t="e">
        <f>VLOOKUP($N345,[2]Cultures!$B$4:$M$283,MATCH(AO$1,[2]Cultures!$B$3:$M$3,0),FALSE)</f>
        <v>#N/A</v>
      </c>
      <c r="AP345" s="4" t="e">
        <f>VLOOKUP($N345,[2]Cultures!$B$4:$M$283,MATCH(AP$1,[2]Cultures!$B$3:$M$3,0),FALSE)</f>
        <v>#N/A</v>
      </c>
      <c r="AQ345" s="4" t="e">
        <f>VLOOKUP($N345,[2]Cultures!$B$4:$M$283,MATCH(AQ$1,[2]Cultures!$B$3:$M$3,0),FALSE)</f>
        <v>#N/A</v>
      </c>
      <c r="AR345" s="4" t="e">
        <f>VLOOKUP($N345,[2]Cultures!$B$4:$M$283,MATCH(AR$1,[2]Cultures!$B$3:$M$3,0),FALSE)</f>
        <v>#N/A</v>
      </c>
      <c r="AS345" s="4" t="e">
        <f>VLOOKUP($N345,[2]Cultures!$B$4:$M$283,MATCH(AS$1,[2]Cultures!$B$3:$M$3,0),FALSE)</f>
        <v>#N/A</v>
      </c>
      <c r="AT345" s="4"/>
      <c r="AU345" s="4">
        <f>IF(ISNUMBER(SEARCH(N345&amp;";",Calculations!$Q$19)),VLOOKUP(Skills!N345,Calculations!$Q$2:$T$16,4,FALSE),0)</f>
        <v>0</v>
      </c>
      <c r="AV345" s="4">
        <f>IF(ISNUMBER(SEARCH(N345&amp;";",Calculations!$Q$18)),1,0)</f>
        <v>0</v>
      </c>
      <c r="AW345" s="4"/>
      <c r="AX345" s="4">
        <f>VLOOKUP($N345,$N345:$CH345,MATCH('Character Sheet'!$BJ$3,Skills!$N$1:$CH$1,0),FALSE)</f>
        <v>0</v>
      </c>
    </row>
    <row r="346" spans="1:50" x14ac:dyDescent="0.25">
      <c r="A346" s="4" t="s">
        <v>2240</v>
      </c>
      <c r="B346" s="4" t="e">
        <f t="shared" si="153"/>
        <v>#N/A</v>
      </c>
      <c r="E346" s="4"/>
      <c r="F346" s="4">
        <f t="shared" si="174"/>
        <v>0</v>
      </c>
      <c r="G346" s="4"/>
      <c r="H346" s="4" t="e">
        <f t="shared" si="183"/>
        <v>#N/A</v>
      </c>
      <c r="I346" s="4" t="e">
        <f>IF($J$345=1,1,0)</f>
        <v>#N/A</v>
      </c>
      <c r="J346" s="4">
        <f t="shared" si="175"/>
        <v>0</v>
      </c>
      <c r="K346" s="4">
        <f t="shared" si="187"/>
        <v>0</v>
      </c>
      <c r="M346" t="str">
        <f>N346</f>
        <v>Climbing</v>
      </c>
      <c r="N346" s="3" t="str">
        <f>'Character Sheet'!CAD5</f>
        <v>Climbing</v>
      </c>
      <c r="O346" s="4" t="s">
        <v>790</v>
      </c>
      <c r="P346" s="4" t="s">
        <v>789</v>
      </c>
      <c r="Q346" s="4">
        <f t="shared" si="156"/>
        <v>0</v>
      </c>
      <c r="R346" s="4">
        <f>IF(ISNUMBER(SEARCH("Category",N346)),"- -",IF(ISNUMBER(SEARCH("Skills",N346)),"- -",'Level-up'!C364))</f>
        <v>0</v>
      </c>
      <c r="S346" s="4">
        <f t="shared" si="176"/>
        <v>0</v>
      </c>
      <c r="T346" s="4">
        <f t="shared" si="177"/>
        <v>-25</v>
      </c>
      <c r="U346" s="4">
        <f t="shared" ca="1" si="182"/>
        <v>3</v>
      </c>
      <c r="V346" s="4">
        <f t="shared" ref="V346:V353" si="189">IF(ISNUMBER(SEARCH("Category",N346)),"- -",IF(ISNUMBER(SEARCH("Skills",N346)),"- -",IF(AU346&gt;0,AU346,$AU$344)))</f>
        <v>0</v>
      </c>
      <c r="W346" s="4">
        <f t="shared" si="155"/>
        <v>0</v>
      </c>
      <c r="X346" s="4">
        <f t="shared" si="154"/>
        <v>0</v>
      </c>
      <c r="Y346" s="4">
        <f ca="1">IF(ISNUMBER(SEARCH("Category",N346)),"- -",IF(ISNUMBER(SEARCH("Skills",N346)),"- -",'Character Sheet'!$ES$11))</f>
        <v>-25</v>
      </c>
      <c r="Z346" s="4">
        <f>IF(ISNUMBER(SEARCH("Category",N346)),"- -",IF(ISNUMBER(SEARCH("Skills",N346)),"- -",'Character Sheet'!$EG$15))</f>
        <v>-12</v>
      </c>
      <c r="AA346" s="4">
        <f>IF(ISNUMBER(SEARCH("Category",N346)),"- -",IF(ISNUMBER(SEARCH("Skills",N346)),"- -",'Character Sheet'!$ES$15))</f>
        <v>-1</v>
      </c>
      <c r="AB346" s="4">
        <f t="shared" si="181"/>
        <v>0</v>
      </c>
      <c r="AC346" s="8"/>
      <c r="AD346" s="4"/>
      <c r="AE346" s="4"/>
      <c r="AF346" s="4" t="str">
        <f t="shared" ca="1" si="185"/>
        <v>-48/-60</v>
      </c>
      <c r="AG346" s="4"/>
      <c r="AH346" s="4">
        <f>IFERROR(VLOOKUP(M346,Calculations!$AC$2:$AD$251,2,FALSE),0)</f>
        <v>0</v>
      </c>
      <c r="AI346" s="4">
        <f>VLOOKUP(N346,$N$2:$AS$620,MATCH('Character Creation'!$Z$12,Skills!$N$1:$AS$1,0),FALSE)</f>
        <v>0</v>
      </c>
      <c r="AJ346" s="4">
        <f>VLOOKUP($N346,[2]Cultures!$B$4:$M$283,MATCH(AJ$1,[2]Cultures!$B$3:$M$3,0),FALSE)</f>
        <v>0</v>
      </c>
      <c r="AK346" s="4">
        <f>VLOOKUP($N346,[2]Cultures!$B$4:$M$283,MATCH(AK$1,[2]Cultures!$B$3:$M$3,0),FALSE)</f>
        <v>0</v>
      </c>
      <c r="AL346" s="4">
        <f>VLOOKUP($N346,[2]Cultures!$B$4:$M$283,MATCH(AL$1,[2]Cultures!$B$3:$M$3,0),FALSE)</f>
        <v>1</v>
      </c>
      <c r="AM346" s="4">
        <f>VLOOKUP($N346,[2]Cultures!$B$4:$M$283,MATCH(AM$1,[2]Cultures!$B$3:$M$3,0),FALSE)</f>
        <v>1</v>
      </c>
      <c r="AN346" s="4">
        <f>VLOOKUP($N346,[2]Cultures!$B$4:$M$283,MATCH(AN$1,[2]Cultures!$B$3:$M$3,0),FALSE)</f>
        <v>0</v>
      </c>
      <c r="AO346" s="4">
        <f>VLOOKUP($N346,[2]Cultures!$B$4:$M$283,MATCH(AO$1,[2]Cultures!$B$3:$M$3,0),FALSE)</f>
        <v>1</v>
      </c>
      <c r="AP346" s="4">
        <f>VLOOKUP($N346,[2]Cultures!$B$4:$M$283,MATCH(AP$1,[2]Cultures!$B$3:$M$3,0),FALSE)</f>
        <v>1</v>
      </c>
      <c r="AQ346" s="4">
        <f>VLOOKUP($N346,[2]Cultures!$B$4:$M$283,MATCH(AQ$1,[2]Cultures!$B$3:$M$3,0),FALSE)</f>
        <v>2</v>
      </c>
      <c r="AR346" s="4">
        <f>VLOOKUP($N346,[2]Cultures!$B$4:$M$283,MATCH(AR$1,[2]Cultures!$B$3:$M$3,0),FALSE)</f>
        <v>1</v>
      </c>
      <c r="AS346" s="4">
        <f>VLOOKUP($N346,[2]Cultures!$B$4:$M$283,MATCH(AS$1,[2]Cultures!$B$3:$M$3,0),FALSE)</f>
        <v>0</v>
      </c>
      <c r="AT346" s="4"/>
      <c r="AU346" s="4">
        <f>IF(ISNUMBER(SEARCH(N346&amp;";",Calculations!$Q$19)),VLOOKUP(Skills!N346,Calculations!$Q$2:$T$16,4,FALSE),0)</f>
        <v>0</v>
      </c>
      <c r="AV346" s="4">
        <f>IF(ISNUMBER(SEARCH(N346&amp;";",Calculations!$Q$18)),1,0)</f>
        <v>0</v>
      </c>
      <c r="AW346" s="4">
        <f>IF($AV$344=1,1,AV346)</f>
        <v>0</v>
      </c>
      <c r="AX346" s="4">
        <f>VLOOKUP($N346,$N346:$CH346,MATCH('Character Sheet'!$BJ$3,Skills!$N$1:$CH$1,0),FALSE)</f>
        <v>0</v>
      </c>
    </row>
    <row r="347" spans="1:50" x14ac:dyDescent="0.25">
      <c r="B347" s="4" t="e">
        <f t="shared" si="153"/>
        <v>#N/A</v>
      </c>
      <c r="E347" s="4"/>
      <c r="F347" s="4">
        <f t="shared" si="174"/>
        <v>0</v>
      </c>
      <c r="G347" s="4"/>
      <c r="H347" s="4" t="e">
        <f t="shared" si="183"/>
        <v>#N/A</v>
      </c>
      <c r="I347" s="4" t="e">
        <f>IF($J$345=1,1,0)</f>
        <v>#N/A</v>
      </c>
      <c r="J347" s="4">
        <f t="shared" si="175"/>
        <v>0</v>
      </c>
      <c r="K347" s="4">
        <f t="shared" si="187"/>
        <v>0</v>
      </c>
      <c r="M347" t="str">
        <f>N347</f>
        <v>Flying</v>
      </c>
      <c r="N347" s="3" t="str">
        <f>'Character Sheet'!CAD6</f>
        <v>Flying</v>
      </c>
      <c r="O347" s="4" t="s">
        <v>790</v>
      </c>
      <c r="P347" s="4" t="s">
        <v>789</v>
      </c>
      <c r="Q347" s="4">
        <f t="shared" si="156"/>
        <v>0</v>
      </c>
      <c r="R347" s="4">
        <f>IF(ISNUMBER(SEARCH("Category",N347)),"- -",IF(ISNUMBER(SEARCH("Skills",N347)),"- -",'Level-up'!C365))</f>
        <v>0</v>
      </c>
      <c r="S347" s="4">
        <f t="shared" si="176"/>
        <v>0</v>
      </c>
      <c r="T347" s="4">
        <f t="shared" si="177"/>
        <v>-25</v>
      </c>
      <c r="U347" s="4">
        <f t="shared" ca="1" si="182"/>
        <v>3</v>
      </c>
      <c r="V347" s="4">
        <f t="shared" si="189"/>
        <v>0</v>
      </c>
      <c r="W347" s="4">
        <f t="shared" si="155"/>
        <v>0</v>
      </c>
      <c r="X347" s="4">
        <f t="shared" si="154"/>
        <v>0</v>
      </c>
      <c r="Y347" s="4">
        <f ca="1">IF(ISNUMBER(SEARCH("Category",N347)),"- -",IF(ISNUMBER(SEARCH("Skills",N347)),"- -",'Character Sheet'!$ES$11))</f>
        <v>-25</v>
      </c>
      <c r="Z347" s="4">
        <f>IF(ISNUMBER(SEARCH("Category",N347)),"- -",IF(ISNUMBER(SEARCH("Skills",N347)),"- -",'Character Sheet'!$EG$15))</f>
        <v>-12</v>
      </c>
      <c r="AA347" s="4">
        <f>IF(ISNUMBER(SEARCH("Category",N347)),"- -",IF(ISNUMBER(SEARCH("Skills",N347)),"- -",'Character Sheet'!$ES$15))</f>
        <v>-1</v>
      </c>
      <c r="AB347" s="4">
        <f t="shared" si="181"/>
        <v>0</v>
      </c>
      <c r="AC347" s="8"/>
      <c r="AD347" s="4"/>
      <c r="AE347" s="4"/>
      <c r="AF347" s="4" t="str">
        <f t="shared" ca="1" si="185"/>
        <v>-48/-60</v>
      </c>
      <c r="AG347" s="4"/>
      <c r="AH347" s="4">
        <f>IFERROR(VLOOKUP(M347,Calculations!$AC$2:$AD$251,2,FALSE),0)</f>
        <v>0</v>
      </c>
      <c r="AI347" s="4">
        <f>VLOOKUP(N347,$N$2:$AS$620,MATCH('Character Creation'!$Z$12,Skills!$N$1:$AS$1,0),FALSE)</f>
        <v>0</v>
      </c>
      <c r="AJ347" s="4">
        <f>VLOOKUP($N347,[2]Cultures!$B$4:$M$283,MATCH(AJ$1,[2]Cultures!$B$3:$M$3,0),FALSE)</f>
        <v>0</v>
      </c>
      <c r="AK347" s="4">
        <f>VLOOKUP($N347,[2]Cultures!$B$4:$M$283,MATCH(AK$1,[2]Cultures!$B$3:$M$3,0),FALSE)</f>
        <v>0</v>
      </c>
      <c r="AL347" s="4">
        <f>VLOOKUP($N347,[2]Cultures!$B$4:$M$283,MATCH(AL$1,[2]Cultures!$B$3:$M$3,0),FALSE)</f>
        <v>0</v>
      </c>
      <c r="AM347" s="4">
        <f>VLOOKUP($N347,[2]Cultures!$B$4:$M$283,MATCH(AM$1,[2]Cultures!$B$3:$M$3,0),FALSE)</f>
        <v>0</v>
      </c>
      <c r="AN347" s="4">
        <f>VLOOKUP($N347,[2]Cultures!$B$4:$M$283,MATCH(AN$1,[2]Cultures!$B$3:$M$3,0),FALSE)</f>
        <v>0</v>
      </c>
      <c r="AO347" s="4">
        <f>VLOOKUP($N347,[2]Cultures!$B$4:$M$283,MATCH(AO$1,[2]Cultures!$B$3:$M$3,0),FALSE)</f>
        <v>0</v>
      </c>
      <c r="AP347" s="4">
        <f>VLOOKUP($N347,[2]Cultures!$B$4:$M$283,MATCH(AP$1,[2]Cultures!$B$3:$M$3,0),FALSE)</f>
        <v>0</v>
      </c>
      <c r="AQ347" s="4">
        <f>VLOOKUP($N347,[2]Cultures!$B$4:$M$283,MATCH(AQ$1,[2]Cultures!$B$3:$M$3,0),FALSE)</f>
        <v>0</v>
      </c>
      <c r="AR347" s="4">
        <f>VLOOKUP($N347,[2]Cultures!$B$4:$M$283,MATCH(AR$1,[2]Cultures!$B$3:$M$3,0),FALSE)</f>
        <v>0</v>
      </c>
      <c r="AS347" s="4">
        <f>VLOOKUP($N347,[2]Cultures!$B$4:$M$283,MATCH(AS$1,[2]Cultures!$B$3:$M$3,0),FALSE)</f>
        <v>0</v>
      </c>
      <c r="AT347" s="4"/>
      <c r="AU347" s="4">
        <f>IF(ISNUMBER(SEARCH(N347&amp;";",Calculations!$Q$19)),VLOOKUP(Skills!N347,Calculations!$Q$2:$T$16,4,FALSE),0)</f>
        <v>0</v>
      </c>
      <c r="AV347" s="4">
        <f>IF(ISNUMBER(SEARCH(N347&amp;";",Calculations!$Q$18)),1,0)</f>
        <v>0</v>
      </c>
      <c r="AW347" s="4">
        <f>IF($AV$344=1,1,AV347)</f>
        <v>0</v>
      </c>
      <c r="AX347" s="4">
        <f>VLOOKUP($N347,$N347:$CH347,MATCH('Character Sheet'!$BJ$3,Skills!$N$1:$CH$1,0),FALSE)</f>
        <v>0</v>
      </c>
    </row>
    <row r="348" spans="1:50" x14ac:dyDescent="0.25">
      <c r="A348" s="4" t="s">
        <v>2240</v>
      </c>
      <c r="B348" s="4" t="e">
        <f t="shared" si="153"/>
        <v>#N/A</v>
      </c>
      <c r="E348" s="4"/>
      <c r="F348" s="4">
        <f t="shared" si="174"/>
        <v>0</v>
      </c>
      <c r="G348" s="4"/>
      <c r="H348" s="4" t="e">
        <f t="shared" si="183"/>
        <v>#N/A</v>
      </c>
      <c r="I348" s="4" t="e">
        <f>IF($J$345=1,1,0)</f>
        <v>#N/A</v>
      </c>
      <c r="J348" s="4">
        <f t="shared" si="175"/>
        <v>0</v>
      </c>
      <c r="K348" s="4">
        <f t="shared" si="187"/>
        <v>2</v>
      </c>
      <c r="M348" t="str">
        <f>N348</f>
        <v>Running</v>
      </c>
      <c r="N348" s="3" t="str">
        <f>'Character Sheet'!CAD7</f>
        <v>Running</v>
      </c>
      <c r="O348" s="4" t="s">
        <v>790</v>
      </c>
      <c r="P348" s="4" t="s">
        <v>789</v>
      </c>
      <c r="Q348" s="4">
        <f t="shared" si="156"/>
        <v>2</v>
      </c>
      <c r="R348" s="4">
        <f>IF(ISNUMBER(SEARCH("Category",N348)),"- -",IF(ISNUMBER(SEARCH("Skills",N348)),"- -",'Level-up'!C366))</f>
        <v>0</v>
      </c>
      <c r="S348" s="4">
        <f t="shared" si="176"/>
        <v>2</v>
      </c>
      <c r="T348" s="4">
        <f t="shared" si="177"/>
        <v>10</v>
      </c>
      <c r="U348" s="4">
        <f t="shared" ca="1" si="182"/>
        <v>3</v>
      </c>
      <c r="V348" s="62">
        <f t="shared" si="189"/>
        <v>0</v>
      </c>
      <c r="W348" s="4">
        <f t="shared" si="155"/>
        <v>2</v>
      </c>
      <c r="X348" s="4">
        <f t="shared" si="154"/>
        <v>0</v>
      </c>
      <c r="Y348" s="4">
        <f ca="1">IF(ISNUMBER(SEARCH("Category",N348)),"- -",IF(ISNUMBER(SEARCH("Skills",N348)),"- -",'Character Sheet'!$ES$11))</f>
        <v>-25</v>
      </c>
      <c r="Z348" s="4">
        <f>IF(ISNUMBER(SEARCH("Category",N348)),"- -",IF(ISNUMBER(SEARCH("Skills",N348)),"- -",'Character Sheet'!$EG$15))</f>
        <v>-12</v>
      </c>
      <c r="AA348" s="4">
        <f>IF(ISNUMBER(SEARCH("Category",N348)),"- -",IF(ISNUMBER(SEARCH("Skills",N348)),"- -",'Character Sheet'!$ES$15))</f>
        <v>-1</v>
      </c>
      <c r="AB348" s="4">
        <f t="shared" si="181"/>
        <v>0</v>
      </c>
      <c r="AC348" s="8"/>
      <c r="AD348" s="4"/>
      <c r="AE348" s="4"/>
      <c r="AF348" s="4" t="str">
        <f t="shared" ca="1" si="185"/>
        <v>-11/-23</v>
      </c>
      <c r="AG348" s="4"/>
      <c r="AH348" s="4">
        <f>IFERROR(VLOOKUP(M348,Calculations!$AC$2:$AD$251,2,FALSE),0)</f>
        <v>0</v>
      </c>
      <c r="AI348" s="4">
        <f>VLOOKUP(N348,$N$2:$AS$620,MATCH('Character Creation'!$Z$12,Skills!$N$1:$AS$1,0),FALSE)</f>
        <v>2</v>
      </c>
      <c r="AJ348" s="4">
        <f>VLOOKUP($N348,[2]Cultures!$B$4:$M$283,MATCH(AJ$1,[2]Cultures!$B$3:$M$3,0),FALSE)</f>
        <v>1</v>
      </c>
      <c r="AK348" s="4">
        <f>VLOOKUP($N348,[2]Cultures!$B$4:$M$283,MATCH(AK$1,[2]Cultures!$B$3:$M$3,0),FALSE)</f>
        <v>2</v>
      </c>
      <c r="AL348" s="4">
        <f>VLOOKUP($N348,[2]Cultures!$B$4:$M$283,MATCH(AL$1,[2]Cultures!$B$3:$M$3,0),FALSE)</f>
        <v>2</v>
      </c>
      <c r="AM348" s="4">
        <f>VLOOKUP($N348,[2]Cultures!$B$4:$M$283,MATCH(AM$1,[2]Cultures!$B$3:$M$3,0),FALSE)</f>
        <v>1</v>
      </c>
      <c r="AN348" s="4">
        <f>VLOOKUP($N348,[2]Cultures!$B$4:$M$283,MATCH(AN$1,[2]Cultures!$B$3:$M$3,0),FALSE)</f>
        <v>2</v>
      </c>
      <c r="AO348" s="4">
        <f>VLOOKUP($N348,[2]Cultures!$B$4:$M$283,MATCH(AO$1,[2]Cultures!$B$3:$M$3,0),FALSE)</f>
        <v>2</v>
      </c>
      <c r="AP348" s="4">
        <f>VLOOKUP($N348,[2]Cultures!$B$4:$M$283,MATCH(AP$1,[2]Cultures!$B$3:$M$3,0),FALSE)</f>
        <v>1</v>
      </c>
      <c r="AQ348" s="4">
        <f>VLOOKUP($N348,[2]Cultures!$B$4:$M$283,MATCH(AQ$1,[2]Cultures!$B$3:$M$3,0),FALSE)</f>
        <v>2</v>
      </c>
      <c r="AR348" s="4">
        <f>VLOOKUP($N348,[2]Cultures!$B$4:$M$283,MATCH(AR$1,[2]Cultures!$B$3:$M$3,0),FALSE)</f>
        <v>1</v>
      </c>
      <c r="AS348" s="4">
        <f>VLOOKUP($N348,[2]Cultures!$B$4:$M$283,MATCH(AS$1,[2]Cultures!$B$3:$M$3,0),FALSE)</f>
        <v>1</v>
      </c>
      <c r="AT348" s="4"/>
      <c r="AU348" s="4">
        <f>IF(ISNUMBER(SEARCH(N348&amp;";",Calculations!$Q$19)),VLOOKUP(Skills!N348,Calculations!$Q$2:$T$16,4,FALSE),0)</f>
        <v>0</v>
      </c>
      <c r="AV348" s="4">
        <f>IF(ISNUMBER(SEARCH(N348&amp;";",Calculations!$Q$18)),1,0)</f>
        <v>1</v>
      </c>
      <c r="AW348" s="4">
        <f>IF($AV$344=1,1,AV348)</f>
        <v>1</v>
      </c>
      <c r="AX348" s="4">
        <f>VLOOKUP($N348,$N348:$CH348,MATCH('Character Sheet'!$BJ$3,Skills!$N$1:$CH$1,0),FALSE)</f>
        <v>0</v>
      </c>
    </row>
    <row r="349" spans="1:50" x14ac:dyDescent="0.25">
      <c r="B349" s="4" t="e">
        <f t="shared" si="153"/>
        <v>#N/A</v>
      </c>
      <c r="E349" s="4"/>
      <c r="F349" s="4">
        <f t="shared" si="174"/>
        <v>0</v>
      </c>
      <c r="G349" s="4"/>
      <c r="H349" s="4" t="e">
        <f t="shared" si="183"/>
        <v>#N/A</v>
      </c>
      <c r="I349" s="4" t="e">
        <f>IF($J$345=1,1,0)</f>
        <v>#N/A</v>
      </c>
      <c r="J349" s="4">
        <f t="shared" si="175"/>
        <v>0</v>
      </c>
      <c r="K349" s="4">
        <f t="shared" si="187"/>
        <v>0</v>
      </c>
      <c r="M349" t="str">
        <f>N349</f>
        <v>Swimming</v>
      </c>
      <c r="N349" s="3" t="str">
        <f>'Character Sheet'!CAD8</f>
        <v>Swimming</v>
      </c>
      <c r="O349" s="4" t="s">
        <v>790</v>
      </c>
      <c r="P349" s="4" t="s">
        <v>789</v>
      </c>
      <c r="Q349" s="4">
        <f t="shared" si="156"/>
        <v>0</v>
      </c>
      <c r="R349" s="4">
        <f>IF(ISNUMBER(SEARCH("Category",N349)),"- -",IF(ISNUMBER(SEARCH("Skills",N349)),"- -",'Level-up'!C367))</f>
        <v>0</v>
      </c>
      <c r="S349" s="4">
        <f t="shared" si="176"/>
        <v>0</v>
      </c>
      <c r="T349" s="4">
        <f t="shared" si="177"/>
        <v>-25</v>
      </c>
      <c r="U349" s="4">
        <f t="shared" ca="1" si="182"/>
        <v>3</v>
      </c>
      <c r="V349" s="4">
        <f t="shared" si="189"/>
        <v>0</v>
      </c>
      <c r="W349" s="4">
        <f t="shared" si="155"/>
        <v>0</v>
      </c>
      <c r="X349" s="4">
        <f t="shared" si="154"/>
        <v>0</v>
      </c>
      <c r="Y349" s="4">
        <f ca="1">IF(ISNUMBER(SEARCH("Category",N349)),"- -",IF(ISNUMBER(SEARCH("Skills",N349)),"- -",'Character Sheet'!$ES$11))</f>
        <v>-25</v>
      </c>
      <c r="Z349" s="4">
        <f>IF(ISNUMBER(SEARCH("Category",N349)),"- -",IF(ISNUMBER(SEARCH("Skills",N349)),"- -",'Character Sheet'!$EG$15))</f>
        <v>-12</v>
      </c>
      <c r="AA349" s="4">
        <f>IF(ISNUMBER(SEARCH("Category",N349)),"- -",IF(ISNUMBER(SEARCH("Skills",N349)),"- -",'Character Sheet'!$ES$15))</f>
        <v>-1</v>
      </c>
      <c r="AB349" s="4">
        <f t="shared" si="181"/>
        <v>0</v>
      </c>
      <c r="AC349" s="8"/>
      <c r="AD349" s="4"/>
      <c r="AE349" s="4"/>
      <c r="AF349" s="4" t="str">
        <f t="shared" ca="1" si="185"/>
        <v>-48/-60</v>
      </c>
      <c r="AG349" s="4"/>
      <c r="AH349" s="4">
        <f>IFERROR(VLOOKUP(M349,Calculations!$AC$2:$AD$251,2,FALSE),0)</f>
        <v>0</v>
      </c>
      <c r="AI349" s="4">
        <f>VLOOKUP(N349,$N$2:$AS$620,MATCH('Character Creation'!$Z$12,Skills!$N$1:$AS$1,0),FALSE)</f>
        <v>0</v>
      </c>
      <c r="AJ349" s="4">
        <f>VLOOKUP($N349,[2]Cultures!$B$4:$M$283,MATCH(AJ$1,[2]Cultures!$B$3:$M$3,0),FALSE)</f>
        <v>0</v>
      </c>
      <c r="AK349" s="4">
        <f>VLOOKUP($N349,[2]Cultures!$B$4:$M$283,MATCH(AK$1,[2]Cultures!$B$3:$M$3,0),FALSE)</f>
        <v>0</v>
      </c>
      <c r="AL349" s="4">
        <f>VLOOKUP($N349,[2]Cultures!$B$4:$M$283,MATCH(AL$1,[2]Cultures!$B$3:$M$3,0),FALSE)</f>
        <v>1</v>
      </c>
      <c r="AM349" s="4">
        <f>VLOOKUP($N349,[2]Cultures!$B$4:$M$283,MATCH(AM$1,[2]Cultures!$B$3:$M$3,0),FALSE)</f>
        <v>2</v>
      </c>
      <c r="AN349" s="4">
        <f>VLOOKUP($N349,[2]Cultures!$B$4:$M$283,MATCH(AN$1,[2]Cultures!$B$3:$M$3,0),FALSE)</f>
        <v>0</v>
      </c>
      <c r="AO349" s="4">
        <f>VLOOKUP($N349,[2]Cultures!$B$4:$M$283,MATCH(AO$1,[2]Cultures!$B$3:$M$3,0),FALSE)</f>
        <v>0</v>
      </c>
      <c r="AP349" s="4">
        <f>VLOOKUP($N349,[2]Cultures!$B$4:$M$283,MATCH(AP$1,[2]Cultures!$B$3:$M$3,0),FALSE)</f>
        <v>1</v>
      </c>
      <c r="AQ349" s="4">
        <f>VLOOKUP($N349,[2]Cultures!$B$4:$M$283,MATCH(AQ$1,[2]Cultures!$B$3:$M$3,0),FALSE)</f>
        <v>0</v>
      </c>
      <c r="AR349" s="4">
        <f>VLOOKUP($N349,[2]Cultures!$B$4:$M$283,MATCH(AR$1,[2]Cultures!$B$3:$M$3,0),FALSE)</f>
        <v>0</v>
      </c>
      <c r="AS349" s="4">
        <f>VLOOKUP($N349,[2]Cultures!$B$4:$M$283,MATCH(AS$1,[2]Cultures!$B$3:$M$3,0),FALSE)</f>
        <v>0</v>
      </c>
      <c r="AT349" s="4"/>
      <c r="AU349" s="4">
        <f>IF(ISNUMBER(SEARCH(N349&amp;";",Calculations!$Q$19)),VLOOKUP(Skills!N349,Calculations!$Q$2:$T$16,4,FALSE),0)</f>
        <v>0</v>
      </c>
      <c r="AV349" s="4">
        <f>IF(ISNUMBER(SEARCH(N349&amp;";",Calculations!$Q$18)),1,0)</f>
        <v>0</v>
      </c>
      <c r="AW349" s="4">
        <f>IF($AV$344=1,1,AV349)</f>
        <v>0</v>
      </c>
      <c r="AX349" s="4">
        <f>VLOOKUP($N349,$N349:$CH349,MATCH('Character Sheet'!$BJ$3,Skills!$N$1:$CH$1,0),FALSE)</f>
        <v>0</v>
      </c>
    </row>
    <row r="350" spans="1:50" x14ac:dyDescent="0.25">
      <c r="B350" s="4" t="e">
        <f t="shared" si="153"/>
        <v>#N/A</v>
      </c>
      <c r="E350" s="4"/>
      <c r="F350" s="4">
        <f t="shared" si="174"/>
        <v>0</v>
      </c>
      <c r="G350" s="4"/>
      <c r="H350" s="4" t="e">
        <f t="shared" si="183"/>
        <v>#N/A</v>
      </c>
      <c r="I350" s="4" t="e">
        <f>IF($J$108=1,1,IF($J$351=1,1,IF($J$353=1,1,IF($J$365=1,1,0))))</f>
        <v>#N/A</v>
      </c>
      <c r="J350" s="4">
        <f t="shared" si="175"/>
        <v>0</v>
      </c>
      <c r="K350" s="4" t="e">
        <f t="shared" si="187"/>
        <v>#N/A</v>
      </c>
      <c r="N350" s="3" t="s">
        <v>700</v>
      </c>
      <c r="O350" s="6" t="s">
        <v>782</v>
      </c>
      <c r="P350" s="6" t="s">
        <v>782</v>
      </c>
      <c r="Q350" s="4" t="str">
        <f t="shared" si="156"/>
        <v>- -</v>
      </c>
      <c r="R350" s="4" t="str">
        <f>IF(ISNUMBER(SEARCH("Category",N350)),"- -",IF(ISNUMBER(SEARCH("Skills",N350)),"- -",'Level-up'!C368))</f>
        <v>- -</v>
      </c>
      <c r="S350" s="4" t="str">
        <f t="shared" si="176"/>
        <v>- -</v>
      </c>
      <c r="T350" s="4" t="str">
        <f t="shared" si="177"/>
        <v>- -</v>
      </c>
      <c r="U350" s="4" t="str">
        <f t="shared" ca="1" si="182"/>
        <v>- -</v>
      </c>
      <c r="V350" s="4" t="str">
        <f t="shared" si="189"/>
        <v>- -</v>
      </c>
      <c r="W350" s="4" t="str">
        <f t="shared" si="155"/>
        <v>- -</v>
      </c>
      <c r="X350" s="4" t="str">
        <f t="shared" si="154"/>
        <v>- -</v>
      </c>
      <c r="Y350" s="4" t="str">
        <f t="shared" si="178"/>
        <v>- -</v>
      </c>
      <c r="Z350" s="4" t="str">
        <f t="shared" si="179"/>
        <v>- -</v>
      </c>
      <c r="AA350" s="4" t="str">
        <f t="shared" si="180"/>
        <v>- -</v>
      </c>
      <c r="AB350" s="4" t="str">
        <f t="shared" si="181"/>
        <v>- -</v>
      </c>
      <c r="AC350" s="8"/>
      <c r="AD350" s="4"/>
      <c r="AE350" s="4"/>
      <c r="AF350" s="4" t="str">
        <f t="shared" si="185"/>
        <v>- -</v>
      </c>
      <c r="AG350" s="4"/>
      <c r="AH350" s="4">
        <f>IFERROR(VLOOKUP(M350,Calculations!$AC$2:$AD$251,2,FALSE),0)</f>
        <v>0</v>
      </c>
      <c r="AI350" s="4" t="e">
        <f>VLOOKUP(N350,$N$2:$AS$620,MATCH('Character Creation'!$Z$12,Skills!$N$1:$AS$1,0),FALSE)</f>
        <v>#N/A</v>
      </c>
      <c r="AJ350" s="4" t="e">
        <f>VLOOKUP($N350,[2]Cultures!$B$4:$M$283,MATCH(AJ$1,[2]Cultures!$B$3:$M$3,0),FALSE)</f>
        <v>#N/A</v>
      </c>
      <c r="AK350" s="4" t="e">
        <f>VLOOKUP($N350,[2]Cultures!$B$4:$M$283,MATCH(AK$1,[2]Cultures!$B$3:$M$3,0),FALSE)</f>
        <v>#N/A</v>
      </c>
      <c r="AL350" s="4" t="e">
        <f>VLOOKUP($N350,[2]Cultures!$B$4:$M$283,MATCH(AL$1,[2]Cultures!$B$3:$M$3,0),FALSE)</f>
        <v>#N/A</v>
      </c>
      <c r="AM350" s="4" t="e">
        <f>VLOOKUP($N350,[2]Cultures!$B$4:$M$283,MATCH(AM$1,[2]Cultures!$B$3:$M$3,0),FALSE)</f>
        <v>#N/A</v>
      </c>
      <c r="AN350" s="4" t="e">
        <f>VLOOKUP($N350,[2]Cultures!$B$4:$M$283,MATCH(AN$1,[2]Cultures!$B$3:$M$3,0),FALSE)</f>
        <v>#N/A</v>
      </c>
      <c r="AO350" s="4" t="e">
        <f>VLOOKUP($N350,[2]Cultures!$B$4:$M$283,MATCH(AO$1,[2]Cultures!$B$3:$M$3,0),FALSE)</f>
        <v>#N/A</v>
      </c>
      <c r="AP350" s="4" t="e">
        <f>VLOOKUP($N350,[2]Cultures!$B$4:$M$283,MATCH(AP$1,[2]Cultures!$B$3:$M$3,0),FALSE)</f>
        <v>#N/A</v>
      </c>
      <c r="AQ350" s="4" t="e">
        <f>VLOOKUP($N350,[2]Cultures!$B$4:$M$283,MATCH(AQ$1,[2]Cultures!$B$3:$M$3,0),FALSE)</f>
        <v>#N/A</v>
      </c>
      <c r="AR350" s="4" t="e">
        <f>VLOOKUP($N350,[2]Cultures!$B$4:$M$283,MATCH(AR$1,[2]Cultures!$B$3:$M$3,0),FALSE)</f>
        <v>#N/A</v>
      </c>
      <c r="AS350" s="4" t="e">
        <f>VLOOKUP($N350,[2]Cultures!$B$4:$M$283,MATCH(AS$1,[2]Cultures!$B$3:$M$3,0),FALSE)</f>
        <v>#N/A</v>
      </c>
      <c r="AT350" s="4"/>
      <c r="AU350" s="4">
        <f>IF(ISNUMBER(SEARCH(N350&amp;";",Calculations!$Q$19)),VLOOKUP(Skills!N350,Calculations!$Q$2:$T$16,4,FALSE),0)</f>
        <v>0</v>
      </c>
      <c r="AV350" s="4">
        <f>IF(ISNUMBER(SEARCH(N350&amp;";",Calculations!$Q$18)),1,0)</f>
        <v>0</v>
      </c>
      <c r="AW350" s="4"/>
      <c r="AX350" s="4">
        <f>VLOOKUP($N350,$N350:$CH350,MATCH('Character Sheet'!$BJ$3,Skills!$N$1:$CH$1,0),FALSE)</f>
        <v>0</v>
      </c>
    </row>
    <row r="351" spans="1:50" x14ac:dyDescent="0.25">
      <c r="B351" s="4" t="e">
        <f t="shared" si="153"/>
        <v>#N/A</v>
      </c>
      <c r="E351" s="4"/>
      <c r="F351" s="4">
        <f t="shared" si="174"/>
        <v>0</v>
      </c>
      <c r="G351" s="4"/>
      <c r="H351" s="4" t="e">
        <f t="shared" si="183"/>
        <v>#N/A</v>
      </c>
      <c r="I351" s="4">
        <v>0</v>
      </c>
      <c r="J351" s="4" t="e">
        <f t="shared" si="175"/>
        <v>#N/A</v>
      </c>
      <c r="K351" s="4" t="e">
        <f t="shared" si="187"/>
        <v>#N/A</v>
      </c>
      <c r="N351" s="3" t="s">
        <v>701</v>
      </c>
      <c r="O351" s="6" t="s">
        <v>782</v>
      </c>
      <c r="P351" s="6" t="s">
        <v>782</v>
      </c>
      <c r="Q351" s="4" t="str">
        <f t="shared" si="156"/>
        <v>- -</v>
      </c>
      <c r="R351" s="4" t="str">
        <f>IF(ISNUMBER(SEARCH("Category",N351)),"- -",IF(ISNUMBER(SEARCH("Skills",N351)),"- -",'Level-up'!C369))</f>
        <v>- -</v>
      </c>
      <c r="S351" s="4" t="str">
        <f t="shared" si="176"/>
        <v>- -</v>
      </c>
      <c r="T351" s="4" t="str">
        <f t="shared" si="177"/>
        <v>- -</v>
      </c>
      <c r="U351" s="4" t="str">
        <f t="shared" ca="1" si="182"/>
        <v>- -</v>
      </c>
      <c r="V351" s="4" t="str">
        <f t="shared" si="189"/>
        <v>- -</v>
      </c>
      <c r="W351" s="4" t="str">
        <f t="shared" si="155"/>
        <v>- -</v>
      </c>
      <c r="X351" s="4" t="str">
        <f t="shared" si="154"/>
        <v>- -</v>
      </c>
      <c r="Y351" s="4" t="str">
        <f t="shared" si="178"/>
        <v>- -</v>
      </c>
      <c r="Z351" s="4" t="str">
        <f t="shared" si="179"/>
        <v>- -</v>
      </c>
      <c r="AA351" s="4" t="str">
        <f t="shared" si="180"/>
        <v>- -</v>
      </c>
      <c r="AB351" s="4" t="str">
        <f t="shared" si="181"/>
        <v>- -</v>
      </c>
      <c r="AC351" s="8"/>
      <c r="AD351" s="4"/>
      <c r="AE351" s="4"/>
      <c r="AF351" s="4" t="str">
        <f t="shared" si="185"/>
        <v>- -</v>
      </c>
      <c r="AG351" s="4"/>
      <c r="AH351" s="4">
        <f>IFERROR(VLOOKUP(M351,Calculations!$AC$2:$AD$251,2,FALSE),0)</f>
        <v>0</v>
      </c>
      <c r="AI351" s="4" t="e">
        <f>VLOOKUP(N351,$N$2:$AS$620,MATCH('Character Creation'!$Z$12,Skills!$N$1:$AS$1,0),FALSE)</f>
        <v>#N/A</v>
      </c>
      <c r="AJ351" s="4" t="e">
        <f>VLOOKUP($N351,[2]Cultures!$B$4:$M$283,MATCH(AJ$1,[2]Cultures!$B$3:$M$3,0),FALSE)</f>
        <v>#N/A</v>
      </c>
      <c r="AK351" s="4" t="e">
        <f>VLOOKUP($N351,[2]Cultures!$B$4:$M$283,MATCH(AK$1,[2]Cultures!$B$3:$M$3,0),FALSE)</f>
        <v>#N/A</v>
      </c>
      <c r="AL351" s="4" t="e">
        <f>VLOOKUP($N351,[2]Cultures!$B$4:$M$283,MATCH(AL$1,[2]Cultures!$B$3:$M$3,0),FALSE)</f>
        <v>#N/A</v>
      </c>
      <c r="AM351" s="4" t="e">
        <f>VLOOKUP($N351,[2]Cultures!$B$4:$M$283,MATCH(AM$1,[2]Cultures!$B$3:$M$3,0),FALSE)</f>
        <v>#N/A</v>
      </c>
      <c r="AN351" s="4" t="e">
        <f>VLOOKUP($N351,[2]Cultures!$B$4:$M$283,MATCH(AN$1,[2]Cultures!$B$3:$M$3,0),FALSE)</f>
        <v>#N/A</v>
      </c>
      <c r="AO351" s="4" t="e">
        <f>VLOOKUP($N351,[2]Cultures!$B$4:$M$283,MATCH(AO$1,[2]Cultures!$B$3:$M$3,0),FALSE)</f>
        <v>#N/A</v>
      </c>
      <c r="AP351" s="4" t="e">
        <f>VLOOKUP($N351,[2]Cultures!$B$4:$M$283,MATCH(AP$1,[2]Cultures!$B$3:$M$3,0),FALSE)</f>
        <v>#N/A</v>
      </c>
      <c r="AQ351" s="4" t="e">
        <f>VLOOKUP($N351,[2]Cultures!$B$4:$M$283,MATCH(AQ$1,[2]Cultures!$B$3:$M$3,0),FALSE)</f>
        <v>#N/A</v>
      </c>
      <c r="AR351" s="4" t="e">
        <f>VLOOKUP($N351,[2]Cultures!$B$4:$M$283,MATCH(AR$1,[2]Cultures!$B$3:$M$3,0),FALSE)</f>
        <v>#N/A</v>
      </c>
      <c r="AS351" s="4" t="e">
        <f>VLOOKUP($N351,[2]Cultures!$B$4:$M$283,MATCH(AS$1,[2]Cultures!$B$3:$M$3,0),FALSE)</f>
        <v>#N/A</v>
      </c>
      <c r="AT351" s="4"/>
      <c r="AU351" s="4">
        <f>IF(ISNUMBER(SEARCH(N351&amp;";",Calculations!$Q$19)),VLOOKUP(Skills!N351,Calculations!$Q$2:$T$16,4,FALSE),0)</f>
        <v>0</v>
      </c>
      <c r="AV351" s="4">
        <f>IF(ISNUMBER(SEARCH(N351&amp;";",Calculations!$Q$18)),1,0)</f>
        <v>0</v>
      </c>
      <c r="AW351" s="4"/>
      <c r="AX351" s="4">
        <f>VLOOKUP($N351,$N351:$CH351,MATCH('Character Sheet'!$BJ$3,Skills!$N$1:$CH$1,0),FALSE)</f>
        <v>0</v>
      </c>
    </row>
    <row r="352" spans="1:50" x14ac:dyDescent="0.25">
      <c r="B352" s="4" t="e">
        <f t="shared" ref="B352:B415" si="190">IF(A352="Y",B351+1,IF(A352="N",B351,IF(S352="- -",B351,IF(S352&gt;0,B351+1,B351))))</f>
        <v>#N/A</v>
      </c>
      <c r="E352" s="4"/>
      <c r="F352" s="4">
        <f t="shared" si="174"/>
        <v>0</v>
      </c>
      <c r="G352" s="4"/>
      <c r="H352" s="4" t="e">
        <f t="shared" si="183"/>
        <v>#N/A</v>
      </c>
      <c r="I352" s="4" t="e">
        <f>IF($J$108=1,1,IF($J$351=1,1,IF($J$353=1,1,0)))</f>
        <v>#N/A</v>
      </c>
      <c r="J352" s="4">
        <f t="shared" si="175"/>
        <v>0</v>
      </c>
      <c r="K352" s="4" t="e">
        <f t="shared" si="187"/>
        <v>#N/A</v>
      </c>
      <c r="N352" s="3" t="s">
        <v>702</v>
      </c>
      <c r="O352" s="6" t="s">
        <v>782</v>
      </c>
      <c r="P352" s="6" t="s">
        <v>782</v>
      </c>
      <c r="Q352" s="4" t="str">
        <f t="shared" si="156"/>
        <v>- -</v>
      </c>
      <c r="R352" s="4" t="str">
        <f>IF(ISNUMBER(SEARCH("Category",N352)),"- -",IF(ISNUMBER(SEARCH("Skills",N352)),"- -",'Level-up'!C370))</f>
        <v>- -</v>
      </c>
      <c r="S352" s="4" t="str">
        <f t="shared" si="176"/>
        <v>- -</v>
      </c>
      <c r="T352" s="4" t="str">
        <f t="shared" si="177"/>
        <v>- -</v>
      </c>
      <c r="U352" s="4" t="str">
        <f t="shared" ca="1" si="182"/>
        <v>- -</v>
      </c>
      <c r="V352" s="4" t="str">
        <f t="shared" si="189"/>
        <v>- -</v>
      </c>
      <c r="W352" s="4" t="str">
        <f t="shared" si="155"/>
        <v>- -</v>
      </c>
      <c r="X352" s="4" t="str">
        <f t="shared" si="154"/>
        <v>- -</v>
      </c>
      <c r="Y352" s="4" t="str">
        <f t="shared" si="178"/>
        <v>- -</v>
      </c>
      <c r="Z352" s="4" t="str">
        <f t="shared" si="179"/>
        <v>- -</v>
      </c>
      <c r="AA352" s="4" t="str">
        <f t="shared" si="180"/>
        <v>- -</v>
      </c>
      <c r="AB352" s="4" t="str">
        <f t="shared" si="181"/>
        <v>- -</v>
      </c>
      <c r="AC352" s="8"/>
      <c r="AD352" s="4"/>
      <c r="AE352" s="4"/>
      <c r="AF352" s="4" t="str">
        <f t="shared" si="185"/>
        <v>- -</v>
      </c>
      <c r="AG352" s="4"/>
      <c r="AH352" s="4">
        <f>IFERROR(VLOOKUP(M352,Calculations!$AC$2:$AD$251,2,FALSE),0)</f>
        <v>0</v>
      </c>
      <c r="AI352" s="4" t="e">
        <f>VLOOKUP(N352,$N$2:$AS$620,MATCH('Character Creation'!$Z$12,Skills!$N$1:$AS$1,0),FALSE)</f>
        <v>#N/A</v>
      </c>
      <c r="AJ352" s="4" t="e">
        <f>VLOOKUP($N352,[2]Cultures!$B$4:$M$283,MATCH(AJ$1,[2]Cultures!$B$3:$M$3,0),FALSE)</f>
        <v>#N/A</v>
      </c>
      <c r="AK352" s="4" t="e">
        <f>VLOOKUP($N352,[2]Cultures!$B$4:$M$283,MATCH(AK$1,[2]Cultures!$B$3:$M$3,0),FALSE)</f>
        <v>#N/A</v>
      </c>
      <c r="AL352" s="4" t="e">
        <f>VLOOKUP($N352,[2]Cultures!$B$4:$M$283,MATCH(AL$1,[2]Cultures!$B$3:$M$3,0),FALSE)</f>
        <v>#N/A</v>
      </c>
      <c r="AM352" s="4" t="e">
        <f>VLOOKUP($N352,[2]Cultures!$B$4:$M$283,MATCH(AM$1,[2]Cultures!$B$3:$M$3,0),FALSE)</f>
        <v>#N/A</v>
      </c>
      <c r="AN352" s="4" t="e">
        <f>VLOOKUP($N352,[2]Cultures!$B$4:$M$283,MATCH(AN$1,[2]Cultures!$B$3:$M$3,0),FALSE)</f>
        <v>#N/A</v>
      </c>
      <c r="AO352" s="4" t="e">
        <f>VLOOKUP($N352,[2]Cultures!$B$4:$M$283,MATCH(AO$1,[2]Cultures!$B$3:$M$3,0),FALSE)</f>
        <v>#N/A</v>
      </c>
      <c r="AP352" s="4" t="e">
        <f>VLOOKUP($N352,[2]Cultures!$B$4:$M$283,MATCH(AP$1,[2]Cultures!$B$3:$M$3,0),FALSE)</f>
        <v>#N/A</v>
      </c>
      <c r="AQ352" s="4" t="e">
        <f>VLOOKUP($N352,[2]Cultures!$B$4:$M$283,MATCH(AQ$1,[2]Cultures!$B$3:$M$3,0),FALSE)</f>
        <v>#N/A</v>
      </c>
      <c r="AR352" s="4" t="e">
        <f>VLOOKUP($N352,[2]Cultures!$B$4:$M$283,MATCH(AR$1,[2]Cultures!$B$3:$M$3,0),FALSE)</f>
        <v>#N/A</v>
      </c>
      <c r="AS352" s="4" t="e">
        <f>VLOOKUP($N352,[2]Cultures!$B$4:$M$283,MATCH(AS$1,[2]Cultures!$B$3:$M$3,0),FALSE)</f>
        <v>#N/A</v>
      </c>
      <c r="AT352" s="4"/>
      <c r="AU352" s="4">
        <f>IF(ISNUMBER(SEARCH(N352&amp;";",Calculations!$Q$19)),VLOOKUP(Skills!N352,Calculations!$Q$2:$T$16,4,FALSE),0)</f>
        <v>0</v>
      </c>
      <c r="AV352" s="4">
        <f>IF(ISNUMBER(SEARCH(N352&amp;";",Calculations!$Q$18)),1,0)</f>
        <v>0</v>
      </c>
      <c r="AW352" s="4"/>
      <c r="AX352" s="4">
        <f>VLOOKUP($N352,$N352:$CH352,MATCH('Character Sheet'!$BJ$3,Skills!$N$1:$CH$1,0),FALSE)</f>
        <v>0</v>
      </c>
    </row>
    <row r="353" spans="1:50" x14ac:dyDescent="0.25">
      <c r="B353" s="4" t="e">
        <f t="shared" si="190"/>
        <v>#N/A</v>
      </c>
      <c r="E353" s="4"/>
      <c r="F353" s="4">
        <f t="shared" si="174"/>
        <v>0</v>
      </c>
      <c r="G353" s="4"/>
      <c r="H353" s="4" t="e">
        <f t="shared" si="183"/>
        <v>#N/A</v>
      </c>
      <c r="I353" s="4">
        <v>0</v>
      </c>
      <c r="J353" s="4" t="e">
        <f t="shared" si="175"/>
        <v>#N/A</v>
      </c>
      <c r="K353" s="4" t="e">
        <f t="shared" si="187"/>
        <v>#N/A</v>
      </c>
      <c r="N353" s="3" t="s">
        <v>703</v>
      </c>
      <c r="O353" s="6" t="s">
        <v>782</v>
      </c>
      <c r="P353" s="6" t="s">
        <v>782</v>
      </c>
      <c r="Q353" s="4" t="str">
        <f t="shared" si="156"/>
        <v>- -</v>
      </c>
      <c r="R353" s="4" t="str">
        <f>IF(ISNUMBER(SEARCH("Category",N353)),"- -",IF(ISNUMBER(SEARCH("Skills",N353)),"- -",'Level-up'!C371))</f>
        <v>- -</v>
      </c>
      <c r="S353" s="4" t="str">
        <f t="shared" si="176"/>
        <v>- -</v>
      </c>
      <c r="T353" s="4" t="str">
        <f t="shared" si="177"/>
        <v>- -</v>
      </c>
      <c r="U353" s="4" t="str">
        <f t="shared" ca="1" si="182"/>
        <v>- -</v>
      </c>
      <c r="V353" s="4" t="str">
        <f t="shared" si="189"/>
        <v>- -</v>
      </c>
      <c r="W353" s="4" t="str">
        <f t="shared" si="155"/>
        <v>- -</v>
      </c>
      <c r="X353" s="4" t="str">
        <f t="shared" si="154"/>
        <v>- -</v>
      </c>
      <c r="Y353" s="4" t="str">
        <f t="shared" si="178"/>
        <v>- -</v>
      </c>
      <c r="Z353" s="4" t="str">
        <f t="shared" si="179"/>
        <v>- -</v>
      </c>
      <c r="AA353" s="4" t="str">
        <f t="shared" si="180"/>
        <v>- -</v>
      </c>
      <c r="AB353" s="4" t="str">
        <f t="shared" si="181"/>
        <v>- -</v>
      </c>
      <c r="AC353" s="8"/>
      <c r="AD353" s="4"/>
      <c r="AE353" s="4"/>
      <c r="AF353" s="4" t="str">
        <f t="shared" si="185"/>
        <v>- -</v>
      </c>
      <c r="AG353" s="4"/>
      <c r="AH353" s="4">
        <f>IFERROR(VLOOKUP(M353,Calculations!$AC$2:$AD$251,2,FALSE),0)</f>
        <v>0</v>
      </c>
      <c r="AI353" s="4" t="e">
        <f>VLOOKUP(N353,$N$2:$AS$620,MATCH('Character Creation'!$Z$12,Skills!$N$1:$AS$1,0),FALSE)</f>
        <v>#N/A</v>
      </c>
      <c r="AJ353" s="4" t="e">
        <f>VLOOKUP($N353,[2]Cultures!$B$4:$M$283,MATCH(AJ$1,[2]Cultures!$B$3:$M$3,0),FALSE)</f>
        <v>#N/A</v>
      </c>
      <c r="AK353" s="4" t="e">
        <f>VLOOKUP($N353,[2]Cultures!$B$4:$M$283,MATCH(AK$1,[2]Cultures!$B$3:$M$3,0),FALSE)</f>
        <v>#N/A</v>
      </c>
      <c r="AL353" s="4" t="e">
        <f>VLOOKUP($N353,[2]Cultures!$B$4:$M$283,MATCH(AL$1,[2]Cultures!$B$3:$M$3,0),FALSE)</f>
        <v>#N/A</v>
      </c>
      <c r="AM353" s="4" t="e">
        <f>VLOOKUP($N353,[2]Cultures!$B$4:$M$283,MATCH(AM$1,[2]Cultures!$B$3:$M$3,0),FALSE)</f>
        <v>#N/A</v>
      </c>
      <c r="AN353" s="4" t="e">
        <f>VLOOKUP($N353,[2]Cultures!$B$4:$M$283,MATCH(AN$1,[2]Cultures!$B$3:$M$3,0),FALSE)</f>
        <v>#N/A</v>
      </c>
      <c r="AO353" s="4" t="e">
        <f>VLOOKUP($N353,[2]Cultures!$B$4:$M$283,MATCH(AO$1,[2]Cultures!$B$3:$M$3,0),FALSE)</f>
        <v>#N/A</v>
      </c>
      <c r="AP353" s="4" t="e">
        <f>VLOOKUP($N353,[2]Cultures!$B$4:$M$283,MATCH(AP$1,[2]Cultures!$B$3:$M$3,0),FALSE)</f>
        <v>#N/A</v>
      </c>
      <c r="AQ353" s="4" t="e">
        <f>VLOOKUP($N353,[2]Cultures!$B$4:$M$283,MATCH(AQ$1,[2]Cultures!$B$3:$M$3,0),FALSE)</f>
        <v>#N/A</v>
      </c>
      <c r="AR353" s="4" t="e">
        <f>VLOOKUP($N353,[2]Cultures!$B$4:$M$283,MATCH(AR$1,[2]Cultures!$B$3:$M$3,0),FALSE)</f>
        <v>#N/A</v>
      </c>
      <c r="AS353" s="4" t="e">
        <f>VLOOKUP($N353,[2]Cultures!$B$4:$M$283,MATCH(AS$1,[2]Cultures!$B$3:$M$3,0),FALSE)</f>
        <v>#N/A</v>
      </c>
      <c r="AT353" s="4"/>
      <c r="AU353" s="4">
        <f>IF(ISNUMBER(SEARCH(N353&amp;";",Calculations!$Q$19)),VLOOKUP(Skills!N353,Calculations!$Q$2:$T$16,4,FALSE),0)</f>
        <v>0</v>
      </c>
      <c r="AV353" s="4">
        <f>IF(ISNUMBER(SEARCH(N353&amp;";",Calculations!$Q$18)),1,0)</f>
        <v>0</v>
      </c>
      <c r="AW353" s="4"/>
      <c r="AX353" s="4">
        <f>VLOOKUP($N353,$N353:$CH353,MATCH('Character Sheet'!$BJ$3,Skills!$N$1:$CH$1,0),FALSE)</f>
        <v>0</v>
      </c>
    </row>
    <row r="354" spans="1:50" x14ac:dyDescent="0.25">
      <c r="A354" s="4" t="s">
        <v>2240</v>
      </c>
      <c r="B354" s="4" t="e">
        <f t="shared" si="190"/>
        <v>#N/A</v>
      </c>
      <c r="E354" s="4"/>
      <c r="F354" s="4">
        <f t="shared" si="174"/>
        <v>0</v>
      </c>
      <c r="G354" s="4"/>
      <c r="H354" s="4" t="e">
        <f t="shared" si="183"/>
        <v>#N/A</v>
      </c>
      <c r="I354" s="4" t="e">
        <f t="shared" ref="I354:I363" si="191">IF($J$108=1,1,IF($J$351=1,1,IF($J$353=1,1,0)))</f>
        <v>#N/A</v>
      </c>
      <c r="J354" s="4">
        <f t="shared" si="175"/>
        <v>0</v>
      </c>
      <c r="K354" s="4">
        <f t="shared" si="187"/>
        <v>0</v>
      </c>
      <c r="M354" t="str">
        <f t="shared" ref="M354:M363" si="192">N354</f>
        <v>Acting</v>
      </c>
      <c r="N354" s="3" t="str">
        <f>'Character Sheet'!CDT5</f>
        <v>Acting</v>
      </c>
      <c r="O354" s="4" t="s">
        <v>802</v>
      </c>
      <c r="P354" s="4" t="s">
        <v>801</v>
      </c>
      <c r="Q354" s="4">
        <f t="shared" si="156"/>
        <v>0</v>
      </c>
      <c r="R354" s="4">
        <f>IF(ISNUMBER(SEARCH("Category",N354)),"- -",IF(ISNUMBER(SEARCH("Skills",N354)),"- -",'Level-up'!C372))</f>
        <v>0</v>
      </c>
      <c r="S354" s="4">
        <f t="shared" si="176"/>
        <v>0</v>
      </c>
      <c r="T354" s="4">
        <f t="shared" si="177"/>
        <v>-25</v>
      </c>
      <c r="U354" s="4">
        <f t="shared" ca="1" si="182"/>
        <v>2</v>
      </c>
      <c r="V354" s="4">
        <f t="shared" ref="V354:V365" si="193">IF(ISNUMBER(SEARCH("Category",N354)),"- -",IF(ISNUMBER(SEARCH("Skills",N354)),"- -",IF(AU354&gt;0,AU354,IF($AU$352&gt;0,$AU$352,$AU$350))))</f>
        <v>0</v>
      </c>
      <c r="W354" s="4">
        <f t="shared" si="155"/>
        <v>0</v>
      </c>
      <c r="X354" s="4">
        <f t="shared" ref="X354:X417" si="194">IF(ISNUMBER(SEARCH("Category",N354)),"- -",IF(ISNUMBER(SEARCH("Skills",N354)),"- -",0))</f>
        <v>0</v>
      </c>
      <c r="Y354" s="4">
        <f t="shared" si="178"/>
        <v>0</v>
      </c>
      <c r="Z354" s="4">
        <f t="shared" si="179"/>
        <v>0</v>
      </c>
      <c r="AA354" s="4">
        <f t="shared" si="180"/>
        <v>0</v>
      </c>
      <c r="AB354" s="4">
        <f t="shared" si="181"/>
        <v>0</v>
      </c>
      <c r="AC354" s="8"/>
      <c r="AD354" s="4"/>
      <c r="AE354" s="4"/>
      <c r="AF354" s="4" t="str">
        <f t="shared" ca="1" si="185"/>
        <v>-23</v>
      </c>
      <c r="AG354" s="4"/>
      <c r="AH354" s="4">
        <f>IFERROR(VLOOKUP(M354,Calculations!$AC$2:$AD$251,2,FALSE),0)</f>
        <v>0</v>
      </c>
      <c r="AI354" s="4">
        <f>VLOOKUP(N354,$N$2:$AS$620,MATCH('Character Creation'!$Z$12,Skills!$N$1:$AS$1,0),FALSE)</f>
        <v>0</v>
      </c>
      <c r="AJ354" s="4">
        <f>VLOOKUP($N354,[2]Cultures!$B$4:$M$283,MATCH(AJ$1,[2]Cultures!$B$3:$M$3,0),FALSE)</f>
        <v>0</v>
      </c>
      <c r="AK354" s="4">
        <f>VLOOKUP($N354,[2]Cultures!$B$4:$M$283,MATCH(AK$1,[2]Cultures!$B$3:$M$3,0),FALSE)</f>
        <v>0</v>
      </c>
      <c r="AL354" s="4">
        <f>VLOOKUP($N354,[2]Cultures!$B$4:$M$283,MATCH(AL$1,[2]Cultures!$B$3:$M$3,0),FALSE)</f>
        <v>0</v>
      </c>
      <c r="AM354" s="4">
        <f>VLOOKUP($N354,[2]Cultures!$B$4:$M$283,MATCH(AM$1,[2]Cultures!$B$3:$M$3,0),FALSE)</f>
        <v>0</v>
      </c>
      <c r="AN354" s="4">
        <f>VLOOKUP($N354,[2]Cultures!$B$4:$M$283,MATCH(AN$1,[2]Cultures!$B$3:$M$3,0),FALSE)</f>
        <v>0</v>
      </c>
      <c r="AO354" s="4">
        <f>VLOOKUP($N354,[2]Cultures!$B$4:$M$283,MATCH(AO$1,[2]Cultures!$B$3:$M$3,0),FALSE)</f>
        <v>0</v>
      </c>
      <c r="AP354" s="4">
        <f>VLOOKUP($N354,[2]Cultures!$B$4:$M$283,MATCH(AP$1,[2]Cultures!$B$3:$M$3,0),FALSE)</f>
        <v>0</v>
      </c>
      <c r="AQ354" s="4">
        <f>VLOOKUP($N354,[2]Cultures!$B$4:$M$283,MATCH(AQ$1,[2]Cultures!$B$3:$M$3,0),FALSE)</f>
        <v>0</v>
      </c>
      <c r="AR354" s="4">
        <f>VLOOKUP($N354,[2]Cultures!$B$4:$M$283,MATCH(AR$1,[2]Cultures!$B$3:$M$3,0),FALSE)</f>
        <v>0</v>
      </c>
      <c r="AS354" s="4">
        <f>VLOOKUP($N354,[2]Cultures!$B$4:$M$283,MATCH(AS$1,[2]Cultures!$B$3:$M$3,0),FALSE)</f>
        <v>0</v>
      </c>
      <c r="AT354" s="4"/>
      <c r="AU354" s="4">
        <f>IF(ISNUMBER(SEARCH(N354&amp;";",Calculations!$Q$19)),VLOOKUP(Skills!N354,Calculations!$Q$2:$T$16,4,FALSE),0)</f>
        <v>0</v>
      </c>
      <c r="AV354" s="4">
        <f>IF(ISNUMBER(SEARCH(N354&amp;";",Calculations!$Q$18)),1,0)</f>
        <v>1</v>
      </c>
      <c r="AW354" s="4">
        <f t="shared" ref="AW354:AW363" si="195">IF($AV$350=1,1,IF($AV$352=1,1,AV354))</f>
        <v>1</v>
      </c>
      <c r="AX354" s="4">
        <f>VLOOKUP($N354,$N354:$CH354,MATCH('Character Sheet'!$BJ$3,Skills!$N$1:$CH$1,0),FALSE)</f>
        <v>0</v>
      </c>
    </row>
    <row r="355" spans="1:50" x14ac:dyDescent="0.25">
      <c r="B355" s="4" t="e">
        <f t="shared" si="190"/>
        <v>#N/A</v>
      </c>
      <c r="E355" s="4"/>
      <c r="F355" s="4">
        <f t="shared" si="174"/>
        <v>0</v>
      </c>
      <c r="G355" s="4"/>
      <c r="H355" s="4" t="e">
        <f t="shared" si="183"/>
        <v>#N/A</v>
      </c>
      <c r="I355" s="4" t="e">
        <f t="shared" si="191"/>
        <v>#N/A</v>
      </c>
      <c r="J355" s="4">
        <f t="shared" si="175"/>
        <v>0</v>
      </c>
      <c r="K355" s="4">
        <f t="shared" si="187"/>
        <v>0</v>
      </c>
      <c r="M355" t="str">
        <f t="shared" si="192"/>
        <v>Public Speaking</v>
      </c>
      <c r="N355" s="3" t="str">
        <f>'Character Sheet'!CDT6</f>
        <v>Public Speaking</v>
      </c>
      <c r="O355" s="4" t="s">
        <v>802</v>
      </c>
      <c r="P355" s="4" t="s">
        <v>781</v>
      </c>
      <c r="Q355" s="4">
        <f t="shared" si="156"/>
        <v>0</v>
      </c>
      <c r="R355" s="4">
        <f>IF(ISNUMBER(SEARCH("Category",N355)),"- -",IF(ISNUMBER(SEARCH("Skills",N355)),"- -",'Level-up'!C373))</f>
        <v>0</v>
      </c>
      <c r="S355" s="4">
        <f t="shared" si="176"/>
        <v>0</v>
      </c>
      <c r="T355" s="4">
        <f t="shared" si="177"/>
        <v>-25</v>
      </c>
      <c r="U355" s="4">
        <f t="shared" ca="1" si="182"/>
        <v>-1</v>
      </c>
      <c r="V355" s="4">
        <f t="shared" si="193"/>
        <v>0</v>
      </c>
      <c r="W355" s="4">
        <f t="shared" si="155"/>
        <v>0</v>
      </c>
      <c r="X355" s="4">
        <f t="shared" si="194"/>
        <v>0</v>
      </c>
      <c r="Y355" s="4">
        <f t="shared" si="178"/>
        <v>0</v>
      </c>
      <c r="Z355" s="4">
        <f t="shared" si="179"/>
        <v>0</v>
      </c>
      <c r="AA355" s="4">
        <f t="shared" si="180"/>
        <v>0</v>
      </c>
      <c r="AB355" s="4">
        <f t="shared" si="181"/>
        <v>0</v>
      </c>
      <c r="AC355" s="8"/>
      <c r="AD355" s="4"/>
      <c r="AE355" s="4"/>
      <c r="AF355" s="4" t="str">
        <f t="shared" ca="1" si="185"/>
        <v>-26</v>
      </c>
      <c r="AG355" s="4"/>
      <c r="AH355" s="4">
        <f>IFERROR(VLOOKUP(M355,Calculations!$AC$2:$AD$251,2,FALSE),0)</f>
        <v>0</v>
      </c>
      <c r="AI355" s="4">
        <f>VLOOKUP(N355,$N$2:$AS$620,MATCH('Character Creation'!$Z$12,Skills!$N$1:$AS$1,0),FALSE)</f>
        <v>0</v>
      </c>
      <c r="AJ355" s="4">
        <f>VLOOKUP($N355,[2]Cultures!$B$4:$M$283,MATCH(AJ$1,[2]Cultures!$B$3:$M$3,0),FALSE)</f>
        <v>0</v>
      </c>
      <c r="AK355" s="4">
        <f>VLOOKUP($N355,[2]Cultures!$B$4:$M$283,MATCH(AK$1,[2]Cultures!$B$3:$M$3,0),FALSE)</f>
        <v>0</v>
      </c>
      <c r="AL355" s="4">
        <f>VLOOKUP($N355,[2]Cultures!$B$4:$M$283,MATCH(AL$1,[2]Cultures!$B$3:$M$3,0),FALSE)</f>
        <v>0</v>
      </c>
      <c r="AM355" s="4">
        <f>VLOOKUP($N355,[2]Cultures!$B$4:$M$283,MATCH(AM$1,[2]Cultures!$B$3:$M$3,0),FALSE)</f>
        <v>0</v>
      </c>
      <c r="AN355" s="4">
        <f>VLOOKUP($N355,[2]Cultures!$B$4:$M$283,MATCH(AN$1,[2]Cultures!$B$3:$M$3,0),FALSE)</f>
        <v>0</v>
      </c>
      <c r="AO355" s="4">
        <f>VLOOKUP($N355,[2]Cultures!$B$4:$M$283,MATCH(AO$1,[2]Cultures!$B$3:$M$3,0),FALSE)</f>
        <v>0</v>
      </c>
      <c r="AP355" s="4">
        <f>VLOOKUP($N355,[2]Cultures!$B$4:$M$283,MATCH(AP$1,[2]Cultures!$B$3:$M$3,0),FALSE)</f>
        <v>0</v>
      </c>
      <c r="AQ355" s="4">
        <f>VLOOKUP($N355,[2]Cultures!$B$4:$M$283,MATCH(AQ$1,[2]Cultures!$B$3:$M$3,0),FALSE)</f>
        <v>0</v>
      </c>
      <c r="AR355" s="4">
        <f>VLOOKUP($N355,[2]Cultures!$B$4:$M$283,MATCH(AR$1,[2]Cultures!$B$3:$M$3,0),FALSE)</f>
        <v>0</v>
      </c>
      <c r="AS355" s="4">
        <f>VLOOKUP($N355,[2]Cultures!$B$4:$M$283,MATCH(AS$1,[2]Cultures!$B$3:$M$3,0),FALSE)</f>
        <v>0</v>
      </c>
      <c r="AT355" s="4"/>
      <c r="AU355" s="4">
        <f>IF(ISNUMBER(SEARCH(N355&amp;";",Calculations!$Q$19)),VLOOKUP(Skills!N355,Calculations!$Q$2:$T$16,4,FALSE),0)</f>
        <v>0</v>
      </c>
      <c r="AV355" s="4">
        <f>IF(ISNUMBER(SEARCH(N355&amp;";",Calculations!$Q$18)),1,0)</f>
        <v>0</v>
      </c>
      <c r="AW355" s="4">
        <f t="shared" si="195"/>
        <v>0</v>
      </c>
      <c r="AX355" s="4">
        <f>VLOOKUP($N355,$N355:$CH355,MATCH('Character Sheet'!$BJ$3,Skills!$N$1:$CH$1,0),FALSE)</f>
        <v>0</v>
      </c>
    </row>
    <row r="356" spans="1:50" x14ac:dyDescent="0.25">
      <c r="B356" s="4" t="e">
        <f t="shared" si="190"/>
        <v>#N/A</v>
      </c>
      <c r="E356" s="4"/>
      <c r="F356" s="4">
        <f t="shared" si="174"/>
        <v>0</v>
      </c>
      <c r="G356" s="4"/>
      <c r="H356" s="4" t="e">
        <f t="shared" si="183"/>
        <v>#N/A</v>
      </c>
      <c r="I356" s="4" t="e">
        <f t="shared" si="191"/>
        <v>#N/A</v>
      </c>
      <c r="J356" s="4">
        <f t="shared" si="175"/>
        <v>0</v>
      </c>
      <c r="K356" s="4">
        <f t="shared" si="187"/>
        <v>0</v>
      </c>
      <c r="M356" t="str">
        <f t="shared" si="192"/>
        <v>Ventriloquism</v>
      </c>
      <c r="N356" s="3" t="str">
        <f>'Character Sheet'!CDT7</f>
        <v>Ventriloquism</v>
      </c>
      <c r="O356" s="4" t="s">
        <v>802</v>
      </c>
      <c r="P356" s="4" t="s">
        <v>794</v>
      </c>
      <c r="Q356" s="4">
        <f t="shared" si="156"/>
        <v>0</v>
      </c>
      <c r="R356" s="4">
        <f>IF(ISNUMBER(SEARCH("Category",N356)),"- -",IF(ISNUMBER(SEARCH("Skills",N356)),"- -",'Level-up'!C374))</f>
        <v>0</v>
      </c>
      <c r="S356" s="4">
        <f t="shared" si="176"/>
        <v>0</v>
      </c>
      <c r="T356" s="4">
        <f t="shared" si="177"/>
        <v>-25</v>
      </c>
      <c r="U356" s="4">
        <f t="shared" ca="1" si="182"/>
        <v>4</v>
      </c>
      <c r="V356" s="4">
        <f t="shared" si="193"/>
        <v>0</v>
      </c>
      <c r="W356" s="4">
        <f t="shared" ref="W356:W419" si="196">IF(ISNUMBER(SEARCH("Category",N356)),"- -",IF(ISNUMBER(SEARCH("Skills",N356)),"- -",IF(AW356=1,MIN(S356,30),0)))</f>
        <v>0</v>
      </c>
      <c r="X356" s="4">
        <f t="shared" si="194"/>
        <v>0</v>
      </c>
      <c r="Y356" s="4">
        <f t="shared" si="178"/>
        <v>0</v>
      </c>
      <c r="Z356" s="4">
        <f t="shared" si="179"/>
        <v>0</v>
      </c>
      <c r="AA356" s="4">
        <f t="shared" si="180"/>
        <v>0</v>
      </c>
      <c r="AB356" s="4">
        <f t="shared" si="181"/>
        <v>0</v>
      </c>
      <c r="AC356" s="8"/>
      <c r="AD356" s="4"/>
      <c r="AE356" s="4"/>
      <c r="AF356" s="4" t="str">
        <f t="shared" ca="1" si="185"/>
        <v>-21</v>
      </c>
      <c r="AG356" s="4"/>
      <c r="AH356" s="4">
        <f>IFERROR(VLOOKUP(M356,Calculations!$AC$2:$AD$251,2,FALSE),0)</f>
        <v>0</v>
      </c>
      <c r="AI356" s="4">
        <f>VLOOKUP(N356,$N$2:$AS$620,MATCH('Character Creation'!$Z$12,Skills!$N$1:$AS$1,0),FALSE)</f>
        <v>0</v>
      </c>
      <c r="AJ356" s="4">
        <f>VLOOKUP($N356,[2]Cultures!$B$4:$M$283,MATCH(AJ$1,[2]Cultures!$B$3:$M$3,0),FALSE)</f>
        <v>0</v>
      </c>
      <c r="AK356" s="4">
        <f>VLOOKUP($N356,[2]Cultures!$B$4:$M$283,MATCH(AK$1,[2]Cultures!$B$3:$M$3,0),FALSE)</f>
        <v>0</v>
      </c>
      <c r="AL356" s="4">
        <f>VLOOKUP($N356,[2]Cultures!$B$4:$M$283,MATCH(AL$1,[2]Cultures!$B$3:$M$3,0),FALSE)</f>
        <v>0</v>
      </c>
      <c r="AM356" s="4">
        <f>VLOOKUP($N356,[2]Cultures!$B$4:$M$283,MATCH(AM$1,[2]Cultures!$B$3:$M$3,0),FALSE)</f>
        <v>0</v>
      </c>
      <c r="AN356" s="4">
        <f>VLOOKUP($N356,[2]Cultures!$B$4:$M$283,MATCH(AN$1,[2]Cultures!$B$3:$M$3,0),FALSE)</f>
        <v>0</v>
      </c>
      <c r="AO356" s="4">
        <f>VLOOKUP($N356,[2]Cultures!$B$4:$M$283,MATCH(AO$1,[2]Cultures!$B$3:$M$3,0),FALSE)</f>
        <v>0</v>
      </c>
      <c r="AP356" s="4">
        <f>VLOOKUP($N356,[2]Cultures!$B$4:$M$283,MATCH(AP$1,[2]Cultures!$B$3:$M$3,0),FALSE)</f>
        <v>0</v>
      </c>
      <c r="AQ356" s="4">
        <f>VLOOKUP($N356,[2]Cultures!$B$4:$M$283,MATCH(AQ$1,[2]Cultures!$B$3:$M$3,0),FALSE)</f>
        <v>0</v>
      </c>
      <c r="AR356" s="4">
        <f>VLOOKUP($N356,[2]Cultures!$B$4:$M$283,MATCH(AR$1,[2]Cultures!$B$3:$M$3,0),FALSE)</f>
        <v>0</v>
      </c>
      <c r="AS356" s="4">
        <f>VLOOKUP($N356,[2]Cultures!$B$4:$M$283,MATCH(AS$1,[2]Cultures!$B$3:$M$3,0),FALSE)</f>
        <v>0</v>
      </c>
      <c r="AT356" s="4"/>
      <c r="AU356" s="4">
        <f>IF(ISNUMBER(SEARCH(N356&amp;";",Calculations!$Q$19)),VLOOKUP(Skills!N356,Calculations!$Q$2:$T$16,4,FALSE),0)</f>
        <v>0</v>
      </c>
      <c r="AV356" s="4">
        <f>IF(ISNUMBER(SEARCH(N356&amp;";",Calculations!$Q$18)),1,0)</f>
        <v>0</v>
      </c>
      <c r="AW356" s="4">
        <f t="shared" si="195"/>
        <v>0</v>
      </c>
      <c r="AX356" s="4">
        <f>VLOOKUP($N356,$N356:$CH356,MATCH('Character Sheet'!$BJ$3,Skills!$N$1:$CH$1,0),FALSE)</f>
        <v>0</v>
      </c>
    </row>
    <row r="357" spans="1:50" x14ac:dyDescent="0.25">
      <c r="B357" s="4" t="e">
        <f t="shared" si="190"/>
        <v>#N/A</v>
      </c>
      <c r="E357" s="4"/>
      <c r="F357" s="4">
        <f t="shared" si="174"/>
        <v>0</v>
      </c>
      <c r="G357" s="4"/>
      <c r="H357" s="4" t="e">
        <f t="shared" si="183"/>
        <v>#N/A</v>
      </c>
      <c r="I357" s="4" t="e">
        <f t="shared" si="191"/>
        <v>#N/A</v>
      </c>
      <c r="J357" s="4">
        <f t="shared" si="175"/>
        <v>0</v>
      </c>
      <c r="K357" s="4">
        <f t="shared" si="187"/>
        <v>0</v>
      </c>
      <c r="M357" t="str">
        <f t="shared" si="192"/>
        <v>Singing</v>
      </c>
      <c r="N357" s="3" t="str">
        <f>'Character Sheet'!CDT8</f>
        <v>Singing</v>
      </c>
      <c r="O357" s="4" t="s">
        <v>802</v>
      </c>
      <c r="P357" s="4" t="s">
        <v>801</v>
      </c>
      <c r="Q357" s="4">
        <f t="shared" ref="Q357:Q420" si="197">IF(ISNUMBER(SEARCH("Category",N357)),"- -",IF(ISNUMBER(SEARCH("Skills",N357)),"- -",AH357+AI357))</f>
        <v>0</v>
      </c>
      <c r="R357" s="4">
        <f>IF(ISNUMBER(SEARCH("Category",N357)),"- -",IF(ISNUMBER(SEARCH("Skills",N357)),"- -",'Level-up'!C375))</f>
        <v>0</v>
      </c>
      <c r="S357" s="4">
        <f t="shared" si="176"/>
        <v>0</v>
      </c>
      <c r="T357" s="4">
        <f t="shared" si="177"/>
        <v>-25</v>
      </c>
      <c r="U357" s="4">
        <f t="shared" ca="1" si="182"/>
        <v>2</v>
      </c>
      <c r="V357" s="4">
        <f t="shared" si="193"/>
        <v>0</v>
      </c>
      <c r="W357" s="4">
        <f t="shared" si="196"/>
        <v>0</v>
      </c>
      <c r="X357" s="4">
        <f t="shared" si="194"/>
        <v>0</v>
      </c>
      <c r="Y357" s="4">
        <f t="shared" si="178"/>
        <v>0</v>
      </c>
      <c r="Z357" s="4">
        <f t="shared" si="179"/>
        <v>0</v>
      </c>
      <c r="AA357" s="4">
        <f t="shared" si="180"/>
        <v>0</v>
      </c>
      <c r="AB357" s="4">
        <f t="shared" si="181"/>
        <v>0</v>
      </c>
      <c r="AC357" s="8"/>
      <c r="AD357" s="4"/>
      <c r="AE357" s="4"/>
      <c r="AF357" s="4" t="str">
        <f t="shared" ca="1" si="185"/>
        <v>-23</v>
      </c>
      <c r="AG357" s="4"/>
      <c r="AH357" s="4">
        <f>IFERROR(VLOOKUP(M357,Calculations!$AC$2:$AD$251,2,FALSE),0)</f>
        <v>0</v>
      </c>
      <c r="AI357" s="4">
        <f>VLOOKUP(N357,$N$2:$AS$620,MATCH('Character Creation'!$Z$12,Skills!$N$1:$AS$1,0),FALSE)</f>
        <v>0</v>
      </c>
      <c r="AJ357" s="4">
        <f>VLOOKUP($N357,[2]Cultures!$B$4:$M$283,MATCH(AJ$1,[2]Cultures!$B$3:$M$3,0),FALSE)</f>
        <v>0</v>
      </c>
      <c r="AK357" s="4">
        <f>VLOOKUP($N357,[2]Cultures!$B$4:$M$283,MATCH(AK$1,[2]Cultures!$B$3:$M$3,0),FALSE)</f>
        <v>0</v>
      </c>
      <c r="AL357" s="4">
        <f>VLOOKUP($N357,[2]Cultures!$B$4:$M$283,MATCH(AL$1,[2]Cultures!$B$3:$M$3,0),FALSE)</f>
        <v>0</v>
      </c>
      <c r="AM357" s="4">
        <f>VLOOKUP($N357,[2]Cultures!$B$4:$M$283,MATCH(AM$1,[2]Cultures!$B$3:$M$3,0),FALSE)</f>
        <v>0</v>
      </c>
      <c r="AN357" s="4">
        <f>VLOOKUP($N357,[2]Cultures!$B$4:$M$283,MATCH(AN$1,[2]Cultures!$B$3:$M$3,0),FALSE)</f>
        <v>0</v>
      </c>
      <c r="AO357" s="4">
        <f>VLOOKUP($N357,[2]Cultures!$B$4:$M$283,MATCH(AO$1,[2]Cultures!$B$3:$M$3,0),FALSE)</f>
        <v>0</v>
      </c>
      <c r="AP357" s="4">
        <f>VLOOKUP($N357,[2]Cultures!$B$4:$M$283,MATCH(AP$1,[2]Cultures!$B$3:$M$3,0),FALSE)</f>
        <v>0</v>
      </c>
      <c r="AQ357" s="4">
        <f>VLOOKUP($N357,[2]Cultures!$B$4:$M$283,MATCH(AQ$1,[2]Cultures!$B$3:$M$3,0),FALSE)</f>
        <v>0</v>
      </c>
      <c r="AR357" s="4">
        <f>VLOOKUP($N357,[2]Cultures!$B$4:$M$283,MATCH(AR$1,[2]Cultures!$B$3:$M$3,0),FALSE)</f>
        <v>0</v>
      </c>
      <c r="AS357" s="4">
        <f>VLOOKUP($N357,[2]Cultures!$B$4:$M$283,MATCH(AS$1,[2]Cultures!$B$3:$M$3,0),FALSE)</f>
        <v>0</v>
      </c>
      <c r="AT357" s="4"/>
      <c r="AU357" s="4">
        <f>IF(ISNUMBER(SEARCH(N357&amp;";",Calculations!$Q$19)),VLOOKUP(Skills!N357,Calculations!$Q$2:$T$16,4,FALSE),0)</f>
        <v>0</v>
      </c>
      <c r="AV357" s="4">
        <f>IF(ISNUMBER(SEARCH(N357&amp;";",Calculations!$Q$18)),1,0)</f>
        <v>0</v>
      </c>
      <c r="AW357" s="4">
        <f t="shared" si="195"/>
        <v>0</v>
      </c>
      <c r="AX357" s="4">
        <f>VLOOKUP($N357,$N357:$CH357,MATCH('Character Sheet'!$BJ$3,Skills!$N$1:$CH$1,0),FALSE)</f>
        <v>0</v>
      </c>
    </row>
    <row r="358" spans="1:50" x14ac:dyDescent="0.25">
      <c r="B358" s="4" t="e">
        <f t="shared" si="190"/>
        <v>#N/A</v>
      </c>
      <c r="E358" s="4"/>
      <c r="F358" s="4">
        <f t="shared" si="174"/>
        <v>0</v>
      </c>
      <c r="G358" s="4"/>
      <c r="H358" s="4" t="e">
        <f t="shared" si="183"/>
        <v>#N/A</v>
      </c>
      <c r="I358" s="4" t="e">
        <f t="shared" si="191"/>
        <v>#N/A</v>
      </c>
      <c r="J358" s="4">
        <f t="shared" si="175"/>
        <v>0</v>
      </c>
      <c r="K358" s="4">
        <f t="shared" si="187"/>
        <v>0</v>
      </c>
      <c r="M358" t="str">
        <f t="shared" si="192"/>
        <v>Canon</v>
      </c>
      <c r="N358" s="3" t="str">
        <f>'Character Sheet'!CDT9</f>
        <v>Canon</v>
      </c>
      <c r="O358" s="4" t="s">
        <v>802</v>
      </c>
      <c r="P358" s="4" t="s">
        <v>801</v>
      </c>
      <c r="Q358" s="4">
        <f t="shared" si="197"/>
        <v>0</v>
      </c>
      <c r="R358" s="4">
        <f>IF(ISNUMBER(SEARCH("Category",N358)),"- -",IF(ISNUMBER(SEARCH("Skills",N358)),"- -",'Level-up'!C376))</f>
        <v>0</v>
      </c>
      <c r="S358" s="4">
        <f t="shared" si="176"/>
        <v>0</v>
      </c>
      <c r="T358" s="4">
        <f t="shared" si="177"/>
        <v>-25</v>
      </c>
      <c r="U358" s="4">
        <f t="shared" ca="1" si="182"/>
        <v>2</v>
      </c>
      <c r="V358" s="4">
        <f t="shared" si="193"/>
        <v>0</v>
      </c>
      <c r="W358" s="4">
        <f t="shared" si="196"/>
        <v>0</v>
      </c>
      <c r="X358" s="4">
        <f t="shared" si="194"/>
        <v>0</v>
      </c>
      <c r="Y358" s="4">
        <f t="shared" si="178"/>
        <v>0</v>
      </c>
      <c r="Z358" s="4">
        <f t="shared" si="179"/>
        <v>0</v>
      </c>
      <c r="AA358" s="4">
        <f t="shared" si="180"/>
        <v>0</v>
      </c>
      <c r="AB358" s="4">
        <f t="shared" si="181"/>
        <v>0</v>
      </c>
      <c r="AC358" s="8"/>
      <c r="AD358" s="4"/>
      <c r="AE358" s="4"/>
      <c r="AF358" s="4" t="str">
        <f t="shared" ca="1" si="185"/>
        <v>-23</v>
      </c>
      <c r="AG358" s="4"/>
      <c r="AH358" s="4">
        <f>IFERROR(VLOOKUP(M358,Calculations!$AC$2:$AD$251,2,FALSE),0)</f>
        <v>0</v>
      </c>
      <c r="AI358" s="4">
        <f>VLOOKUP(N358,$N$2:$AS$620,MATCH('Character Creation'!$Z$12,Skills!$N$1:$AS$1,0),FALSE)</f>
        <v>0</v>
      </c>
      <c r="AJ358" s="4">
        <f>VLOOKUP($N358,[2]Cultures!$B$4:$M$283,MATCH(AJ$1,[2]Cultures!$B$3:$M$3,0),FALSE)</f>
        <v>0</v>
      </c>
      <c r="AK358" s="4">
        <f>VLOOKUP($N358,[2]Cultures!$B$4:$M$283,MATCH(AK$1,[2]Cultures!$B$3:$M$3,0),FALSE)</f>
        <v>0</v>
      </c>
      <c r="AL358" s="4">
        <f>VLOOKUP($N358,[2]Cultures!$B$4:$M$283,MATCH(AL$1,[2]Cultures!$B$3:$M$3,0),FALSE)</f>
        <v>0</v>
      </c>
      <c r="AM358" s="4">
        <f>VLOOKUP($N358,[2]Cultures!$B$4:$M$283,MATCH(AM$1,[2]Cultures!$B$3:$M$3,0),FALSE)</f>
        <v>0</v>
      </c>
      <c r="AN358" s="4">
        <f>VLOOKUP($N358,[2]Cultures!$B$4:$M$283,MATCH(AN$1,[2]Cultures!$B$3:$M$3,0),FALSE)</f>
        <v>0</v>
      </c>
      <c r="AO358" s="4">
        <f>VLOOKUP($N358,[2]Cultures!$B$4:$M$283,MATCH(AO$1,[2]Cultures!$B$3:$M$3,0),FALSE)</f>
        <v>0</v>
      </c>
      <c r="AP358" s="4">
        <f>VLOOKUP($N358,[2]Cultures!$B$4:$M$283,MATCH(AP$1,[2]Cultures!$B$3:$M$3,0),FALSE)</f>
        <v>0</v>
      </c>
      <c r="AQ358" s="4">
        <f>VLOOKUP($N358,[2]Cultures!$B$4:$M$283,MATCH(AQ$1,[2]Cultures!$B$3:$M$3,0),FALSE)</f>
        <v>0</v>
      </c>
      <c r="AR358" s="4">
        <f>VLOOKUP($N358,[2]Cultures!$B$4:$M$283,MATCH(AR$1,[2]Cultures!$B$3:$M$3,0),FALSE)</f>
        <v>0</v>
      </c>
      <c r="AS358" s="4">
        <f>VLOOKUP($N358,[2]Cultures!$B$4:$M$283,MATCH(AS$1,[2]Cultures!$B$3:$M$3,0),FALSE)</f>
        <v>0</v>
      </c>
      <c r="AT358" s="4"/>
      <c r="AU358" s="4">
        <f>IF(ISNUMBER(SEARCH(N358&amp;";",Calculations!$Q$19)),VLOOKUP(Skills!N358,Calculations!$Q$2:$T$16,4,FALSE),0)</f>
        <v>0</v>
      </c>
      <c r="AV358" s="4">
        <f>IF(ISNUMBER(SEARCH(N358&amp;";",Calculations!$Q$18)),1,0)</f>
        <v>0</v>
      </c>
      <c r="AW358" s="4">
        <f t="shared" si="195"/>
        <v>0</v>
      </c>
      <c r="AX358" s="4">
        <f>VLOOKUP($N358,$N358:$CH358,MATCH('Character Sheet'!$BJ$3,Skills!$N$1:$CH$1,0),FALSE)</f>
        <v>0</v>
      </c>
    </row>
    <row r="359" spans="1:50" x14ac:dyDescent="0.25">
      <c r="B359" s="4" t="e">
        <f t="shared" si="190"/>
        <v>#N/A</v>
      </c>
      <c r="E359" s="4"/>
      <c r="F359" s="4">
        <f t="shared" si="174"/>
        <v>0</v>
      </c>
      <c r="G359" s="4"/>
      <c r="H359" s="4" t="e">
        <f t="shared" si="183"/>
        <v>#N/A</v>
      </c>
      <c r="I359" s="4" t="e">
        <f t="shared" si="191"/>
        <v>#N/A</v>
      </c>
      <c r="J359" s="4">
        <f t="shared" si="175"/>
        <v>0</v>
      </c>
      <c r="K359" s="4">
        <f t="shared" si="187"/>
        <v>0</v>
      </c>
      <c r="M359" t="str">
        <f t="shared" si="192"/>
        <v>Mimickry</v>
      </c>
      <c r="N359" s="3" t="str">
        <f>'Character Sheet'!CDT10</f>
        <v>Mimickry</v>
      </c>
      <c r="O359" s="4" t="s">
        <v>802</v>
      </c>
      <c r="P359" s="4" t="s">
        <v>794</v>
      </c>
      <c r="Q359" s="4">
        <f t="shared" si="197"/>
        <v>0</v>
      </c>
      <c r="R359" s="4">
        <f>IF(ISNUMBER(SEARCH("Category",N359)),"- -",IF(ISNUMBER(SEARCH("Skills",N359)),"- -",'Level-up'!C377))</f>
        <v>0</v>
      </c>
      <c r="S359" s="4">
        <f t="shared" si="176"/>
        <v>0</v>
      </c>
      <c r="T359" s="4">
        <f t="shared" si="177"/>
        <v>-25</v>
      </c>
      <c r="U359" s="4">
        <f t="shared" ca="1" si="182"/>
        <v>4</v>
      </c>
      <c r="V359" s="4">
        <f t="shared" si="193"/>
        <v>0</v>
      </c>
      <c r="W359" s="4">
        <f t="shared" si="196"/>
        <v>0</v>
      </c>
      <c r="X359" s="4">
        <f t="shared" si="194"/>
        <v>0</v>
      </c>
      <c r="Y359" s="4">
        <f t="shared" si="178"/>
        <v>0</v>
      </c>
      <c r="Z359" s="4">
        <f t="shared" si="179"/>
        <v>0</v>
      </c>
      <c r="AA359" s="4">
        <f t="shared" si="180"/>
        <v>0</v>
      </c>
      <c r="AB359" s="4">
        <f t="shared" si="181"/>
        <v>0</v>
      </c>
      <c r="AC359" s="8"/>
      <c r="AD359" s="4"/>
      <c r="AE359" s="4"/>
      <c r="AF359" s="4" t="str">
        <f t="shared" ca="1" si="185"/>
        <v>-21</v>
      </c>
      <c r="AG359" s="4"/>
      <c r="AH359" s="4">
        <f>IFERROR(VLOOKUP(M359,Calculations!$AC$2:$AD$251,2,FALSE),0)</f>
        <v>0</v>
      </c>
      <c r="AI359" s="4">
        <f>VLOOKUP(N359,$N$2:$AS$620,MATCH('Character Creation'!$Z$12,Skills!$N$1:$AS$1,0),FALSE)</f>
        <v>0</v>
      </c>
      <c r="AJ359" s="4">
        <f>VLOOKUP($N359,[2]Cultures!$B$4:$M$283,MATCH(AJ$1,[2]Cultures!$B$3:$M$3,0),FALSE)</f>
        <v>0</v>
      </c>
      <c r="AK359" s="4">
        <f>VLOOKUP($N359,[2]Cultures!$B$4:$M$283,MATCH(AK$1,[2]Cultures!$B$3:$M$3,0),FALSE)</f>
        <v>0</v>
      </c>
      <c r="AL359" s="4">
        <f>VLOOKUP($N359,[2]Cultures!$B$4:$M$283,MATCH(AL$1,[2]Cultures!$B$3:$M$3,0),FALSE)</f>
        <v>0</v>
      </c>
      <c r="AM359" s="4">
        <f>VLOOKUP($N359,[2]Cultures!$B$4:$M$283,MATCH(AM$1,[2]Cultures!$B$3:$M$3,0),FALSE)</f>
        <v>0</v>
      </c>
      <c r="AN359" s="4">
        <f>VLOOKUP($N359,[2]Cultures!$B$4:$M$283,MATCH(AN$1,[2]Cultures!$B$3:$M$3,0),FALSE)</f>
        <v>0</v>
      </c>
      <c r="AO359" s="4">
        <f>VLOOKUP($N359,[2]Cultures!$B$4:$M$283,MATCH(AO$1,[2]Cultures!$B$3:$M$3,0),FALSE)</f>
        <v>0</v>
      </c>
      <c r="AP359" s="4">
        <f>VLOOKUP($N359,[2]Cultures!$B$4:$M$283,MATCH(AP$1,[2]Cultures!$B$3:$M$3,0),FALSE)</f>
        <v>0</v>
      </c>
      <c r="AQ359" s="4">
        <f>VLOOKUP($N359,[2]Cultures!$B$4:$M$283,MATCH(AQ$1,[2]Cultures!$B$3:$M$3,0),FALSE)</f>
        <v>0</v>
      </c>
      <c r="AR359" s="4">
        <f>VLOOKUP($N359,[2]Cultures!$B$4:$M$283,MATCH(AR$1,[2]Cultures!$B$3:$M$3,0),FALSE)</f>
        <v>0</v>
      </c>
      <c r="AS359" s="4">
        <f>VLOOKUP($N359,[2]Cultures!$B$4:$M$283,MATCH(AS$1,[2]Cultures!$B$3:$M$3,0),FALSE)</f>
        <v>0</v>
      </c>
      <c r="AT359" s="4"/>
      <c r="AU359" s="4">
        <f>IF(ISNUMBER(SEARCH(N359&amp;";",Calculations!$Q$19)),VLOOKUP(Skills!N359,Calculations!$Q$2:$T$16,4,FALSE),0)</f>
        <v>0</v>
      </c>
      <c r="AV359" s="4">
        <f>IF(ISNUMBER(SEARCH(N359&amp;";",Calculations!$Q$18)),1,0)</f>
        <v>0</v>
      </c>
      <c r="AW359" s="4">
        <f t="shared" si="195"/>
        <v>0</v>
      </c>
      <c r="AX359" s="4">
        <f>VLOOKUP($N359,$N359:$CH359,MATCH('Character Sheet'!$BJ$3,Skills!$N$1:$CH$1,0),FALSE)</f>
        <v>0</v>
      </c>
    </row>
    <row r="360" spans="1:50" x14ac:dyDescent="0.25">
      <c r="B360" s="4" t="e">
        <f t="shared" si="190"/>
        <v>#N/A</v>
      </c>
      <c r="E360" s="4"/>
      <c r="F360" s="4">
        <f t="shared" si="174"/>
        <v>0</v>
      </c>
      <c r="G360" s="4"/>
      <c r="H360" s="4" t="e">
        <f t="shared" si="183"/>
        <v>#N/A</v>
      </c>
      <c r="I360" s="4" t="e">
        <f t="shared" si="191"/>
        <v>#N/A</v>
      </c>
      <c r="J360" s="4">
        <f t="shared" si="175"/>
        <v>0</v>
      </c>
      <c r="K360" s="4">
        <f t="shared" si="187"/>
        <v>0</v>
      </c>
      <c r="M360" t="str">
        <f t="shared" si="192"/>
        <v>Mimery</v>
      </c>
      <c r="N360" s="3" t="str">
        <f>'Character Sheet'!CDT11</f>
        <v>Mimery</v>
      </c>
      <c r="O360" s="4" t="s">
        <v>802</v>
      </c>
      <c r="P360" s="4" t="s">
        <v>786</v>
      </c>
      <c r="Q360" s="4">
        <f t="shared" si="197"/>
        <v>0</v>
      </c>
      <c r="R360" s="4">
        <f>IF(ISNUMBER(SEARCH("Category",N360)),"- -",IF(ISNUMBER(SEARCH("Skills",N360)),"- -",'Level-up'!C378))</f>
        <v>0</v>
      </c>
      <c r="S360" s="4">
        <f t="shared" si="176"/>
        <v>0</v>
      </c>
      <c r="T360" s="4">
        <f t="shared" si="177"/>
        <v>-25</v>
      </c>
      <c r="U360" s="4">
        <f t="shared" ca="1" si="182"/>
        <v>4</v>
      </c>
      <c r="V360" s="4">
        <f t="shared" si="193"/>
        <v>0</v>
      </c>
      <c r="W360" s="4">
        <f t="shared" si="196"/>
        <v>0</v>
      </c>
      <c r="X360" s="4">
        <f t="shared" si="194"/>
        <v>0</v>
      </c>
      <c r="Y360" s="4">
        <f t="shared" si="178"/>
        <v>0</v>
      </c>
      <c r="Z360" s="4">
        <f t="shared" si="179"/>
        <v>0</v>
      </c>
      <c r="AA360" s="4">
        <f t="shared" si="180"/>
        <v>0</v>
      </c>
      <c r="AB360" s="4">
        <f t="shared" si="181"/>
        <v>0</v>
      </c>
      <c r="AC360" s="8"/>
      <c r="AD360" s="4"/>
      <c r="AE360" s="4"/>
      <c r="AF360" s="4" t="str">
        <f t="shared" ca="1" si="185"/>
        <v>-21</v>
      </c>
      <c r="AG360" s="4"/>
      <c r="AH360" s="4">
        <f>IFERROR(VLOOKUP(M360,Calculations!$AC$2:$AD$251,2,FALSE),0)</f>
        <v>0</v>
      </c>
      <c r="AI360" s="4">
        <f>VLOOKUP(N360,$N$2:$AS$620,MATCH('Character Creation'!$Z$12,Skills!$N$1:$AS$1,0),FALSE)</f>
        <v>0</v>
      </c>
      <c r="AJ360" s="4">
        <f>VLOOKUP($N360,[2]Cultures!$B$4:$M$283,MATCH(AJ$1,[2]Cultures!$B$3:$M$3,0),FALSE)</f>
        <v>0</v>
      </c>
      <c r="AK360" s="4">
        <f>VLOOKUP($N360,[2]Cultures!$B$4:$M$283,MATCH(AK$1,[2]Cultures!$B$3:$M$3,0),FALSE)</f>
        <v>0</v>
      </c>
      <c r="AL360" s="4">
        <f>VLOOKUP($N360,[2]Cultures!$B$4:$M$283,MATCH(AL$1,[2]Cultures!$B$3:$M$3,0),FALSE)</f>
        <v>0</v>
      </c>
      <c r="AM360" s="4">
        <f>VLOOKUP($N360,[2]Cultures!$B$4:$M$283,MATCH(AM$1,[2]Cultures!$B$3:$M$3,0),FALSE)</f>
        <v>0</v>
      </c>
      <c r="AN360" s="4">
        <f>VLOOKUP($N360,[2]Cultures!$B$4:$M$283,MATCH(AN$1,[2]Cultures!$B$3:$M$3,0),FALSE)</f>
        <v>0</v>
      </c>
      <c r="AO360" s="4">
        <f>VLOOKUP($N360,[2]Cultures!$B$4:$M$283,MATCH(AO$1,[2]Cultures!$B$3:$M$3,0),FALSE)</f>
        <v>0</v>
      </c>
      <c r="AP360" s="4">
        <f>VLOOKUP($N360,[2]Cultures!$B$4:$M$283,MATCH(AP$1,[2]Cultures!$B$3:$M$3,0),FALSE)</f>
        <v>0</v>
      </c>
      <c r="AQ360" s="4">
        <f>VLOOKUP($N360,[2]Cultures!$B$4:$M$283,MATCH(AQ$1,[2]Cultures!$B$3:$M$3,0),FALSE)</f>
        <v>0</v>
      </c>
      <c r="AR360" s="4">
        <f>VLOOKUP($N360,[2]Cultures!$B$4:$M$283,MATCH(AR$1,[2]Cultures!$B$3:$M$3,0),FALSE)</f>
        <v>0</v>
      </c>
      <c r="AS360" s="4">
        <f>VLOOKUP($N360,[2]Cultures!$B$4:$M$283,MATCH(AS$1,[2]Cultures!$B$3:$M$3,0),FALSE)</f>
        <v>0</v>
      </c>
      <c r="AT360" s="4"/>
      <c r="AU360" s="4">
        <f>IF(ISNUMBER(SEARCH(N360&amp;";",Calculations!$Q$19)),VLOOKUP(Skills!N360,Calculations!$Q$2:$T$16,4,FALSE),0)</f>
        <v>0</v>
      </c>
      <c r="AV360" s="4">
        <f>IF(ISNUMBER(SEARCH(N360&amp;";",Calculations!$Q$18)),1,0)</f>
        <v>0</v>
      </c>
      <c r="AW360" s="4">
        <f t="shared" si="195"/>
        <v>0</v>
      </c>
      <c r="AX360" s="4">
        <f>VLOOKUP($N360,$N360:$CH360,MATCH('Character Sheet'!$BJ$3,Skills!$N$1:$CH$1,0),FALSE)</f>
        <v>0</v>
      </c>
    </row>
    <row r="361" spans="1:50" x14ac:dyDescent="0.25">
      <c r="B361" s="4" t="e">
        <f t="shared" si="190"/>
        <v>#N/A</v>
      </c>
      <c r="E361" s="4"/>
      <c r="F361" s="4">
        <f t="shared" si="174"/>
        <v>0</v>
      </c>
      <c r="G361" s="4"/>
      <c r="H361" s="4" t="e">
        <f t="shared" si="183"/>
        <v>#N/A</v>
      </c>
      <c r="I361" s="4" t="e">
        <f t="shared" si="191"/>
        <v>#N/A</v>
      </c>
      <c r="J361" s="4">
        <f t="shared" si="175"/>
        <v>0</v>
      </c>
      <c r="K361" s="4">
        <f t="shared" si="187"/>
        <v>0</v>
      </c>
      <c r="M361" t="str">
        <f t="shared" si="192"/>
        <v>Tale Telling</v>
      </c>
      <c r="N361" s="3" t="str">
        <f>'Character Sheet'!CDT12</f>
        <v>Tale Telling</v>
      </c>
      <c r="O361" s="4" t="s">
        <v>802</v>
      </c>
      <c r="P361" s="4" t="s">
        <v>801</v>
      </c>
      <c r="Q361" s="4">
        <f t="shared" si="197"/>
        <v>0</v>
      </c>
      <c r="R361" s="4">
        <f>IF(ISNUMBER(SEARCH("Category",N361)),"- -",IF(ISNUMBER(SEARCH("Skills",N361)),"- -",'Level-up'!C379))</f>
        <v>0</v>
      </c>
      <c r="S361" s="4">
        <f t="shared" si="176"/>
        <v>0</v>
      </c>
      <c r="T361" s="4">
        <f t="shared" si="177"/>
        <v>-25</v>
      </c>
      <c r="U361" s="4">
        <f t="shared" ca="1" si="182"/>
        <v>2</v>
      </c>
      <c r="V361" s="4">
        <f t="shared" si="193"/>
        <v>0</v>
      </c>
      <c r="W361" s="4">
        <f t="shared" si="196"/>
        <v>0</v>
      </c>
      <c r="X361" s="4">
        <f t="shared" si="194"/>
        <v>0</v>
      </c>
      <c r="Y361" s="4">
        <f t="shared" si="178"/>
        <v>0</v>
      </c>
      <c r="Z361" s="4">
        <f t="shared" si="179"/>
        <v>0</v>
      </c>
      <c r="AA361" s="4">
        <f t="shared" si="180"/>
        <v>0</v>
      </c>
      <c r="AB361" s="4">
        <f t="shared" si="181"/>
        <v>0</v>
      </c>
      <c r="AC361" s="8"/>
      <c r="AD361" s="4"/>
      <c r="AE361" s="4"/>
      <c r="AF361" s="4" t="str">
        <f t="shared" ca="1" si="185"/>
        <v>-23</v>
      </c>
      <c r="AG361" s="4"/>
      <c r="AH361" s="4">
        <f>IFERROR(VLOOKUP(M361,Calculations!$AC$2:$AD$251,2,FALSE),0)</f>
        <v>0</v>
      </c>
      <c r="AI361" s="4">
        <f>VLOOKUP(N361,$N$2:$AS$620,MATCH('Character Creation'!$Z$12,Skills!$N$1:$AS$1,0),FALSE)</f>
        <v>0</v>
      </c>
      <c r="AJ361" s="4">
        <f>VLOOKUP($N361,[2]Cultures!$B$4:$M$283,MATCH(AJ$1,[2]Cultures!$B$3:$M$3,0),FALSE)</f>
        <v>0</v>
      </c>
      <c r="AK361" s="4">
        <f>VLOOKUP($N361,[2]Cultures!$B$4:$M$283,MATCH(AK$1,[2]Cultures!$B$3:$M$3,0),FALSE)</f>
        <v>0</v>
      </c>
      <c r="AL361" s="4">
        <f>VLOOKUP($N361,[2]Cultures!$B$4:$M$283,MATCH(AL$1,[2]Cultures!$B$3:$M$3,0),FALSE)</f>
        <v>0</v>
      </c>
      <c r="AM361" s="4">
        <f>VLOOKUP($N361,[2]Cultures!$B$4:$M$283,MATCH(AM$1,[2]Cultures!$B$3:$M$3,0),FALSE)</f>
        <v>0</v>
      </c>
      <c r="AN361" s="4">
        <f>VLOOKUP($N361,[2]Cultures!$B$4:$M$283,MATCH(AN$1,[2]Cultures!$B$3:$M$3,0),FALSE)</f>
        <v>0</v>
      </c>
      <c r="AO361" s="4">
        <f>VLOOKUP($N361,[2]Cultures!$B$4:$M$283,MATCH(AO$1,[2]Cultures!$B$3:$M$3,0),FALSE)</f>
        <v>0</v>
      </c>
      <c r="AP361" s="4">
        <f>VLOOKUP($N361,[2]Cultures!$B$4:$M$283,MATCH(AP$1,[2]Cultures!$B$3:$M$3,0),FALSE)</f>
        <v>0</v>
      </c>
      <c r="AQ361" s="4">
        <f>VLOOKUP($N361,[2]Cultures!$B$4:$M$283,MATCH(AQ$1,[2]Cultures!$B$3:$M$3,0),FALSE)</f>
        <v>0</v>
      </c>
      <c r="AR361" s="4">
        <f>VLOOKUP($N361,[2]Cultures!$B$4:$M$283,MATCH(AR$1,[2]Cultures!$B$3:$M$3,0),FALSE)</f>
        <v>0</v>
      </c>
      <c r="AS361" s="4">
        <f>VLOOKUP($N361,[2]Cultures!$B$4:$M$283,MATCH(AS$1,[2]Cultures!$B$3:$M$3,0),FALSE)</f>
        <v>0</v>
      </c>
      <c r="AT361" s="4"/>
      <c r="AU361" s="4">
        <f>IF(ISNUMBER(SEARCH(N361&amp;";",Calculations!$Q$19)),VLOOKUP(Skills!N361,Calculations!$Q$2:$T$16,4,FALSE),0)</f>
        <v>0</v>
      </c>
      <c r="AV361" s="4">
        <f>IF(ISNUMBER(SEARCH(N361&amp;";",Calculations!$Q$18)),1,0)</f>
        <v>0</v>
      </c>
      <c r="AW361" s="4">
        <f t="shared" si="195"/>
        <v>0</v>
      </c>
      <c r="AX361" s="4">
        <f>VLOOKUP($N361,$N361:$CH361,MATCH('Character Sheet'!$BJ$3,Skills!$N$1:$CH$1,0),FALSE)</f>
        <v>0</v>
      </c>
    </row>
    <row r="362" spans="1:50" x14ac:dyDescent="0.25">
      <c r="B362" s="4" t="e">
        <f t="shared" si="190"/>
        <v>#N/A</v>
      </c>
      <c r="E362" s="4"/>
      <c r="F362" s="4">
        <f t="shared" si="174"/>
        <v>0</v>
      </c>
      <c r="G362" s="4"/>
      <c r="H362" s="4" t="e">
        <f t="shared" si="183"/>
        <v>#N/A</v>
      </c>
      <c r="I362" s="4" t="e">
        <f t="shared" si="191"/>
        <v>#N/A</v>
      </c>
      <c r="J362" s="4">
        <f t="shared" si="175"/>
        <v>0</v>
      </c>
      <c r="K362" s="4">
        <f t="shared" si="187"/>
        <v>0</v>
      </c>
      <c r="M362" t="str">
        <f t="shared" si="192"/>
        <v>Dancing</v>
      </c>
      <c r="N362" s="3" t="str">
        <f>'Character Sheet'!CDT13</f>
        <v>Dancing</v>
      </c>
      <c r="O362" s="4" t="s">
        <v>802</v>
      </c>
      <c r="P362" s="4" t="s">
        <v>786</v>
      </c>
      <c r="Q362" s="4">
        <f t="shared" si="197"/>
        <v>0</v>
      </c>
      <c r="R362" s="4">
        <f>IF(ISNUMBER(SEARCH("Category",N362)),"- -",IF(ISNUMBER(SEARCH("Skills",N362)),"- -",'Level-up'!C380))</f>
        <v>0</v>
      </c>
      <c r="S362" s="4">
        <f t="shared" si="176"/>
        <v>0</v>
      </c>
      <c r="T362" s="4">
        <f t="shared" si="177"/>
        <v>-25</v>
      </c>
      <c r="U362" s="4">
        <f t="shared" ca="1" si="182"/>
        <v>4</v>
      </c>
      <c r="V362" s="4">
        <f t="shared" si="193"/>
        <v>0</v>
      </c>
      <c r="W362" s="4">
        <f t="shared" si="196"/>
        <v>0</v>
      </c>
      <c r="X362" s="4">
        <f t="shared" si="194"/>
        <v>0</v>
      </c>
      <c r="Y362" s="4">
        <f t="shared" si="178"/>
        <v>0</v>
      </c>
      <c r="Z362" s="4">
        <f t="shared" si="179"/>
        <v>0</v>
      </c>
      <c r="AA362" s="4">
        <f t="shared" si="180"/>
        <v>0</v>
      </c>
      <c r="AB362" s="4">
        <f t="shared" si="181"/>
        <v>0</v>
      </c>
      <c r="AC362" s="8"/>
      <c r="AD362" s="4"/>
      <c r="AE362" s="4"/>
      <c r="AF362" s="4" t="str">
        <f t="shared" ca="1" si="185"/>
        <v>-21</v>
      </c>
      <c r="AG362" s="4"/>
      <c r="AH362" s="4">
        <f>IFERROR(VLOOKUP(M362,Calculations!$AC$2:$AD$251,2,FALSE),0)</f>
        <v>0</v>
      </c>
      <c r="AI362" s="4">
        <f>VLOOKUP(N362,$N$2:$AS$620,MATCH('Character Creation'!$Z$12,Skills!$N$1:$AS$1,0),FALSE)</f>
        <v>0</v>
      </c>
      <c r="AJ362" s="4">
        <f>VLOOKUP($N362,[2]Cultures!$B$4:$M$283,MATCH(AJ$1,[2]Cultures!$B$3:$M$3,0),FALSE)</f>
        <v>0</v>
      </c>
      <c r="AK362" s="4">
        <f>VLOOKUP($N362,[2]Cultures!$B$4:$M$283,MATCH(AK$1,[2]Cultures!$B$3:$M$3,0),FALSE)</f>
        <v>0</v>
      </c>
      <c r="AL362" s="4">
        <f>VLOOKUP($N362,[2]Cultures!$B$4:$M$283,MATCH(AL$1,[2]Cultures!$B$3:$M$3,0),FALSE)</f>
        <v>0</v>
      </c>
      <c r="AM362" s="4">
        <f>VLOOKUP($N362,[2]Cultures!$B$4:$M$283,MATCH(AM$1,[2]Cultures!$B$3:$M$3,0),FALSE)</f>
        <v>0</v>
      </c>
      <c r="AN362" s="4">
        <f>VLOOKUP($N362,[2]Cultures!$B$4:$M$283,MATCH(AN$1,[2]Cultures!$B$3:$M$3,0),FALSE)</f>
        <v>0</v>
      </c>
      <c r="AO362" s="4">
        <f>VLOOKUP($N362,[2]Cultures!$B$4:$M$283,MATCH(AO$1,[2]Cultures!$B$3:$M$3,0),FALSE)</f>
        <v>0</v>
      </c>
      <c r="AP362" s="4">
        <f>VLOOKUP($N362,[2]Cultures!$B$4:$M$283,MATCH(AP$1,[2]Cultures!$B$3:$M$3,0),FALSE)</f>
        <v>0</v>
      </c>
      <c r="AQ362" s="4">
        <f>VLOOKUP($N362,[2]Cultures!$B$4:$M$283,MATCH(AQ$1,[2]Cultures!$B$3:$M$3,0),FALSE)</f>
        <v>0</v>
      </c>
      <c r="AR362" s="4">
        <f>VLOOKUP($N362,[2]Cultures!$B$4:$M$283,MATCH(AR$1,[2]Cultures!$B$3:$M$3,0),FALSE)</f>
        <v>0</v>
      </c>
      <c r="AS362" s="4">
        <f>VLOOKUP($N362,[2]Cultures!$B$4:$M$283,MATCH(AS$1,[2]Cultures!$B$3:$M$3,0),FALSE)</f>
        <v>0</v>
      </c>
      <c r="AT362" s="4"/>
      <c r="AU362" s="4">
        <f>IF(ISNUMBER(SEARCH(N362&amp;";",Calculations!$Q$19)),VLOOKUP(Skills!N362,Calculations!$Q$2:$T$16,4,FALSE),0)</f>
        <v>0</v>
      </c>
      <c r="AV362" s="4">
        <f>IF(ISNUMBER(SEARCH(N362&amp;";",Calculations!$Q$18)),1,0)</f>
        <v>0</v>
      </c>
      <c r="AW362" s="4">
        <f t="shared" si="195"/>
        <v>0</v>
      </c>
      <c r="AX362" s="4">
        <f>VLOOKUP($N362,$N362:$CH362,MATCH('Character Sheet'!$BJ$3,Skills!$N$1:$CH$1,0),FALSE)</f>
        <v>0</v>
      </c>
    </row>
    <row r="363" spans="1:50" x14ac:dyDescent="0.25">
      <c r="B363" s="4" t="e">
        <f t="shared" si="190"/>
        <v>#N/A</v>
      </c>
      <c r="E363" s="4"/>
      <c r="F363" s="4">
        <f t="shared" si="174"/>
        <v>0</v>
      </c>
      <c r="G363" s="4"/>
      <c r="H363" s="4" t="e">
        <f t="shared" si="183"/>
        <v>#N/A</v>
      </c>
      <c r="I363" s="4" t="e">
        <f t="shared" si="191"/>
        <v>#N/A</v>
      </c>
      <c r="J363" s="4">
        <f t="shared" si="175"/>
        <v>0</v>
      </c>
      <c r="K363" s="4">
        <f t="shared" si="187"/>
        <v>0</v>
      </c>
      <c r="M363" t="str">
        <f t="shared" si="192"/>
        <v>Stage Magic</v>
      </c>
      <c r="N363" s="3" t="str">
        <f>'Character Sheet'!CDT14</f>
        <v>Stage Magic</v>
      </c>
      <c r="O363" s="4" t="s">
        <v>802</v>
      </c>
      <c r="P363" s="4" t="s">
        <v>786</v>
      </c>
      <c r="Q363" s="4">
        <f t="shared" si="197"/>
        <v>0</v>
      </c>
      <c r="R363" s="4">
        <f>IF(ISNUMBER(SEARCH("Category",N363)),"- -",IF(ISNUMBER(SEARCH("Skills",N363)),"- -",'Level-up'!C381))</f>
        <v>0</v>
      </c>
      <c r="S363" s="4">
        <f t="shared" si="176"/>
        <v>0</v>
      </c>
      <c r="T363" s="4">
        <f t="shared" si="177"/>
        <v>-25</v>
      </c>
      <c r="U363" s="4">
        <f t="shared" ca="1" si="182"/>
        <v>4</v>
      </c>
      <c r="V363" s="4">
        <f t="shared" si="193"/>
        <v>0</v>
      </c>
      <c r="W363" s="4">
        <f t="shared" si="196"/>
        <v>0</v>
      </c>
      <c r="X363" s="4">
        <f t="shared" si="194"/>
        <v>0</v>
      </c>
      <c r="Y363" s="4">
        <f t="shared" si="178"/>
        <v>0</v>
      </c>
      <c r="Z363" s="4">
        <f t="shared" si="179"/>
        <v>0</v>
      </c>
      <c r="AA363" s="4">
        <f t="shared" si="180"/>
        <v>0</v>
      </c>
      <c r="AB363" s="4">
        <f t="shared" si="181"/>
        <v>0</v>
      </c>
      <c r="AC363" s="8"/>
      <c r="AD363" s="4"/>
      <c r="AE363" s="4"/>
      <c r="AF363" s="4" t="str">
        <f t="shared" ca="1" si="185"/>
        <v>-21</v>
      </c>
      <c r="AG363" s="4"/>
      <c r="AH363" s="4">
        <f>IFERROR(VLOOKUP(M363,Calculations!$AC$2:$AD$251,2,FALSE),0)</f>
        <v>0</v>
      </c>
      <c r="AI363" s="4">
        <f>VLOOKUP(N363,$N$2:$AS$620,MATCH('Character Creation'!$Z$12,Skills!$N$1:$AS$1,0),FALSE)</f>
        <v>0</v>
      </c>
      <c r="AJ363" s="4">
        <f>VLOOKUP($N363,[2]Cultures!$B$4:$M$283,MATCH(AJ$1,[2]Cultures!$B$3:$M$3,0),FALSE)</f>
        <v>0</v>
      </c>
      <c r="AK363" s="4">
        <f>VLOOKUP($N363,[2]Cultures!$B$4:$M$283,MATCH(AK$1,[2]Cultures!$B$3:$M$3,0),FALSE)</f>
        <v>0</v>
      </c>
      <c r="AL363" s="4">
        <f>VLOOKUP($N363,[2]Cultures!$B$4:$M$283,MATCH(AL$1,[2]Cultures!$B$3:$M$3,0),FALSE)</f>
        <v>0</v>
      </c>
      <c r="AM363" s="4">
        <f>VLOOKUP($N363,[2]Cultures!$B$4:$M$283,MATCH(AM$1,[2]Cultures!$B$3:$M$3,0),FALSE)</f>
        <v>0</v>
      </c>
      <c r="AN363" s="4">
        <f>VLOOKUP($N363,[2]Cultures!$B$4:$M$283,MATCH(AN$1,[2]Cultures!$B$3:$M$3,0),FALSE)</f>
        <v>0</v>
      </c>
      <c r="AO363" s="4">
        <f>VLOOKUP($N363,[2]Cultures!$B$4:$M$283,MATCH(AO$1,[2]Cultures!$B$3:$M$3,0),FALSE)</f>
        <v>0</v>
      </c>
      <c r="AP363" s="4">
        <f>VLOOKUP($N363,[2]Cultures!$B$4:$M$283,MATCH(AP$1,[2]Cultures!$B$3:$M$3,0),FALSE)</f>
        <v>0</v>
      </c>
      <c r="AQ363" s="4">
        <f>VLOOKUP($N363,[2]Cultures!$B$4:$M$283,MATCH(AQ$1,[2]Cultures!$B$3:$M$3,0),FALSE)</f>
        <v>0</v>
      </c>
      <c r="AR363" s="4">
        <f>VLOOKUP($N363,[2]Cultures!$B$4:$M$283,MATCH(AR$1,[2]Cultures!$B$3:$M$3,0),FALSE)</f>
        <v>0</v>
      </c>
      <c r="AS363" s="4">
        <f>VLOOKUP($N363,[2]Cultures!$B$4:$M$283,MATCH(AS$1,[2]Cultures!$B$3:$M$3,0),FALSE)</f>
        <v>0</v>
      </c>
      <c r="AT363" s="4"/>
      <c r="AU363" s="4">
        <f>IF(ISNUMBER(SEARCH(N363&amp;";",Calculations!$Q$19)),VLOOKUP(Skills!N363,Calculations!$Q$2:$T$16,4,FALSE),0)</f>
        <v>0</v>
      </c>
      <c r="AV363" s="4">
        <f>IF(ISNUMBER(SEARCH(N363&amp;";",Calculations!$Q$18)),1,0)</f>
        <v>0</v>
      </c>
      <c r="AW363" s="4">
        <f t="shared" si="195"/>
        <v>0</v>
      </c>
      <c r="AX363" s="4">
        <f>VLOOKUP($N363,$N363:$CH363,MATCH('Character Sheet'!$BJ$3,Skills!$N$1:$CH$1,0),FALSE)</f>
        <v>0</v>
      </c>
    </row>
    <row r="364" spans="1:50" x14ac:dyDescent="0.25">
      <c r="B364" s="4" t="e">
        <f t="shared" si="190"/>
        <v>#N/A</v>
      </c>
      <c r="E364" s="4"/>
      <c r="F364" s="4">
        <f t="shared" si="174"/>
        <v>0</v>
      </c>
      <c r="G364" s="4"/>
      <c r="H364" s="4" t="e">
        <f t="shared" si="183"/>
        <v>#N/A</v>
      </c>
      <c r="I364" s="4" t="e">
        <f>IF($J$108=1,1,IF($J$351=1,1,IF($J$365=1,1,0)))</f>
        <v>#N/A</v>
      </c>
      <c r="J364" s="4">
        <f t="shared" si="175"/>
        <v>0</v>
      </c>
      <c r="K364" s="4" t="e">
        <f t="shared" si="187"/>
        <v>#N/A</v>
      </c>
      <c r="N364" s="3" t="s">
        <v>704</v>
      </c>
      <c r="O364" s="6" t="s">
        <v>782</v>
      </c>
      <c r="P364" s="6" t="s">
        <v>782</v>
      </c>
      <c r="Q364" s="4" t="str">
        <f t="shared" si="197"/>
        <v>- -</v>
      </c>
      <c r="R364" s="4" t="str">
        <f>IF(ISNUMBER(SEARCH("Category",N364)),"- -",IF(ISNUMBER(SEARCH("Skills",N364)),"- -",'Level-up'!C382))</f>
        <v>- -</v>
      </c>
      <c r="S364" s="4" t="str">
        <f t="shared" si="176"/>
        <v>- -</v>
      </c>
      <c r="T364" s="4" t="str">
        <f t="shared" si="177"/>
        <v>- -</v>
      </c>
      <c r="U364" s="4" t="str">
        <f t="shared" ca="1" si="182"/>
        <v>- -</v>
      </c>
      <c r="V364" s="4" t="str">
        <f t="shared" si="193"/>
        <v>- -</v>
      </c>
      <c r="W364" s="4" t="str">
        <f t="shared" si="196"/>
        <v>- -</v>
      </c>
      <c r="X364" s="4" t="str">
        <f t="shared" si="194"/>
        <v>- -</v>
      </c>
      <c r="Y364" s="4" t="str">
        <f t="shared" si="178"/>
        <v>- -</v>
      </c>
      <c r="Z364" s="4" t="str">
        <f t="shared" si="179"/>
        <v>- -</v>
      </c>
      <c r="AA364" s="4" t="str">
        <f t="shared" si="180"/>
        <v>- -</v>
      </c>
      <c r="AB364" s="4" t="str">
        <f t="shared" si="181"/>
        <v>- -</v>
      </c>
      <c r="AC364" s="8"/>
      <c r="AD364" s="4"/>
      <c r="AE364" s="4"/>
      <c r="AF364" s="4" t="str">
        <f t="shared" si="185"/>
        <v>- -</v>
      </c>
      <c r="AG364" s="4"/>
      <c r="AH364" s="4">
        <f>IFERROR(VLOOKUP(M364,Calculations!$AC$2:$AD$251,2,FALSE),0)</f>
        <v>0</v>
      </c>
      <c r="AI364" s="4" t="e">
        <f>VLOOKUP(N364,$N$2:$AS$620,MATCH('Character Creation'!$Z$12,Skills!$N$1:$AS$1,0),FALSE)</f>
        <v>#N/A</v>
      </c>
      <c r="AJ364" s="4" t="e">
        <f>VLOOKUP($N364,[2]Cultures!$B$4:$M$283,MATCH(AJ$1,[2]Cultures!$B$3:$M$3,0),FALSE)</f>
        <v>#N/A</v>
      </c>
      <c r="AK364" s="4" t="e">
        <f>VLOOKUP($N364,[2]Cultures!$B$4:$M$283,MATCH(AK$1,[2]Cultures!$B$3:$M$3,0),FALSE)</f>
        <v>#N/A</v>
      </c>
      <c r="AL364" s="4" t="e">
        <f>VLOOKUP($N364,[2]Cultures!$B$4:$M$283,MATCH(AL$1,[2]Cultures!$B$3:$M$3,0),FALSE)</f>
        <v>#N/A</v>
      </c>
      <c r="AM364" s="4" t="e">
        <f>VLOOKUP($N364,[2]Cultures!$B$4:$M$283,MATCH(AM$1,[2]Cultures!$B$3:$M$3,0),FALSE)</f>
        <v>#N/A</v>
      </c>
      <c r="AN364" s="4" t="e">
        <f>VLOOKUP($N364,[2]Cultures!$B$4:$M$283,MATCH(AN$1,[2]Cultures!$B$3:$M$3,0),FALSE)</f>
        <v>#N/A</v>
      </c>
      <c r="AO364" s="4" t="e">
        <f>VLOOKUP($N364,[2]Cultures!$B$4:$M$283,MATCH(AO$1,[2]Cultures!$B$3:$M$3,0),FALSE)</f>
        <v>#N/A</v>
      </c>
      <c r="AP364" s="4" t="e">
        <f>VLOOKUP($N364,[2]Cultures!$B$4:$M$283,MATCH(AP$1,[2]Cultures!$B$3:$M$3,0),FALSE)</f>
        <v>#N/A</v>
      </c>
      <c r="AQ364" s="4" t="e">
        <f>VLOOKUP($N364,[2]Cultures!$B$4:$M$283,MATCH(AQ$1,[2]Cultures!$B$3:$M$3,0),FALSE)</f>
        <v>#N/A</v>
      </c>
      <c r="AR364" s="4" t="e">
        <f>VLOOKUP($N364,[2]Cultures!$B$4:$M$283,MATCH(AR$1,[2]Cultures!$B$3:$M$3,0),FALSE)</f>
        <v>#N/A</v>
      </c>
      <c r="AS364" s="4" t="e">
        <f>VLOOKUP($N364,[2]Cultures!$B$4:$M$283,MATCH(AS$1,[2]Cultures!$B$3:$M$3,0),FALSE)</f>
        <v>#N/A</v>
      </c>
      <c r="AT364" s="4"/>
      <c r="AU364" s="4">
        <f>IF(ISNUMBER(SEARCH(N364&amp;";",Calculations!$Q$19)),VLOOKUP(Skills!N364,Calculations!$Q$2:$T$16,4,FALSE),0)</f>
        <v>0</v>
      </c>
      <c r="AV364" s="4">
        <f>IF(ISNUMBER(SEARCH(N364&amp;";",Calculations!$Q$18)),1,0)</f>
        <v>1</v>
      </c>
      <c r="AW364" s="4"/>
      <c r="AX364" s="4">
        <f>VLOOKUP($N364,$N364:$CH364,MATCH('Character Sheet'!$BJ$3,Skills!$N$1:$CH$1,0),FALSE)</f>
        <v>0</v>
      </c>
    </row>
    <row r="365" spans="1:50" x14ac:dyDescent="0.25">
      <c r="B365" s="4" t="e">
        <f t="shared" si="190"/>
        <v>#N/A</v>
      </c>
      <c r="E365" s="4"/>
      <c r="F365" s="4">
        <f t="shared" si="174"/>
        <v>0</v>
      </c>
      <c r="G365" s="4"/>
      <c r="H365" s="4" t="e">
        <f t="shared" si="183"/>
        <v>#N/A</v>
      </c>
      <c r="I365" s="4">
        <v>0</v>
      </c>
      <c r="J365" s="4" t="e">
        <f t="shared" si="175"/>
        <v>#N/A</v>
      </c>
      <c r="K365" s="4" t="e">
        <f t="shared" si="187"/>
        <v>#N/A</v>
      </c>
      <c r="N365" s="3" t="s">
        <v>705</v>
      </c>
      <c r="O365" s="6" t="s">
        <v>782</v>
      </c>
      <c r="P365" s="6" t="s">
        <v>782</v>
      </c>
      <c r="Q365" s="4" t="str">
        <f t="shared" si="197"/>
        <v>- -</v>
      </c>
      <c r="R365" s="4" t="str">
        <f>IF(ISNUMBER(SEARCH("Category",N365)),"- -",IF(ISNUMBER(SEARCH("Skills",N365)),"- -",'Level-up'!C383))</f>
        <v>- -</v>
      </c>
      <c r="S365" s="4" t="str">
        <f t="shared" si="176"/>
        <v>- -</v>
      </c>
      <c r="T365" s="4" t="str">
        <f t="shared" si="177"/>
        <v>- -</v>
      </c>
      <c r="U365" s="4" t="str">
        <f t="shared" ca="1" si="182"/>
        <v>- -</v>
      </c>
      <c r="V365" s="4" t="str">
        <f t="shared" si="193"/>
        <v>- -</v>
      </c>
      <c r="W365" s="4" t="str">
        <f t="shared" si="196"/>
        <v>- -</v>
      </c>
      <c r="X365" s="4" t="str">
        <f t="shared" si="194"/>
        <v>- -</v>
      </c>
      <c r="Y365" s="4" t="str">
        <f t="shared" si="178"/>
        <v>- -</v>
      </c>
      <c r="Z365" s="4" t="str">
        <f t="shared" si="179"/>
        <v>- -</v>
      </c>
      <c r="AA365" s="4" t="str">
        <f t="shared" si="180"/>
        <v>- -</v>
      </c>
      <c r="AB365" s="4" t="str">
        <f t="shared" si="181"/>
        <v>- -</v>
      </c>
      <c r="AC365" s="8"/>
      <c r="AD365" s="4"/>
      <c r="AE365" s="4"/>
      <c r="AF365" s="4" t="str">
        <f t="shared" si="185"/>
        <v>- -</v>
      </c>
      <c r="AG365" s="4"/>
      <c r="AH365" s="4">
        <f>IFERROR(VLOOKUP(M365,Calculations!$AC$2:$AD$251,2,FALSE),0)</f>
        <v>0</v>
      </c>
      <c r="AI365" s="4" t="e">
        <f>VLOOKUP(N365,$N$2:$AS$620,MATCH('Character Creation'!$Z$12,Skills!$N$1:$AS$1,0),FALSE)</f>
        <v>#N/A</v>
      </c>
      <c r="AJ365" s="4" t="e">
        <f>VLOOKUP($N365,[2]Cultures!$B$4:$M$283,MATCH(AJ$1,[2]Cultures!$B$3:$M$3,0),FALSE)</f>
        <v>#N/A</v>
      </c>
      <c r="AK365" s="4" t="e">
        <f>VLOOKUP($N365,[2]Cultures!$B$4:$M$283,MATCH(AK$1,[2]Cultures!$B$3:$M$3,0),FALSE)</f>
        <v>#N/A</v>
      </c>
      <c r="AL365" s="4" t="e">
        <f>VLOOKUP($N365,[2]Cultures!$B$4:$M$283,MATCH(AL$1,[2]Cultures!$B$3:$M$3,0),FALSE)</f>
        <v>#N/A</v>
      </c>
      <c r="AM365" s="4" t="e">
        <f>VLOOKUP($N365,[2]Cultures!$B$4:$M$283,MATCH(AM$1,[2]Cultures!$B$3:$M$3,0),FALSE)</f>
        <v>#N/A</v>
      </c>
      <c r="AN365" s="4" t="e">
        <f>VLOOKUP($N365,[2]Cultures!$B$4:$M$283,MATCH(AN$1,[2]Cultures!$B$3:$M$3,0),FALSE)</f>
        <v>#N/A</v>
      </c>
      <c r="AO365" s="4" t="e">
        <f>VLOOKUP($N365,[2]Cultures!$B$4:$M$283,MATCH(AO$1,[2]Cultures!$B$3:$M$3,0),FALSE)</f>
        <v>#N/A</v>
      </c>
      <c r="AP365" s="4" t="e">
        <f>VLOOKUP($N365,[2]Cultures!$B$4:$M$283,MATCH(AP$1,[2]Cultures!$B$3:$M$3,0),FALSE)</f>
        <v>#N/A</v>
      </c>
      <c r="AQ365" s="4" t="e">
        <f>VLOOKUP($N365,[2]Cultures!$B$4:$M$283,MATCH(AQ$1,[2]Cultures!$B$3:$M$3,0),FALSE)</f>
        <v>#N/A</v>
      </c>
      <c r="AR365" s="4" t="e">
        <f>VLOOKUP($N365,[2]Cultures!$B$4:$M$283,MATCH(AR$1,[2]Cultures!$B$3:$M$3,0),FALSE)</f>
        <v>#N/A</v>
      </c>
      <c r="AS365" s="4" t="e">
        <f>VLOOKUP($N365,[2]Cultures!$B$4:$M$283,MATCH(AS$1,[2]Cultures!$B$3:$M$3,0),FALSE)</f>
        <v>#N/A</v>
      </c>
      <c r="AT365" s="4"/>
      <c r="AU365" s="4">
        <f>IF(ISNUMBER(SEARCH(N365&amp;";",Calculations!$Q$19)),VLOOKUP(Skills!N365,Calculations!$Q$2:$T$16,4,FALSE),0)</f>
        <v>0</v>
      </c>
      <c r="AV365" s="4">
        <f>IF(ISNUMBER(SEARCH(N365&amp;";",Calculations!$Q$18)),1,0)</f>
        <v>0</v>
      </c>
      <c r="AW365" s="4"/>
      <c r="AX365" s="4">
        <f>VLOOKUP($N365,$N365:$CH365,MATCH('Character Sheet'!$BJ$3,Skills!$N$1:$CH$1,0),FALSE)</f>
        <v>0</v>
      </c>
    </row>
    <row r="366" spans="1:50" x14ac:dyDescent="0.25">
      <c r="B366" s="4" t="e">
        <f t="shared" si="190"/>
        <v>#N/A</v>
      </c>
      <c r="E366" s="4"/>
      <c r="F366" s="4">
        <f t="shared" si="174"/>
        <v>0</v>
      </c>
      <c r="G366" s="4"/>
      <c r="H366" s="4" t="e">
        <f t="shared" si="183"/>
        <v>#N/A</v>
      </c>
      <c r="I366" s="4" t="e">
        <f>IF($J$108=1,1,IF($J$351=1,1,IF($J$365=1,1,0)))</f>
        <v>#N/A</v>
      </c>
      <c r="J366" s="4">
        <f t="shared" si="175"/>
        <v>0</v>
      </c>
      <c r="K366" s="4" t="e">
        <f t="shared" si="187"/>
        <v>#N/A</v>
      </c>
      <c r="M366" t="str">
        <f>"Play, "&amp;N366</f>
        <v>Play, String Instrument</v>
      </c>
      <c r="N366" s="3" t="str">
        <f>'Character Sheet'!CDT18</f>
        <v>String Instrument</v>
      </c>
      <c r="O366" s="4" t="s">
        <v>802</v>
      </c>
      <c r="P366" s="4" t="s">
        <v>801</v>
      </c>
      <c r="Q366" s="4" t="e">
        <f t="shared" si="197"/>
        <v>#N/A</v>
      </c>
      <c r="R366" s="4">
        <f>IF(ISNUMBER(SEARCH("Category",N366)),"- -",IF(ISNUMBER(SEARCH("Skills",N366)),"- -",'Level-up'!C384))</f>
        <v>0</v>
      </c>
      <c r="S366" s="4" t="e">
        <f t="shared" si="176"/>
        <v>#N/A</v>
      </c>
      <c r="T366" s="4" t="e">
        <f t="shared" si="177"/>
        <v>#N/A</v>
      </c>
      <c r="U366" s="4">
        <f t="shared" ca="1" si="182"/>
        <v>2</v>
      </c>
      <c r="V366" s="4">
        <f t="shared" ref="V366:V372" si="198">IF(ISNUMBER(SEARCH("Category",N366)),"- -",IF(ISNUMBER(SEARCH("Skills",N366)),"- -",IF(AU366&gt;0,AU366,IF($AU$364&gt;0,$AU$364,$AU$350))))</f>
        <v>0</v>
      </c>
      <c r="W366" s="4" t="e">
        <f t="shared" si="196"/>
        <v>#N/A</v>
      </c>
      <c r="X366" s="4">
        <f t="shared" si="194"/>
        <v>0</v>
      </c>
      <c r="Y366" s="4">
        <f t="shared" si="178"/>
        <v>0</v>
      </c>
      <c r="Z366" s="4">
        <f t="shared" si="179"/>
        <v>0</v>
      </c>
      <c r="AA366" s="4">
        <f t="shared" si="180"/>
        <v>0</v>
      </c>
      <c r="AB366" s="4">
        <f t="shared" si="181"/>
        <v>0</v>
      </c>
      <c r="AC366" s="8"/>
      <c r="AD366" s="4"/>
      <c r="AE366" s="4"/>
      <c r="AF366" s="4" t="e">
        <f t="shared" si="185"/>
        <v>#N/A</v>
      </c>
      <c r="AG366" s="4"/>
      <c r="AH366" s="4">
        <f>IFERROR(VLOOKUP(M366,Calculations!$AC$2:$AD$251,2,FALSE),0)</f>
        <v>0</v>
      </c>
      <c r="AI366" s="4" t="e">
        <f>VLOOKUP(N366,$N$2:$AS$620,MATCH('Character Creation'!$Z$12,Skills!$N$1:$AS$1,0),FALSE)</f>
        <v>#N/A</v>
      </c>
      <c r="AJ366" s="4" t="e">
        <f>VLOOKUP($N366,[2]Cultures!$B$4:$M$283,MATCH(AJ$1,[2]Cultures!$B$3:$M$3,0),FALSE)</f>
        <v>#N/A</v>
      </c>
      <c r="AK366" s="4" t="e">
        <f>VLOOKUP($N366,[2]Cultures!$B$4:$M$283,MATCH(AK$1,[2]Cultures!$B$3:$M$3,0),FALSE)</f>
        <v>#N/A</v>
      </c>
      <c r="AL366" s="4" t="e">
        <f>VLOOKUP($N366,[2]Cultures!$B$4:$M$283,MATCH(AL$1,[2]Cultures!$B$3:$M$3,0),FALSE)</f>
        <v>#N/A</v>
      </c>
      <c r="AM366" s="4" t="e">
        <f>VLOOKUP($N366,[2]Cultures!$B$4:$M$283,MATCH(AM$1,[2]Cultures!$B$3:$M$3,0),FALSE)</f>
        <v>#N/A</v>
      </c>
      <c r="AN366" s="4" t="e">
        <f>VLOOKUP($N366,[2]Cultures!$B$4:$M$283,MATCH(AN$1,[2]Cultures!$B$3:$M$3,0),FALSE)</f>
        <v>#N/A</v>
      </c>
      <c r="AO366" s="4" t="e">
        <f>VLOOKUP($N366,[2]Cultures!$B$4:$M$283,MATCH(AO$1,[2]Cultures!$B$3:$M$3,0),FALSE)</f>
        <v>#N/A</v>
      </c>
      <c r="AP366" s="4" t="e">
        <f>VLOOKUP($N366,[2]Cultures!$B$4:$M$283,MATCH(AP$1,[2]Cultures!$B$3:$M$3,0),FALSE)</f>
        <v>#N/A</v>
      </c>
      <c r="AQ366" s="4" t="e">
        <f>VLOOKUP($N366,[2]Cultures!$B$4:$M$283,MATCH(AQ$1,[2]Cultures!$B$3:$M$3,0),FALSE)</f>
        <v>#N/A</v>
      </c>
      <c r="AR366" s="4" t="e">
        <f>VLOOKUP($N366,[2]Cultures!$B$4:$M$283,MATCH(AR$1,[2]Cultures!$B$3:$M$3,0),FALSE)</f>
        <v>#N/A</v>
      </c>
      <c r="AS366" s="4" t="e">
        <f>VLOOKUP($N366,[2]Cultures!$B$4:$M$283,MATCH(AS$1,[2]Cultures!$B$3:$M$3,0),FALSE)</f>
        <v>#N/A</v>
      </c>
      <c r="AT366" s="4"/>
      <c r="AU366" s="4">
        <f>IF(ISNUMBER(SEARCH(N366&amp;";",Calculations!$Q$19)),VLOOKUP(Skills!N366,Calculations!$Q$2:$T$16,4,FALSE),0)</f>
        <v>0</v>
      </c>
      <c r="AV366" s="4">
        <f>IF(ISNUMBER(SEARCH(N366&amp;";",Calculations!$Q$18)),1,0)</f>
        <v>0</v>
      </c>
      <c r="AW366" s="4">
        <f>IF($AV$350=1,1,IF($AV$352=1,1,IF($AV$364=1,1,AV366)))</f>
        <v>1</v>
      </c>
      <c r="AX366" s="4">
        <f>VLOOKUP($N366,$N366:$CH366,MATCH('Character Sheet'!$BJ$3,Skills!$N$1:$CH$1,0),FALSE)</f>
        <v>0</v>
      </c>
    </row>
    <row r="367" spans="1:50" x14ac:dyDescent="0.25">
      <c r="B367" s="4" t="e">
        <f t="shared" si="190"/>
        <v>#N/A</v>
      </c>
      <c r="E367" s="4"/>
      <c r="F367" s="4">
        <f t="shared" si="174"/>
        <v>0</v>
      </c>
      <c r="G367" s="4"/>
      <c r="H367" s="4" t="e">
        <f t="shared" si="183"/>
        <v>#N/A</v>
      </c>
      <c r="I367" s="4" t="e">
        <f>IF($J$108=1,1,IF($J$351=1,1,IF($J$365=1,1,0)))</f>
        <v>#N/A</v>
      </c>
      <c r="J367" s="4">
        <f t="shared" si="175"/>
        <v>0</v>
      </c>
      <c r="K367" s="4" t="e">
        <f t="shared" si="187"/>
        <v>#N/A</v>
      </c>
      <c r="M367" t="str">
        <f>"Play, "&amp;N367</f>
        <v>Play, Percussion Instrument</v>
      </c>
      <c r="N367" s="3" t="str">
        <f>'Character Sheet'!CDT19</f>
        <v>Percussion Instrument</v>
      </c>
      <c r="O367" s="4" t="s">
        <v>802</v>
      </c>
      <c r="P367" s="4" t="s">
        <v>801</v>
      </c>
      <c r="Q367" s="4" t="e">
        <f t="shared" si="197"/>
        <v>#N/A</v>
      </c>
      <c r="R367" s="4">
        <f>IF(ISNUMBER(SEARCH("Category",N367)),"- -",IF(ISNUMBER(SEARCH("Skills",N367)),"- -",'Level-up'!C385))</f>
        <v>0</v>
      </c>
      <c r="S367" s="4" t="e">
        <f t="shared" si="176"/>
        <v>#N/A</v>
      </c>
      <c r="T367" s="4" t="e">
        <f t="shared" si="177"/>
        <v>#N/A</v>
      </c>
      <c r="U367" s="4">
        <f t="shared" ca="1" si="182"/>
        <v>2</v>
      </c>
      <c r="V367" s="4">
        <f t="shared" si="198"/>
        <v>0</v>
      </c>
      <c r="W367" s="4" t="e">
        <f t="shared" si="196"/>
        <v>#N/A</v>
      </c>
      <c r="X367" s="4">
        <f t="shared" si="194"/>
        <v>0</v>
      </c>
      <c r="Y367" s="4">
        <f t="shared" si="178"/>
        <v>0</v>
      </c>
      <c r="Z367" s="4">
        <f t="shared" si="179"/>
        <v>0</v>
      </c>
      <c r="AA367" s="4">
        <f t="shared" si="180"/>
        <v>0</v>
      </c>
      <c r="AB367" s="4">
        <f t="shared" si="181"/>
        <v>0</v>
      </c>
      <c r="AC367" s="8"/>
      <c r="AD367" s="4"/>
      <c r="AE367" s="4"/>
      <c r="AF367" s="4" t="e">
        <f t="shared" si="185"/>
        <v>#N/A</v>
      </c>
      <c r="AG367" s="4"/>
      <c r="AH367" s="4">
        <f>IFERROR(VLOOKUP(M367,Calculations!$AC$2:$AD$251,2,FALSE),0)</f>
        <v>0</v>
      </c>
      <c r="AI367" s="4" t="e">
        <f>VLOOKUP(N367,$N$2:$AS$620,MATCH('Character Creation'!$Z$12,Skills!$N$1:$AS$1,0),FALSE)</f>
        <v>#N/A</v>
      </c>
      <c r="AJ367" s="4" t="e">
        <f>VLOOKUP($N367,[2]Cultures!$B$4:$M$283,MATCH(AJ$1,[2]Cultures!$B$3:$M$3,0),FALSE)</f>
        <v>#N/A</v>
      </c>
      <c r="AK367" s="4" t="e">
        <f>VLOOKUP($N367,[2]Cultures!$B$4:$M$283,MATCH(AK$1,[2]Cultures!$B$3:$M$3,0),FALSE)</f>
        <v>#N/A</v>
      </c>
      <c r="AL367" s="4" t="e">
        <f>VLOOKUP($N367,[2]Cultures!$B$4:$M$283,MATCH(AL$1,[2]Cultures!$B$3:$M$3,0),FALSE)</f>
        <v>#N/A</v>
      </c>
      <c r="AM367" s="4" t="e">
        <f>VLOOKUP($N367,[2]Cultures!$B$4:$M$283,MATCH(AM$1,[2]Cultures!$B$3:$M$3,0),FALSE)</f>
        <v>#N/A</v>
      </c>
      <c r="AN367" s="4" t="e">
        <f>VLOOKUP($N367,[2]Cultures!$B$4:$M$283,MATCH(AN$1,[2]Cultures!$B$3:$M$3,0),FALSE)</f>
        <v>#N/A</v>
      </c>
      <c r="AO367" s="4" t="e">
        <f>VLOOKUP($N367,[2]Cultures!$B$4:$M$283,MATCH(AO$1,[2]Cultures!$B$3:$M$3,0),FALSE)</f>
        <v>#N/A</v>
      </c>
      <c r="AP367" s="4" t="e">
        <f>VLOOKUP($N367,[2]Cultures!$B$4:$M$283,MATCH(AP$1,[2]Cultures!$B$3:$M$3,0),FALSE)</f>
        <v>#N/A</v>
      </c>
      <c r="AQ367" s="4" t="e">
        <f>VLOOKUP($N367,[2]Cultures!$B$4:$M$283,MATCH(AQ$1,[2]Cultures!$B$3:$M$3,0),FALSE)</f>
        <v>#N/A</v>
      </c>
      <c r="AR367" s="4" t="e">
        <f>VLOOKUP($N367,[2]Cultures!$B$4:$M$283,MATCH(AR$1,[2]Cultures!$B$3:$M$3,0),FALSE)</f>
        <v>#N/A</v>
      </c>
      <c r="AS367" s="4" t="e">
        <f>VLOOKUP($N367,[2]Cultures!$B$4:$M$283,MATCH(AS$1,[2]Cultures!$B$3:$M$3,0),FALSE)</f>
        <v>#N/A</v>
      </c>
      <c r="AT367" s="4"/>
      <c r="AU367" s="4">
        <f>IF(ISNUMBER(SEARCH(N367&amp;";",Calculations!$Q$19)),VLOOKUP(Skills!N367,Calculations!$Q$2:$T$16,4,FALSE),0)</f>
        <v>0</v>
      </c>
      <c r="AV367" s="4">
        <f>IF(ISNUMBER(SEARCH(N367&amp;";",Calculations!$Q$18)),1,0)</f>
        <v>0</v>
      </c>
      <c r="AW367" s="4">
        <f>IF($AV$350=1,1,IF($AV$352=1,1,IF($AV$364=1,1,AV367)))</f>
        <v>1</v>
      </c>
      <c r="AX367" s="4">
        <f>VLOOKUP($N367,$N367:$CH367,MATCH('Character Sheet'!$BJ$3,Skills!$N$1:$CH$1,0),FALSE)</f>
        <v>0</v>
      </c>
    </row>
    <row r="368" spans="1:50" x14ac:dyDescent="0.25">
      <c r="B368" s="4" t="e">
        <f t="shared" si="190"/>
        <v>#N/A</v>
      </c>
      <c r="E368" s="4"/>
      <c r="F368" s="4">
        <f t="shared" si="174"/>
        <v>0</v>
      </c>
      <c r="G368" s="4"/>
      <c r="H368" s="4" t="e">
        <f t="shared" si="183"/>
        <v>#N/A</v>
      </c>
      <c r="I368" s="4" t="e">
        <f>IF($J$108=1,1,IF($J$351=1,1,IF($J$365=1,1,0)))</f>
        <v>#N/A</v>
      </c>
      <c r="J368" s="4">
        <f t="shared" si="175"/>
        <v>0</v>
      </c>
      <c r="K368" s="4" t="e">
        <f t="shared" si="187"/>
        <v>#N/A</v>
      </c>
      <c r="M368" t="str">
        <f>"Play, "&amp;N368</f>
        <v>Play, Wind Instrument</v>
      </c>
      <c r="N368" s="3" t="str">
        <f>'Character Sheet'!CDT20</f>
        <v>Wind Instrument</v>
      </c>
      <c r="O368" s="4" t="s">
        <v>802</v>
      </c>
      <c r="P368" s="4" t="s">
        <v>801</v>
      </c>
      <c r="Q368" s="4" t="e">
        <f t="shared" si="197"/>
        <v>#N/A</v>
      </c>
      <c r="R368" s="4">
        <f>IF(ISNUMBER(SEARCH("Category",N368)),"- -",IF(ISNUMBER(SEARCH("Skills",N368)),"- -",'Level-up'!C386))</f>
        <v>0</v>
      </c>
      <c r="S368" s="4" t="e">
        <f t="shared" si="176"/>
        <v>#N/A</v>
      </c>
      <c r="T368" s="4" t="e">
        <f t="shared" si="177"/>
        <v>#N/A</v>
      </c>
      <c r="U368" s="4">
        <f t="shared" ref="U368:U434" ca="1" si="199">IFERROR(INDIRECT(LEFT(O368,FIND("/",O368)-1))+INDIRECT(MID(O368,FIND("/",O368)+1,2))+INDIRECT(P368),"- -")</f>
        <v>2</v>
      </c>
      <c r="V368" s="4">
        <f t="shared" si="198"/>
        <v>0</v>
      </c>
      <c r="W368" s="4" t="e">
        <f t="shared" si="196"/>
        <v>#N/A</v>
      </c>
      <c r="X368" s="4">
        <f t="shared" si="194"/>
        <v>0</v>
      </c>
      <c r="Y368" s="4">
        <f t="shared" si="178"/>
        <v>0</v>
      </c>
      <c r="Z368" s="4">
        <f t="shared" si="179"/>
        <v>0</v>
      </c>
      <c r="AA368" s="4">
        <f t="shared" si="180"/>
        <v>0</v>
      </c>
      <c r="AB368" s="4">
        <f t="shared" si="181"/>
        <v>0</v>
      </c>
      <c r="AC368" s="8"/>
      <c r="AD368" s="4"/>
      <c r="AE368" s="4"/>
      <c r="AF368" s="4" t="e">
        <f t="shared" si="185"/>
        <v>#N/A</v>
      </c>
      <c r="AG368" s="4"/>
      <c r="AH368" s="4">
        <f>IFERROR(VLOOKUP(M368,Calculations!$AC$2:$AD$251,2,FALSE),0)</f>
        <v>0</v>
      </c>
      <c r="AI368" s="4" t="e">
        <f>VLOOKUP(N368,$N$2:$AS$620,MATCH('Character Creation'!$Z$12,Skills!$N$1:$AS$1,0),FALSE)</f>
        <v>#N/A</v>
      </c>
      <c r="AJ368" s="4" t="e">
        <f>VLOOKUP($N368,[2]Cultures!$B$4:$M$283,MATCH(AJ$1,[2]Cultures!$B$3:$M$3,0),FALSE)</f>
        <v>#N/A</v>
      </c>
      <c r="AK368" s="4" t="e">
        <f>VLOOKUP($N368,[2]Cultures!$B$4:$M$283,MATCH(AK$1,[2]Cultures!$B$3:$M$3,0),FALSE)</f>
        <v>#N/A</v>
      </c>
      <c r="AL368" s="4" t="e">
        <f>VLOOKUP($N368,[2]Cultures!$B$4:$M$283,MATCH(AL$1,[2]Cultures!$B$3:$M$3,0),FALSE)</f>
        <v>#N/A</v>
      </c>
      <c r="AM368" s="4" t="e">
        <f>VLOOKUP($N368,[2]Cultures!$B$4:$M$283,MATCH(AM$1,[2]Cultures!$B$3:$M$3,0),FALSE)</f>
        <v>#N/A</v>
      </c>
      <c r="AN368" s="4" t="e">
        <f>VLOOKUP($N368,[2]Cultures!$B$4:$M$283,MATCH(AN$1,[2]Cultures!$B$3:$M$3,0),FALSE)</f>
        <v>#N/A</v>
      </c>
      <c r="AO368" s="4" t="e">
        <f>VLOOKUP($N368,[2]Cultures!$B$4:$M$283,MATCH(AO$1,[2]Cultures!$B$3:$M$3,0),FALSE)</f>
        <v>#N/A</v>
      </c>
      <c r="AP368" s="4" t="e">
        <f>VLOOKUP($N368,[2]Cultures!$B$4:$M$283,MATCH(AP$1,[2]Cultures!$B$3:$M$3,0),FALSE)</f>
        <v>#N/A</v>
      </c>
      <c r="AQ368" s="4" t="e">
        <f>VLOOKUP($N368,[2]Cultures!$B$4:$M$283,MATCH(AQ$1,[2]Cultures!$B$3:$M$3,0),FALSE)</f>
        <v>#N/A</v>
      </c>
      <c r="AR368" s="4" t="e">
        <f>VLOOKUP($N368,[2]Cultures!$B$4:$M$283,MATCH(AR$1,[2]Cultures!$B$3:$M$3,0),FALSE)</f>
        <v>#N/A</v>
      </c>
      <c r="AS368" s="4" t="e">
        <f>VLOOKUP($N368,[2]Cultures!$B$4:$M$283,MATCH(AS$1,[2]Cultures!$B$3:$M$3,0),FALSE)</f>
        <v>#N/A</v>
      </c>
      <c r="AT368" s="4"/>
      <c r="AU368" s="4">
        <f>IF(ISNUMBER(SEARCH(N368&amp;";",Calculations!$Q$19)),VLOOKUP(Skills!N368,Calculations!$Q$2:$T$16,4,FALSE),0)</f>
        <v>0</v>
      </c>
      <c r="AV368" s="4">
        <f>IF(ISNUMBER(SEARCH(N368&amp;";",Calculations!$Q$18)),1,0)</f>
        <v>0</v>
      </c>
      <c r="AW368" s="4">
        <f>IF($AV$350=1,1,IF($AV$352=1,1,IF($AV$364=1,1,AV368)))</f>
        <v>1</v>
      </c>
      <c r="AX368" s="4">
        <f>VLOOKUP($N368,$N368:$CH368,MATCH('Character Sheet'!$BJ$3,Skills!$N$1:$CH$1,0),FALSE)</f>
        <v>0</v>
      </c>
    </row>
    <row r="369" spans="2:50" x14ac:dyDescent="0.25">
      <c r="B369" s="4" t="e">
        <f t="shared" si="190"/>
        <v>#N/A</v>
      </c>
      <c r="E369" s="4"/>
      <c r="F369" s="4">
        <f t="shared" si="174"/>
        <v>0</v>
      </c>
      <c r="G369" s="4"/>
      <c r="H369" s="4" t="e">
        <f t="shared" ref="H369:H435" si="200">H368+I369</f>
        <v>#N/A</v>
      </c>
      <c r="I369" s="4" t="e">
        <f>IF($J$370=1,1,IF($J$372=1,1,IF($J$375=1,1,IF($J$382=1,1,0))))</f>
        <v>#N/A</v>
      </c>
      <c r="J369" s="4">
        <f t="shared" si="175"/>
        <v>0</v>
      </c>
      <c r="K369" s="4" t="e">
        <f t="shared" si="187"/>
        <v>#N/A</v>
      </c>
      <c r="N369" s="3" t="s">
        <v>706</v>
      </c>
      <c r="O369" s="6" t="s">
        <v>782</v>
      </c>
      <c r="P369" s="6" t="s">
        <v>782</v>
      </c>
      <c r="Q369" s="4" t="str">
        <f t="shared" si="197"/>
        <v>- -</v>
      </c>
      <c r="R369" s="4" t="str">
        <f>IF(ISNUMBER(SEARCH("Category",N369)),"- -",IF(ISNUMBER(SEARCH("Skills",N369)),"- -",'Level-up'!C387))</f>
        <v>- -</v>
      </c>
      <c r="S369" s="4" t="str">
        <f t="shared" si="176"/>
        <v>- -</v>
      </c>
      <c r="T369" s="4" t="str">
        <f t="shared" si="177"/>
        <v>- -</v>
      </c>
      <c r="U369" s="4" t="str">
        <f t="shared" ca="1" si="199"/>
        <v>- -</v>
      </c>
      <c r="V369" s="4" t="str">
        <f t="shared" si="198"/>
        <v>- -</v>
      </c>
      <c r="W369" s="4" t="str">
        <f t="shared" si="196"/>
        <v>- -</v>
      </c>
      <c r="X369" s="4" t="str">
        <f t="shared" si="194"/>
        <v>- -</v>
      </c>
      <c r="Y369" s="4" t="str">
        <f t="shared" si="178"/>
        <v>- -</v>
      </c>
      <c r="Z369" s="4" t="str">
        <f t="shared" si="179"/>
        <v>- -</v>
      </c>
      <c r="AA369" s="4" t="str">
        <f t="shared" si="180"/>
        <v>- -</v>
      </c>
      <c r="AB369" s="4" t="str">
        <f t="shared" si="181"/>
        <v>- -</v>
      </c>
      <c r="AC369" s="8"/>
      <c r="AD369" s="4"/>
      <c r="AE369" s="4"/>
      <c r="AF369" s="4" t="str">
        <f t="shared" si="185"/>
        <v>- -</v>
      </c>
      <c r="AG369" s="4"/>
      <c r="AH369" s="4">
        <f>IFERROR(VLOOKUP(M369,Calculations!$AC$2:$AD$251,2,FALSE),0)</f>
        <v>0</v>
      </c>
      <c r="AI369" s="4" t="e">
        <f>VLOOKUP(N369,$N$2:$AS$620,MATCH('Character Creation'!$Z$12,Skills!$N$1:$AS$1,0),FALSE)</f>
        <v>#N/A</v>
      </c>
      <c r="AJ369" s="4" t="e">
        <f>VLOOKUP($N369,[2]Cultures!$B$4:$M$283,MATCH(AJ$1,[2]Cultures!$B$3:$M$3,0),FALSE)</f>
        <v>#N/A</v>
      </c>
      <c r="AK369" s="4" t="e">
        <f>VLOOKUP($N369,[2]Cultures!$B$4:$M$283,MATCH(AK$1,[2]Cultures!$B$3:$M$3,0),FALSE)</f>
        <v>#N/A</v>
      </c>
      <c r="AL369" s="4" t="e">
        <f>VLOOKUP($N369,[2]Cultures!$B$4:$M$283,MATCH(AL$1,[2]Cultures!$B$3:$M$3,0),FALSE)</f>
        <v>#N/A</v>
      </c>
      <c r="AM369" s="4" t="e">
        <f>VLOOKUP($N369,[2]Cultures!$B$4:$M$283,MATCH(AM$1,[2]Cultures!$B$3:$M$3,0),FALSE)</f>
        <v>#N/A</v>
      </c>
      <c r="AN369" s="4" t="e">
        <f>VLOOKUP($N369,[2]Cultures!$B$4:$M$283,MATCH(AN$1,[2]Cultures!$B$3:$M$3,0),FALSE)</f>
        <v>#N/A</v>
      </c>
      <c r="AO369" s="4" t="e">
        <f>VLOOKUP($N369,[2]Cultures!$B$4:$M$283,MATCH(AO$1,[2]Cultures!$B$3:$M$3,0),FALSE)</f>
        <v>#N/A</v>
      </c>
      <c r="AP369" s="4" t="e">
        <f>VLOOKUP($N369,[2]Cultures!$B$4:$M$283,MATCH(AP$1,[2]Cultures!$B$3:$M$3,0),FALSE)</f>
        <v>#N/A</v>
      </c>
      <c r="AQ369" s="4" t="e">
        <f>VLOOKUP($N369,[2]Cultures!$B$4:$M$283,MATCH(AQ$1,[2]Cultures!$B$3:$M$3,0),FALSE)</f>
        <v>#N/A</v>
      </c>
      <c r="AR369" s="4" t="e">
        <f>VLOOKUP($N369,[2]Cultures!$B$4:$M$283,MATCH(AR$1,[2]Cultures!$B$3:$M$3,0),FALSE)</f>
        <v>#N/A</v>
      </c>
      <c r="AS369" s="4" t="e">
        <f>VLOOKUP($N369,[2]Cultures!$B$4:$M$283,MATCH(AS$1,[2]Cultures!$B$3:$M$3,0),FALSE)</f>
        <v>#N/A</v>
      </c>
      <c r="AT369" s="4"/>
      <c r="AU369" s="4">
        <f>IF(ISNUMBER(SEARCH(N369&amp;";",Calculations!$Q$19)),VLOOKUP(Skills!N369,Calculations!$Q$2:$T$16,4,FALSE),0)</f>
        <v>0</v>
      </c>
      <c r="AV369" s="4">
        <f>IF(ISNUMBER(SEARCH(N369&amp;";",Calculations!$Q$18)),1,0)</f>
        <v>0</v>
      </c>
      <c r="AW369" s="4"/>
      <c r="AX369" s="4">
        <f>VLOOKUP($N369,$N369:$CH369,MATCH('Character Sheet'!$BJ$3,Skills!$N$1:$CH$1,0),FALSE)</f>
        <v>0</v>
      </c>
    </row>
    <row r="370" spans="2:50" x14ac:dyDescent="0.25">
      <c r="B370" s="4" t="e">
        <f t="shared" si="190"/>
        <v>#N/A</v>
      </c>
      <c r="E370" s="4"/>
      <c r="F370" s="4">
        <f t="shared" si="174"/>
        <v>0</v>
      </c>
      <c r="G370" s="4"/>
      <c r="H370" s="4" t="e">
        <f t="shared" si="200"/>
        <v>#N/A</v>
      </c>
      <c r="I370" s="4">
        <v>0</v>
      </c>
      <c r="J370" s="4" t="e">
        <f t="shared" si="175"/>
        <v>#N/A</v>
      </c>
      <c r="K370" s="4" t="e">
        <f>IF(ISNUMBER(SEARCH("Category",N370)),K374,AI370)</f>
        <v>#N/A</v>
      </c>
      <c r="N370" s="3" t="s">
        <v>707</v>
      </c>
      <c r="O370" s="6" t="s">
        <v>782</v>
      </c>
      <c r="P370" s="6" t="s">
        <v>782</v>
      </c>
      <c r="Q370" s="4" t="str">
        <f t="shared" si="197"/>
        <v>- -</v>
      </c>
      <c r="R370" s="4" t="str">
        <f>IF(ISNUMBER(SEARCH("Category",N370)),"- -",IF(ISNUMBER(SEARCH("Skills",N370)),"- -",'Level-up'!C388))</f>
        <v>- -</v>
      </c>
      <c r="S370" s="4" t="str">
        <f t="shared" si="176"/>
        <v>- -</v>
      </c>
      <c r="T370" s="4" t="str">
        <f t="shared" si="177"/>
        <v>- -</v>
      </c>
      <c r="U370" s="4" t="str">
        <f t="shared" ca="1" si="199"/>
        <v>- -</v>
      </c>
      <c r="V370" s="4" t="str">
        <f t="shared" si="198"/>
        <v>- -</v>
      </c>
      <c r="W370" s="4" t="str">
        <f t="shared" si="196"/>
        <v>- -</v>
      </c>
      <c r="X370" s="4" t="str">
        <f t="shared" si="194"/>
        <v>- -</v>
      </c>
      <c r="Y370" s="4" t="str">
        <f t="shared" si="178"/>
        <v>- -</v>
      </c>
      <c r="Z370" s="4" t="str">
        <f t="shared" si="179"/>
        <v>- -</v>
      </c>
      <c r="AA370" s="4" t="str">
        <f t="shared" si="180"/>
        <v>- -</v>
      </c>
      <c r="AB370" s="4" t="str">
        <f t="shared" si="181"/>
        <v>- -</v>
      </c>
      <c r="AC370" s="8"/>
      <c r="AD370" s="4"/>
      <c r="AE370" s="4"/>
      <c r="AF370" s="4" t="str">
        <f t="shared" si="185"/>
        <v>- -</v>
      </c>
      <c r="AG370" s="4"/>
      <c r="AH370" s="4">
        <f>IFERROR(VLOOKUP(M370,Calculations!$AC$2:$AD$251,2,FALSE),0)</f>
        <v>0</v>
      </c>
      <c r="AI370" s="4" t="e">
        <f>VLOOKUP(N370,$N$2:$AS$620,MATCH('Character Creation'!$Z$12,Skills!$N$1:$AS$1,0),FALSE)</f>
        <v>#N/A</v>
      </c>
      <c r="AJ370" s="4" t="e">
        <f>VLOOKUP($N370,[2]Cultures!$B$4:$M$283,MATCH(AJ$1,[2]Cultures!$B$3:$M$3,0),FALSE)</f>
        <v>#N/A</v>
      </c>
      <c r="AK370" s="4" t="e">
        <f>VLOOKUP($N370,[2]Cultures!$B$4:$M$283,MATCH(AK$1,[2]Cultures!$B$3:$M$3,0),FALSE)</f>
        <v>#N/A</v>
      </c>
      <c r="AL370" s="4" t="e">
        <f>VLOOKUP($N370,[2]Cultures!$B$4:$M$283,MATCH(AL$1,[2]Cultures!$B$3:$M$3,0),FALSE)</f>
        <v>#N/A</v>
      </c>
      <c r="AM370" s="4" t="e">
        <f>VLOOKUP($N370,[2]Cultures!$B$4:$M$283,MATCH(AM$1,[2]Cultures!$B$3:$M$3,0),FALSE)</f>
        <v>#N/A</v>
      </c>
      <c r="AN370" s="4" t="e">
        <f>VLOOKUP($N370,[2]Cultures!$B$4:$M$283,MATCH(AN$1,[2]Cultures!$B$3:$M$3,0),FALSE)</f>
        <v>#N/A</v>
      </c>
      <c r="AO370" s="4" t="e">
        <f>VLOOKUP($N370,[2]Cultures!$B$4:$M$283,MATCH(AO$1,[2]Cultures!$B$3:$M$3,0),FALSE)</f>
        <v>#N/A</v>
      </c>
      <c r="AP370" s="4" t="e">
        <f>VLOOKUP($N370,[2]Cultures!$B$4:$M$283,MATCH(AP$1,[2]Cultures!$B$3:$M$3,0),FALSE)</f>
        <v>#N/A</v>
      </c>
      <c r="AQ370" s="4" t="e">
        <f>VLOOKUP($N370,[2]Cultures!$B$4:$M$283,MATCH(AQ$1,[2]Cultures!$B$3:$M$3,0),FALSE)</f>
        <v>#N/A</v>
      </c>
      <c r="AR370" s="4" t="e">
        <f>VLOOKUP($N370,[2]Cultures!$B$4:$M$283,MATCH(AR$1,[2]Cultures!$B$3:$M$3,0),FALSE)</f>
        <v>#N/A</v>
      </c>
      <c r="AS370" s="4" t="e">
        <f>VLOOKUP($N370,[2]Cultures!$B$4:$M$283,MATCH(AS$1,[2]Cultures!$B$3:$M$3,0),FALSE)</f>
        <v>#N/A</v>
      </c>
      <c r="AT370" s="4"/>
      <c r="AU370" s="4">
        <f>IF(ISNUMBER(SEARCH(N370&amp;";",Calculations!$Q$19)),VLOOKUP(Skills!N370,Calculations!$Q$2:$T$16,4,FALSE),0)</f>
        <v>0</v>
      </c>
      <c r="AV370" s="4">
        <f>IF(ISNUMBER(SEARCH(N370&amp;";",Calculations!$Q$18)),1,0)</f>
        <v>0</v>
      </c>
      <c r="AW370" s="4"/>
      <c r="AX370" s="4">
        <f>VLOOKUP($N370,$N370:$CH370,MATCH('Character Sheet'!$BJ$3,Skills!$N$1:$CH$1,0),FALSE)</f>
        <v>0</v>
      </c>
    </row>
    <row r="371" spans="2:50" x14ac:dyDescent="0.25">
      <c r="B371" s="4" t="e">
        <f t="shared" si="190"/>
        <v>#N/A</v>
      </c>
      <c r="E371" s="4"/>
      <c r="F371" s="4">
        <f t="shared" si="174"/>
        <v>0</v>
      </c>
      <c r="G371" s="4"/>
      <c r="H371" s="4" t="e">
        <f t="shared" si="200"/>
        <v>#N/A</v>
      </c>
      <c r="I371" s="4" t="e">
        <f>IF($J$370=1,1,IF($J$372=1,1,0))</f>
        <v>#N/A</v>
      </c>
      <c r="J371" s="4">
        <f t="shared" si="175"/>
        <v>0</v>
      </c>
      <c r="K371" s="4" t="e">
        <f>IF(ISNUMBER(SEARCH("Category",N371)),K375,AI371)</f>
        <v>#N/A</v>
      </c>
      <c r="N371" s="3" t="s">
        <v>2032</v>
      </c>
      <c r="O371" s="6" t="s">
        <v>782</v>
      </c>
      <c r="P371" s="6" t="s">
        <v>782</v>
      </c>
      <c r="Q371" s="4" t="str">
        <f t="shared" si="197"/>
        <v>- -</v>
      </c>
      <c r="R371" s="4" t="str">
        <f>IF(ISNUMBER(SEARCH("Category",N371)),"- -",IF(ISNUMBER(SEARCH("Skills",N371)),"- -",'Level-up'!C389))</f>
        <v>- -</v>
      </c>
      <c r="S371" s="4" t="str">
        <f t="shared" si="176"/>
        <v>- -</v>
      </c>
      <c r="T371" s="4" t="str">
        <f t="shared" si="177"/>
        <v>- -</v>
      </c>
      <c r="U371" s="4" t="str">
        <f ca="1">IFERROR(INDIRECT(LEFT(O371,FIND("/",O371)-1))+INDIRECT(MID(O371,FIND("/",O371)+1,2))+INDIRECT(P371),"- -")</f>
        <v>- -</v>
      </c>
      <c r="V371" s="4" t="str">
        <f t="shared" si="198"/>
        <v>- -</v>
      </c>
      <c r="W371" s="4" t="str">
        <f t="shared" si="196"/>
        <v>- -</v>
      </c>
      <c r="X371" s="4" t="str">
        <f t="shared" si="194"/>
        <v>- -</v>
      </c>
      <c r="Y371" s="4" t="str">
        <f t="shared" si="178"/>
        <v>- -</v>
      </c>
      <c r="Z371" s="4" t="str">
        <f t="shared" si="179"/>
        <v>- -</v>
      </c>
      <c r="AA371" s="4" t="str">
        <f t="shared" si="180"/>
        <v>- -</v>
      </c>
      <c r="AB371" s="4" t="str">
        <f t="shared" si="181"/>
        <v>- -</v>
      </c>
      <c r="AC371" s="8"/>
      <c r="AD371" s="4"/>
      <c r="AE371" s="4"/>
      <c r="AF371" s="4" t="str">
        <f t="shared" si="185"/>
        <v>- -</v>
      </c>
      <c r="AG371" s="4"/>
      <c r="AH371" s="4">
        <f>IFERROR(VLOOKUP(M371,Calculations!$AC$2:$AD$251,2,FALSE),0)</f>
        <v>0</v>
      </c>
      <c r="AI371" s="4" t="e">
        <f>VLOOKUP(N371,$N$2:$AS$620,MATCH('Character Creation'!$Z$12,Skills!$N$1:$AS$1,0),FALSE)</f>
        <v>#N/A</v>
      </c>
      <c r="AJ371" s="4" t="e">
        <f>VLOOKUP($N371,[2]Cultures!$B$4:$M$283,MATCH(AJ$1,[2]Cultures!$B$3:$M$3,0),FALSE)</f>
        <v>#N/A</v>
      </c>
      <c r="AK371" s="4" t="e">
        <f>VLOOKUP($N371,[2]Cultures!$B$4:$M$283,MATCH(AK$1,[2]Cultures!$B$3:$M$3,0),FALSE)</f>
        <v>#N/A</v>
      </c>
      <c r="AL371" s="4" t="e">
        <f>VLOOKUP($N371,[2]Cultures!$B$4:$M$283,MATCH(AL$1,[2]Cultures!$B$3:$M$3,0),FALSE)</f>
        <v>#N/A</v>
      </c>
      <c r="AM371" s="4" t="e">
        <f>VLOOKUP($N371,[2]Cultures!$B$4:$M$283,MATCH(AM$1,[2]Cultures!$B$3:$M$3,0),FALSE)</f>
        <v>#N/A</v>
      </c>
      <c r="AN371" s="4" t="e">
        <f>VLOOKUP($N371,[2]Cultures!$B$4:$M$283,MATCH(AN$1,[2]Cultures!$B$3:$M$3,0),FALSE)</f>
        <v>#N/A</v>
      </c>
      <c r="AO371" s="4" t="e">
        <f>VLOOKUP($N371,[2]Cultures!$B$4:$M$283,MATCH(AO$1,[2]Cultures!$B$3:$M$3,0),FALSE)</f>
        <v>#N/A</v>
      </c>
      <c r="AP371" s="4" t="e">
        <f>VLOOKUP($N371,[2]Cultures!$B$4:$M$283,MATCH(AP$1,[2]Cultures!$B$3:$M$3,0),FALSE)</f>
        <v>#N/A</v>
      </c>
      <c r="AQ371" s="4" t="e">
        <f>VLOOKUP($N371,[2]Cultures!$B$4:$M$283,MATCH(AQ$1,[2]Cultures!$B$3:$M$3,0),FALSE)</f>
        <v>#N/A</v>
      </c>
      <c r="AR371" s="4" t="e">
        <f>VLOOKUP($N371,[2]Cultures!$B$4:$M$283,MATCH(AR$1,[2]Cultures!$B$3:$M$3,0),FALSE)</f>
        <v>#N/A</v>
      </c>
      <c r="AS371" s="4" t="e">
        <f>VLOOKUP($N371,[2]Cultures!$B$4:$M$283,MATCH(AS$1,[2]Cultures!$B$3:$M$3,0),FALSE)</f>
        <v>#N/A</v>
      </c>
      <c r="AT371" s="4"/>
      <c r="AU371" s="4">
        <f>IF(ISNUMBER(SEARCH(N371&amp;";",Calculations!$Q$19)),VLOOKUP(Skills!N371,Calculations!$Q$2:$T$16,4,FALSE),0)</f>
        <v>0</v>
      </c>
      <c r="AV371" s="4">
        <f>IF(ISNUMBER(SEARCH(N371&amp;";",Calculations!$Q$18)),1,0)</f>
        <v>0</v>
      </c>
      <c r="AW371" s="4"/>
      <c r="AX371" s="4">
        <f>VLOOKUP($N371,$N371:$CH371,MATCH('Character Sheet'!$BJ$3,Skills!$N$1:$CH$1,0),FALSE)</f>
        <v>0</v>
      </c>
    </row>
    <row r="372" spans="2:50" x14ac:dyDescent="0.25">
      <c r="B372" s="4" t="e">
        <f t="shared" si="190"/>
        <v>#N/A</v>
      </c>
      <c r="E372" s="4"/>
      <c r="F372" s="4">
        <f t="shared" si="174"/>
        <v>0</v>
      </c>
      <c r="G372" s="4"/>
      <c r="H372" s="4" t="e">
        <f t="shared" si="200"/>
        <v>#N/A</v>
      </c>
      <c r="I372" s="4">
        <v>0</v>
      </c>
      <c r="J372" s="4" t="e">
        <f t="shared" si="175"/>
        <v>#N/A</v>
      </c>
      <c r="K372" s="4" t="e">
        <f>IF(ISNUMBER(SEARCH("Category",N372)),K376,AI372)</f>
        <v>#N/A</v>
      </c>
      <c r="N372" s="3" t="s">
        <v>2033</v>
      </c>
      <c r="O372" s="6" t="s">
        <v>782</v>
      </c>
      <c r="P372" s="6" t="s">
        <v>782</v>
      </c>
      <c r="Q372" s="4" t="str">
        <f t="shared" si="197"/>
        <v>- -</v>
      </c>
      <c r="R372" s="4" t="str">
        <f>IF(ISNUMBER(SEARCH("Category",N372)),"- -",IF(ISNUMBER(SEARCH("Skills",N372)),"- -",'Level-up'!C390))</f>
        <v>- -</v>
      </c>
      <c r="S372" s="4" t="str">
        <f t="shared" si="176"/>
        <v>- -</v>
      </c>
      <c r="T372" s="4" t="str">
        <f t="shared" si="177"/>
        <v>- -</v>
      </c>
      <c r="U372" s="4" t="str">
        <f ca="1">IFERROR(INDIRECT(LEFT(O372,FIND("/",O372)-1))+INDIRECT(MID(O372,FIND("/",O372)+1,2))+INDIRECT(P372),"- -")</f>
        <v>- -</v>
      </c>
      <c r="V372" s="4" t="str">
        <f t="shared" si="198"/>
        <v>- -</v>
      </c>
      <c r="W372" s="4" t="str">
        <f t="shared" si="196"/>
        <v>- -</v>
      </c>
      <c r="X372" s="4" t="str">
        <f t="shared" si="194"/>
        <v>- -</v>
      </c>
      <c r="Y372" s="4" t="str">
        <f t="shared" si="178"/>
        <v>- -</v>
      </c>
      <c r="Z372" s="4" t="str">
        <f t="shared" si="179"/>
        <v>- -</v>
      </c>
      <c r="AA372" s="4" t="str">
        <f t="shared" si="180"/>
        <v>- -</v>
      </c>
      <c r="AB372" s="4" t="str">
        <f t="shared" si="181"/>
        <v>- -</v>
      </c>
      <c r="AC372" s="8"/>
      <c r="AD372" s="4"/>
      <c r="AE372" s="4"/>
      <c r="AF372" s="4" t="str">
        <f t="shared" si="185"/>
        <v>- -</v>
      </c>
      <c r="AG372" s="4"/>
      <c r="AH372" s="4">
        <f>IFERROR(VLOOKUP(M372,Calculations!$AC$2:$AD$251,2,FALSE),0)</f>
        <v>0</v>
      </c>
      <c r="AI372" s="4" t="e">
        <f>VLOOKUP(N372,$N$2:$AS$620,MATCH('Character Creation'!$Z$12,Skills!$N$1:$AS$1,0),FALSE)</f>
        <v>#N/A</v>
      </c>
      <c r="AJ372" s="4" t="e">
        <f>VLOOKUP($N372,[2]Cultures!$B$4:$M$283,MATCH(AJ$1,[2]Cultures!$B$3:$M$3,0),FALSE)</f>
        <v>#N/A</v>
      </c>
      <c r="AK372" s="4" t="e">
        <f>VLOOKUP($N372,[2]Cultures!$B$4:$M$283,MATCH(AK$1,[2]Cultures!$B$3:$M$3,0),FALSE)</f>
        <v>#N/A</v>
      </c>
      <c r="AL372" s="4" t="e">
        <f>VLOOKUP($N372,[2]Cultures!$B$4:$M$283,MATCH(AL$1,[2]Cultures!$B$3:$M$3,0),FALSE)</f>
        <v>#N/A</v>
      </c>
      <c r="AM372" s="4" t="e">
        <f>VLOOKUP($N372,[2]Cultures!$B$4:$M$283,MATCH(AM$1,[2]Cultures!$B$3:$M$3,0),FALSE)</f>
        <v>#N/A</v>
      </c>
      <c r="AN372" s="4" t="e">
        <f>VLOOKUP($N372,[2]Cultures!$B$4:$M$283,MATCH(AN$1,[2]Cultures!$B$3:$M$3,0),FALSE)</f>
        <v>#N/A</v>
      </c>
      <c r="AO372" s="4" t="e">
        <f>VLOOKUP($N372,[2]Cultures!$B$4:$M$283,MATCH(AO$1,[2]Cultures!$B$3:$M$3,0),FALSE)</f>
        <v>#N/A</v>
      </c>
      <c r="AP372" s="4" t="e">
        <f>VLOOKUP($N372,[2]Cultures!$B$4:$M$283,MATCH(AP$1,[2]Cultures!$B$3:$M$3,0),FALSE)</f>
        <v>#N/A</v>
      </c>
      <c r="AQ372" s="4" t="e">
        <f>VLOOKUP($N372,[2]Cultures!$B$4:$M$283,MATCH(AQ$1,[2]Cultures!$B$3:$M$3,0),FALSE)</f>
        <v>#N/A</v>
      </c>
      <c r="AR372" s="4" t="e">
        <f>VLOOKUP($N372,[2]Cultures!$B$4:$M$283,MATCH(AR$1,[2]Cultures!$B$3:$M$3,0),FALSE)</f>
        <v>#N/A</v>
      </c>
      <c r="AS372" s="4" t="e">
        <f>VLOOKUP($N372,[2]Cultures!$B$4:$M$283,MATCH(AS$1,[2]Cultures!$B$3:$M$3,0),FALSE)</f>
        <v>#N/A</v>
      </c>
      <c r="AT372" s="4"/>
      <c r="AU372" s="4">
        <f>IF(ISNUMBER(SEARCH(N372&amp;";",Calculations!$Q$19)),VLOOKUP(Skills!N372,Calculations!$Q$2:$T$16,4,FALSE),0)</f>
        <v>0</v>
      </c>
      <c r="AV372" s="4">
        <f>IF(ISNUMBER(SEARCH(N372&amp;";",Calculations!$Q$18)),1,0)</f>
        <v>0</v>
      </c>
      <c r="AW372" s="4"/>
      <c r="AX372" s="4">
        <f>VLOOKUP($N372,$N372:$CH372,MATCH('Character Sheet'!$BJ$3,Skills!$N$1:$CH$1,0),FALSE)</f>
        <v>0</v>
      </c>
    </row>
    <row r="373" spans="2:50" x14ac:dyDescent="0.25">
      <c r="B373" s="4" t="e">
        <f t="shared" si="190"/>
        <v>#N/A</v>
      </c>
      <c r="E373" s="4"/>
      <c r="F373" s="4">
        <f t="shared" si="174"/>
        <v>0</v>
      </c>
      <c r="G373" s="4"/>
      <c r="H373" s="4" t="e">
        <f t="shared" si="200"/>
        <v>#N/A</v>
      </c>
      <c r="I373" s="4" t="e">
        <f>IF($J$370=1,1,IF($J$372=1,1,0))</f>
        <v>#N/A</v>
      </c>
      <c r="J373" s="4">
        <f t="shared" si="175"/>
        <v>0</v>
      </c>
      <c r="K373" s="4">
        <f>IF(ISNUMBER(SEARCH("Category",N373)),K377,AI373)</f>
        <v>0</v>
      </c>
      <c r="M373" t="str">
        <f>N373</f>
        <v>Transcendence</v>
      </c>
      <c r="N373" s="3" t="str">
        <f>'Character Sheet'!CHJ5</f>
        <v>Transcendence</v>
      </c>
      <c r="O373" s="6" t="s">
        <v>782</v>
      </c>
      <c r="P373" s="6" t="s">
        <v>782</v>
      </c>
      <c r="Q373" s="4">
        <f t="shared" si="197"/>
        <v>0</v>
      </c>
      <c r="R373" s="4">
        <f>IF(ISNUMBER(SEARCH("Category",N373)),"- -",IF(ISNUMBER(SEARCH("Skills",N373)),"- -",'Level-up'!C391))</f>
        <v>0</v>
      </c>
      <c r="S373" s="4">
        <f t="shared" si="176"/>
        <v>0</v>
      </c>
      <c r="T373" s="4">
        <f t="shared" si="177"/>
        <v>0</v>
      </c>
      <c r="U373" s="4" t="str">
        <f ca="1">IFERROR(INDIRECT(LEFT(O373,FIND("/",O373)-1))+INDIRECT(MID(O373,FIND("/",O373)+1,2))+INDIRECT(P373),"- -")</f>
        <v>- -</v>
      </c>
      <c r="V373" s="4">
        <f>IF(ISNUMBER(SEARCH("Category",N373)),"- -",IF(ISNUMBER(SEARCH("Skills",N373)),"- -",IF(AU373&gt;0,AU373,IF($AU$371&gt;0,$AU$371,$AU$369))))</f>
        <v>0</v>
      </c>
      <c r="W373" s="4">
        <f t="shared" si="196"/>
        <v>0</v>
      </c>
      <c r="X373" s="4">
        <f t="shared" si="194"/>
        <v>0</v>
      </c>
      <c r="Y373" s="4">
        <f t="shared" si="178"/>
        <v>0</v>
      </c>
      <c r="Z373" s="4">
        <f t="shared" si="179"/>
        <v>0</v>
      </c>
      <c r="AA373" s="4">
        <f t="shared" si="180"/>
        <v>0</v>
      </c>
      <c r="AB373" s="4">
        <f t="shared" si="181"/>
        <v>0</v>
      </c>
      <c r="AC373" s="8"/>
      <c r="AD373" s="4"/>
      <c r="AE373" s="4"/>
      <c r="AF373" s="4" t="str">
        <f t="shared" ca="1" si="185"/>
        <v>0</v>
      </c>
      <c r="AG373" s="4"/>
      <c r="AH373" s="4">
        <f>IFERROR(VLOOKUP(M373,Calculations!$AC$2:$AD$251,2,FALSE),0)</f>
        <v>0</v>
      </c>
      <c r="AI373" s="4">
        <f>VLOOKUP(N373,$N$2:$AS$620,MATCH('Character Creation'!$Z$12,Skills!$N$1:$AS$1,0),FALSE)</f>
        <v>0</v>
      </c>
      <c r="AJ373" s="4">
        <f>VLOOKUP($N373,[2]Cultures!$B$4:$M$283,MATCH(AJ$1,[2]Cultures!$B$3:$M$3,0),FALSE)</f>
        <v>0</v>
      </c>
      <c r="AK373" s="4">
        <f>VLOOKUP($N373,[2]Cultures!$B$4:$M$283,MATCH(AK$1,[2]Cultures!$B$3:$M$3,0),FALSE)</f>
        <v>0</v>
      </c>
      <c r="AL373" s="4">
        <f>VLOOKUP($N373,[2]Cultures!$B$4:$M$283,MATCH(AL$1,[2]Cultures!$B$3:$M$3,0),FALSE)</f>
        <v>0</v>
      </c>
      <c r="AM373" s="4">
        <f>VLOOKUP($N373,[2]Cultures!$B$4:$M$283,MATCH(AM$1,[2]Cultures!$B$3:$M$3,0),FALSE)</f>
        <v>0</v>
      </c>
      <c r="AN373" s="4">
        <f>VLOOKUP($N373,[2]Cultures!$B$4:$M$283,MATCH(AN$1,[2]Cultures!$B$3:$M$3,0),FALSE)</f>
        <v>0</v>
      </c>
      <c r="AO373" s="4">
        <f>VLOOKUP($N373,[2]Cultures!$B$4:$M$283,MATCH(AO$1,[2]Cultures!$B$3:$M$3,0),FALSE)</f>
        <v>0</v>
      </c>
      <c r="AP373" s="4">
        <f>VLOOKUP($N373,[2]Cultures!$B$4:$M$283,MATCH(AP$1,[2]Cultures!$B$3:$M$3,0),FALSE)</f>
        <v>0</v>
      </c>
      <c r="AQ373" s="4">
        <f>VLOOKUP($N373,[2]Cultures!$B$4:$M$283,MATCH(AQ$1,[2]Cultures!$B$3:$M$3,0),FALSE)</f>
        <v>0</v>
      </c>
      <c r="AR373" s="4">
        <f>VLOOKUP($N373,[2]Cultures!$B$4:$M$283,MATCH(AR$1,[2]Cultures!$B$3:$M$3,0),FALSE)</f>
        <v>0</v>
      </c>
      <c r="AS373" s="4">
        <f>VLOOKUP($N373,[2]Cultures!$B$4:$M$283,MATCH(AS$1,[2]Cultures!$B$3:$M$3,0),FALSE)</f>
        <v>0</v>
      </c>
      <c r="AT373" s="4"/>
      <c r="AU373" s="4">
        <f>IF(ISNUMBER(SEARCH(N373&amp;";",Calculations!$Q$19)),VLOOKUP(Skills!N373,Calculations!$Q$2:$T$16,4,FALSE),0)</f>
        <v>0</v>
      </c>
      <c r="AV373" s="4">
        <f>IF(ISNUMBER(SEARCH(N373&amp;";",Calculations!$Q$18)),1,0)</f>
        <v>0</v>
      </c>
      <c r="AW373" s="4">
        <f>IF($AV$369=1,1,IF($AV$371=1,1,AV373))</f>
        <v>0</v>
      </c>
      <c r="AX373" s="4">
        <f>VLOOKUP($N373,$N373:$CH373,MATCH('Character Sheet'!$BJ$3,Skills!$N$1:$CH$1,0),FALSE)</f>
        <v>0</v>
      </c>
    </row>
    <row r="374" spans="2:50" x14ac:dyDescent="0.25">
      <c r="B374" s="4" t="e">
        <f t="shared" si="190"/>
        <v>#N/A</v>
      </c>
      <c r="E374" s="4"/>
      <c r="F374" s="4">
        <f t="shared" si="174"/>
        <v>0</v>
      </c>
      <c r="G374" s="4"/>
      <c r="H374" s="4" t="e">
        <f t="shared" si="200"/>
        <v>#N/A</v>
      </c>
      <c r="I374" s="4" t="e">
        <f>IF($J$370=1,1,IF($J$375=1,1,0))</f>
        <v>#N/A</v>
      </c>
      <c r="J374" s="4">
        <f t="shared" si="175"/>
        <v>0</v>
      </c>
      <c r="K374" s="4" t="e">
        <f>IF(ISNUMBER(SEARCH("Category",N374)),K378,AI374)</f>
        <v>#N/A</v>
      </c>
      <c r="N374" s="3" t="s">
        <v>708</v>
      </c>
      <c r="O374" s="6" t="s">
        <v>782</v>
      </c>
      <c r="P374" s="6" t="s">
        <v>782</v>
      </c>
      <c r="Q374" s="4" t="str">
        <f t="shared" si="197"/>
        <v>- -</v>
      </c>
      <c r="R374" s="4" t="str">
        <f>IF(ISNUMBER(SEARCH("Category",N374)),"- -",IF(ISNUMBER(SEARCH("Skills",N374)),"- -",'Level-up'!C392))</f>
        <v>- -</v>
      </c>
      <c r="S374" s="4" t="str">
        <f t="shared" si="176"/>
        <v>- -</v>
      </c>
      <c r="T374" s="4" t="str">
        <f t="shared" si="177"/>
        <v>- -</v>
      </c>
      <c r="U374" s="4" t="str">
        <f t="shared" ca="1" si="199"/>
        <v>- -</v>
      </c>
      <c r="V374" s="4" t="str">
        <f>IF(ISNUMBER(SEARCH("Category",N374)),"- -",IF(ISNUMBER(SEARCH("Skills",N374)),"- -",IF(AU374&gt;0,AU374,IF($AU$371&gt;0,$AU$371,$AU$369))))</f>
        <v>- -</v>
      </c>
      <c r="W374" s="4" t="str">
        <f t="shared" si="196"/>
        <v>- -</v>
      </c>
      <c r="X374" s="4" t="str">
        <f t="shared" si="194"/>
        <v>- -</v>
      </c>
      <c r="Y374" s="4" t="str">
        <f t="shared" si="178"/>
        <v>- -</v>
      </c>
      <c r="Z374" s="4" t="str">
        <f t="shared" si="179"/>
        <v>- -</v>
      </c>
      <c r="AA374" s="4" t="str">
        <f t="shared" si="180"/>
        <v>- -</v>
      </c>
      <c r="AB374" s="4" t="str">
        <f t="shared" si="181"/>
        <v>- -</v>
      </c>
      <c r="AC374" s="8"/>
      <c r="AD374" s="4"/>
      <c r="AE374" s="4"/>
      <c r="AF374" s="4" t="str">
        <f t="shared" si="185"/>
        <v>- -</v>
      </c>
      <c r="AG374" s="4"/>
      <c r="AH374" s="4">
        <f>IFERROR(VLOOKUP(M374,Calculations!$AC$2:$AD$251,2,FALSE),0)</f>
        <v>0</v>
      </c>
      <c r="AI374" s="4" t="e">
        <f>VLOOKUP(N374,$N$2:$AS$620,MATCH('Character Creation'!$Z$12,Skills!$N$1:$AS$1,0),FALSE)</f>
        <v>#N/A</v>
      </c>
      <c r="AJ374" s="4" t="e">
        <f>VLOOKUP($N374,[2]Cultures!$B$4:$M$283,MATCH(AJ$1,[2]Cultures!$B$3:$M$3,0),FALSE)</f>
        <v>#N/A</v>
      </c>
      <c r="AK374" s="4" t="e">
        <f>VLOOKUP($N374,[2]Cultures!$B$4:$M$283,MATCH(AK$1,[2]Cultures!$B$3:$M$3,0),FALSE)</f>
        <v>#N/A</v>
      </c>
      <c r="AL374" s="4" t="e">
        <f>VLOOKUP($N374,[2]Cultures!$B$4:$M$283,MATCH(AL$1,[2]Cultures!$B$3:$M$3,0),FALSE)</f>
        <v>#N/A</v>
      </c>
      <c r="AM374" s="4" t="e">
        <f>VLOOKUP($N374,[2]Cultures!$B$4:$M$283,MATCH(AM$1,[2]Cultures!$B$3:$M$3,0),FALSE)</f>
        <v>#N/A</v>
      </c>
      <c r="AN374" s="4" t="e">
        <f>VLOOKUP($N374,[2]Cultures!$B$4:$M$283,MATCH(AN$1,[2]Cultures!$B$3:$M$3,0),FALSE)</f>
        <v>#N/A</v>
      </c>
      <c r="AO374" s="4" t="e">
        <f>VLOOKUP($N374,[2]Cultures!$B$4:$M$283,MATCH(AO$1,[2]Cultures!$B$3:$M$3,0),FALSE)</f>
        <v>#N/A</v>
      </c>
      <c r="AP374" s="4" t="e">
        <f>VLOOKUP($N374,[2]Cultures!$B$4:$M$283,MATCH(AP$1,[2]Cultures!$B$3:$M$3,0),FALSE)</f>
        <v>#N/A</v>
      </c>
      <c r="AQ374" s="4" t="e">
        <f>VLOOKUP($N374,[2]Cultures!$B$4:$M$283,MATCH(AQ$1,[2]Cultures!$B$3:$M$3,0),FALSE)</f>
        <v>#N/A</v>
      </c>
      <c r="AR374" s="4" t="e">
        <f>VLOOKUP($N374,[2]Cultures!$B$4:$M$283,MATCH(AR$1,[2]Cultures!$B$3:$M$3,0),FALSE)</f>
        <v>#N/A</v>
      </c>
      <c r="AS374" s="4" t="e">
        <f>VLOOKUP($N374,[2]Cultures!$B$4:$M$283,MATCH(AS$1,[2]Cultures!$B$3:$M$3,0),FALSE)</f>
        <v>#N/A</v>
      </c>
      <c r="AT374" s="4"/>
      <c r="AU374" s="4">
        <f>IF(ISNUMBER(SEARCH(N374&amp;";",Calculations!$Q$19)),VLOOKUP(Skills!N374,Calculations!$Q$2:$T$16,4,FALSE),0)</f>
        <v>0</v>
      </c>
      <c r="AV374" s="4">
        <f>IF(ISNUMBER(SEARCH(N374&amp;";",Calculations!$Q$18)),1,0)</f>
        <v>0</v>
      </c>
      <c r="AW374" s="4"/>
      <c r="AX374" s="4">
        <f>VLOOKUP($N374,$N374:$CH374,MATCH('Character Sheet'!$BJ$3,Skills!$N$1:$CH$1,0),FALSE)</f>
        <v>0</v>
      </c>
    </row>
    <row r="375" spans="2:50" x14ac:dyDescent="0.25">
      <c r="B375" s="4" t="e">
        <f t="shared" si="190"/>
        <v>#N/A</v>
      </c>
      <c r="E375" s="4"/>
      <c r="F375" s="4">
        <f t="shared" si="174"/>
        <v>0</v>
      </c>
      <c r="G375" s="4"/>
      <c r="H375" s="4" t="e">
        <f t="shared" si="200"/>
        <v>#N/A</v>
      </c>
      <c r="I375" s="4">
        <v>0</v>
      </c>
      <c r="J375" s="4" t="e">
        <f t="shared" si="175"/>
        <v>#N/A</v>
      </c>
      <c r="K375" s="4" t="e">
        <f t="shared" ref="K375:K438" si="201">IF(ISNUMBER(SEARCH("Category",N375)),K376,AI375)</f>
        <v>#N/A</v>
      </c>
      <c r="N375" s="3" t="s">
        <v>709</v>
      </c>
      <c r="O375" s="6" t="s">
        <v>782</v>
      </c>
      <c r="P375" s="6" t="s">
        <v>782</v>
      </c>
      <c r="Q375" s="4" t="str">
        <f t="shared" si="197"/>
        <v>- -</v>
      </c>
      <c r="R375" s="4" t="str">
        <f>IF(ISNUMBER(SEARCH("Category",N375)),"- -",IF(ISNUMBER(SEARCH("Skills",N375)),"- -",'Level-up'!C393))</f>
        <v>- -</v>
      </c>
      <c r="S375" s="4" t="str">
        <f t="shared" si="176"/>
        <v>- -</v>
      </c>
      <c r="T375" s="4" t="str">
        <f t="shared" si="177"/>
        <v>- -</v>
      </c>
      <c r="U375" s="4" t="str">
        <f t="shared" ca="1" si="199"/>
        <v>- -</v>
      </c>
      <c r="V375" s="4" t="str">
        <f>IF(ISNUMBER(SEARCH("Category",N375)),"- -",IF(ISNUMBER(SEARCH("Skills",N375)),"- -",IF(AU375&gt;0,AU375,IF($AU$371&gt;0,$AU$371,$AU$369))))</f>
        <v>- -</v>
      </c>
      <c r="W375" s="4" t="str">
        <f t="shared" si="196"/>
        <v>- -</v>
      </c>
      <c r="X375" s="4" t="str">
        <f t="shared" si="194"/>
        <v>- -</v>
      </c>
      <c r="Y375" s="4" t="str">
        <f t="shared" si="178"/>
        <v>- -</v>
      </c>
      <c r="Z375" s="4" t="str">
        <f t="shared" si="179"/>
        <v>- -</v>
      </c>
      <c r="AA375" s="4" t="str">
        <f t="shared" si="180"/>
        <v>- -</v>
      </c>
      <c r="AB375" s="4" t="str">
        <f t="shared" si="181"/>
        <v>- -</v>
      </c>
      <c r="AC375" s="8"/>
      <c r="AD375" s="4"/>
      <c r="AE375" s="4"/>
      <c r="AF375" s="4" t="str">
        <f t="shared" si="185"/>
        <v>- -</v>
      </c>
      <c r="AG375" s="4"/>
      <c r="AH375" s="4">
        <f>IFERROR(VLOOKUP(M375,Calculations!$AC$2:$AD$251,2,FALSE),0)</f>
        <v>0</v>
      </c>
      <c r="AI375" s="4" t="e">
        <f>VLOOKUP(N375,$N$2:$AS$620,MATCH('Character Creation'!$Z$12,Skills!$N$1:$AS$1,0),FALSE)</f>
        <v>#N/A</v>
      </c>
      <c r="AJ375" s="4" t="e">
        <f>VLOOKUP($N375,[2]Cultures!$B$4:$M$283,MATCH(AJ$1,[2]Cultures!$B$3:$M$3,0),FALSE)</f>
        <v>#N/A</v>
      </c>
      <c r="AK375" s="4" t="e">
        <f>VLOOKUP($N375,[2]Cultures!$B$4:$M$283,MATCH(AK$1,[2]Cultures!$B$3:$M$3,0),FALSE)</f>
        <v>#N/A</v>
      </c>
      <c r="AL375" s="4" t="e">
        <f>VLOOKUP($N375,[2]Cultures!$B$4:$M$283,MATCH(AL$1,[2]Cultures!$B$3:$M$3,0),FALSE)</f>
        <v>#N/A</v>
      </c>
      <c r="AM375" s="4" t="e">
        <f>VLOOKUP($N375,[2]Cultures!$B$4:$M$283,MATCH(AM$1,[2]Cultures!$B$3:$M$3,0),FALSE)</f>
        <v>#N/A</v>
      </c>
      <c r="AN375" s="4" t="e">
        <f>VLOOKUP($N375,[2]Cultures!$B$4:$M$283,MATCH(AN$1,[2]Cultures!$B$3:$M$3,0),FALSE)</f>
        <v>#N/A</v>
      </c>
      <c r="AO375" s="4" t="e">
        <f>VLOOKUP($N375,[2]Cultures!$B$4:$M$283,MATCH(AO$1,[2]Cultures!$B$3:$M$3,0),FALSE)</f>
        <v>#N/A</v>
      </c>
      <c r="AP375" s="4" t="e">
        <f>VLOOKUP($N375,[2]Cultures!$B$4:$M$283,MATCH(AP$1,[2]Cultures!$B$3:$M$3,0),FALSE)</f>
        <v>#N/A</v>
      </c>
      <c r="AQ375" s="4" t="e">
        <f>VLOOKUP($N375,[2]Cultures!$B$4:$M$283,MATCH(AQ$1,[2]Cultures!$B$3:$M$3,0),FALSE)</f>
        <v>#N/A</v>
      </c>
      <c r="AR375" s="4" t="e">
        <f>VLOOKUP($N375,[2]Cultures!$B$4:$M$283,MATCH(AR$1,[2]Cultures!$B$3:$M$3,0),FALSE)</f>
        <v>#N/A</v>
      </c>
      <c r="AS375" s="4" t="e">
        <f>VLOOKUP($N375,[2]Cultures!$B$4:$M$283,MATCH(AS$1,[2]Cultures!$B$3:$M$3,0),FALSE)</f>
        <v>#N/A</v>
      </c>
      <c r="AT375" s="4"/>
      <c r="AU375" s="4">
        <f>IF(ISNUMBER(SEARCH(N375&amp;";",Calculations!$Q$19)),VLOOKUP(Skills!N375,Calculations!$Q$2:$T$16,4,FALSE),0)</f>
        <v>0</v>
      </c>
      <c r="AV375" s="4">
        <f>IF(ISNUMBER(SEARCH(N375&amp;";",Calculations!$Q$18)),1,0)</f>
        <v>0</v>
      </c>
      <c r="AW375" s="4"/>
      <c r="AX375" s="4">
        <f>VLOOKUP($N375,$N375:$CH375,MATCH('Character Sheet'!$BJ$3,Skills!$N$1:$CH$1,0),FALSE)</f>
        <v>0</v>
      </c>
    </row>
    <row r="376" spans="2:50" x14ac:dyDescent="0.25">
      <c r="B376" s="4" t="e">
        <f t="shared" si="190"/>
        <v>#N/A</v>
      </c>
      <c r="E376" s="4"/>
      <c r="F376" s="4">
        <f t="shared" si="174"/>
        <v>0</v>
      </c>
      <c r="G376" s="4"/>
      <c r="H376" s="4" t="e">
        <f t="shared" si="200"/>
        <v>#N/A</v>
      </c>
      <c r="I376" s="4" t="e">
        <f>IF($J$370=1,1,IF($J$375=1,1,0))</f>
        <v>#N/A</v>
      </c>
      <c r="J376" s="4">
        <f t="shared" si="175"/>
        <v>0</v>
      </c>
      <c r="K376" s="4" t="e">
        <f t="shared" si="201"/>
        <v>#N/A</v>
      </c>
      <c r="M376" t="str">
        <f>"Grace, "&amp;N376</f>
        <v>Grace, List 1</v>
      </c>
      <c r="N376" s="3" t="str">
        <f>'Character Sheet'!CHJ9</f>
        <v>List 1</v>
      </c>
      <c r="O376" s="6" t="s">
        <v>782</v>
      </c>
      <c r="P376" s="6" t="s">
        <v>782</v>
      </c>
      <c r="Q376" s="4" t="e">
        <f t="shared" si="197"/>
        <v>#N/A</v>
      </c>
      <c r="R376" s="4">
        <f>IF(ISNUMBER(SEARCH("Category",N376)),"- -",IF(ISNUMBER(SEARCH("Skills",N376)),"- -",'Level-up'!C394))</f>
        <v>0</v>
      </c>
      <c r="S376" s="4" t="e">
        <f t="shared" si="176"/>
        <v>#N/A</v>
      </c>
      <c r="T376" s="4" t="e">
        <f t="shared" si="177"/>
        <v>#N/A</v>
      </c>
      <c r="U376" s="4" t="str">
        <f t="shared" ca="1" si="199"/>
        <v>- -</v>
      </c>
      <c r="V376" s="4">
        <f t="shared" ref="V376:V382" si="202">IF(ISNUMBER(SEARCH("Category",N376)),"- -",IF(ISNUMBER(SEARCH("Skills",N376)),"- -",IF(AU376&gt;0,AU376,IF($AU$374&gt;0,$AU$374,$AU$369))))</f>
        <v>0</v>
      </c>
      <c r="W376" s="4">
        <f t="shared" si="196"/>
        <v>0</v>
      </c>
      <c r="X376" s="4">
        <f t="shared" si="194"/>
        <v>0</v>
      </c>
      <c r="Y376" s="4">
        <f t="shared" si="178"/>
        <v>0</v>
      </c>
      <c r="Z376" s="4">
        <f t="shared" si="179"/>
        <v>0</v>
      </c>
      <c r="AA376" s="4">
        <f t="shared" si="180"/>
        <v>0</v>
      </c>
      <c r="AB376" s="4">
        <f t="shared" si="181"/>
        <v>0</v>
      </c>
      <c r="AC376" s="8"/>
      <c r="AD376" s="4"/>
      <c r="AE376" s="4"/>
      <c r="AF376" s="4" t="e">
        <f t="shared" si="185"/>
        <v>#N/A</v>
      </c>
      <c r="AG376" s="4"/>
      <c r="AH376" s="4">
        <f>IFERROR(VLOOKUP(M376,Calculations!$AC$2:$AD$251,2,FALSE),0)</f>
        <v>0</v>
      </c>
      <c r="AI376" s="4" t="e">
        <f>VLOOKUP(N376,$N$2:$AS$620,MATCH('Character Creation'!$Z$12,Skills!$N$1:$AS$1,0),FALSE)</f>
        <v>#N/A</v>
      </c>
      <c r="AJ376" s="4" t="e">
        <f>VLOOKUP($N376,[2]Cultures!$B$4:$M$283,MATCH(AJ$1,[2]Cultures!$B$3:$M$3,0),FALSE)</f>
        <v>#N/A</v>
      </c>
      <c r="AK376" s="4" t="e">
        <f>VLOOKUP($N376,[2]Cultures!$B$4:$M$283,MATCH(AK$1,[2]Cultures!$B$3:$M$3,0),FALSE)</f>
        <v>#N/A</v>
      </c>
      <c r="AL376" s="4" t="e">
        <f>VLOOKUP($N376,[2]Cultures!$B$4:$M$283,MATCH(AL$1,[2]Cultures!$B$3:$M$3,0),FALSE)</f>
        <v>#N/A</v>
      </c>
      <c r="AM376" s="4" t="e">
        <f>VLOOKUP($N376,[2]Cultures!$B$4:$M$283,MATCH(AM$1,[2]Cultures!$B$3:$M$3,0),FALSE)</f>
        <v>#N/A</v>
      </c>
      <c r="AN376" s="4" t="e">
        <f>VLOOKUP($N376,[2]Cultures!$B$4:$M$283,MATCH(AN$1,[2]Cultures!$B$3:$M$3,0),FALSE)</f>
        <v>#N/A</v>
      </c>
      <c r="AO376" s="4" t="e">
        <f>VLOOKUP($N376,[2]Cultures!$B$4:$M$283,MATCH(AO$1,[2]Cultures!$B$3:$M$3,0),FALSE)</f>
        <v>#N/A</v>
      </c>
      <c r="AP376" s="4" t="e">
        <f>VLOOKUP($N376,[2]Cultures!$B$4:$M$283,MATCH(AP$1,[2]Cultures!$B$3:$M$3,0),FALSE)</f>
        <v>#N/A</v>
      </c>
      <c r="AQ376" s="4" t="e">
        <f>VLOOKUP($N376,[2]Cultures!$B$4:$M$283,MATCH(AQ$1,[2]Cultures!$B$3:$M$3,0),FALSE)</f>
        <v>#N/A</v>
      </c>
      <c r="AR376" s="4" t="e">
        <f>VLOOKUP($N376,[2]Cultures!$B$4:$M$283,MATCH(AR$1,[2]Cultures!$B$3:$M$3,0),FALSE)</f>
        <v>#N/A</v>
      </c>
      <c r="AS376" s="4" t="e">
        <f>VLOOKUP($N376,[2]Cultures!$B$4:$M$283,MATCH(AS$1,[2]Cultures!$B$3:$M$3,0),FALSE)</f>
        <v>#N/A</v>
      </c>
      <c r="AT376" s="4"/>
      <c r="AU376" s="4">
        <f>IF(ISNUMBER(SEARCH(N376&amp;";",Calculations!$Q$19)),VLOOKUP(Skills!N376,Calculations!$Q$2:$T$16,4,FALSE),0)</f>
        <v>0</v>
      </c>
      <c r="AV376" s="4">
        <f>IF(ISNUMBER(SEARCH(N376&amp;";",Calculations!$Q$18)),1,0)</f>
        <v>0</v>
      </c>
      <c r="AW376" s="4">
        <f>IF($AV$369=1,1,IF($AV$374=1,1,AV376))</f>
        <v>0</v>
      </c>
      <c r="AX376" s="4">
        <f>VLOOKUP($N376,$N376:$CH376,MATCH('Character Sheet'!$BJ$3,Skills!$N$1:$CH$1,0),FALSE)</f>
        <v>0</v>
      </c>
    </row>
    <row r="377" spans="2:50" x14ac:dyDescent="0.25">
      <c r="B377" s="4" t="e">
        <f t="shared" si="190"/>
        <v>#N/A</v>
      </c>
      <c r="E377" s="4"/>
      <c r="F377" s="4">
        <f t="shared" si="174"/>
        <v>0</v>
      </c>
      <c r="G377" s="4"/>
      <c r="H377" s="4" t="e">
        <f t="shared" si="200"/>
        <v>#N/A</v>
      </c>
      <c r="I377" s="4" t="e">
        <f>IF($J$370=1,1,IF($J$375=1,1,0))</f>
        <v>#N/A</v>
      </c>
      <c r="J377" s="4">
        <f t="shared" si="175"/>
        <v>0</v>
      </c>
      <c r="K377" s="4" t="e">
        <f t="shared" si="201"/>
        <v>#N/A</v>
      </c>
      <c r="M377" t="str">
        <f>"Grace, "&amp;N377</f>
        <v>Grace, List 2</v>
      </c>
      <c r="N377" s="3" t="str">
        <f>'Character Sheet'!CHJ10</f>
        <v>List 2</v>
      </c>
      <c r="O377" s="6" t="s">
        <v>782</v>
      </c>
      <c r="P377" s="6" t="s">
        <v>782</v>
      </c>
      <c r="Q377" s="4" t="e">
        <f t="shared" si="197"/>
        <v>#N/A</v>
      </c>
      <c r="R377" s="4">
        <f>IF(ISNUMBER(SEARCH("Category",N377)),"- -",IF(ISNUMBER(SEARCH("Skills",N377)),"- -",'Level-up'!C395))</f>
        <v>0</v>
      </c>
      <c r="S377" s="4" t="e">
        <f t="shared" si="176"/>
        <v>#N/A</v>
      </c>
      <c r="T377" s="4" t="e">
        <f t="shared" si="177"/>
        <v>#N/A</v>
      </c>
      <c r="U377" s="4" t="str">
        <f t="shared" ca="1" si="199"/>
        <v>- -</v>
      </c>
      <c r="V377" s="4">
        <f t="shared" si="202"/>
        <v>0</v>
      </c>
      <c r="W377" s="4">
        <f t="shared" si="196"/>
        <v>0</v>
      </c>
      <c r="X377" s="4">
        <f t="shared" si="194"/>
        <v>0</v>
      </c>
      <c r="Y377" s="4">
        <f t="shared" si="178"/>
        <v>0</v>
      </c>
      <c r="Z377" s="4">
        <f t="shared" si="179"/>
        <v>0</v>
      </c>
      <c r="AA377" s="4">
        <f t="shared" si="180"/>
        <v>0</v>
      </c>
      <c r="AB377" s="4">
        <f t="shared" si="181"/>
        <v>0</v>
      </c>
      <c r="AC377" s="8"/>
      <c r="AD377" s="4"/>
      <c r="AE377" s="4"/>
      <c r="AF377" s="4" t="e">
        <f t="shared" si="185"/>
        <v>#N/A</v>
      </c>
      <c r="AG377" s="4"/>
      <c r="AH377" s="4">
        <f>IFERROR(VLOOKUP(M377,Calculations!$AC$2:$AD$251,2,FALSE),0)</f>
        <v>0</v>
      </c>
      <c r="AI377" s="4" t="e">
        <f>VLOOKUP(N377,$N$2:$AS$620,MATCH('Character Creation'!$Z$12,Skills!$N$1:$AS$1,0),FALSE)</f>
        <v>#N/A</v>
      </c>
      <c r="AJ377" s="4" t="e">
        <f>VLOOKUP($N377,[2]Cultures!$B$4:$M$283,MATCH(AJ$1,[2]Cultures!$B$3:$M$3,0),FALSE)</f>
        <v>#N/A</v>
      </c>
      <c r="AK377" s="4" t="e">
        <f>VLOOKUP($N377,[2]Cultures!$B$4:$M$283,MATCH(AK$1,[2]Cultures!$B$3:$M$3,0),FALSE)</f>
        <v>#N/A</v>
      </c>
      <c r="AL377" s="4" t="e">
        <f>VLOOKUP($N377,[2]Cultures!$B$4:$M$283,MATCH(AL$1,[2]Cultures!$B$3:$M$3,0),FALSE)</f>
        <v>#N/A</v>
      </c>
      <c r="AM377" s="4" t="e">
        <f>VLOOKUP($N377,[2]Cultures!$B$4:$M$283,MATCH(AM$1,[2]Cultures!$B$3:$M$3,0),FALSE)</f>
        <v>#N/A</v>
      </c>
      <c r="AN377" s="4" t="e">
        <f>VLOOKUP($N377,[2]Cultures!$B$4:$M$283,MATCH(AN$1,[2]Cultures!$B$3:$M$3,0),FALSE)</f>
        <v>#N/A</v>
      </c>
      <c r="AO377" s="4" t="e">
        <f>VLOOKUP($N377,[2]Cultures!$B$4:$M$283,MATCH(AO$1,[2]Cultures!$B$3:$M$3,0),FALSE)</f>
        <v>#N/A</v>
      </c>
      <c r="AP377" s="4" t="e">
        <f>VLOOKUP($N377,[2]Cultures!$B$4:$M$283,MATCH(AP$1,[2]Cultures!$B$3:$M$3,0),FALSE)</f>
        <v>#N/A</v>
      </c>
      <c r="AQ377" s="4" t="e">
        <f>VLOOKUP($N377,[2]Cultures!$B$4:$M$283,MATCH(AQ$1,[2]Cultures!$B$3:$M$3,0),FALSE)</f>
        <v>#N/A</v>
      </c>
      <c r="AR377" s="4" t="e">
        <f>VLOOKUP($N377,[2]Cultures!$B$4:$M$283,MATCH(AR$1,[2]Cultures!$B$3:$M$3,0),FALSE)</f>
        <v>#N/A</v>
      </c>
      <c r="AS377" s="4" t="e">
        <f>VLOOKUP($N377,[2]Cultures!$B$4:$M$283,MATCH(AS$1,[2]Cultures!$B$3:$M$3,0),FALSE)</f>
        <v>#N/A</v>
      </c>
      <c r="AT377" s="4"/>
      <c r="AU377" s="4">
        <f>IF(ISNUMBER(SEARCH(N377&amp;";",Calculations!$Q$19)),VLOOKUP(Skills!N377,Calculations!$Q$2:$T$16,4,FALSE),0)</f>
        <v>0</v>
      </c>
      <c r="AV377" s="4">
        <f>IF(ISNUMBER(SEARCH(N377&amp;";",Calculations!$Q$18)),1,0)</f>
        <v>0</v>
      </c>
      <c r="AW377" s="4">
        <f>IF($AV$369=1,1,IF($AV$374=1,1,AV377))</f>
        <v>0</v>
      </c>
      <c r="AX377" s="4">
        <f>VLOOKUP($N377,$N377:$CH377,MATCH('Character Sheet'!$BJ$3,Skills!$N$1:$CH$1,0),FALSE)</f>
        <v>0</v>
      </c>
    </row>
    <row r="378" spans="2:50" x14ac:dyDescent="0.25">
      <c r="B378" s="4" t="e">
        <f t="shared" si="190"/>
        <v>#N/A</v>
      </c>
      <c r="E378" s="4"/>
      <c r="F378" s="4">
        <f t="shared" si="174"/>
        <v>0</v>
      </c>
      <c r="G378" s="4"/>
      <c r="H378" s="4" t="e">
        <f t="shared" si="200"/>
        <v>#N/A</v>
      </c>
      <c r="I378" s="4" t="e">
        <f>IF($J$370=1,1,IF($J$375=1,1,0))</f>
        <v>#N/A</v>
      </c>
      <c r="J378" s="4">
        <f t="shared" si="175"/>
        <v>0</v>
      </c>
      <c r="K378" s="4" t="e">
        <f t="shared" si="201"/>
        <v>#N/A</v>
      </c>
      <c r="M378" t="str">
        <f>"Grace, "&amp;N378</f>
        <v>Grace, List 3</v>
      </c>
      <c r="N378" s="3" t="str">
        <f>'Character Sheet'!CHJ11</f>
        <v>List 3</v>
      </c>
      <c r="O378" s="6" t="s">
        <v>782</v>
      </c>
      <c r="P378" s="6" t="s">
        <v>782</v>
      </c>
      <c r="Q378" s="4" t="e">
        <f t="shared" si="197"/>
        <v>#N/A</v>
      </c>
      <c r="R378" s="4">
        <f>IF(ISNUMBER(SEARCH("Category",N378)),"- -",IF(ISNUMBER(SEARCH("Skills",N378)),"- -",'Level-up'!C396))</f>
        <v>0</v>
      </c>
      <c r="S378" s="4" t="e">
        <f t="shared" si="176"/>
        <v>#N/A</v>
      </c>
      <c r="T378" s="4" t="e">
        <f t="shared" si="177"/>
        <v>#N/A</v>
      </c>
      <c r="U378" s="4" t="str">
        <f t="shared" ca="1" si="199"/>
        <v>- -</v>
      </c>
      <c r="V378" s="4">
        <f t="shared" si="202"/>
        <v>0</v>
      </c>
      <c r="W378" s="4">
        <f t="shared" si="196"/>
        <v>0</v>
      </c>
      <c r="X378" s="4">
        <f t="shared" si="194"/>
        <v>0</v>
      </c>
      <c r="Y378" s="4">
        <f t="shared" si="178"/>
        <v>0</v>
      </c>
      <c r="Z378" s="4">
        <f t="shared" si="179"/>
        <v>0</v>
      </c>
      <c r="AA378" s="4">
        <f t="shared" si="180"/>
        <v>0</v>
      </c>
      <c r="AB378" s="4">
        <f t="shared" si="181"/>
        <v>0</v>
      </c>
      <c r="AC378" s="8"/>
      <c r="AD378" s="4"/>
      <c r="AE378" s="4"/>
      <c r="AF378" s="4" t="e">
        <f t="shared" si="185"/>
        <v>#N/A</v>
      </c>
      <c r="AG378" s="4"/>
      <c r="AH378" s="4">
        <f>IFERROR(VLOOKUP(M378,Calculations!$AC$2:$AD$251,2,FALSE),0)</f>
        <v>0</v>
      </c>
      <c r="AI378" s="4" t="e">
        <f>VLOOKUP(N378,$N$2:$AS$620,MATCH('Character Creation'!$Z$12,Skills!$N$1:$AS$1,0),FALSE)</f>
        <v>#N/A</v>
      </c>
      <c r="AJ378" s="4" t="e">
        <f>VLOOKUP($N378,[2]Cultures!$B$4:$M$283,MATCH(AJ$1,[2]Cultures!$B$3:$M$3,0),FALSE)</f>
        <v>#N/A</v>
      </c>
      <c r="AK378" s="4" t="e">
        <f>VLOOKUP($N378,[2]Cultures!$B$4:$M$283,MATCH(AK$1,[2]Cultures!$B$3:$M$3,0),FALSE)</f>
        <v>#N/A</v>
      </c>
      <c r="AL378" s="4" t="e">
        <f>VLOOKUP($N378,[2]Cultures!$B$4:$M$283,MATCH(AL$1,[2]Cultures!$B$3:$M$3,0),FALSE)</f>
        <v>#N/A</v>
      </c>
      <c r="AM378" s="4" t="e">
        <f>VLOOKUP($N378,[2]Cultures!$B$4:$M$283,MATCH(AM$1,[2]Cultures!$B$3:$M$3,0),FALSE)</f>
        <v>#N/A</v>
      </c>
      <c r="AN378" s="4" t="e">
        <f>VLOOKUP($N378,[2]Cultures!$B$4:$M$283,MATCH(AN$1,[2]Cultures!$B$3:$M$3,0),FALSE)</f>
        <v>#N/A</v>
      </c>
      <c r="AO378" s="4" t="e">
        <f>VLOOKUP($N378,[2]Cultures!$B$4:$M$283,MATCH(AO$1,[2]Cultures!$B$3:$M$3,0),FALSE)</f>
        <v>#N/A</v>
      </c>
      <c r="AP378" s="4" t="e">
        <f>VLOOKUP($N378,[2]Cultures!$B$4:$M$283,MATCH(AP$1,[2]Cultures!$B$3:$M$3,0),FALSE)</f>
        <v>#N/A</v>
      </c>
      <c r="AQ378" s="4" t="e">
        <f>VLOOKUP($N378,[2]Cultures!$B$4:$M$283,MATCH(AQ$1,[2]Cultures!$B$3:$M$3,0),FALSE)</f>
        <v>#N/A</v>
      </c>
      <c r="AR378" s="4" t="e">
        <f>VLOOKUP($N378,[2]Cultures!$B$4:$M$283,MATCH(AR$1,[2]Cultures!$B$3:$M$3,0),FALSE)</f>
        <v>#N/A</v>
      </c>
      <c r="AS378" s="4" t="e">
        <f>VLOOKUP($N378,[2]Cultures!$B$4:$M$283,MATCH(AS$1,[2]Cultures!$B$3:$M$3,0),FALSE)</f>
        <v>#N/A</v>
      </c>
      <c r="AT378" s="4"/>
      <c r="AU378" s="4">
        <f>IF(ISNUMBER(SEARCH(N378&amp;";",Calculations!$Q$19)),VLOOKUP(Skills!N378,Calculations!$Q$2:$T$16,4,FALSE),0)</f>
        <v>0</v>
      </c>
      <c r="AV378" s="4">
        <f>IF(ISNUMBER(SEARCH(N378&amp;";",Calculations!$Q$18)),1,0)</f>
        <v>0</v>
      </c>
      <c r="AW378" s="4">
        <f>IF($AV$369=1,1,IF($AV$374=1,1,AV378))</f>
        <v>0</v>
      </c>
      <c r="AX378" s="4">
        <f>VLOOKUP($N378,$N378:$CH378,MATCH('Character Sheet'!$BJ$3,Skills!$N$1:$CH$1,0),FALSE)</f>
        <v>0</v>
      </c>
    </row>
    <row r="379" spans="2:50" x14ac:dyDescent="0.25">
      <c r="B379" s="4" t="e">
        <f t="shared" si="190"/>
        <v>#N/A</v>
      </c>
      <c r="E379" s="4"/>
      <c r="F379" s="4">
        <f t="shared" si="174"/>
        <v>0</v>
      </c>
      <c r="G379" s="4"/>
      <c r="H379" s="4" t="e">
        <f t="shared" si="200"/>
        <v>#N/A</v>
      </c>
      <c r="I379" s="4" t="e">
        <f>IF($J$370=1,1,IF($J$375=1,1,0))</f>
        <v>#N/A</v>
      </c>
      <c r="J379" s="4">
        <f t="shared" si="175"/>
        <v>0</v>
      </c>
      <c r="K379" s="4" t="e">
        <f t="shared" si="201"/>
        <v>#N/A</v>
      </c>
      <c r="M379" t="str">
        <f>"Grace, "&amp;N379</f>
        <v>Grace, 0</v>
      </c>
      <c r="N379" s="3">
        <f>'Character Sheet'!CHJ12</f>
        <v>0</v>
      </c>
      <c r="O379" s="6" t="s">
        <v>782</v>
      </c>
      <c r="P379" s="6" t="s">
        <v>782</v>
      </c>
      <c r="Q379" s="4" t="e">
        <f t="shared" si="197"/>
        <v>#N/A</v>
      </c>
      <c r="R379" s="4">
        <f>IF(ISNUMBER(SEARCH("Category",N379)),"- -",IF(ISNUMBER(SEARCH("Skills",N379)),"- -",'Level-up'!C397))</f>
        <v>0</v>
      </c>
      <c r="S379" s="4" t="e">
        <f t="shared" si="176"/>
        <v>#N/A</v>
      </c>
      <c r="T379" s="4" t="e">
        <f t="shared" si="177"/>
        <v>#N/A</v>
      </c>
      <c r="U379" s="4" t="str">
        <f t="shared" ca="1" si="199"/>
        <v>- -</v>
      </c>
      <c r="V379" s="4">
        <f t="shared" si="202"/>
        <v>0</v>
      </c>
      <c r="W379" s="4">
        <f t="shared" si="196"/>
        <v>0</v>
      </c>
      <c r="X379" s="4">
        <f t="shared" si="194"/>
        <v>0</v>
      </c>
      <c r="Y379" s="4">
        <f t="shared" si="178"/>
        <v>0</v>
      </c>
      <c r="Z379" s="4">
        <f t="shared" si="179"/>
        <v>0</v>
      </c>
      <c r="AA379" s="4">
        <f t="shared" si="180"/>
        <v>0</v>
      </c>
      <c r="AB379" s="4">
        <f t="shared" si="181"/>
        <v>0</v>
      </c>
      <c r="AC379" s="8"/>
      <c r="AD379" s="4"/>
      <c r="AE379" s="4"/>
      <c r="AF379" s="4" t="e">
        <f t="shared" si="185"/>
        <v>#N/A</v>
      </c>
      <c r="AG379" s="4"/>
      <c r="AH379" s="4">
        <f>IFERROR(VLOOKUP(M379,Calculations!$AC$2:$AD$251,2,FALSE),0)</f>
        <v>0</v>
      </c>
      <c r="AI379" s="4" t="e">
        <f>VLOOKUP(N379,$N$2:$AS$620,MATCH('Character Creation'!$Z$12,Skills!$N$1:$AS$1,0),FALSE)</f>
        <v>#N/A</v>
      </c>
      <c r="AJ379" s="4" t="e">
        <f>VLOOKUP($N379,[2]Cultures!$B$4:$M$283,MATCH(AJ$1,[2]Cultures!$B$3:$M$3,0),FALSE)</f>
        <v>#N/A</v>
      </c>
      <c r="AK379" s="4" t="e">
        <f>VLOOKUP($N379,[2]Cultures!$B$4:$M$283,MATCH(AK$1,[2]Cultures!$B$3:$M$3,0),FALSE)</f>
        <v>#N/A</v>
      </c>
      <c r="AL379" s="4" t="e">
        <f>VLOOKUP($N379,[2]Cultures!$B$4:$M$283,MATCH(AL$1,[2]Cultures!$B$3:$M$3,0),FALSE)</f>
        <v>#N/A</v>
      </c>
      <c r="AM379" s="4" t="e">
        <f>VLOOKUP($N379,[2]Cultures!$B$4:$M$283,MATCH(AM$1,[2]Cultures!$B$3:$M$3,0),FALSE)</f>
        <v>#N/A</v>
      </c>
      <c r="AN379" s="4" t="e">
        <f>VLOOKUP($N379,[2]Cultures!$B$4:$M$283,MATCH(AN$1,[2]Cultures!$B$3:$M$3,0),FALSE)</f>
        <v>#N/A</v>
      </c>
      <c r="AO379" s="4" t="e">
        <f>VLOOKUP($N379,[2]Cultures!$B$4:$M$283,MATCH(AO$1,[2]Cultures!$B$3:$M$3,0),FALSE)</f>
        <v>#N/A</v>
      </c>
      <c r="AP379" s="4" t="e">
        <f>VLOOKUP($N379,[2]Cultures!$B$4:$M$283,MATCH(AP$1,[2]Cultures!$B$3:$M$3,0),FALSE)</f>
        <v>#N/A</v>
      </c>
      <c r="AQ379" s="4" t="e">
        <f>VLOOKUP($N379,[2]Cultures!$B$4:$M$283,MATCH(AQ$1,[2]Cultures!$B$3:$M$3,0),FALSE)</f>
        <v>#N/A</v>
      </c>
      <c r="AR379" s="4" t="e">
        <f>VLOOKUP($N379,[2]Cultures!$B$4:$M$283,MATCH(AR$1,[2]Cultures!$B$3:$M$3,0),FALSE)</f>
        <v>#N/A</v>
      </c>
      <c r="AS379" s="4" t="e">
        <f>VLOOKUP($N379,[2]Cultures!$B$4:$M$283,MATCH(AS$1,[2]Cultures!$B$3:$M$3,0),FALSE)</f>
        <v>#N/A</v>
      </c>
      <c r="AT379" s="4"/>
      <c r="AU379" s="4">
        <f>IF(ISNUMBER(SEARCH(N379&amp;";",Calculations!$Q$19)),VLOOKUP(Skills!N379,Calculations!$Q$2:$T$16,4,FALSE),0)</f>
        <v>0</v>
      </c>
      <c r="AV379" s="4">
        <f>IF(ISNUMBER(SEARCH(N379&amp;";",Calculations!$Q$18)),1,0)</f>
        <v>0</v>
      </c>
      <c r="AW379" s="4">
        <f>IF($AV$369=1,1,IF($AV$374=1,1,AV379))</f>
        <v>0</v>
      </c>
      <c r="AX379" s="4">
        <f>VLOOKUP($N379,$N379:$CH379,MATCH('Character Sheet'!$BJ$3,Skills!$N$1:$CH$1,0),FALSE)</f>
        <v>0</v>
      </c>
    </row>
    <row r="380" spans="2:50" x14ac:dyDescent="0.25">
      <c r="B380" s="4" t="e">
        <f t="shared" si="190"/>
        <v>#N/A</v>
      </c>
      <c r="E380" s="4"/>
      <c r="F380" s="4">
        <f t="shared" si="174"/>
        <v>0</v>
      </c>
      <c r="G380" s="4"/>
      <c r="H380" s="4" t="e">
        <f t="shared" si="200"/>
        <v>#N/A</v>
      </c>
      <c r="I380" s="4" t="e">
        <f>IF($J$370=1,1,IF($J$375=1,1,0))</f>
        <v>#N/A</v>
      </c>
      <c r="J380" s="4">
        <f t="shared" si="175"/>
        <v>0</v>
      </c>
      <c r="K380" s="4" t="e">
        <f t="shared" si="201"/>
        <v>#N/A</v>
      </c>
      <c r="M380" t="str">
        <f>"Grace, "&amp;N380</f>
        <v>Grace, 0</v>
      </c>
      <c r="N380" s="3">
        <f>'Character Sheet'!CHJ13</f>
        <v>0</v>
      </c>
      <c r="O380" s="6" t="s">
        <v>782</v>
      </c>
      <c r="P380" s="6" t="s">
        <v>782</v>
      </c>
      <c r="Q380" s="4" t="e">
        <f t="shared" si="197"/>
        <v>#N/A</v>
      </c>
      <c r="R380" s="4">
        <f>IF(ISNUMBER(SEARCH("Category",N380)),"- -",IF(ISNUMBER(SEARCH("Skills",N380)),"- -",'Level-up'!C398))</f>
        <v>0</v>
      </c>
      <c r="S380" s="4" t="e">
        <f t="shared" si="176"/>
        <v>#N/A</v>
      </c>
      <c r="T380" s="4" t="e">
        <f t="shared" si="177"/>
        <v>#N/A</v>
      </c>
      <c r="U380" s="4" t="str">
        <f t="shared" ca="1" si="199"/>
        <v>- -</v>
      </c>
      <c r="V380" s="4">
        <f t="shared" si="202"/>
        <v>0</v>
      </c>
      <c r="W380" s="4">
        <f t="shared" si="196"/>
        <v>0</v>
      </c>
      <c r="X380" s="4">
        <f t="shared" si="194"/>
        <v>0</v>
      </c>
      <c r="Y380" s="4">
        <f t="shared" si="178"/>
        <v>0</v>
      </c>
      <c r="Z380" s="4">
        <f t="shared" si="179"/>
        <v>0</v>
      </c>
      <c r="AA380" s="4">
        <f t="shared" si="180"/>
        <v>0</v>
      </c>
      <c r="AB380" s="4">
        <f t="shared" si="181"/>
        <v>0</v>
      </c>
      <c r="AC380" s="8"/>
      <c r="AD380" s="4"/>
      <c r="AE380" s="4"/>
      <c r="AF380" s="4" t="e">
        <f t="shared" si="185"/>
        <v>#N/A</v>
      </c>
      <c r="AG380" s="4"/>
      <c r="AH380" s="4">
        <f>IFERROR(VLOOKUP(M380,Calculations!$AC$2:$AD$251,2,FALSE),0)</f>
        <v>0</v>
      </c>
      <c r="AI380" s="4" t="e">
        <f>VLOOKUP(N380,$N$2:$AS$620,MATCH('Character Creation'!$Z$12,Skills!$N$1:$AS$1,0),FALSE)</f>
        <v>#N/A</v>
      </c>
      <c r="AJ380" s="4" t="e">
        <f>VLOOKUP($N380,[2]Cultures!$B$4:$M$283,MATCH(AJ$1,[2]Cultures!$B$3:$M$3,0),FALSE)</f>
        <v>#N/A</v>
      </c>
      <c r="AK380" s="4" t="e">
        <f>VLOOKUP($N380,[2]Cultures!$B$4:$M$283,MATCH(AK$1,[2]Cultures!$B$3:$M$3,0),FALSE)</f>
        <v>#N/A</v>
      </c>
      <c r="AL380" s="4" t="e">
        <f>VLOOKUP($N380,[2]Cultures!$B$4:$M$283,MATCH(AL$1,[2]Cultures!$B$3:$M$3,0),FALSE)</f>
        <v>#N/A</v>
      </c>
      <c r="AM380" s="4" t="e">
        <f>VLOOKUP($N380,[2]Cultures!$B$4:$M$283,MATCH(AM$1,[2]Cultures!$B$3:$M$3,0),FALSE)</f>
        <v>#N/A</v>
      </c>
      <c r="AN380" s="4" t="e">
        <f>VLOOKUP($N380,[2]Cultures!$B$4:$M$283,MATCH(AN$1,[2]Cultures!$B$3:$M$3,0),FALSE)</f>
        <v>#N/A</v>
      </c>
      <c r="AO380" s="4" t="e">
        <f>VLOOKUP($N380,[2]Cultures!$B$4:$M$283,MATCH(AO$1,[2]Cultures!$B$3:$M$3,0),FALSE)</f>
        <v>#N/A</v>
      </c>
      <c r="AP380" s="4" t="e">
        <f>VLOOKUP($N380,[2]Cultures!$B$4:$M$283,MATCH(AP$1,[2]Cultures!$B$3:$M$3,0),FALSE)</f>
        <v>#N/A</v>
      </c>
      <c r="AQ380" s="4" t="e">
        <f>VLOOKUP($N380,[2]Cultures!$B$4:$M$283,MATCH(AQ$1,[2]Cultures!$B$3:$M$3,0),FALSE)</f>
        <v>#N/A</v>
      </c>
      <c r="AR380" s="4" t="e">
        <f>VLOOKUP($N380,[2]Cultures!$B$4:$M$283,MATCH(AR$1,[2]Cultures!$B$3:$M$3,0),FALSE)</f>
        <v>#N/A</v>
      </c>
      <c r="AS380" s="4" t="e">
        <f>VLOOKUP($N380,[2]Cultures!$B$4:$M$283,MATCH(AS$1,[2]Cultures!$B$3:$M$3,0),FALSE)</f>
        <v>#N/A</v>
      </c>
      <c r="AT380" s="4"/>
      <c r="AU380" s="4">
        <f>IF(ISNUMBER(SEARCH(N380&amp;";",Calculations!$Q$19)),VLOOKUP(Skills!N380,Calculations!$Q$2:$T$16,4,FALSE),0)</f>
        <v>0</v>
      </c>
      <c r="AV380" s="4">
        <f>IF(ISNUMBER(SEARCH(N380&amp;";",Calculations!$Q$18)),1,0)</f>
        <v>0</v>
      </c>
      <c r="AW380" s="4">
        <f>IF($AV$369=1,1,IF($AV$374=1,1,AV380))</f>
        <v>0</v>
      </c>
      <c r="AX380" s="4">
        <f>VLOOKUP($N380,$N380:$CH380,MATCH('Character Sheet'!$BJ$3,Skills!$N$1:$CH$1,0),FALSE)</f>
        <v>0</v>
      </c>
    </row>
    <row r="381" spans="2:50" x14ac:dyDescent="0.25">
      <c r="B381" s="4" t="e">
        <f t="shared" si="190"/>
        <v>#N/A</v>
      </c>
      <c r="E381" s="4"/>
      <c r="F381" s="4">
        <f t="shared" si="174"/>
        <v>0</v>
      </c>
      <c r="G381" s="4"/>
      <c r="H381" s="4" t="e">
        <f t="shared" si="200"/>
        <v>#N/A</v>
      </c>
      <c r="I381" s="4" t="e">
        <f>IF($J$370=1,1,IF($J$382=1,1,0))</f>
        <v>#N/A</v>
      </c>
      <c r="J381" s="4">
        <f t="shared" si="175"/>
        <v>0</v>
      </c>
      <c r="K381" s="4" t="e">
        <f t="shared" si="201"/>
        <v>#N/A</v>
      </c>
      <c r="N381" s="3" t="s">
        <v>776</v>
      </c>
      <c r="O381" s="6" t="s">
        <v>782</v>
      </c>
      <c r="P381" s="6" t="s">
        <v>782</v>
      </c>
      <c r="Q381" s="4" t="str">
        <f t="shared" si="197"/>
        <v>- -</v>
      </c>
      <c r="R381" s="4" t="str">
        <f>IF(ISNUMBER(SEARCH("Category",N381)),"- -",IF(ISNUMBER(SEARCH("Skills",N381)),"- -",'Level-up'!C399))</f>
        <v>- -</v>
      </c>
      <c r="S381" s="4" t="str">
        <f t="shared" si="176"/>
        <v>- -</v>
      </c>
      <c r="T381" s="4" t="str">
        <f t="shared" si="177"/>
        <v>- -</v>
      </c>
      <c r="U381" s="4" t="str">
        <f t="shared" ca="1" si="199"/>
        <v>- -</v>
      </c>
      <c r="V381" s="4" t="str">
        <f t="shared" si="202"/>
        <v>- -</v>
      </c>
      <c r="W381" s="4" t="str">
        <f t="shared" si="196"/>
        <v>- -</v>
      </c>
      <c r="X381" s="4" t="str">
        <f t="shared" si="194"/>
        <v>- -</v>
      </c>
      <c r="Y381" s="4" t="str">
        <f t="shared" si="178"/>
        <v>- -</v>
      </c>
      <c r="Z381" s="4" t="str">
        <f t="shared" si="179"/>
        <v>- -</v>
      </c>
      <c r="AA381" s="4" t="str">
        <f t="shared" si="180"/>
        <v>- -</v>
      </c>
      <c r="AB381" s="4" t="str">
        <f t="shared" si="181"/>
        <v>- -</v>
      </c>
      <c r="AC381" s="8"/>
      <c r="AD381" s="4"/>
      <c r="AE381" s="4"/>
      <c r="AF381" s="4" t="str">
        <f t="shared" si="185"/>
        <v>- -</v>
      </c>
      <c r="AG381" s="4"/>
      <c r="AH381" s="4">
        <f>IFERROR(VLOOKUP(M381,Calculations!$AC$2:$AD$251,2,FALSE),0)</f>
        <v>0</v>
      </c>
      <c r="AI381" s="4" t="e">
        <f>VLOOKUP(N381,$N$2:$AS$620,MATCH('Character Creation'!$Z$12,Skills!$N$1:$AS$1,0),FALSE)</f>
        <v>#N/A</v>
      </c>
      <c r="AJ381" s="4" t="e">
        <f>VLOOKUP($N381,[2]Cultures!$B$4:$M$283,MATCH(AJ$1,[2]Cultures!$B$3:$M$3,0),FALSE)</f>
        <v>#N/A</v>
      </c>
      <c r="AK381" s="4" t="e">
        <f>VLOOKUP($N381,[2]Cultures!$B$4:$M$283,MATCH(AK$1,[2]Cultures!$B$3:$M$3,0),FALSE)</f>
        <v>#N/A</v>
      </c>
      <c r="AL381" s="4" t="e">
        <f>VLOOKUP($N381,[2]Cultures!$B$4:$M$283,MATCH(AL$1,[2]Cultures!$B$3:$M$3,0),FALSE)</f>
        <v>#N/A</v>
      </c>
      <c r="AM381" s="4" t="e">
        <f>VLOOKUP($N381,[2]Cultures!$B$4:$M$283,MATCH(AM$1,[2]Cultures!$B$3:$M$3,0),FALSE)</f>
        <v>#N/A</v>
      </c>
      <c r="AN381" s="4" t="e">
        <f>VLOOKUP($N381,[2]Cultures!$B$4:$M$283,MATCH(AN$1,[2]Cultures!$B$3:$M$3,0),FALSE)</f>
        <v>#N/A</v>
      </c>
      <c r="AO381" s="4" t="e">
        <f>VLOOKUP($N381,[2]Cultures!$B$4:$M$283,MATCH(AO$1,[2]Cultures!$B$3:$M$3,0),FALSE)</f>
        <v>#N/A</v>
      </c>
      <c r="AP381" s="4" t="e">
        <f>VLOOKUP($N381,[2]Cultures!$B$4:$M$283,MATCH(AP$1,[2]Cultures!$B$3:$M$3,0),FALSE)</f>
        <v>#N/A</v>
      </c>
      <c r="AQ381" s="4" t="e">
        <f>VLOOKUP($N381,[2]Cultures!$B$4:$M$283,MATCH(AQ$1,[2]Cultures!$B$3:$M$3,0),FALSE)</f>
        <v>#N/A</v>
      </c>
      <c r="AR381" s="4" t="e">
        <f>VLOOKUP($N381,[2]Cultures!$B$4:$M$283,MATCH(AR$1,[2]Cultures!$B$3:$M$3,0),FALSE)</f>
        <v>#N/A</v>
      </c>
      <c r="AS381" s="4" t="e">
        <f>VLOOKUP($N381,[2]Cultures!$B$4:$M$283,MATCH(AS$1,[2]Cultures!$B$3:$M$3,0),FALSE)</f>
        <v>#N/A</v>
      </c>
      <c r="AT381" s="4"/>
      <c r="AU381" s="4">
        <f>IF(ISNUMBER(SEARCH(N381&amp;";",Calculations!$Q$19)),VLOOKUP(Skills!N381,Calculations!$Q$2:$T$16,4,FALSE),0)</f>
        <v>0</v>
      </c>
      <c r="AV381" s="4">
        <f>IF(ISNUMBER(SEARCH(N381&amp;";",Calculations!$Q$18)),1,0)</f>
        <v>0</v>
      </c>
      <c r="AW381" s="4"/>
      <c r="AX381" s="4">
        <f>VLOOKUP($N381,$N381:$CH381,MATCH('Character Sheet'!$BJ$3,Skills!$N$1:$CH$1,0),FALSE)</f>
        <v>0</v>
      </c>
    </row>
    <row r="382" spans="2:50" x14ac:dyDescent="0.25">
      <c r="B382" s="4" t="e">
        <f t="shared" si="190"/>
        <v>#N/A</v>
      </c>
      <c r="E382" s="4"/>
      <c r="F382" s="4">
        <f t="shared" si="174"/>
        <v>0</v>
      </c>
      <c r="G382" s="4"/>
      <c r="H382" s="4" t="e">
        <f t="shared" si="200"/>
        <v>#N/A</v>
      </c>
      <c r="I382" s="4">
        <v>0</v>
      </c>
      <c r="J382" s="4" t="e">
        <f t="shared" si="175"/>
        <v>#N/A</v>
      </c>
      <c r="K382" s="4" t="e">
        <f t="shared" si="201"/>
        <v>#N/A</v>
      </c>
      <c r="N382" s="3" t="s">
        <v>777</v>
      </c>
      <c r="O382" s="6" t="s">
        <v>782</v>
      </c>
      <c r="P382" s="6" t="s">
        <v>782</v>
      </c>
      <c r="Q382" s="4" t="str">
        <f t="shared" si="197"/>
        <v>- -</v>
      </c>
      <c r="R382" s="4" t="str">
        <f>IF(ISNUMBER(SEARCH("Category",N382)),"- -",IF(ISNUMBER(SEARCH("Skills",N382)),"- -",'Level-up'!C400))</f>
        <v>- -</v>
      </c>
      <c r="S382" s="4" t="str">
        <f t="shared" si="176"/>
        <v>- -</v>
      </c>
      <c r="T382" s="4" t="str">
        <f t="shared" si="177"/>
        <v>- -</v>
      </c>
      <c r="U382" s="4" t="str">
        <f t="shared" ca="1" si="199"/>
        <v>- -</v>
      </c>
      <c r="V382" s="4" t="str">
        <f t="shared" si="202"/>
        <v>- -</v>
      </c>
      <c r="W382" s="4" t="str">
        <f t="shared" si="196"/>
        <v>- -</v>
      </c>
      <c r="X382" s="4" t="str">
        <f t="shared" si="194"/>
        <v>- -</v>
      </c>
      <c r="Y382" s="4" t="str">
        <f t="shared" si="178"/>
        <v>- -</v>
      </c>
      <c r="Z382" s="4" t="str">
        <f t="shared" si="179"/>
        <v>- -</v>
      </c>
      <c r="AA382" s="4" t="str">
        <f t="shared" si="180"/>
        <v>- -</v>
      </c>
      <c r="AB382" s="4" t="str">
        <f t="shared" si="181"/>
        <v>- -</v>
      </c>
      <c r="AC382" s="8"/>
      <c r="AD382" s="4"/>
      <c r="AE382" s="4"/>
      <c r="AF382" s="4" t="str">
        <f t="shared" si="185"/>
        <v>- -</v>
      </c>
      <c r="AG382" s="4"/>
      <c r="AH382" s="4">
        <f>IFERROR(VLOOKUP(M382,Calculations!$AC$2:$AD$251,2,FALSE),0)</f>
        <v>0</v>
      </c>
      <c r="AI382" s="4" t="e">
        <f>VLOOKUP(N382,$N$2:$AS$620,MATCH('Character Creation'!$Z$12,Skills!$N$1:$AS$1,0),FALSE)</f>
        <v>#N/A</v>
      </c>
      <c r="AJ382" s="4" t="e">
        <f>VLOOKUP($N382,[2]Cultures!$B$4:$M$283,MATCH(AJ$1,[2]Cultures!$B$3:$M$3,0),FALSE)</f>
        <v>#N/A</v>
      </c>
      <c r="AK382" s="4" t="e">
        <f>VLOOKUP($N382,[2]Cultures!$B$4:$M$283,MATCH(AK$1,[2]Cultures!$B$3:$M$3,0),FALSE)</f>
        <v>#N/A</v>
      </c>
      <c r="AL382" s="4" t="e">
        <f>VLOOKUP($N382,[2]Cultures!$B$4:$M$283,MATCH(AL$1,[2]Cultures!$B$3:$M$3,0),FALSE)</f>
        <v>#N/A</v>
      </c>
      <c r="AM382" s="4" t="e">
        <f>VLOOKUP($N382,[2]Cultures!$B$4:$M$283,MATCH(AM$1,[2]Cultures!$B$3:$M$3,0),FALSE)</f>
        <v>#N/A</v>
      </c>
      <c r="AN382" s="4" t="e">
        <f>VLOOKUP($N382,[2]Cultures!$B$4:$M$283,MATCH(AN$1,[2]Cultures!$B$3:$M$3,0),FALSE)</f>
        <v>#N/A</v>
      </c>
      <c r="AO382" s="4" t="e">
        <f>VLOOKUP($N382,[2]Cultures!$B$4:$M$283,MATCH(AO$1,[2]Cultures!$B$3:$M$3,0),FALSE)</f>
        <v>#N/A</v>
      </c>
      <c r="AP382" s="4" t="e">
        <f>VLOOKUP($N382,[2]Cultures!$B$4:$M$283,MATCH(AP$1,[2]Cultures!$B$3:$M$3,0),FALSE)</f>
        <v>#N/A</v>
      </c>
      <c r="AQ382" s="4" t="e">
        <f>VLOOKUP($N382,[2]Cultures!$B$4:$M$283,MATCH(AQ$1,[2]Cultures!$B$3:$M$3,0),FALSE)</f>
        <v>#N/A</v>
      </c>
      <c r="AR382" s="4" t="e">
        <f>VLOOKUP($N382,[2]Cultures!$B$4:$M$283,MATCH(AR$1,[2]Cultures!$B$3:$M$3,0),FALSE)</f>
        <v>#N/A</v>
      </c>
      <c r="AS382" s="4" t="e">
        <f>VLOOKUP($N382,[2]Cultures!$B$4:$M$283,MATCH(AS$1,[2]Cultures!$B$3:$M$3,0),FALSE)</f>
        <v>#N/A</v>
      </c>
      <c r="AT382" s="4"/>
      <c r="AU382" s="4">
        <f>IF(ISNUMBER(SEARCH(N382&amp;";",Calculations!$Q$19)),VLOOKUP(Skills!N382,Calculations!$Q$2:$T$16,4,FALSE),0)</f>
        <v>0</v>
      </c>
      <c r="AV382" s="4">
        <f>IF(ISNUMBER(SEARCH(N382&amp;";",Calculations!$Q$18)),1,0)</f>
        <v>0</v>
      </c>
      <c r="AW382" s="4"/>
      <c r="AX382" s="4">
        <f>VLOOKUP($N382,$N382:$CH382,MATCH('Character Sheet'!$BJ$3,Skills!$N$1:$CH$1,0),FALSE)</f>
        <v>0</v>
      </c>
    </row>
    <row r="383" spans="2:50" x14ac:dyDescent="0.25">
      <c r="B383" s="4" t="e">
        <f t="shared" si="190"/>
        <v>#N/A</v>
      </c>
      <c r="E383" s="4"/>
      <c r="F383" s="4">
        <f t="shared" si="174"/>
        <v>0</v>
      </c>
      <c r="G383" s="4"/>
      <c r="H383" s="4" t="e">
        <f t="shared" si="200"/>
        <v>#N/A</v>
      </c>
      <c r="I383" s="4" t="e">
        <f>IF($J$370=1,1,IF($J$382=1,1,0))</f>
        <v>#N/A</v>
      </c>
      <c r="J383" s="4">
        <f t="shared" si="175"/>
        <v>0</v>
      </c>
      <c r="K383" s="4" t="e">
        <f t="shared" si="201"/>
        <v>#N/A</v>
      </c>
      <c r="M383" t="str">
        <f>"Spell Trickery, "&amp;N383</f>
        <v>Spell Trickery, List 1</v>
      </c>
      <c r="N383" s="3" t="str">
        <f>'Character Sheet'!CHJ17</f>
        <v>List 1</v>
      </c>
      <c r="O383" s="6" t="s">
        <v>782</v>
      </c>
      <c r="P383" s="6" t="s">
        <v>782</v>
      </c>
      <c r="Q383" s="4" t="e">
        <f t="shared" si="197"/>
        <v>#N/A</v>
      </c>
      <c r="R383" s="4">
        <f>IF(ISNUMBER(SEARCH("Category",N383)),"- -",IF(ISNUMBER(SEARCH("Skills",N383)),"- -",'Level-up'!C401))</f>
        <v>0</v>
      </c>
      <c r="S383" s="4" t="e">
        <f t="shared" si="176"/>
        <v>#N/A</v>
      </c>
      <c r="T383" s="4" t="e">
        <f t="shared" si="177"/>
        <v>#N/A</v>
      </c>
      <c r="U383" s="4" t="str">
        <f t="shared" ca="1" si="199"/>
        <v>- -</v>
      </c>
      <c r="V383" s="4">
        <f t="shared" ref="V383:V391" si="203">IF(ISNUMBER(SEARCH("Category",N383)),"- -",IF(ISNUMBER(SEARCH("Skills",N383)),"- -",IF(AU383&gt;0,AU383,IF($AU$381&gt;0,$AU$381,$AU$369))))</f>
        <v>0</v>
      </c>
      <c r="W383" s="4">
        <f t="shared" si="196"/>
        <v>0</v>
      </c>
      <c r="X383" s="4">
        <f t="shared" si="194"/>
        <v>0</v>
      </c>
      <c r="Y383" s="4">
        <f t="shared" si="178"/>
        <v>0</v>
      </c>
      <c r="Z383" s="4">
        <f t="shared" si="179"/>
        <v>0</v>
      </c>
      <c r="AA383" s="4">
        <f t="shared" si="180"/>
        <v>0</v>
      </c>
      <c r="AB383" s="4">
        <f t="shared" si="181"/>
        <v>0</v>
      </c>
      <c r="AC383" s="8"/>
      <c r="AD383" s="4"/>
      <c r="AE383" s="4"/>
      <c r="AF383" s="4" t="e">
        <f t="shared" si="185"/>
        <v>#N/A</v>
      </c>
      <c r="AG383" s="4"/>
      <c r="AH383" s="4">
        <f>IFERROR(VLOOKUP(M383,Calculations!$AC$2:$AD$251,2,FALSE),0)</f>
        <v>0</v>
      </c>
      <c r="AI383" s="4" t="e">
        <f>VLOOKUP(N383,$N$2:$AS$620,MATCH('Character Creation'!$Z$12,Skills!$N$1:$AS$1,0),FALSE)</f>
        <v>#N/A</v>
      </c>
      <c r="AJ383" s="4" t="e">
        <f>VLOOKUP($N383,[2]Cultures!$B$4:$M$283,MATCH(AJ$1,[2]Cultures!$B$3:$M$3,0),FALSE)</f>
        <v>#N/A</v>
      </c>
      <c r="AK383" s="4" t="e">
        <f>VLOOKUP($N383,[2]Cultures!$B$4:$M$283,MATCH(AK$1,[2]Cultures!$B$3:$M$3,0),FALSE)</f>
        <v>#N/A</v>
      </c>
      <c r="AL383" s="4" t="e">
        <f>VLOOKUP($N383,[2]Cultures!$B$4:$M$283,MATCH(AL$1,[2]Cultures!$B$3:$M$3,0),FALSE)</f>
        <v>#N/A</v>
      </c>
      <c r="AM383" s="4" t="e">
        <f>VLOOKUP($N383,[2]Cultures!$B$4:$M$283,MATCH(AM$1,[2]Cultures!$B$3:$M$3,0),FALSE)</f>
        <v>#N/A</v>
      </c>
      <c r="AN383" s="4" t="e">
        <f>VLOOKUP($N383,[2]Cultures!$B$4:$M$283,MATCH(AN$1,[2]Cultures!$B$3:$M$3,0),FALSE)</f>
        <v>#N/A</v>
      </c>
      <c r="AO383" s="4" t="e">
        <f>VLOOKUP($N383,[2]Cultures!$B$4:$M$283,MATCH(AO$1,[2]Cultures!$B$3:$M$3,0),FALSE)</f>
        <v>#N/A</v>
      </c>
      <c r="AP383" s="4" t="e">
        <f>VLOOKUP($N383,[2]Cultures!$B$4:$M$283,MATCH(AP$1,[2]Cultures!$B$3:$M$3,0),FALSE)</f>
        <v>#N/A</v>
      </c>
      <c r="AQ383" s="4" t="e">
        <f>VLOOKUP($N383,[2]Cultures!$B$4:$M$283,MATCH(AQ$1,[2]Cultures!$B$3:$M$3,0),FALSE)</f>
        <v>#N/A</v>
      </c>
      <c r="AR383" s="4" t="e">
        <f>VLOOKUP($N383,[2]Cultures!$B$4:$M$283,MATCH(AR$1,[2]Cultures!$B$3:$M$3,0),FALSE)</f>
        <v>#N/A</v>
      </c>
      <c r="AS383" s="4" t="e">
        <f>VLOOKUP($N383,[2]Cultures!$B$4:$M$283,MATCH(AS$1,[2]Cultures!$B$3:$M$3,0),FALSE)</f>
        <v>#N/A</v>
      </c>
      <c r="AT383" s="4"/>
      <c r="AU383" s="4">
        <f>IF(ISNUMBER(SEARCH(N383&amp;";",Calculations!$Q$19)),VLOOKUP(Skills!N383,Calculations!$Q$2:$T$16,4,FALSE),0)</f>
        <v>0</v>
      </c>
      <c r="AV383" s="4">
        <f>IF(ISNUMBER(SEARCH(N383&amp;";",Calculations!$Q$18)),1,0)</f>
        <v>0</v>
      </c>
      <c r="AW383" s="4">
        <f>IF($AV$369=1,1,IF($AV$381=1,1,AV383))</f>
        <v>0</v>
      </c>
      <c r="AX383" s="4">
        <f>VLOOKUP($N383,$N383:$CH383,MATCH('Character Sheet'!$BJ$3,Skills!$N$1:$CH$1,0),FALSE)</f>
        <v>0</v>
      </c>
    </row>
    <row r="384" spans="2:50" x14ac:dyDescent="0.25">
      <c r="B384" s="4" t="e">
        <f t="shared" si="190"/>
        <v>#N/A</v>
      </c>
      <c r="E384" s="4"/>
      <c r="F384" s="4">
        <f t="shared" si="174"/>
        <v>0</v>
      </c>
      <c r="G384" s="4"/>
      <c r="H384" s="4" t="e">
        <f t="shared" si="200"/>
        <v>#N/A</v>
      </c>
      <c r="I384" s="4" t="e">
        <f>IF($J$370=1,1,IF($J$382=1,1,0))</f>
        <v>#N/A</v>
      </c>
      <c r="J384" s="4">
        <f t="shared" si="175"/>
        <v>0</v>
      </c>
      <c r="K384" s="4" t="e">
        <f t="shared" si="201"/>
        <v>#N/A</v>
      </c>
      <c r="M384" t="str">
        <f>"Spell Trickery, "&amp;N384</f>
        <v>Spell Trickery, List 2</v>
      </c>
      <c r="N384" s="3" t="str">
        <f>'Character Sheet'!CHJ18</f>
        <v>List 2</v>
      </c>
      <c r="O384" s="6" t="s">
        <v>782</v>
      </c>
      <c r="P384" s="6" t="s">
        <v>782</v>
      </c>
      <c r="Q384" s="4" t="e">
        <f t="shared" si="197"/>
        <v>#N/A</v>
      </c>
      <c r="R384" s="4">
        <f>IF(ISNUMBER(SEARCH("Category",N384)),"- -",IF(ISNUMBER(SEARCH("Skills",N384)),"- -",'Level-up'!C402))</f>
        <v>0</v>
      </c>
      <c r="S384" s="4" t="e">
        <f t="shared" si="176"/>
        <v>#N/A</v>
      </c>
      <c r="T384" s="4" t="e">
        <f t="shared" si="177"/>
        <v>#N/A</v>
      </c>
      <c r="U384" s="4" t="str">
        <f t="shared" ca="1" si="199"/>
        <v>- -</v>
      </c>
      <c r="V384" s="4">
        <f t="shared" si="203"/>
        <v>0</v>
      </c>
      <c r="W384" s="4">
        <f t="shared" si="196"/>
        <v>0</v>
      </c>
      <c r="X384" s="4">
        <f t="shared" si="194"/>
        <v>0</v>
      </c>
      <c r="Y384" s="4">
        <f t="shared" si="178"/>
        <v>0</v>
      </c>
      <c r="Z384" s="4">
        <f t="shared" si="179"/>
        <v>0</v>
      </c>
      <c r="AA384" s="4">
        <f t="shared" si="180"/>
        <v>0</v>
      </c>
      <c r="AB384" s="4">
        <f t="shared" si="181"/>
        <v>0</v>
      </c>
      <c r="AC384" s="8"/>
      <c r="AD384" s="4"/>
      <c r="AE384" s="4"/>
      <c r="AF384" s="4" t="e">
        <f t="shared" si="185"/>
        <v>#N/A</v>
      </c>
      <c r="AG384" s="4"/>
      <c r="AH384" s="4">
        <f>IFERROR(VLOOKUP(M384,Calculations!$AC$2:$AD$251,2,FALSE),0)</f>
        <v>0</v>
      </c>
      <c r="AI384" s="4" t="e">
        <f>VLOOKUP(N384,$N$2:$AS$620,MATCH('Character Creation'!$Z$12,Skills!$N$1:$AS$1,0),FALSE)</f>
        <v>#N/A</v>
      </c>
      <c r="AJ384" s="4" t="e">
        <f>VLOOKUP($N384,[2]Cultures!$B$4:$M$283,MATCH(AJ$1,[2]Cultures!$B$3:$M$3,0),FALSE)</f>
        <v>#N/A</v>
      </c>
      <c r="AK384" s="4" t="e">
        <f>VLOOKUP($N384,[2]Cultures!$B$4:$M$283,MATCH(AK$1,[2]Cultures!$B$3:$M$3,0),FALSE)</f>
        <v>#N/A</v>
      </c>
      <c r="AL384" s="4" t="e">
        <f>VLOOKUP($N384,[2]Cultures!$B$4:$M$283,MATCH(AL$1,[2]Cultures!$B$3:$M$3,0),FALSE)</f>
        <v>#N/A</v>
      </c>
      <c r="AM384" s="4" t="e">
        <f>VLOOKUP($N384,[2]Cultures!$B$4:$M$283,MATCH(AM$1,[2]Cultures!$B$3:$M$3,0),FALSE)</f>
        <v>#N/A</v>
      </c>
      <c r="AN384" s="4" t="e">
        <f>VLOOKUP($N384,[2]Cultures!$B$4:$M$283,MATCH(AN$1,[2]Cultures!$B$3:$M$3,0),FALSE)</f>
        <v>#N/A</v>
      </c>
      <c r="AO384" s="4" t="e">
        <f>VLOOKUP($N384,[2]Cultures!$B$4:$M$283,MATCH(AO$1,[2]Cultures!$B$3:$M$3,0),FALSE)</f>
        <v>#N/A</v>
      </c>
      <c r="AP384" s="4" t="e">
        <f>VLOOKUP($N384,[2]Cultures!$B$4:$M$283,MATCH(AP$1,[2]Cultures!$B$3:$M$3,0),FALSE)</f>
        <v>#N/A</v>
      </c>
      <c r="AQ384" s="4" t="e">
        <f>VLOOKUP($N384,[2]Cultures!$B$4:$M$283,MATCH(AQ$1,[2]Cultures!$B$3:$M$3,0),FALSE)</f>
        <v>#N/A</v>
      </c>
      <c r="AR384" s="4" t="e">
        <f>VLOOKUP($N384,[2]Cultures!$B$4:$M$283,MATCH(AR$1,[2]Cultures!$B$3:$M$3,0),FALSE)</f>
        <v>#N/A</v>
      </c>
      <c r="AS384" s="4" t="e">
        <f>VLOOKUP($N384,[2]Cultures!$B$4:$M$283,MATCH(AS$1,[2]Cultures!$B$3:$M$3,0),FALSE)</f>
        <v>#N/A</v>
      </c>
      <c r="AT384" s="4"/>
      <c r="AU384" s="4">
        <f>IF(ISNUMBER(SEARCH(N384&amp;";",Calculations!$Q$19)),VLOOKUP(Skills!N384,Calculations!$Q$2:$T$16,4,FALSE),0)</f>
        <v>0</v>
      </c>
      <c r="AV384" s="4">
        <f>IF(ISNUMBER(SEARCH(N384&amp;";",Calculations!$Q$18)),1,0)</f>
        <v>0</v>
      </c>
      <c r="AW384" s="4">
        <f>IF($AV$369=1,1,IF($AV$381=1,1,AV384))</f>
        <v>0</v>
      </c>
      <c r="AX384" s="4">
        <f>VLOOKUP($N384,$N384:$CH384,MATCH('Character Sheet'!$BJ$3,Skills!$N$1:$CH$1,0),FALSE)</f>
        <v>0</v>
      </c>
    </row>
    <row r="385" spans="2:50" x14ac:dyDescent="0.25">
      <c r="B385" s="4" t="e">
        <f t="shared" si="190"/>
        <v>#N/A</v>
      </c>
      <c r="E385" s="4"/>
      <c r="F385" s="4">
        <f t="shared" si="174"/>
        <v>0</v>
      </c>
      <c r="G385" s="4"/>
      <c r="H385" s="4" t="e">
        <f t="shared" si="200"/>
        <v>#N/A</v>
      </c>
      <c r="I385" s="4" t="e">
        <f>IF($J$370=1,1,IF($J$382=1,1,0))</f>
        <v>#N/A</v>
      </c>
      <c r="J385" s="4">
        <f t="shared" si="175"/>
        <v>0</v>
      </c>
      <c r="K385" s="4" t="e">
        <f t="shared" si="201"/>
        <v>#N/A</v>
      </c>
      <c r="M385" t="str">
        <f>"Spell Trickery, "&amp;N385</f>
        <v>Spell Trickery, List 3</v>
      </c>
      <c r="N385" s="3" t="str">
        <f>'Character Sheet'!CHJ19</f>
        <v>List 3</v>
      </c>
      <c r="O385" s="6" t="s">
        <v>782</v>
      </c>
      <c r="P385" s="6" t="s">
        <v>782</v>
      </c>
      <c r="Q385" s="4" t="e">
        <f t="shared" si="197"/>
        <v>#N/A</v>
      </c>
      <c r="R385" s="4">
        <f>IF(ISNUMBER(SEARCH("Category",N385)),"- -",IF(ISNUMBER(SEARCH("Skills",N385)),"- -",'Level-up'!C403))</f>
        <v>0</v>
      </c>
      <c r="S385" s="4" t="e">
        <f t="shared" si="176"/>
        <v>#N/A</v>
      </c>
      <c r="T385" s="4" t="e">
        <f t="shared" si="177"/>
        <v>#N/A</v>
      </c>
      <c r="U385" s="4" t="str">
        <f t="shared" ca="1" si="199"/>
        <v>- -</v>
      </c>
      <c r="V385" s="4">
        <f t="shared" si="203"/>
        <v>0</v>
      </c>
      <c r="W385" s="4">
        <f t="shared" si="196"/>
        <v>0</v>
      </c>
      <c r="X385" s="4">
        <f t="shared" si="194"/>
        <v>0</v>
      </c>
      <c r="Y385" s="4">
        <f t="shared" si="178"/>
        <v>0</v>
      </c>
      <c r="Z385" s="4">
        <f t="shared" si="179"/>
        <v>0</v>
      </c>
      <c r="AA385" s="4">
        <f t="shared" si="180"/>
        <v>0</v>
      </c>
      <c r="AB385" s="4">
        <f t="shared" si="181"/>
        <v>0</v>
      </c>
      <c r="AC385" s="8"/>
      <c r="AD385" s="4"/>
      <c r="AE385" s="4"/>
      <c r="AF385" s="4" t="e">
        <f t="shared" si="185"/>
        <v>#N/A</v>
      </c>
      <c r="AG385" s="4"/>
      <c r="AH385" s="4">
        <f>IFERROR(VLOOKUP(M385,Calculations!$AC$2:$AD$251,2,FALSE),0)</f>
        <v>0</v>
      </c>
      <c r="AI385" s="4" t="e">
        <f>VLOOKUP(N385,$N$2:$AS$620,MATCH('Character Creation'!$Z$12,Skills!$N$1:$AS$1,0),FALSE)</f>
        <v>#N/A</v>
      </c>
      <c r="AJ385" s="4" t="e">
        <f>VLOOKUP($N385,[2]Cultures!$B$4:$M$283,MATCH(AJ$1,[2]Cultures!$B$3:$M$3,0),FALSE)</f>
        <v>#N/A</v>
      </c>
      <c r="AK385" s="4" t="e">
        <f>VLOOKUP($N385,[2]Cultures!$B$4:$M$283,MATCH(AK$1,[2]Cultures!$B$3:$M$3,0),FALSE)</f>
        <v>#N/A</v>
      </c>
      <c r="AL385" s="4" t="e">
        <f>VLOOKUP($N385,[2]Cultures!$B$4:$M$283,MATCH(AL$1,[2]Cultures!$B$3:$M$3,0),FALSE)</f>
        <v>#N/A</v>
      </c>
      <c r="AM385" s="4" t="e">
        <f>VLOOKUP($N385,[2]Cultures!$B$4:$M$283,MATCH(AM$1,[2]Cultures!$B$3:$M$3,0),FALSE)</f>
        <v>#N/A</v>
      </c>
      <c r="AN385" s="4" t="e">
        <f>VLOOKUP($N385,[2]Cultures!$B$4:$M$283,MATCH(AN$1,[2]Cultures!$B$3:$M$3,0),FALSE)</f>
        <v>#N/A</v>
      </c>
      <c r="AO385" s="4" t="e">
        <f>VLOOKUP($N385,[2]Cultures!$B$4:$M$283,MATCH(AO$1,[2]Cultures!$B$3:$M$3,0),FALSE)</f>
        <v>#N/A</v>
      </c>
      <c r="AP385" s="4" t="e">
        <f>VLOOKUP($N385,[2]Cultures!$B$4:$M$283,MATCH(AP$1,[2]Cultures!$B$3:$M$3,0),FALSE)</f>
        <v>#N/A</v>
      </c>
      <c r="AQ385" s="4" t="e">
        <f>VLOOKUP($N385,[2]Cultures!$B$4:$M$283,MATCH(AQ$1,[2]Cultures!$B$3:$M$3,0),FALSE)</f>
        <v>#N/A</v>
      </c>
      <c r="AR385" s="4" t="e">
        <f>VLOOKUP($N385,[2]Cultures!$B$4:$M$283,MATCH(AR$1,[2]Cultures!$B$3:$M$3,0),FALSE)</f>
        <v>#N/A</v>
      </c>
      <c r="AS385" s="4" t="e">
        <f>VLOOKUP($N385,[2]Cultures!$B$4:$M$283,MATCH(AS$1,[2]Cultures!$B$3:$M$3,0),FALSE)</f>
        <v>#N/A</v>
      </c>
      <c r="AT385" s="4"/>
      <c r="AU385" s="4">
        <f>IF(ISNUMBER(SEARCH(N385&amp;";",Calculations!$Q$19)),VLOOKUP(Skills!N385,Calculations!$Q$2:$T$16,4,FALSE),0)</f>
        <v>0</v>
      </c>
      <c r="AV385" s="4">
        <f>IF(ISNUMBER(SEARCH(N385&amp;";",Calculations!$Q$18)),1,0)</f>
        <v>0</v>
      </c>
      <c r="AW385" s="4">
        <f>IF($AV$369=1,1,IF($AV$381=1,1,AV385))</f>
        <v>0</v>
      </c>
      <c r="AX385" s="4">
        <f>VLOOKUP($N385,$N385:$CH385,MATCH('Character Sheet'!$BJ$3,Skills!$N$1:$CH$1,0),FALSE)</f>
        <v>0</v>
      </c>
    </row>
    <row r="386" spans="2:50" x14ac:dyDescent="0.25">
      <c r="B386" s="4" t="e">
        <f t="shared" si="190"/>
        <v>#N/A</v>
      </c>
      <c r="E386" s="4"/>
      <c r="F386" s="4">
        <f t="shared" si="174"/>
        <v>0</v>
      </c>
      <c r="G386" s="4"/>
      <c r="H386" s="4" t="e">
        <f t="shared" si="200"/>
        <v>#N/A</v>
      </c>
      <c r="I386" s="4" t="e">
        <f>IF($J$370=1,1,IF($J$382=1,1,0))</f>
        <v>#N/A</v>
      </c>
      <c r="J386" s="4">
        <f t="shared" si="175"/>
        <v>0</v>
      </c>
      <c r="K386" s="4" t="e">
        <f t="shared" si="201"/>
        <v>#N/A</v>
      </c>
      <c r="M386" t="str">
        <f>"Spell Trickery, "&amp;N386</f>
        <v>Spell Trickery, 0</v>
      </c>
      <c r="N386" s="3">
        <f>'Character Sheet'!CHJ20</f>
        <v>0</v>
      </c>
      <c r="O386" s="6" t="s">
        <v>782</v>
      </c>
      <c r="P386" s="6" t="s">
        <v>782</v>
      </c>
      <c r="Q386" s="4" t="e">
        <f t="shared" si="197"/>
        <v>#N/A</v>
      </c>
      <c r="R386" s="4">
        <f>IF(ISNUMBER(SEARCH("Category",N386)),"- -",IF(ISNUMBER(SEARCH("Skills",N386)),"- -",'Level-up'!C404))</f>
        <v>0</v>
      </c>
      <c r="S386" s="4" t="e">
        <f t="shared" si="176"/>
        <v>#N/A</v>
      </c>
      <c r="T386" s="4" t="e">
        <f t="shared" si="177"/>
        <v>#N/A</v>
      </c>
      <c r="U386" s="4" t="str">
        <f t="shared" ca="1" si="199"/>
        <v>- -</v>
      </c>
      <c r="V386" s="4">
        <f t="shared" si="203"/>
        <v>0</v>
      </c>
      <c r="W386" s="4">
        <f t="shared" si="196"/>
        <v>0</v>
      </c>
      <c r="X386" s="4">
        <f t="shared" si="194"/>
        <v>0</v>
      </c>
      <c r="Y386" s="4">
        <f t="shared" si="178"/>
        <v>0</v>
      </c>
      <c r="Z386" s="4">
        <f t="shared" si="179"/>
        <v>0</v>
      </c>
      <c r="AA386" s="4">
        <f t="shared" si="180"/>
        <v>0</v>
      </c>
      <c r="AB386" s="4">
        <f t="shared" si="181"/>
        <v>0</v>
      </c>
      <c r="AC386" s="8"/>
      <c r="AD386" s="4"/>
      <c r="AE386" s="4"/>
      <c r="AF386" s="4" t="e">
        <f t="shared" si="185"/>
        <v>#N/A</v>
      </c>
      <c r="AG386" s="4"/>
      <c r="AH386" s="4">
        <f>IFERROR(VLOOKUP(M386,Calculations!$AC$2:$AD$251,2,FALSE),0)</f>
        <v>0</v>
      </c>
      <c r="AI386" s="4" t="e">
        <f>VLOOKUP(N386,$N$2:$AS$620,MATCH('Character Creation'!$Z$12,Skills!$N$1:$AS$1,0),FALSE)</f>
        <v>#N/A</v>
      </c>
      <c r="AJ386" s="4" t="e">
        <f>VLOOKUP($N386,[2]Cultures!$B$4:$M$283,MATCH(AJ$1,[2]Cultures!$B$3:$M$3,0),FALSE)</f>
        <v>#N/A</v>
      </c>
      <c r="AK386" s="4" t="e">
        <f>VLOOKUP($N386,[2]Cultures!$B$4:$M$283,MATCH(AK$1,[2]Cultures!$B$3:$M$3,0),FALSE)</f>
        <v>#N/A</v>
      </c>
      <c r="AL386" s="4" t="e">
        <f>VLOOKUP($N386,[2]Cultures!$B$4:$M$283,MATCH(AL$1,[2]Cultures!$B$3:$M$3,0),FALSE)</f>
        <v>#N/A</v>
      </c>
      <c r="AM386" s="4" t="e">
        <f>VLOOKUP($N386,[2]Cultures!$B$4:$M$283,MATCH(AM$1,[2]Cultures!$B$3:$M$3,0),FALSE)</f>
        <v>#N/A</v>
      </c>
      <c r="AN386" s="4" t="e">
        <f>VLOOKUP($N386,[2]Cultures!$B$4:$M$283,MATCH(AN$1,[2]Cultures!$B$3:$M$3,0),FALSE)</f>
        <v>#N/A</v>
      </c>
      <c r="AO386" s="4" t="e">
        <f>VLOOKUP($N386,[2]Cultures!$B$4:$M$283,MATCH(AO$1,[2]Cultures!$B$3:$M$3,0),FALSE)</f>
        <v>#N/A</v>
      </c>
      <c r="AP386" s="4" t="e">
        <f>VLOOKUP($N386,[2]Cultures!$B$4:$M$283,MATCH(AP$1,[2]Cultures!$B$3:$M$3,0),FALSE)</f>
        <v>#N/A</v>
      </c>
      <c r="AQ386" s="4" t="e">
        <f>VLOOKUP($N386,[2]Cultures!$B$4:$M$283,MATCH(AQ$1,[2]Cultures!$B$3:$M$3,0),FALSE)</f>
        <v>#N/A</v>
      </c>
      <c r="AR386" s="4" t="e">
        <f>VLOOKUP($N386,[2]Cultures!$B$4:$M$283,MATCH(AR$1,[2]Cultures!$B$3:$M$3,0),FALSE)</f>
        <v>#N/A</v>
      </c>
      <c r="AS386" s="4" t="e">
        <f>VLOOKUP($N386,[2]Cultures!$B$4:$M$283,MATCH(AS$1,[2]Cultures!$B$3:$M$3,0),FALSE)</f>
        <v>#N/A</v>
      </c>
      <c r="AT386" s="4"/>
      <c r="AU386" s="4">
        <f>IF(ISNUMBER(SEARCH(N386&amp;";",Calculations!$Q$19)),VLOOKUP(Skills!N386,Calculations!$Q$2:$T$16,4,FALSE),0)</f>
        <v>0</v>
      </c>
      <c r="AV386" s="4">
        <f>IF(ISNUMBER(SEARCH(N386&amp;";",Calculations!$Q$18)),1,0)</f>
        <v>0</v>
      </c>
      <c r="AW386" s="4">
        <f>IF($AV$369=1,1,IF($AV$381=1,1,AV386))</f>
        <v>0</v>
      </c>
      <c r="AX386" s="4">
        <f>VLOOKUP($N386,$N386:$CH386,MATCH('Character Sheet'!$BJ$3,Skills!$N$1:$CH$1,0),FALSE)</f>
        <v>0</v>
      </c>
    </row>
    <row r="387" spans="2:50" x14ac:dyDescent="0.25">
      <c r="B387" s="4" t="e">
        <f t="shared" si="190"/>
        <v>#N/A</v>
      </c>
      <c r="E387" s="4"/>
      <c r="F387" s="4">
        <f t="shared" ref="F387:F450" si="204">IF(AX387="x",F386+1,F386)</f>
        <v>0</v>
      </c>
      <c r="G387" s="4"/>
      <c r="H387" s="4" t="e">
        <f t="shared" si="200"/>
        <v>#N/A</v>
      </c>
      <c r="I387" s="4" t="e">
        <f>IF($J$370=1,1,IF($J$382=1,1,0))</f>
        <v>#N/A</v>
      </c>
      <c r="J387" s="4">
        <f t="shared" ref="J387:J450" si="205">IF(ISNUMBER(SEARCH("Skills",N387)),IF(AI387&gt;=1,1,0),0)</f>
        <v>0</v>
      </c>
      <c r="K387" s="4" t="e">
        <f t="shared" si="201"/>
        <v>#N/A</v>
      </c>
      <c r="M387" t="str">
        <f>"Spell Trickery, "&amp;N387</f>
        <v>Spell Trickery, 0</v>
      </c>
      <c r="N387" s="3">
        <f>'Character Sheet'!CHJ21</f>
        <v>0</v>
      </c>
      <c r="O387" s="6" t="s">
        <v>782</v>
      </c>
      <c r="P387" s="6" t="s">
        <v>782</v>
      </c>
      <c r="Q387" s="4" t="e">
        <f t="shared" si="197"/>
        <v>#N/A</v>
      </c>
      <c r="R387" s="4">
        <f>IF(ISNUMBER(SEARCH("Category",N387)),"- -",IF(ISNUMBER(SEARCH("Skills",N387)),"- -",'Level-up'!C405))</f>
        <v>0</v>
      </c>
      <c r="S387" s="4" t="e">
        <f t="shared" ref="S387:S450" si="206">IF(ISNUMBER(SEARCH("Skills",N387)),"- -",IF(ISNUMBER(SEARCH("category",N387)),"- -",SUM(Q387:R387)))</f>
        <v>#N/A</v>
      </c>
      <c r="T387" s="4" t="e">
        <f t="shared" ref="T387:T450" si="207">IF(ISNUMBER(SEARCH("Skills",N387)),"- -",IF(ISNUMBER(SEARCH("category",N387)),"- -",IF(S387="",0,IF(S387=0,(IF(O387="- -",0,-25)),IF(S387&lt;11,S387*5,IF(S387&lt;21,((S387-10)*3)+50,IF(S387&lt;31,((S387-20)*2)+80,IF(S387&gt;30,(S387-30)+100))))))))</f>
        <v>#N/A</v>
      </c>
      <c r="U387" s="4" t="str">
        <f t="shared" ca="1" si="199"/>
        <v>- -</v>
      </c>
      <c r="V387" s="4">
        <f t="shared" si="203"/>
        <v>0</v>
      </c>
      <c r="W387" s="4">
        <f t="shared" si="196"/>
        <v>0</v>
      </c>
      <c r="X387" s="4">
        <f t="shared" si="194"/>
        <v>0</v>
      </c>
      <c r="Y387" s="4">
        <f t="shared" si="178"/>
        <v>0</v>
      </c>
      <c r="Z387" s="4">
        <f t="shared" si="179"/>
        <v>0</v>
      </c>
      <c r="AA387" s="4">
        <f t="shared" si="180"/>
        <v>0</v>
      </c>
      <c r="AB387" s="4">
        <f t="shared" si="181"/>
        <v>0</v>
      </c>
      <c r="AC387" s="8"/>
      <c r="AD387" s="4"/>
      <c r="AE387" s="4"/>
      <c r="AF387" s="4" t="e">
        <f t="shared" si="185"/>
        <v>#N/A</v>
      </c>
      <c r="AG387" s="4"/>
      <c r="AH387" s="4">
        <f>IFERROR(VLOOKUP(M387,Calculations!$AC$2:$AD$251,2,FALSE),0)</f>
        <v>0</v>
      </c>
      <c r="AI387" s="4" t="e">
        <f>VLOOKUP(N387,$N$2:$AS$620,MATCH('Character Creation'!$Z$12,Skills!$N$1:$AS$1,0),FALSE)</f>
        <v>#N/A</v>
      </c>
      <c r="AJ387" s="4" t="e">
        <f>VLOOKUP($N387,[2]Cultures!$B$4:$M$283,MATCH(AJ$1,[2]Cultures!$B$3:$M$3,0),FALSE)</f>
        <v>#N/A</v>
      </c>
      <c r="AK387" s="4" t="e">
        <f>VLOOKUP($N387,[2]Cultures!$B$4:$M$283,MATCH(AK$1,[2]Cultures!$B$3:$M$3,0),FALSE)</f>
        <v>#N/A</v>
      </c>
      <c r="AL387" s="4" t="e">
        <f>VLOOKUP($N387,[2]Cultures!$B$4:$M$283,MATCH(AL$1,[2]Cultures!$B$3:$M$3,0),FALSE)</f>
        <v>#N/A</v>
      </c>
      <c r="AM387" s="4" t="e">
        <f>VLOOKUP($N387,[2]Cultures!$B$4:$M$283,MATCH(AM$1,[2]Cultures!$B$3:$M$3,0),FALSE)</f>
        <v>#N/A</v>
      </c>
      <c r="AN387" s="4" t="e">
        <f>VLOOKUP($N387,[2]Cultures!$B$4:$M$283,MATCH(AN$1,[2]Cultures!$B$3:$M$3,0),FALSE)</f>
        <v>#N/A</v>
      </c>
      <c r="AO387" s="4" t="e">
        <f>VLOOKUP($N387,[2]Cultures!$B$4:$M$283,MATCH(AO$1,[2]Cultures!$B$3:$M$3,0),FALSE)</f>
        <v>#N/A</v>
      </c>
      <c r="AP387" s="4" t="e">
        <f>VLOOKUP($N387,[2]Cultures!$B$4:$M$283,MATCH(AP$1,[2]Cultures!$B$3:$M$3,0),FALSE)</f>
        <v>#N/A</v>
      </c>
      <c r="AQ387" s="4" t="e">
        <f>VLOOKUP($N387,[2]Cultures!$B$4:$M$283,MATCH(AQ$1,[2]Cultures!$B$3:$M$3,0),FALSE)</f>
        <v>#N/A</v>
      </c>
      <c r="AR387" s="4" t="e">
        <f>VLOOKUP($N387,[2]Cultures!$B$4:$M$283,MATCH(AR$1,[2]Cultures!$B$3:$M$3,0),FALSE)</f>
        <v>#N/A</v>
      </c>
      <c r="AS387" s="4" t="e">
        <f>VLOOKUP($N387,[2]Cultures!$B$4:$M$283,MATCH(AS$1,[2]Cultures!$B$3:$M$3,0),FALSE)</f>
        <v>#N/A</v>
      </c>
      <c r="AT387" s="4"/>
      <c r="AU387" s="4">
        <f>IF(ISNUMBER(SEARCH(N387&amp;";",Calculations!$Q$19)),VLOOKUP(Skills!N387,Calculations!$Q$2:$T$16,4,FALSE),0)</f>
        <v>0</v>
      </c>
      <c r="AV387" s="4">
        <f>IF(ISNUMBER(SEARCH(N387&amp;";",Calculations!$Q$18)),1,0)</f>
        <v>0</v>
      </c>
      <c r="AW387" s="4">
        <f>IF($AV$369=1,1,IF($AV$381=1,1,AV387))</f>
        <v>0</v>
      </c>
      <c r="AX387" s="4">
        <f>VLOOKUP($N387,$N387:$CH387,MATCH('Character Sheet'!$BJ$3,Skills!$N$1:$CH$1,0),FALSE)</f>
        <v>0</v>
      </c>
    </row>
    <row r="388" spans="2:50" x14ac:dyDescent="0.25">
      <c r="B388" s="4" t="e">
        <f t="shared" si="190"/>
        <v>#N/A</v>
      </c>
      <c r="E388" s="4"/>
      <c r="F388" s="4">
        <f t="shared" si="204"/>
        <v>0</v>
      </c>
      <c r="G388" s="4"/>
      <c r="H388" s="4" t="e">
        <f t="shared" si="200"/>
        <v>#N/A</v>
      </c>
      <c r="I388" s="4" t="e">
        <f>IF($J$389=1,1,IF($J$391=1,1,IF($J$396=1,1,0)))</f>
        <v>#N/A</v>
      </c>
      <c r="J388" s="4">
        <f t="shared" si="205"/>
        <v>0</v>
      </c>
      <c r="K388" s="4" t="e">
        <f t="shared" si="201"/>
        <v>#N/A</v>
      </c>
      <c r="N388" s="3" t="s">
        <v>764</v>
      </c>
      <c r="O388" s="6" t="s">
        <v>782</v>
      </c>
      <c r="P388" s="6" t="s">
        <v>782</v>
      </c>
      <c r="Q388" s="4" t="str">
        <f t="shared" si="197"/>
        <v>- -</v>
      </c>
      <c r="R388" s="4" t="str">
        <f>IF(ISNUMBER(SEARCH("Category",N388)),"- -",IF(ISNUMBER(SEARCH("Skills",N388)),"- -",'Level-up'!C406))</f>
        <v>- -</v>
      </c>
      <c r="S388" s="4" t="str">
        <f t="shared" si="206"/>
        <v>- -</v>
      </c>
      <c r="T388" s="4" t="str">
        <f t="shared" si="207"/>
        <v>- -</v>
      </c>
      <c r="U388" s="4" t="str">
        <f t="shared" ca="1" si="199"/>
        <v>- -</v>
      </c>
      <c r="V388" s="4" t="str">
        <f t="shared" si="203"/>
        <v>- -</v>
      </c>
      <c r="W388" s="4" t="str">
        <f t="shared" si="196"/>
        <v>- -</v>
      </c>
      <c r="X388" s="4" t="str">
        <f t="shared" si="194"/>
        <v>- -</v>
      </c>
      <c r="Y388" s="4" t="str">
        <f t="shared" ref="Y388:Y451" si="208">IF(ISNUMBER(SEARCH("Category",N388)),"- -",IF(ISNUMBER(SEARCH("Skills",N388)),"- -",0))</f>
        <v>- -</v>
      </c>
      <c r="Z388" s="4" t="str">
        <f t="shared" ref="Z388:Z451" si="209">IF(ISNUMBER(SEARCH("Category",N388)),"- -",IF(ISNUMBER(SEARCH("Skills",N388)),"- -",0))</f>
        <v>- -</v>
      </c>
      <c r="AA388" s="4" t="str">
        <f t="shared" ref="AA388:AA451" si="210">IF(ISNUMBER(SEARCH("Category",N388)),"- -",IF(ISNUMBER(SEARCH("Skills",N388)),"- -",0))</f>
        <v>- -</v>
      </c>
      <c r="AB388" s="4" t="str">
        <f t="shared" ref="AB388:AB451" si="211">IF(ISNUMBER(SEARCH("Category",N388)),"- -",IF(ISNUMBER(SEARCH("Skills",N388)),"- -",0))</f>
        <v>- -</v>
      </c>
      <c r="AC388" s="8"/>
      <c r="AD388" s="4"/>
      <c r="AE388" s="4"/>
      <c r="AF388" s="4" t="str">
        <f t="shared" si="185"/>
        <v>- -</v>
      </c>
      <c r="AG388" s="4"/>
      <c r="AH388" s="4">
        <f>IFERROR(VLOOKUP(M388,Calculations!$AC$2:$AD$251,2,FALSE),0)</f>
        <v>0</v>
      </c>
      <c r="AI388" s="4" t="e">
        <f>VLOOKUP(N388,$N$2:$AS$620,MATCH('Character Creation'!$Z$12,Skills!$N$1:$AS$1,0),FALSE)</f>
        <v>#N/A</v>
      </c>
      <c r="AJ388" s="4" t="e">
        <f>VLOOKUP($N388,[2]Cultures!$B$4:$M$283,MATCH(AJ$1,[2]Cultures!$B$3:$M$3,0),FALSE)</f>
        <v>#N/A</v>
      </c>
      <c r="AK388" s="4" t="e">
        <f>VLOOKUP($N388,[2]Cultures!$B$4:$M$283,MATCH(AK$1,[2]Cultures!$B$3:$M$3,0),FALSE)</f>
        <v>#N/A</v>
      </c>
      <c r="AL388" s="4" t="e">
        <f>VLOOKUP($N388,[2]Cultures!$B$4:$M$283,MATCH(AL$1,[2]Cultures!$B$3:$M$3,0),FALSE)</f>
        <v>#N/A</v>
      </c>
      <c r="AM388" s="4" t="e">
        <f>VLOOKUP($N388,[2]Cultures!$B$4:$M$283,MATCH(AM$1,[2]Cultures!$B$3:$M$3,0),FALSE)</f>
        <v>#N/A</v>
      </c>
      <c r="AN388" s="4" t="e">
        <f>VLOOKUP($N388,[2]Cultures!$B$4:$M$283,MATCH(AN$1,[2]Cultures!$B$3:$M$3,0),FALSE)</f>
        <v>#N/A</v>
      </c>
      <c r="AO388" s="4" t="e">
        <f>VLOOKUP($N388,[2]Cultures!$B$4:$M$283,MATCH(AO$1,[2]Cultures!$B$3:$M$3,0),FALSE)</f>
        <v>#N/A</v>
      </c>
      <c r="AP388" s="4" t="e">
        <f>VLOOKUP($N388,[2]Cultures!$B$4:$M$283,MATCH(AP$1,[2]Cultures!$B$3:$M$3,0),FALSE)</f>
        <v>#N/A</v>
      </c>
      <c r="AQ388" s="4" t="e">
        <f>VLOOKUP($N388,[2]Cultures!$B$4:$M$283,MATCH(AQ$1,[2]Cultures!$B$3:$M$3,0),FALSE)</f>
        <v>#N/A</v>
      </c>
      <c r="AR388" s="4" t="e">
        <f>VLOOKUP($N388,[2]Cultures!$B$4:$M$283,MATCH(AR$1,[2]Cultures!$B$3:$M$3,0),FALSE)</f>
        <v>#N/A</v>
      </c>
      <c r="AS388" s="4" t="e">
        <f>VLOOKUP($N388,[2]Cultures!$B$4:$M$283,MATCH(AS$1,[2]Cultures!$B$3:$M$3,0),FALSE)</f>
        <v>#N/A</v>
      </c>
      <c r="AT388" s="4"/>
      <c r="AU388" s="4">
        <f>IF(ISNUMBER(SEARCH(N388&amp;";",Calculations!$Q$19)),VLOOKUP(Skills!N388,Calculations!$Q$2:$T$16,4,FALSE),0)</f>
        <v>0</v>
      </c>
      <c r="AV388" s="4">
        <f>IF(ISNUMBER(SEARCH(N388&amp;";",Calculations!$Q$18)),1,0)</f>
        <v>0</v>
      </c>
      <c r="AW388" s="4"/>
      <c r="AX388" s="4">
        <f>VLOOKUP($N388,$N388:$CH388,MATCH('Character Sheet'!$BJ$3,Skills!$N$1:$CH$1,0),FALSE)</f>
        <v>0</v>
      </c>
    </row>
    <row r="389" spans="2:50" x14ac:dyDescent="0.25">
      <c r="B389" s="4" t="e">
        <f t="shared" si="190"/>
        <v>#N/A</v>
      </c>
      <c r="E389" s="4"/>
      <c r="F389" s="4">
        <f t="shared" si="204"/>
        <v>0</v>
      </c>
      <c r="G389" s="4"/>
      <c r="H389" s="4" t="e">
        <f t="shared" si="200"/>
        <v>#N/A</v>
      </c>
      <c r="I389" s="4">
        <v>0</v>
      </c>
      <c r="J389" s="4" t="e">
        <f t="shared" si="205"/>
        <v>#N/A</v>
      </c>
      <c r="K389" s="4" t="e">
        <f t="shared" si="201"/>
        <v>#N/A</v>
      </c>
      <c r="N389" s="3" t="s">
        <v>765</v>
      </c>
      <c r="O389" s="6" t="s">
        <v>782</v>
      </c>
      <c r="P389" s="6" t="s">
        <v>782</v>
      </c>
      <c r="Q389" s="4" t="str">
        <f t="shared" si="197"/>
        <v>- -</v>
      </c>
      <c r="R389" s="4" t="str">
        <f>IF(ISNUMBER(SEARCH("Category",N389)),"- -",IF(ISNUMBER(SEARCH("Skills",N389)),"- -",'Level-up'!C407))</f>
        <v>- -</v>
      </c>
      <c r="S389" s="4" t="str">
        <f t="shared" si="206"/>
        <v>- -</v>
      </c>
      <c r="T389" s="4" t="str">
        <f t="shared" si="207"/>
        <v>- -</v>
      </c>
      <c r="U389" s="4" t="str">
        <f t="shared" ca="1" si="199"/>
        <v>- -</v>
      </c>
      <c r="V389" s="4" t="str">
        <f t="shared" si="203"/>
        <v>- -</v>
      </c>
      <c r="W389" s="4" t="str">
        <f t="shared" si="196"/>
        <v>- -</v>
      </c>
      <c r="X389" s="4" t="str">
        <f t="shared" si="194"/>
        <v>- -</v>
      </c>
      <c r="Y389" s="4" t="str">
        <f t="shared" si="208"/>
        <v>- -</v>
      </c>
      <c r="Z389" s="4" t="str">
        <f t="shared" si="209"/>
        <v>- -</v>
      </c>
      <c r="AA389" s="4" t="str">
        <f t="shared" si="210"/>
        <v>- -</v>
      </c>
      <c r="AB389" s="4" t="str">
        <f t="shared" si="211"/>
        <v>- -</v>
      </c>
      <c r="AC389" s="8"/>
      <c r="AD389" s="4"/>
      <c r="AE389" s="4"/>
      <c r="AF389" s="4" t="str">
        <f t="shared" si="185"/>
        <v>- -</v>
      </c>
      <c r="AG389" s="4"/>
      <c r="AH389" s="4">
        <f>IFERROR(VLOOKUP(M389,Calculations!$AC$2:$AD$251,2,FALSE),0)</f>
        <v>0</v>
      </c>
      <c r="AI389" s="4" t="e">
        <f>VLOOKUP(N389,$N$2:$AS$620,MATCH('Character Creation'!$Z$12,Skills!$N$1:$AS$1,0),FALSE)</f>
        <v>#N/A</v>
      </c>
      <c r="AJ389" s="4" t="e">
        <f>VLOOKUP($N389,[2]Cultures!$B$4:$M$283,MATCH(AJ$1,[2]Cultures!$B$3:$M$3,0),FALSE)</f>
        <v>#N/A</v>
      </c>
      <c r="AK389" s="4" t="e">
        <f>VLOOKUP($N389,[2]Cultures!$B$4:$M$283,MATCH(AK$1,[2]Cultures!$B$3:$M$3,0),FALSE)</f>
        <v>#N/A</v>
      </c>
      <c r="AL389" s="4" t="e">
        <f>VLOOKUP($N389,[2]Cultures!$B$4:$M$283,MATCH(AL$1,[2]Cultures!$B$3:$M$3,0),FALSE)</f>
        <v>#N/A</v>
      </c>
      <c r="AM389" s="4" t="e">
        <f>VLOOKUP($N389,[2]Cultures!$B$4:$M$283,MATCH(AM$1,[2]Cultures!$B$3:$M$3,0),FALSE)</f>
        <v>#N/A</v>
      </c>
      <c r="AN389" s="4" t="e">
        <f>VLOOKUP($N389,[2]Cultures!$B$4:$M$283,MATCH(AN$1,[2]Cultures!$B$3:$M$3,0),FALSE)</f>
        <v>#N/A</v>
      </c>
      <c r="AO389" s="4" t="e">
        <f>VLOOKUP($N389,[2]Cultures!$B$4:$M$283,MATCH(AO$1,[2]Cultures!$B$3:$M$3,0),FALSE)</f>
        <v>#N/A</v>
      </c>
      <c r="AP389" s="4" t="e">
        <f>VLOOKUP($N389,[2]Cultures!$B$4:$M$283,MATCH(AP$1,[2]Cultures!$B$3:$M$3,0),FALSE)</f>
        <v>#N/A</v>
      </c>
      <c r="AQ389" s="4" t="e">
        <f>VLOOKUP($N389,[2]Cultures!$B$4:$M$283,MATCH(AQ$1,[2]Cultures!$B$3:$M$3,0),FALSE)</f>
        <v>#N/A</v>
      </c>
      <c r="AR389" s="4" t="e">
        <f>VLOOKUP($N389,[2]Cultures!$B$4:$M$283,MATCH(AR$1,[2]Cultures!$B$3:$M$3,0),FALSE)</f>
        <v>#N/A</v>
      </c>
      <c r="AS389" s="4" t="e">
        <f>VLOOKUP($N389,[2]Cultures!$B$4:$M$283,MATCH(AS$1,[2]Cultures!$B$3:$M$3,0),FALSE)</f>
        <v>#N/A</v>
      </c>
      <c r="AT389" s="4"/>
      <c r="AU389" s="4">
        <f>IF(ISNUMBER(SEARCH(N389&amp;";",Calculations!$Q$19)),VLOOKUP(Skills!N389,Calculations!$Q$2:$T$16,4,FALSE),0)</f>
        <v>0</v>
      </c>
      <c r="AV389" s="4">
        <f>IF(ISNUMBER(SEARCH(N389&amp;";",Calculations!$Q$18)),1,0)</f>
        <v>0</v>
      </c>
      <c r="AW389" s="4"/>
      <c r="AX389" s="4">
        <f>VLOOKUP($N389,$N389:$CH389,MATCH('Character Sheet'!$BJ$3,Skills!$N$1:$CH$1,0),FALSE)</f>
        <v>0</v>
      </c>
    </row>
    <row r="390" spans="2:50" x14ac:dyDescent="0.25">
      <c r="B390" s="4" t="e">
        <f t="shared" si="190"/>
        <v>#N/A</v>
      </c>
      <c r="E390" s="4"/>
      <c r="F390" s="4">
        <f t="shared" si="204"/>
        <v>0</v>
      </c>
      <c r="G390" s="4"/>
      <c r="H390" s="4" t="e">
        <f t="shared" si="200"/>
        <v>#N/A</v>
      </c>
      <c r="I390" s="4" t="e">
        <f>IF($J$389=1,1,IF($J$391=1,1,0))</f>
        <v>#N/A</v>
      </c>
      <c r="J390" s="4">
        <f t="shared" si="205"/>
        <v>0</v>
      </c>
      <c r="K390" s="4" t="e">
        <f t="shared" si="201"/>
        <v>#N/A</v>
      </c>
      <c r="N390" s="3" t="s">
        <v>766</v>
      </c>
      <c r="O390" s="6" t="s">
        <v>782</v>
      </c>
      <c r="P390" s="6" t="s">
        <v>782</v>
      </c>
      <c r="Q390" s="4" t="str">
        <f t="shared" si="197"/>
        <v>- -</v>
      </c>
      <c r="R390" s="4" t="str">
        <f>IF(ISNUMBER(SEARCH("Category",N390)),"- -",IF(ISNUMBER(SEARCH("Skills",N390)),"- -",'Level-up'!C408))</f>
        <v>- -</v>
      </c>
      <c r="S390" s="4" t="str">
        <f t="shared" si="206"/>
        <v>- -</v>
      </c>
      <c r="T390" s="4" t="str">
        <f t="shared" si="207"/>
        <v>- -</v>
      </c>
      <c r="U390" s="4" t="str">
        <f t="shared" ca="1" si="199"/>
        <v>- -</v>
      </c>
      <c r="V390" s="4" t="str">
        <f t="shared" si="203"/>
        <v>- -</v>
      </c>
      <c r="W390" s="4" t="str">
        <f t="shared" si="196"/>
        <v>- -</v>
      </c>
      <c r="X390" s="4" t="str">
        <f t="shared" si="194"/>
        <v>- -</v>
      </c>
      <c r="Y390" s="4" t="str">
        <f t="shared" si="208"/>
        <v>- -</v>
      </c>
      <c r="Z390" s="4" t="str">
        <f t="shared" si="209"/>
        <v>- -</v>
      </c>
      <c r="AA390" s="4" t="str">
        <f t="shared" si="210"/>
        <v>- -</v>
      </c>
      <c r="AB390" s="4" t="str">
        <f t="shared" si="211"/>
        <v>- -</v>
      </c>
      <c r="AC390" s="8"/>
      <c r="AD390" s="4"/>
      <c r="AE390" s="4"/>
      <c r="AF390" s="4" t="str">
        <f t="shared" si="185"/>
        <v>- -</v>
      </c>
      <c r="AG390" s="4"/>
      <c r="AH390" s="4">
        <f>IFERROR(VLOOKUP(M390,Calculations!$AC$2:$AD$251,2,FALSE),0)</f>
        <v>0</v>
      </c>
      <c r="AI390" s="4" t="e">
        <f>VLOOKUP(N390,$N$2:$AS$620,MATCH('Character Creation'!$Z$12,Skills!$N$1:$AS$1,0),FALSE)</f>
        <v>#N/A</v>
      </c>
      <c r="AJ390" s="4" t="e">
        <f>VLOOKUP($N390,[2]Cultures!$B$4:$M$283,MATCH(AJ$1,[2]Cultures!$B$3:$M$3,0),FALSE)</f>
        <v>#N/A</v>
      </c>
      <c r="AK390" s="4" t="e">
        <f>VLOOKUP($N390,[2]Cultures!$B$4:$M$283,MATCH(AK$1,[2]Cultures!$B$3:$M$3,0),FALSE)</f>
        <v>#N/A</v>
      </c>
      <c r="AL390" s="4" t="e">
        <f>VLOOKUP($N390,[2]Cultures!$B$4:$M$283,MATCH(AL$1,[2]Cultures!$B$3:$M$3,0),FALSE)</f>
        <v>#N/A</v>
      </c>
      <c r="AM390" s="4" t="e">
        <f>VLOOKUP($N390,[2]Cultures!$B$4:$M$283,MATCH(AM$1,[2]Cultures!$B$3:$M$3,0),FALSE)</f>
        <v>#N/A</v>
      </c>
      <c r="AN390" s="4" t="e">
        <f>VLOOKUP($N390,[2]Cultures!$B$4:$M$283,MATCH(AN$1,[2]Cultures!$B$3:$M$3,0),FALSE)</f>
        <v>#N/A</v>
      </c>
      <c r="AO390" s="4" t="e">
        <f>VLOOKUP($N390,[2]Cultures!$B$4:$M$283,MATCH(AO$1,[2]Cultures!$B$3:$M$3,0),FALSE)</f>
        <v>#N/A</v>
      </c>
      <c r="AP390" s="4" t="e">
        <f>VLOOKUP($N390,[2]Cultures!$B$4:$M$283,MATCH(AP$1,[2]Cultures!$B$3:$M$3,0),FALSE)</f>
        <v>#N/A</v>
      </c>
      <c r="AQ390" s="4" t="e">
        <f>VLOOKUP($N390,[2]Cultures!$B$4:$M$283,MATCH(AQ$1,[2]Cultures!$B$3:$M$3,0),FALSE)</f>
        <v>#N/A</v>
      </c>
      <c r="AR390" s="4" t="e">
        <f>VLOOKUP($N390,[2]Cultures!$B$4:$M$283,MATCH(AR$1,[2]Cultures!$B$3:$M$3,0),FALSE)</f>
        <v>#N/A</v>
      </c>
      <c r="AS390" s="4" t="e">
        <f>VLOOKUP($N390,[2]Cultures!$B$4:$M$283,MATCH(AS$1,[2]Cultures!$B$3:$M$3,0),FALSE)</f>
        <v>#N/A</v>
      </c>
      <c r="AT390" s="4"/>
      <c r="AU390" s="4">
        <f>IF(ISNUMBER(SEARCH(N390&amp;";",Calculations!$Q$19)),VLOOKUP(Skills!N390,Calculations!$Q$2:$T$16,4,FALSE),0)</f>
        <v>0</v>
      </c>
      <c r="AV390" s="4">
        <f>IF(ISNUMBER(SEARCH(N390&amp;";",Calculations!$Q$18)),1,0)</f>
        <v>0</v>
      </c>
      <c r="AW390" s="4"/>
      <c r="AX390" s="4">
        <f>VLOOKUP($N390,$N390:$CH390,MATCH('Character Sheet'!$BJ$3,Skills!$N$1:$CH$1,0),FALSE)</f>
        <v>0</v>
      </c>
    </row>
    <row r="391" spans="2:50" x14ac:dyDescent="0.25">
      <c r="B391" s="4" t="e">
        <f t="shared" si="190"/>
        <v>#N/A</v>
      </c>
      <c r="E391" s="4"/>
      <c r="F391" s="4">
        <f t="shared" si="204"/>
        <v>0</v>
      </c>
      <c r="G391" s="4"/>
      <c r="H391" s="4" t="e">
        <f t="shared" si="200"/>
        <v>#N/A</v>
      </c>
      <c r="I391" s="4">
        <v>0</v>
      </c>
      <c r="J391" s="4" t="e">
        <f t="shared" si="205"/>
        <v>#N/A</v>
      </c>
      <c r="K391" s="4" t="e">
        <f t="shared" si="201"/>
        <v>#N/A</v>
      </c>
      <c r="N391" s="3" t="s">
        <v>767</v>
      </c>
      <c r="O391" s="6" t="s">
        <v>782</v>
      </c>
      <c r="P391" s="6" t="s">
        <v>782</v>
      </c>
      <c r="Q391" s="4" t="str">
        <f t="shared" si="197"/>
        <v>- -</v>
      </c>
      <c r="R391" s="4" t="str">
        <f>IF(ISNUMBER(SEARCH("Category",N391)),"- -",IF(ISNUMBER(SEARCH("Skills",N391)),"- -",'Level-up'!C409))</f>
        <v>- -</v>
      </c>
      <c r="S391" s="4" t="str">
        <f t="shared" si="206"/>
        <v>- -</v>
      </c>
      <c r="T391" s="4" t="str">
        <f t="shared" si="207"/>
        <v>- -</v>
      </c>
      <c r="U391" s="4" t="str">
        <f t="shared" ca="1" si="199"/>
        <v>- -</v>
      </c>
      <c r="V391" s="4" t="str">
        <f t="shared" si="203"/>
        <v>- -</v>
      </c>
      <c r="W391" s="4" t="str">
        <f t="shared" si="196"/>
        <v>- -</v>
      </c>
      <c r="X391" s="4" t="str">
        <f t="shared" si="194"/>
        <v>- -</v>
      </c>
      <c r="Y391" s="4" t="str">
        <f t="shared" si="208"/>
        <v>- -</v>
      </c>
      <c r="Z391" s="4" t="str">
        <f t="shared" si="209"/>
        <v>- -</v>
      </c>
      <c r="AA391" s="4" t="str">
        <f t="shared" si="210"/>
        <v>- -</v>
      </c>
      <c r="AB391" s="4" t="str">
        <f t="shared" si="211"/>
        <v>- -</v>
      </c>
      <c r="AC391" s="8"/>
      <c r="AD391" s="4"/>
      <c r="AE391" s="4"/>
      <c r="AF391" s="4" t="str">
        <f t="shared" si="185"/>
        <v>- -</v>
      </c>
      <c r="AG391" s="4"/>
      <c r="AH391" s="4">
        <f>IFERROR(VLOOKUP(M391,Calculations!$AC$2:$AD$251,2,FALSE),0)</f>
        <v>0</v>
      </c>
      <c r="AI391" s="4" t="e">
        <f>VLOOKUP(N391,$N$2:$AS$620,MATCH('Character Creation'!$Z$12,Skills!$N$1:$AS$1,0),FALSE)</f>
        <v>#N/A</v>
      </c>
      <c r="AJ391" s="4" t="e">
        <f>VLOOKUP($N391,[2]Cultures!$B$4:$M$283,MATCH(AJ$1,[2]Cultures!$B$3:$M$3,0),FALSE)</f>
        <v>#N/A</v>
      </c>
      <c r="AK391" s="4" t="e">
        <f>VLOOKUP($N391,[2]Cultures!$B$4:$M$283,MATCH(AK$1,[2]Cultures!$B$3:$M$3,0),FALSE)</f>
        <v>#N/A</v>
      </c>
      <c r="AL391" s="4" t="e">
        <f>VLOOKUP($N391,[2]Cultures!$B$4:$M$283,MATCH(AL$1,[2]Cultures!$B$3:$M$3,0),FALSE)</f>
        <v>#N/A</v>
      </c>
      <c r="AM391" s="4" t="e">
        <f>VLOOKUP($N391,[2]Cultures!$B$4:$M$283,MATCH(AM$1,[2]Cultures!$B$3:$M$3,0),FALSE)</f>
        <v>#N/A</v>
      </c>
      <c r="AN391" s="4" t="e">
        <f>VLOOKUP($N391,[2]Cultures!$B$4:$M$283,MATCH(AN$1,[2]Cultures!$B$3:$M$3,0),FALSE)</f>
        <v>#N/A</v>
      </c>
      <c r="AO391" s="4" t="e">
        <f>VLOOKUP($N391,[2]Cultures!$B$4:$M$283,MATCH(AO$1,[2]Cultures!$B$3:$M$3,0),FALSE)</f>
        <v>#N/A</v>
      </c>
      <c r="AP391" s="4" t="e">
        <f>VLOOKUP($N391,[2]Cultures!$B$4:$M$283,MATCH(AP$1,[2]Cultures!$B$3:$M$3,0),FALSE)</f>
        <v>#N/A</v>
      </c>
      <c r="AQ391" s="4" t="e">
        <f>VLOOKUP($N391,[2]Cultures!$B$4:$M$283,MATCH(AQ$1,[2]Cultures!$B$3:$M$3,0),FALSE)</f>
        <v>#N/A</v>
      </c>
      <c r="AR391" s="4" t="e">
        <f>VLOOKUP($N391,[2]Cultures!$B$4:$M$283,MATCH(AR$1,[2]Cultures!$B$3:$M$3,0),FALSE)</f>
        <v>#N/A</v>
      </c>
      <c r="AS391" s="4" t="e">
        <f>VLOOKUP($N391,[2]Cultures!$B$4:$M$283,MATCH(AS$1,[2]Cultures!$B$3:$M$3,0),FALSE)</f>
        <v>#N/A</v>
      </c>
      <c r="AT391" s="4"/>
      <c r="AU391" s="4">
        <f>IF(ISNUMBER(SEARCH(N391&amp;";",Calculations!$Q$19)),VLOOKUP(Skills!N391,Calculations!$Q$2:$T$16,4,FALSE),0)</f>
        <v>0</v>
      </c>
      <c r="AV391" s="4">
        <f>IF(ISNUMBER(SEARCH(N391&amp;";",Calculations!$Q$18)),1,0)</f>
        <v>0</v>
      </c>
      <c r="AW391" s="4"/>
      <c r="AX391" s="4">
        <f>VLOOKUP($N391,$N391:$CH391,MATCH('Character Sheet'!$BJ$3,Skills!$N$1:$CH$1,0),FALSE)</f>
        <v>0</v>
      </c>
    </row>
    <row r="392" spans="2:50" x14ac:dyDescent="0.25">
      <c r="B392" s="4" t="e">
        <f t="shared" si="190"/>
        <v>#N/A</v>
      </c>
      <c r="E392" s="4"/>
      <c r="F392" s="4">
        <f t="shared" si="204"/>
        <v>0</v>
      </c>
      <c r="G392" s="4"/>
      <c r="H392" s="4" t="e">
        <f t="shared" si="200"/>
        <v>#N/A</v>
      </c>
      <c r="I392" s="4" t="e">
        <f>IF($J$389=1,1,IF($J$391=1,1,0))</f>
        <v>#N/A</v>
      </c>
      <c r="J392" s="4">
        <f t="shared" si="205"/>
        <v>0</v>
      </c>
      <c r="K392" s="4">
        <f t="shared" si="201"/>
        <v>0</v>
      </c>
      <c r="M392" t="str">
        <f>N392</f>
        <v>Channeling</v>
      </c>
      <c r="N392" s="3" t="str">
        <f>'Character Sheet'!CKZ5</f>
        <v>Channeling</v>
      </c>
      <c r="O392" s="4" t="str">
        <f>RealmStat&amp;"/"&amp;RealmStat</f>
        <v>Em/Em</v>
      </c>
      <c r="P392" s="4" t="s">
        <v>784</v>
      </c>
      <c r="Q392" s="4">
        <f t="shared" si="197"/>
        <v>0</v>
      </c>
      <c r="R392" s="4">
        <f>IF(ISNUMBER(SEARCH("Category",N392)),"- -",IF(ISNUMBER(SEARCH("Skills",N392)),"- -",'Level-up'!C410))</f>
        <v>0</v>
      </c>
      <c r="S392" s="4">
        <f t="shared" si="206"/>
        <v>0</v>
      </c>
      <c r="T392" s="4">
        <f t="shared" si="207"/>
        <v>-25</v>
      </c>
      <c r="U392" s="4">
        <f t="shared" ca="1" si="199"/>
        <v>8</v>
      </c>
      <c r="V392" s="4">
        <f>IF(ISNUMBER(SEARCH("Category",N392)),"- -",IF(ISNUMBER(SEARCH("Skills",N392)),"- -",IF(AU392&gt;0,AU392,IF($AU$390&gt;0,$AU$390,$AU$388))))</f>
        <v>0</v>
      </c>
      <c r="W392" s="4">
        <f t="shared" si="196"/>
        <v>0</v>
      </c>
      <c r="X392" s="4">
        <f t="shared" si="194"/>
        <v>0</v>
      </c>
      <c r="Y392" s="4">
        <f t="shared" si="208"/>
        <v>0</v>
      </c>
      <c r="Z392" s="4">
        <f t="shared" si="209"/>
        <v>0</v>
      </c>
      <c r="AA392" s="4">
        <f t="shared" si="210"/>
        <v>0</v>
      </c>
      <c r="AB392" s="4">
        <f t="shared" si="211"/>
        <v>0</v>
      </c>
      <c r="AC392" s="8"/>
      <c r="AD392" s="4"/>
      <c r="AE392" s="4"/>
      <c r="AF392" s="4" t="str">
        <f t="shared" ca="1" si="185"/>
        <v>-17</v>
      </c>
      <c r="AG392" s="4"/>
      <c r="AH392" s="4">
        <f>IFERROR(VLOOKUP(M392,Calculations!$AC$2:$AD$251,2,FALSE),0)</f>
        <v>0</v>
      </c>
      <c r="AI392" s="4">
        <f>VLOOKUP(N392,$N$2:$AS$620,MATCH('Character Creation'!$Z$12,Skills!$N$1:$AS$1,0),FALSE)</f>
        <v>0</v>
      </c>
      <c r="AJ392" s="4">
        <f>VLOOKUP($N392,[2]Cultures!$B$4:$M$283,MATCH(AJ$1,[2]Cultures!$B$3:$M$3,0),FALSE)</f>
        <v>0</v>
      </c>
      <c r="AK392" s="4">
        <f>VLOOKUP($N392,[2]Cultures!$B$4:$M$283,MATCH(AK$1,[2]Cultures!$B$3:$M$3,0),FALSE)</f>
        <v>0</v>
      </c>
      <c r="AL392" s="4">
        <f>VLOOKUP($N392,[2]Cultures!$B$4:$M$283,MATCH(AL$1,[2]Cultures!$B$3:$M$3,0),FALSE)</f>
        <v>0</v>
      </c>
      <c r="AM392" s="4">
        <f>VLOOKUP($N392,[2]Cultures!$B$4:$M$283,MATCH(AM$1,[2]Cultures!$B$3:$M$3,0),FALSE)</f>
        <v>0</v>
      </c>
      <c r="AN392" s="4">
        <f>VLOOKUP($N392,[2]Cultures!$B$4:$M$283,MATCH(AN$1,[2]Cultures!$B$3:$M$3,0),FALSE)</f>
        <v>0</v>
      </c>
      <c r="AO392" s="4">
        <f>VLOOKUP($N392,[2]Cultures!$B$4:$M$283,MATCH(AO$1,[2]Cultures!$B$3:$M$3,0),FALSE)</f>
        <v>0</v>
      </c>
      <c r="AP392" s="4">
        <f>VLOOKUP($N392,[2]Cultures!$B$4:$M$283,MATCH(AP$1,[2]Cultures!$B$3:$M$3,0),FALSE)</f>
        <v>0</v>
      </c>
      <c r="AQ392" s="4">
        <f>VLOOKUP($N392,[2]Cultures!$B$4:$M$283,MATCH(AQ$1,[2]Cultures!$B$3:$M$3,0),FALSE)</f>
        <v>0</v>
      </c>
      <c r="AR392" s="4">
        <f>VLOOKUP($N392,[2]Cultures!$B$4:$M$283,MATCH(AR$1,[2]Cultures!$B$3:$M$3,0),FALSE)</f>
        <v>0</v>
      </c>
      <c r="AS392" s="4">
        <f>VLOOKUP($N392,[2]Cultures!$B$4:$M$283,MATCH(AS$1,[2]Cultures!$B$3:$M$3,0),FALSE)</f>
        <v>0</v>
      </c>
      <c r="AT392" s="4"/>
      <c r="AU392" s="4">
        <f>IF(ISNUMBER(SEARCH(N392&amp;";",Calculations!$Q$19)),VLOOKUP(Skills!N392,Calculations!$Q$2:$T$16,4,FALSE),0)</f>
        <v>0</v>
      </c>
      <c r="AV392" s="4">
        <f>IF(ISNUMBER(SEARCH(N392&amp;";",Calculations!$Q$18)),1,0)</f>
        <v>0</v>
      </c>
      <c r="AW392" s="4">
        <f>IF($AV$388=1,1,IF($AV$390=1,1,AV392))</f>
        <v>0</v>
      </c>
      <c r="AX392" s="4">
        <f>VLOOKUP($N392,$N392:$CH392,MATCH('Character Sheet'!$BJ$3,Skills!$N$1:$CH$1,0),FALSE)</f>
        <v>0</v>
      </c>
    </row>
    <row r="393" spans="2:50" x14ac:dyDescent="0.25">
      <c r="B393" s="4" t="e">
        <f t="shared" si="190"/>
        <v>#N/A</v>
      </c>
      <c r="E393" s="4"/>
      <c r="F393" s="4">
        <f t="shared" si="204"/>
        <v>0</v>
      </c>
      <c r="G393" s="4"/>
      <c r="H393" s="4" t="e">
        <f t="shared" si="200"/>
        <v>#N/A</v>
      </c>
      <c r="I393" s="4" t="e">
        <f>IF($J$389=1,1,IF($J$391=1,1,0))</f>
        <v>#N/A</v>
      </c>
      <c r="J393" s="4">
        <f t="shared" si="205"/>
        <v>0</v>
      </c>
      <c r="K393" s="4" t="e">
        <f t="shared" si="201"/>
        <v>#N/A</v>
      </c>
      <c r="M393" t="str">
        <f>N393</f>
        <v>Power Development</v>
      </c>
      <c r="N393" s="3" t="str">
        <f>'Character Sheet'!CKZ6</f>
        <v>Power Development</v>
      </c>
      <c r="O393" s="4" t="str">
        <f>RealmStat&amp;"/"&amp;RealmStat</f>
        <v>Em/Em</v>
      </c>
      <c r="P393" s="4" t="s">
        <v>789</v>
      </c>
      <c r="Q393" s="4" t="e">
        <f t="shared" si="197"/>
        <v>#N/A</v>
      </c>
      <c r="R393" s="4">
        <f>IF(ISNUMBER(SEARCH("Category",N393)),"- -",IF(ISNUMBER(SEARCH("Skills",N393)),"- -",'Level-up'!C411))</f>
        <v>0</v>
      </c>
      <c r="S393" s="4" t="e">
        <f t="shared" si="206"/>
        <v>#N/A</v>
      </c>
      <c r="T393" s="4" t="e">
        <f t="shared" si="207"/>
        <v>#N/A</v>
      </c>
      <c r="U393" s="4">
        <f t="shared" ca="1" si="199"/>
        <v>8</v>
      </c>
      <c r="V393" s="4">
        <f>IF(ISNUMBER(SEARCH("Category",N393)),"- -",IF(ISNUMBER(SEARCH("Skills",N393)),"- -",IF(AU393&gt;0,AU393,IF($AU$390&gt;0,$AU$390,$AU$388))))</f>
        <v>0</v>
      </c>
      <c r="W393" s="4">
        <f t="shared" si="196"/>
        <v>0</v>
      </c>
      <c r="X393" s="4">
        <f t="shared" si="194"/>
        <v>0</v>
      </c>
      <c r="Y393" s="4">
        <f t="shared" si="208"/>
        <v>0</v>
      </c>
      <c r="Z393" s="4">
        <f t="shared" si="209"/>
        <v>0</v>
      </c>
      <c r="AA393" s="4">
        <f t="shared" si="210"/>
        <v>0</v>
      </c>
      <c r="AB393" s="4">
        <f t="shared" si="211"/>
        <v>0</v>
      </c>
      <c r="AC393" s="8"/>
      <c r="AD393" s="4"/>
      <c r="AE393" s="4"/>
      <c r="AF393" s="4" t="e">
        <f t="shared" si="185"/>
        <v>#N/A</v>
      </c>
      <c r="AG393" s="4"/>
      <c r="AH393" s="4">
        <f>IFERROR(VLOOKUP(M393,Calculations!$AC$2:$AD$251,2,FALSE),0)</f>
        <v>0</v>
      </c>
      <c r="AI393" s="4" t="e">
        <f>VLOOKUP(N393,$N$2:$AS$620,MATCH('Character Creation'!$Z$12,Skills!$N$1:$AS$1,0),FALSE)</f>
        <v>#N/A</v>
      </c>
      <c r="AJ393" s="4" t="e">
        <f>VLOOKUP($N393,[2]Cultures!$B$4:$M$283,MATCH(AJ$1,[2]Cultures!$B$3:$M$3,0),FALSE)</f>
        <v>#N/A</v>
      </c>
      <c r="AK393" s="4" t="e">
        <f>VLOOKUP($N393,[2]Cultures!$B$4:$M$283,MATCH(AK$1,[2]Cultures!$B$3:$M$3,0),FALSE)</f>
        <v>#N/A</v>
      </c>
      <c r="AL393" s="4" t="e">
        <f>VLOOKUP($N393,[2]Cultures!$B$4:$M$283,MATCH(AL$1,[2]Cultures!$B$3:$M$3,0),FALSE)</f>
        <v>#N/A</v>
      </c>
      <c r="AM393" s="4" t="e">
        <f>VLOOKUP($N393,[2]Cultures!$B$4:$M$283,MATCH(AM$1,[2]Cultures!$B$3:$M$3,0),FALSE)</f>
        <v>#N/A</v>
      </c>
      <c r="AN393" s="4" t="e">
        <f>VLOOKUP($N393,[2]Cultures!$B$4:$M$283,MATCH(AN$1,[2]Cultures!$B$3:$M$3,0),FALSE)</f>
        <v>#N/A</v>
      </c>
      <c r="AO393" s="4" t="e">
        <f>VLOOKUP($N393,[2]Cultures!$B$4:$M$283,MATCH(AO$1,[2]Cultures!$B$3:$M$3,0),FALSE)</f>
        <v>#N/A</v>
      </c>
      <c r="AP393" s="4" t="e">
        <f>VLOOKUP($N393,[2]Cultures!$B$4:$M$283,MATCH(AP$1,[2]Cultures!$B$3:$M$3,0),FALSE)</f>
        <v>#N/A</v>
      </c>
      <c r="AQ393" s="4" t="e">
        <f>VLOOKUP($N393,[2]Cultures!$B$4:$M$283,MATCH(AQ$1,[2]Cultures!$B$3:$M$3,0),FALSE)</f>
        <v>#N/A</v>
      </c>
      <c r="AR393" s="4" t="e">
        <f>VLOOKUP($N393,[2]Cultures!$B$4:$M$283,MATCH(AR$1,[2]Cultures!$B$3:$M$3,0),FALSE)</f>
        <v>#N/A</v>
      </c>
      <c r="AS393" s="4" t="e">
        <f>VLOOKUP($N393,[2]Cultures!$B$4:$M$283,MATCH(AS$1,[2]Cultures!$B$3:$M$3,0),FALSE)</f>
        <v>#N/A</v>
      </c>
      <c r="AT393" s="4"/>
      <c r="AU393" s="4">
        <f>IF(ISNUMBER(SEARCH(N393&amp;";",Calculations!$Q$19)),VLOOKUP(Skills!N393,Calculations!$Q$2:$T$16,4,FALSE),0)</f>
        <v>0</v>
      </c>
      <c r="AV393" s="4">
        <f>IF(ISNUMBER(SEARCH(N393&amp;";",Calculations!$Q$18)),1,0)</f>
        <v>0</v>
      </c>
      <c r="AW393" s="4">
        <f>IF($AV$388=1,1,IF($AV$390=1,1,AV393))</f>
        <v>0</v>
      </c>
      <c r="AX393" s="4">
        <f>VLOOKUP($N393,$N393:$CH393,MATCH('Character Sheet'!$BJ$3,Skills!$N$1:$CH$1,0),FALSE)</f>
        <v>0</v>
      </c>
    </row>
    <row r="394" spans="2:50" x14ac:dyDescent="0.25">
      <c r="B394" s="4" t="e">
        <f t="shared" si="190"/>
        <v>#N/A</v>
      </c>
      <c r="E394" s="4"/>
      <c r="F394" s="4">
        <f t="shared" si="204"/>
        <v>0</v>
      </c>
      <c r="G394" s="4"/>
      <c r="H394" s="4" t="e">
        <f t="shared" si="200"/>
        <v>#N/A</v>
      </c>
      <c r="I394" s="4" t="e">
        <f>IF($J$389=1,1,IF($J$391=1,1,0))</f>
        <v>#N/A</v>
      </c>
      <c r="J394" s="4">
        <f t="shared" si="205"/>
        <v>0</v>
      </c>
      <c r="K394" s="4">
        <f t="shared" si="201"/>
        <v>0</v>
      </c>
      <c r="M394" t="str">
        <f>N394</f>
        <v>Power Projection</v>
      </c>
      <c r="N394" s="3" t="str">
        <f>'Character Sheet'!CKZ7</f>
        <v>Power Projection</v>
      </c>
      <c r="O394" s="4" t="str">
        <f>RealmStat&amp;"/"&amp;RealmStat</f>
        <v>Em/Em</v>
      </c>
      <c r="P394" s="4" t="s">
        <v>784</v>
      </c>
      <c r="Q394" s="4">
        <f t="shared" si="197"/>
        <v>0</v>
      </c>
      <c r="R394" s="4">
        <f>IF(ISNUMBER(SEARCH("Category",N394)),"- -",IF(ISNUMBER(SEARCH("Skills",N394)),"- -",'Level-up'!C412))</f>
        <v>0</v>
      </c>
      <c r="S394" s="4">
        <f t="shared" si="206"/>
        <v>0</v>
      </c>
      <c r="T394" s="4">
        <f t="shared" si="207"/>
        <v>-25</v>
      </c>
      <c r="U394" s="4">
        <f t="shared" ca="1" si="199"/>
        <v>8</v>
      </c>
      <c r="V394" s="4">
        <f>IF(ISNUMBER(SEARCH("Category",N394)),"- -",IF(ISNUMBER(SEARCH("Skills",N394)),"- -",IF(AU394&gt;0,AU394,IF($AU$390&gt;0,$AU$390,$AU$388))))</f>
        <v>0</v>
      </c>
      <c r="W394" s="4">
        <f t="shared" si="196"/>
        <v>0</v>
      </c>
      <c r="X394" s="4">
        <f t="shared" si="194"/>
        <v>0</v>
      </c>
      <c r="Y394" s="4">
        <f t="shared" si="208"/>
        <v>0</v>
      </c>
      <c r="Z394" s="4">
        <f t="shared" si="209"/>
        <v>0</v>
      </c>
      <c r="AA394" s="4">
        <f t="shared" si="210"/>
        <v>0</v>
      </c>
      <c r="AB394" s="4">
        <f t="shared" si="211"/>
        <v>0</v>
      </c>
      <c r="AC394" s="8"/>
      <c r="AD394" s="4"/>
      <c r="AE394" s="4"/>
      <c r="AF394" s="4" t="str">
        <f t="shared" ref="AF394:AF457" ca="1" si="212">IF(ISNUMBER(SEARCH("Skills",N394)),"- -",IF(ISNUMBER(SEARCH("category",N394)),"- -",SUM(T394:Y394)+SUM(AA394:AE394)&amp;IF(AA394=Z394,"","/"&amp;SUM(T394:AE394))))</f>
        <v>-17</v>
      </c>
      <c r="AG394" s="4"/>
      <c r="AH394" s="4">
        <f>IFERROR(VLOOKUP(M394,Calculations!$AC$2:$AD$251,2,FALSE),0)</f>
        <v>0</v>
      </c>
      <c r="AI394" s="4">
        <f>VLOOKUP(N394,$N$2:$AS$620,MATCH('Character Creation'!$Z$12,Skills!$N$1:$AS$1,0),FALSE)</f>
        <v>0</v>
      </c>
      <c r="AJ394" s="4">
        <f>VLOOKUP($N394,[2]Cultures!$B$4:$M$283,MATCH(AJ$1,[2]Cultures!$B$3:$M$3,0),FALSE)</f>
        <v>0</v>
      </c>
      <c r="AK394" s="4">
        <f>VLOOKUP($N394,[2]Cultures!$B$4:$M$283,MATCH(AK$1,[2]Cultures!$B$3:$M$3,0),FALSE)</f>
        <v>0</v>
      </c>
      <c r="AL394" s="4">
        <f>VLOOKUP($N394,[2]Cultures!$B$4:$M$283,MATCH(AL$1,[2]Cultures!$B$3:$M$3,0),FALSE)</f>
        <v>0</v>
      </c>
      <c r="AM394" s="4">
        <f>VLOOKUP($N394,[2]Cultures!$B$4:$M$283,MATCH(AM$1,[2]Cultures!$B$3:$M$3,0),FALSE)</f>
        <v>0</v>
      </c>
      <c r="AN394" s="4">
        <f>VLOOKUP($N394,[2]Cultures!$B$4:$M$283,MATCH(AN$1,[2]Cultures!$B$3:$M$3,0),FALSE)</f>
        <v>0</v>
      </c>
      <c r="AO394" s="4">
        <f>VLOOKUP($N394,[2]Cultures!$B$4:$M$283,MATCH(AO$1,[2]Cultures!$B$3:$M$3,0),FALSE)</f>
        <v>0</v>
      </c>
      <c r="AP394" s="4">
        <f>VLOOKUP($N394,[2]Cultures!$B$4:$M$283,MATCH(AP$1,[2]Cultures!$B$3:$M$3,0),FALSE)</f>
        <v>0</v>
      </c>
      <c r="AQ394" s="4">
        <f>VLOOKUP($N394,[2]Cultures!$B$4:$M$283,MATCH(AQ$1,[2]Cultures!$B$3:$M$3,0),FALSE)</f>
        <v>0</v>
      </c>
      <c r="AR394" s="4">
        <f>VLOOKUP($N394,[2]Cultures!$B$4:$M$283,MATCH(AR$1,[2]Cultures!$B$3:$M$3,0),FALSE)</f>
        <v>0</v>
      </c>
      <c r="AS394" s="4">
        <f>VLOOKUP($N394,[2]Cultures!$B$4:$M$283,MATCH(AS$1,[2]Cultures!$B$3:$M$3,0),FALSE)</f>
        <v>0</v>
      </c>
      <c r="AT394" s="4"/>
      <c r="AU394" s="4">
        <f>IF(ISNUMBER(SEARCH(N394&amp;";",Calculations!$Q$19)),VLOOKUP(Skills!N394,Calculations!$Q$2:$T$16,4,FALSE),0)</f>
        <v>0</v>
      </c>
      <c r="AV394" s="4">
        <f>IF(ISNUMBER(SEARCH(N394&amp;";",Calculations!$Q$18)),1,0)</f>
        <v>0</v>
      </c>
      <c r="AW394" s="4">
        <f>IF($AV$388=1,1,IF($AV$390=1,1,AV394))</f>
        <v>0</v>
      </c>
      <c r="AX394" s="4">
        <f>VLOOKUP($N394,$N394:$CH394,MATCH('Character Sheet'!$BJ$3,Skills!$N$1:$CH$1,0),FALSE)</f>
        <v>0</v>
      </c>
    </row>
    <row r="395" spans="2:50" x14ac:dyDescent="0.25">
      <c r="B395" s="4" t="e">
        <f t="shared" si="190"/>
        <v>#N/A</v>
      </c>
      <c r="E395" s="4"/>
      <c r="F395" s="4">
        <f t="shared" si="204"/>
        <v>0</v>
      </c>
      <c r="G395" s="4"/>
      <c r="H395" s="4" t="e">
        <f t="shared" si="200"/>
        <v>#N/A</v>
      </c>
      <c r="I395" s="4" t="e">
        <f>IF($J$389=1,1,IF($J$396=1,1,0))</f>
        <v>#N/A</v>
      </c>
      <c r="J395" s="4">
        <f t="shared" si="205"/>
        <v>0</v>
      </c>
      <c r="K395" s="4" t="e">
        <f t="shared" si="201"/>
        <v>#N/A</v>
      </c>
      <c r="N395" s="3" t="s">
        <v>710</v>
      </c>
      <c r="O395" s="6" t="s">
        <v>782</v>
      </c>
      <c r="P395" s="6" t="s">
        <v>782</v>
      </c>
      <c r="Q395" s="4" t="str">
        <f t="shared" si="197"/>
        <v>- -</v>
      </c>
      <c r="R395" s="4" t="str">
        <f>IF(ISNUMBER(SEARCH("Category",N395)),"- -",IF(ISNUMBER(SEARCH("Skills",N395)),"- -",'Level-up'!C413))</f>
        <v>- -</v>
      </c>
      <c r="S395" s="4" t="str">
        <f t="shared" si="206"/>
        <v>- -</v>
      </c>
      <c r="T395" s="4" t="str">
        <f t="shared" si="207"/>
        <v>- -</v>
      </c>
      <c r="U395" s="4" t="str">
        <f t="shared" ca="1" si="199"/>
        <v>- -</v>
      </c>
      <c r="V395" s="4" t="str">
        <f>IF(ISNUMBER(SEARCH("Category",N395)),"- -",IF(ISNUMBER(SEARCH("Skills",N395)),"- -",IF(AU395&gt;0,AU395,IF($AU$390&gt;0,$AU$390,$AU$388))))</f>
        <v>- -</v>
      </c>
      <c r="W395" s="4" t="str">
        <f t="shared" si="196"/>
        <v>- -</v>
      </c>
      <c r="X395" s="4" t="str">
        <f t="shared" si="194"/>
        <v>- -</v>
      </c>
      <c r="Y395" s="4" t="str">
        <f t="shared" si="208"/>
        <v>- -</v>
      </c>
      <c r="Z395" s="4" t="str">
        <f t="shared" si="209"/>
        <v>- -</v>
      </c>
      <c r="AA395" s="4" t="str">
        <f t="shared" si="210"/>
        <v>- -</v>
      </c>
      <c r="AB395" s="4" t="str">
        <f t="shared" si="211"/>
        <v>- -</v>
      </c>
      <c r="AC395" s="8"/>
      <c r="AD395" s="4"/>
      <c r="AE395" s="4"/>
      <c r="AF395" s="4" t="str">
        <f t="shared" si="212"/>
        <v>- -</v>
      </c>
      <c r="AG395" s="4"/>
      <c r="AH395" s="4">
        <f>IFERROR(VLOOKUP(M395,Calculations!$AC$2:$AD$251,2,FALSE),0)</f>
        <v>0</v>
      </c>
      <c r="AI395" s="4" t="e">
        <f>VLOOKUP(N395,$N$2:$AS$620,MATCH('Character Creation'!$Z$12,Skills!$N$1:$AS$1,0),FALSE)</f>
        <v>#N/A</v>
      </c>
      <c r="AJ395" s="4" t="e">
        <f>VLOOKUP($N395,[2]Cultures!$B$4:$M$283,MATCH(AJ$1,[2]Cultures!$B$3:$M$3,0),FALSE)</f>
        <v>#N/A</v>
      </c>
      <c r="AK395" s="4" t="e">
        <f>VLOOKUP($N395,[2]Cultures!$B$4:$M$283,MATCH(AK$1,[2]Cultures!$B$3:$M$3,0),FALSE)</f>
        <v>#N/A</v>
      </c>
      <c r="AL395" s="4" t="e">
        <f>VLOOKUP($N395,[2]Cultures!$B$4:$M$283,MATCH(AL$1,[2]Cultures!$B$3:$M$3,0),FALSE)</f>
        <v>#N/A</v>
      </c>
      <c r="AM395" s="4" t="e">
        <f>VLOOKUP($N395,[2]Cultures!$B$4:$M$283,MATCH(AM$1,[2]Cultures!$B$3:$M$3,0),FALSE)</f>
        <v>#N/A</v>
      </c>
      <c r="AN395" s="4" t="e">
        <f>VLOOKUP($N395,[2]Cultures!$B$4:$M$283,MATCH(AN$1,[2]Cultures!$B$3:$M$3,0),FALSE)</f>
        <v>#N/A</v>
      </c>
      <c r="AO395" s="4" t="e">
        <f>VLOOKUP($N395,[2]Cultures!$B$4:$M$283,MATCH(AO$1,[2]Cultures!$B$3:$M$3,0),FALSE)</f>
        <v>#N/A</v>
      </c>
      <c r="AP395" s="4" t="e">
        <f>VLOOKUP($N395,[2]Cultures!$B$4:$M$283,MATCH(AP$1,[2]Cultures!$B$3:$M$3,0),FALSE)</f>
        <v>#N/A</v>
      </c>
      <c r="AQ395" s="4" t="e">
        <f>VLOOKUP($N395,[2]Cultures!$B$4:$M$283,MATCH(AQ$1,[2]Cultures!$B$3:$M$3,0),FALSE)</f>
        <v>#N/A</v>
      </c>
      <c r="AR395" s="4" t="e">
        <f>VLOOKUP($N395,[2]Cultures!$B$4:$M$283,MATCH(AR$1,[2]Cultures!$B$3:$M$3,0),FALSE)</f>
        <v>#N/A</v>
      </c>
      <c r="AS395" s="4" t="e">
        <f>VLOOKUP($N395,[2]Cultures!$B$4:$M$283,MATCH(AS$1,[2]Cultures!$B$3:$M$3,0),FALSE)</f>
        <v>#N/A</v>
      </c>
      <c r="AT395" s="4"/>
      <c r="AU395" s="4">
        <f>IF(ISNUMBER(SEARCH(N395&amp;";",Calculations!$Q$19)),VLOOKUP(Skills!N395,Calculations!$Q$2:$T$16,4,FALSE),0)</f>
        <v>0</v>
      </c>
      <c r="AV395" s="4">
        <f>IF(ISNUMBER(SEARCH(N395&amp;";",Calculations!$Q$18)),1,0)</f>
        <v>0</v>
      </c>
      <c r="AW395" s="4"/>
      <c r="AX395" s="4">
        <f>VLOOKUP($N395,$N395:$CH395,MATCH('Character Sheet'!$BJ$3,Skills!$N$1:$CH$1,0),FALSE)</f>
        <v>0</v>
      </c>
    </row>
    <row r="396" spans="2:50" x14ac:dyDescent="0.25">
      <c r="B396" s="4" t="e">
        <f t="shared" si="190"/>
        <v>#N/A</v>
      </c>
      <c r="E396" s="4"/>
      <c r="F396" s="4">
        <f t="shared" si="204"/>
        <v>0</v>
      </c>
      <c r="G396" s="4"/>
      <c r="H396" s="4" t="e">
        <f t="shared" si="200"/>
        <v>#N/A</v>
      </c>
      <c r="I396" s="4">
        <v>0</v>
      </c>
      <c r="J396" s="4" t="e">
        <f t="shared" si="205"/>
        <v>#N/A</v>
      </c>
      <c r="K396" s="4" t="e">
        <f t="shared" si="201"/>
        <v>#N/A</v>
      </c>
      <c r="N396" s="3" t="s">
        <v>711</v>
      </c>
      <c r="O396" s="6" t="s">
        <v>782</v>
      </c>
      <c r="P396" s="6" t="s">
        <v>782</v>
      </c>
      <c r="Q396" s="4" t="str">
        <f t="shared" si="197"/>
        <v>- -</v>
      </c>
      <c r="R396" s="4" t="str">
        <f>IF(ISNUMBER(SEARCH("Category",N396)),"- -",IF(ISNUMBER(SEARCH("Skills",N396)),"- -",'Level-up'!C414))</f>
        <v>- -</v>
      </c>
      <c r="S396" s="4" t="str">
        <f t="shared" si="206"/>
        <v>- -</v>
      </c>
      <c r="T396" s="4" t="str">
        <f t="shared" si="207"/>
        <v>- -</v>
      </c>
      <c r="U396" s="4" t="str">
        <f t="shared" ca="1" si="199"/>
        <v>- -</v>
      </c>
      <c r="V396" s="4" t="str">
        <f>IF(ISNUMBER(SEARCH("Category",N396)),"- -",IF(ISNUMBER(SEARCH("Skills",N396)),"- -",IF(AU396&gt;0,AU396,IF($AU$390&gt;0,$AU$390,$AU$388))))</f>
        <v>- -</v>
      </c>
      <c r="W396" s="4" t="str">
        <f t="shared" si="196"/>
        <v>- -</v>
      </c>
      <c r="X396" s="4" t="str">
        <f t="shared" si="194"/>
        <v>- -</v>
      </c>
      <c r="Y396" s="4" t="str">
        <f t="shared" si="208"/>
        <v>- -</v>
      </c>
      <c r="Z396" s="4" t="str">
        <f t="shared" si="209"/>
        <v>- -</v>
      </c>
      <c r="AA396" s="4" t="str">
        <f t="shared" si="210"/>
        <v>- -</v>
      </c>
      <c r="AB396" s="4" t="str">
        <f t="shared" si="211"/>
        <v>- -</v>
      </c>
      <c r="AC396" s="8"/>
      <c r="AD396" s="4"/>
      <c r="AE396" s="4"/>
      <c r="AF396" s="4" t="str">
        <f t="shared" si="212"/>
        <v>- -</v>
      </c>
      <c r="AG396" s="4"/>
      <c r="AH396" s="4">
        <f>IFERROR(VLOOKUP(M396,Calculations!$AC$2:$AD$251,2,FALSE),0)</f>
        <v>0</v>
      </c>
      <c r="AI396" s="4" t="e">
        <f>VLOOKUP(N396,$N$2:$AS$620,MATCH('Character Creation'!$Z$12,Skills!$N$1:$AS$1,0),FALSE)</f>
        <v>#N/A</v>
      </c>
      <c r="AJ396" s="4" t="e">
        <f>VLOOKUP($N396,[2]Cultures!$B$4:$M$283,MATCH(AJ$1,[2]Cultures!$B$3:$M$3,0),FALSE)</f>
        <v>#N/A</v>
      </c>
      <c r="AK396" s="4" t="e">
        <f>VLOOKUP($N396,[2]Cultures!$B$4:$M$283,MATCH(AK$1,[2]Cultures!$B$3:$M$3,0),FALSE)</f>
        <v>#N/A</v>
      </c>
      <c r="AL396" s="4" t="e">
        <f>VLOOKUP($N396,[2]Cultures!$B$4:$M$283,MATCH(AL$1,[2]Cultures!$B$3:$M$3,0),FALSE)</f>
        <v>#N/A</v>
      </c>
      <c r="AM396" s="4" t="e">
        <f>VLOOKUP($N396,[2]Cultures!$B$4:$M$283,MATCH(AM$1,[2]Cultures!$B$3:$M$3,0),FALSE)</f>
        <v>#N/A</v>
      </c>
      <c r="AN396" s="4" t="e">
        <f>VLOOKUP($N396,[2]Cultures!$B$4:$M$283,MATCH(AN$1,[2]Cultures!$B$3:$M$3,0),FALSE)</f>
        <v>#N/A</v>
      </c>
      <c r="AO396" s="4" t="e">
        <f>VLOOKUP($N396,[2]Cultures!$B$4:$M$283,MATCH(AO$1,[2]Cultures!$B$3:$M$3,0),FALSE)</f>
        <v>#N/A</v>
      </c>
      <c r="AP396" s="4" t="e">
        <f>VLOOKUP($N396,[2]Cultures!$B$4:$M$283,MATCH(AP$1,[2]Cultures!$B$3:$M$3,0),FALSE)</f>
        <v>#N/A</v>
      </c>
      <c r="AQ396" s="4" t="e">
        <f>VLOOKUP($N396,[2]Cultures!$B$4:$M$283,MATCH(AQ$1,[2]Cultures!$B$3:$M$3,0),FALSE)</f>
        <v>#N/A</v>
      </c>
      <c r="AR396" s="4" t="e">
        <f>VLOOKUP($N396,[2]Cultures!$B$4:$M$283,MATCH(AR$1,[2]Cultures!$B$3:$M$3,0),FALSE)</f>
        <v>#N/A</v>
      </c>
      <c r="AS396" s="4" t="e">
        <f>VLOOKUP($N396,[2]Cultures!$B$4:$M$283,MATCH(AS$1,[2]Cultures!$B$3:$M$3,0),FALSE)</f>
        <v>#N/A</v>
      </c>
      <c r="AT396" s="4"/>
      <c r="AU396" s="4">
        <f>IF(ISNUMBER(SEARCH(N396&amp;";",Calculations!$Q$19)),VLOOKUP(Skills!N396,Calculations!$Q$2:$T$16,4,FALSE),0)</f>
        <v>0</v>
      </c>
      <c r="AV396" s="4">
        <f>IF(ISNUMBER(SEARCH(N396&amp;";",Calculations!$Q$18)),1,0)</f>
        <v>0</v>
      </c>
      <c r="AW396" s="4"/>
      <c r="AX396" s="4">
        <f>VLOOKUP($N396,$N396:$CH396,MATCH('Character Sheet'!$BJ$3,Skills!$N$1:$CH$1,0),FALSE)</f>
        <v>0</v>
      </c>
    </row>
    <row r="397" spans="2:50" x14ac:dyDescent="0.25">
      <c r="B397" s="4" t="e">
        <f t="shared" si="190"/>
        <v>#N/A</v>
      </c>
      <c r="E397" s="4"/>
      <c r="F397" s="4">
        <f t="shared" si="204"/>
        <v>0</v>
      </c>
      <c r="G397" s="4"/>
      <c r="H397" s="4" t="e">
        <f t="shared" si="200"/>
        <v>#N/A</v>
      </c>
      <c r="I397" s="4" t="e">
        <f>IF($J$389=1,1,IF($J$396=1,1,0))</f>
        <v>#N/A</v>
      </c>
      <c r="J397" s="4">
        <f t="shared" si="205"/>
        <v>0</v>
      </c>
      <c r="K397" s="4" t="e">
        <f t="shared" si="201"/>
        <v>#N/A</v>
      </c>
      <c r="M397" t="str">
        <f>"Directed Spell, "&amp;N397</f>
        <v>Directed Spell, Elemental Attacks</v>
      </c>
      <c r="N397" s="3" t="str">
        <f>'Character Sheet'!CKZ11</f>
        <v>Elemental Attacks</v>
      </c>
      <c r="O397" s="4" t="str">
        <f>RealmStat&amp;"/"&amp;RealmStat</f>
        <v>Em/Em</v>
      </c>
      <c r="P397" s="4" t="s">
        <v>786</v>
      </c>
      <c r="Q397" s="4" t="e">
        <f t="shared" si="197"/>
        <v>#N/A</v>
      </c>
      <c r="R397" s="4">
        <f>IF(ISNUMBER(SEARCH("Category",N397)),"- -",IF(ISNUMBER(SEARCH("Skills",N397)),"- -",'Level-up'!C415))</f>
        <v>0</v>
      </c>
      <c r="S397" s="4" t="e">
        <f t="shared" si="206"/>
        <v>#N/A</v>
      </c>
      <c r="T397" s="4" t="e">
        <f t="shared" si="207"/>
        <v>#N/A</v>
      </c>
      <c r="U397" s="4">
        <f t="shared" ca="1" si="199"/>
        <v>12</v>
      </c>
      <c r="V397" s="4">
        <f t="shared" ref="V397:V404" si="213">IF(ISNUMBER(SEARCH("Category",N397)),"- -",IF(ISNUMBER(SEARCH("Skills",N397)),"- -",IF(AU397&gt;0,AU397,IF($AU$395&gt;0,$AU$395,$AU$388))))</f>
        <v>0</v>
      </c>
      <c r="W397" s="4">
        <f t="shared" si="196"/>
        <v>0</v>
      </c>
      <c r="X397" s="4">
        <f t="shared" si="194"/>
        <v>0</v>
      </c>
      <c r="Y397" s="4">
        <f t="shared" si="208"/>
        <v>0</v>
      </c>
      <c r="Z397" s="4">
        <f t="shared" si="209"/>
        <v>0</v>
      </c>
      <c r="AA397" s="4">
        <f t="shared" si="210"/>
        <v>0</v>
      </c>
      <c r="AB397" s="4">
        <f t="shared" si="211"/>
        <v>0</v>
      </c>
      <c r="AC397" s="8"/>
      <c r="AD397" s="4"/>
      <c r="AE397" s="4"/>
      <c r="AF397" s="4" t="e">
        <f t="shared" si="212"/>
        <v>#N/A</v>
      </c>
      <c r="AG397" s="4"/>
      <c r="AH397" s="4">
        <f>IFERROR(VLOOKUP(M397,Calculations!$AC$2:$AD$251,2,FALSE),0)</f>
        <v>0</v>
      </c>
      <c r="AI397" s="4" t="e">
        <f>VLOOKUP(N397,$N$2:$AS$620,MATCH('Character Creation'!$Z$12,Skills!$N$1:$AS$1,0),FALSE)</f>
        <v>#N/A</v>
      </c>
      <c r="AJ397" s="4" t="e">
        <f>VLOOKUP($N397,[2]Cultures!$B$4:$M$283,MATCH(AJ$1,[2]Cultures!$B$3:$M$3,0),FALSE)</f>
        <v>#N/A</v>
      </c>
      <c r="AK397" s="4" t="e">
        <f>VLOOKUP($N397,[2]Cultures!$B$4:$M$283,MATCH(AK$1,[2]Cultures!$B$3:$M$3,0),FALSE)</f>
        <v>#N/A</v>
      </c>
      <c r="AL397" s="4" t="e">
        <f>VLOOKUP($N397,[2]Cultures!$B$4:$M$283,MATCH(AL$1,[2]Cultures!$B$3:$M$3,0),FALSE)</f>
        <v>#N/A</v>
      </c>
      <c r="AM397" s="4" t="e">
        <f>VLOOKUP($N397,[2]Cultures!$B$4:$M$283,MATCH(AM$1,[2]Cultures!$B$3:$M$3,0),FALSE)</f>
        <v>#N/A</v>
      </c>
      <c r="AN397" s="4" t="e">
        <f>VLOOKUP($N397,[2]Cultures!$B$4:$M$283,MATCH(AN$1,[2]Cultures!$B$3:$M$3,0),FALSE)</f>
        <v>#N/A</v>
      </c>
      <c r="AO397" s="4" t="e">
        <f>VLOOKUP($N397,[2]Cultures!$B$4:$M$283,MATCH(AO$1,[2]Cultures!$B$3:$M$3,0),FALSE)</f>
        <v>#N/A</v>
      </c>
      <c r="AP397" s="4" t="e">
        <f>VLOOKUP($N397,[2]Cultures!$B$4:$M$283,MATCH(AP$1,[2]Cultures!$B$3:$M$3,0),FALSE)</f>
        <v>#N/A</v>
      </c>
      <c r="AQ397" s="4" t="e">
        <f>VLOOKUP($N397,[2]Cultures!$B$4:$M$283,MATCH(AQ$1,[2]Cultures!$B$3:$M$3,0),FALSE)</f>
        <v>#N/A</v>
      </c>
      <c r="AR397" s="4" t="e">
        <f>VLOOKUP($N397,[2]Cultures!$B$4:$M$283,MATCH(AR$1,[2]Cultures!$B$3:$M$3,0),FALSE)</f>
        <v>#N/A</v>
      </c>
      <c r="AS397" s="4" t="e">
        <f>VLOOKUP($N397,[2]Cultures!$B$4:$M$283,MATCH(AS$1,[2]Cultures!$B$3:$M$3,0),FALSE)</f>
        <v>#N/A</v>
      </c>
      <c r="AT397" s="4"/>
      <c r="AU397" s="4">
        <f>IF(ISNUMBER(SEARCH(N397&amp;";",Calculations!$Q$19)),VLOOKUP(Skills!N397,Calculations!$Q$2:$T$16,4,FALSE),0)</f>
        <v>0</v>
      </c>
      <c r="AV397" s="4">
        <f>IF(ISNUMBER(SEARCH(N397&amp;";",Calculations!$Q$18)),1,0)</f>
        <v>0</v>
      </c>
      <c r="AW397" s="4">
        <f>IF($AV$388=1,1,IF($AV$395=1,1,AV397))</f>
        <v>0</v>
      </c>
      <c r="AX397" s="4">
        <f>VLOOKUP($N397,$N397:$CH397,MATCH('Character Sheet'!$BJ$3,Skills!$N$1:$CH$1,0),FALSE)</f>
        <v>0</v>
      </c>
    </row>
    <row r="398" spans="2:50" x14ac:dyDescent="0.25">
      <c r="B398" s="4" t="e">
        <f t="shared" si="190"/>
        <v>#N/A</v>
      </c>
      <c r="E398" s="4"/>
      <c r="F398" s="4">
        <f t="shared" si="204"/>
        <v>0</v>
      </c>
      <c r="G398" s="4"/>
      <c r="H398" s="4" t="e">
        <f t="shared" si="200"/>
        <v>#N/A</v>
      </c>
      <c r="I398" s="4" t="e">
        <f>IF($J$389=1,1,IF($J$396=1,1,0))</f>
        <v>#N/A</v>
      </c>
      <c r="J398" s="4">
        <f t="shared" si="205"/>
        <v>0</v>
      </c>
      <c r="K398" s="4" t="e">
        <f t="shared" si="201"/>
        <v>#N/A</v>
      </c>
      <c r="M398" t="str">
        <f>"Directed Spell, "&amp;N398</f>
        <v>Directed Spell, Illusionary Attacks</v>
      </c>
      <c r="N398" s="3" t="str">
        <f>'Character Sheet'!CKZ12</f>
        <v>Illusionary Attacks</v>
      </c>
      <c r="O398" s="4" t="str">
        <f>RealmStat&amp;"/"&amp;RealmStat</f>
        <v>Em/Em</v>
      </c>
      <c r="P398" s="4" t="s">
        <v>786</v>
      </c>
      <c r="Q398" s="4" t="e">
        <f t="shared" si="197"/>
        <v>#N/A</v>
      </c>
      <c r="R398" s="4">
        <f>IF(ISNUMBER(SEARCH("Category",N398)),"- -",IF(ISNUMBER(SEARCH("Skills",N398)),"- -",'Level-up'!C416))</f>
        <v>0</v>
      </c>
      <c r="S398" s="4" t="e">
        <f t="shared" si="206"/>
        <v>#N/A</v>
      </c>
      <c r="T398" s="4" t="e">
        <f t="shared" si="207"/>
        <v>#N/A</v>
      </c>
      <c r="U398" s="4">
        <f t="shared" ca="1" si="199"/>
        <v>12</v>
      </c>
      <c r="V398" s="4">
        <f t="shared" si="213"/>
        <v>0</v>
      </c>
      <c r="W398" s="4">
        <f t="shared" si="196"/>
        <v>0</v>
      </c>
      <c r="X398" s="4">
        <f t="shared" si="194"/>
        <v>0</v>
      </c>
      <c r="Y398" s="4">
        <f t="shared" si="208"/>
        <v>0</v>
      </c>
      <c r="Z398" s="4">
        <f t="shared" si="209"/>
        <v>0</v>
      </c>
      <c r="AA398" s="4">
        <f t="shared" si="210"/>
        <v>0</v>
      </c>
      <c r="AB398" s="4">
        <f t="shared" si="211"/>
        <v>0</v>
      </c>
      <c r="AC398" s="8"/>
      <c r="AD398" s="4"/>
      <c r="AE398" s="4"/>
      <c r="AF398" s="4" t="e">
        <f t="shared" si="212"/>
        <v>#N/A</v>
      </c>
      <c r="AG398" s="4"/>
      <c r="AH398" s="4">
        <f>IFERROR(VLOOKUP(M398,Calculations!$AC$2:$AD$251,2,FALSE),0)</f>
        <v>0</v>
      </c>
      <c r="AI398" s="4" t="e">
        <f>VLOOKUP(N398,$N$2:$AS$620,MATCH('Character Creation'!$Z$12,Skills!$N$1:$AS$1,0),FALSE)</f>
        <v>#N/A</v>
      </c>
      <c r="AJ398" s="4" t="e">
        <f>VLOOKUP($N398,[2]Cultures!$B$4:$M$283,MATCH(AJ$1,[2]Cultures!$B$3:$M$3,0),FALSE)</f>
        <v>#N/A</v>
      </c>
      <c r="AK398" s="4" t="e">
        <f>VLOOKUP($N398,[2]Cultures!$B$4:$M$283,MATCH(AK$1,[2]Cultures!$B$3:$M$3,0),FALSE)</f>
        <v>#N/A</v>
      </c>
      <c r="AL398" s="4" t="e">
        <f>VLOOKUP($N398,[2]Cultures!$B$4:$M$283,MATCH(AL$1,[2]Cultures!$B$3:$M$3,0),FALSE)</f>
        <v>#N/A</v>
      </c>
      <c r="AM398" s="4" t="e">
        <f>VLOOKUP($N398,[2]Cultures!$B$4:$M$283,MATCH(AM$1,[2]Cultures!$B$3:$M$3,0),FALSE)</f>
        <v>#N/A</v>
      </c>
      <c r="AN398" s="4" t="e">
        <f>VLOOKUP($N398,[2]Cultures!$B$4:$M$283,MATCH(AN$1,[2]Cultures!$B$3:$M$3,0),FALSE)</f>
        <v>#N/A</v>
      </c>
      <c r="AO398" s="4" t="e">
        <f>VLOOKUP($N398,[2]Cultures!$B$4:$M$283,MATCH(AO$1,[2]Cultures!$B$3:$M$3,0),FALSE)</f>
        <v>#N/A</v>
      </c>
      <c r="AP398" s="4" t="e">
        <f>VLOOKUP($N398,[2]Cultures!$B$4:$M$283,MATCH(AP$1,[2]Cultures!$B$3:$M$3,0),FALSE)</f>
        <v>#N/A</v>
      </c>
      <c r="AQ398" s="4" t="e">
        <f>VLOOKUP($N398,[2]Cultures!$B$4:$M$283,MATCH(AQ$1,[2]Cultures!$B$3:$M$3,0),FALSE)</f>
        <v>#N/A</v>
      </c>
      <c r="AR398" s="4" t="e">
        <f>VLOOKUP($N398,[2]Cultures!$B$4:$M$283,MATCH(AR$1,[2]Cultures!$B$3:$M$3,0),FALSE)</f>
        <v>#N/A</v>
      </c>
      <c r="AS398" s="4" t="e">
        <f>VLOOKUP($N398,[2]Cultures!$B$4:$M$283,MATCH(AS$1,[2]Cultures!$B$3:$M$3,0),FALSE)</f>
        <v>#N/A</v>
      </c>
      <c r="AT398" s="4"/>
      <c r="AU398" s="4">
        <f>IF(ISNUMBER(SEARCH(N398&amp;";",Calculations!$Q$19)),VLOOKUP(Skills!N398,Calculations!$Q$2:$T$16,4,FALSE),0)</f>
        <v>0</v>
      </c>
      <c r="AV398" s="4">
        <f>IF(ISNUMBER(SEARCH(N398&amp;";",Calculations!$Q$18)),1,0)</f>
        <v>0</v>
      </c>
      <c r="AW398" s="4">
        <f>IF($AV$388=1,1,IF($AV$395=1,1,AV398))</f>
        <v>0</v>
      </c>
      <c r="AX398" s="4">
        <f>VLOOKUP($N398,$N398:$CH398,MATCH('Character Sheet'!$BJ$3,Skills!$N$1:$CH$1,0),FALSE)</f>
        <v>0</v>
      </c>
    </row>
    <row r="399" spans="2:50" x14ac:dyDescent="0.25">
      <c r="B399" s="4" t="e">
        <f t="shared" si="190"/>
        <v>#N/A</v>
      </c>
      <c r="E399" s="4"/>
      <c r="F399" s="4">
        <f t="shared" si="204"/>
        <v>0</v>
      </c>
      <c r="G399" s="4"/>
      <c r="H399" s="4" t="e">
        <f t="shared" si="200"/>
        <v>#N/A</v>
      </c>
      <c r="I399" s="4" t="e">
        <f>IF($J$389=1,1,IF($J$396=1,1,0))</f>
        <v>#N/A</v>
      </c>
      <c r="J399" s="4">
        <f t="shared" si="205"/>
        <v>0</v>
      </c>
      <c r="K399" s="4" t="e">
        <f t="shared" si="201"/>
        <v>#N/A</v>
      </c>
      <c r="M399" t="str">
        <f>"Directed Spell, "&amp;N399</f>
        <v>Directed Spell, Hurling</v>
      </c>
      <c r="N399" s="3" t="str">
        <f>'Character Sheet'!CKZ13</f>
        <v>Hurling</v>
      </c>
      <c r="O399" s="4" t="str">
        <f>RealmStat&amp;"/"&amp;RealmStat</f>
        <v>Em/Em</v>
      </c>
      <c r="P399" s="4" t="s">
        <v>786</v>
      </c>
      <c r="Q399" s="4" t="e">
        <f t="shared" si="197"/>
        <v>#N/A</v>
      </c>
      <c r="R399" s="4">
        <f>IF(ISNUMBER(SEARCH("Category",N399)),"- -",IF(ISNUMBER(SEARCH("Skills",N399)),"- -",'Level-up'!C417))</f>
        <v>0</v>
      </c>
      <c r="S399" s="4" t="e">
        <f t="shared" si="206"/>
        <v>#N/A</v>
      </c>
      <c r="T399" s="4" t="e">
        <f t="shared" si="207"/>
        <v>#N/A</v>
      </c>
      <c r="U399" s="4">
        <f t="shared" ca="1" si="199"/>
        <v>12</v>
      </c>
      <c r="V399" s="4">
        <f t="shared" si="213"/>
        <v>0</v>
      </c>
      <c r="W399" s="4">
        <f t="shared" si="196"/>
        <v>0</v>
      </c>
      <c r="X399" s="4">
        <f t="shared" si="194"/>
        <v>0</v>
      </c>
      <c r="Y399" s="4">
        <f t="shared" si="208"/>
        <v>0</v>
      </c>
      <c r="Z399" s="4">
        <f t="shared" si="209"/>
        <v>0</v>
      </c>
      <c r="AA399" s="4">
        <f t="shared" si="210"/>
        <v>0</v>
      </c>
      <c r="AB399" s="4">
        <f t="shared" si="211"/>
        <v>0</v>
      </c>
      <c r="AC399" s="8"/>
      <c r="AD399" s="4"/>
      <c r="AE399" s="4"/>
      <c r="AF399" s="4" t="e">
        <f t="shared" si="212"/>
        <v>#N/A</v>
      </c>
      <c r="AG399" s="4"/>
      <c r="AH399" s="4">
        <f>IFERROR(VLOOKUP(M399,Calculations!$AC$2:$AD$251,2,FALSE),0)</f>
        <v>0</v>
      </c>
      <c r="AI399" s="4" t="e">
        <f>VLOOKUP(N399,$N$2:$AS$620,MATCH('Character Creation'!$Z$12,Skills!$N$1:$AS$1,0),FALSE)</f>
        <v>#N/A</v>
      </c>
      <c r="AJ399" s="4" t="e">
        <f>VLOOKUP($N399,[2]Cultures!$B$4:$M$283,MATCH(AJ$1,[2]Cultures!$B$3:$M$3,0),FALSE)</f>
        <v>#N/A</v>
      </c>
      <c r="AK399" s="4" t="e">
        <f>VLOOKUP($N399,[2]Cultures!$B$4:$M$283,MATCH(AK$1,[2]Cultures!$B$3:$M$3,0),FALSE)</f>
        <v>#N/A</v>
      </c>
      <c r="AL399" s="4" t="e">
        <f>VLOOKUP($N399,[2]Cultures!$B$4:$M$283,MATCH(AL$1,[2]Cultures!$B$3:$M$3,0),FALSE)</f>
        <v>#N/A</v>
      </c>
      <c r="AM399" s="4" t="e">
        <f>VLOOKUP($N399,[2]Cultures!$B$4:$M$283,MATCH(AM$1,[2]Cultures!$B$3:$M$3,0),FALSE)</f>
        <v>#N/A</v>
      </c>
      <c r="AN399" s="4" t="e">
        <f>VLOOKUP($N399,[2]Cultures!$B$4:$M$283,MATCH(AN$1,[2]Cultures!$B$3:$M$3,0),FALSE)</f>
        <v>#N/A</v>
      </c>
      <c r="AO399" s="4" t="e">
        <f>VLOOKUP($N399,[2]Cultures!$B$4:$M$283,MATCH(AO$1,[2]Cultures!$B$3:$M$3,0),FALSE)</f>
        <v>#N/A</v>
      </c>
      <c r="AP399" s="4" t="e">
        <f>VLOOKUP($N399,[2]Cultures!$B$4:$M$283,MATCH(AP$1,[2]Cultures!$B$3:$M$3,0),FALSE)</f>
        <v>#N/A</v>
      </c>
      <c r="AQ399" s="4" t="e">
        <f>VLOOKUP($N399,[2]Cultures!$B$4:$M$283,MATCH(AQ$1,[2]Cultures!$B$3:$M$3,0),FALSE)</f>
        <v>#N/A</v>
      </c>
      <c r="AR399" s="4" t="e">
        <f>VLOOKUP($N399,[2]Cultures!$B$4:$M$283,MATCH(AR$1,[2]Cultures!$B$3:$M$3,0),FALSE)</f>
        <v>#N/A</v>
      </c>
      <c r="AS399" s="4" t="e">
        <f>VLOOKUP($N399,[2]Cultures!$B$4:$M$283,MATCH(AS$1,[2]Cultures!$B$3:$M$3,0),FALSE)</f>
        <v>#N/A</v>
      </c>
      <c r="AT399" s="4"/>
      <c r="AU399" s="4">
        <f>IF(ISNUMBER(SEARCH(N399&amp;";",Calculations!$Q$19)),VLOOKUP(Skills!N399,Calculations!$Q$2:$T$16,4,FALSE),0)</f>
        <v>0</v>
      </c>
      <c r="AV399" s="4">
        <f>IF(ISNUMBER(SEARCH(N399&amp;";",Calculations!$Q$18)),1,0)</f>
        <v>0</v>
      </c>
      <c r="AW399" s="4">
        <f>IF($AV$388=1,1,IF($AV$395=1,1,AV399))</f>
        <v>0</v>
      </c>
      <c r="AX399" s="4">
        <f>VLOOKUP($N399,$N399:$CH399,MATCH('Character Sheet'!$BJ$3,Skills!$N$1:$CH$1,0),FALSE)</f>
        <v>0</v>
      </c>
    </row>
    <row r="400" spans="2:50" x14ac:dyDescent="0.25">
      <c r="B400" s="4" t="e">
        <f t="shared" si="190"/>
        <v>#N/A</v>
      </c>
      <c r="E400" s="4"/>
      <c r="F400" s="4">
        <f t="shared" si="204"/>
        <v>0</v>
      </c>
      <c r="G400" s="4"/>
      <c r="H400" s="4" t="e">
        <f t="shared" si="200"/>
        <v>#N/A</v>
      </c>
      <c r="I400" s="4" t="e">
        <f>IF($J$401=1,1,IF($J$404=1,1,IF($J$412=1,1,IF($J$424=1,1,IF($J$434=1,1,IF($J$442=1,1,0))))))</f>
        <v>#N/A</v>
      </c>
      <c r="J400" s="4">
        <f t="shared" si="205"/>
        <v>0</v>
      </c>
      <c r="K400" s="4" t="e">
        <f t="shared" si="201"/>
        <v>#N/A</v>
      </c>
      <c r="N400" s="3" t="s">
        <v>768</v>
      </c>
      <c r="O400" s="6" t="s">
        <v>782</v>
      </c>
      <c r="P400" s="6" t="s">
        <v>782</v>
      </c>
      <c r="Q400" s="4" t="str">
        <f t="shared" si="197"/>
        <v>- -</v>
      </c>
      <c r="R400" s="4" t="str">
        <f>IF(ISNUMBER(SEARCH("Category",N400)),"- -",IF(ISNUMBER(SEARCH("Skills",N400)),"- -",'Level-up'!C418))</f>
        <v>- -</v>
      </c>
      <c r="S400" s="4" t="str">
        <f t="shared" si="206"/>
        <v>- -</v>
      </c>
      <c r="T400" s="4" t="str">
        <f t="shared" si="207"/>
        <v>- -</v>
      </c>
      <c r="U400" s="4" t="str">
        <f t="shared" ca="1" si="199"/>
        <v>- -</v>
      </c>
      <c r="V400" s="4" t="str">
        <f t="shared" si="213"/>
        <v>- -</v>
      </c>
      <c r="W400" s="4" t="str">
        <f t="shared" si="196"/>
        <v>- -</v>
      </c>
      <c r="X400" s="4" t="str">
        <f t="shared" si="194"/>
        <v>- -</v>
      </c>
      <c r="Y400" s="4" t="str">
        <f t="shared" si="208"/>
        <v>- -</v>
      </c>
      <c r="Z400" s="4" t="str">
        <f t="shared" si="209"/>
        <v>- -</v>
      </c>
      <c r="AA400" s="4" t="str">
        <f t="shared" si="210"/>
        <v>- -</v>
      </c>
      <c r="AB400" s="4" t="str">
        <f t="shared" si="211"/>
        <v>- -</v>
      </c>
      <c r="AC400" s="8"/>
      <c r="AD400" s="4"/>
      <c r="AE400" s="4"/>
      <c r="AF400" s="4" t="str">
        <f t="shared" si="212"/>
        <v>- -</v>
      </c>
      <c r="AG400" s="4"/>
      <c r="AH400" s="4">
        <f>IFERROR(VLOOKUP(M400,Calculations!$AC$2:$AD$251,2,FALSE),0)</f>
        <v>0</v>
      </c>
      <c r="AI400" s="4" t="e">
        <f>VLOOKUP(N400,$N$2:$AS$620,MATCH('Character Creation'!$Z$12,Skills!$N$1:$AS$1,0),FALSE)</f>
        <v>#N/A</v>
      </c>
      <c r="AJ400" s="4" t="e">
        <f>VLOOKUP($N400,[2]Cultures!$B$4:$M$283,MATCH(AJ$1,[2]Cultures!$B$3:$M$3,0),FALSE)</f>
        <v>#N/A</v>
      </c>
      <c r="AK400" s="4" t="e">
        <f>VLOOKUP($N400,[2]Cultures!$B$4:$M$283,MATCH(AK$1,[2]Cultures!$B$3:$M$3,0),FALSE)</f>
        <v>#N/A</v>
      </c>
      <c r="AL400" s="4" t="e">
        <f>VLOOKUP($N400,[2]Cultures!$B$4:$M$283,MATCH(AL$1,[2]Cultures!$B$3:$M$3,0),FALSE)</f>
        <v>#N/A</v>
      </c>
      <c r="AM400" s="4" t="e">
        <f>VLOOKUP($N400,[2]Cultures!$B$4:$M$283,MATCH(AM$1,[2]Cultures!$B$3:$M$3,0),FALSE)</f>
        <v>#N/A</v>
      </c>
      <c r="AN400" s="4" t="e">
        <f>VLOOKUP($N400,[2]Cultures!$B$4:$M$283,MATCH(AN$1,[2]Cultures!$B$3:$M$3,0),FALSE)</f>
        <v>#N/A</v>
      </c>
      <c r="AO400" s="4" t="e">
        <f>VLOOKUP($N400,[2]Cultures!$B$4:$M$283,MATCH(AO$1,[2]Cultures!$B$3:$M$3,0),FALSE)</f>
        <v>#N/A</v>
      </c>
      <c r="AP400" s="4" t="e">
        <f>VLOOKUP($N400,[2]Cultures!$B$4:$M$283,MATCH(AP$1,[2]Cultures!$B$3:$M$3,0),FALSE)</f>
        <v>#N/A</v>
      </c>
      <c r="AQ400" s="4" t="e">
        <f>VLOOKUP($N400,[2]Cultures!$B$4:$M$283,MATCH(AQ$1,[2]Cultures!$B$3:$M$3,0),FALSE)</f>
        <v>#N/A</v>
      </c>
      <c r="AR400" s="4" t="e">
        <f>VLOOKUP($N400,[2]Cultures!$B$4:$M$283,MATCH(AR$1,[2]Cultures!$B$3:$M$3,0),FALSE)</f>
        <v>#N/A</v>
      </c>
      <c r="AS400" s="4" t="e">
        <f>VLOOKUP($N400,[2]Cultures!$B$4:$M$283,MATCH(AS$1,[2]Cultures!$B$3:$M$3,0),FALSE)</f>
        <v>#N/A</v>
      </c>
      <c r="AT400" s="4"/>
      <c r="AU400" s="4">
        <f>IF(ISNUMBER(SEARCH(N400&amp;";",Calculations!$Q$19)),VLOOKUP(Skills!N400,Calculations!$Q$2:$T$16,4,FALSE),0)</f>
        <v>0</v>
      </c>
      <c r="AV400" s="4">
        <f>IF(ISNUMBER(SEARCH(N400&amp;";",Calculations!$Q$18)),1,0)</f>
        <v>0</v>
      </c>
      <c r="AW400" s="4"/>
      <c r="AX400" s="4">
        <f>VLOOKUP($N400,$N400:$CH400,MATCH('Character Sheet'!$BJ$3,Skills!$N$1:$CH$1,0),FALSE)</f>
        <v>0</v>
      </c>
    </row>
    <row r="401" spans="1:50" x14ac:dyDescent="0.25">
      <c r="B401" s="4" t="e">
        <f t="shared" si="190"/>
        <v>#N/A</v>
      </c>
      <c r="E401" s="4"/>
      <c r="F401" s="4">
        <f t="shared" si="204"/>
        <v>0</v>
      </c>
      <c r="G401" s="4"/>
      <c r="H401" s="4" t="e">
        <f t="shared" si="200"/>
        <v>#N/A</v>
      </c>
      <c r="I401" s="4">
        <v>0</v>
      </c>
      <c r="J401" s="4" t="e">
        <f t="shared" si="205"/>
        <v>#N/A</v>
      </c>
      <c r="K401" s="4" t="e">
        <f t="shared" si="201"/>
        <v>#N/A</v>
      </c>
      <c r="N401" s="3" t="s">
        <v>769</v>
      </c>
      <c r="O401" s="6" t="s">
        <v>782</v>
      </c>
      <c r="P401" s="6" t="s">
        <v>782</v>
      </c>
      <c r="Q401" s="4" t="str">
        <f t="shared" si="197"/>
        <v>- -</v>
      </c>
      <c r="R401" s="4" t="str">
        <f>IF(ISNUMBER(SEARCH("Category",N401)),"- -",IF(ISNUMBER(SEARCH("Skills",N401)),"- -",'Level-up'!C419))</f>
        <v>- -</v>
      </c>
      <c r="S401" s="4" t="str">
        <f t="shared" si="206"/>
        <v>- -</v>
      </c>
      <c r="T401" s="4" t="str">
        <f t="shared" si="207"/>
        <v>- -</v>
      </c>
      <c r="U401" s="4" t="str">
        <f t="shared" ca="1" si="199"/>
        <v>- -</v>
      </c>
      <c r="V401" s="4" t="str">
        <f t="shared" si="213"/>
        <v>- -</v>
      </c>
      <c r="W401" s="4" t="str">
        <f t="shared" si="196"/>
        <v>- -</v>
      </c>
      <c r="X401" s="4" t="str">
        <f t="shared" si="194"/>
        <v>- -</v>
      </c>
      <c r="Y401" s="4" t="str">
        <f t="shared" si="208"/>
        <v>- -</v>
      </c>
      <c r="Z401" s="4" t="str">
        <f t="shared" si="209"/>
        <v>- -</v>
      </c>
      <c r="AA401" s="4" t="str">
        <f t="shared" si="210"/>
        <v>- -</v>
      </c>
      <c r="AB401" s="4" t="str">
        <f t="shared" si="211"/>
        <v>- -</v>
      </c>
      <c r="AC401" s="8"/>
      <c r="AD401" s="4"/>
      <c r="AE401" s="4"/>
      <c r="AF401" s="4" t="str">
        <f t="shared" si="212"/>
        <v>- -</v>
      </c>
      <c r="AG401" s="4"/>
      <c r="AH401" s="4">
        <f>IFERROR(VLOOKUP(M401,Calculations!$AC$2:$AD$251,2,FALSE),0)</f>
        <v>0</v>
      </c>
      <c r="AI401" s="4" t="e">
        <f>VLOOKUP(N401,$N$2:$AS$620,MATCH('Character Creation'!$Z$12,Skills!$N$1:$AS$1,0),FALSE)</f>
        <v>#N/A</v>
      </c>
      <c r="AJ401" s="4" t="e">
        <f>VLOOKUP($N401,[2]Cultures!$B$4:$M$283,MATCH(AJ$1,[2]Cultures!$B$3:$M$3,0),FALSE)</f>
        <v>#N/A</v>
      </c>
      <c r="AK401" s="4" t="e">
        <f>VLOOKUP($N401,[2]Cultures!$B$4:$M$283,MATCH(AK$1,[2]Cultures!$B$3:$M$3,0),FALSE)</f>
        <v>#N/A</v>
      </c>
      <c r="AL401" s="4" t="e">
        <f>VLOOKUP($N401,[2]Cultures!$B$4:$M$283,MATCH(AL$1,[2]Cultures!$B$3:$M$3,0),FALSE)</f>
        <v>#N/A</v>
      </c>
      <c r="AM401" s="4" t="e">
        <f>VLOOKUP($N401,[2]Cultures!$B$4:$M$283,MATCH(AM$1,[2]Cultures!$B$3:$M$3,0),FALSE)</f>
        <v>#N/A</v>
      </c>
      <c r="AN401" s="4" t="e">
        <f>VLOOKUP($N401,[2]Cultures!$B$4:$M$283,MATCH(AN$1,[2]Cultures!$B$3:$M$3,0),FALSE)</f>
        <v>#N/A</v>
      </c>
      <c r="AO401" s="4" t="e">
        <f>VLOOKUP($N401,[2]Cultures!$B$4:$M$283,MATCH(AO$1,[2]Cultures!$B$3:$M$3,0),FALSE)</f>
        <v>#N/A</v>
      </c>
      <c r="AP401" s="4" t="e">
        <f>VLOOKUP($N401,[2]Cultures!$B$4:$M$283,MATCH(AP$1,[2]Cultures!$B$3:$M$3,0),FALSE)</f>
        <v>#N/A</v>
      </c>
      <c r="AQ401" s="4" t="e">
        <f>VLOOKUP($N401,[2]Cultures!$B$4:$M$283,MATCH(AQ$1,[2]Cultures!$B$3:$M$3,0),FALSE)</f>
        <v>#N/A</v>
      </c>
      <c r="AR401" s="4" t="e">
        <f>VLOOKUP($N401,[2]Cultures!$B$4:$M$283,MATCH(AR$1,[2]Cultures!$B$3:$M$3,0),FALSE)</f>
        <v>#N/A</v>
      </c>
      <c r="AS401" s="4" t="e">
        <f>VLOOKUP($N401,[2]Cultures!$B$4:$M$283,MATCH(AS$1,[2]Cultures!$B$3:$M$3,0),FALSE)</f>
        <v>#N/A</v>
      </c>
      <c r="AT401" s="4"/>
      <c r="AU401" s="4">
        <f>IF(ISNUMBER(SEARCH(N401&amp;";",Calculations!$Q$19)),VLOOKUP(Skills!N401,Calculations!$Q$2:$T$16,4,FALSE),0)</f>
        <v>0</v>
      </c>
      <c r="AV401" s="4">
        <f>IF(ISNUMBER(SEARCH(N401&amp;";",Calculations!$Q$18)),1,0)</f>
        <v>0</v>
      </c>
      <c r="AW401" s="4"/>
      <c r="AX401" s="4">
        <f>VLOOKUP($N401,$N401:$CH401,MATCH('Character Sheet'!$BJ$3,Skills!$N$1:$CH$1,0),FALSE)</f>
        <v>0</v>
      </c>
    </row>
    <row r="402" spans="1:50" x14ac:dyDescent="0.25">
      <c r="B402" s="4" t="e">
        <f t="shared" si="190"/>
        <v>#N/A</v>
      </c>
      <c r="E402" s="4"/>
      <c r="F402" s="4">
        <f t="shared" si="204"/>
        <v>0</v>
      </c>
      <c r="G402" s="4"/>
      <c r="H402" s="4" t="e">
        <f t="shared" si="200"/>
        <v>#N/A</v>
      </c>
      <c r="I402" s="4" t="e">
        <f>IF($J$401=1,1,IF($J$404=1,1,IF($J$412=1,1,IF($J$424=1,1,IF($J$434=1,1,IF($J$442=1,1,0))))))</f>
        <v>#N/A</v>
      </c>
      <c r="J402" s="4">
        <f t="shared" si="205"/>
        <v>0</v>
      </c>
      <c r="K402" s="4" t="e">
        <f t="shared" si="201"/>
        <v>#N/A</v>
      </c>
      <c r="N402" s="3" t="s">
        <v>770</v>
      </c>
      <c r="O402" s="6" t="s">
        <v>782</v>
      </c>
      <c r="P402" s="6" t="s">
        <v>782</v>
      </c>
      <c r="Q402" s="4" t="str">
        <f t="shared" si="197"/>
        <v>- -</v>
      </c>
      <c r="R402" s="4" t="str">
        <f>IF(ISNUMBER(SEARCH("Category",N402)),"- -",IF(ISNUMBER(SEARCH("Skills",N402)),"- -",'Level-up'!C420))</f>
        <v>- -</v>
      </c>
      <c r="S402" s="4" t="str">
        <f t="shared" si="206"/>
        <v>- -</v>
      </c>
      <c r="T402" s="4" t="str">
        <f t="shared" si="207"/>
        <v>- -</v>
      </c>
      <c r="U402" s="4" t="str">
        <f t="shared" ca="1" si="199"/>
        <v>- -</v>
      </c>
      <c r="V402" s="4" t="str">
        <f t="shared" si="213"/>
        <v>- -</v>
      </c>
      <c r="W402" s="4" t="str">
        <f t="shared" si="196"/>
        <v>- -</v>
      </c>
      <c r="X402" s="4" t="str">
        <f t="shared" si="194"/>
        <v>- -</v>
      </c>
      <c r="Y402" s="4" t="str">
        <f t="shared" si="208"/>
        <v>- -</v>
      </c>
      <c r="Z402" s="4" t="str">
        <f t="shared" si="209"/>
        <v>- -</v>
      </c>
      <c r="AA402" s="4" t="str">
        <f t="shared" si="210"/>
        <v>- -</v>
      </c>
      <c r="AB402" s="4" t="str">
        <f t="shared" si="211"/>
        <v>- -</v>
      </c>
      <c r="AC402" s="8"/>
      <c r="AD402" s="4"/>
      <c r="AE402" s="4"/>
      <c r="AF402" s="4" t="str">
        <f t="shared" si="212"/>
        <v>- -</v>
      </c>
      <c r="AG402" s="4"/>
      <c r="AH402" s="4">
        <f>IFERROR(VLOOKUP(M402,Calculations!$AC$2:$AD$251,2,FALSE),0)</f>
        <v>0</v>
      </c>
      <c r="AI402" s="4" t="e">
        <f>VLOOKUP(N402,$N$2:$AS$620,MATCH('Character Creation'!$Z$12,Skills!$N$1:$AS$1,0),FALSE)</f>
        <v>#N/A</v>
      </c>
      <c r="AJ402" s="4" t="e">
        <f>VLOOKUP($N402,[2]Cultures!$B$4:$M$283,MATCH(AJ$1,[2]Cultures!$B$3:$M$3,0),FALSE)</f>
        <v>#N/A</v>
      </c>
      <c r="AK402" s="4" t="e">
        <f>VLOOKUP($N402,[2]Cultures!$B$4:$M$283,MATCH(AK$1,[2]Cultures!$B$3:$M$3,0),FALSE)</f>
        <v>#N/A</v>
      </c>
      <c r="AL402" s="4" t="e">
        <f>VLOOKUP($N402,[2]Cultures!$B$4:$M$283,MATCH(AL$1,[2]Cultures!$B$3:$M$3,0),FALSE)</f>
        <v>#N/A</v>
      </c>
      <c r="AM402" s="4" t="e">
        <f>VLOOKUP($N402,[2]Cultures!$B$4:$M$283,MATCH(AM$1,[2]Cultures!$B$3:$M$3,0),FALSE)</f>
        <v>#N/A</v>
      </c>
      <c r="AN402" s="4" t="e">
        <f>VLOOKUP($N402,[2]Cultures!$B$4:$M$283,MATCH(AN$1,[2]Cultures!$B$3:$M$3,0),FALSE)</f>
        <v>#N/A</v>
      </c>
      <c r="AO402" s="4" t="e">
        <f>VLOOKUP($N402,[2]Cultures!$B$4:$M$283,MATCH(AO$1,[2]Cultures!$B$3:$M$3,0),FALSE)</f>
        <v>#N/A</v>
      </c>
      <c r="AP402" s="4" t="e">
        <f>VLOOKUP($N402,[2]Cultures!$B$4:$M$283,MATCH(AP$1,[2]Cultures!$B$3:$M$3,0),FALSE)</f>
        <v>#N/A</v>
      </c>
      <c r="AQ402" s="4" t="e">
        <f>VLOOKUP($N402,[2]Cultures!$B$4:$M$283,MATCH(AQ$1,[2]Cultures!$B$3:$M$3,0),FALSE)</f>
        <v>#N/A</v>
      </c>
      <c r="AR402" s="4" t="e">
        <f>VLOOKUP($N402,[2]Cultures!$B$4:$M$283,MATCH(AR$1,[2]Cultures!$B$3:$M$3,0),FALSE)</f>
        <v>#N/A</v>
      </c>
      <c r="AS402" s="4" t="e">
        <f>VLOOKUP($N402,[2]Cultures!$B$4:$M$283,MATCH(AS$1,[2]Cultures!$B$3:$M$3,0),FALSE)</f>
        <v>#N/A</v>
      </c>
      <c r="AT402" s="4"/>
      <c r="AU402" s="4">
        <f>IF(ISNUMBER(SEARCH(N402&amp;";",Calculations!$Q$19)),VLOOKUP(Skills!N402,Calculations!$Q$2:$T$16,4,FALSE),0)</f>
        <v>0</v>
      </c>
      <c r="AV402" s="4">
        <f>IF(ISNUMBER(SEARCH(N402&amp;";",Calculations!$Q$18)),1,0)</f>
        <v>0</v>
      </c>
      <c r="AW402" s="4"/>
      <c r="AX402" s="4">
        <f>VLOOKUP($N402,$N402:$CH402,MATCH('Character Sheet'!$BJ$3,Skills!$N$1:$CH$1,0),FALSE)</f>
        <v>0</v>
      </c>
    </row>
    <row r="403" spans="1:50" x14ac:dyDescent="0.25">
      <c r="B403" s="4" t="e">
        <f t="shared" si="190"/>
        <v>#N/A</v>
      </c>
      <c r="E403" s="4"/>
      <c r="F403" s="4">
        <f t="shared" si="204"/>
        <v>0</v>
      </c>
      <c r="G403" s="4"/>
      <c r="H403" s="4" t="e">
        <f t="shared" si="200"/>
        <v>#N/A</v>
      </c>
      <c r="I403" s="4" t="e">
        <f>IF($J$401=1,1,IF($J$404=1,1,0))</f>
        <v>#N/A</v>
      </c>
      <c r="J403" s="4">
        <f t="shared" si="205"/>
        <v>0</v>
      </c>
      <c r="K403" s="4" t="e">
        <f t="shared" si="201"/>
        <v>#N/A</v>
      </c>
      <c r="N403" s="3" t="s">
        <v>712</v>
      </c>
      <c r="O403" s="6" t="s">
        <v>782</v>
      </c>
      <c r="P403" s="6" t="s">
        <v>782</v>
      </c>
      <c r="Q403" s="4" t="str">
        <f t="shared" si="197"/>
        <v>- -</v>
      </c>
      <c r="R403" s="4" t="str">
        <f>IF(ISNUMBER(SEARCH("Category",N403)),"- -",IF(ISNUMBER(SEARCH("Skills",N403)),"- -",'Level-up'!C421))</f>
        <v>- -</v>
      </c>
      <c r="S403" s="4" t="str">
        <f t="shared" si="206"/>
        <v>- -</v>
      </c>
      <c r="T403" s="4" t="str">
        <f t="shared" si="207"/>
        <v>- -</v>
      </c>
      <c r="U403" s="4" t="str">
        <f t="shared" ca="1" si="199"/>
        <v>- -</v>
      </c>
      <c r="V403" s="4" t="str">
        <f t="shared" si="213"/>
        <v>- -</v>
      </c>
      <c r="W403" s="4" t="str">
        <f t="shared" si="196"/>
        <v>- -</v>
      </c>
      <c r="X403" s="4" t="str">
        <f t="shared" si="194"/>
        <v>- -</v>
      </c>
      <c r="Y403" s="4" t="str">
        <f t="shared" si="208"/>
        <v>- -</v>
      </c>
      <c r="Z403" s="4" t="str">
        <f t="shared" si="209"/>
        <v>- -</v>
      </c>
      <c r="AA403" s="4" t="str">
        <f t="shared" si="210"/>
        <v>- -</v>
      </c>
      <c r="AB403" s="4" t="str">
        <f t="shared" si="211"/>
        <v>- -</v>
      </c>
      <c r="AC403" s="8"/>
      <c r="AD403" s="4"/>
      <c r="AE403" s="4"/>
      <c r="AF403" s="4" t="str">
        <f t="shared" si="212"/>
        <v>- -</v>
      </c>
      <c r="AG403" s="4"/>
      <c r="AH403" s="4">
        <f>IFERROR(VLOOKUP(M403,Calculations!$AC$2:$AD$251,2,FALSE),0)</f>
        <v>0</v>
      </c>
      <c r="AI403" s="4" t="e">
        <f>VLOOKUP(N403,$N$2:$AS$620,MATCH('Character Creation'!$Z$12,Skills!$N$1:$AS$1,0),FALSE)</f>
        <v>#N/A</v>
      </c>
      <c r="AJ403" s="4" t="e">
        <f>VLOOKUP($N403,[2]Cultures!$B$4:$M$283,MATCH(AJ$1,[2]Cultures!$B$3:$M$3,0),FALSE)</f>
        <v>#N/A</v>
      </c>
      <c r="AK403" s="4" t="e">
        <f>VLOOKUP($N403,[2]Cultures!$B$4:$M$283,MATCH(AK$1,[2]Cultures!$B$3:$M$3,0),FALSE)</f>
        <v>#N/A</v>
      </c>
      <c r="AL403" s="4" t="e">
        <f>VLOOKUP($N403,[2]Cultures!$B$4:$M$283,MATCH(AL$1,[2]Cultures!$B$3:$M$3,0),FALSE)</f>
        <v>#N/A</v>
      </c>
      <c r="AM403" s="4" t="e">
        <f>VLOOKUP($N403,[2]Cultures!$B$4:$M$283,MATCH(AM$1,[2]Cultures!$B$3:$M$3,0),FALSE)</f>
        <v>#N/A</v>
      </c>
      <c r="AN403" s="4" t="e">
        <f>VLOOKUP($N403,[2]Cultures!$B$4:$M$283,MATCH(AN$1,[2]Cultures!$B$3:$M$3,0),FALSE)</f>
        <v>#N/A</v>
      </c>
      <c r="AO403" s="4" t="e">
        <f>VLOOKUP($N403,[2]Cultures!$B$4:$M$283,MATCH(AO$1,[2]Cultures!$B$3:$M$3,0),FALSE)</f>
        <v>#N/A</v>
      </c>
      <c r="AP403" s="4" t="e">
        <f>VLOOKUP($N403,[2]Cultures!$B$4:$M$283,MATCH(AP$1,[2]Cultures!$B$3:$M$3,0),FALSE)</f>
        <v>#N/A</v>
      </c>
      <c r="AQ403" s="4" t="e">
        <f>VLOOKUP($N403,[2]Cultures!$B$4:$M$283,MATCH(AQ$1,[2]Cultures!$B$3:$M$3,0),FALSE)</f>
        <v>#N/A</v>
      </c>
      <c r="AR403" s="4" t="e">
        <f>VLOOKUP($N403,[2]Cultures!$B$4:$M$283,MATCH(AR$1,[2]Cultures!$B$3:$M$3,0),FALSE)</f>
        <v>#N/A</v>
      </c>
      <c r="AS403" s="4" t="e">
        <f>VLOOKUP($N403,[2]Cultures!$B$4:$M$283,MATCH(AS$1,[2]Cultures!$B$3:$M$3,0),FALSE)</f>
        <v>#N/A</v>
      </c>
      <c r="AT403" s="4"/>
      <c r="AU403" s="4">
        <f>IF(ISNUMBER(SEARCH(N403&amp;";",Calculations!$Q$19)),VLOOKUP(Skills!N403,Calculations!$Q$2:$T$16,4,FALSE),0)</f>
        <v>0</v>
      </c>
      <c r="AV403" s="4">
        <f>IF(ISNUMBER(SEARCH(N403&amp;";",Calculations!$Q$18)),1,0)</f>
        <v>0</v>
      </c>
      <c r="AW403" s="4"/>
      <c r="AX403" s="4">
        <f>VLOOKUP($N403,$N403:$CH403,MATCH('Character Sheet'!$BJ$3,Skills!$N$1:$CH$1,0),FALSE)</f>
        <v>0</v>
      </c>
    </row>
    <row r="404" spans="1:50" x14ac:dyDescent="0.25">
      <c r="B404" s="4" t="e">
        <f t="shared" si="190"/>
        <v>#N/A</v>
      </c>
      <c r="E404" s="4"/>
      <c r="F404" s="4">
        <f t="shared" si="204"/>
        <v>0</v>
      </c>
      <c r="G404" s="4"/>
      <c r="H404" s="4" t="e">
        <f t="shared" si="200"/>
        <v>#N/A</v>
      </c>
      <c r="I404" s="4">
        <v>0</v>
      </c>
      <c r="J404" s="4" t="e">
        <f t="shared" si="205"/>
        <v>#N/A</v>
      </c>
      <c r="K404" s="4" t="e">
        <f t="shared" si="201"/>
        <v>#N/A</v>
      </c>
      <c r="N404" s="3" t="s">
        <v>713</v>
      </c>
      <c r="O404" s="6" t="s">
        <v>782</v>
      </c>
      <c r="P404" s="6" t="s">
        <v>782</v>
      </c>
      <c r="Q404" s="4" t="str">
        <f t="shared" si="197"/>
        <v>- -</v>
      </c>
      <c r="R404" s="4" t="str">
        <f>IF(ISNUMBER(SEARCH("Category",N404)),"- -",IF(ISNUMBER(SEARCH("Skills",N404)),"- -",'Level-up'!C422))</f>
        <v>- -</v>
      </c>
      <c r="S404" s="4" t="str">
        <f t="shared" si="206"/>
        <v>- -</v>
      </c>
      <c r="T404" s="4" t="str">
        <f t="shared" si="207"/>
        <v>- -</v>
      </c>
      <c r="U404" s="4" t="str">
        <f t="shared" ca="1" si="199"/>
        <v>- -</v>
      </c>
      <c r="V404" s="4" t="str">
        <f t="shared" si="213"/>
        <v>- -</v>
      </c>
      <c r="W404" s="4" t="str">
        <f t="shared" si="196"/>
        <v>- -</v>
      </c>
      <c r="X404" s="4" t="str">
        <f t="shared" si="194"/>
        <v>- -</v>
      </c>
      <c r="Y404" s="4" t="str">
        <f t="shared" si="208"/>
        <v>- -</v>
      </c>
      <c r="Z404" s="4" t="str">
        <f t="shared" si="209"/>
        <v>- -</v>
      </c>
      <c r="AA404" s="4" t="str">
        <f t="shared" si="210"/>
        <v>- -</v>
      </c>
      <c r="AB404" s="4" t="str">
        <f t="shared" si="211"/>
        <v>- -</v>
      </c>
      <c r="AC404" s="8"/>
      <c r="AD404" s="4"/>
      <c r="AE404" s="4"/>
      <c r="AF404" s="4" t="str">
        <f t="shared" si="212"/>
        <v>- -</v>
      </c>
      <c r="AG404" s="4"/>
      <c r="AH404" s="4">
        <f>IFERROR(VLOOKUP(M404,Calculations!$AC$2:$AD$251,2,FALSE),0)</f>
        <v>0</v>
      </c>
      <c r="AI404" s="4" t="e">
        <f>VLOOKUP(N404,$N$2:$AS$620,MATCH('Character Creation'!$Z$12,Skills!$N$1:$AS$1,0),FALSE)</f>
        <v>#N/A</v>
      </c>
      <c r="AJ404" s="4" t="e">
        <f>VLOOKUP($N404,[2]Cultures!$B$4:$M$283,MATCH(AJ$1,[2]Cultures!$B$3:$M$3,0),FALSE)</f>
        <v>#N/A</v>
      </c>
      <c r="AK404" s="4" t="e">
        <f>VLOOKUP($N404,[2]Cultures!$B$4:$M$283,MATCH(AK$1,[2]Cultures!$B$3:$M$3,0),FALSE)</f>
        <v>#N/A</v>
      </c>
      <c r="AL404" s="4" t="e">
        <f>VLOOKUP($N404,[2]Cultures!$B$4:$M$283,MATCH(AL$1,[2]Cultures!$B$3:$M$3,0),FALSE)</f>
        <v>#N/A</v>
      </c>
      <c r="AM404" s="4" t="e">
        <f>VLOOKUP($N404,[2]Cultures!$B$4:$M$283,MATCH(AM$1,[2]Cultures!$B$3:$M$3,0),FALSE)</f>
        <v>#N/A</v>
      </c>
      <c r="AN404" s="4" t="e">
        <f>VLOOKUP($N404,[2]Cultures!$B$4:$M$283,MATCH(AN$1,[2]Cultures!$B$3:$M$3,0),FALSE)</f>
        <v>#N/A</v>
      </c>
      <c r="AO404" s="4" t="e">
        <f>VLOOKUP($N404,[2]Cultures!$B$4:$M$283,MATCH(AO$1,[2]Cultures!$B$3:$M$3,0),FALSE)</f>
        <v>#N/A</v>
      </c>
      <c r="AP404" s="4" t="e">
        <f>VLOOKUP($N404,[2]Cultures!$B$4:$M$283,MATCH(AP$1,[2]Cultures!$B$3:$M$3,0),FALSE)</f>
        <v>#N/A</v>
      </c>
      <c r="AQ404" s="4" t="e">
        <f>VLOOKUP($N404,[2]Cultures!$B$4:$M$283,MATCH(AQ$1,[2]Cultures!$B$3:$M$3,0),FALSE)</f>
        <v>#N/A</v>
      </c>
      <c r="AR404" s="4" t="e">
        <f>VLOOKUP($N404,[2]Cultures!$B$4:$M$283,MATCH(AR$1,[2]Cultures!$B$3:$M$3,0),FALSE)</f>
        <v>#N/A</v>
      </c>
      <c r="AS404" s="4" t="e">
        <f>VLOOKUP($N404,[2]Cultures!$B$4:$M$283,MATCH(AS$1,[2]Cultures!$B$3:$M$3,0),FALSE)</f>
        <v>#N/A</v>
      </c>
      <c r="AT404" s="4"/>
      <c r="AU404" s="4">
        <f>IF(ISNUMBER(SEARCH(N404&amp;";",Calculations!$Q$19)),VLOOKUP(Skills!N404,Calculations!$Q$2:$T$16,4,FALSE),0)</f>
        <v>0</v>
      </c>
      <c r="AV404" s="4">
        <f>IF(ISNUMBER(SEARCH(N404&amp;";",Calculations!$Q$18)),1,0)</f>
        <v>0</v>
      </c>
      <c r="AW404" s="4"/>
      <c r="AX404" s="4">
        <f>VLOOKUP($N404,$N404:$CH404,MATCH('Character Sheet'!$BJ$3,Skills!$N$1:$CH$1,0),FALSE)</f>
        <v>0</v>
      </c>
    </row>
    <row r="405" spans="1:50" x14ac:dyDescent="0.25">
      <c r="A405" s="4" t="s">
        <v>2241</v>
      </c>
      <c r="B405" s="4" t="e">
        <f t="shared" si="190"/>
        <v>#N/A</v>
      </c>
      <c r="C405" s="4" t="e">
        <f ca="1">IF(S405&gt;0,1,0)</f>
        <v>#N/A</v>
      </c>
      <c r="E405" s="4"/>
      <c r="F405" s="4">
        <f t="shared" ca="1" si="204"/>
        <v>0</v>
      </c>
      <c r="G405" s="4"/>
      <c r="H405" s="4" t="e">
        <f t="shared" si="200"/>
        <v>#N/A</v>
      </c>
      <c r="I405" s="4" t="e">
        <f t="shared" ref="I405:I410" si="214">IF($J$401=1,1,IF($J$404=1,1,0))</f>
        <v>#N/A</v>
      </c>
      <c r="J405" s="4">
        <f t="shared" ca="1" si="205"/>
        <v>0</v>
      </c>
      <c r="K405" s="4" t="e">
        <f t="shared" ca="1" si="201"/>
        <v>#N/A</v>
      </c>
      <c r="M405" t="str">
        <f t="shared" ref="M405:M410" ca="1" si="215">N405</f>
        <v>Houri's Beguilement</v>
      </c>
      <c r="N405" s="3" t="str">
        <f ca="1">'Character Sheet'!COP5</f>
        <v>Houri's Beguilement</v>
      </c>
      <c r="O405" s="4" t="str">
        <f t="shared" ref="O405:O410" si="216">RealmStat&amp;"/"&amp;RealmStat</f>
        <v>Em/Em</v>
      </c>
      <c r="P405" s="4" t="s">
        <v>801</v>
      </c>
      <c r="Q405" s="4" t="e">
        <f t="shared" ca="1" si="197"/>
        <v>#N/A</v>
      </c>
      <c r="R405" s="4">
        <f ca="1">IF(ISNUMBER(SEARCH("Category",N405)),"- -",IF(ISNUMBER(SEARCH("Skills",N405)),"- -",'Level-up'!C423))</f>
        <v>0</v>
      </c>
      <c r="S405" s="4" t="e">
        <f t="shared" ca="1" si="206"/>
        <v>#N/A</v>
      </c>
      <c r="T405" s="4" t="e">
        <f t="shared" ca="1" si="207"/>
        <v>#N/A</v>
      </c>
      <c r="U405" s="4">
        <f t="shared" ca="1" si="199"/>
        <v>10</v>
      </c>
      <c r="V405" s="4">
        <f t="shared" ref="V405:V412" ca="1" si="217">IF(ISNUMBER(SEARCH("Category",N405)),"- -",IF(ISNUMBER(SEARCH("Skills",N405)),"- -",IF(AU405&gt;0,AU405,IF($AU$403&gt;0,$AU$403,$AU$400))))</f>
        <v>0</v>
      </c>
      <c r="W405" s="4">
        <f t="shared" ca="1" si="196"/>
        <v>0</v>
      </c>
      <c r="X405" s="4">
        <f t="shared" ca="1" si="194"/>
        <v>0</v>
      </c>
      <c r="Y405" s="4">
        <f t="shared" ca="1" si="208"/>
        <v>0</v>
      </c>
      <c r="Z405" s="4">
        <f t="shared" ca="1" si="209"/>
        <v>0</v>
      </c>
      <c r="AA405" s="4">
        <f t="shared" ca="1" si="210"/>
        <v>0</v>
      </c>
      <c r="AB405" s="4">
        <f t="shared" ca="1" si="211"/>
        <v>0</v>
      </c>
      <c r="AC405" s="8"/>
      <c r="AD405" s="4"/>
      <c r="AE405" s="4"/>
      <c r="AF405" s="4" t="e">
        <f t="shared" ca="1" si="212"/>
        <v>#N/A</v>
      </c>
      <c r="AG405" s="4" t="s">
        <v>1997</v>
      </c>
      <c r="AH405" s="4">
        <f ca="1">IFERROR(VLOOKUP(M405,Calculations!$AC$2:$AD$251,2,FALSE),0)</f>
        <v>0</v>
      </c>
      <c r="AI405" s="4" t="e">
        <f ca="1">VLOOKUP(N405,$N$2:$AS$620,MATCH('Character Creation'!$Z$12,Skills!$N$1:$AS$1,0),FALSE)</f>
        <v>#N/A</v>
      </c>
      <c r="AJ405" s="4" t="e">
        <f ca="1">VLOOKUP($N405,[2]Cultures!$B$4:$M$283,MATCH(AJ$1,[2]Cultures!$B$3:$M$3,0),FALSE)</f>
        <v>#N/A</v>
      </c>
      <c r="AK405" s="4" t="e">
        <f ca="1">VLOOKUP($N405,[2]Cultures!$B$4:$M$283,MATCH(AK$1,[2]Cultures!$B$3:$M$3,0),FALSE)</f>
        <v>#N/A</v>
      </c>
      <c r="AL405" s="4" t="e">
        <f ca="1">VLOOKUP($N405,[2]Cultures!$B$4:$M$283,MATCH(AL$1,[2]Cultures!$B$3:$M$3,0),FALSE)</f>
        <v>#N/A</v>
      </c>
      <c r="AM405" s="4" t="e">
        <f ca="1">VLOOKUP($N405,[2]Cultures!$B$4:$M$283,MATCH(AM$1,[2]Cultures!$B$3:$M$3,0),FALSE)</f>
        <v>#N/A</v>
      </c>
      <c r="AN405" s="4" t="e">
        <f ca="1">VLOOKUP($N405,[2]Cultures!$B$4:$M$283,MATCH(AN$1,[2]Cultures!$B$3:$M$3,0),FALSE)</f>
        <v>#N/A</v>
      </c>
      <c r="AO405" s="4" t="e">
        <f ca="1">VLOOKUP($N405,[2]Cultures!$B$4:$M$283,MATCH(AO$1,[2]Cultures!$B$3:$M$3,0),FALSE)</f>
        <v>#N/A</v>
      </c>
      <c r="AP405" s="4" t="e">
        <f ca="1">VLOOKUP($N405,[2]Cultures!$B$4:$M$283,MATCH(AP$1,[2]Cultures!$B$3:$M$3,0),FALSE)</f>
        <v>#N/A</v>
      </c>
      <c r="AQ405" s="4" t="e">
        <f ca="1">VLOOKUP($N405,[2]Cultures!$B$4:$M$283,MATCH(AQ$1,[2]Cultures!$B$3:$M$3,0),FALSE)</f>
        <v>#N/A</v>
      </c>
      <c r="AR405" s="4" t="e">
        <f ca="1">VLOOKUP($N405,[2]Cultures!$B$4:$M$283,MATCH(AR$1,[2]Cultures!$B$3:$M$3,0),FALSE)</f>
        <v>#N/A</v>
      </c>
      <c r="AS405" s="4" t="e">
        <f ca="1">VLOOKUP($N405,[2]Cultures!$B$4:$M$283,MATCH(AS$1,[2]Cultures!$B$3:$M$3,0),FALSE)</f>
        <v>#N/A</v>
      </c>
      <c r="AT405" s="4"/>
      <c r="AU405" s="4">
        <f ca="1">IF(ISNUMBER(SEARCH(N405&amp;";",Calculations!$Q$19)),VLOOKUP(Skills!N405,Calculations!$Q$2:$T$16,4,FALSE),0)</f>
        <v>0</v>
      </c>
      <c r="AV405" s="4">
        <f ca="1">IF(ISNUMBER(SEARCH(N405&amp;";",Calculations!$Q$18)),1,0)</f>
        <v>0</v>
      </c>
      <c r="AW405" s="4">
        <f t="shared" ref="AW405:AW410" ca="1" si="218">IF($AV$400=1,1,IF($AV$402=1,1,IF($AV$404=1,1,AV405)))</f>
        <v>0</v>
      </c>
      <c r="AX405" s="4">
        <f ca="1">VLOOKUP($N405,$N405:$CH405,MATCH('Character Sheet'!$BJ$3,Skills!$N$1:$CH$1,0),FALSE)</f>
        <v>0</v>
      </c>
    </row>
    <row r="406" spans="1:50" x14ac:dyDescent="0.25">
      <c r="A406" s="4" t="s">
        <v>2241</v>
      </c>
      <c r="B406" s="4" t="e">
        <f t="shared" si="190"/>
        <v>#N/A</v>
      </c>
      <c r="C406" s="4" t="e">
        <f ca="1">IF(S406&gt;0,C405+1,C405)</f>
        <v>#N/A</v>
      </c>
      <c r="E406" s="4"/>
      <c r="F406" s="4">
        <f t="shared" ca="1" si="204"/>
        <v>0</v>
      </c>
      <c r="G406" s="4"/>
      <c r="H406" s="4" t="e">
        <f t="shared" si="200"/>
        <v>#N/A</v>
      </c>
      <c r="I406" s="4" t="e">
        <f t="shared" si="214"/>
        <v>#N/A</v>
      </c>
      <c r="J406" s="4">
        <f t="shared" ca="1" si="205"/>
        <v>0</v>
      </c>
      <c r="K406" s="4" t="e">
        <f t="shared" ca="1" si="201"/>
        <v>#N/A</v>
      </c>
      <c r="M406" t="str">
        <f t="shared" ca="1" si="215"/>
        <v>Houri's Kisses</v>
      </c>
      <c r="N406" s="3" t="str">
        <f ca="1">'Character Sheet'!COP6</f>
        <v>Houri's Kisses</v>
      </c>
      <c r="O406" s="4" t="str">
        <f t="shared" si="216"/>
        <v>Em/Em</v>
      </c>
      <c r="P406" s="4" t="s">
        <v>801</v>
      </c>
      <c r="Q406" s="4" t="e">
        <f t="shared" ca="1" si="197"/>
        <v>#N/A</v>
      </c>
      <c r="R406" s="4">
        <f ca="1">IF(ISNUMBER(SEARCH("Category",N406)),"- -",IF(ISNUMBER(SEARCH("Skills",N406)),"- -",'Level-up'!C424))</f>
        <v>0</v>
      </c>
      <c r="S406" s="4" t="e">
        <f t="shared" ca="1" si="206"/>
        <v>#N/A</v>
      </c>
      <c r="T406" s="4" t="e">
        <f t="shared" ca="1" si="207"/>
        <v>#N/A</v>
      </c>
      <c r="U406" s="4">
        <f t="shared" ca="1" si="199"/>
        <v>10</v>
      </c>
      <c r="V406" s="4">
        <f t="shared" ca="1" si="217"/>
        <v>0</v>
      </c>
      <c r="W406" s="4">
        <f t="shared" ca="1" si="196"/>
        <v>0</v>
      </c>
      <c r="X406" s="4">
        <f t="shared" ca="1" si="194"/>
        <v>0</v>
      </c>
      <c r="Y406" s="4">
        <f t="shared" ca="1" si="208"/>
        <v>0</v>
      </c>
      <c r="Z406" s="4">
        <f t="shared" ca="1" si="209"/>
        <v>0</v>
      </c>
      <c r="AA406" s="4">
        <f t="shared" ca="1" si="210"/>
        <v>0</v>
      </c>
      <c r="AB406" s="4">
        <f t="shared" ca="1" si="211"/>
        <v>0</v>
      </c>
      <c r="AC406" s="8"/>
      <c r="AD406" s="4"/>
      <c r="AE406" s="4"/>
      <c r="AF406" s="4" t="e">
        <f t="shared" ca="1" si="212"/>
        <v>#N/A</v>
      </c>
      <c r="AG406" s="4" t="s">
        <v>1997</v>
      </c>
      <c r="AH406" s="4">
        <f ca="1">IFERROR(VLOOKUP(M406,Calculations!$AC$2:$AD$251,2,FALSE),0)</f>
        <v>0</v>
      </c>
      <c r="AI406" s="4" t="e">
        <f ca="1">VLOOKUP(N406,$N$2:$AS$620,MATCH('Character Creation'!$Z$12,Skills!$N$1:$AS$1,0),FALSE)</f>
        <v>#N/A</v>
      </c>
      <c r="AJ406" s="4" t="e">
        <f ca="1">VLOOKUP($N406,[2]Cultures!$B$4:$M$283,MATCH(AJ$1,[2]Cultures!$B$3:$M$3,0),FALSE)</f>
        <v>#N/A</v>
      </c>
      <c r="AK406" s="4" t="e">
        <f ca="1">VLOOKUP($N406,[2]Cultures!$B$4:$M$283,MATCH(AK$1,[2]Cultures!$B$3:$M$3,0),FALSE)</f>
        <v>#N/A</v>
      </c>
      <c r="AL406" s="4" t="e">
        <f ca="1">VLOOKUP($N406,[2]Cultures!$B$4:$M$283,MATCH(AL$1,[2]Cultures!$B$3:$M$3,0),FALSE)</f>
        <v>#N/A</v>
      </c>
      <c r="AM406" s="4" t="e">
        <f ca="1">VLOOKUP($N406,[2]Cultures!$B$4:$M$283,MATCH(AM$1,[2]Cultures!$B$3:$M$3,0),FALSE)</f>
        <v>#N/A</v>
      </c>
      <c r="AN406" s="4" t="e">
        <f ca="1">VLOOKUP($N406,[2]Cultures!$B$4:$M$283,MATCH(AN$1,[2]Cultures!$B$3:$M$3,0),FALSE)</f>
        <v>#N/A</v>
      </c>
      <c r="AO406" s="4" t="e">
        <f ca="1">VLOOKUP($N406,[2]Cultures!$B$4:$M$283,MATCH(AO$1,[2]Cultures!$B$3:$M$3,0),FALSE)</f>
        <v>#N/A</v>
      </c>
      <c r="AP406" s="4" t="e">
        <f ca="1">VLOOKUP($N406,[2]Cultures!$B$4:$M$283,MATCH(AP$1,[2]Cultures!$B$3:$M$3,0),FALSE)</f>
        <v>#N/A</v>
      </c>
      <c r="AQ406" s="4" t="e">
        <f ca="1">VLOOKUP($N406,[2]Cultures!$B$4:$M$283,MATCH(AQ$1,[2]Cultures!$B$3:$M$3,0),FALSE)</f>
        <v>#N/A</v>
      </c>
      <c r="AR406" s="4" t="e">
        <f ca="1">VLOOKUP($N406,[2]Cultures!$B$4:$M$283,MATCH(AR$1,[2]Cultures!$B$3:$M$3,0),FALSE)</f>
        <v>#N/A</v>
      </c>
      <c r="AS406" s="4" t="e">
        <f ca="1">VLOOKUP($N406,[2]Cultures!$B$4:$M$283,MATCH(AS$1,[2]Cultures!$B$3:$M$3,0),FALSE)</f>
        <v>#N/A</v>
      </c>
      <c r="AT406" s="4"/>
      <c r="AU406" s="4">
        <f ca="1">IF(ISNUMBER(SEARCH(N406&amp;";",Calculations!$Q$19)),VLOOKUP(Skills!N406,Calculations!$Q$2:$T$16,4,FALSE),0)</f>
        <v>0</v>
      </c>
      <c r="AV406" s="4">
        <f ca="1">IF(ISNUMBER(SEARCH(N406&amp;";",Calculations!$Q$18)),1,0)</f>
        <v>0</v>
      </c>
      <c r="AW406" s="4">
        <f t="shared" ca="1" si="218"/>
        <v>0</v>
      </c>
      <c r="AX406" s="4">
        <f ca="1">VLOOKUP($N406,$N406:$CH406,MATCH('Character Sheet'!$BJ$3,Skills!$N$1:$CH$1,0),FALSE)</f>
        <v>0</v>
      </c>
    </row>
    <row r="407" spans="1:50" x14ac:dyDescent="0.25">
      <c r="A407" s="4" t="s">
        <v>2241</v>
      </c>
      <c r="B407" s="4" t="e">
        <f t="shared" si="190"/>
        <v>#N/A</v>
      </c>
      <c r="C407" s="4" t="e">
        <f t="shared" ref="C407:C440" ca="1" si="219">IF(S407&gt;0,C406+1,C406)</f>
        <v>#N/A</v>
      </c>
      <c r="E407" s="4"/>
      <c r="F407" s="4">
        <f t="shared" ca="1" si="204"/>
        <v>0</v>
      </c>
      <c r="G407" s="4"/>
      <c r="H407" s="4" t="e">
        <f t="shared" si="200"/>
        <v>#N/A</v>
      </c>
      <c r="I407" s="4" t="e">
        <f t="shared" si="214"/>
        <v>#N/A</v>
      </c>
      <c r="J407" s="4">
        <f t="shared" ca="1" si="205"/>
        <v>0</v>
      </c>
      <c r="K407" s="4" t="e">
        <f t="shared" ca="1" si="201"/>
        <v>#N/A</v>
      </c>
      <c r="M407" t="str">
        <f t="shared" ca="1" si="215"/>
        <v>Influences</v>
      </c>
      <c r="N407" s="3" t="str">
        <f ca="1">'Character Sheet'!COP7</f>
        <v>Influences</v>
      </c>
      <c r="O407" s="4" t="str">
        <f t="shared" si="216"/>
        <v>Em/Em</v>
      </c>
      <c r="P407" s="4" t="s">
        <v>801</v>
      </c>
      <c r="Q407" s="4" t="e">
        <f t="shared" ca="1" si="197"/>
        <v>#N/A</v>
      </c>
      <c r="R407" s="4">
        <f ca="1">IF(ISNUMBER(SEARCH("Category",N407)),"- -",IF(ISNUMBER(SEARCH("Skills",N407)),"- -",'Level-up'!C425))</f>
        <v>0</v>
      </c>
      <c r="S407" s="4" t="e">
        <f t="shared" ca="1" si="206"/>
        <v>#N/A</v>
      </c>
      <c r="T407" s="4" t="e">
        <f t="shared" ca="1" si="207"/>
        <v>#N/A</v>
      </c>
      <c r="U407" s="4">
        <f t="shared" ca="1" si="199"/>
        <v>10</v>
      </c>
      <c r="V407" s="4">
        <f t="shared" ca="1" si="217"/>
        <v>0</v>
      </c>
      <c r="W407" s="4">
        <f t="shared" ca="1" si="196"/>
        <v>0</v>
      </c>
      <c r="X407" s="4">
        <f t="shared" ca="1" si="194"/>
        <v>0</v>
      </c>
      <c r="Y407" s="4">
        <f t="shared" ca="1" si="208"/>
        <v>0</v>
      </c>
      <c r="Z407" s="4">
        <f t="shared" ca="1" si="209"/>
        <v>0</v>
      </c>
      <c r="AA407" s="4">
        <f t="shared" ca="1" si="210"/>
        <v>0</v>
      </c>
      <c r="AB407" s="4">
        <f t="shared" ca="1" si="211"/>
        <v>0</v>
      </c>
      <c r="AC407" s="8"/>
      <c r="AD407" s="4"/>
      <c r="AE407" s="4"/>
      <c r="AF407" s="4" t="e">
        <f t="shared" ca="1" si="212"/>
        <v>#N/A</v>
      </c>
      <c r="AG407" s="4" t="s">
        <v>1997</v>
      </c>
      <c r="AH407" s="4">
        <f ca="1">IFERROR(VLOOKUP(M407,Calculations!$AC$2:$AD$251,2,FALSE),0)</f>
        <v>0</v>
      </c>
      <c r="AI407" s="4" t="e">
        <f ca="1">VLOOKUP(N407,$N$2:$AS$620,MATCH('Character Creation'!$Z$12,Skills!$N$1:$AS$1,0),FALSE)</f>
        <v>#N/A</v>
      </c>
      <c r="AJ407" s="4" t="e">
        <f ca="1">VLOOKUP($N407,[2]Cultures!$B$4:$M$283,MATCH(AJ$1,[2]Cultures!$B$3:$M$3,0),FALSE)</f>
        <v>#N/A</v>
      </c>
      <c r="AK407" s="4" t="e">
        <f ca="1">VLOOKUP($N407,[2]Cultures!$B$4:$M$283,MATCH(AK$1,[2]Cultures!$B$3:$M$3,0),FALSE)</f>
        <v>#N/A</v>
      </c>
      <c r="AL407" s="4" t="e">
        <f ca="1">VLOOKUP($N407,[2]Cultures!$B$4:$M$283,MATCH(AL$1,[2]Cultures!$B$3:$M$3,0),FALSE)</f>
        <v>#N/A</v>
      </c>
      <c r="AM407" s="4" t="e">
        <f ca="1">VLOOKUP($N407,[2]Cultures!$B$4:$M$283,MATCH(AM$1,[2]Cultures!$B$3:$M$3,0),FALSE)</f>
        <v>#N/A</v>
      </c>
      <c r="AN407" s="4" t="e">
        <f ca="1">VLOOKUP($N407,[2]Cultures!$B$4:$M$283,MATCH(AN$1,[2]Cultures!$B$3:$M$3,0),FALSE)</f>
        <v>#N/A</v>
      </c>
      <c r="AO407" s="4" t="e">
        <f ca="1">VLOOKUP($N407,[2]Cultures!$B$4:$M$283,MATCH(AO$1,[2]Cultures!$B$3:$M$3,0),FALSE)</f>
        <v>#N/A</v>
      </c>
      <c r="AP407" s="4" t="e">
        <f ca="1">VLOOKUP($N407,[2]Cultures!$B$4:$M$283,MATCH(AP$1,[2]Cultures!$B$3:$M$3,0),FALSE)</f>
        <v>#N/A</v>
      </c>
      <c r="AQ407" s="4" t="e">
        <f ca="1">VLOOKUP($N407,[2]Cultures!$B$4:$M$283,MATCH(AQ$1,[2]Cultures!$B$3:$M$3,0),FALSE)</f>
        <v>#N/A</v>
      </c>
      <c r="AR407" s="4" t="e">
        <f ca="1">VLOOKUP($N407,[2]Cultures!$B$4:$M$283,MATCH(AR$1,[2]Cultures!$B$3:$M$3,0),FALSE)</f>
        <v>#N/A</v>
      </c>
      <c r="AS407" s="4" t="e">
        <f ca="1">VLOOKUP($N407,[2]Cultures!$B$4:$M$283,MATCH(AS$1,[2]Cultures!$B$3:$M$3,0),FALSE)</f>
        <v>#N/A</v>
      </c>
      <c r="AT407" s="4"/>
      <c r="AU407" s="4">
        <f ca="1">IF(ISNUMBER(SEARCH(N407&amp;";",Calculations!$Q$19)),VLOOKUP(Skills!N407,Calculations!$Q$2:$T$16,4,FALSE),0)</f>
        <v>0</v>
      </c>
      <c r="AV407" s="4">
        <f ca="1">IF(ISNUMBER(SEARCH(N407&amp;";",Calculations!$Q$18)),1,0)</f>
        <v>0</v>
      </c>
      <c r="AW407" s="4">
        <f t="shared" ca="1" si="218"/>
        <v>0</v>
      </c>
      <c r="AX407" s="4">
        <f ca="1">VLOOKUP($N407,$N407:$CH407,MATCH('Character Sheet'!$BJ$3,Skills!$N$1:$CH$1,0),FALSE)</f>
        <v>0</v>
      </c>
    </row>
    <row r="408" spans="1:50" x14ac:dyDescent="0.25">
      <c r="A408" s="4" t="s">
        <v>2241</v>
      </c>
      <c r="B408" s="4" t="e">
        <f t="shared" si="190"/>
        <v>#N/A</v>
      </c>
      <c r="C408" s="4" t="e">
        <f t="shared" ca="1" si="219"/>
        <v>#N/A</v>
      </c>
      <c r="E408" s="4"/>
      <c r="F408" s="4">
        <f t="shared" ca="1" si="204"/>
        <v>0</v>
      </c>
      <c r="G408" s="4"/>
      <c r="H408" s="4" t="e">
        <f t="shared" si="200"/>
        <v>#N/A</v>
      </c>
      <c r="I408" s="4" t="e">
        <f t="shared" si="214"/>
        <v>#N/A</v>
      </c>
      <c r="J408" s="4">
        <f t="shared" ca="1" si="205"/>
        <v>0</v>
      </c>
      <c r="K408" s="4" t="e">
        <f t="shared" ca="1" si="201"/>
        <v>#N/A</v>
      </c>
      <c r="M408" t="str">
        <f t="shared" ca="1" si="215"/>
        <v>Controlling Songs</v>
      </c>
      <c r="N408" s="3" t="str">
        <f ca="1">'Character Sheet'!COP8</f>
        <v>Controlling Songs</v>
      </c>
      <c r="O408" s="4" t="str">
        <f t="shared" si="216"/>
        <v>Em/Em</v>
      </c>
      <c r="P408" s="4" t="s">
        <v>801</v>
      </c>
      <c r="Q408" s="4" t="e">
        <f t="shared" ca="1" si="197"/>
        <v>#N/A</v>
      </c>
      <c r="R408" s="4">
        <f ca="1">IF(ISNUMBER(SEARCH("Category",N408)),"- -",IF(ISNUMBER(SEARCH("Skills",N408)),"- -",'Level-up'!C426))</f>
        <v>0</v>
      </c>
      <c r="S408" s="4" t="e">
        <f t="shared" ca="1" si="206"/>
        <v>#N/A</v>
      </c>
      <c r="T408" s="4" t="e">
        <f t="shared" ca="1" si="207"/>
        <v>#N/A</v>
      </c>
      <c r="U408" s="4">
        <f t="shared" ca="1" si="199"/>
        <v>10</v>
      </c>
      <c r="V408" s="4">
        <f t="shared" ca="1" si="217"/>
        <v>0</v>
      </c>
      <c r="W408" s="4">
        <f t="shared" ca="1" si="196"/>
        <v>0</v>
      </c>
      <c r="X408" s="4">
        <f t="shared" ca="1" si="194"/>
        <v>0</v>
      </c>
      <c r="Y408" s="4">
        <f t="shared" ca="1" si="208"/>
        <v>0</v>
      </c>
      <c r="Z408" s="4">
        <f t="shared" ca="1" si="209"/>
        <v>0</v>
      </c>
      <c r="AA408" s="4">
        <f t="shared" ca="1" si="210"/>
        <v>0</v>
      </c>
      <c r="AB408" s="4">
        <f t="shared" ca="1" si="211"/>
        <v>0</v>
      </c>
      <c r="AC408" s="8"/>
      <c r="AD408" s="4"/>
      <c r="AE408" s="4"/>
      <c r="AF408" s="4" t="e">
        <f t="shared" ca="1" si="212"/>
        <v>#N/A</v>
      </c>
      <c r="AG408" s="4" t="s">
        <v>1997</v>
      </c>
      <c r="AH408" s="4">
        <f ca="1">IFERROR(VLOOKUP(M408,Calculations!$AC$2:$AD$251,2,FALSE),0)</f>
        <v>0</v>
      </c>
      <c r="AI408" s="4" t="e">
        <f ca="1">VLOOKUP(N408,$N$2:$AS$620,MATCH('Character Creation'!$Z$12,Skills!$N$1:$AS$1,0),FALSE)</f>
        <v>#N/A</v>
      </c>
      <c r="AJ408" s="4" t="e">
        <f ca="1">VLOOKUP($N408,[2]Cultures!$B$4:$M$283,MATCH(AJ$1,[2]Cultures!$B$3:$M$3,0),FALSE)</f>
        <v>#N/A</v>
      </c>
      <c r="AK408" s="4" t="e">
        <f ca="1">VLOOKUP($N408,[2]Cultures!$B$4:$M$283,MATCH(AK$1,[2]Cultures!$B$3:$M$3,0),FALSE)</f>
        <v>#N/A</v>
      </c>
      <c r="AL408" s="4" t="e">
        <f ca="1">VLOOKUP($N408,[2]Cultures!$B$4:$M$283,MATCH(AL$1,[2]Cultures!$B$3:$M$3,0),FALSE)</f>
        <v>#N/A</v>
      </c>
      <c r="AM408" s="4" t="e">
        <f ca="1">VLOOKUP($N408,[2]Cultures!$B$4:$M$283,MATCH(AM$1,[2]Cultures!$B$3:$M$3,0),FALSE)</f>
        <v>#N/A</v>
      </c>
      <c r="AN408" s="4" t="e">
        <f ca="1">VLOOKUP($N408,[2]Cultures!$B$4:$M$283,MATCH(AN$1,[2]Cultures!$B$3:$M$3,0),FALSE)</f>
        <v>#N/A</v>
      </c>
      <c r="AO408" s="4" t="e">
        <f ca="1">VLOOKUP($N408,[2]Cultures!$B$4:$M$283,MATCH(AO$1,[2]Cultures!$B$3:$M$3,0),FALSE)</f>
        <v>#N/A</v>
      </c>
      <c r="AP408" s="4" t="e">
        <f ca="1">VLOOKUP($N408,[2]Cultures!$B$4:$M$283,MATCH(AP$1,[2]Cultures!$B$3:$M$3,0),FALSE)</f>
        <v>#N/A</v>
      </c>
      <c r="AQ408" s="4" t="e">
        <f ca="1">VLOOKUP($N408,[2]Cultures!$B$4:$M$283,MATCH(AQ$1,[2]Cultures!$B$3:$M$3,0),FALSE)</f>
        <v>#N/A</v>
      </c>
      <c r="AR408" s="4" t="e">
        <f ca="1">VLOOKUP($N408,[2]Cultures!$B$4:$M$283,MATCH(AR$1,[2]Cultures!$B$3:$M$3,0),FALSE)</f>
        <v>#N/A</v>
      </c>
      <c r="AS408" s="4" t="e">
        <f ca="1">VLOOKUP($N408,[2]Cultures!$B$4:$M$283,MATCH(AS$1,[2]Cultures!$B$3:$M$3,0),FALSE)</f>
        <v>#N/A</v>
      </c>
      <c r="AT408" s="4"/>
      <c r="AU408" s="4">
        <f ca="1">IF(ISNUMBER(SEARCH(N408&amp;";",Calculations!$Q$19)),VLOOKUP(Skills!N408,Calculations!$Q$2:$T$16,4,FALSE),0)</f>
        <v>0</v>
      </c>
      <c r="AV408" s="4">
        <f ca="1">IF(ISNUMBER(SEARCH(N408&amp;";",Calculations!$Q$18)),1,0)</f>
        <v>0</v>
      </c>
      <c r="AW408" s="4">
        <f t="shared" ca="1" si="218"/>
        <v>0</v>
      </c>
      <c r="AX408" s="4">
        <f ca="1">VLOOKUP($N408,$N408:$CH408,MATCH('Character Sheet'!$BJ$3,Skills!$N$1:$CH$1,0),FALSE)</f>
        <v>0</v>
      </c>
    </row>
    <row r="409" spans="1:50" x14ac:dyDescent="0.25">
      <c r="A409" s="4" t="s">
        <v>2241</v>
      </c>
      <c r="B409" s="4" t="e">
        <f t="shared" si="190"/>
        <v>#N/A</v>
      </c>
      <c r="C409" s="4" t="e">
        <f t="shared" ca="1" si="219"/>
        <v>#N/A</v>
      </c>
      <c r="E409" s="4"/>
      <c r="F409" s="4">
        <f t="shared" ca="1" si="204"/>
        <v>0</v>
      </c>
      <c r="G409" s="4"/>
      <c r="H409" s="4" t="e">
        <f t="shared" si="200"/>
        <v>#N/A</v>
      </c>
      <c r="I409" s="4" t="e">
        <f t="shared" si="214"/>
        <v>#N/A</v>
      </c>
      <c r="J409" s="4">
        <f t="shared" ca="1" si="205"/>
        <v>0</v>
      </c>
      <c r="K409" s="4" t="e">
        <f t="shared" ca="1" si="201"/>
        <v>#N/A</v>
      </c>
      <c r="M409" t="str">
        <f t="shared" ca="1" si="215"/>
        <v>Inspiring Songs</v>
      </c>
      <c r="N409" s="3" t="str">
        <f ca="1">'Character Sheet'!COP9</f>
        <v>Inspiring Songs</v>
      </c>
      <c r="O409" s="4" t="str">
        <f t="shared" si="216"/>
        <v>Em/Em</v>
      </c>
      <c r="P409" s="4" t="s">
        <v>801</v>
      </c>
      <c r="Q409" s="4" t="e">
        <f t="shared" ca="1" si="197"/>
        <v>#N/A</v>
      </c>
      <c r="R409" s="4">
        <f ca="1">IF(ISNUMBER(SEARCH("Category",N409)),"- -",IF(ISNUMBER(SEARCH("Skills",N409)),"- -",'Level-up'!C427))</f>
        <v>0</v>
      </c>
      <c r="S409" s="4" t="e">
        <f t="shared" ca="1" si="206"/>
        <v>#N/A</v>
      </c>
      <c r="T409" s="4" t="e">
        <f t="shared" ca="1" si="207"/>
        <v>#N/A</v>
      </c>
      <c r="U409" s="4">
        <f t="shared" ca="1" si="199"/>
        <v>10</v>
      </c>
      <c r="V409" s="4">
        <f t="shared" ca="1" si="217"/>
        <v>0</v>
      </c>
      <c r="W409" s="4">
        <f t="shared" ca="1" si="196"/>
        <v>0</v>
      </c>
      <c r="X409" s="4">
        <f t="shared" ca="1" si="194"/>
        <v>0</v>
      </c>
      <c r="Y409" s="4">
        <f t="shared" ca="1" si="208"/>
        <v>0</v>
      </c>
      <c r="Z409" s="4">
        <f t="shared" ca="1" si="209"/>
        <v>0</v>
      </c>
      <c r="AA409" s="4">
        <f t="shared" ca="1" si="210"/>
        <v>0</v>
      </c>
      <c r="AB409" s="4">
        <f t="shared" ca="1" si="211"/>
        <v>0</v>
      </c>
      <c r="AC409" s="8"/>
      <c r="AD409" s="4"/>
      <c r="AE409" s="4"/>
      <c r="AF409" s="4" t="e">
        <f t="shared" ca="1" si="212"/>
        <v>#N/A</v>
      </c>
      <c r="AG409" s="4" t="s">
        <v>1997</v>
      </c>
      <c r="AH409" s="4">
        <f ca="1">IFERROR(VLOOKUP(M409,Calculations!$AC$2:$AD$251,2,FALSE),0)</f>
        <v>0</v>
      </c>
      <c r="AI409" s="4" t="e">
        <f ca="1">VLOOKUP(N409,$N$2:$AS$620,MATCH('Character Creation'!$Z$12,Skills!$N$1:$AS$1,0),FALSE)</f>
        <v>#N/A</v>
      </c>
      <c r="AJ409" s="4" t="e">
        <f ca="1">VLOOKUP($N409,[2]Cultures!$B$4:$M$283,MATCH(AJ$1,[2]Cultures!$B$3:$M$3,0),FALSE)</f>
        <v>#N/A</v>
      </c>
      <c r="AK409" s="4" t="e">
        <f ca="1">VLOOKUP($N409,[2]Cultures!$B$4:$M$283,MATCH(AK$1,[2]Cultures!$B$3:$M$3,0),FALSE)</f>
        <v>#N/A</v>
      </c>
      <c r="AL409" s="4" t="e">
        <f ca="1">VLOOKUP($N409,[2]Cultures!$B$4:$M$283,MATCH(AL$1,[2]Cultures!$B$3:$M$3,0),FALSE)</f>
        <v>#N/A</v>
      </c>
      <c r="AM409" s="4" t="e">
        <f ca="1">VLOOKUP($N409,[2]Cultures!$B$4:$M$283,MATCH(AM$1,[2]Cultures!$B$3:$M$3,0),FALSE)</f>
        <v>#N/A</v>
      </c>
      <c r="AN409" s="4" t="e">
        <f ca="1">VLOOKUP($N409,[2]Cultures!$B$4:$M$283,MATCH(AN$1,[2]Cultures!$B$3:$M$3,0),FALSE)</f>
        <v>#N/A</v>
      </c>
      <c r="AO409" s="4" t="e">
        <f ca="1">VLOOKUP($N409,[2]Cultures!$B$4:$M$283,MATCH(AO$1,[2]Cultures!$B$3:$M$3,0),FALSE)</f>
        <v>#N/A</v>
      </c>
      <c r="AP409" s="4" t="e">
        <f ca="1">VLOOKUP($N409,[2]Cultures!$B$4:$M$283,MATCH(AP$1,[2]Cultures!$B$3:$M$3,0),FALSE)</f>
        <v>#N/A</v>
      </c>
      <c r="AQ409" s="4" t="e">
        <f ca="1">VLOOKUP($N409,[2]Cultures!$B$4:$M$283,MATCH(AQ$1,[2]Cultures!$B$3:$M$3,0),FALSE)</f>
        <v>#N/A</v>
      </c>
      <c r="AR409" s="4" t="e">
        <f ca="1">VLOOKUP($N409,[2]Cultures!$B$4:$M$283,MATCH(AR$1,[2]Cultures!$B$3:$M$3,0),FALSE)</f>
        <v>#N/A</v>
      </c>
      <c r="AS409" s="4" t="e">
        <f ca="1">VLOOKUP($N409,[2]Cultures!$B$4:$M$283,MATCH(AS$1,[2]Cultures!$B$3:$M$3,0),FALSE)</f>
        <v>#N/A</v>
      </c>
      <c r="AT409" s="4"/>
      <c r="AU409" s="4">
        <f ca="1">IF(ISNUMBER(SEARCH(N409&amp;";",Calculations!$Q$19)),VLOOKUP(Skills!N409,Calculations!$Q$2:$T$16,4,FALSE),0)</f>
        <v>0</v>
      </c>
      <c r="AV409" s="4">
        <f ca="1">IF(ISNUMBER(SEARCH(N409&amp;";",Calculations!$Q$18)),1,0)</f>
        <v>0</v>
      </c>
      <c r="AW409" s="4">
        <f t="shared" ca="1" si="218"/>
        <v>0</v>
      </c>
      <c r="AX409" s="4">
        <f ca="1">VLOOKUP($N409,$N409:$CH409,MATCH('Character Sheet'!$BJ$3,Skills!$N$1:$CH$1,0),FALSE)</f>
        <v>0</v>
      </c>
    </row>
    <row r="410" spans="1:50" x14ac:dyDescent="0.25">
      <c r="A410" s="4" t="s">
        <v>2241</v>
      </c>
      <c r="B410" s="4" t="e">
        <f t="shared" si="190"/>
        <v>#N/A</v>
      </c>
      <c r="C410" s="4" t="e">
        <f t="shared" ca="1" si="219"/>
        <v>#N/A</v>
      </c>
      <c r="E410" s="4"/>
      <c r="F410" s="4">
        <f t="shared" ca="1" si="204"/>
        <v>0</v>
      </c>
      <c r="G410" s="4"/>
      <c r="H410" s="4" t="e">
        <f t="shared" si="200"/>
        <v>#N/A</v>
      </c>
      <c r="I410" s="4" t="e">
        <f t="shared" si="214"/>
        <v>#N/A</v>
      </c>
      <c r="J410" s="4">
        <f t="shared" ca="1" si="205"/>
        <v>0</v>
      </c>
      <c r="K410" s="4" t="e">
        <f t="shared" ca="1" si="201"/>
        <v>#N/A</v>
      </c>
      <c r="M410" t="str">
        <f t="shared" ca="1" si="215"/>
        <v>Assassination Mastery</v>
      </c>
      <c r="N410" s="3" t="str">
        <f ca="1">'Character Sheet'!COP10</f>
        <v>Assassination Mastery</v>
      </c>
      <c r="O410" s="4" t="str">
        <f t="shared" si="216"/>
        <v>Em/Em</v>
      </c>
      <c r="P410" s="4" t="s">
        <v>801</v>
      </c>
      <c r="Q410" s="4" t="e">
        <f t="shared" ca="1" si="197"/>
        <v>#N/A</v>
      </c>
      <c r="R410" s="4">
        <f ca="1">IF(ISNUMBER(SEARCH("Category",N410)),"- -",IF(ISNUMBER(SEARCH("Skills",N410)),"- -",'Level-up'!C428))</f>
        <v>0</v>
      </c>
      <c r="S410" s="4" t="e">
        <f t="shared" ca="1" si="206"/>
        <v>#N/A</v>
      </c>
      <c r="T410" s="4" t="e">
        <f t="shared" ca="1" si="207"/>
        <v>#N/A</v>
      </c>
      <c r="U410" s="4">
        <f t="shared" ca="1" si="199"/>
        <v>10</v>
      </c>
      <c r="V410" s="4">
        <f t="shared" ca="1" si="217"/>
        <v>0</v>
      </c>
      <c r="W410" s="4">
        <f t="shared" ca="1" si="196"/>
        <v>0</v>
      </c>
      <c r="X410" s="4">
        <f t="shared" ca="1" si="194"/>
        <v>0</v>
      </c>
      <c r="Y410" s="4">
        <f t="shared" ca="1" si="208"/>
        <v>0</v>
      </c>
      <c r="Z410" s="4">
        <f t="shared" ca="1" si="209"/>
        <v>0</v>
      </c>
      <c r="AA410" s="4">
        <f t="shared" ca="1" si="210"/>
        <v>0</v>
      </c>
      <c r="AB410" s="4">
        <f t="shared" ca="1" si="211"/>
        <v>0</v>
      </c>
      <c r="AC410" s="8"/>
      <c r="AD410" s="4"/>
      <c r="AE410" s="4"/>
      <c r="AF410" s="4" t="e">
        <f t="shared" ca="1" si="212"/>
        <v>#N/A</v>
      </c>
      <c r="AG410" s="4" t="s">
        <v>1997</v>
      </c>
      <c r="AH410" s="4">
        <f ca="1">IFERROR(VLOOKUP(M410,Calculations!$AC$2:$AD$251,2,FALSE),0)</f>
        <v>0</v>
      </c>
      <c r="AI410" s="4" t="e">
        <f ca="1">VLOOKUP(N410,$N$2:$AS$620,MATCH('Character Creation'!$Z$12,Skills!$N$1:$AS$1,0),FALSE)</f>
        <v>#N/A</v>
      </c>
      <c r="AJ410" s="4" t="e">
        <f ca="1">VLOOKUP($N410,[2]Cultures!$B$4:$M$283,MATCH(AJ$1,[2]Cultures!$B$3:$M$3,0),FALSE)</f>
        <v>#N/A</v>
      </c>
      <c r="AK410" s="4" t="e">
        <f ca="1">VLOOKUP($N410,[2]Cultures!$B$4:$M$283,MATCH(AK$1,[2]Cultures!$B$3:$M$3,0),FALSE)</f>
        <v>#N/A</v>
      </c>
      <c r="AL410" s="4" t="e">
        <f ca="1">VLOOKUP($N410,[2]Cultures!$B$4:$M$283,MATCH(AL$1,[2]Cultures!$B$3:$M$3,0),FALSE)</f>
        <v>#N/A</v>
      </c>
      <c r="AM410" s="4" t="e">
        <f ca="1">VLOOKUP($N410,[2]Cultures!$B$4:$M$283,MATCH(AM$1,[2]Cultures!$B$3:$M$3,0),FALSE)</f>
        <v>#N/A</v>
      </c>
      <c r="AN410" s="4" t="e">
        <f ca="1">VLOOKUP($N410,[2]Cultures!$B$4:$M$283,MATCH(AN$1,[2]Cultures!$B$3:$M$3,0),FALSE)</f>
        <v>#N/A</v>
      </c>
      <c r="AO410" s="4" t="e">
        <f ca="1">VLOOKUP($N410,[2]Cultures!$B$4:$M$283,MATCH(AO$1,[2]Cultures!$B$3:$M$3,0),FALSE)</f>
        <v>#N/A</v>
      </c>
      <c r="AP410" s="4" t="e">
        <f ca="1">VLOOKUP($N410,[2]Cultures!$B$4:$M$283,MATCH(AP$1,[2]Cultures!$B$3:$M$3,0),FALSE)</f>
        <v>#N/A</v>
      </c>
      <c r="AQ410" s="4" t="e">
        <f ca="1">VLOOKUP($N410,[2]Cultures!$B$4:$M$283,MATCH(AQ$1,[2]Cultures!$B$3:$M$3,0),FALSE)</f>
        <v>#N/A</v>
      </c>
      <c r="AR410" s="4" t="e">
        <f ca="1">VLOOKUP($N410,[2]Cultures!$B$4:$M$283,MATCH(AR$1,[2]Cultures!$B$3:$M$3,0),FALSE)</f>
        <v>#N/A</v>
      </c>
      <c r="AS410" s="4" t="e">
        <f ca="1">VLOOKUP($N410,[2]Cultures!$B$4:$M$283,MATCH(AS$1,[2]Cultures!$B$3:$M$3,0),FALSE)</f>
        <v>#N/A</v>
      </c>
      <c r="AT410" s="4"/>
      <c r="AU410" s="4">
        <f ca="1">IF(ISNUMBER(SEARCH(N410&amp;";",Calculations!$Q$19)),VLOOKUP(Skills!N410,Calculations!$Q$2:$T$16,4,FALSE),0)</f>
        <v>0</v>
      </c>
      <c r="AV410" s="4">
        <f ca="1">IF(ISNUMBER(SEARCH(N410&amp;";",Calculations!$Q$18)),1,0)</f>
        <v>0</v>
      </c>
      <c r="AW410" s="4">
        <f t="shared" ca="1" si="218"/>
        <v>0</v>
      </c>
      <c r="AX410" s="4">
        <f ca="1">VLOOKUP($N410,$N410:$CH410,MATCH('Character Sheet'!$BJ$3,Skills!$N$1:$CH$1,0),FALSE)</f>
        <v>0</v>
      </c>
    </row>
    <row r="411" spans="1:50" x14ac:dyDescent="0.25">
      <c r="B411" s="4" t="e">
        <f t="shared" si="190"/>
        <v>#N/A</v>
      </c>
      <c r="C411" s="4" t="e">
        <f ca="1">C410</f>
        <v>#N/A</v>
      </c>
      <c r="E411" s="4"/>
      <c r="F411" s="4">
        <f t="shared" ca="1" si="204"/>
        <v>0</v>
      </c>
      <c r="G411" s="4"/>
      <c r="H411" s="4" t="e">
        <f t="shared" si="200"/>
        <v>#N/A</v>
      </c>
      <c r="I411" s="4" t="e">
        <f>IF($J$401=1,1,IF($J$412=1,1,0))</f>
        <v>#N/A</v>
      </c>
      <c r="J411" s="4">
        <f t="shared" si="205"/>
        <v>0</v>
      </c>
      <c r="K411" s="4" t="e">
        <f t="shared" si="201"/>
        <v>#N/A</v>
      </c>
      <c r="N411" s="3" t="s">
        <v>714</v>
      </c>
      <c r="O411" s="6" t="s">
        <v>782</v>
      </c>
      <c r="P411" s="6" t="s">
        <v>782</v>
      </c>
      <c r="Q411" s="4" t="str">
        <f t="shared" si="197"/>
        <v>- -</v>
      </c>
      <c r="R411" s="4" t="str">
        <f>IF(ISNUMBER(SEARCH("Category",N411)),"- -",IF(ISNUMBER(SEARCH("Skills",N411)),"- -",'Level-up'!C429))</f>
        <v>- -</v>
      </c>
      <c r="S411" s="4" t="str">
        <f t="shared" si="206"/>
        <v>- -</v>
      </c>
      <c r="T411" s="4" t="str">
        <f t="shared" si="207"/>
        <v>- -</v>
      </c>
      <c r="U411" s="4" t="str">
        <f t="shared" ca="1" si="199"/>
        <v>- -</v>
      </c>
      <c r="V411" s="4" t="str">
        <f t="shared" si="217"/>
        <v>- -</v>
      </c>
      <c r="W411" s="4" t="str">
        <f t="shared" si="196"/>
        <v>- -</v>
      </c>
      <c r="X411" s="4" t="str">
        <f t="shared" si="194"/>
        <v>- -</v>
      </c>
      <c r="Y411" s="4" t="str">
        <f t="shared" si="208"/>
        <v>- -</v>
      </c>
      <c r="Z411" s="4" t="str">
        <f t="shared" si="209"/>
        <v>- -</v>
      </c>
      <c r="AA411" s="4" t="str">
        <f t="shared" si="210"/>
        <v>- -</v>
      </c>
      <c r="AB411" s="4" t="str">
        <f t="shared" si="211"/>
        <v>- -</v>
      </c>
      <c r="AC411" s="8"/>
      <c r="AD411" s="4"/>
      <c r="AE411" s="4"/>
      <c r="AF411" s="4" t="str">
        <f t="shared" si="212"/>
        <v>- -</v>
      </c>
      <c r="AG411" s="4"/>
      <c r="AH411" s="4">
        <f>IFERROR(VLOOKUP(M411,Calculations!$AC$2:$AD$251,2,FALSE),0)</f>
        <v>0</v>
      </c>
      <c r="AI411" s="4" t="e">
        <f>VLOOKUP(N411,$N$2:$AS$620,MATCH('Character Creation'!$Z$12,Skills!$N$1:$AS$1,0),FALSE)</f>
        <v>#N/A</v>
      </c>
      <c r="AJ411" s="4" t="e">
        <f>VLOOKUP($N411,[2]Cultures!$B$4:$M$283,MATCH(AJ$1,[2]Cultures!$B$3:$M$3,0),FALSE)</f>
        <v>#N/A</v>
      </c>
      <c r="AK411" s="4" t="e">
        <f>VLOOKUP($N411,[2]Cultures!$B$4:$M$283,MATCH(AK$1,[2]Cultures!$B$3:$M$3,0),FALSE)</f>
        <v>#N/A</v>
      </c>
      <c r="AL411" s="4" t="e">
        <f>VLOOKUP($N411,[2]Cultures!$B$4:$M$283,MATCH(AL$1,[2]Cultures!$B$3:$M$3,0),FALSE)</f>
        <v>#N/A</v>
      </c>
      <c r="AM411" s="4" t="e">
        <f>VLOOKUP($N411,[2]Cultures!$B$4:$M$283,MATCH(AM$1,[2]Cultures!$B$3:$M$3,0),FALSE)</f>
        <v>#N/A</v>
      </c>
      <c r="AN411" s="4" t="e">
        <f>VLOOKUP($N411,[2]Cultures!$B$4:$M$283,MATCH(AN$1,[2]Cultures!$B$3:$M$3,0),FALSE)</f>
        <v>#N/A</v>
      </c>
      <c r="AO411" s="4" t="e">
        <f>VLOOKUP($N411,[2]Cultures!$B$4:$M$283,MATCH(AO$1,[2]Cultures!$B$3:$M$3,0),FALSE)</f>
        <v>#N/A</v>
      </c>
      <c r="AP411" s="4" t="e">
        <f>VLOOKUP($N411,[2]Cultures!$B$4:$M$283,MATCH(AP$1,[2]Cultures!$B$3:$M$3,0),FALSE)</f>
        <v>#N/A</v>
      </c>
      <c r="AQ411" s="4" t="e">
        <f>VLOOKUP($N411,[2]Cultures!$B$4:$M$283,MATCH(AQ$1,[2]Cultures!$B$3:$M$3,0),FALSE)</f>
        <v>#N/A</v>
      </c>
      <c r="AR411" s="4" t="e">
        <f>VLOOKUP($N411,[2]Cultures!$B$4:$M$283,MATCH(AR$1,[2]Cultures!$B$3:$M$3,0),FALSE)</f>
        <v>#N/A</v>
      </c>
      <c r="AS411" s="4" t="e">
        <f>VLOOKUP($N411,[2]Cultures!$B$4:$M$283,MATCH(AS$1,[2]Cultures!$B$3:$M$3,0),FALSE)</f>
        <v>#N/A</v>
      </c>
      <c r="AT411" s="4"/>
      <c r="AU411" s="4">
        <f>IF(ISNUMBER(SEARCH(N411&amp;";",Calculations!$Q$19)),VLOOKUP(Skills!N411,Calculations!$Q$2:$T$16,4,FALSE),0)</f>
        <v>0</v>
      </c>
      <c r="AV411" s="4">
        <f>IF(ISNUMBER(SEARCH(N411&amp;";",Calculations!$Q$18)),1,0)</f>
        <v>0</v>
      </c>
      <c r="AW411" s="4"/>
      <c r="AX411" s="4">
        <f>VLOOKUP($N411,$N411:$CH411,MATCH('Character Sheet'!$BJ$3,Skills!$N$1:$CH$1,0),FALSE)</f>
        <v>0</v>
      </c>
    </row>
    <row r="412" spans="1:50" x14ac:dyDescent="0.25">
      <c r="B412" s="4" t="e">
        <f t="shared" si="190"/>
        <v>#N/A</v>
      </c>
      <c r="C412" s="4" t="e">
        <f ca="1">C411</f>
        <v>#N/A</v>
      </c>
      <c r="E412" s="4"/>
      <c r="F412" s="4">
        <f t="shared" ca="1" si="204"/>
        <v>0</v>
      </c>
      <c r="G412" s="4"/>
      <c r="H412" s="4" t="e">
        <f t="shared" si="200"/>
        <v>#N/A</v>
      </c>
      <c r="I412" s="4">
        <v>0</v>
      </c>
      <c r="J412" s="4" t="e">
        <f t="shared" si="205"/>
        <v>#N/A</v>
      </c>
      <c r="K412" s="4" t="e">
        <f t="shared" si="201"/>
        <v>#N/A</v>
      </c>
      <c r="N412" s="3" t="s">
        <v>715</v>
      </c>
      <c r="O412" s="6" t="s">
        <v>782</v>
      </c>
      <c r="P412" s="6" t="s">
        <v>782</v>
      </c>
      <c r="Q412" s="4" t="str">
        <f t="shared" si="197"/>
        <v>- -</v>
      </c>
      <c r="R412" s="4" t="str">
        <f>IF(ISNUMBER(SEARCH("Category",N412)),"- -",IF(ISNUMBER(SEARCH("Skills",N412)),"- -",'Level-up'!C430))</f>
        <v>- -</v>
      </c>
      <c r="S412" s="4" t="str">
        <f t="shared" si="206"/>
        <v>- -</v>
      </c>
      <c r="T412" s="4" t="str">
        <f t="shared" si="207"/>
        <v>- -</v>
      </c>
      <c r="U412" s="4" t="str">
        <f t="shared" ca="1" si="199"/>
        <v>- -</v>
      </c>
      <c r="V412" s="4" t="str">
        <f t="shared" si="217"/>
        <v>- -</v>
      </c>
      <c r="W412" s="4" t="str">
        <f t="shared" si="196"/>
        <v>- -</v>
      </c>
      <c r="X412" s="4" t="str">
        <f t="shared" si="194"/>
        <v>- -</v>
      </c>
      <c r="Y412" s="4" t="str">
        <f t="shared" si="208"/>
        <v>- -</v>
      </c>
      <c r="Z412" s="4" t="str">
        <f t="shared" si="209"/>
        <v>- -</v>
      </c>
      <c r="AA412" s="4" t="str">
        <f t="shared" si="210"/>
        <v>- -</v>
      </c>
      <c r="AB412" s="4" t="str">
        <f t="shared" si="211"/>
        <v>- -</v>
      </c>
      <c r="AC412" s="8"/>
      <c r="AD412" s="4"/>
      <c r="AE412" s="4"/>
      <c r="AF412" s="4" t="str">
        <f t="shared" si="212"/>
        <v>- -</v>
      </c>
      <c r="AG412" s="4"/>
      <c r="AH412" s="4">
        <f>IFERROR(VLOOKUP(M412,Calculations!$AC$2:$AD$251,2,FALSE),0)</f>
        <v>0</v>
      </c>
      <c r="AI412" s="4" t="e">
        <f>VLOOKUP(N412,$N$2:$AS$620,MATCH('Character Creation'!$Z$12,Skills!$N$1:$AS$1,0),FALSE)</f>
        <v>#N/A</v>
      </c>
      <c r="AJ412" s="4" t="e">
        <f>VLOOKUP($N412,[2]Cultures!$B$4:$M$283,MATCH(AJ$1,[2]Cultures!$B$3:$M$3,0),FALSE)</f>
        <v>#N/A</v>
      </c>
      <c r="AK412" s="4" t="e">
        <f>VLOOKUP($N412,[2]Cultures!$B$4:$M$283,MATCH(AK$1,[2]Cultures!$B$3:$M$3,0),FALSE)</f>
        <v>#N/A</v>
      </c>
      <c r="AL412" s="4" t="e">
        <f>VLOOKUP($N412,[2]Cultures!$B$4:$M$283,MATCH(AL$1,[2]Cultures!$B$3:$M$3,0),FALSE)</f>
        <v>#N/A</v>
      </c>
      <c r="AM412" s="4" t="e">
        <f>VLOOKUP($N412,[2]Cultures!$B$4:$M$283,MATCH(AM$1,[2]Cultures!$B$3:$M$3,0),FALSE)</f>
        <v>#N/A</v>
      </c>
      <c r="AN412" s="4" t="e">
        <f>VLOOKUP($N412,[2]Cultures!$B$4:$M$283,MATCH(AN$1,[2]Cultures!$B$3:$M$3,0),FALSE)</f>
        <v>#N/A</v>
      </c>
      <c r="AO412" s="4" t="e">
        <f>VLOOKUP($N412,[2]Cultures!$B$4:$M$283,MATCH(AO$1,[2]Cultures!$B$3:$M$3,0),FALSE)</f>
        <v>#N/A</v>
      </c>
      <c r="AP412" s="4" t="e">
        <f>VLOOKUP($N412,[2]Cultures!$B$4:$M$283,MATCH(AP$1,[2]Cultures!$B$3:$M$3,0),FALSE)</f>
        <v>#N/A</v>
      </c>
      <c r="AQ412" s="4" t="e">
        <f>VLOOKUP($N412,[2]Cultures!$B$4:$M$283,MATCH(AQ$1,[2]Cultures!$B$3:$M$3,0),FALSE)</f>
        <v>#N/A</v>
      </c>
      <c r="AR412" s="4" t="e">
        <f>VLOOKUP($N412,[2]Cultures!$B$4:$M$283,MATCH(AR$1,[2]Cultures!$B$3:$M$3,0),FALSE)</f>
        <v>#N/A</v>
      </c>
      <c r="AS412" s="4" t="e">
        <f>VLOOKUP($N412,[2]Cultures!$B$4:$M$283,MATCH(AS$1,[2]Cultures!$B$3:$M$3,0),FALSE)</f>
        <v>#N/A</v>
      </c>
      <c r="AT412" s="4"/>
      <c r="AU412" s="4">
        <f>IF(ISNUMBER(SEARCH(N412&amp;";",Calculations!$Q$19)),VLOOKUP(Skills!N412,Calculations!$Q$2:$T$16,4,FALSE),0)</f>
        <v>0</v>
      </c>
      <c r="AV412" s="4">
        <f>IF(ISNUMBER(SEARCH(N412&amp;";",Calculations!$Q$18)),1,0)</f>
        <v>0</v>
      </c>
      <c r="AW412" s="4"/>
      <c r="AX412" s="4">
        <f>VLOOKUP($N412,$N412:$CH412,MATCH('Character Sheet'!$BJ$3,Skills!$N$1:$CH$1,0),FALSE)</f>
        <v>0</v>
      </c>
    </row>
    <row r="413" spans="1:50" x14ac:dyDescent="0.25">
      <c r="A413" s="4" t="s">
        <v>2241</v>
      </c>
      <c r="B413" s="4" t="e">
        <f t="shared" si="190"/>
        <v>#N/A</v>
      </c>
      <c r="C413" s="4" t="e">
        <f t="shared" ca="1" si="219"/>
        <v>#N/A</v>
      </c>
      <c r="E413" s="4"/>
      <c r="F413" s="4">
        <f t="shared" ca="1" si="204"/>
        <v>0</v>
      </c>
      <c r="G413" s="4"/>
      <c r="H413" s="4" t="e">
        <f t="shared" si="200"/>
        <v>#N/A</v>
      </c>
      <c r="I413" s="4" t="e">
        <f t="shared" ref="I413:I422" si="220">IF($J$401=1,1,IF($J$412=1,1,0))</f>
        <v>#N/A</v>
      </c>
      <c r="J413" s="4">
        <f t="shared" ca="1" si="205"/>
        <v>0</v>
      </c>
      <c r="K413" s="4" t="e">
        <f t="shared" ca="1" si="201"/>
        <v>#N/A</v>
      </c>
      <c r="M413" t="str">
        <f t="shared" ref="M413:M422" ca="1" si="221">N413</f>
        <v>Delving Ways</v>
      </c>
      <c r="N413" s="3" t="str">
        <f ca="1">'Character Sheet'!COP14</f>
        <v>Delving Ways</v>
      </c>
      <c r="O413" s="4" t="str">
        <f t="shared" ref="O413:O422" si="222">RealmStat&amp;"/"&amp;RealmStat</f>
        <v>Em/Em</v>
      </c>
      <c r="P413" s="4" t="s">
        <v>801</v>
      </c>
      <c r="Q413" s="4" t="e">
        <f t="shared" ca="1" si="197"/>
        <v>#N/A</v>
      </c>
      <c r="R413" s="4">
        <f ca="1">IF(ISNUMBER(SEARCH("Category",N413)),"- -",IF(ISNUMBER(SEARCH("Skills",N413)),"- -",'Level-up'!C431))</f>
        <v>0</v>
      </c>
      <c r="S413" s="4" t="e">
        <f t="shared" ca="1" si="206"/>
        <v>#N/A</v>
      </c>
      <c r="T413" s="4" t="e">
        <f t="shared" ca="1" si="207"/>
        <v>#N/A</v>
      </c>
      <c r="U413" s="4">
        <f t="shared" ca="1" si="199"/>
        <v>10</v>
      </c>
      <c r="V413" s="4">
        <f t="shared" ref="V413:V424" ca="1" si="223">IF(ISNUMBER(SEARCH("Category",N413)),"- -",IF(ISNUMBER(SEARCH("Skills",N413)),"- -",IF(AU413&gt;0,AU413,IF($AU$411&gt;0,$AU$411,$AU$400))))</f>
        <v>0</v>
      </c>
      <c r="W413" s="4">
        <f t="shared" ca="1" si="196"/>
        <v>0</v>
      </c>
      <c r="X413" s="4">
        <f t="shared" ca="1" si="194"/>
        <v>0</v>
      </c>
      <c r="Y413" s="4">
        <f t="shared" ca="1" si="208"/>
        <v>0</v>
      </c>
      <c r="Z413" s="4">
        <f t="shared" ca="1" si="209"/>
        <v>0</v>
      </c>
      <c r="AA413" s="4">
        <f t="shared" ca="1" si="210"/>
        <v>0</v>
      </c>
      <c r="AB413" s="4">
        <f t="shared" ca="1" si="211"/>
        <v>0</v>
      </c>
      <c r="AC413" s="8"/>
      <c r="AD413" s="4"/>
      <c r="AE413" s="4"/>
      <c r="AF413" s="4" t="e">
        <f t="shared" ca="1" si="212"/>
        <v>#N/A</v>
      </c>
      <c r="AG413" s="4" t="s">
        <v>2076</v>
      </c>
      <c r="AH413" s="4">
        <f ca="1">IFERROR(VLOOKUP(M413,Calculations!$AC$2:$AD$251,2,FALSE),0)</f>
        <v>0</v>
      </c>
      <c r="AI413" s="4" t="e">
        <f ca="1">VLOOKUP(N413,$N$2:$AS$620,MATCH('Character Creation'!$Z$12,Skills!$N$1:$AS$1,0),FALSE)</f>
        <v>#N/A</v>
      </c>
      <c r="AJ413" s="4" t="e">
        <f ca="1">VLOOKUP($N413,[2]Cultures!$B$4:$M$283,MATCH(AJ$1,[2]Cultures!$B$3:$M$3,0),FALSE)</f>
        <v>#N/A</v>
      </c>
      <c r="AK413" s="4" t="e">
        <f ca="1">VLOOKUP($N413,[2]Cultures!$B$4:$M$283,MATCH(AK$1,[2]Cultures!$B$3:$M$3,0),FALSE)</f>
        <v>#N/A</v>
      </c>
      <c r="AL413" s="4" t="e">
        <f ca="1">VLOOKUP($N413,[2]Cultures!$B$4:$M$283,MATCH(AL$1,[2]Cultures!$B$3:$M$3,0),FALSE)</f>
        <v>#N/A</v>
      </c>
      <c r="AM413" s="4" t="e">
        <f ca="1">VLOOKUP($N413,[2]Cultures!$B$4:$M$283,MATCH(AM$1,[2]Cultures!$B$3:$M$3,0),FALSE)</f>
        <v>#N/A</v>
      </c>
      <c r="AN413" s="4" t="e">
        <f ca="1">VLOOKUP($N413,[2]Cultures!$B$4:$M$283,MATCH(AN$1,[2]Cultures!$B$3:$M$3,0),FALSE)</f>
        <v>#N/A</v>
      </c>
      <c r="AO413" s="4" t="e">
        <f ca="1">VLOOKUP($N413,[2]Cultures!$B$4:$M$283,MATCH(AO$1,[2]Cultures!$B$3:$M$3,0),FALSE)</f>
        <v>#N/A</v>
      </c>
      <c r="AP413" s="4" t="e">
        <f ca="1">VLOOKUP($N413,[2]Cultures!$B$4:$M$283,MATCH(AP$1,[2]Cultures!$B$3:$M$3,0),FALSE)</f>
        <v>#N/A</v>
      </c>
      <c r="AQ413" s="4" t="e">
        <f ca="1">VLOOKUP($N413,[2]Cultures!$B$4:$M$283,MATCH(AQ$1,[2]Cultures!$B$3:$M$3,0),FALSE)</f>
        <v>#N/A</v>
      </c>
      <c r="AR413" s="4" t="e">
        <f ca="1">VLOOKUP($N413,[2]Cultures!$B$4:$M$283,MATCH(AR$1,[2]Cultures!$B$3:$M$3,0),FALSE)</f>
        <v>#N/A</v>
      </c>
      <c r="AS413" s="4" t="e">
        <f ca="1">VLOOKUP($N413,[2]Cultures!$B$4:$M$283,MATCH(AS$1,[2]Cultures!$B$3:$M$3,0),FALSE)</f>
        <v>#N/A</v>
      </c>
      <c r="AT413" s="4"/>
      <c r="AU413" s="4">
        <f ca="1">IF(ISNUMBER(SEARCH(N413&amp;";",Calculations!$Q$19)),VLOOKUP(Skills!N413,Calculations!$Q$2:$T$16,4,FALSE),0)</f>
        <v>0</v>
      </c>
      <c r="AV413" s="4">
        <f ca="1">IF(ISNUMBER(SEARCH(N413&amp;";",Calculations!$Q$18)),1,0)</f>
        <v>0</v>
      </c>
      <c r="AW413" s="4">
        <f t="shared" ref="AW413:AW422" ca="1" si="224">IF($AV$400=1,1,IF($AV$402=1,1,IF($AV$411=1,1,AV413)))</f>
        <v>0</v>
      </c>
      <c r="AX413" s="4">
        <f ca="1">VLOOKUP($N413,$N413:$CH413,MATCH('Character Sheet'!$BJ$3,Skills!$N$1:$CH$1,0),FALSE)</f>
        <v>0</v>
      </c>
    </row>
    <row r="414" spans="1:50" x14ac:dyDescent="0.25">
      <c r="A414" s="4" t="s">
        <v>2241</v>
      </c>
      <c r="B414" s="4" t="e">
        <f t="shared" si="190"/>
        <v>#N/A</v>
      </c>
      <c r="C414" s="4" t="e">
        <f t="shared" ca="1" si="219"/>
        <v>#N/A</v>
      </c>
      <c r="E414" s="4"/>
      <c r="F414" s="4">
        <f t="shared" ca="1" si="204"/>
        <v>0</v>
      </c>
      <c r="G414" s="4"/>
      <c r="H414" s="4" t="e">
        <f t="shared" si="200"/>
        <v>#N/A</v>
      </c>
      <c r="I414" s="4" t="e">
        <f t="shared" si="220"/>
        <v>#N/A</v>
      </c>
      <c r="J414" s="4">
        <f t="shared" ca="1" si="205"/>
        <v>0</v>
      </c>
      <c r="K414" s="4" t="e">
        <f t="shared" ca="1" si="201"/>
        <v>#N/A</v>
      </c>
      <c r="M414" t="str">
        <f t="shared" ca="1" si="221"/>
        <v>Detecting Ways</v>
      </c>
      <c r="N414" s="3" t="str">
        <f ca="1">'Character Sheet'!COP15</f>
        <v>Detecting Ways</v>
      </c>
      <c r="O414" s="4" t="str">
        <f t="shared" si="222"/>
        <v>Em/Em</v>
      </c>
      <c r="P414" s="4" t="s">
        <v>801</v>
      </c>
      <c r="Q414" s="4" t="e">
        <f t="shared" ca="1" si="197"/>
        <v>#N/A</v>
      </c>
      <c r="R414" s="4">
        <f ca="1">IF(ISNUMBER(SEARCH("Category",N414)),"- -",IF(ISNUMBER(SEARCH("Skills",N414)),"- -",'Level-up'!C432))</f>
        <v>0</v>
      </c>
      <c r="S414" s="4" t="e">
        <f t="shared" ca="1" si="206"/>
        <v>#N/A</v>
      </c>
      <c r="T414" s="4" t="e">
        <f t="shared" ca="1" si="207"/>
        <v>#N/A</v>
      </c>
      <c r="U414" s="4">
        <f t="shared" ca="1" si="199"/>
        <v>10</v>
      </c>
      <c r="V414" s="4">
        <f t="shared" ca="1" si="223"/>
        <v>0</v>
      </c>
      <c r="W414" s="4">
        <f t="shared" ca="1" si="196"/>
        <v>0</v>
      </c>
      <c r="X414" s="4">
        <f t="shared" ca="1" si="194"/>
        <v>0</v>
      </c>
      <c r="Y414" s="4">
        <f t="shared" ca="1" si="208"/>
        <v>0</v>
      </c>
      <c r="Z414" s="4">
        <f t="shared" ca="1" si="209"/>
        <v>0</v>
      </c>
      <c r="AA414" s="4">
        <f t="shared" ca="1" si="210"/>
        <v>0</v>
      </c>
      <c r="AB414" s="4">
        <f t="shared" ca="1" si="211"/>
        <v>0</v>
      </c>
      <c r="AC414" s="8"/>
      <c r="AD414" s="4"/>
      <c r="AE414" s="4"/>
      <c r="AF414" s="4" t="e">
        <f t="shared" ca="1" si="212"/>
        <v>#N/A</v>
      </c>
      <c r="AG414" s="4" t="s">
        <v>2076</v>
      </c>
      <c r="AH414" s="4">
        <f ca="1">IFERROR(VLOOKUP(M414,Calculations!$AC$2:$AD$251,2,FALSE),0)</f>
        <v>0</v>
      </c>
      <c r="AI414" s="4" t="e">
        <f ca="1">VLOOKUP(N414,$N$2:$AS$620,MATCH('Character Creation'!$Z$12,Skills!$N$1:$AS$1,0),FALSE)</f>
        <v>#N/A</v>
      </c>
      <c r="AJ414" s="4" t="e">
        <f ca="1">VLOOKUP($N414,[2]Cultures!$B$4:$M$283,MATCH(AJ$1,[2]Cultures!$B$3:$M$3,0),FALSE)</f>
        <v>#N/A</v>
      </c>
      <c r="AK414" s="4" t="e">
        <f ca="1">VLOOKUP($N414,[2]Cultures!$B$4:$M$283,MATCH(AK$1,[2]Cultures!$B$3:$M$3,0),FALSE)</f>
        <v>#N/A</v>
      </c>
      <c r="AL414" s="4" t="e">
        <f ca="1">VLOOKUP($N414,[2]Cultures!$B$4:$M$283,MATCH(AL$1,[2]Cultures!$B$3:$M$3,0),FALSE)</f>
        <v>#N/A</v>
      </c>
      <c r="AM414" s="4" t="e">
        <f ca="1">VLOOKUP($N414,[2]Cultures!$B$4:$M$283,MATCH(AM$1,[2]Cultures!$B$3:$M$3,0),FALSE)</f>
        <v>#N/A</v>
      </c>
      <c r="AN414" s="4" t="e">
        <f ca="1">VLOOKUP($N414,[2]Cultures!$B$4:$M$283,MATCH(AN$1,[2]Cultures!$B$3:$M$3,0),FALSE)</f>
        <v>#N/A</v>
      </c>
      <c r="AO414" s="4" t="e">
        <f ca="1">VLOOKUP($N414,[2]Cultures!$B$4:$M$283,MATCH(AO$1,[2]Cultures!$B$3:$M$3,0),FALSE)</f>
        <v>#N/A</v>
      </c>
      <c r="AP414" s="4" t="e">
        <f ca="1">VLOOKUP($N414,[2]Cultures!$B$4:$M$283,MATCH(AP$1,[2]Cultures!$B$3:$M$3,0),FALSE)</f>
        <v>#N/A</v>
      </c>
      <c r="AQ414" s="4" t="e">
        <f ca="1">VLOOKUP($N414,[2]Cultures!$B$4:$M$283,MATCH(AQ$1,[2]Cultures!$B$3:$M$3,0),FALSE)</f>
        <v>#N/A</v>
      </c>
      <c r="AR414" s="4" t="e">
        <f ca="1">VLOOKUP($N414,[2]Cultures!$B$4:$M$283,MATCH(AR$1,[2]Cultures!$B$3:$M$3,0),FALSE)</f>
        <v>#N/A</v>
      </c>
      <c r="AS414" s="4" t="e">
        <f ca="1">VLOOKUP($N414,[2]Cultures!$B$4:$M$283,MATCH(AS$1,[2]Cultures!$B$3:$M$3,0),FALSE)</f>
        <v>#N/A</v>
      </c>
      <c r="AT414" s="4"/>
      <c r="AU414" s="4">
        <f ca="1">IF(ISNUMBER(SEARCH(N414&amp;";",Calculations!$Q$19)),VLOOKUP(Skills!N414,Calculations!$Q$2:$T$16,4,FALSE),0)</f>
        <v>0</v>
      </c>
      <c r="AV414" s="4">
        <f ca="1">IF(ISNUMBER(SEARCH(N414&amp;";",Calculations!$Q$18)),1,0)</f>
        <v>0</v>
      </c>
      <c r="AW414" s="4">
        <f t="shared" ca="1" si="224"/>
        <v>0</v>
      </c>
      <c r="AX414" s="4">
        <f ca="1">VLOOKUP($N414,$N414:$CH414,MATCH('Character Sheet'!$BJ$3,Skills!$N$1:$CH$1,0),FALSE)</f>
        <v>0</v>
      </c>
    </row>
    <row r="415" spans="1:50" x14ac:dyDescent="0.25">
      <c r="A415" s="4" t="s">
        <v>2241</v>
      </c>
      <c r="B415" s="4" t="e">
        <f t="shared" si="190"/>
        <v>#N/A</v>
      </c>
      <c r="C415" s="4" t="e">
        <f t="shared" ca="1" si="219"/>
        <v>#N/A</v>
      </c>
      <c r="E415" s="4"/>
      <c r="F415" s="4">
        <f t="shared" ca="1" si="204"/>
        <v>0</v>
      </c>
      <c r="G415" s="4"/>
      <c r="H415" s="4" t="e">
        <f t="shared" si="200"/>
        <v>#N/A</v>
      </c>
      <c r="I415" s="4" t="e">
        <f t="shared" si="220"/>
        <v>#N/A</v>
      </c>
      <c r="J415" s="4">
        <f t="shared" ca="1" si="205"/>
        <v>0</v>
      </c>
      <c r="K415" s="4" t="e">
        <f t="shared" ca="1" si="201"/>
        <v>#N/A</v>
      </c>
      <c r="M415" t="str">
        <f t="shared" ca="1" si="221"/>
        <v>Elemental Shields</v>
      </c>
      <c r="N415" s="3" t="str">
        <f ca="1">'Character Sheet'!COP16</f>
        <v>Elemental Shields</v>
      </c>
      <c r="O415" s="4" t="str">
        <f t="shared" si="222"/>
        <v>Em/Em</v>
      </c>
      <c r="P415" s="4" t="s">
        <v>801</v>
      </c>
      <c r="Q415" s="4" t="e">
        <f t="shared" ca="1" si="197"/>
        <v>#N/A</v>
      </c>
      <c r="R415" s="4">
        <f ca="1">IF(ISNUMBER(SEARCH("Category",N415)),"- -",IF(ISNUMBER(SEARCH("Skills",N415)),"- -",'Level-up'!C433))</f>
        <v>0</v>
      </c>
      <c r="S415" s="4" t="e">
        <f t="shared" ca="1" si="206"/>
        <v>#N/A</v>
      </c>
      <c r="T415" s="4" t="e">
        <f t="shared" ca="1" si="207"/>
        <v>#N/A</v>
      </c>
      <c r="U415" s="4">
        <f t="shared" ca="1" si="199"/>
        <v>10</v>
      </c>
      <c r="V415" s="4">
        <f t="shared" ca="1" si="223"/>
        <v>0</v>
      </c>
      <c r="W415" s="4">
        <f t="shared" ca="1" si="196"/>
        <v>0</v>
      </c>
      <c r="X415" s="4">
        <f t="shared" ca="1" si="194"/>
        <v>0</v>
      </c>
      <c r="Y415" s="4">
        <f t="shared" ca="1" si="208"/>
        <v>0</v>
      </c>
      <c r="Z415" s="4">
        <f t="shared" ca="1" si="209"/>
        <v>0</v>
      </c>
      <c r="AA415" s="4">
        <f t="shared" ca="1" si="210"/>
        <v>0</v>
      </c>
      <c r="AB415" s="4">
        <f t="shared" ca="1" si="211"/>
        <v>0</v>
      </c>
      <c r="AC415" s="8"/>
      <c r="AD415" s="4"/>
      <c r="AE415" s="4"/>
      <c r="AF415" s="4" t="e">
        <f t="shared" ca="1" si="212"/>
        <v>#N/A</v>
      </c>
      <c r="AG415" s="4" t="s">
        <v>2076</v>
      </c>
      <c r="AH415" s="4">
        <f ca="1">IFERROR(VLOOKUP(M415,Calculations!$AC$2:$AD$251,2,FALSE),0)</f>
        <v>0</v>
      </c>
      <c r="AI415" s="4" t="e">
        <f ca="1">VLOOKUP(N415,$N$2:$AS$620,MATCH('Character Creation'!$Z$12,Skills!$N$1:$AS$1,0),FALSE)</f>
        <v>#N/A</v>
      </c>
      <c r="AJ415" s="4" t="e">
        <f ca="1">VLOOKUP($N415,[2]Cultures!$B$4:$M$283,MATCH(AJ$1,[2]Cultures!$B$3:$M$3,0),FALSE)</f>
        <v>#N/A</v>
      </c>
      <c r="AK415" s="4" t="e">
        <f ca="1">VLOOKUP($N415,[2]Cultures!$B$4:$M$283,MATCH(AK$1,[2]Cultures!$B$3:$M$3,0),FALSE)</f>
        <v>#N/A</v>
      </c>
      <c r="AL415" s="4" t="e">
        <f ca="1">VLOOKUP($N415,[2]Cultures!$B$4:$M$283,MATCH(AL$1,[2]Cultures!$B$3:$M$3,0),FALSE)</f>
        <v>#N/A</v>
      </c>
      <c r="AM415" s="4" t="e">
        <f ca="1">VLOOKUP($N415,[2]Cultures!$B$4:$M$283,MATCH(AM$1,[2]Cultures!$B$3:$M$3,0),FALSE)</f>
        <v>#N/A</v>
      </c>
      <c r="AN415" s="4" t="e">
        <f ca="1">VLOOKUP($N415,[2]Cultures!$B$4:$M$283,MATCH(AN$1,[2]Cultures!$B$3:$M$3,0),FALSE)</f>
        <v>#N/A</v>
      </c>
      <c r="AO415" s="4" t="e">
        <f ca="1">VLOOKUP($N415,[2]Cultures!$B$4:$M$283,MATCH(AO$1,[2]Cultures!$B$3:$M$3,0),FALSE)</f>
        <v>#N/A</v>
      </c>
      <c r="AP415" s="4" t="e">
        <f ca="1">VLOOKUP($N415,[2]Cultures!$B$4:$M$283,MATCH(AP$1,[2]Cultures!$B$3:$M$3,0),FALSE)</f>
        <v>#N/A</v>
      </c>
      <c r="AQ415" s="4" t="e">
        <f ca="1">VLOOKUP($N415,[2]Cultures!$B$4:$M$283,MATCH(AQ$1,[2]Cultures!$B$3:$M$3,0),FALSE)</f>
        <v>#N/A</v>
      </c>
      <c r="AR415" s="4" t="e">
        <f ca="1">VLOOKUP($N415,[2]Cultures!$B$4:$M$283,MATCH(AR$1,[2]Cultures!$B$3:$M$3,0),FALSE)</f>
        <v>#N/A</v>
      </c>
      <c r="AS415" s="4" t="e">
        <f ca="1">VLOOKUP($N415,[2]Cultures!$B$4:$M$283,MATCH(AS$1,[2]Cultures!$B$3:$M$3,0),FALSE)</f>
        <v>#N/A</v>
      </c>
      <c r="AT415" s="4"/>
      <c r="AU415" s="4">
        <f ca="1">IF(ISNUMBER(SEARCH(N415&amp;";",Calculations!$Q$19)),VLOOKUP(Skills!N415,Calculations!$Q$2:$T$16,4,FALSE),0)</f>
        <v>0</v>
      </c>
      <c r="AV415" s="4">
        <f ca="1">IF(ISNUMBER(SEARCH(N415&amp;";",Calculations!$Q$18)),1,0)</f>
        <v>0</v>
      </c>
      <c r="AW415" s="4">
        <f t="shared" ca="1" si="224"/>
        <v>0</v>
      </c>
      <c r="AX415" s="4">
        <f ca="1">VLOOKUP($N415,$N415:$CH415,MATCH('Character Sheet'!$BJ$3,Skills!$N$1:$CH$1,0),FALSE)</f>
        <v>0</v>
      </c>
    </row>
    <row r="416" spans="1:50" x14ac:dyDescent="0.25">
      <c r="A416" s="4" t="s">
        <v>2241</v>
      </c>
      <c r="B416" s="4" t="e">
        <f t="shared" ref="B416:B479" si="225">IF(A416="Y",B415+1,IF(A416="N",B415,IF(S416="- -",B415,IF(S416&gt;0,B415+1,B415))))</f>
        <v>#N/A</v>
      </c>
      <c r="C416" s="4" t="e">
        <f t="shared" ca="1" si="219"/>
        <v>#N/A</v>
      </c>
      <c r="E416" s="4"/>
      <c r="F416" s="4">
        <f t="shared" ca="1" si="204"/>
        <v>0</v>
      </c>
      <c r="G416" s="4"/>
      <c r="H416" s="4" t="e">
        <f t="shared" si="200"/>
        <v>#N/A</v>
      </c>
      <c r="I416" s="4" t="e">
        <f t="shared" si="220"/>
        <v>#N/A</v>
      </c>
      <c r="J416" s="4">
        <f t="shared" ca="1" si="205"/>
        <v>0</v>
      </c>
      <c r="K416" s="4" t="e">
        <f t="shared" ca="1" si="201"/>
        <v>#N/A</v>
      </c>
      <c r="M416" t="str">
        <f t="shared" ca="1" si="221"/>
        <v>Essence's Hand</v>
      </c>
      <c r="N416" s="3" t="str">
        <f ca="1">'Character Sheet'!COP17</f>
        <v>Essence's Hand</v>
      </c>
      <c r="O416" s="4" t="str">
        <f t="shared" si="222"/>
        <v>Em/Em</v>
      </c>
      <c r="P416" s="4" t="s">
        <v>801</v>
      </c>
      <c r="Q416" s="4" t="e">
        <f t="shared" ca="1" si="197"/>
        <v>#N/A</v>
      </c>
      <c r="R416" s="4">
        <f ca="1">IF(ISNUMBER(SEARCH("Category",N416)),"- -",IF(ISNUMBER(SEARCH("Skills",N416)),"- -",'Level-up'!C434))</f>
        <v>0</v>
      </c>
      <c r="S416" s="4" t="e">
        <f t="shared" ca="1" si="206"/>
        <v>#N/A</v>
      </c>
      <c r="T416" s="4" t="e">
        <f t="shared" ca="1" si="207"/>
        <v>#N/A</v>
      </c>
      <c r="U416" s="4">
        <f t="shared" ca="1" si="199"/>
        <v>10</v>
      </c>
      <c r="V416" s="4">
        <f t="shared" ca="1" si="223"/>
        <v>0</v>
      </c>
      <c r="W416" s="4">
        <f t="shared" ca="1" si="196"/>
        <v>0</v>
      </c>
      <c r="X416" s="4">
        <f t="shared" ca="1" si="194"/>
        <v>0</v>
      </c>
      <c r="Y416" s="4">
        <f t="shared" ca="1" si="208"/>
        <v>0</v>
      </c>
      <c r="Z416" s="4">
        <f t="shared" ca="1" si="209"/>
        <v>0</v>
      </c>
      <c r="AA416" s="4">
        <f t="shared" ca="1" si="210"/>
        <v>0</v>
      </c>
      <c r="AB416" s="4">
        <f t="shared" ca="1" si="211"/>
        <v>0</v>
      </c>
      <c r="AC416" s="8"/>
      <c r="AD416" s="4"/>
      <c r="AE416" s="4"/>
      <c r="AF416" s="4" t="e">
        <f t="shared" ca="1" si="212"/>
        <v>#N/A</v>
      </c>
      <c r="AG416" s="4" t="s">
        <v>2076</v>
      </c>
      <c r="AH416" s="4">
        <f ca="1">IFERROR(VLOOKUP(M416,Calculations!$AC$2:$AD$251,2,FALSE),0)</f>
        <v>0</v>
      </c>
      <c r="AI416" s="4" t="e">
        <f ca="1">VLOOKUP(N416,$N$2:$AS$620,MATCH('Character Creation'!$Z$12,Skills!$N$1:$AS$1,0),FALSE)</f>
        <v>#N/A</v>
      </c>
      <c r="AJ416" s="4" t="e">
        <f ca="1">VLOOKUP($N416,[2]Cultures!$B$4:$M$283,MATCH(AJ$1,[2]Cultures!$B$3:$M$3,0),FALSE)</f>
        <v>#N/A</v>
      </c>
      <c r="AK416" s="4" t="e">
        <f ca="1">VLOOKUP($N416,[2]Cultures!$B$4:$M$283,MATCH(AK$1,[2]Cultures!$B$3:$M$3,0),FALSE)</f>
        <v>#N/A</v>
      </c>
      <c r="AL416" s="4" t="e">
        <f ca="1">VLOOKUP($N416,[2]Cultures!$B$4:$M$283,MATCH(AL$1,[2]Cultures!$B$3:$M$3,0),FALSE)</f>
        <v>#N/A</v>
      </c>
      <c r="AM416" s="4" t="e">
        <f ca="1">VLOOKUP($N416,[2]Cultures!$B$4:$M$283,MATCH(AM$1,[2]Cultures!$B$3:$M$3,0),FALSE)</f>
        <v>#N/A</v>
      </c>
      <c r="AN416" s="4" t="e">
        <f ca="1">VLOOKUP($N416,[2]Cultures!$B$4:$M$283,MATCH(AN$1,[2]Cultures!$B$3:$M$3,0),FALSE)</f>
        <v>#N/A</v>
      </c>
      <c r="AO416" s="4" t="e">
        <f ca="1">VLOOKUP($N416,[2]Cultures!$B$4:$M$283,MATCH(AO$1,[2]Cultures!$B$3:$M$3,0),FALSE)</f>
        <v>#N/A</v>
      </c>
      <c r="AP416" s="4" t="e">
        <f ca="1">VLOOKUP($N416,[2]Cultures!$B$4:$M$283,MATCH(AP$1,[2]Cultures!$B$3:$M$3,0),FALSE)</f>
        <v>#N/A</v>
      </c>
      <c r="AQ416" s="4" t="e">
        <f ca="1">VLOOKUP($N416,[2]Cultures!$B$4:$M$283,MATCH(AQ$1,[2]Cultures!$B$3:$M$3,0),FALSE)</f>
        <v>#N/A</v>
      </c>
      <c r="AR416" s="4" t="e">
        <f ca="1">VLOOKUP($N416,[2]Cultures!$B$4:$M$283,MATCH(AR$1,[2]Cultures!$B$3:$M$3,0),FALSE)</f>
        <v>#N/A</v>
      </c>
      <c r="AS416" s="4" t="e">
        <f ca="1">VLOOKUP($N416,[2]Cultures!$B$4:$M$283,MATCH(AS$1,[2]Cultures!$B$3:$M$3,0),FALSE)</f>
        <v>#N/A</v>
      </c>
      <c r="AT416" s="4"/>
      <c r="AU416" s="4">
        <f ca="1">IF(ISNUMBER(SEARCH(N416&amp;";",Calculations!$Q$19)),VLOOKUP(Skills!N416,Calculations!$Q$2:$T$16,4,FALSE),0)</f>
        <v>0</v>
      </c>
      <c r="AV416" s="4">
        <f ca="1">IF(ISNUMBER(SEARCH(N416&amp;";",Calculations!$Q$18)),1,0)</f>
        <v>0</v>
      </c>
      <c r="AW416" s="4">
        <f t="shared" ca="1" si="224"/>
        <v>0</v>
      </c>
      <c r="AX416" s="4">
        <f ca="1">VLOOKUP($N416,$N416:$CH416,MATCH('Character Sheet'!$BJ$3,Skills!$N$1:$CH$1,0),FALSE)</f>
        <v>0</v>
      </c>
    </row>
    <row r="417" spans="1:50" x14ac:dyDescent="0.25">
      <c r="A417" s="4" t="s">
        <v>2241</v>
      </c>
      <c r="B417" s="4" t="e">
        <f t="shared" si="225"/>
        <v>#N/A</v>
      </c>
      <c r="C417" s="4" t="e">
        <f t="shared" ca="1" si="219"/>
        <v>#N/A</v>
      </c>
      <c r="E417" s="4"/>
      <c r="F417" s="4">
        <f t="shared" ca="1" si="204"/>
        <v>0</v>
      </c>
      <c r="G417" s="4"/>
      <c r="H417" s="4" t="e">
        <f t="shared" si="200"/>
        <v>#N/A</v>
      </c>
      <c r="I417" s="4" t="e">
        <f t="shared" si="220"/>
        <v>#N/A</v>
      </c>
      <c r="J417" s="4">
        <f t="shared" ca="1" si="205"/>
        <v>0</v>
      </c>
      <c r="K417" s="4" t="e">
        <f t="shared" ca="1" si="201"/>
        <v>#N/A</v>
      </c>
      <c r="M417" t="str">
        <f t="shared" ca="1" si="221"/>
        <v>Essence's Perceptions</v>
      </c>
      <c r="N417" s="3" t="str">
        <f ca="1">'Character Sheet'!COP18</f>
        <v>Essence's Perceptions</v>
      </c>
      <c r="O417" s="4" t="str">
        <f t="shared" si="222"/>
        <v>Em/Em</v>
      </c>
      <c r="P417" s="4" t="s">
        <v>801</v>
      </c>
      <c r="Q417" s="4" t="e">
        <f t="shared" ca="1" si="197"/>
        <v>#N/A</v>
      </c>
      <c r="R417" s="4">
        <f ca="1">IF(ISNUMBER(SEARCH("Category",N417)),"- -",IF(ISNUMBER(SEARCH("Skills",N417)),"- -",'Level-up'!C435))</f>
        <v>0</v>
      </c>
      <c r="S417" s="4" t="e">
        <f t="shared" ca="1" si="206"/>
        <v>#N/A</v>
      </c>
      <c r="T417" s="4" t="e">
        <f t="shared" ca="1" si="207"/>
        <v>#N/A</v>
      </c>
      <c r="U417" s="4">
        <f t="shared" ca="1" si="199"/>
        <v>10</v>
      </c>
      <c r="V417" s="4">
        <f t="shared" ca="1" si="223"/>
        <v>0</v>
      </c>
      <c r="W417" s="4">
        <f t="shared" ca="1" si="196"/>
        <v>0</v>
      </c>
      <c r="X417" s="4">
        <f t="shared" ca="1" si="194"/>
        <v>0</v>
      </c>
      <c r="Y417" s="4">
        <f t="shared" ca="1" si="208"/>
        <v>0</v>
      </c>
      <c r="Z417" s="4">
        <f t="shared" ca="1" si="209"/>
        <v>0</v>
      </c>
      <c r="AA417" s="4">
        <f t="shared" ca="1" si="210"/>
        <v>0</v>
      </c>
      <c r="AB417" s="4">
        <f t="shared" ca="1" si="211"/>
        <v>0</v>
      </c>
      <c r="AC417" s="8"/>
      <c r="AD417" s="4"/>
      <c r="AE417" s="4"/>
      <c r="AF417" s="4" t="e">
        <f t="shared" ca="1" si="212"/>
        <v>#N/A</v>
      </c>
      <c r="AG417" s="4" t="s">
        <v>2076</v>
      </c>
      <c r="AH417" s="4">
        <f ca="1">IFERROR(VLOOKUP(M417,Calculations!$AC$2:$AD$251,2,FALSE),0)</f>
        <v>0</v>
      </c>
      <c r="AI417" s="4" t="e">
        <f ca="1">VLOOKUP(N417,$N$2:$AS$620,MATCH('Character Creation'!$Z$12,Skills!$N$1:$AS$1,0),FALSE)</f>
        <v>#N/A</v>
      </c>
      <c r="AJ417" s="4" t="e">
        <f ca="1">VLOOKUP($N417,[2]Cultures!$B$4:$M$283,MATCH(AJ$1,[2]Cultures!$B$3:$M$3,0),FALSE)</f>
        <v>#N/A</v>
      </c>
      <c r="AK417" s="4" t="e">
        <f ca="1">VLOOKUP($N417,[2]Cultures!$B$4:$M$283,MATCH(AK$1,[2]Cultures!$B$3:$M$3,0),FALSE)</f>
        <v>#N/A</v>
      </c>
      <c r="AL417" s="4" t="e">
        <f ca="1">VLOOKUP($N417,[2]Cultures!$B$4:$M$283,MATCH(AL$1,[2]Cultures!$B$3:$M$3,0),FALSE)</f>
        <v>#N/A</v>
      </c>
      <c r="AM417" s="4" t="e">
        <f ca="1">VLOOKUP($N417,[2]Cultures!$B$4:$M$283,MATCH(AM$1,[2]Cultures!$B$3:$M$3,0),FALSE)</f>
        <v>#N/A</v>
      </c>
      <c r="AN417" s="4" t="e">
        <f ca="1">VLOOKUP($N417,[2]Cultures!$B$4:$M$283,MATCH(AN$1,[2]Cultures!$B$3:$M$3,0),FALSE)</f>
        <v>#N/A</v>
      </c>
      <c r="AO417" s="4" t="e">
        <f ca="1">VLOOKUP($N417,[2]Cultures!$B$4:$M$283,MATCH(AO$1,[2]Cultures!$B$3:$M$3,0),FALSE)</f>
        <v>#N/A</v>
      </c>
      <c r="AP417" s="4" t="e">
        <f ca="1">VLOOKUP($N417,[2]Cultures!$B$4:$M$283,MATCH(AP$1,[2]Cultures!$B$3:$M$3,0),FALSE)</f>
        <v>#N/A</v>
      </c>
      <c r="AQ417" s="4" t="e">
        <f ca="1">VLOOKUP($N417,[2]Cultures!$B$4:$M$283,MATCH(AQ$1,[2]Cultures!$B$3:$M$3,0),FALSE)</f>
        <v>#N/A</v>
      </c>
      <c r="AR417" s="4" t="e">
        <f ca="1">VLOOKUP($N417,[2]Cultures!$B$4:$M$283,MATCH(AR$1,[2]Cultures!$B$3:$M$3,0),FALSE)</f>
        <v>#N/A</v>
      </c>
      <c r="AS417" s="4" t="e">
        <f ca="1">VLOOKUP($N417,[2]Cultures!$B$4:$M$283,MATCH(AS$1,[2]Cultures!$B$3:$M$3,0),FALSE)</f>
        <v>#N/A</v>
      </c>
      <c r="AT417" s="4"/>
      <c r="AU417" s="4">
        <f ca="1">IF(ISNUMBER(SEARCH(N417&amp;";",Calculations!$Q$19)),VLOOKUP(Skills!N417,Calculations!$Q$2:$T$16,4,FALSE),0)</f>
        <v>0</v>
      </c>
      <c r="AV417" s="4">
        <f ca="1">IF(ISNUMBER(SEARCH(N417&amp;";",Calculations!$Q$18)),1,0)</f>
        <v>0</v>
      </c>
      <c r="AW417" s="4">
        <f t="shared" ca="1" si="224"/>
        <v>0</v>
      </c>
      <c r="AX417" s="4">
        <f ca="1">VLOOKUP($N417,$N417:$CH417,MATCH('Character Sheet'!$BJ$3,Skills!$N$1:$CH$1,0),FALSE)</f>
        <v>0</v>
      </c>
    </row>
    <row r="418" spans="1:50" x14ac:dyDescent="0.25">
      <c r="A418" s="4" t="s">
        <v>2241</v>
      </c>
      <c r="B418" s="4" t="e">
        <f t="shared" si="225"/>
        <v>#N/A</v>
      </c>
      <c r="C418" s="4" t="e">
        <f t="shared" ca="1" si="219"/>
        <v>#N/A</v>
      </c>
      <c r="E418" s="4"/>
      <c r="F418" s="4">
        <f t="shared" ca="1" si="204"/>
        <v>0</v>
      </c>
      <c r="G418" s="4"/>
      <c r="H418" s="4" t="e">
        <f t="shared" si="200"/>
        <v>#N/A</v>
      </c>
      <c r="I418" s="4" t="e">
        <f t="shared" si="220"/>
        <v>#N/A</v>
      </c>
      <c r="J418" s="4">
        <f t="shared" ca="1" si="205"/>
        <v>0</v>
      </c>
      <c r="K418" s="4" t="e">
        <f t="shared" ca="1" si="201"/>
        <v>#N/A</v>
      </c>
      <c r="M418" t="str">
        <f t="shared" ca="1" si="221"/>
        <v>Lesser Illusions</v>
      </c>
      <c r="N418" s="3" t="str">
        <f ca="1">'Character Sheet'!COP19</f>
        <v>Lesser Illusions</v>
      </c>
      <c r="O418" s="4" t="str">
        <f t="shared" si="222"/>
        <v>Em/Em</v>
      </c>
      <c r="P418" s="4" t="s">
        <v>801</v>
      </c>
      <c r="Q418" s="4" t="e">
        <f t="shared" ca="1" si="197"/>
        <v>#N/A</v>
      </c>
      <c r="R418" s="4">
        <f ca="1">IF(ISNUMBER(SEARCH("Category",N418)),"- -",IF(ISNUMBER(SEARCH("Skills",N418)),"- -",'Level-up'!C436))</f>
        <v>0</v>
      </c>
      <c r="S418" s="4" t="e">
        <f t="shared" ca="1" si="206"/>
        <v>#N/A</v>
      </c>
      <c r="T418" s="4" t="e">
        <f t="shared" ca="1" si="207"/>
        <v>#N/A</v>
      </c>
      <c r="U418" s="4">
        <f t="shared" ca="1" si="199"/>
        <v>10</v>
      </c>
      <c r="V418" s="4">
        <f t="shared" ca="1" si="223"/>
        <v>0</v>
      </c>
      <c r="W418" s="4">
        <f t="shared" ca="1" si="196"/>
        <v>0</v>
      </c>
      <c r="X418" s="4">
        <f t="shared" ref="X418:X481" ca="1" si="226">IF(ISNUMBER(SEARCH("Category",N418)),"- -",IF(ISNUMBER(SEARCH("Skills",N418)),"- -",0))</f>
        <v>0</v>
      </c>
      <c r="Y418" s="4">
        <f t="shared" ca="1" si="208"/>
        <v>0</v>
      </c>
      <c r="Z418" s="4">
        <f t="shared" ca="1" si="209"/>
        <v>0</v>
      </c>
      <c r="AA418" s="4">
        <f t="shared" ca="1" si="210"/>
        <v>0</v>
      </c>
      <c r="AB418" s="4">
        <f t="shared" ca="1" si="211"/>
        <v>0</v>
      </c>
      <c r="AC418" s="8"/>
      <c r="AD418" s="4"/>
      <c r="AE418" s="4"/>
      <c r="AF418" s="4" t="e">
        <f t="shared" ca="1" si="212"/>
        <v>#N/A</v>
      </c>
      <c r="AG418" s="4" t="s">
        <v>2076</v>
      </c>
      <c r="AH418" s="4">
        <f ca="1">IFERROR(VLOOKUP(M418,Calculations!$AC$2:$AD$251,2,FALSE),0)</f>
        <v>0</v>
      </c>
      <c r="AI418" s="4" t="e">
        <f ca="1">VLOOKUP(N418,$N$2:$AS$620,MATCH('Character Creation'!$Z$12,Skills!$N$1:$AS$1,0),FALSE)</f>
        <v>#N/A</v>
      </c>
      <c r="AJ418" s="4" t="e">
        <f ca="1">VLOOKUP($N418,[2]Cultures!$B$4:$M$283,MATCH(AJ$1,[2]Cultures!$B$3:$M$3,0),FALSE)</f>
        <v>#N/A</v>
      </c>
      <c r="AK418" s="4" t="e">
        <f ca="1">VLOOKUP($N418,[2]Cultures!$B$4:$M$283,MATCH(AK$1,[2]Cultures!$B$3:$M$3,0),FALSE)</f>
        <v>#N/A</v>
      </c>
      <c r="AL418" s="4" t="e">
        <f ca="1">VLOOKUP($N418,[2]Cultures!$B$4:$M$283,MATCH(AL$1,[2]Cultures!$B$3:$M$3,0),FALSE)</f>
        <v>#N/A</v>
      </c>
      <c r="AM418" s="4" t="e">
        <f ca="1">VLOOKUP($N418,[2]Cultures!$B$4:$M$283,MATCH(AM$1,[2]Cultures!$B$3:$M$3,0),FALSE)</f>
        <v>#N/A</v>
      </c>
      <c r="AN418" s="4" t="e">
        <f ca="1">VLOOKUP($N418,[2]Cultures!$B$4:$M$283,MATCH(AN$1,[2]Cultures!$B$3:$M$3,0),FALSE)</f>
        <v>#N/A</v>
      </c>
      <c r="AO418" s="4" t="e">
        <f ca="1">VLOOKUP($N418,[2]Cultures!$B$4:$M$283,MATCH(AO$1,[2]Cultures!$B$3:$M$3,0),FALSE)</f>
        <v>#N/A</v>
      </c>
      <c r="AP418" s="4" t="e">
        <f ca="1">VLOOKUP($N418,[2]Cultures!$B$4:$M$283,MATCH(AP$1,[2]Cultures!$B$3:$M$3,0),FALSE)</f>
        <v>#N/A</v>
      </c>
      <c r="AQ418" s="4" t="e">
        <f ca="1">VLOOKUP($N418,[2]Cultures!$B$4:$M$283,MATCH(AQ$1,[2]Cultures!$B$3:$M$3,0),FALSE)</f>
        <v>#N/A</v>
      </c>
      <c r="AR418" s="4" t="e">
        <f ca="1">VLOOKUP($N418,[2]Cultures!$B$4:$M$283,MATCH(AR$1,[2]Cultures!$B$3:$M$3,0),FALSE)</f>
        <v>#N/A</v>
      </c>
      <c r="AS418" s="4" t="e">
        <f ca="1">VLOOKUP($N418,[2]Cultures!$B$4:$M$283,MATCH(AS$1,[2]Cultures!$B$3:$M$3,0),FALSE)</f>
        <v>#N/A</v>
      </c>
      <c r="AT418" s="4"/>
      <c r="AU418" s="4">
        <f ca="1">IF(ISNUMBER(SEARCH(N418&amp;";",Calculations!$Q$19)),VLOOKUP(Skills!N418,Calculations!$Q$2:$T$16,4,FALSE),0)</f>
        <v>0</v>
      </c>
      <c r="AV418" s="4">
        <f ca="1">IF(ISNUMBER(SEARCH(N418&amp;";",Calculations!$Q$18)),1,0)</f>
        <v>0</v>
      </c>
      <c r="AW418" s="4">
        <f t="shared" ca="1" si="224"/>
        <v>0</v>
      </c>
      <c r="AX418" s="4">
        <f ca="1">VLOOKUP($N418,$N418:$CH418,MATCH('Character Sheet'!$BJ$3,Skills!$N$1:$CH$1,0),FALSE)</f>
        <v>0</v>
      </c>
    </row>
    <row r="419" spans="1:50" x14ac:dyDescent="0.25">
      <c r="A419" s="4" t="s">
        <v>2241</v>
      </c>
      <c r="B419" s="4" t="e">
        <f t="shared" si="225"/>
        <v>#N/A</v>
      </c>
      <c r="C419" s="4" t="e">
        <f t="shared" ca="1" si="219"/>
        <v>#N/A</v>
      </c>
      <c r="E419" s="4"/>
      <c r="F419" s="4">
        <f t="shared" ca="1" si="204"/>
        <v>0</v>
      </c>
      <c r="G419" s="4"/>
      <c r="H419" s="4" t="e">
        <f t="shared" si="200"/>
        <v>#N/A</v>
      </c>
      <c r="I419" s="4" t="e">
        <f t="shared" si="220"/>
        <v>#N/A</v>
      </c>
      <c r="J419" s="4">
        <f t="shared" ca="1" si="205"/>
        <v>0</v>
      </c>
      <c r="K419" s="4" t="e">
        <f t="shared" ca="1" si="201"/>
        <v>#N/A</v>
      </c>
      <c r="M419" t="str">
        <f t="shared" ca="1" si="221"/>
        <v>Physical Enhancement</v>
      </c>
      <c r="N419" s="3" t="str">
        <f ca="1">'Character Sheet'!COP20</f>
        <v>Physical Enhancement</v>
      </c>
      <c r="O419" s="4" t="str">
        <f t="shared" si="222"/>
        <v>Em/Em</v>
      </c>
      <c r="P419" s="4" t="s">
        <v>801</v>
      </c>
      <c r="Q419" s="4" t="e">
        <f t="shared" ca="1" si="197"/>
        <v>#N/A</v>
      </c>
      <c r="R419" s="4">
        <f ca="1">IF(ISNUMBER(SEARCH("Category",N419)),"- -",IF(ISNUMBER(SEARCH("Skills",N419)),"- -",'Level-up'!C437))</f>
        <v>0</v>
      </c>
      <c r="S419" s="4" t="e">
        <f t="shared" ca="1" si="206"/>
        <v>#N/A</v>
      </c>
      <c r="T419" s="4" t="e">
        <f t="shared" ca="1" si="207"/>
        <v>#N/A</v>
      </c>
      <c r="U419" s="4">
        <f t="shared" ca="1" si="199"/>
        <v>10</v>
      </c>
      <c r="V419" s="4">
        <f t="shared" ca="1" si="223"/>
        <v>0</v>
      </c>
      <c r="W419" s="4">
        <f t="shared" ca="1" si="196"/>
        <v>0</v>
      </c>
      <c r="X419" s="4">
        <f t="shared" ca="1" si="226"/>
        <v>0</v>
      </c>
      <c r="Y419" s="4">
        <f t="shared" ca="1" si="208"/>
        <v>0</v>
      </c>
      <c r="Z419" s="4">
        <f t="shared" ca="1" si="209"/>
        <v>0</v>
      </c>
      <c r="AA419" s="4">
        <f t="shared" ca="1" si="210"/>
        <v>0</v>
      </c>
      <c r="AB419" s="4">
        <f t="shared" ca="1" si="211"/>
        <v>0</v>
      </c>
      <c r="AC419" s="8"/>
      <c r="AD419" s="4"/>
      <c r="AE419" s="4"/>
      <c r="AF419" s="4" t="e">
        <f t="shared" ca="1" si="212"/>
        <v>#N/A</v>
      </c>
      <c r="AG419" s="4" t="s">
        <v>2076</v>
      </c>
      <c r="AH419" s="4">
        <f ca="1">IFERROR(VLOOKUP(M419,Calculations!$AC$2:$AD$251,2,FALSE),0)</f>
        <v>0</v>
      </c>
      <c r="AI419" s="4" t="e">
        <f ca="1">VLOOKUP(N419,$N$2:$AS$620,MATCH('Character Creation'!$Z$12,Skills!$N$1:$AS$1,0),FALSE)</f>
        <v>#N/A</v>
      </c>
      <c r="AJ419" s="4" t="e">
        <f ca="1">VLOOKUP($N419,[2]Cultures!$B$4:$M$283,MATCH(AJ$1,[2]Cultures!$B$3:$M$3,0),FALSE)</f>
        <v>#N/A</v>
      </c>
      <c r="AK419" s="4" t="e">
        <f ca="1">VLOOKUP($N419,[2]Cultures!$B$4:$M$283,MATCH(AK$1,[2]Cultures!$B$3:$M$3,0),FALSE)</f>
        <v>#N/A</v>
      </c>
      <c r="AL419" s="4" t="e">
        <f ca="1">VLOOKUP($N419,[2]Cultures!$B$4:$M$283,MATCH(AL$1,[2]Cultures!$B$3:$M$3,0),FALSE)</f>
        <v>#N/A</v>
      </c>
      <c r="AM419" s="4" t="e">
        <f ca="1">VLOOKUP($N419,[2]Cultures!$B$4:$M$283,MATCH(AM$1,[2]Cultures!$B$3:$M$3,0),FALSE)</f>
        <v>#N/A</v>
      </c>
      <c r="AN419" s="4" t="e">
        <f ca="1">VLOOKUP($N419,[2]Cultures!$B$4:$M$283,MATCH(AN$1,[2]Cultures!$B$3:$M$3,0),FALSE)</f>
        <v>#N/A</v>
      </c>
      <c r="AO419" s="4" t="e">
        <f ca="1">VLOOKUP($N419,[2]Cultures!$B$4:$M$283,MATCH(AO$1,[2]Cultures!$B$3:$M$3,0),FALSE)</f>
        <v>#N/A</v>
      </c>
      <c r="AP419" s="4" t="e">
        <f ca="1">VLOOKUP($N419,[2]Cultures!$B$4:$M$283,MATCH(AP$1,[2]Cultures!$B$3:$M$3,0),FALSE)</f>
        <v>#N/A</v>
      </c>
      <c r="AQ419" s="4" t="e">
        <f ca="1">VLOOKUP($N419,[2]Cultures!$B$4:$M$283,MATCH(AQ$1,[2]Cultures!$B$3:$M$3,0),FALSE)</f>
        <v>#N/A</v>
      </c>
      <c r="AR419" s="4" t="e">
        <f ca="1">VLOOKUP($N419,[2]Cultures!$B$4:$M$283,MATCH(AR$1,[2]Cultures!$B$3:$M$3,0),FALSE)</f>
        <v>#N/A</v>
      </c>
      <c r="AS419" s="4" t="e">
        <f ca="1">VLOOKUP($N419,[2]Cultures!$B$4:$M$283,MATCH(AS$1,[2]Cultures!$B$3:$M$3,0),FALSE)</f>
        <v>#N/A</v>
      </c>
      <c r="AT419" s="4"/>
      <c r="AU419" s="4">
        <f ca="1">IF(ISNUMBER(SEARCH(N419&amp;";",Calculations!$Q$19)),VLOOKUP(Skills!N419,Calculations!$Q$2:$T$16,4,FALSE),0)</f>
        <v>0</v>
      </c>
      <c r="AV419" s="4">
        <f ca="1">IF(ISNUMBER(SEARCH(N419&amp;";",Calculations!$Q$18)),1,0)</f>
        <v>0</v>
      </c>
      <c r="AW419" s="4">
        <f t="shared" ca="1" si="224"/>
        <v>0</v>
      </c>
      <c r="AX419" s="4">
        <f ca="1">VLOOKUP($N419,$N419:$CH419,MATCH('Character Sheet'!$BJ$3,Skills!$N$1:$CH$1,0),FALSE)</f>
        <v>0</v>
      </c>
    </row>
    <row r="420" spans="1:50" x14ac:dyDescent="0.25">
      <c r="A420" s="4" t="s">
        <v>2241</v>
      </c>
      <c r="B420" s="4" t="e">
        <f t="shared" si="225"/>
        <v>#N/A</v>
      </c>
      <c r="C420" s="4" t="e">
        <f t="shared" ca="1" si="219"/>
        <v>#N/A</v>
      </c>
      <c r="E420" s="4"/>
      <c r="F420" s="4">
        <f t="shared" ca="1" si="204"/>
        <v>0</v>
      </c>
      <c r="G420" s="4"/>
      <c r="H420" s="4" t="e">
        <f t="shared" si="200"/>
        <v>#N/A</v>
      </c>
      <c r="I420" s="4" t="e">
        <f t="shared" si="220"/>
        <v>#N/A</v>
      </c>
      <c r="J420" s="4">
        <f t="shared" ca="1" si="205"/>
        <v>0</v>
      </c>
      <c r="K420" s="4" t="e">
        <f t="shared" ca="1" si="201"/>
        <v>#N/A</v>
      </c>
      <c r="M420" t="str">
        <f t="shared" ca="1" si="221"/>
        <v>Rune Mastery</v>
      </c>
      <c r="N420" s="3" t="str">
        <f ca="1">'Character Sheet'!COP21</f>
        <v>Rune Mastery</v>
      </c>
      <c r="O420" s="4" t="str">
        <f t="shared" si="222"/>
        <v>Em/Em</v>
      </c>
      <c r="P420" s="4" t="s">
        <v>801</v>
      </c>
      <c r="Q420" s="4" t="e">
        <f t="shared" ca="1" si="197"/>
        <v>#N/A</v>
      </c>
      <c r="R420" s="4">
        <f ca="1">IF(ISNUMBER(SEARCH("Category",N420)),"- -",IF(ISNUMBER(SEARCH("Skills",N420)),"- -",'Level-up'!C438))</f>
        <v>0</v>
      </c>
      <c r="S420" s="4" t="e">
        <f t="shared" ca="1" si="206"/>
        <v>#N/A</v>
      </c>
      <c r="T420" s="4" t="e">
        <f t="shared" ca="1" si="207"/>
        <v>#N/A</v>
      </c>
      <c r="U420" s="4">
        <f t="shared" ca="1" si="199"/>
        <v>10</v>
      </c>
      <c r="V420" s="4">
        <f t="shared" ca="1" si="223"/>
        <v>0</v>
      </c>
      <c r="W420" s="4">
        <f t="shared" ref="W420:W483" ca="1" si="227">IF(ISNUMBER(SEARCH("Category",N420)),"- -",IF(ISNUMBER(SEARCH("Skills",N420)),"- -",IF(AW420=1,MIN(S420,30),0)))</f>
        <v>0</v>
      </c>
      <c r="X420" s="4">
        <f t="shared" ca="1" si="226"/>
        <v>0</v>
      </c>
      <c r="Y420" s="4">
        <f t="shared" ca="1" si="208"/>
        <v>0</v>
      </c>
      <c r="Z420" s="4">
        <f t="shared" ca="1" si="209"/>
        <v>0</v>
      </c>
      <c r="AA420" s="4">
        <f t="shared" ca="1" si="210"/>
        <v>0</v>
      </c>
      <c r="AB420" s="4">
        <f t="shared" ca="1" si="211"/>
        <v>0</v>
      </c>
      <c r="AC420" s="8"/>
      <c r="AD420" s="4"/>
      <c r="AE420" s="4"/>
      <c r="AF420" s="4" t="e">
        <f t="shared" ca="1" si="212"/>
        <v>#N/A</v>
      </c>
      <c r="AG420" s="4" t="s">
        <v>2076</v>
      </c>
      <c r="AH420" s="4">
        <f ca="1">IFERROR(VLOOKUP(M420,Calculations!$AC$2:$AD$251,2,FALSE),0)</f>
        <v>0</v>
      </c>
      <c r="AI420" s="4" t="e">
        <f ca="1">VLOOKUP(N420,$N$2:$AS$620,MATCH('Character Creation'!$Z$12,Skills!$N$1:$AS$1,0),FALSE)</f>
        <v>#N/A</v>
      </c>
      <c r="AJ420" s="4" t="e">
        <f ca="1">VLOOKUP($N420,[2]Cultures!$B$4:$M$283,MATCH(AJ$1,[2]Cultures!$B$3:$M$3,0),FALSE)</f>
        <v>#N/A</v>
      </c>
      <c r="AK420" s="4" t="e">
        <f ca="1">VLOOKUP($N420,[2]Cultures!$B$4:$M$283,MATCH(AK$1,[2]Cultures!$B$3:$M$3,0),FALSE)</f>
        <v>#N/A</v>
      </c>
      <c r="AL420" s="4" t="e">
        <f ca="1">VLOOKUP($N420,[2]Cultures!$B$4:$M$283,MATCH(AL$1,[2]Cultures!$B$3:$M$3,0),FALSE)</f>
        <v>#N/A</v>
      </c>
      <c r="AM420" s="4" t="e">
        <f ca="1">VLOOKUP($N420,[2]Cultures!$B$4:$M$283,MATCH(AM$1,[2]Cultures!$B$3:$M$3,0),FALSE)</f>
        <v>#N/A</v>
      </c>
      <c r="AN420" s="4" t="e">
        <f ca="1">VLOOKUP($N420,[2]Cultures!$B$4:$M$283,MATCH(AN$1,[2]Cultures!$B$3:$M$3,0),FALSE)</f>
        <v>#N/A</v>
      </c>
      <c r="AO420" s="4" t="e">
        <f ca="1">VLOOKUP($N420,[2]Cultures!$B$4:$M$283,MATCH(AO$1,[2]Cultures!$B$3:$M$3,0),FALSE)</f>
        <v>#N/A</v>
      </c>
      <c r="AP420" s="4" t="e">
        <f ca="1">VLOOKUP($N420,[2]Cultures!$B$4:$M$283,MATCH(AP$1,[2]Cultures!$B$3:$M$3,0),FALSE)</f>
        <v>#N/A</v>
      </c>
      <c r="AQ420" s="4" t="e">
        <f ca="1">VLOOKUP($N420,[2]Cultures!$B$4:$M$283,MATCH(AQ$1,[2]Cultures!$B$3:$M$3,0),FALSE)</f>
        <v>#N/A</v>
      </c>
      <c r="AR420" s="4" t="e">
        <f ca="1">VLOOKUP($N420,[2]Cultures!$B$4:$M$283,MATCH(AR$1,[2]Cultures!$B$3:$M$3,0),FALSE)</f>
        <v>#N/A</v>
      </c>
      <c r="AS420" s="4" t="e">
        <f ca="1">VLOOKUP($N420,[2]Cultures!$B$4:$M$283,MATCH(AS$1,[2]Cultures!$B$3:$M$3,0),FALSE)</f>
        <v>#N/A</v>
      </c>
      <c r="AT420" s="4"/>
      <c r="AU420" s="4">
        <f ca="1">IF(ISNUMBER(SEARCH(N420&amp;";",Calculations!$Q$19)),VLOOKUP(Skills!N420,Calculations!$Q$2:$T$16,4,FALSE),0)</f>
        <v>0</v>
      </c>
      <c r="AV420" s="4">
        <f ca="1">IF(ISNUMBER(SEARCH(N420&amp;";",Calculations!$Q$18)),1,0)</f>
        <v>0</v>
      </c>
      <c r="AW420" s="4">
        <f t="shared" ca="1" si="224"/>
        <v>0</v>
      </c>
      <c r="AX420" s="4">
        <f ca="1">VLOOKUP($N420,$N420:$CH420,MATCH('Character Sheet'!$BJ$3,Skills!$N$1:$CH$1,0),FALSE)</f>
        <v>0</v>
      </c>
    </row>
    <row r="421" spans="1:50" x14ac:dyDescent="0.25">
      <c r="A421" s="4" t="s">
        <v>2241</v>
      </c>
      <c r="B421" s="4" t="e">
        <f t="shared" si="225"/>
        <v>#N/A</v>
      </c>
      <c r="C421" s="4" t="e">
        <f t="shared" ca="1" si="219"/>
        <v>#N/A</v>
      </c>
      <c r="E421" s="4"/>
      <c r="F421" s="4">
        <f t="shared" ca="1" si="204"/>
        <v>0</v>
      </c>
      <c r="G421" s="4"/>
      <c r="H421" s="4" t="e">
        <f t="shared" si="200"/>
        <v>#N/A</v>
      </c>
      <c r="I421" s="4" t="e">
        <f t="shared" si="220"/>
        <v>#N/A</v>
      </c>
      <c r="J421" s="4">
        <f t="shared" ca="1" si="205"/>
        <v>0</v>
      </c>
      <c r="K421" s="4" t="e">
        <f t="shared" ca="1" si="201"/>
        <v>#N/A</v>
      </c>
      <c r="M421" t="str">
        <f t="shared" ca="1" si="221"/>
        <v>Spell Wall</v>
      </c>
      <c r="N421" s="3" t="str">
        <f ca="1">'Character Sheet'!COP22</f>
        <v>Spell Wall</v>
      </c>
      <c r="O421" s="4" t="str">
        <f t="shared" si="222"/>
        <v>Em/Em</v>
      </c>
      <c r="P421" s="4" t="s">
        <v>801</v>
      </c>
      <c r="Q421" s="4" t="e">
        <f t="shared" ref="Q421:Q484" ca="1" si="228">IF(ISNUMBER(SEARCH("Category",N421)),"- -",IF(ISNUMBER(SEARCH("Skills",N421)),"- -",AH421+AI421))</f>
        <v>#N/A</v>
      </c>
      <c r="R421" s="4">
        <f ca="1">IF(ISNUMBER(SEARCH("Category",N421)),"- -",IF(ISNUMBER(SEARCH("Skills",N421)),"- -",'Level-up'!C439))</f>
        <v>0</v>
      </c>
      <c r="S421" s="4" t="e">
        <f t="shared" ca="1" si="206"/>
        <v>#N/A</v>
      </c>
      <c r="T421" s="4" t="e">
        <f t="shared" ca="1" si="207"/>
        <v>#N/A</v>
      </c>
      <c r="U421" s="4">
        <f t="shared" ca="1" si="199"/>
        <v>10</v>
      </c>
      <c r="V421" s="4">
        <f t="shared" ca="1" si="223"/>
        <v>0</v>
      </c>
      <c r="W421" s="4">
        <f t="shared" ca="1" si="227"/>
        <v>0</v>
      </c>
      <c r="X421" s="4">
        <f t="shared" ca="1" si="226"/>
        <v>0</v>
      </c>
      <c r="Y421" s="4">
        <f t="shared" ca="1" si="208"/>
        <v>0</v>
      </c>
      <c r="Z421" s="4">
        <f t="shared" ca="1" si="209"/>
        <v>0</v>
      </c>
      <c r="AA421" s="4">
        <f t="shared" ca="1" si="210"/>
        <v>0</v>
      </c>
      <c r="AB421" s="4">
        <f t="shared" ca="1" si="211"/>
        <v>0</v>
      </c>
      <c r="AC421" s="8"/>
      <c r="AD421" s="4"/>
      <c r="AE421" s="4"/>
      <c r="AF421" s="4" t="e">
        <f t="shared" ca="1" si="212"/>
        <v>#N/A</v>
      </c>
      <c r="AG421" s="4" t="s">
        <v>2076</v>
      </c>
      <c r="AH421" s="4">
        <f ca="1">IFERROR(VLOOKUP(M421,Calculations!$AC$2:$AD$251,2,FALSE),0)</f>
        <v>0</v>
      </c>
      <c r="AI421" s="4" t="e">
        <f ca="1">VLOOKUP(N421,$N$2:$AS$620,MATCH('Character Creation'!$Z$12,Skills!$N$1:$AS$1,0),FALSE)</f>
        <v>#N/A</v>
      </c>
      <c r="AJ421" s="4" t="e">
        <f ca="1">VLOOKUP($N421,[2]Cultures!$B$4:$M$283,MATCH(AJ$1,[2]Cultures!$B$3:$M$3,0),FALSE)</f>
        <v>#N/A</v>
      </c>
      <c r="AK421" s="4" t="e">
        <f ca="1">VLOOKUP($N421,[2]Cultures!$B$4:$M$283,MATCH(AK$1,[2]Cultures!$B$3:$M$3,0),FALSE)</f>
        <v>#N/A</v>
      </c>
      <c r="AL421" s="4" t="e">
        <f ca="1">VLOOKUP($N421,[2]Cultures!$B$4:$M$283,MATCH(AL$1,[2]Cultures!$B$3:$M$3,0),FALSE)</f>
        <v>#N/A</v>
      </c>
      <c r="AM421" s="4" t="e">
        <f ca="1">VLOOKUP($N421,[2]Cultures!$B$4:$M$283,MATCH(AM$1,[2]Cultures!$B$3:$M$3,0),FALSE)</f>
        <v>#N/A</v>
      </c>
      <c r="AN421" s="4" t="e">
        <f ca="1">VLOOKUP($N421,[2]Cultures!$B$4:$M$283,MATCH(AN$1,[2]Cultures!$B$3:$M$3,0),FALSE)</f>
        <v>#N/A</v>
      </c>
      <c r="AO421" s="4" t="e">
        <f ca="1">VLOOKUP($N421,[2]Cultures!$B$4:$M$283,MATCH(AO$1,[2]Cultures!$B$3:$M$3,0),FALSE)</f>
        <v>#N/A</v>
      </c>
      <c r="AP421" s="4" t="e">
        <f ca="1">VLOOKUP($N421,[2]Cultures!$B$4:$M$283,MATCH(AP$1,[2]Cultures!$B$3:$M$3,0),FALSE)</f>
        <v>#N/A</v>
      </c>
      <c r="AQ421" s="4" t="e">
        <f ca="1">VLOOKUP($N421,[2]Cultures!$B$4:$M$283,MATCH(AQ$1,[2]Cultures!$B$3:$M$3,0),FALSE)</f>
        <v>#N/A</v>
      </c>
      <c r="AR421" s="4" t="e">
        <f ca="1">VLOOKUP($N421,[2]Cultures!$B$4:$M$283,MATCH(AR$1,[2]Cultures!$B$3:$M$3,0),FALSE)</f>
        <v>#N/A</v>
      </c>
      <c r="AS421" s="4" t="e">
        <f ca="1">VLOOKUP($N421,[2]Cultures!$B$4:$M$283,MATCH(AS$1,[2]Cultures!$B$3:$M$3,0),FALSE)</f>
        <v>#N/A</v>
      </c>
      <c r="AT421" s="4"/>
      <c r="AU421" s="4">
        <f ca="1">IF(ISNUMBER(SEARCH(N421&amp;";",Calculations!$Q$19)),VLOOKUP(Skills!N421,Calculations!$Q$2:$T$16,4,FALSE),0)</f>
        <v>0</v>
      </c>
      <c r="AV421" s="4">
        <f ca="1">IF(ISNUMBER(SEARCH(N421&amp;";",Calculations!$Q$18)),1,0)</f>
        <v>0</v>
      </c>
      <c r="AW421" s="4">
        <f t="shared" ca="1" si="224"/>
        <v>0</v>
      </c>
      <c r="AX421" s="4">
        <f ca="1">VLOOKUP($N421,$N421:$CH421,MATCH('Character Sheet'!$BJ$3,Skills!$N$1:$CH$1,0),FALSE)</f>
        <v>0</v>
      </c>
    </row>
    <row r="422" spans="1:50" x14ac:dyDescent="0.25">
      <c r="A422" s="4" t="s">
        <v>2241</v>
      </c>
      <c r="B422" s="4" t="e">
        <f t="shared" si="225"/>
        <v>#N/A</v>
      </c>
      <c r="C422" s="4" t="e">
        <f t="shared" ca="1" si="219"/>
        <v>#N/A</v>
      </c>
      <c r="E422" s="4"/>
      <c r="F422" s="4">
        <f t="shared" ca="1" si="204"/>
        <v>0</v>
      </c>
      <c r="G422" s="4"/>
      <c r="H422" s="4" t="e">
        <f t="shared" si="200"/>
        <v>#N/A</v>
      </c>
      <c r="I422" s="4" t="e">
        <f t="shared" si="220"/>
        <v>#N/A</v>
      </c>
      <c r="J422" s="4">
        <f t="shared" ca="1" si="205"/>
        <v>0</v>
      </c>
      <c r="K422" s="4" t="e">
        <f t="shared" ca="1" si="201"/>
        <v>#N/A</v>
      </c>
      <c r="M422" t="str">
        <f t="shared" ca="1" si="221"/>
        <v>Unbarring Ways</v>
      </c>
      <c r="N422" s="3" t="str">
        <f ca="1">'Character Sheet'!COP23</f>
        <v>Unbarring Ways</v>
      </c>
      <c r="O422" s="4" t="str">
        <f t="shared" si="222"/>
        <v>Em/Em</v>
      </c>
      <c r="P422" s="4" t="s">
        <v>801</v>
      </c>
      <c r="Q422" s="4" t="e">
        <f t="shared" ca="1" si="228"/>
        <v>#N/A</v>
      </c>
      <c r="R422" s="4">
        <f ca="1">IF(ISNUMBER(SEARCH("Category",N422)),"- -",IF(ISNUMBER(SEARCH("Skills",N422)),"- -",'Level-up'!C440))</f>
        <v>0</v>
      </c>
      <c r="S422" s="4" t="e">
        <f t="shared" ca="1" si="206"/>
        <v>#N/A</v>
      </c>
      <c r="T422" s="4" t="e">
        <f t="shared" ca="1" si="207"/>
        <v>#N/A</v>
      </c>
      <c r="U422" s="4">
        <f t="shared" ca="1" si="199"/>
        <v>10</v>
      </c>
      <c r="V422" s="4">
        <f t="shared" ca="1" si="223"/>
        <v>0</v>
      </c>
      <c r="W422" s="4">
        <f t="shared" ca="1" si="227"/>
        <v>0</v>
      </c>
      <c r="X422" s="4">
        <f t="shared" ca="1" si="226"/>
        <v>0</v>
      </c>
      <c r="Y422" s="4">
        <f t="shared" ca="1" si="208"/>
        <v>0</v>
      </c>
      <c r="Z422" s="4">
        <f t="shared" ca="1" si="209"/>
        <v>0</v>
      </c>
      <c r="AA422" s="4">
        <f t="shared" ca="1" si="210"/>
        <v>0</v>
      </c>
      <c r="AB422" s="4">
        <f t="shared" ca="1" si="211"/>
        <v>0</v>
      </c>
      <c r="AC422" s="8"/>
      <c r="AD422" s="4"/>
      <c r="AE422" s="4"/>
      <c r="AF422" s="4" t="e">
        <f t="shared" ca="1" si="212"/>
        <v>#N/A</v>
      </c>
      <c r="AG422" s="4" t="s">
        <v>2076</v>
      </c>
      <c r="AH422" s="4">
        <f ca="1">IFERROR(VLOOKUP(M422,Calculations!$AC$2:$AD$251,2,FALSE),0)</f>
        <v>0</v>
      </c>
      <c r="AI422" s="4" t="e">
        <f ca="1">VLOOKUP(N422,$N$2:$AS$620,MATCH('Character Creation'!$Z$12,Skills!$N$1:$AS$1,0),FALSE)</f>
        <v>#N/A</v>
      </c>
      <c r="AJ422" s="4" t="e">
        <f ca="1">VLOOKUP($N422,[2]Cultures!$B$4:$M$283,MATCH(AJ$1,[2]Cultures!$B$3:$M$3,0),FALSE)</f>
        <v>#N/A</v>
      </c>
      <c r="AK422" s="4" t="e">
        <f ca="1">VLOOKUP($N422,[2]Cultures!$B$4:$M$283,MATCH(AK$1,[2]Cultures!$B$3:$M$3,0),FALSE)</f>
        <v>#N/A</v>
      </c>
      <c r="AL422" s="4" t="e">
        <f ca="1">VLOOKUP($N422,[2]Cultures!$B$4:$M$283,MATCH(AL$1,[2]Cultures!$B$3:$M$3,0),FALSE)</f>
        <v>#N/A</v>
      </c>
      <c r="AM422" s="4" t="e">
        <f ca="1">VLOOKUP($N422,[2]Cultures!$B$4:$M$283,MATCH(AM$1,[2]Cultures!$B$3:$M$3,0),FALSE)</f>
        <v>#N/A</v>
      </c>
      <c r="AN422" s="4" t="e">
        <f ca="1">VLOOKUP($N422,[2]Cultures!$B$4:$M$283,MATCH(AN$1,[2]Cultures!$B$3:$M$3,0),FALSE)</f>
        <v>#N/A</v>
      </c>
      <c r="AO422" s="4" t="e">
        <f ca="1">VLOOKUP($N422,[2]Cultures!$B$4:$M$283,MATCH(AO$1,[2]Cultures!$B$3:$M$3,0),FALSE)</f>
        <v>#N/A</v>
      </c>
      <c r="AP422" s="4" t="e">
        <f ca="1">VLOOKUP($N422,[2]Cultures!$B$4:$M$283,MATCH(AP$1,[2]Cultures!$B$3:$M$3,0),FALSE)</f>
        <v>#N/A</v>
      </c>
      <c r="AQ422" s="4" t="e">
        <f ca="1">VLOOKUP($N422,[2]Cultures!$B$4:$M$283,MATCH(AQ$1,[2]Cultures!$B$3:$M$3,0),FALSE)</f>
        <v>#N/A</v>
      </c>
      <c r="AR422" s="4" t="e">
        <f ca="1">VLOOKUP($N422,[2]Cultures!$B$4:$M$283,MATCH(AR$1,[2]Cultures!$B$3:$M$3,0),FALSE)</f>
        <v>#N/A</v>
      </c>
      <c r="AS422" s="4" t="e">
        <f ca="1">VLOOKUP($N422,[2]Cultures!$B$4:$M$283,MATCH(AS$1,[2]Cultures!$B$3:$M$3,0),FALSE)</f>
        <v>#N/A</v>
      </c>
      <c r="AT422" s="4"/>
      <c r="AU422" s="4">
        <f ca="1">IF(ISNUMBER(SEARCH(N422&amp;";",Calculations!$Q$19)),VLOOKUP(Skills!N422,Calculations!$Q$2:$T$16,4,FALSE),0)</f>
        <v>0</v>
      </c>
      <c r="AV422" s="4">
        <f ca="1">IF(ISNUMBER(SEARCH(N422&amp;";",Calculations!$Q$18)),1,0)</f>
        <v>0</v>
      </c>
      <c r="AW422" s="4">
        <f t="shared" ca="1" si="224"/>
        <v>0</v>
      </c>
      <c r="AX422" s="4">
        <f ca="1">VLOOKUP($N422,$N422:$CH422,MATCH('Character Sheet'!$BJ$3,Skills!$N$1:$CH$1,0),FALSE)</f>
        <v>0</v>
      </c>
    </row>
    <row r="423" spans="1:50" x14ac:dyDescent="0.25">
      <c r="B423" s="4" t="e">
        <f t="shared" si="225"/>
        <v>#N/A</v>
      </c>
      <c r="C423" s="4" t="e">
        <f ca="1">C422</f>
        <v>#N/A</v>
      </c>
      <c r="E423" s="4"/>
      <c r="F423" s="4">
        <f t="shared" ca="1" si="204"/>
        <v>0</v>
      </c>
      <c r="G423" s="4"/>
      <c r="H423" s="4" t="e">
        <f t="shared" si="200"/>
        <v>#N/A</v>
      </c>
      <c r="I423" s="4" t="e">
        <f>IF($J$401=1,1,IF($J$424=1,1,0))</f>
        <v>#N/A</v>
      </c>
      <c r="J423" s="4">
        <f t="shared" si="205"/>
        <v>0</v>
      </c>
      <c r="K423" s="4" t="e">
        <f t="shared" si="201"/>
        <v>#N/A</v>
      </c>
      <c r="N423" s="3" t="s">
        <v>716</v>
      </c>
      <c r="O423" s="6" t="s">
        <v>782</v>
      </c>
      <c r="P423" s="6" t="s">
        <v>782</v>
      </c>
      <c r="Q423" s="4" t="str">
        <f t="shared" si="228"/>
        <v>- -</v>
      </c>
      <c r="R423" s="4" t="str">
        <f>IF(ISNUMBER(SEARCH("Category",N423)),"- -",IF(ISNUMBER(SEARCH("Skills",N423)),"- -",'Level-up'!C441))</f>
        <v>- -</v>
      </c>
      <c r="S423" s="4" t="str">
        <f t="shared" si="206"/>
        <v>- -</v>
      </c>
      <c r="T423" s="4" t="str">
        <f t="shared" si="207"/>
        <v>- -</v>
      </c>
      <c r="U423" s="4" t="str">
        <f t="shared" ca="1" si="199"/>
        <v>- -</v>
      </c>
      <c r="V423" s="4" t="str">
        <f t="shared" si="223"/>
        <v>- -</v>
      </c>
      <c r="W423" s="4" t="str">
        <f t="shared" si="227"/>
        <v>- -</v>
      </c>
      <c r="X423" s="4" t="str">
        <f t="shared" si="226"/>
        <v>- -</v>
      </c>
      <c r="Y423" s="4" t="str">
        <f t="shared" si="208"/>
        <v>- -</v>
      </c>
      <c r="Z423" s="4" t="str">
        <f t="shared" si="209"/>
        <v>- -</v>
      </c>
      <c r="AA423" s="4" t="str">
        <f t="shared" si="210"/>
        <v>- -</v>
      </c>
      <c r="AB423" s="4" t="str">
        <f t="shared" si="211"/>
        <v>- -</v>
      </c>
      <c r="AC423" s="8"/>
      <c r="AD423" s="4"/>
      <c r="AE423" s="4"/>
      <c r="AF423" s="4" t="str">
        <f t="shared" si="212"/>
        <v>- -</v>
      </c>
      <c r="AG423" s="4"/>
      <c r="AH423" s="4">
        <f>IFERROR(VLOOKUP(M423,Calculations!$AC$2:$AD$251,2,FALSE),0)</f>
        <v>0</v>
      </c>
      <c r="AI423" s="4" t="e">
        <f>VLOOKUP(N423,$N$2:$AS$620,MATCH('Character Creation'!$Z$12,Skills!$N$1:$AS$1,0),FALSE)</f>
        <v>#N/A</v>
      </c>
      <c r="AJ423" s="4" t="e">
        <f>VLOOKUP($N423,[2]Cultures!$B$4:$M$283,MATCH(AJ$1,[2]Cultures!$B$3:$M$3,0),FALSE)</f>
        <v>#N/A</v>
      </c>
      <c r="AK423" s="4" t="e">
        <f>VLOOKUP($N423,[2]Cultures!$B$4:$M$283,MATCH(AK$1,[2]Cultures!$B$3:$M$3,0),FALSE)</f>
        <v>#N/A</v>
      </c>
      <c r="AL423" s="4" t="e">
        <f>VLOOKUP($N423,[2]Cultures!$B$4:$M$283,MATCH(AL$1,[2]Cultures!$B$3:$M$3,0),FALSE)</f>
        <v>#N/A</v>
      </c>
      <c r="AM423" s="4" t="e">
        <f>VLOOKUP($N423,[2]Cultures!$B$4:$M$283,MATCH(AM$1,[2]Cultures!$B$3:$M$3,0),FALSE)</f>
        <v>#N/A</v>
      </c>
      <c r="AN423" s="4" t="e">
        <f>VLOOKUP($N423,[2]Cultures!$B$4:$M$283,MATCH(AN$1,[2]Cultures!$B$3:$M$3,0),FALSE)</f>
        <v>#N/A</v>
      </c>
      <c r="AO423" s="4" t="e">
        <f>VLOOKUP($N423,[2]Cultures!$B$4:$M$283,MATCH(AO$1,[2]Cultures!$B$3:$M$3,0),FALSE)</f>
        <v>#N/A</v>
      </c>
      <c r="AP423" s="4" t="e">
        <f>VLOOKUP($N423,[2]Cultures!$B$4:$M$283,MATCH(AP$1,[2]Cultures!$B$3:$M$3,0),FALSE)</f>
        <v>#N/A</v>
      </c>
      <c r="AQ423" s="4" t="e">
        <f>VLOOKUP($N423,[2]Cultures!$B$4:$M$283,MATCH(AQ$1,[2]Cultures!$B$3:$M$3,0),FALSE)</f>
        <v>#N/A</v>
      </c>
      <c r="AR423" s="4" t="e">
        <f>VLOOKUP($N423,[2]Cultures!$B$4:$M$283,MATCH(AR$1,[2]Cultures!$B$3:$M$3,0),FALSE)</f>
        <v>#N/A</v>
      </c>
      <c r="AS423" s="4" t="e">
        <f>VLOOKUP($N423,[2]Cultures!$B$4:$M$283,MATCH(AS$1,[2]Cultures!$B$3:$M$3,0),FALSE)</f>
        <v>#N/A</v>
      </c>
      <c r="AT423" s="4"/>
      <c r="AU423" s="4">
        <f>IF(ISNUMBER(SEARCH(N423&amp;";",Calculations!$Q$19)),VLOOKUP(Skills!N423,Calculations!$Q$2:$T$16,4,FALSE),0)</f>
        <v>0</v>
      </c>
      <c r="AV423" s="4">
        <f>IF(ISNUMBER(SEARCH(N423&amp;";",Calculations!$Q$18)),1,0)</f>
        <v>0</v>
      </c>
      <c r="AW423" s="4"/>
      <c r="AX423" s="4">
        <f>VLOOKUP($N423,$N423:$CH423,MATCH('Character Sheet'!$BJ$3,Skills!$N$1:$CH$1,0),FALSE)</f>
        <v>0</v>
      </c>
    </row>
    <row r="424" spans="1:50" x14ac:dyDescent="0.25">
      <c r="B424" s="4" t="e">
        <f t="shared" si="225"/>
        <v>#N/A</v>
      </c>
      <c r="C424" s="4" t="e">
        <f ca="1">C423</f>
        <v>#N/A</v>
      </c>
      <c r="E424" s="4"/>
      <c r="F424" s="4">
        <f t="shared" ca="1" si="204"/>
        <v>0</v>
      </c>
      <c r="G424" s="4"/>
      <c r="H424" s="4" t="e">
        <f t="shared" si="200"/>
        <v>#N/A</v>
      </c>
      <c r="I424" s="4">
        <v>0</v>
      </c>
      <c r="J424" s="4" t="e">
        <f t="shared" si="205"/>
        <v>#N/A</v>
      </c>
      <c r="K424" s="4" t="e">
        <f t="shared" si="201"/>
        <v>#N/A</v>
      </c>
      <c r="N424" s="3" t="s">
        <v>717</v>
      </c>
      <c r="O424" s="6" t="s">
        <v>782</v>
      </c>
      <c r="P424" s="6" t="s">
        <v>782</v>
      </c>
      <c r="Q424" s="4" t="str">
        <f t="shared" si="228"/>
        <v>- -</v>
      </c>
      <c r="R424" s="4" t="str">
        <f>IF(ISNUMBER(SEARCH("Category",N424)),"- -",IF(ISNUMBER(SEARCH("Skills",N424)),"- -",'Level-up'!C442))</f>
        <v>- -</v>
      </c>
      <c r="S424" s="4" t="str">
        <f t="shared" si="206"/>
        <v>- -</v>
      </c>
      <c r="T424" s="4" t="str">
        <f t="shared" si="207"/>
        <v>- -</v>
      </c>
      <c r="U424" s="4" t="str">
        <f t="shared" ca="1" si="199"/>
        <v>- -</v>
      </c>
      <c r="V424" s="4" t="str">
        <f t="shared" si="223"/>
        <v>- -</v>
      </c>
      <c r="W424" s="4" t="str">
        <f t="shared" si="227"/>
        <v>- -</v>
      </c>
      <c r="X424" s="4" t="str">
        <f t="shared" si="226"/>
        <v>- -</v>
      </c>
      <c r="Y424" s="4" t="str">
        <f t="shared" si="208"/>
        <v>- -</v>
      </c>
      <c r="Z424" s="4" t="str">
        <f t="shared" si="209"/>
        <v>- -</v>
      </c>
      <c r="AA424" s="4" t="str">
        <f t="shared" si="210"/>
        <v>- -</v>
      </c>
      <c r="AB424" s="4" t="str">
        <f t="shared" si="211"/>
        <v>- -</v>
      </c>
      <c r="AC424" s="8"/>
      <c r="AD424" s="4"/>
      <c r="AE424" s="4"/>
      <c r="AF424" s="4" t="str">
        <f t="shared" si="212"/>
        <v>- -</v>
      </c>
      <c r="AG424" s="4"/>
      <c r="AH424" s="4">
        <f>IFERROR(VLOOKUP(M424,Calculations!$AC$2:$AD$251,2,FALSE),0)</f>
        <v>0</v>
      </c>
      <c r="AI424" s="4" t="e">
        <f>VLOOKUP(N424,$N$2:$AS$620,MATCH('Character Creation'!$Z$12,Skills!$N$1:$AS$1,0),FALSE)</f>
        <v>#N/A</v>
      </c>
      <c r="AJ424" s="4" t="e">
        <f>VLOOKUP($N424,[2]Cultures!$B$4:$M$283,MATCH(AJ$1,[2]Cultures!$B$3:$M$3,0),FALSE)</f>
        <v>#N/A</v>
      </c>
      <c r="AK424" s="4" t="e">
        <f>VLOOKUP($N424,[2]Cultures!$B$4:$M$283,MATCH(AK$1,[2]Cultures!$B$3:$M$3,0),FALSE)</f>
        <v>#N/A</v>
      </c>
      <c r="AL424" s="4" t="e">
        <f>VLOOKUP($N424,[2]Cultures!$B$4:$M$283,MATCH(AL$1,[2]Cultures!$B$3:$M$3,0),FALSE)</f>
        <v>#N/A</v>
      </c>
      <c r="AM424" s="4" t="e">
        <f>VLOOKUP($N424,[2]Cultures!$B$4:$M$283,MATCH(AM$1,[2]Cultures!$B$3:$M$3,0),FALSE)</f>
        <v>#N/A</v>
      </c>
      <c r="AN424" s="4" t="e">
        <f>VLOOKUP($N424,[2]Cultures!$B$4:$M$283,MATCH(AN$1,[2]Cultures!$B$3:$M$3,0),FALSE)</f>
        <v>#N/A</v>
      </c>
      <c r="AO424" s="4" t="e">
        <f>VLOOKUP($N424,[2]Cultures!$B$4:$M$283,MATCH(AO$1,[2]Cultures!$B$3:$M$3,0),FALSE)</f>
        <v>#N/A</v>
      </c>
      <c r="AP424" s="4" t="e">
        <f>VLOOKUP($N424,[2]Cultures!$B$4:$M$283,MATCH(AP$1,[2]Cultures!$B$3:$M$3,0),FALSE)</f>
        <v>#N/A</v>
      </c>
      <c r="AQ424" s="4" t="e">
        <f>VLOOKUP($N424,[2]Cultures!$B$4:$M$283,MATCH(AQ$1,[2]Cultures!$B$3:$M$3,0),FALSE)</f>
        <v>#N/A</v>
      </c>
      <c r="AR424" s="4" t="e">
        <f>VLOOKUP($N424,[2]Cultures!$B$4:$M$283,MATCH(AR$1,[2]Cultures!$B$3:$M$3,0),FALSE)</f>
        <v>#N/A</v>
      </c>
      <c r="AS424" s="4" t="e">
        <f>VLOOKUP($N424,[2]Cultures!$B$4:$M$283,MATCH(AS$1,[2]Cultures!$B$3:$M$3,0),FALSE)</f>
        <v>#N/A</v>
      </c>
      <c r="AT424" s="4"/>
      <c r="AU424" s="4">
        <f>IF(ISNUMBER(SEARCH(N424&amp;";",Calculations!$Q$19)),VLOOKUP(Skills!N424,Calculations!$Q$2:$T$16,4,FALSE),0)</f>
        <v>0</v>
      </c>
      <c r="AV424" s="4">
        <f>IF(ISNUMBER(SEARCH(N424&amp;";",Calculations!$Q$18)),1,0)</f>
        <v>0</v>
      </c>
      <c r="AW424" s="4"/>
      <c r="AX424" s="4">
        <f>VLOOKUP($N424,$N424:$CH424,MATCH('Character Sheet'!$BJ$3,Skills!$N$1:$CH$1,0),FALSE)</f>
        <v>0</v>
      </c>
    </row>
    <row r="425" spans="1:50" x14ac:dyDescent="0.25">
      <c r="A425" s="4" t="s">
        <v>2241</v>
      </c>
      <c r="B425" s="4" t="e">
        <f t="shared" si="225"/>
        <v>#N/A</v>
      </c>
      <c r="C425" s="4" t="e">
        <f t="shared" ca="1" si="219"/>
        <v>#N/A</v>
      </c>
      <c r="E425" s="4"/>
      <c r="F425" s="4">
        <f t="shared" ca="1" si="204"/>
        <v>0</v>
      </c>
      <c r="G425" s="4"/>
      <c r="H425" s="4" t="e">
        <f t="shared" si="200"/>
        <v>#N/A</v>
      </c>
      <c r="I425" s="4" t="e">
        <f t="shared" ref="I425:I432" si="229">IF($J$401=1,1,IF($J$424=1,1,0))</f>
        <v>#N/A</v>
      </c>
      <c r="J425" s="4">
        <f t="shared" ca="1" si="205"/>
        <v>0</v>
      </c>
      <c r="K425" s="4" t="e">
        <f t="shared" ca="1" si="201"/>
        <v>#N/A</v>
      </c>
      <c r="M425" t="str">
        <f t="shared" ref="M425:M432" ca="1" si="230">N425</f>
        <v>Dispelling Ways</v>
      </c>
      <c r="N425" s="3" t="str">
        <f ca="1">'Character Sheet'!COP27</f>
        <v>Dispelling Ways</v>
      </c>
      <c r="O425" s="4" t="str">
        <f t="shared" ref="O425:O432" si="231">RealmStat&amp;"/"&amp;RealmStat</f>
        <v>Em/Em</v>
      </c>
      <c r="P425" s="4" t="s">
        <v>801</v>
      </c>
      <c r="Q425" s="4" t="e">
        <f t="shared" ca="1" si="228"/>
        <v>#N/A</v>
      </c>
      <c r="R425" s="4">
        <f ca="1">IF(ISNUMBER(SEARCH("Category",N425)),"- -",IF(ISNUMBER(SEARCH("Skills",N425)),"- -",'Level-up'!C443))</f>
        <v>0</v>
      </c>
      <c r="S425" s="4" t="e">
        <f t="shared" ca="1" si="206"/>
        <v>#N/A</v>
      </c>
      <c r="T425" s="4" t="e">
        <f t="shared" ca="1" si="207"/>
        <v>#N/A</v>
      </c>
      <c r="U425" s="4">
        <f t="shared" ca="1" si="199"/>
        <v>10</v>
      </c>
      <c r="V425" s="4">
        <f t="shared" ref="V425:V434" ca="1" si="232">IF(ISNUMBER(SEARCH("Category",N425)),"- -",IF(ISNUMBER(SEARCH("Skills",N425)),"- -",IF(AU425&gt;0,AU425,IF($AU$423&gt;0,$AU$423,$AU$400))))</f>
        <v>0</v>
      </c>
      <c r="W425" s="4">
        <f t="shared" ca="1" si="227"/>
        <v>0</v>
      </c>
      <c r="X425" s="4">
        <f t="shared" ca="1" si="226"/>
        <v>0</v>
      </c>
      <c r="Y425" s="4">
        <f t="shared" ca="1" si="208"/>
        <v>0</v>
      </c>
      <c r="Z425" s="4">
        <f t="shared" ca="1" si="209"/>
        <v>0</v>
      </c>
      <c r="AA425" s="4">
        <f t="shared" ca="1" si="210"/>
        <v>0</v>
      </c>
      <c r="AB425" s="4">
        <f t="shared" ca="1" si="211"/>
        <v>0</v>
      </c>
      <c r="AC425" s="8"/>
      <c r="AD425" s="4"/>
      <c r="AE425" s="4"/>
      <c r="AF425" s="4" t="e">
        <f t="shared" ca="1" si="212"/>
        <v>#N/A</v>
      </c>
      <c r="AG425" s="4" t="s">
        <v>2077</v>
      </c>
      <c r="AH425" s="4">
        <f ca="1">IFERROR(VLOOKUP(M425,Calculations!$AC$2:$AD$251,2,FALSE),0)</f>
        <v>0</v>
      </c>
      <c r="AI425" s="4" t="e">
        <f ca="1">VLOOKUP(N425,$N$2:$AS$620,MATCH('Character Creation'!$Z$12,Skills!$N$1:$AS$1,0),FALSE)</f>
        <v>#N/A</v>
      </c>
      <c r="AJ425" s="4" t="e">
        <f ca="1">VLOOKUP($N425,[2]Cultures!$B$4:$M$283,MATCH(AJ$1,[2]Cultures!$B$3:$M$3,0),FALSE)</f>
        <v>#N/A</v>
      </c>
      <c r="AK425" s="4" t="e">
        <f ca="1">VLOOKUP($N425,[2]Cultures!$B$4:$M$283,MATCH(AK$1,[2]Cultures!$B$3:$M$3,0),FALSE)</f>
        <v>#N/A</v>
      </c>
      <c r="AL425" s="4" t="e">
        <f ca="1">VLOOKUP($N425,[2]Cultures!$B$4:$M$283,MATCH(AL$1,[2]Cultures!$B$3:$M$3,0),FALSE)</f>
        <v>#N/A</v>
      </c>
      <c r="AM425" s="4" t="e">
        <f ca="1">VLOOKUP($N425,[2]Cultures!$B$4:$M$283,MATCH(AM$1,[2]Cultures!$B$3:$M$3,0),FALSE)</f>
        <v>#N/A</v>
      </c>
      <c r="AN425" s="4" t="e">
        <f ca="1">VLOOKUP($N425,[2]Cultures!$B$4:$M$283,MATCH(AN$1,[2]Cultures!$B$3:$M$3,0),FALSE)</f>
        <v>#N/A</v>
      </c>
      <c r="AO425" s="4" t="e">
        <f ca="1">VLOOKUP($N425,[2]Cultures!$B$4:$M$283,MATCH(AO$1,[2]Cultures!$B$3:$M$3,0),FALSE)</f>
        <v>#N/A</v>
      </c>
      <c r="AP425" s="4" t="e">
        <f ca="1">VLOOKUP($N425,[2]Cultures!$B$4:$M$283,MATCH(AP$1,[2]Cultures!$B$3:$M$3,0),FALSE)</f>
        <v>#N/A</v>
      </c>
      <c r="AQ425" s="4" t="e">
        <f ca="1">VLOOKUP($N425,[2]Cultures!$B$4:$M$283,MATCH(AQ$1,[2]Cultures!$B$3:$M$3,0),FALSE)</f>
        <v>#N/A</v>
      </c>
      <c r="AR425" s="4" t="e">
        <f ca="1">VLOOKUP($N425,[2]Cultures!$B$4:$M$283,MATCH(AR$1,[2]Cultures!$B$3:$M$3,0),FALSE)</f>
        <v>#N/A</v>
      </c>
      <c r="AS425" s="4" t="e">
        <f ca="1">VLOOKUP($N425,[2]Cultures!$B$4:$M$283,MATCH(AS$1,[2]Cultures!$B$3:$M$3,0),FALSE)</f>
        <v>#N/A</v>
      </c>
      <c r="AT425" s="4"/>
      <c r="AU425" s="4">
        <f ca="1">IF(ISNUMBER(SEARCH(N425&amp;";",Calculations!$Q$19)),VLOOKUP(Skills!N425,Calculations!$Q$2:$T$16,4,FALSE),0)</f>
        <v>0</v>
      </c>
      <c r="AV425" s="4">
        <f ca="1">IF(ISNUMBER(SEARCH(N425&amp;";",Calculations!$Q$18)),1,0)</f>
        <v>0</v>
      </c>
      <c r="AW425" s="4">
        <f t="shared" ref="AW425:AW432" ca="1" si="233">IF($AV$400=1,1,IF($AV$402=1,1,IF($AV$423=1,1,AV425)))</f>
        <v>0</v>
      </c>
      <c r="AX425" s="4">
        <f ca="1">VLOOKUP($N425,$N425:$CH425,MATCH('Character Sheet'!$BJ$3,Skills!$N$1:$CH$1,0),FALSE)</f>
        <v>0</v>
      </c>
    </row>
    <row r="426" spans="1:50" x14ac:dyDescent="0.25">
      <c r="A426" s="4" t="s">
        <v>2241</v>
      </c>
      <c r="B426" s="4" t="e">
        <f t="shared" si="225"/>
        <v>#N/A</v>
      </c>
      <c r="C426" s="4" t="e">
        <f t="shared" ca="1" si="219"/>
        <v>#N/A</v>
      </c>
      <c r="E426" s="4"/>
      <c r="F426" s="4">
        <f t="shared" ca="1" si="204"/>
        <v>0</v>
      </c>
      <c r="G426" s="4"/>
      <c r="H426" s="4" t="e">
        <f t="shared" si="200"/>
        <v>#N/A</v>
      </c>
      <c r="I426" s="4" t="e">
        <f t="shared" si="229"/>
        <v>#N/A</v>
      </c>
      <c r="J426" s="4">
        <f t="shared" ca="1" si="205"/>
        <v>0</v>
      </c>
      <c r="K426" s="4" t="e">
        <f t="shared" ca="1" si="201"/>
        <v>#N/A</v>
      </c>
      <c r="M426" t="str">
        <f t="shared" ca="1" si="230"/>
        <v>Fluid Elements</v>
      </c>
      <c r="N426" s="3" t="str">
        <f ca="1">'Character Sheet'!COP28</f>
        <v>Fluid Elements</v>
      </c>
      <c r="O426" s="4" t="str">
        <f t="shared" si="231"/>
        <v>Em/Em</v>
      </c>
      <c r="P426" s="4" t="s">
        <v>801</v>
      </c>
      <c r="Q426" s="4" t="e">
        <f t="shared" ca="1" si="228"/>
        <v>#N/A</v>
      </c>
      <c r="R426" s="4">
        <f ca="1">IF(ISNUMBER(SEARCH("Category",N426)),"- -",IF(ISNUMBER(SEARCH("Skills",N426)),"- -",'Level-up'!C444))</f>
        <v>0</v>
      </c>
      <c r="S426" s="4" t="e">
        <f t="shared" ca="1" si="206"/>
        <v>#N/A</v>
      </c>
      <c r="T426" s="4" t="e">
        <f t="shared" ca="1" si="207"/>
        <v>#N/A</v>
      </c>
      <c r="U426" s="4">
        <f t="shared" ca="1" si="199"/>
        <v>10</v>
      </c>
      <c r="V426" s="4">
        <f t="shared" ca="1" si="232"/>
        <v>0</v>
      </c>
      <c r="W426" s="4">
        <f t="shared" ca="1" si="227"/>
        <v>0</v>
      </c>
      <c r="X426" s="4">
        <f t="shared" ca="1" si="226"/>
        <v>0</v>
      </c>
      <c r="Y426" s="4">
        <f t="shared" ca="1" si="208"/>
        <v>0</v>
      </c>
      <c r="Z426" s="4">
        <f t="shared" ca="1" si="209"/>
        <v>0</v>
      </c>
      <c r="AA426" s="4">
        <f t="shared" ca="1" si="210"/>
        <v>0</v>
      </c>
      <c r="AB426" s="4">
        <f t="shared" ca="1" si="211"/>
        <v>0</v>
      </c>
      <c r="AC426" s="8"/>
      <c r="AD426" s="4"/>
      <c r="AE426" s="4"/>
      <c r="AF426" s="4" t="e">
        <f t="shared" ca="1" si="212"/>
        <v>#N/A</v>
      </c>
      <c r="AG426" s="4" t="s">
        <v>2077</v>
      </c>
      <c r="AH426" s="4">
        <f ca="1">IFERROR(VLOOKUP(M426,Calculations!$AC$2:$AD$251,2,FALSE),0)</f>
        <v>0</v>
      </c>
      <c r="AI426" s="4" t="e">
        <f ca="1">VLOOKUP(N426,$N$2:$AS$620,MATCH('Character Creation'!$Z$12,Skills!$N$1:$AS$1,0),FALSE)</f>
        <v>#N/A</v>
      </c>
      <c r="AJ426" s="4" t="e">
        <f ca="1">VLOOKUP($N426,[2]Cultures!$B$4:$M$283,MATCH(AJ$1,[2]Cultures!$B$3:$M$3,0),FALSE)</f>
        <v>#N/A</v>
      </c>
      <c r="AK426" s="4" t="e">
        <f ca="1">VLOOKUP($N426,[2]Cultures!$B$4:$M$283,MATCH(AK$1,[2]Cultures!$B$3:$M$3,0),FALSE)</f>
        <v>#N/A</v>
      </c>
      <c r="AL426" s="4" t="e">
        <f ca="1">VLOOKUP($N426,[2]Cultures!$B$4:$M$283,MATCH(AL$1,[2]Cultures!$B$3:$M$3,0),FALSE)</f>
        <v>#N/A</v>
      </c>
      <c r="AM426" s="4" t="e">
        <f ca="1">VLOOKUP($N426,[2]Cultures!$B$4:$M$283,MATCH(AM$1,[2]Cultures!$B$3:$M$3,0),FALSE)</f>
        <v>#N/A</v>
      </c>
      <c r="AN426" s="4" t="e">
        <f ca="1">VLOOKUP($N426,[2]Cultures!$B$4:$M$283,MATCH(AN$1,[2]Cultures!$B$3:$M$3,0),FALSE)</f>
        <v>#N/A</v>
      </c>
      <c r="AO426" s="4" t="e">
        <f ca="1">VLOOKUP($N426,[2]Cultures!$B$4:$M$283,MATCH(AO$1,[2]Cultures!$B$3:$M$3,0),FALSE)</f>
        <v>#N/A</v>
      </c>
      <c r="AP426" s="4" t="e">
        <f ca="1">VLOOKUP($N426,[2]Cultures!$B$4:$M$283,MATCH(AP$1,[2]Cultures!$B$3:$M$3,0),FALSE)</f>
        <v>#N/A</v>
      </c>
      <c r="AQ426" s="4" t="e">
        <f ca="1">VLOOKUP($N426,[2]Cultures!$B$4:$M$283,MATCH(AQ$1,[2]Cultures!$B$3:$M$3,0),FALSE)</f>
        <v>#N/A</v>
      </c>
      <c r="AR426" s="4" t="e">
        <f ca="1">VLOOKUP($N426,[2]Cultures!$B$4:$M$283,MATCH(AR$1,[2]Cultures!$B$3:$M$3,0),FALSE)</f>
        <v>#N/A</v>
      </c>
      <c r="AS426" s="4" t="e">
        <f ca="1">VLOOKUP($N426,[2]Cultures!$B$4:$M$283,MATCH(AS$1,[2]Cultures!$B$3:$M$3,0),FALSE)</f>
        <v>#N/A</v>
      </c>
      <c r="AT426" s="4"/>
      <c r="AU426" s="4">
        <f ca="1">IF(ISNUMBER(SEARCH(N426&amp;";",Calculations!$Q$19)),VLOOKUP(Skills!N426,Calculations!$Q$2:$T$16,4,FALSE),0)</f>
        <v>0</v>
      </c>
      <c r="AV426" s="4">
        <f ca="1">IF(ISNUMBER(SEARCH(N426&amp;";",Calculations!$Q$18)),1,0)</f>
        <v>0</v>
      </c>
      <c r="AW426" s="4">
        <f t="shared" ca="1" si="233"/>
        <v>0</v>
      </c>
      <c r="AX426" s="4">
        <f ca="1">VLOOKUP($N426,$N426:$CH426,MATCH('Character Sheet'!$BJ$3,Skills!$N$1:$CH$1,0),FALSE)</f>
        <v>0</v>
      </c>
    </row>
    <row r="427" spans="1:50" x14ac:dyDescent="0.25">
      <c r="A427" s="4" t="s">
        <v>2241</v>
      </c>
      <c r="B427" s="4" t="e">
        <f t="shared" si="225"/>
        <v>#N/A</v>
      </c>
      <c r="C427" s="4" t="e">
        <f t="shared" ca="1" si="219"/>
        <v>#N/A</v>
      </c>
      <c r="E427" s="4"/>
      <c r="F427" s="4">
        <f t="shared" ca="1" si="204"/>
        <v>0</v>
      </c>
      <c r="G427" s="4"/>
      <c r="H427" s="4" t="e">
        <f t="shared" si="200"/>
        <v>#N/A</v>
      </c>
      <c r="I427" s="4" t="e">
        <f t="shared" si="229"/>
        <v>#N/A</v>
      </c>
      <c r="J427" s="4">
        <f t="shared" ca="1" si="205"/>
        <v>0</v>
      </c>
      <c r="K427" s="4" t="e">
        <f t="shared" ca="1" si="201"/>
        <v>#N/A</v>
      </c>
      <c r="M427" t="str">
        <f t="shared" ca="1" si="230"/>
        <v>Gate Mastery</v>
      </c>
      <c r="N427" s="3" t="str">
        <f ca="1">'Character Sheet'!COP29</f>
        <v>Gate Mastery</v>
      </c>
      <c r="O427" s="4" t="str">
        <f t="shared" si="231"/>
        <v>Em/Em</v>
      </c>
      <c r="P427" s="4" t="s">
        <v>801</v>
      </c>
      <c r="Q427" s="4" t="e">
        <f t="shared" ca="1" si="228"/>
        <v>#N/A</v>
      </c>
      <c r="R427" s="4">
        <f ca="1">IF(ISNUMBER(SEARCH("Category",N427)),"- -",IF(ISNUMBER(SEARCH("Skills",N427)),"- -",'Level-up'!C445))</f>
        <v>0</v>
      </c>
      <c r="S427" s="4" t="e">
        <f t="shared" ca="1" si="206"/>
        <v>#N/A</v>
      </c>
      <c r="T427" s="4" t="e">
        <f t="shared" ca="1" si="207"/>
        <v>#N/A</v>
      </c>
      <c r="U427" s="4">
        <f t="shared" ca="1" si="199"/>
        <v>10</v>
      </c>
      <c r="V427" s="4">
        <f t="shared" ca="1" si="232"/>
        <v>0</v>
      </c>
      <c r="W427" s="4">
        <f t="shared" ca="1" si="227"/>
        <v>0</v>
      </c>
      <c r="X427" s="4">
        <f t="shared" ca="1" si="226"/>
        <v>0</v>
      </c>
      <c r="Y427" s="4">
        <f t="shared" ca="1" si="208"/>
        <v>0</v>
      </c>
      <c r="Z427" s="4">
        <f t="shared" ca="1" si="209"/>
        <v>0</v>
      </c>
      <c r="AA427" s="4">
        <f t="shared" ca="1" si="210"/>
        <v>0</v>
      </c>
      <c r="AB427" s="4">
        <f t="shared" ca="1" si="211"/>
        <v>0</v>
      </c>
      <c r="AC427" s="8"/>
      <c r="AD427" s="4"/>
      <c r="AE427" s="4"/>
      <c r="AF427" s="4" t="e">
        <f t="shared" ca="1" si="212"/>
        <v>#N/A</v>
      </c>
      <c r="AG427" s="4" t="s">
        <v>2077</v>
      </c>
      <c r="AH427" s="4">
        <f ca="1">IFERROR(VLOOKUP(M427,Calculations!$AC$2:$AD$251,2,FALSE),0)</f>
        <v>0</v>
      </c>
      <c r="AI427" s="4" t="e">
        <f ca="1">VLOOKUP(N427,$N$2:$AS$620,MATCH('Character Creation'!$Z$12,Skills!$N$1:$AS$1,0),FALSE)</f>
        <v>#N/A</v>
      </c>
      <c r="AJ427" s="4" t="e">
        <f ca="1">VLOOKUP($N427,[2]Cultures!$B$4:$M$283,MATCH(AJ$1,[2]Cultures!$B$3:$M$3,0),FALSE)</f>
        <v>#N/A</v>
      </c>
      <c r="AK427" s="4" t="e">
        <f ca="1">VLOOKUP($N427,[2]Cultures!$B$4:$M$283,MATCH(AK$1,[2]Cultures!$B$3:$M$3,0),FALSE)</f>
        <v>#N/A</v>
      </c>
      <c r="AL427" s="4" t="e">
        <f ca="1">VLOOKUP($N427,[2]Cultures!$B$4:$M$283,MATCH(AL$1,[2]Cultures!$B$3:$M$3,0),FALSE)</f>
        <v>#N/A</v>
      </c>
      <c r="AM427" s="4" t="e">
        <f ca="1">VLOOKUP($N427,[2]Cultures!$B$4:$M$283,MATCH(AM$1,[2]Cultures!$B$3:$M$3,0),FALSE)</f>
        <v>#N/A</v>
      </c>
      <c r="AN427" s="4" t="e">
        <f ca="1">VLOOKUP($N427,[2]Cultures!$B$4:$M$283,MATCH(AN$1,[2]Cultures!$B$3:$M$3,0),FALSE)</f>
        <v>#N/A</v>
      </c>
      <c r="AO427" s="4" t="e">
        <f ca="1">VLOOKUP($N427,[2]Cultures!$B$4:$M$283,MATCH(AO$1,[2]Cultures!$B$3:$M$3,0),FALSE)</f>
        <v>#N/A</v>
      </c>
      <c r="AP427" s="4" t="e">
        <f ca="1">VLOOKUP($N427,[2]Cultures!$B$4:$M$283,MATCH(AP$1,[2]Cultures!$B$3:$M$3,0),FALSE)</f>
        <v>#N/A</v>
      </c>
      <c r="AQ427" s="4" t="e">
        <f ca="1">VLOOKUP($N427,[2]Cultures!$B$4:$M$283,MATCH(AQ$1,[2]Cultures!$B$3:$M$3,0),FALSE)</f>
        <v>#N/A</v>
      </c>
      <c r="AR427" s="4" t="e">
        <f ca="1">VLOOKUP($N427,[2]Cultures!$B$4:$M$283,MATCH(AR$1,[2]Cultures!$B$3:$M$3,0),FALSE)</f>
        <v>#N/A</v>
      </c>
      <c r="AS427" s="4" t="e">
        <f ca="1">VLOOKUP($N427,[2]Cultures!$B$4:$M$283,MATCH(AS$1,[2]Cultures!$B$3:$M$3,0),FALSE)</f>
        <v>#N/A</v>
      </c>
      <c r="AT427" s="4"/>
      <c r="AU427" s="4">
        <f ca="1">IF(ISNUMBER(SEARCH(N427&amp;";",Calculations!$Q$19)),VLOOKUP(Skills!N427,Calculations!$Q$2:$T$16,4,FALSE),0)</f>
        <v>0</v>
      </c>
      <c r="AV427" s="4">
        <f ca="1">IF(ISNUMBER(SEARCH(N427&amp;";",Calculations!$Q$18)),1,0)</f>
        <v>0</v>
      </c>
      <c r="AW427" s="4">
        <f t="shared" ca="1" si="233"/>
        <v>0</v>
      </c>
      <c r="AX427" s="4">
        <f ca="1">VLOOKUP($N427,$N427:$CH427,MATCH('Character Sheet'!$BJ$3,Skills!$N$1:$CH$1,0),FALSE)</f>
        <v>0</v>
      </c>
    </row>
    <row r="428" spans="1:50" x14ac:dyDescent="0.25">
      <c r="A428" s="4" t="s">
        <v>2241</v>
      </c>
      <c r="B428" s="4" t="e">
        <f t="shared" si="225"/>
        <v>#N/A</v>
      </c>
      <c r="C428" s="4" t="e">
        <f t="shared" ca="1" si="219"/>
        <v>#N/A</v>
      </c>
      <c r="E428" s="4"/>
      <c r="F428" s="4">
        <f t="shared" ca="1" si="204"/>
        <v>0</v>
      </c>
      <c r="G428" s="4"/>
      <c r="H428" s="4" t="e">
        <f t="shared" si="200"/>
        <v>#N/A</v>
      </c>
      <c r="I428" s="4" t="e">
        <f t="shared" si="229"/>
        <v>#N/A</v>
      </c>
      <c r="J428" s="4">
        <f t="shared" ca="1" si="205"/>
        <v>0</v>
      </c>
      <c r="K428" s="4" t="e">
        <f t="shared" ca="1" si="201"/>
        <v>#N/A</v>
      </c>
      <c r="M428" t="str">
        <f t="shared" ca="1" si="230"/>
        <v>Invisible Ways</v>
      </c>
      <c r="N428" s="3" t="str">
        <f ca="1">'Character Sheet'!COP30</f>
        <v>Invisible Ways</v>
      </c>
      <c r="O428" s="4" t="str">
        <f t="shared" si="231"/>
        <v>Em/Em</v>
      </c>
      <c r="P428" s="4" t="s">
        <v>801</v>
      </c>
      <c r="Q428" s="4" t="e">
        <f t="shared" ca="1" si="228"/>
        <v>#N/A</v>
      </c>
      <c r="R428" s="4">
        <f ca="1">IF(ISNUMBER(SEARCH("Category",N428)),"- -",IF(ISNUMBER(SEARCH("Skills",N428)),"- -",'Level-up'!C446))</f>
        <v>0</v>
      </c>
      <c r="S428" s="4" t="e">
        <f t="shared" ca="1" si="206"/>
        <v>#N/A</v>
      </c>
      <c r="T428" s="4" t="e">
        <f t="shared" ca="1" si="207"/>
        <v>#N/A</v>
      </c>
      <c r="U428" s="4">
        <f t="shared" ca="1" si="199"/>
        <v>10</v>
      </c>
      <c r="V428" s="4">
        <f t="shared" ca="1" si="232"/>
        <v>0</v>
      </c>
      <c r="W428" s="4">
        <f t="shared" ca="1" si="227"/>
        <v>0</v>
      </c>
      <c r="X428" s="4">
        <f t="shared" ca="1" si="226"/>
        <v>0</v>
      </c>
      <c r="Y428" s="4">
        <f t="shared" ca="1" si="208"/>
        <v>0</v>
      </c>
      <c r="Z428" s="4">
        <f t="shared" ca="1" si="209"/>
        <v>0</v>
      </c>
      <c r="AA428" s="4">
        <f t="shared" ca="1" si="210"/>
        <v>0</v>
      </c>
      <c r="AB428" s="4">
        <f t="shared" ca="1" si="211"/>
        <v>0</v>
      </c>
      <c r="AC428" s="8"/>
      <c r="AD428" s="4"/>
      <c r="AE428" s="4"/>
      <c r="AF428" s="4" t="e">
        <f t="shared" ca="1" si="212"/>
        <v>#N/A</v>
      </c>
      <c r="AG428" s="4" t="s">
        <v>2077</v>
      </c>
      <c r="AH428" s="4">
        <f ca="1">IFERROR(VLOOKUP(M428,Calculations!$AC$2:$AD$251,2,FALSE),0)</f>
        <v>0</v>
      </c>
      <c r="AI428" s="4" t="e">
        <f ca="1">VLOOKUP(N428,$N$2:$AS$620,MATCH('Character Creation'!$Z$12,Skills!$N$1:$AS$1,0),FALSE)</f>
        <v>#N/A</v>
      </c>
      <c r="AJ428" s="4" t="e">
        <f ca="1">VLOOKUP($N428,[2]Cultures!$B$4:$M$283,MATCH(AJ$1,[2]Cultures!$B$3:$M$3,0),FALSE)</f>
        <v>#N/A</v>
      </c>
      <c r="AK428" s="4" t="e">
        <f ca="1">VLOOKUP($N428,[2]Cultures!$B$4:$M$283,MATCH(AK$1,[2]Cultures!$B$3:$M$3,0),FALSE)</f>
        <v>#N/A</v>
      </c>
      <c r="AL428" s="4" t="e">
        <f ca="1">VLOOKUP($N428,[2]Cultures!$B$4:$M$283,MATCH(AL$1,[2]Cultures!$B$3:$M$3,0),FALSE)</f>
        <v>#N/A</v>
      </c>
      <c r="AM428" s="4" t="e">
        <f ca="1">VLOOKUP($N428,[2]Cultures!$B$4:$M$283,MATCH(AM$1,[2]Cultures!$B$3:$M$3,0),FALSE)</f>
        <v>#N/A</v>
      </c>
      <c r="AN428" s="4" t="e">
        <f ca="1">VLOOKUP($N428,[2]Cultures!$B$4:$M$283,MATCH(AN$1,[2]Cultures!$B$3:$M$3,0),FALSE)</f>
        <v>#N/A</v>
      </c>
      <c r="AO428" s="4" t="e">
        <f ca="1">VLOOKUP($N428,[2]Cultures!$B$4:$M$283,MATCH(AO$1,[2]Cultures!$B$3:$M$3,0),FALSE)</f>
        <v>#N/A</v>
      </c>
      <c r="AP428" s="4" t="e">
        <f ca="1">VLOOKUP($N428,[2]Cultures!$B$4:$M$283,MATCH(AP$1,[2]Cultures!$B$3:$M$3,0),FALSE)</f>
        <v>#N/A</v>
      </c>
      <c r="AQ428" s="4" t="e">
        <f ca="1">VLOOKUP($N428,[2]Cultures!$B$4:$M$283,MATCH(AQ$1,[2]Cultures!$B$3:$M$3,0),FALSE)</f>
        <v>#N/A</v>
      </c>
      <c r="AR428" s="4" t="e">
        <f ca="1">VLOOKUP($N428,[2]Cultures!$B$4:$M$283,MATCH(AR$1,[2]Cultures!$B$3:$M$3,0),FALSE)</f>
        <v>#N/A</v>
      </c>
      <c r="AS428" s="4" t="e">
        <f ca="1">VLOOKUP($N428,[2]Cultures!$B$4:$M$283,MATCH(AS$1,[2]Cultures!$B$3:$M$3,0),FALSE)</f>
        <v>#N/A</v>
      </c>
      <c r="AT428" s="4"/>
      <c r="AU428" s="4">
        <f ca="1">IF(ISNUMBER(SEARCH(N428&amp;";",Calculations!$Q$19)),VLOOKUP(Skills!N428,Calculations!$Q$2:$T$16,4,FALSE),0)</f>
        <v>0</v>
      </c>
      <c r="AV428" s="4">
        <f ca="1">IF(ISNUMBER(SEARCH(N428&amp;";",Calculations!$Q$18)),1,0)</f>
        <v>0</v>
      </c>
      <c r="AW428" s="4">
        <f t="shared" ca="1" si="233"/>
        <v>0</v>
      </c>
      <c r="AX428" s="4">
        <f ca="1">VLOOKUP($N428,$N428:$CH428,MATCH('Character Sheet'!$BJ$3,Skills!$N$1:$CH$1,0),FALSE)</f>
        <v>0</v>
      </c>
    </row>
    <row r="429" spans="1:50" x14ac:dyDescent="0.25">
      <c r="A429" s="4" t="s">
        <v>2241</v>
      </c>
      <c r="B429" s="4" t="e">
        <f t="shared" si="225"/>
        <v>#N/A</v>
      </c>
      <c r="C429" s="4" t="e">
        <f t="shared" ca="1" si="219"/>
        <v>#N/A</v>
      </c>
      <c r="E429" s="4"/>
      <c r="F429" s="4">
        <f t="shared" ca="1" si="204"/>
        <v>0</v>
      </c>
      <c r="G429" s="4"/>
      <c r="H429" s="4" t="e">
        <f t="shared" si="200"/>
        <v>#N/A</v>
      </c>
      <c r="I429" s="4" t="e">
        <f t="shared" si="229"/>
        <v>#N/A</v>
      </c>
      <c r="J429" s="4">
        <f t="shared" ca="1" si="205"/>
        <v>0</v>
      </c>
      <c r="K429" s="4" t="e">
        <f t="shared" ca="1" si="201"/>
        <v>#N/A</v>
      </c>
      <c r="M429" t="str">
        <f t="shared" ca="1" si="230"/>
        <v>Living Change</v>
      </c>
      <c r="N429" s="3" t="str">
        <f ca="1">'Character Sheet'!COP31</f>
        <v>Living Change</v>
      </c>
      <c r="O429" s="4" t="str">
        <f t="shared" si="231"/>
        <v>Em/Em</v>
      </c>
      <c r="P429" s="4" t="s">
        <v>801</v>
      </c>
      <c r="Q429" s="4" t="e">
        <f t="shared" ca="1" si="228"/>
        <v>#N/A</v>
      </c>
      <c r="R429" s="4">
        <f ca="1">IF(ISNUMBER(SEARCH("Category",N429)),"- -",IF(ISNUMBER(SEARCH("Skills",N429)),"- -",'Level-up'!C447))</f>
        <v>0</v>
      </c>
      <c r="S429" s="4" t="e">
        <f t="shared" ca="1" si="206"/>
        <v>#N/A</v>
      </c>
      <c r="T429" s="4" t="e">
        <f t="shared" ca="1" si="207"/>
        <v>#N/A</v>
      </c>
      <c r="U429" s="4">
        <f t="shared" ca="1" si="199"/>
        <v>10</v>
      </c>
      <c r="V429" s="4">
        <f t="shared" ca="1" si="232"/>
        <v>0</v>
      </c>
      <c r="W429" s="4">
        <f t="shared" ca="1" si="227"/>
        <v>0</v>
      </c>
      <c r="X429" s="4">
        <f t="shared" ca="1" si="226"/>
        <v>0</v>
      </c>
      <c r="Y429" s="4">
        <f t="shared" ca="1" si="208"/>
        <v>0</v>
      </c>
      <c r="Z429" s="4">
        <f t="shared" ca="1" si="209"/>
        <v>0</v>
      </c>
      <c r="AA429" s="4">
        <f t="shared" ca="1" si="210"/>
        <v>0</v>
      </c>
      <c r="AB429" s="4">
        <f t="shared" ca="1" si="211"/>
        <v>0</v>
      </c>
      <c r="AC429" s="8"/>
      <c r="AD429" s="4"/>
      <c r="AE429" s="4"/>
      <c r="AF429" s="4" t="e">
        <f t="shared" ca="1" si="212"/>
        <v>#N/A</v>
      </c>
      <c r="AG429" s="4" t="s">
        <v>2077</v>
      </c>
      <c r="AH429" s="4">
        <f ca="1">IFERROR(VLOOKUP(M429,Calculations!$AC$2:$AD$251,2,FALSE),0)</f>
        <v>0</v>
      </c>
      <c r="AI429" s="4" t="e">
        <f ca="1">VLOOKUP(N429,$N$2:$AS$620,MATCH('Character Creation'!$Z$12,Skills!$N$1:$AS$1,0),FALSE)</f>
        <v>#N/A</v>
      </c>
      <c r="AJ429" s="4" t="e">
        <f ca="1">VLOOKUP($N429,[2]Cultures!$B$4:$M$283,MATCH(AJ$1,[2]Cultures!$B$3:$M$3,0),FALSE)</f>
        <v>#N/A</v>
      </c>
      <c r="AK429" s="4" t="e">
        <f ca="1">VLOOKUP($N429,[2]Cultures!$B$4:$M$283,MATCH(AK$1,[2]Cultures!$B$3:$M$3,0),FALSE)</f>
        <v>#N/A</v>
      </c>
      <c r="AL429" s="4" t="e">
        <f ca="1">VLOOKUP($N429,[2]Cultures!$B$4:$M$283,MATCH(AL$1,[2]Cultures!$B$3:$M$3,0),FALSE)</f>
        <v>#N/A</v>
      </c>
      <c r="AM429" s="4" t="e">
        <f ca="1">VLOOKUP($N429,[2]Cultures!$B$4:$M$283,MATCH(AM$1,[2]Cultures!$B$3:$M$3,0),FALSE)</f>
        <v>#N/A</v>
      </c>
      <c r="AN429" s="4" t="e">
        <f ca="1">VLOOKUP($N429,[2]Cultures!$B$4:$M$283,MATCH(AN$1,[2]Cultures!$B$3:$M$3,0),FALSE)</f>
        <v>#N/A</v>
      </c>
      <c r="AO429" s="4" t="e">
        <f ca="1">VLOOKUP($N429,[2]Cultures!$B$4:$M$283,MATCH(AO$1,[2]Cultures!$B$3:$M$3,0),FALSE)</f>
        <v>#N/A</v>
      </c>
      <c r="AP429" s="4" t="e">
        <f ca="1">VLOOKUP($N429,[2]Cultures!$B$4:$M$283,MATCH(AP$1,[2]Cultures!$B$3:$M$3,0),FALSE)</f>
        <v>#N/A</v>
      </c>
      <c r="AQ429" s="4" t="e">
        <f ca="1">VLOOKUP($N429,[2]Cultures!$B$4:$M$283,MATCH(AQ$1,[2]Cultures!$B$3:$M$3,0),FALSE)</f>
        <v>#N/A</v>
      </c>
      <c r="AR429" s="4" t="e">
        <f ca="1">VLOOKUP($N429,[2]Cultures!$B$4:$M$283,MATCH(AR$1,[2]Cultures!$B$3:$M$3,0),FALSE)</f>
        <v>#N/A</v>
      </c>
      <c r="AS429" s="4" t="e">
        <f ca="1">VLOOKUP($N429,[2]Cultures!$B$4:$M$283,MATCH(AS$1,[2]Cultures!$B$3:$M$3,0),FALSE)</f>
        <v>#N/A</v>
      </c>
      <c r="AT429" s="4"/>
      <c r="AU429" s="4">
        <f ca="1">IF(ISNUMBER(SEARCH(N429&amp;";",Calculations!$Q$19)),VLOOKUP(Skills!N429,Calculations!$Q$2:$T$16,4,FALSE),0)</f>
        <v>0</v>
      </c>
      <c r="AV429" s="4">
        <f ca="1">IF(ISNUMBER(SEARCH(N429&amp;";",Calculations!$Q$18)),1,0)</f>
        <v>0</v>
      </c>
      <c r="AW429" s="4">
        <f t="shared" ca="1" si="233"/>
        <v>0</v>
      </c>
      <c r="AX429" s="4">
        <f ca="1">VLOOKUP($N429,$N429:$CH429,MATCH('Character Sheet'!$BJ$3,Skills!$N$1:$CH$1,0),FALSE)</f>
        <v>0</v>
      </c>
    </row>
    <row r="430" spans="1:50" x14ac:dyDescent="0.25">
      <c r="A430" s="4" t="s">
        <v>2241</v>
      </c>
      <c r="B430" s="4" t="e">
        <f t="shared" si="225"/>
        <v>#N/A</v>
      </c>
      <c r="C430" s="4" t="e">
        <f t="shared" ca="1" si="219"/>
        <v>#N/A</v>
      </c>
      <c r="E430" s="4"/>
      <c r="F430" s="4">
        <f t="shared" ca="1" si="204"/>
        <v>0</v>
      </c>
      <c r="G430" s="4"/>
      <c r="H430" s="4" t="e">
        <f t="shared" si="200"/>
        <v>#N/A</v>
      </c>
      <c r="I430" s="4" t="e">
        <f t="shared" si="229"/>
        <v>#N/A</v>
      </c>
      <c r="J430" s="4">
        <f t="shared" ca="1" si="205"/>
        <v>0</v>
      </c>
      <c r="K430" s="4" t="e">
        <f t="shared" ca="1" si="201"/>
        <v>#N/A</v>
      </c>
      <c r="M430" t="str">
        <f t="shared" ca="1" si="230"/>
        <v>Spell Enhancement</v>
      </c>
      <c r="N430" s="3" t="str">
        <f ca="1">'Character Sheet'!COP37</f>
        <v>Spell Enhancement</v>
      </c>
      <c r="O430" s="4" t="str">
        <f t="shared" si="231"/>
        <v>Em/Em</v>
      </c>
      <c r="P430" s="4" t="s">
        <v>801</v>
      </c>
      <c r="Q430" s="4" t="e">
        <f t="shared" ca="1" si="228"/>
        <v>#N/A</v>
      </c>
      <c r="R430" s="4">
        <f ca="1">IF(ISNUMBER(SEARCH("Category",N430)),"- -",IF(ISNUMBER(SEARCH("Skills",N430)),"- -",'Level-up'!C448))</f>
        <v>0</v>
      </c>
      <c r="S430" s="4" t="e">
        <f t="shared" ca="1" si="206"/>
        <v>#N/A</v>
      </c>
      <c r="T430" s="4" t="e">
        <f t="shared" ca="1" si="207"/>
        <v>#N/A</v>
      </c>
      <c r="U430" s="4">
        <f t="shared" ca="1" si="199"/>
        <v>10</v>
      </c>
      <c r="V430" s="4">
        <f t="shared" ca="1" si="232"/>
        <v>0</v>
      </c>
      <c r="W430" s="4">
        <f t="shared" ca="1" si="227"/>
        <v>0</v>
      </c>
      <c r="X430" s="4">
        <f t="shared" ca="1" si="226"/>
        <v>0</v>
      </c>
      <c r="Y430" s="4">
        <f t="shared" ca="1" si="208"/>
        <v>0</v>
      </c>
      <c r="Z430" s="4">
        <f t="shared" ca="1" si="209"/>
        <v>0</v>
      </c>
      <c r="AA430" s="4">
        <f t="shared" ca="1" si="210"/>
        <v>0</v>
      </c>
      <c r="AB430" s="4">
        <f t="shared" ca="1" si="211"/>
        <v>0</v>
      </c>
      <c r="AC430" s="8"/>
      <c r="AD430" s="4"/>
      <c r="AE430" s="4"/>
      <c r="AF430" s="4" t="e">
        <f t="shared" ca="1" si="212"/>
        <v>#N/A</v>
      </c>
      <c r="AG430" s="4" t="s">
        <v>2077</v>
      </c>
      <c r="AH430" s="4">
        <f ca="1">IFERROR(VLOOKUP(M430,Calculations!$AC$2:$AD$251,2,FALSE),0)</f>
        <v>0</v>
      </c>
      <c r="AI430" s="4" t="e">
        <f ca="1">VLOOKUP(N430,$N$2:$AS$620,MATCH('Character Creation'!$Z$12,Skills!$N$1:$AS$1,0),FALSE)</f>
        <v>#N/A</v>
      </c>
      <c r="AJ430" s="4" t="e">
        <f ca="1">VLOOKUP($N430,[2]Cultures!$B$4:$M$283,MATCH(AJ$1,[2]Cultures!$B$3:$M$3,0),FALSE)</f>
        <v>#N/A</v>
      </c>
      <c r="AK430" s="4" t="e">
        <f ca="1">VLOOKUP($N430,[2]Cultures!$B$4:$M$283,MATCH(AK$1,[2]Cultures!$B$3:$M$3,0),FALSE)</f>
        <v>#N/A</v>
      </c>
      <c r="AL430" s="4" t="e">
        <f ca="1">VLOOKUP($N430,[2]Cultures!$B$4:$M$283,MATCH(AL$1,[2]Cultures!$B$3:$M$3,0),FALSE)</f>
        <v>#N/A</v>
      </c>
      <c r="AM430" s="4" t="e">
        <f ca="1">VLOOKUP($N430,[2]Cultures!$B$4:$M$283,MATCH(AM$1,[2]Cultures!$B$3:$M$3,0),FALSE)</f>
        <v>#N/A</v>
      </c>
      <c r="AN430" s="4" t="e">
        <f ca="1">VLOOKUP($N430,[2]Cultures!$B$4:$M$283,MATCH(AN$1,[2]Cultures!$B$3:$M$3,0),FALSE)</f>
        <v>#N/A</v>
      </c>
      <c r="AO430" s="4" t="e">
        <f ca="1">VLOOKUP($N430,[2]Cultures!$B$4:$M$283,MATCH(AO$1,[2]Cultures!$B$3:$M$3,0),FALSE)</f>
        <v>#N/A</v>
      </c>
      <c r="AP430" s="4" t="e">
        <f ca="1">VLOOKUP($N430,[2]Cultures!$B$4:$M$283,MATCH(AP$1,[2]Cultures!$B$3:$M$3,0),FALSE)</f>
        <v>#N/A</v>
      </c>
      <c r="AQ430" s="4" t="e">
        <f ca="1">VLOOKUP($N430,[2]Cultures!$B$4:$M$283,MATCH(AQ$1,[2]Cultures!$B$3:$M$3,0),FALSE)</f>
        <v>#N/A</v>
      </c>
      <c r="AR430" s="4" t="e">
        <f ca="1">VLOOKUP($N430,[2]Cultures!$B$4:$M$283,MATCH(AR$1,[2]Cultures!$B$3:$M$3,0),FALSE)</f>
        <v>#N/A</v>
      </c>
      <c r="AS430" s="4" t="e">
        <f ca="1">VLOOKUP($N430,[2]Cultures!$B$4:$M$283,MATCH(AS$1,[2]Cultures!$B$3:$M$3,0),FALSE)</f>
        <v>#N/A</v>
      </c>
      <c r="AT430" s="4"/>
      <c r="AU430" s="4">
        <f ca="1">IF(ISNUMBER(SEARCH(N430&amp;";",Calculations!$Q$19)),VLOOKUP(Skills!N430,Calculations!$Q$2:$T$16,4,FALSE),0)</f>
        <v>0</v>
      </c>
      <c r="AV430" s="4">
        <f ca="1">IF(ISNUMBER(SEARCH(N430&amp;";",Calculations!$Q$18)),1,0)</f>
        <v>0</v>
      </c>
      <c r="AW430" s="4">
        <f t="shared" ca="1" si="233"/>
        <v>0</v>
      </c>
      <c r="AX430" s="4">
        <f ca="1">VLOOKUP($N430,$N430:$CH430,MATCH('Character Sheet'!$BJ$3,Skills!$N$1:$CH$1,0),FALSE)</f>
        <v>0</v>
      </c>
    </row>
    <row r="431" spans="1:50" x14ac:dyDescent="0.25">
      <c r="A431" s="4" t="s">
        <v>2241</v>
      </c>
      <c r="B431" s="4" t="e">
        <f t="shared" si="225"/>
        <v>#N/A</v>
      </c>
      <c r="C431" s="4" t="e">
        <f t="shared" ca="1" si="219"/>
        <v>#N/A</v>
      </c>
      <c r="E431" s="4"/>
      <c r="F431" s="4">
        <f t="shared" ca="1" si="204"/>
        <v>0</v>
      </c>
      <c r="G431" s="4"/>
      <c r="H431" s="4" t="e">
        <f t="shared" si="200"/>
        <v>#N/A</v>
      </c>
      <c r="I431" s="4" t="e">
        <f t="shared" si="229"/>
        <v>#N/A</v>
      </c>
      <c r="J431" s="4">
        <f t="shared" ca="1" si="205"/>
        <v>0</v>
      </c>
      <c r="K431" s="4" t="e">
        <f t="shared" ca="1" si="201"/>
        <v>#N/A</v>
      </c>
      <c r="M431" t="str">
        <f t="shared" ca="1" si="230"/>
        <v>Spell Reins</v>
      </c>
      <c r="N431" s="3" t="str">
        <f ca="1">'Character Sheet'!COP38</f>
        <v>Spell Reins</v>
      </c>
      <c r="O431" s="4" t="str">
        <f t="shared" si="231"/>
        <v>Em/Em</v>
      </c>
      <c r="P431" s="4" t="s">
        <v>801</v>
      </c>
      <c r="Q431" s="4" t="e">
        <f t="shared" ca="1" si="228"/>
        <v>#N/A</v>
      </c>
      <c r="R431" s="4">
        <f ca="1">IF(ISNUMBER(SEARCH("Category",N431)),"- -",IF(ISNUMBER(SEARCH("Skills",N431)),"- -",'Level-up'!C449))</f>
        <v>0</v>
      </c>
      <c r="S431" s="4" t="e">
        <f t="shared" ca="1" si="206"/>
        <v>#N/A</v>
      </c>
      <c r="T431" s="4" t="e">
        <f t="shared" ca="1" si="207"/>
        <v>#N/A</v>
      </c>
      <c r="U431" s="4">
        <f t="shared" ca="1" si="199"/>
        <v>10</v>
      </c>
      <c r="V431" s="4">
        <f t="shared" ca="1" si="232"/>
        <v>0</v>
      </c>
      <c r="W431" s="4">
        <f t="shared" ca="1" si="227"/>
        <v>0</v>
      </c>
      <c r="X431" s="4">
        <f t="shared" ca="1" si="226"/>
        <v>0</v>
      </c>
      <c r="Y431" s="4">
        <f t="shared" ca="1" si="208"/>
        <v>0</v>
      </c>
      <c r="Z431" s="4">
        <f t="shared" ca="1" si="209"/>
        <v>0</v>
      </c>
      <c r="AA431" s="4">
        <f t="shared" ca="1" si="210"/>
        <v>0</v>
      </c>
      <c r="AB431" s="4">
        <f t="shared" ca="1" si="211"/>
        <v>0</v>
      </c>
      <c r="AC431" s="8"/>
      <c r="AD431" s="4"/>
      <c r="AE431" s="4"/>
      <c r="AF431" s="4" t="e">
        <f t="shared" ca="1" si="212"/>
        <v>#N/A</v>
      </c>
      <c r="AG431" s="4" t="s">
        <v>2077</v>
      </c>
      <c r="AH431" s="4">
        <f ca="1">IFERROR(VLOOKUP(M431,Calculations!$AC$2:$AD$251,2,FALSE),0)</f>
        <v>0</v>
      </c>
      <c r="AI431" s="4" t="e">
        <f ca="1">VLOOKUP(N431,$N$2:$AS$620,MATCH('Character Creation'!$Z$12,Skills!$N$1:$AS$1,0),FALSE)</f>
        <v>#N/A</v>
      </c>
      <c r="AJ431" s="4" t="e">
        <f ca="1">VLOOKUP($N431,[2]Cultures!$B$4:$M$283,MATCH(AJ$1,[2]Cultures!$B$3:$M$3,0),FALSE)</f>
        <v>#N/A</v>
      </c>
      <c r="AK431" s="4" t="e">
        <f ca="1">VLOOKUP($N431,[2]Cultures!$B$4:$M$283,MATCH(AK$1,[2]Cultures!$B$3:$M$3,0),FALSE)</f>
        <v>#N/A</v>
      </c>
      <c r="AL431" s="4" t="e">
        <f ca="1">VLOOKUP($N431,[2]Cultures!$B$4:$M$283,MATCH(AL$1,[2]Cultures!$B$3:$M$3,0),FALSE)</f>
        <v>#N/A</v>
      </c>
      <c r="AM431" s="4" t="e">
        <f ca="1">VLOOKUP($N431,[2]Cultures!$B$4:$M$283,MATCH(AM$1,[2]Cultures!$B$3:$M$3,0),FALSE)</f>
        <v>#N/A</v>
      </c>
      <c r="AN431" s="4" t="e">
        <f ca="1">VLOOKUP($N431,[2]Cultures!$B$4:$M$283,MATCH(AN$1,[2]Cultures!$B$3:$M$3,0),FALSE)</f>
        <v>#N/A</v>
      </c>
      <c r="AO431" s="4" t="e">
        <f ca="1">VLOOKUP($N431,[2]Cultures!$B$4:$M$283,MATCH(AO$1,[2]Cultures!$B$3:$M$3,0),FALSE)</f>
        <v>#N/A</v>
      </c>
      <c r="AP431" s="4" t="e">
        <f ca="1">VLOOKUP($N431,[2]Cultures!$B$4:$M$283,MATCH(AP$1,[2]Cultures!$B$3:$M$3,0),FALSE)</f>
        <v>#N/A</v>
      </c>
      <c r="AQ431" s="4" t="e">
        <f ca="1">VLOOKUP($N431,[2]Cultures!$B$4:$M$283,MATCH(AQ$1,[2]Cultures!$B$3:$M$3,0),FALSE)</f>
        <v>#N/A</v>
      </c>
      <c r="AR431" s="4" t="e">
        <f ca="1">VLOOKUP($N431,[2]Cultures!$B$4:$M$283,MATCH(AR$1,[2]Cultures!$B$3:$M$3,0),FALSE)</f>
        <v>#N/A</v>
      </c>
      <c r="AS431" s="4" t="e">
        <f ca="1">VLOOKUP($N431,[2]Cultures!$B$4:$M$283,MATCH(AS$1,[2]Cultures!$B$3:$M$3,0),FALSE)</f>
        <v>#N/A</v>
      </c>
      <c r="AT431" s="4"/>
      <c r="AU431" s="4">
        <f ca="1">IF(ISNUMBER(SEARCH(N431&amp;";",Calculations!$Q$19)),VLOOKUP(Skills!N431,Calculations!$Q$2:$T$16,4,FALSE),0)</f>
        <v>0</v>
      </c>
      <c r="AV431" s="4">
        <f ca="1">IF(ISNUMBER(SEARCH(N431&amp;";",Calculations!$Q$18)),1,0)</f>
        <v>0</v>
      </c>
      <c r="AW431" s="4">
        <f t="shared" ca="1" si="233"/>
        <v>0</v>
      </c>
      <c r="AX431" s="4">
        <f ca="1">VLOOKUP($N431,$N431:$CH431,MATCH('Character Sheet'!$BJ$3,Skills!$N$1:$CH$1,0),FALSE)</f>
        <v>0</v>
      </c>
    </row>
    <row r="432" spans="1:50" x14ac:dyDescent="0.25">
      <c r="A432" s="4" t="s">
        <v>2241</v>
      </c>
      <c r="B432" s="4" t="e">
        <f t="shared" si="225"/>
        <v>#N/A</v>
      </c>
      <c r="C432" s="4" t="e">
        <f t="shared" ca="1" si="219"/>
        <v>#N/A</v>
      </c>
      <c r="E432" s="4"/>
      <c r="F432" s="4">
        <f t="shared" ca="1" si="204"/>
        <v>0</v>
      </c>
      <c r="G432" s="4"/>
      <c r="H432" s="4" t="e">
        <f t="shared" si="200"/>
        <v>#N/A</v>
      </c>
      <c r="I432" s="4" t="e">
        <f t="shared" si="229"/>
        <v>#N/A</v>
      </c>
      <c r="J432" s="4">
        <f t="shared" ca="1" si="205"/>
        <v>0</v>
      </c>
      <c r="K432" s="4" t="e">
        <f t="shared" ca="1" si="201"/>
        <v>#N/A</v>
      </c>
      <c r="M432" t="str">
        <f t="shared" ca="1" si="230"/>
        <v>Spirit Mastery</v>
      </c>
      <c r="N432" s="3" t="str">
        <f ca="1">'Character Sheet'!COP39</f>
        <v>Spirit Mastery</v>
      </c>
      <c r="O432" s="4" t="str">
        <f t="shared" si="231"/>
        <v>Em/Em</v>
      </c>
      <c r="P432" s="4" t="s">
        <v>801</v>
      </c>
      <c r="Q432" s="4" t="e">
        <f t="shared" ca="1" si="228"/>
        <v>#N/A</v>
      </c>
      <c r="R432" s="4">
        <f ca="1">IF(ISNUMBER(SEARCH("Category",N432)),"- -",IF(ISNUMBER(SEARCH("Skills",N432)),"- -",'Level-up'!C450))</f>
        <v>0</v>
      </c>
      <c r="S432" s="4" t="e">
        <f t="shared" ca="1" si="206"/>
        <v>#N/A</v>
      </c>
      <c r="T432" s="4" t="e">
        <f t="shared" ca="1" si="207"/>
        <v>#N/A</v>
      </c>
      <c r="U432" s="4">
        <f t="shared" ca="1" si="199"/>
        <v>10</v>
      </c>
      <c r="V432" s="4">
        <f t="shared" ca="1" si="232"/>
        <v>0</v>
      </c>
      <c r="W432" s="4">
        <f t="shared" ca="1" si="227"/>
        <v>0</v>
      </c>
      <c r="X432" s="4">
        <f t="shared" ca="1" si="226"/>
        <v>0</v>
      </c>
      <c r="Y432" s="4">
        <f t="shared" ca="1" si="208"/>
        <v>0</v>
      </c>
      <c r="Z432" s="4">
        <f t="shared" ca="1" si="209"/>
        <v>0</v>
      </c>
      <c r="AA432" s="4">
        <f t="shared" ca="1" si="210"/>
        <v>0</v>
      </c>
      <c r="AB432" s="4">
        <f t="shared" ca="1" si="211"/>
        <v>0</v>
      </c>
      <c r="AC432" s="8"/>
      <c r="AD432" s="4"/>
      <c r="AE432" s="4"/>
      <c r="AF432" s="4" t="e">
        <f t="shared" ca="1" si="212"/>
        <v>#N/A</v>
      </c>
      <c r="AG432" s="4" t="s">
        <v>2077</v>
      </c>
      <c r="AH432" s="4">
        <f ca="1">IFERROR(VLOOKUP(M432,Calculations!$AC$2:$AD$251,2,FALSE),0)</f>
        <v>0</v>
      </c>
      <c r="AI432" s="4" t="e">
        <f ca="1">VLOOKUP(N432,$N$2:$AS$620,MATCH('Character Creation'!$Z$12,Skills!$N$1:$AS$1,0),FALSE)</f>
        <v>#N/A</v>
      </c>
      <c r="AJ432" s="4" t="e">
        <f ca="1">VLOOKUP($N432,[2]Cultures!$B$4:$M$283,MATCH(AJ$1,[2]Cultures!$B$3:$M$3,0),FALSE)</f>
        <v>#N/A</v>
      </c>
      <c r="AK432" s="4" t="e">
        <f ca="1">VLOOKUP($N432,[2]Cultures!$B$4:$M$283,MATCH(AK$1,[2]Cultures!$B$3:$M$3,0),FALSE)</f>
        <v>#N/A</v>
      </c>
      <c r="AL432" s="4" t="e">
        <f ca="1">VLOOKUP($N432,[2]Cultures!$B$4:$M$283,MATCH(AL$1,[2]Cultures!$B$3:$M$3,0),FALSE)</f>
        <v>#N/A</v>
      </c>
      <c r="AM432" s="4" t="e">
        <f ca="1">VLOOKUP($N432,[2]Cultures!$B$4:$M$283,MATCH(AM$1,[2]Cultures!$B$3:$M$3,0),FALSE)</f>
        <v>#N/A</v>
      </c>
      <c r="AN432" s="4" t="e">
        <f ca="1">VLOOKUP($N432,[2]Cultures!$B$4:$M$283,MATCH(AN$1,[2]Cultures!$B$3:$M$3,0),FALSE)</f>
        <v>#N/A</v>
      </c>
      <c r="AO432" s="4" t="e">
        <f ca="1">VLOOKUP($N432,[2]Cultures!$B$4:$M$283,MATCH(AO$1,[2]Cultures!$B$3:$M$3,0),FALSE)</f>
        <v>#N/A</v>
      </c>
      <c r="AP432" s="4" t="e">
        <f ca="1">VLOOKUP($N432,[2]Cultures!$B$4:$M$283,MATCH(AP$1,[2]Cultures!$B$3:$M$3,0),FALSE)</f>
        <v>#N/A</v>
      </c>
      <c r="AQ432" s="4" t="e">
        <f ca="1">VLOOKUP($N432,[2]Cultures!$B$4:$M$283,MATCH(AQ$1,[2]Cultures!$B$3:$M$3,0),FALSE)</f>
        <v>#N/A</v>
      </c>
      <c r="AR432" s="4" t="e">
        <f ca="1">VLOOKUP($N432,[2]Cultures!$B$4:$M$283,MATCH(AR$1,[2]Cultures!$B$3:$M$3,0),FALSE)</f>
        <v>#N/A</v>
      </c>
      <c r="AS432" s="4" t="e">
        <f ca="1">VLOOKUP($N432,[2]Cultures!$B$4:$M$283,MATCH(AS$1,[2]Cultures!$B$3:$M$3,0),FALSE)</f>
        <v>#N/A</v>
      </c>
      <c r="AT432" s="4"/>
      <c r="AU432" s="4">
        <f ca="1">IF(ISNUMBER(SEARCH(N432&amp;";",Calculations!$Q$19)),VLOOKUP(Skills!N432,Calculations!$Q$2:$T$16,4,FALSE),0)</f>
        <v>0</v>
      </c>
      <c r="AV432" s="4">
        <f ca="1">IF(ISNUMBER(SEARCH(N432&amp;";",Calculations!$Q$18)),1,0)</f>
        <v>0</v>
      </c>
      <c r="AW432" s="4">
        <f t="shared" ca="1" si="233"/>
        <v>0</v>
      </c>
      <c r="AX432" s="4">
        <f ca="1">VLOOKUP($N432,$N432:$CH432,MATCH('Character Sheet'!$BJ$3,Skills!$N$1:$CH$1,0),FALSE)</f>
        <v>0</v>
      </c>
    </row>
    <row r="433" spans="1:50" x14ac:dyDescent="0.25">
      <c r="B433" s="4" t="e">
        <f t="shared" si="225"/>
        <v>#N/A</v>
      </c>
      <c r="C433" s="4" t="e">
        <f ca="1">C432</f>
        <v>#N/A</v>
      </c>
      <c r="E433" s="4"/>
      <c r="F433" s="4">
        <f t="shared" ca="1" si="204"/>
        <v>0</v>
      </c>
      <c r="G433" s="4"/>
      <c r="H433" s="4" t="e">
        <f t="shared" si="200"/>
        <v>#N/A</v>
      </c>
      <c r="I433" s="4" t="e">
        <f>IF($J$401=1,1,IF($J$434=1,1,0))</f>
        <v>#N/A</v>
      </c>
      <c r="J433" s="4">
        <f t="shared" si="205"/>
        <v>0</v>
      </c>
      <c r="K433" s="4" t="e">
        <f t="shared" si="201"/>
        <v>#N/A</v>
      </c>
      <c r="N433" s="3" t="s">
        <v>718</v>
      </c>
      <c r="O433" s="6" t="s">
        <v>782</v>
      </c>
      <c r="P433" s="6" t="s">
        <v>782</v>
      </c>
      <c r="Q433" s="4" t="str">
        <f t="shared" si="228"/>
        <v>- -</v>
      </c>
      <c r="R433" s="4" t="str">
        <f>IF(ISNUMBER(SEARCH("Category",N433)),"- -",IF(ISNUMBER(SEARCH("Skills",N433)),"- -",'Level-up'!C451))</f>
        <v>- -</v>
      </c>
      <c r="S433" s="4" t="str">
        <f t="shared" si="206"/>
        <v>- -</v>
      </c>
      <c r="T433" s="4" t="str">
        <f t="shared" si="207"/>
        <v>- -</v>
      </c>
      <c r="U433" s="4" t="str">
        <f t="shared" ca="1" si="199"/>
        <v>- -</v>
      </c>
      <c r="V433" s="4" t="str">
        <f t="shared" si="232"/>
        <v>- -</v>
      </c>
      <c r="W433" s="4" t="str">
        <f t="shared" si="227"/>
        <v>- -</v>
      </c>
      <c r="X433" s="4" t="str">
        <f t="shared" si="226"/>
        <v>- -</v>
      </c>
      <c r="Y433" s="4" t="str">
        <f t="shared" si="208"/>
        <v>- -</v>
      </c>
      <c r="Z433" s="4" t="str">
        <f t="shared" si="209"/>
        <v>- -</v>
      </c>
      <c r="AA433" s="4" t="str">
        <f t="shared" si="210"/>
        <v>- -</v>
      </c>
      <c r="AB433" s="4" t="str">
        <f t="shared" si="211"/>
        <v>- -</v>
      </c>
      <c r="AC433" s="8"/>
      <c r="AD433" s="4"/>
      <c r="AE433" s="4"/>
      <c r="AF433" s="4" t="str">
        <f t="shared" si="212"/>
        <v>- -</v>
      </c>
      <c r="AG433" s="4"/>
      <c r="AH433" s="4">
        <f>IFERROR(VLOOKUP(M433,Calculations!$AC$2:$AD$251,2,FALSE),0)</f>
        <v>0</v>
      </c>
      <c r="AI433" s="4" t="e">
        <f>VLOOKUP(N433,$N$2:$AS$620,MATCH('Character Creation'!$Z$12,Skills!$N$1:$AS$1,0),FALSE)</f>
        <v>#N/A</v>
      </c>
      <c r="AJ433" s="4" t="e">
        <f>VLOOKUP($N433,[2]Cultures!$B$4:$M$283,MATCH(AJ$1,[2]Cultures!$B$3:$M$3,0),FALSE)</f>
        <v>#N/A</v>
      </c>
      <c r="AK433" s="4" t="e">
        <f>VLOOKUP($N433,[2]Cultures!$B$4:$M$283,MATCH(AK$1,[2]Cultures!$B$3:$M$3,0),FALSE)</f>
        <v>#N/A</v>
      </c>
      <c r="AL433" s="4" t="e">
        <f>VLOOKUP($N433,[2]Cultures!$B$4:$M$283,MATCH(AL$1,[2]Cultures!$B$3:$M$3,0),FALSE)</f>
        <v>#N/A</v>
      </c>
      <c r="AM433" s="4" t="e">
        <f>VLOOKUP($N433,[2]Cultures!$B$4:$M$283,MATCH(AM$1,[2]Cultures!$B$3:$M$3,0),FALSE)</f>
        <v>#N/A</v>
      </c>
      <c r="AN433" s="4" t="e">
        <f>VLOOKUP($N433,[2]Cultures!$B$4:$M$283,MATCH(AN$1,[2]Cultures!$B$3:$M$3,0),FALSE)</f>
        <v>#N/A</v>
      </c>
      <c r="AO433" s="4" t="e">
        <f>VLOOKUP($N433,[2]Cultures!$B$4:$M$283,MATCH(AO$1,[2]Cultures!$B$3:$M$3,0),FALSE)</f>
        <v>#N/A</v>
      </c>
      <c r="AP433" s="4" t="e">
        <f>VLOOKUP($N433,[2]Cultures!$B$4:$M$283,MATCH(AP$1,[2]Cultures!$B$3:$M$3,0),FALSE)</f>
        <v>#N/A</v>
      </c>
      <c r="AQ433" s="4" t="e">
        <f>VLOOKUP($N433,[2]Cultures!$B$4:$M$283,MATCH(AQ$1,[2]Cultures!$B$3:$M$3,0),FALSE)</f>
        <v>#N/A</v>
      </c>
      <c r="AR433" s="4" t="e">
        <f>VLOOKUP($N433,[2]Cultures!$B$4:$M$283,MATCH(AR$1,[2]Cultures!$B$3:$M$3,0),FALSE)</f>
        <v>#N/A</v>
      </c>
      <c r="AS433" s="4" t="e">
        <f>VLOOKUP($N433,[2]Cultures!$B$4:$M$283,MATCH(AS$1,[2]Cultures!$B$3:$M$3,0),FALSE)</f>
        <v>#N/A</v>
      </c>
      <c r="AT433" s="4"/>
      <c r="AU433" s="4">
        <f>IF(ISNUMBER(SEARCH(N433&amp;";",Calculations!$Q$19)),VLOOKUP(Skills!N433,Calculations!$Q$2:$T$16,4,FALSE),0)</f>
        <v>0</v>
      </c>
      <c r="AV433" s="4">
        <f>IF(ISNUMBER(SEARCH(N433&amp;";",Calculations!$Q$18)),1,0)</f>
        <v>0</v>
      </c>
      <c r="AW433" s="4"/>
      <c r="AX433" s="4">
        <f>VLOOKUP($N433,$N433:$CH433,MATCH('Character Sheet'!$BJ$3,Skills!$N$1:$CH$1,0),FALSE)</f>
        <v>0</v>
      </c>
    </row>
    <row r="434" spans="1:50" x14ac:dyDescent="0.25">
      <c r="B434" s="4" t="e">
        <f t="shared" si="225"/>
        <v>#N/A</v>
      </c>
      <c r="C434" s="4" t="e">
        <f ca="1">C433</f>
        <v>#N/A</v>
      </c>
      <c r="E434" s="4"/>
      <c r="F434" s="4">
        <f t="shared" ca="1" si="204"/>
        <v>0</v>
      </c>
      <c r="G434" s="4"/>
      <c r="H434" s="4" t="e">
        <f t="shared" si="200"/>
        <v>#N/A</v>
      </c>
      <c r="I434" s="4">
        <v>0</v>
      </c>
      <c r="J434" s="4" t="e">
        <f t="shared" si="205"/>
        <v>#N/A</v>
      </c>
      <c r="K434" s="4" t="e">
        <f t="shared" si="201"/>
        <v>#N/A</v>
      </c>
      <c r="N434" s="3" t="s">
        <v>719</v>
      </c>
      <c r="O434" s="6" t="s">
        <v>782</v>
      </c>
      <c r="P434" s="6" t="s">
        <v>782</v>
      </c>
      <c r="Q434" s="4" t="str">
        <f t="shared" si="228"/>
        <v>- -</v>
      </c>
      <c r="R434" s="4" t="str">
        <f>IF(ISNUMBER(SEARCH("Category",N434)),"- -",IF(ISNUMBER(SEARCH("Skills",N434)),"- -",'Level-up'!C452))</f>
        <v>- -</v>
      </c>
      <c r="S434" s="4" t="str">
        <f t="shared" si="206"/>
        <v>- -</v>
      </c>
      <c r="T434" s="4" t="str">
        <f t="shared" si="207"/>
        <v>- -</v>
      </c>
      <c r="U434" s="4" t="str">
        <f t="shared" ca="1" si="199"/>
        <v>- -</v>
      </c>
      <c r="V434" s="4" t="str">
        <f t="shared" si="232"/>
        <v>- -</v>
      </c>
      <c r="W434" s="4" t="str">
        <f t="shared" si="227"/>
        <v>- -</v>
      </c>
      <c r="X434" s="4" t="str">
        <f t="shared" si="226"/>
        <v>- -</v>
      </c>
      <c r="Y434" s="4" t="str">
        <f t="shared" si="208"/>
        <v>- -</v>
      </c>
      <c r="Z434" s="4" t="str">
        <f t="shared" si="209"/>
        <v>- -</v>
      </c>
      <c r="AA434" s="4" t="str">
        <f t="shared" si="210"/>
        <v>- -</v>
      </c>
      <c r="AB434" s="4" t="str">
        <f t="shared" si="211"/>
        <v>- -</v>
      </c>
      <c r="AC434" s="8"/>
      <c r="AD434" s="4"/>
      <c r="AE434" s="4"/>
      <c r="AF434" s="4" t="str">
        <f t="shared" si="212"/>
        <v>- -</v>
      </c>
      <c r="AG434" s="4"/>
      <c r="AH434" s="4">
        <f>IFERROR(VLOOKUP(M434,Calculations!$AC$2:$AD$251,2,FALSE),0)</f>
        <v>0</v>
      </c>
      <c r="AI434" s="4" t="e">
        <f>VLOOKUP(N434,$N$2:$AS$620,MATCH('Character Creation'!$Z$12,Skills!$N$1:$AS$1,0),FALSE)</f>
        <v>#N/A</v>
      </c>
      <c r="AJ434" s="4" t="e">
        <f>VLOOKUP($N434,[2]Cultures!$B$4:$M$283,MATCH(AJ$1,[2]Cultures!$B$3:$M$3,0),FALSE)</f>
        <v>#N/A</v>
      </c>
      <c r="AK434" s="4" t="e">
        <f>VLOOKUP($N434,[2]Cultures!$B$4:$M$283,MATCH(AK$1,[2]Cultures!$B$3:$M$3,0),FALSE)</f>
        <v>#N/A</v>
      </c>
      <c r="AL434" s="4" t="e">
        <f>VLOOKUP($N434,[2]Cultures!$B$4:$M$283,MATCH(AL$1,[2]Cultures!$B$3:$M$3,0),FALSE)</f>
        <v>#N/A</v>
      </c>
      <c r="AM434" s="4" t="e">
        <f>VLOOKUP($N434,[2]Cultures!$B$4:$M$283,MATCH(AM$1,[2]Cultures!$B$3:$M$3,0),FALSE)</f>
        <v>#N/A</v>
      </c>
      <c r="AN434" s="4" t="e">
        <f>VLOOKUP($N434,[2]Cultures!$B$4:$M$283,MATCH(AN$1,[2]Cultures!$B$3:$M$3,0),FALSE)</f>
        <v>#N/A</v>
      </c>
      <c r="AO434" s="4" t="e">
        <f>VLOOKUP($N434,[2]Cultures!$B$4:$M$283,MATCH(AO$1,[2]Cultures!$B$3:$M$3,0),FALSE)</f>
        <v>#N/A</v>
      </c>
      <c r="AP434" s="4" t="e">
        <f>VLOOKUP($N434,[2]Cultures!$B$4:$M$283,MATCH(AP$1,[2]Cultures!$B$3:$M$3,0),FALSE)</f>
        <v>#N/A</v>
      </c>
      <c r="AQ434" s="4" t="e">
        <f>VLOOKUP($N434,[2]Cultures!$B$4:$M$283,MATCH(AQ$1,[2]Cultures!$B$3:$M$3,0),FALSE)</f>
        <v>#N/A</v>
      </c>
      <c r="AR434" s="4" t="e">
        <f>VLOOKUP($N434,[2]Cultures!$B$4:$M$283,MATCH(AR$1,[2]Cultures!$B$3:$M$3,0),FALSE)</f>
        <v>#N/A</v>
      </c>
      <c r="AS434" s="4" t="e">
        <f>VLOOKUP($N434,[2]Cultures!$B$4:$M$283,MATCH(AS$1,[2]Cultures!$B$3:$M$3,0),FALSE)</f>
        <v>#N/A</v>
      </c>
      <c r="AT434" s="4"/>
      <c r="AU434" s="4">
        <f>IF(ISNUMBER(SEARCH(N434&amp;";",Calculations!$Q$19)),VLOOKUP(Skills!N434,Calculations!$Q$2:$T$16,4,FALSE),0)</f>
        <v>0</v>
      </c>
      <c r="AV434" s="4">
        <f>IF(ISNUMBER(SEARCH(N434&amp;";",Calculations!$Q$18)),1,0)</f>
        <v>0</v>
      </c>
      <c r="AW434" s="4"/>
      <c r="AX434" s="4">
        <f>VLOOKUP($N434,$N434:$CH434,MATCH('Character Sheet'!$BJ$3,Skills!$N$1:$CH$1,0),FALSE)</f>
        <v>0</v>
      </c>
    </row>
    <row r="435" spans="1:50" x14ac:dyDescent="0.25">
      <c r="A435" s="4" t="s">
        <v>2241</v>
      </c>
      <c r="B435" s="4" t="e">
        <f t="shared" si="225"/>
        <v>#N/A</v>
      </c>
      <c r="C435" s="4" t="e">
        <f t="shared" ca="1" si="219"/>
        <v>#N/A</v>
      </c>
      <c r="E435" s="4"/>
      <c r="F435" s="4">
        <f t="shared" ca="1" si="204"/>
        <v>0</v>
      </c>
      <c r="G435" s="4"/>
      <c r="H435" s="4" t="e">
        <f t="shared" si="200"/>
        <v>#N/A</v>
      </c>
      <c r="I435" s="4" t="e">
        <f t="shared" ref="I435:I440" si="234">IF($J$401=1,1,IF($J$434=1,1,0))</f>
        <v>#N/A</v>
      </c>
      <c r="J435" s="4">
        <f t="shared" ca="1" si="205"/>
        <v>0</v>
      </c>
      <c r="K435" s="4" t="e">
        <f t="shared" ca="1" si="201"/>
        <v>#N/A</v>
      </c>
      <c r="M435" t="str">
        <f t="shared" ref="M435:M440" ca="1" si="235">N435</f>
        <v>Darkness</v>
      </c>
      <c r="N435" s="3" t="str">
        <f ca="1">'Character Sheet'!COP43</f>
        <v>Darkness</v>
      </c>
      <c r="O435" s="4" t="str">
        <f t="shared" ref="O435:O440" si="236">RealmStat&amp;"/"&amp;RealmStat</f>
        <v>Em/Em</v>
      </c>
      <c r="P435" s="4" t="s">
        <v>801</v>
      </c>
      <c r="Q435" s="4" t="e">
        <f t="shared" ca="1" si="228"/>
        <v>#N/A</v>
      </c>
      <c r="R435" s="4">
        <f ca="1">IF(ISNUMBER(SEARCH("Category",N435)),"- -",IF(ISNUMBER(SEARCH("Skills",N435)),"- -",'Level-up'!C453))</f>
        <v>0</v>
      </c>
      <c r="S435" s="4" t="e">
        <f t="shared" ca="1" si="206"/>
        <v>#N/A</v>
      </c>
      <c r="T435" s="4" t="e">
        <f t="shared" ca="1" si="207"/>
        <v>#N/A</v>
      </c>
      <c r="U435" s="4">
        <f t="shared" ref="U435:U498" ca="1" si="237">IFERROR(INDIRECT(LEFT(O435,FIND("/",O435)-1))+INDIRECT(MID(O435,FIND("/",O435)+1,2))+INDIRECT(P435),"- -")</f>
        <v>10</v>
      </c>
      <c r="V435" s="4">
        <f t="shared" ref="V435:V442" ca="1" si="238">IF(ISNUMBER(SEARCH("Category",N435)),"- -",IF(ISNUMBER(SEARCH("Skills",N435)),"- -",IF(AU435&gt;0,AU435,IF($AU$433&gt;0,$AU$433,$AU$400))))</f>
        <v>0</v>
      </c>
      <c r="W435" s="4">
        <f t="shared" ca="1" si="227"/>
        <v>0</v>
      </c>
      <c r="X435" s="4">
        <f t="shared" ca="1" si="226"/>
        <v>0</v>
      </c>
      <c r="Y435" s="4">
        <f t="shared" ca="1" si="208"/>
        <v>0</v>
      </c>
      <c r="Z435" s="4">
        <f t="shared" ca="1" si="209"/>
        <v>0</v>
      </c>
      <c r="AA435" s="4">
        <f t="shared" ca="1" si="210"/>
        <v>0</v>
      </c>
      <c r="AB435" s="4">
        <f t="shared" ca="1" si="211"/>
        <v>0</v>
      </c>
      <c r="AC435" s="8"/>
      <c r="AD435" s="4"/>
      <c r="AE435" s="4"/>
      <c r="AF435" s="4" t="e">
        <f t="shared" ca="1" si="212"/>
        <v>#N/A</v>
      </c>
      <c r="AG435" s="4" t="s">
        <v>2078</v>
      </c>
      <c r="AH435" s="4">
        <f ca="1">IFERROR(VLOOKUP(M435,Calculations!$AC$2:$AD$251,2,FALSE),0)</f>
        <v>0</v>
      </c>
      <c r="AI435" s="4" t="e">
        <f ca="1">VLOOKUP(N435,$N$2:$AS$620,MATCH('Character Creation'!$Z$12,Skills!$N$1:$AS$1,0),FALSE)</f>
        <v>#N/A</v>
      </c>
      <c r="AJ435" s="4" t="e">
        <f ca="1">VLOOKUP($N435,[2]Cultures!$B$4:$M$283,MATCH(AJ$1,[2]Cultures!$B$3:$M$3,0),FALSE)</f>
        <v>#N/A</v>
      </c>
      <c r="AK435" s="4" t="e">
        <f ca="1">VLOOKUP($N435,[2]Cultures!$B$4:$M$283,MATCH(AK$1,[2]Cultures!$B$3:$M$3,0),FALSE)</f>
        <v>#N/A</v>
      </c>
      <c r="AL435" s="4" t="e">
        <f ca="1">VLOOKUP($N435,[2]Cultures!$B$4:$M$283,MATCH(AL$1,[2]Cultures!$B$3:$M$3,0),FALSE)</f>
        <v>#N/A</v>
      </c>
      <c r="AM435" s="4" t="e">
        <f ca="1">VLOOKUP($N435,[2]Cultures!$B$4:$M$283,MATCH(AM$1,[2]Cultures!$B$3:$M$3,0),FALSE)</f>
        <v>#N/A</v>
      </c>
      <c r="AN435" s="4" t="e">
        <f ca="1">VLOOKUP($N435,[2]Cultures!$B$4:$M$283,MATCH(AN$1,[2]Cultures!$B$3:$M$3,0),FALSE)</f>
        <v>#N/A</v>
      </c>
      <c r="AO435" s="4" t="e">
        <f ca="1">VLOOKUP($N435,[2]Cultures!$B$4:$M$283,MATCH(AO$1,[2]Cultures!$B$3:$M$3,0),FALSE)</f>
        <v>#N/A</v>
      </c>
      <c r="AP435" s="4" t="e">
        <f ca="1">VLOOKUP($N435,[2]Cultures!$B$4:$M$283,MATCH(AP$1,[2]Cultures!$B$3:$M$3,0),FALSE)</f>
        <v>#N/A</v>
      </c>
      <c r="AQ435" s="4" t="e">
        <f ca="1">VLOOKUP($N435,[2]Cultures!$B$4:$M$283,MATCH(AQ$1,[2]Cultures!$B$3:$M$3,0),FALSE)</f>
        <v>#N/A</v>
      </c>
      <c r="AR435" s="4" t="e">
        <f ca="1">VLOOKUP($N435,[2]Cultures!$B$4:$M$283,MATCH(AR$1,[2]Cultures!$B$3:$M$3,0),FALSE)</f>
        <v>#N/A</v>
      </c>
      <c r="AS435" s="4" t="e">
        <f ca="1">VLOOKUP($N435,[2]Cultures!$B$4:$M$283,MATCH(AS$1,[2]Cultures!$B$3:$M$3,0),FALSE)</f>
        <v>#N/A</v>
      </c>
      <c r="AT435" s="4"/>
      <c r="AU435" s="4">
        <f ca="1">IF(ISNUMBER(SEARCH(N435&amp;";",Calculations!$Q$19)),VLOOKUP(Skills!N435,Calculations!$Q$2:$T$16,4,FALSE),0)</f>
        <v>0</v>
      </c>
      <c r="AV435" s="4">
        <f ca="1">IF(ISNUMBER(SEARCH(N435&amp;";",Calculations!$Q$18)),1,0)</f>
        <v>0</v>
      </c>
      <c r="AW435" s="4">
        <f t="shared" ref="AW435:AW440" ca="1" si="239">IF($AV$400=1,1,IF($AV$402=1,1,IF($AV$433=1,1,AV435)))</f>
        <v>0</v>
      </c>
      <c r="AX435" s="4">
        <f ca="1">VLOOKUP($N435,$N435:$CH435,MATCH('Character Sheet'!$BJ$3,Skills!$N$1:$CH$1,0),FALSE)</f>
        <v>0</v>
      </c>
    </row>
    <row r="436" spans="1:50" x14ac:dyDescent="0.25">
      <c r="A436" s="4" t="s">
        <v>2241</v>
      </c>
      <c r="B436" s="4" t="e">
        <f t="shared" si="225"/>
        <v>#N/A</v>
      </c>
      <c r="C436" s="4" t="e">
        <f t="shared" ca="1" si="219"/>
        <v>#N/A</v>
      </c>
      <c r="E436" s="4"/>
      <c r="F436" s="4">
        <f t="shared" ca="1" si="204"/>
        <v>0</v>
      </c>
      <c r="G436" s="4"/>
      <c r="H436" s="4" t="e">
        <f t="shared" ref="H436:H499" si="240">H435+I436</f>
        <v>#N/A</v>
      </c>
      <c r="I436" s="4" t="e">
        <f t="shared" si="234"/>
        <v>#N/A</v>
      </c>
      <c r="J436" s="4">
        <f t="shared" ca="1" si="205"/>
        <v>0</v>
      </c>
      <c r="K436" s="4" t="e">
        <f t="shared" ca="1" si="201"/>
        <v>#N/A</v>
      </c>
      <c r="M436" t="str">
        <f t="shared" ca="1" si="235"/>
        <v>Dark Summons</v>
      </c>
      <c r="N436" s="3" t="str">
        <f ca="1">'Character Sheet'!COP44</f>
        <v>Dark Summons</v>
      </c>
      <c r="O436" s="4" t="str">
        <f t="shared" si="236"/>
        <v>Em/Em</v>
      </c>
      <c r="P436" s="4" t="s">
        <v>801</v>
      </c>
      <c r="Q436" s="4" t="e">
        <f t="shared" ca="1" si="228"/>
        <v>#N/A</v>
      </c>
      <c r="R436" s="4">
        <f ca="1">IF(ISNUMBER(SEARCH("Category",N436)),"- -",IF(ISNUMBER(SEARCH("Skills",N436)),"- -",'Level-up'!C454))</f>
        <v>0</v>
      </c>
      <c r="S436" s="4" t="e">
        <f t="shared" ca="1" si="206"/>
        <v>#N/A</v>
      </c>
      <c r="T436" s="4" t="e">
        <f t="shared" ca="1" si="207"/>
        <v>#N/A</v>
      </c>
      <c r="U436" s="4">
        <f t="shared" ca="1" si="237"/>
        <v>10</v>
      </c>
      <c r="V436" s="4">
        <f t="shared" ca="1" si="238"/>
        <v>0</v>
      </c>
      <c r="W436" s="4">
        <f t="shared" ca="1" si="227"/>
        <v>0</v>
      </c>
      <c r="X436" s="4">
        <f t="shared" ca="1" si="226"/>
        <v>0</v>
      </c>
      <c r="Y436" s="4">
        <f t="shared" ca="1" si="208"/>
        <v>0</v>
      </c>
      <c r="Z436" s="4">
        <f t="shared" ca="1" si="209"/>
        <v>0</v>
      </c>
      <c r="AA436" s="4">
        <f t="shared" ca="1" si="210"/>
        <v>0</v>
      </c>
      <c r="AB436" s="4">
        <f t="shared" ca="1" si="211"/>
        <v>0</v>
      </c>
      <c r="AC436" s="8"/>
      <c r="AD436" s="4"/>
      <c r="AE436" s="4"/>
      <c r="AF436" s="4" t="e">
        <f t="shared" ca="1" si="212"/>
        <v>#N/A</v>
      </c>
      <c r="AG436" s="4" t="s">
        <v>2078</v>
      </c>
      <c r="AH436" s="4">
        <f ca="1">IFERROR(VLOOKUP(M436,Calculations!$AC$2:$AD$251,2,FALSE),0)</f>
        <v>0</v>
      </c>
      <c r="AI436" s="4" t="e">
        <f ca="1">VLOOKUP(N436,$N$2:$AS$620,MATCH('Character Creation'!$Z$12,Skills!$N$1:$AS$1,0),FALSE)</f>
        <v>#N/A</v>
      </c>
      <c r="AJ436" s="4" t="e">
        <f ca="1">VLOOKUP($N436,[2]Cultures!$B$4:$M$283,MATCH(AJ$1,[2]Cultures!$B$3:$M$3,0),FALSE)</f>
        <v>#N/A</v>
      </c>
      <c r="AK436" s="4" t="e">
        <f ca="1">VLOOKUP($N436,[2]Cultures!$B$4:$M$283,MATCH(AK$1,[2]Cultures!$B$3:$M$3,0),FALSE)</f>
        <v>#N/A</v>
      </c>
      <c r="AL436" s="4" t="e">
        <f ca="1">VLOOKUP($N436,[2]Cultures!$B$4:$M$283,MATCH(AL$1,[2]Cultures!$B$3:$M$3,0),FALSE)</f>
        <v>#N/A</v>
      </c>
      <c r="AM436" s="4" t="e">
        <f ca="1">VLOOKUP($N436,[2]Cultures!$B$4:$M$283,MATCH(AM$1,[2]Cultures!$B$3:$M$3,0),FALSE)</f>
        <v>#N/A</v>
      </c>
      <c r="AN436" s="4" t="e">
        <f ca="1">VLOOKUP($N436,[2]Cultures!$B$4:$M$283,MATCH(AN$1,[2]Cultures!$B$3:$M$3,0),FALSE)</f>
        <v>#N/A</v>
      </c>
      <c r="AO436" s="4" t="e">
        <f ca="1">VLOOKUP($N436,[2]Cultures!$B$4:$M$283,MATCH(AO$1,[2]Cultures!$B$3:$M$3,0),FALSE)</f>
        <v>#N/A</v>
      </c>
      <c r="AP436" s="4" t="e">
        <f ca="1">VLOOKUP($N436,[2]Cultures!$B$4:$M$283,MATCH(AP$1,[2]Cultures!$B$3:$M$3,0),FALSE)</f>
        <v>#N/A</v>
      </c>
      <c r="AQ436" s="4" t="e">
        <f ca="1">VLOOKUP($N436,[2]Cultures!$B$4:$M$283,MATCH(AQ$1,[2]Cultures!$B$3:$M$3,0),FALSE)</f>
        <v>#N/A</v>
      </c>
      <c r="AR436" s="4" t="e">
        <f ca="1">VLOOKUP($N436,[2]Cultures!$B$4:$M$283,MATCH(AR$1,[2]Cultures!$B$3:$M$3,0),FALSE)</f>
        <v>#N/A</v>
      </c>
      <c r="AS436" s="4" t="e">
        <f ca="1">VLOOKUP($N436,[2]Cultures!$B$4:$M$283,MATCH(AS$1,[2]Cultures!$B$3:$M$3,0),FALSE)</f>
        <v>#N/A</v>
      </c>
      <c r="AT436" s="4"/>
      <c r="AU436" s="4">
        <f ca="1">IF(ISNUMBER(SEARCH(N436&amp;";",Calculations!$Q$19)),VLOOKUP(Skills!N436,Calculations!$Q$2:$T$16,4,FALSE),0)</f>
        <v>0</v>
      </c>
      <c r="AV436" s="4">
        <f ca="1">IF(ISNUMBER(SEARCH(N436&amp;";",Calculations!$Q$18)),1,0)</f>
        <v>0</v>
      </c>
      <c r="AW436" s="4">
        <f t="shared" ca="1" si="239"/>
        <v>0</v>
      </c>
      <c r="AX436" s="4">
        <f ca="1">VLOOKUP($N436,$N436:$CH436,MATCH('Character Sheet'!$BJ$3,Skills!$N$1:$CH$1,0),FALSE)</f>
        <v>0</v>
      </c>
    </row>
    <row r="437" spans="1:50" x14ac:dyDescent="0.25">
      <c r="A437" s="4" t="s">
        <v>2241</v>
      </c>
      <c r="B437" s="4" t="e">
        <f t="shared" si="225"/>
        <v>#N/A</v>
      </c>
      <c r="C437" s="4" t="e">
        <f t="shared" ca="1" si="219"/>
        <v>#N/A</v>
      </c>
      <c r="E437" s="4"/>
      <c r="F437" s="4">
        <f t="shared" ca="1" si="204"/>
        <v>0</v>
      </c>
      <c r="G437" s="4"/>
      <c r="H437" s="4" t="e">
        <f t="shared" si="240"/>
        <v>#N/A</v>
      </c>
      <c r="I437" s="4" t="e">
        <f t="shared" si="234"/>
        <v>#N/A</v>
      </c>
      <c r="J437" s="4">
        <f t="shared" ca="1" si="205"/>
        <v>0</v>
      </c>
      <c r="K437" s="4" t="e">
        <f t="shared" ca="1" si="201"/>
        <v>#N/A</v>
      </c>
      <c r="M437" t="str">
        <f t="shared" ca="1" si="235"/>
        <v>Essence Twisting</v>
      </c>
      <c r="N437" s="3" t="str">
        <f ca="1">'Character Sheet'!COP45</f>
        <v>Essence Twisting</v>
      </c>
      <c r="O437" s="4" t="str">
        <f t="shared" si="236"/>
        <v>Em/Em</v>
      </c>
      <c r="P437" s="4" t="s">
        <v>801</v>
      </c>
      <c r="Q437" s="4" t="e">
        <f t="shared" ca="1" si="228"/>
        <v>#N/A</v>
      </c>
      <c r="R437" s="4">
        <f ca="1">IF(ISNUMBER(SEARCH("Category",N437)),"- -",IF(ISNUMBER(SEARCH("Skills",N437)),"- -",'Level-up'!C455))</f>
        <v>0</v>
      </c>
      <c r="S437" s="4" t="e">
        <f t="shared" ca="1" si="206"/>
        <v>#N/A</v>
      </c>
      <c r="T437" s="4" t="e">
        <f t="shared" ca="1" si="207"/>
        <v>#N/A</v>
      </c>
      <c r="U437" s="4">
        <f t="shared" ca="1" si="237"/>
        <v>10</v>
      </c>
      <c r="V437" s="4">
        <f t="shared" ca="1" si="238"/>
        <v>0</v>
      </c>
      <c r="W437" s="4">
        <f t="shared" ca="1" si="227"/>
        <v>0</v>
      </c>
      <c r="X437" s="4">
        <f t="shared" ca="1" si="226"/>
        <v>0</v>
      </c>
      <c r="Y437" s="4">
        <f t="shared" ca="1" si="208"/>
        <v>0</v>
      </c>
      <c r="Z437" s="4">
        <f t="shared" ca="1" si="209"/>
        <v>0</v>
      </c>
      <c r="AA437" s="4">
        <f t="shared" ca="1" si="210"/>
        <v>0</v>
      </c>
      <c r="AB437" s="4">
        <f t="shared" ca="1" si="211"/>
        <v>0</v>
      </c>
      <c r="AC437" s="8"/>
      <c r="AD437" s="4"/>
      <c r="AE437" s="4"/>
      <c r="AF437" s="4" t="e">
        <f t="shared" ca="1" si="212"/>
        <v>#N/A</v>
      </c>
      <c r="AG437" s="4" t="s">
        <v>2078</v>
      </c>
      <c r="AH437" s="4">
        <f ca="1">IFERROR(VLOOKUP(M437,Calculations!$AC$2:$AD$251,2,FALSE),0)</f>
        <v>0</v>
      </c>
      <c r="AI437" s="4" t="e">
        <f ca="1">VLOOKUP(N437,$N$2:$AS$620,MATCH('Character Creation'!$Z$12,Skills!$N$1:$AS$1,0),FALSE)</f>
        <v>#N/A</v>
      </c>
      <c r="AJ437" s="4" t="e">
        <f ca="1">VLOOKUP($N437,[2]Cultures!$B$4:$M$283,MATCH(AJ$1,[2]Cultures!$B$3:$M$3,0),FALSE)</f>
        <v>#N/A</v>
      </c>
      <c r="AK437" s="4" t="e">
        <f ca="1">VLOOKUP($N437,[2]Cultures!$B$4:$M$283,MATCH(AK$1,[2]Cultures!$B$3:$M$3,0),FALSE)</f>
        <v>#N/A</v>
      </c>
      <c r="AL437" s="4" t="e">
        <f ca="1">VLOOKUP($N437,[2]Cultures!$B$4:$M$283,MATCH(AL$1,[2]Cultures!$B$3:$M$3,0),FALSE)</f>
        <v>#N/A</v>
      </c>
      <c r="AM437" s="4" t="e">
        <f ca="1">VLOOKUP($N437,[2]Cultures!$B$4:$M$283,MATCH(AM$1,[2]Cultures!$B$3:$M$3,0),FALSE)</f>
        <v>#N/A</v>
      </c>
      <c r="AN437" s="4" t="e">
        <f ca="1">VLOOKUP($N437,[2]Cultures!$B$4:$M$283,MATCH(AN$1,[2]Cultures!$B$3:$M$3,0),FALSE)</f>
        <v>#N/A</v>
      </c>
      <c r="AO437" s="4" t="e">
        <f ca="1">VLOOKUP($N437,[2]Cultures!$B$4:$M$283,MATCH(AO$1,[2]Cultures!$B$3:$M$3,0),FALSE)</f>
        <v>#N/A</v>
      </c>
      <c r="AP437" s="4" t="e">
        <f ca="1">VLOOKUP($N437,[2]Cultures!$B$4:$M$283,MATCH(AP$1,[2]Cultures!$B$3:$M$3,0),FALSE)</f>
        <v>#N/A</v>
      </c>
      <c r="AQ437" s="4" t="e">
        <f ca="1">VLOOKUP($N437,[2]Cultures!$B$4:$M$283,MATCH(AQ$1,[2]Cultures!$B$3:$M$3,0),FALSE)</f>
        <v>#N/A</v>
      </c>
      <c r="AR437" s="4" t="e">
        <f ca="1">VLOOKUP($N437,[2]Cultures!$B$4:$M$283,MATCH(AR$1,[2]Cultures!$B$3:$M$3,0),FALSE)</f>
        <v>#N/A</v>
      </c>
      <c r="AS437" s="4" t="e">
        <f ca="1">VLOOKUP($N437,[2]Cultures!$B$4:$M$283,MATCH(AS$1,[2]Cultures!$B$3:$M$3,0),FALSE)</f>
        <v>#N/A</v>
      </c>
      <c r="AT437" s="4"/>
      <c r="AU437" s="4">
        <f ca="1">IF(ISNUMBER(SEARCH(N437&amp;";",Calculations!$Q$19)),VLOOKUP(Skills!N437,Calculations!$Q$2:$T$16,4,FALSE),0)</f>
        <v>0</v>
      </c>
      <c r="AV437" s="4">
        <f ca="1">IF(ISNUMBER(SEARCH(N437&amp;";",Calculations!$Q$18)),1,0)</f>
        <v>0</v>
      </c>
      <c r="AW437" s="4">
        <f t="shared" ca="1" si="239"/>
        <v>0</v>
      </c>
      <c r="AX437" s="4">
        <f ca="1">VLOOKUP($N437,$N437:$CH437,MATCH('Character Sheet'!$BJ$3,Skills!$N$1:$CH$1,0),FALSE)</f>
        <v>0</v>
      </c>
    </row>
    <row r="438" spans="1:50" x14ac:dyDescent="0.25">
      <c r="A438" s="4" t="s">
        <v>2241</v>
      </c>
      <c r="B438" s="4" t="e">
        <f t="shared" si="225"/>
        <v>#N/A</v>
      </c>
      <c r="C438" s="4" t="e">
        <f t="shared" ca="1" si="219"/>
        <v>#N/A</v>
      </c>
      <c r="E438" s="4"/>
      <c r="F438" s="4">
        <f t="shared" ca="1" si="204"/>
        <v>0</v>
      </c>
      <c r="G438" s="4"/>
      <c r="H438" s="4" t="e">
        <f t="shared" si="240"/>
        <v>#N/A</v>
      </c>
      <c r="I438" s="4" t="e">
        <f t="shared" si="234"/>
        <v>#N/A</v>
      </c>
      <c r="J438" s="4">
        <f t="shared" ca="1" si="205"/>
        <v>0</v>
      </c>
      <c r="K438" s="4" t="e">
        <f t="shared" ca="1" si="201"/>
        <v>#N/A</v>
      </c>
      <c r="M438" t="str">
        <f t="shared" ca="1" si="235"/>
        <v>Foul Transformations</v>
      </c>
      <c r="N438" s="3" t="str">
        <f ca="1">'Character Sheet'!COP46</f>
        <v>Foul Transformations</v>
      </c>
      <c r="O438" s="4" t="str">
        <f t="shared" si="236"/>
        <v>Em/Em</v>
      </c>
      <c r="P438" s="4" t="s">
        <v>801</v>
      </c>
      <c r="Q438" s="4" t="e">
        <f t="shared" ca="1" si="228"/>
        <v>#N/A</v>
      </c>
      <c r="R438" s="4">
        <f ca="1">IF(ISNUMBER(SEARCH("Category",N438)),"- -",IF(ISNUMBER(SEARCH("Skills",N438)),"- -",'Level-up'!C456))</f>
        <v>0</v>
      </c>
      <c r="S438" s="4" t="e">
        <f t="shared" ca="1" si="206"/>
        <v>#N/A</v>
      </c>
      <c r="T438" s="4" t="e">
        <f t="shared" ca="1" si="207"/>
        <v>#N/A</v>
      </c>
      <c r="U438" s="4">
        <f t="shared" ca="1" si="237"/>
        <v>10</v>
      </c>
      <c r="V438" s="4">
        <f t="shared" ca="1" si="238"/>
        <v>0</v>
      </c>
      <c r="W438" s="4">
        <f t="shared" ca="1" si="227"/>
        <v>0</v>
      </c>
      <c r="X438" s="4">
        <f t="shared" ca="1" si="226"/>
        <v>0</v>
      </c>
      <c r="Y438" s="4">
        <f t="shared" ca="1" si="208"/>
        <v>0</v>
      </c>
      <c r="Z438" s="4">
        <f t="shared" ca="1" si="209"/>
        <v>0</v>
      </c>
      <c r="AA438" s="4">
        <f t="shared" ca="1" si="210"/>
        <v>0</v>
      </c>
      <c r="AB438" s="4">
        <f t="shared" ca="1" si="211"/>
        <v>0</v>
      </c>
      <c r="AC438" s="8"/>
      <c r="AD438" s="4"/>
      <c r="AE438" s="4"/>
      <c r="AF438" s="4" t="e">
        <f t="shared" ca="1" si="212"/>
        <v>#N/A</v>
      </c>
      <c r="AG438" s="4" t="s">
        <v>2078</v>
      </c>
      <c r="AH438" s="4">
        <f ca="1">IFERROR(VLOOKUP(M438,Calculations!$AC$2:$AD$251,2,FALSE),0)</f>
        <v>0</v>
      </c>
      <c r="AI438" s="4" t="e">
        <f ca="1">VLOOKUP(N438,$N$2:$AS$620,MATCH('Character Creation'!$Z$12,Skills!$N$1:$AS$1,0),FALSE)</f>
        <v>#N/A</v>
      </c>
      <c r="AJ438" s="4" t="e">
        <f ca="1">VLOOKUP($N438,[2]Cultures!$B$4:$M$283,MATCH(AJ$1,[2]Cultures!$B$3:$M$3,0),FALSE)</f>
        <v>#N/A</v>
      </c>
      <c r="AK438" s="4" t="e">
        <f ca="1">VLOOKUP($N438,[2]Cultures!$B$4:$M$283,MATCH(AK$1,[2]Cultures!$B$3:$M$3,0),FALSE)</f>
        <v>#N/A</v>
      </c>
      <c r="AL438" s="4" t="e">
        <f ca="1">VLOOKUP($N438,[2]Cultures!$B$4:$M$283,MATCH(AL$1,[2]Cultures!$B$3:$M$3,0),FALSE)</f>
        <v>#N/A</v>
      </c>
      <c r="AM438" s="4" t="e">
        <f ca="1">VLOOKUP($N438,[2]Cultures!$B$4:$M$283,MATCH(AM$1,[2]Cultures!$B$3:$M$3,0),FALSE)</f>
        <v>#N/A</v>
      </c>
      <c r="AN438" s="4" t="e">
        <f ca="1">VLOOKUP($N438,[2]Cultures!$B$4:$M$283,MATCH(AN$1,[2]Cultures!$B$3:$M$3,0),FALSE)</f>
        <v>#N/A</v>
      </c>
      <c r="AO438" s="4" t="e">
        <f ca="1">VLOOKUP($N438,[2]Cultures!$B$4:$M$283,MATCH(AO$1,[2]Cultures!$B$3:$M$3,0),FALSE)</f>
        <v>#N/A</v>
      </c>
      <c r="AP438" s="4" t="e">
        <f ca="1">VLOOKUP($N438,[2]Cultures!$B$4:$M$283,MATCH(AP$1,[2]Cultures!$B$3:$M$3,0),FALSE)</f>
        <v>#N/A</v>
      </c>
      <c r="AQ438" s="4" t="e">
        <f ca="1">VLOOKUP($N438,[2]Cultures!$B$4:$M$283,MATCH(AQ$1,[2]Cultures!$B$3:$M$3,0),FALSE)</f>
        <v>#N/A</v>
      </c>
      <c r="AR438" s="4" t="e">
        <f ca="1">VLOOKUP($N438,[2]Cultures!$B$4:$M$283,MATCH(AR$1,[2]Cultures!$B$3:$M$3,0),FALSE)</f>
        <v>#N/A</v>
      </c>
      <c r="AS438" s="4" t="e">
        <f ca="1">VLOOKUP($N438,[2]Cultures!$B$4:$M$283,MATCH(AS$1,[2]Cultures!$B$3:$M$3,0),FALSE)</f>
        <v>#N/A</v>
      </c>
      <c r="AT438" s="4"/>
      <c r="AU438" s="4">
        <f ca="1">IF(ISNUMBER(SEARCH(N438&amp;";",Calculations!$Q$19)),VLOOKUP(Skills!N438,Calculations!$Q$2:$T$16,4,FALSE),0)</f>
        <v>0</v>
      </c>
      <c r="AV438" s="4">
        <f ca="1">IF(ISNUMBER(SEARCH(N438&amp;";",Calculations!$Q$18)),1,0)</f>
        <v>0</v>
      </c>
      <c r="AW438" s="4">
        <f t="shared" ca="1" si="239"/>
        <v>0</v>
      </c>
      <c r="AX438" s="4">
        <f ca="1">VLOOKUP($N438,$N438:$CH438,MATCH('Character Sheet'!$BJ$3,Skills!$N$1:$CH$1,0),FALSE)</f>
        <v>0</v>
      </c>
    </row>
    <row r="439" spans="1:50" x14ac:dyDescent="0.25">
      <c r="A439" s="4" t="s">
        <v>2241</v>
      </c>
      <c r="B439" s="4" t="e">
        <f t="shared" si="225"/>
        <v>#N/A</v>
      </c>
      <c r="C439" s="4" t="e">
        <f t="shared" ca="1" si="219"/>
        <v>#N/A</v>
      </c>
      <c r="E439" s="4"/>
      <c r="F439" s="4">
        <f t="shared" ca="1" si="204"/>
        <v>0</v>
      </c>
      <c r="G439" s="4"/>
      <c r="H439" s="4" t="e">
        <f t="shared" si="240"/>
        <v>#N/A</v>
      </c>
      <c r="I439" s="4" t="e">
        <f t="shared" si="234"/>
        <v>#N/A</v>
      </c>
      <c r="J439" s="4">
        <f t="shared" ca="1" si="205"/>
        <v>0</v>
      </c>
      <c r="K439" s="4" t="e">
        <f t="shared" ref="K439:K502" ca="1" si="241">IF(ISNUMBER(SEARCH("Category",N439)),K440,AI439)</f>
        <v>#N/A</v>
      </c>
      <c r="M439" t="str">
        <f t="shared" ca="1" si="235"/>
        <v>Necromancy Mastery</v>
      </c>
      <c r="N439" s="3" t="str">
        <f ca="1">'Character Sheet'!COP47</f>
        <v>Necromancy Mastery</v>
      </c>
      <c r="O439" s="4" t="str">
        <f t="shared" si="236"/>
        <v>Em/Em</v>
      </c>
      <c r="P439" s="4" t="s">
        <v>801</v>
      </c>
      <c r="Q439" s="4" t="e">
        <f t="shared" ca="1" si="228"/>
        <v>#N/A</v>
      </c>
      <c r="R439" s="4">
        <f ca="1">IF(ISNUMBER(SEARCH("Category",N439)),"- -",IF(ISNUMBER(SEARCH("Skills",N439)),"- -",'Level-up'!C457))</f>
        <v>0</v>
      </c>
      <c r="S439" s="4" t="e">
        <f t="shared" ca="1" si="206"/>
        <v>#N/A</v>
      </c>
      <c r="T439" s="4" t="e">
        <f t="shared" ca="1" si="207"/>
        <v>#N/A</v>
      </c>
      <c r="U439" s="4">
        <f t="shared" ca="1" si="237"/>
        <v>10</v>
      </c>
      <c r="V439" s="4">
        <f t="shared" ca="1" si="238"/>
        <v>0</v>
      </c>
      <c r="W439" s="4">
        <f t="shared" ca="1" si="227"/>
        <v>0</v>
      </c>
      <c r="X439" s="4">
        <f t="shared" ca="1" si="226"/>
        <v>0</v>
      </c>
      <c r="Y439" s="4">
        <f t="shared" ca="1" si="208"/>
        <v>0</v>
      </c>
      <c r="Z439" s="4">
        <f t="shared" ca="1" si="209"/>
        <v>0</v>
      </c>
      <c r="AA439" s="4">
        <f t="shared" ca="1" si="210"/>
        <v>0</v>
      </c>
      <c r="AB439" s="4">
        <f t="shared" ca="1" si="211"/>
        <v>0</v>
      </c>
      <c r="AC439" s="8"/>
      <c r="AD439" s="4"/>
      <c r="AE439" s="4"/>
      <c r="AF439" s="4" t="e">
        <f t="shared" ca="1" si="212"/>
        <v>#N/A</v>
      </c>
      <c r="AG439" s="4" t="s">
        <v>2078</v>
      </c>
      <c r="AH439" s="4">
        <f ca="1">IFERROR(VLOOKUP(M439,Calculations!$AC$2:$AD$251,2,FALSE),0)</f>
        <v>0</v>
      </c>
      <c r="AI439" s="4" t="e">
        <f ca="1">VLOOKUP(N439,$N$2:$AS$620,MATCH('Character Creation'!$Z$12,Skills!$N$1:$AS$1,0),FALSE)</f>
        <v>#N/A</v>
      </c>
      <c r="AJ439" s="4" t="e">
        <f ca="1">VLOOKUP($N439,[2]Cultures!$B$4:$M$283,MATCH(AJ$1,[2]Cultures!$B$3:$M$3,0),FALSE)</f>
        <v>#N/A</v>
      </c>
      <c r="AK439" s="4" t="e">
        <f ca="1">VLOOKUP($N439,[2]Cultures!$B$4:$M$283,MATCH(AK$1,[2]Cultures!$B$3:$M$3,0),FALSE)</f>
        <v>#N/A</v>
      </c>
      <c r="AL439" s="4" t="e">
        <f ca="1">VLOOKUP($N439,[2]Cultures!$B$4:$M$283,MATCH(AL$1,[2]Cultures!$B$3:$M$3,0),FALSE)</f>
        <v>#N/A</v>
      </c>
      <c r="AM439" s="4" t="e">
        <f ca="1">VLOOKUP($N439,[2]Cultures!$B$4:$M$283,MATCH(AM$1,[2]Cultures!$B$3:$M$3,0),FALSE)</f>
        <v>#N/A</v>
      </c>
      <c r="AN439" s="4" t="e">
        <f ca="1">VLOOKUP($N439,[2]Cultures!$B$4:$M$283,MATCH(AN$1,[2]Cultures!$B$3:$M$3,0),FALSE)</f>
        <v>#N/A</v>
      </c>
      <c r="AO439" s="4" t="e">
        <f ca="1">VLOOKUP($N439,[2]Cultures!$B$4:$M$283,MATCH(AO$1,[2]Cultures!$B$3:$M$3,0),FALSE)</f>
        <v>#N/A</v>
      </c>
      <c r="AP439" s="4" t="e">
        <f ca="1">VLOOKUP($N439,[2]Cultures!$B$4:$M$283,MATCH(AP$1,[2]Cultures!$B$3:$M$3,0),FALSE)</f>
        <v>#N/A</v>
      </c>
      <c r="AQ439" s="4" t="e">
        <f ca="1">VLOOKUP($N439,[2]Cultures!$B$4:$M$283,MATCH(AQ$1,[2]Cultures!$B$3:$M$3,0),FALSE)</f>
        <v>#N/A</v>
      </c>
      <c r="AR439" s="4" t="e">
        <f ca="1">VLOOKUP($N439,[2]Cultures!$B$4:$M$283,MATCH(AR$1,[2]Cultures!$B$3:$M$3,0),FALSE)</f>
        <v>#N/A</v>
      </c>
      <c r="AS439" s="4" t="e">
        <f ca="1">VLOOKUP($N439,[2]Cultures!$B$4:$M$283,MATCH(AS$1,[2]Cultures!$B$3:$M$3,0),FALSE)</f>
        <v>#N/A</v>
      </c>
      <c r="AT439" s="4"/>
      <c r="AU439" s="4">
        <f ca="1">IF(ISNUMBER(SEARCH(N439&amp;";",Calculations!$Q$19)),VLOOKUP(Skills!N439,Calculations!$Q$2:$T$16,4,FALSE),0)</f>
        <v>0</v>
      </c>
      <c r="AV439" s="4">
        <f ca="1">IF(ISNUMBER(SEARCH(N439&amp;";",Calculations!$Q$18)),1,0)</f>
        <v>0</v>
      </c>
      <c r="AW439" s="4">
        <f t="shared" ca="1" si="239"/>
        <v>0</v>
      </c>
      <c r="AX439" s="4">
        <f ca="1">VLOOKUP($N439,$N439:$CH439,MATCH('Character Sheet'!$BJ$3,Skills!$N$1:$CH$1,0),FALSE)</f>
        <v>0</v>
      </c>
    </row>
    <row r="440" spans="1:50" x14ac:dyDescent="0.25">
      <c r="A440" s="4" t="s">
        <v>2241</v>
      </c>
      <c r="B440" s="4" t="e">
        <f t="shared" si="225"/>
        <v>#N/A</v>
      </c>
      <c r="C440" s="4" t="e">
        <f t="shared" ca="1" si="219"/>
        <v>#N/A</v>
      </c>
      <c r="E440" s="4"/>
      <c r="F440" s="4">
        <f t="shared" ca="1" si="204"/>
        <v>0</v>
      </c>
      <c r="G440" s="4"/>
      <c r="H440" s="4" t="e">
        <f t="shared" si="240"/>
        <v>#N/A</v>
      </c>
      <c r="I440" s="4" t="e">
        <f t="shared" si="234"/>
        <v>#N/A</v>
      </c>
      <c r="J440" s="4">
        <f t="shared" ca="1" si="205"/>
        <v>0</v>
      </c>
      <c r="K440" s="4" t="e">
        <f t="shared" ca="1" si="241"/>
        <v>#N/A</v>
      </c>
      <c r="M440" t="str">
        <f t="shared" ca="1" si="235"/>
        <v>Necromantic Ways</v>
      </c>
      <c r="N440" s="3" t="str">
        <f ca="1">'Character Sheet'!COP48</f>
        <v>Necromantic Ways</v>
      </c>
      <c r="O440" s="4" t="str">
        <f t="shared" si="236"/>
        <v>Em/Em</v>
      </c>
      <c r="P440" s="4" t="s">
        <v>801</v>
      </c>
      <c r="Q440" s="4" t="e">
        <f t="shared" ca="1" si="228"/>
        <v>#N/A</v>
      </c>
      <c r="R440" s="4">
        <f ca="1">IF(ISNUMBER(SEARCH("Category",N440)),"- -",IF(ISNUMBER(SEARCH("Skills",N440)),"- -",'Level-up'!C458))</f>
        <v>0</v>
      </c>
      <c r="S440" s="4" t="e">
        <f t="shared" ca="1" si="206"/>
        <v>#N/A</v>
      </c>
      <c r="T440" s="4" t="e">
        <f t="shared" ca="1" si="207"/>
        <v>#N/A</v>
      </c>
      <c r="U440" s="4">
        <f t="shared" ca="1" si="237"/>
        <v>10</v>
      </c>
      <c r="V440" s="4">
        <f t="shared" ca="1" si="238"/>
        <v>0</v>
      </c>
      <c r="W440" s="4">
        <f t="shared" ca="1" si="227"/>
        <v>0</v>
      </c>
      <c r="X440" s="4">
        <f t="shared" ca="1" si="226"/>
        <v>0</v>
      </c>
      <c r="Y440" s="4">
        <f t="shared" ca="1" si="208"/>
        <v>0</v>
      </c>
      <c r="Z440" s="4">
        <f t="shared" ca="1" si="209"/>
        <v>0</v>
      </c>
      <c r="AA440" s="4">
        <f t="shared" ca="1" si="210"/>
        <v>0</v>
      </c>
      <c r="AB440" s="4">
        <f t="shared" ca="1" si="211"/>
        <v>0</v>
      </c>
      <c r="AC440" s="8"/>
      <c r="AD440" s="4"/>
      <c r="AE440" s="4"/>
      <c r="AF440" s="4" t="e">
        <f t="shared" ca="1" si="212"/>
        <v>#N/A</v>
      </c>
      <c r="AG440" s="4" t="s">
        <v>2078</v>
      </c>
      <c r="AH440" s="4">
        <f ca="1">IFERROR(VLOOKUP(M440,Calculations!$AC$2:$AD$251,2,FALSE),0)</f>
        <v>0</v>
      </c>
      <c r="AI440" s="4" t="e">
        <f ca="1">VLOOKUP(N440,$N$2:$AS$620,MATCH('Character Creation'!$Z$12,Skills!$N$1:$AS$1,0),FALSE)</f>
        <v>#N/A</v>
      </c>
      <c r="AJ440" s="4" t="e">
        <f ca="1">VLOOKUP($N440,[2]Cultures!$B$4:$M$283,MATCH(AJ$1,[2]Cultures!$B$3:$M$3,0),FALSE)</f>
        <v>#N/A</v>
      </c>
      <c r="AK440" s="4" t="e">
        <f ca="1">VLOOKUP($N440,[2]Cultures!$B$4:$M$283,MATCH(AK$1,[2]Cultures!$B$3:$M$3,0),FALSE)</f>
        <v>#N/A</v>
      </c>
      <c r="AL440" s="4" t="e">
        <f ca="1">VLOOKUP($N440,[2]Cultures!$B$4:$M$283,MATCH(AL$1,[2]Cultures!$B$3:$M$3,0),FALSE)</f>
        <v>#N/A</v>
      </c>
      <c r="AM440" s="4" t="e">
        <f ca="1">VLOOKUP($N440,[2]Cultures!$B$4:$M$283,MATCH(AM$1,[2]Cultures!$B$3:$M$3,0),FALSE)</f>
        <v>#N/A</v>
      </c>
      <c r="AN440" s="4" t="e">
        <f ca="1">VLOOKUP($N440,[2]Cultures!$B$4:$M$283,MATCH(AN$1,[2]Cultures!$B$3:$M$3,0),FALSE)</f>
        <v>#N/A</v>
      </c>
      <c r="AO440" s="4" t="e">
        <f ca="1">VLOOKUP($N440,[2]Cultures!$B$4:$M$283,MATCH(AO$1,[2]Cultures!$B$3:$M$3,0),FALSE)</f>
        <v>#N/A</v>
      </c>
      <c r="AP440" s="4" t="e">
        <f ca="1">VLOOKUP($N440,[2]Cultures!$B$4:$M$283,MATCH(AP$1,[2]Cultures!$B$3:$M$3,0),FALSE)</f>
        <v>#N/A</v>
      </c>
      <c r="AQ440" s="4" t="e">
        <f ca="1">VLOOKUP($N440,[2]Cultures!$B$4:$M$283,MATCH(AQ$1,[2]Cultures!$B$3:$M$3,0),FALSE)</f>
        <v>#N/A</v>
      </c>
      <c r="AR440" s="4" t="e">
        <f ca="1">VLOOKUP($N440,[2]Cultures!$B$4:$M$283,MATCH(AR$1,[2]Cultures!$B$3:$M$3,0),FALSE)</f>
        <v>#N/A</v>
      </c>
      <c r="AS440" s="4" t="e">
        <f ca="1">VLOOKUP($N440,[2]Cultures!$B$4:$M$283,MATCH(AS$1,[2]Cultures!$B$3:$M$3,0),FALSE)</f>
        <v>#N/A</v>
      </c>
      <c r="AT440" s="4"/>
      <c r="AU440" s="4">
        <f ca="1">IF(ISNUMBER(SEARCH(N440&amp;";",Calculations!$Q$19)),VLOOKUP(Skills!N440,Calculations!$Q$2:$T$16,4,FALSE),0)</f>
        <v>0</v>
      </c>
      <c r="AV440" s="4">
        <f ca="1">IF(ISNUMBER(SEARCH(N440&amp;";",Calculations!$Q$18)),1,0)</f>
        <v>0</v>
      </c>
      <c r="AW440" s="4">
        <f t="shared" ca="1" si="239"/>
        <v>0</v>
      </c>
      <c r="AX440" s="4">
        <f ca="1">VLOOKUP($N440,$N440:$CH440,MATCH('Character Sheet'!$BJ$3,Skills!$N$1:$CH$1,0),FALSE)</f>
        <v>0</v>
      </c>
    </row>
    <row r="441" spans="1:50" x14ac:dyDescent="0.25">
      <c r="B441" s="4" t="e">
        <f t="shared" si="225"/>
        <v>#N/A</v>
      </c>
      <c r="E441" s="4"/>
      <c r="F441" s="4">
        <f t="shared" ca="1" si="204"/>
        <v>0</v>
      </c>
      <c r="G441" s="4"/>
      <c r="H441" s="4" t="e">
        <f t="shared" si="240"/>
        <v>#N/A</v>
      </c>
      <c r="I441" s="4" t="e">
        <f>IF($J$442=1,1,0)</f>
        <v>#N/A</v>
      </c>
      <c r="J441" s="4">
        <f t="shared" si="205"/>
        <v>0</v>
      </c>
      <c r="K441" s="4" t="e">
        <f t="shared" si="241"/>
        <v>#N/A</v>
      </c>
      <c r="N441" s="3" t="s">
        <v>778</v>
      </c>
      <c r="O441" s="6" t="s">
        <v>782</v>
      </c>
      <c r="P441" s="6" t="s">
        <v>782</v>
      </c>
      <c r="Q441" s="4" t="str">
        <f t="shared" si="228"/>
        <v>- -</v>
      </c>
      <c r="R441" s="4" t="str">
        <f>IF(ISNUMBER(SEARCH("Category",N441)),"- -",IF(ISNUMBER(SEARCH("Skills",N441)),"- -",'Level-up'!C459))</f>
        <v>- -</v>
      </c>
      <c r="S441" s="4" t="str">
        <f t="shared" si="206"/>
        <v>- -</v>
      </c>
      <c r="T441" s="4" t="str">
        <f t="shared" si="207"/>
        <v>- -</v>
      </c>
      <c r="U441" s="4" t="str">
        <f t="shared" ca="1" si="237"/>
        <v>- -</v>
      </c>
      <c r="V441" s="4" t="str">
        <f t="shared" si="238"/>
        <v>- -</v>
      </c>
      <c r="W441" s="4" t="str">
        <f t="shared" si="227"/>
        <v>- -</v>
      </c>
      <c r="X441" s="4" t="str">
        <f t="shared" si="226"/>
        <v>- -</v>
      </c>
      <c r="Y441" s="4" t="str">
        <f t="shared" si="208"/>
        <v>- -</v>
      </c>
      <c r="Z441" s="4" t="str">
        <f t="shared" si="209"/>
        <v>- -</v>
      </c>
      <c r="AA441" s="4" t="str">
        <f t="shared" si="210"/>
        <v>- -</v>
      </c>
      <c r="AB441" s="4" t="str">
        <f t="shared" si="211"/>
        <v>- -</v>
      </c>
      <c r="AC441" s="8"/>
      <c r="AD441" s="4"/>
      <c r="AE441" s="4"/>
      <c r="AF441" s="4" t="str">
        <f t="shared" si="212"/>
        <v>- -</v>
      </c>
      <c r="AG441" s="4"/>
      <c r="AH441" s="4">
        <f>IFERROR(VLOOKUP(M441,Calculations!$AC$2:$AD$251,2,FALSE),0)</f>
        <v>0</v>
      </c>
      <c r="AI441" s="4" t="e">
        <f>VLOOKUP(N441,$N$2:$AS$620,MATCH('Character Creation'!$Z$12,Skills!$N$1:$AS$1,0),FALSE)</f>
        <v>#N/A</v>
      </c>
      <c r="AJ441" s="4" t="e">
        <f>VLOOKUP($N441,[2]Cultures!$B$4:$M$283,MATCH(AJ$1,[2]Cultures!$B$3:$M$3,0),FALSE)</f>
        <v>#N/A</v>
      </c>
      <c r="AK441" s="4" t="e">
        <f>VLOOKUP($N441,[2]Cultures!$B$4:$M$283,MATCH(AK$1,[2]Cultures!$B$3:$M$3,0),FALSE)</f>
        <v>#N/A</v>
      </c>
      <c r="AL441" s="4" t="e">
        <f>VLOOKUP($N441,[2]Cultures!$B$4:$M$283,MATCH(AL$1,[2]Cultures!$B$3:$M$3,0),FALSE)</f>
        <v>#N/A</v>
      </c>
      <c r="AM441" s="4" t="e">
        <f>VLOOKUP($N441,[2]Cultures!$B$4:$M$283,MATCH(AM$1,[2]Cultures!$B$3:$M$3,0),FALSE)</f>
        <v>#N/A</v>
      </c>
      <c r="AN441" s="4" t="e">
        <f>VLOOKUP($N441,[2]Cultures!$B$4:$M$283,MATCH(AN$1,[2]Cultures!$B$3:$M$3,0),FALSE)</f>
        <v>#N/A</v>
      </c>
      <c r="AO441" s="4" t="e">
        <f>VLOOKUP($N441,[2]Cultures!$B$4:$M$283,MATCH(AO$1,[2]Cultures!$B$3:$M$3,0),FALSE)</f>
        <v>#N/A</v>
      </c>
      <c r="AP441" s="4" t="e">
        <f>VLOOKUP($N441,[2]Cultures!$B$4:$M$283,MATCH(AP$1,[2]Cultures!$B$3:$M$3,0),FALSE)</f>
        <v>#N/A</v>
      </c>
      <c r="AQ441" s="4" t="e">
        <f>VLOOKUP($N441,[2]Cultures!$B$4:$M$283,MATCH(AQ$1,[2]Cultures!$B$3:$M$3,0),FALSE)</f>
        <v>#N/A</v>
      </c>
      <c r="AR441" s="4" t="e">
        <f>VLOOKUP($N441,[2]Cultures!$B$4:$M$283,MATCH(AR$1,[2]Cultures!$B$3:$M$3,0),FALSE)</f>
        <v>#N/A</v>
      </c>
      <c r="AS441" s="4" t="e">
        <f>VLOOKUP($N441,[2]Cultures!$B$4:$M$283,MATCH(AS$1,[2]Cultures!$B$3:$M$3,0),FALSE)</f>
        <v>#N/A</v>
      </c>
      <c r="AT441" s="4"/>
      <c r="AU441" s="4">
        <f>IF(ISNUMBER(SEARCH(N441&amp;";",Calculations!$Q$19)),VLOOKUP(Skills!N441,Calculations!$Q$2:$T$16,4,FALSE),0)</f>
        <v>0</v>
      </c>
      <c r="AV441" s="4">
        <f>IF(ISNUMBER(SEARCH(N441&amp;";",Calculations!$Q$18)),1,0)</f>
        <v>0</v>
      </c>
      <c r="AW441" s="4"/>
      <c r="AX441" s="4">
        <f>VLOOKUP($N441,$N441:$CH441,MATCH('Character Sheet'!$BJ$3,Skills!$N$1:$CH$1,0),FALSE)</f>
        <v>0</v>
      </c>
    </row>
    <row r="442" spans="1:50" x14ac:dyDescent="0.25">
      <c r="B442" s="4" t="e">
        <f t="shared" si="225"/>
        <v>#N/A</v>
      </c>
      <c r="E442" s="4"/>
      <c r="F442" s="4">
        <f t="shared" ca="1" si="204"/>
        <v>0</v>
      </c>
      <c r="G442" s="4"/>
      <c r="H442" s="4" t="e">
        <f t="shared" si="240"/>
        <v>#N/A</v>
      </c>
      <c r="I442" s="4">
        <v>0</v>
      </c>
      <c r="J442" s="4" t="e">
        <f t="shared" si="205"/>
        <v>#N/A</v>
      </c>
      <c r="K442" s="4" t="e">
        <f t="shared" si="241"/>
        <v>#N/A</v>
      </c>
      <c r="N442" s="3" t="s">
        <v>779</v>
      </c>
      <c r="O442" s="6" t="s">
        <v>782</v>
      </c>
      <c r="P442" s="6" t="s">
        <v>782</v>
      </c>
      <c r="Q442" s="4" t="str">
        <f t="shared" si="228"/>
        <v>- -</v>
      </c>
      <c r="R442" s="4" t="str">
        <f>IF(ISNUMBER(SEARCH("Category",N442)),"- -",IF(ISNUMBER(SEARCH("Skills",N442)),"- -",'Level-up'!C460))</f>
        <v>- -</v>
      </c>
      <c r="S442" s="4" t="str">
        <f t="shared" si="206"/>
        <v>- -</v>
      </c>
      <c r="T442" s="4" t="str">
        <f t="shared" si="207"/>
        <v>- -</v>
      </c>
      <c r="U442" s="4" t="str">
        <f t="shared" ca="1" si="237"/>
        <v>- -</v>
      </c>
      <c r="V442" s="4" t="str">
        <f t="shared" si="238"/>
        <v>- -</v>
      </c>
      <c r="W442" s="4" t="str">
        <f t="shared" si="227"/>
        <v>- -</v>
      </c>
      <c r="X442" s="4" t="str">
        <f t="shared" si="226"/>
        <v>- -</v>
      </c>
      <c r="Y442" s="4" t="str">
        <f t="shared" si="208"/>
        <v>- -</v>
      </c>
      <c r="Z442" s="4" t="str">
        <f t="shared" si="209"/>
        <v>- -</v>
      </c>
      <c r="AA442" s="4" t="str">
        <f t="shared" si="210"/>
        <v>- -</v>
      </c>
      <c r="AB442" s="4" t="str">
        <f t="shared" si="211"/>
        <v>- -</v>
      </c>
      <c r="AC442" s="8"/>
      <c r="AD442" s="4"/>
      <c r="AE442" s="4"/>
      <c r="AF442" s="4" t="str">
        <f t="shared" si="212"/>
        <v>- -</v>
      </c>
      <c r="AG442" s="4"/>
      <c r="AH442" s="4">
        <f>IFERROR(VLOOKUP(M442,Calculations!$AC$2:$AD$251,2,FALSE),0)</f>
        <v>0</v>
      </c>
      <c r="AI442" s="4" t="e">
        <f>VLOOKUP(N442,$N$2:$AS$620,MATCH('Character Creation'!$Z$12,Skills!$N$1:$AS$1,0),FALSE)</f>
        <v>#N/A</v>
      </c>
      <c r="AJ442" s="4" t="e">
        <f>VLOOKUP($N442,[2]Cultures!$B$4:$M$283,MATCH(AJ$1,[2]Cultures!$B$3:$M$3,0),FALSE)</f>
        <v>#N/A</v>
      </c>
      <c r="AK442" s="4" t="e">
        <f>VLOOKUP($N442,[2]Cultures!$B$4:$M$283,MATCH(AK$1,[2]Cultures!$B$3:$M$3,0),FALSE)</f>
        <v>#N/A</v>
      </c>
      <c r="AL442" s="4" t="e">
        <f>VLOOKUP($N442,[2]Cultures!$B$4:$M$283,MATCH(AL$1,[2]Cultures!$B$3:$M$3,0),FALSE)</f>
        <v>#N/A</v>
      </c>
      <c r="AM442" s="4" t="e">
        <f>VLOOKUP($N442,[2]Cultures!$B$4:$M$283,MATCH(AM$1,[2]Cultures!$B$3:$M$3,0),FALSE)</f>
        <v>#N/A</v>
      </c>
      <c r="AN442" s="4" t="e">
        <f>VLOOKUP($N442,[2]Cultures!$B$4:$M$283,MATCH(AN$1,[2]Cultures!$B$3:$M$3,0),FALSE)</f>
        <v>#N/A</v>
      </c>
      <c r="AO442" s="4" t="e">
        <f>VLOOKUP($N442,[2]Cultures!$B$4:$M$283,MATCH(AO$1,[2]Cultures!$B$3:$M$3,0),FALSE)</f>
        <v>#N/A</v>
      </c>
      <c r="AP442" s="4" t="e">
        <f>VLOOKUP($N442,[2]Cultures!$B$4:$M$283,MATCH(AP$1,[2]Cultures!$B$3:$M$3,0),FALSE)</f>
        <v>#N/A</v>
      </c>
      <c r="AQ442" s="4" t="e">
        <f>VLOOKUP($N442,[2]Cultures!$B$4:$M$283,MATCH(AQ$1,[2]Cultures!$B$3:$M$3,0),FALSE)</f>
        <v>#N/A</v>
      </c>
      <c r="AR442" s="4" t="e">
        <f>VLOOKUP($N442,[2]Cultures!$B$4:$M$283,MATCH(AR$1,[2]Cultures!$B$3:$M$3,0),FALSE)</f>
        <v>#N/A</v>
      </c>
      <c r="AS442" s="4" t="e">
        <f>VLOOKUP($N442,[2]Cultures!$B$4:$M$283,MATCH(AS$1,[2]Cultures!$B$3:$M$3,0),FALSE)</f>
        <v>#N/A</v>
      </c>
      <c r="AT442" s="4"/>
      <c r="AU442" s="4">
        <f>IF(ISNUMBER(SEARCH(N442&amp;";",Calculations!$Q$19)),VLOOKUP(Skills!N442,Calculations!$Q$2:$T$16,4,FALSE),0)</f>
        <v>0</v>
      </c>
      <c r="AV442" s="4">
        <f>IF(ISNUMBER(SEARCH(N442&amp;";",Calculations!$Q$18)),1,0)</f>
        <v>0</v>
      </c>
      <c r="AW442" s="4"/>
      <c r="AX442" s="4">
        <f>VLOOKUP($N442,$N442:$CH442,MATCH('Character Sheet'!$BJ$3,Skills!$N$1:$CH$1,0),FALSE)</f>
        <v>0</v>
      </c>
    </row>
    <row r="443" spans="1:50" x14ac:dyDescent="0.25">
      <c r="B443" s="4" t="e">
        <f t="shared" si="225"/>
        <v>#N/A</v>
      </c>
      <c r="E443" s="4"/>
      <c r="F443" s="4">
        <f t="shared" ca="1" si="204"/>
        <v>0</v>
      </c>
      <c r="G443" s="4"/>
      <c r="H443" s="4" t="e">
        <f t="shared" si="240"/>
        <v>#N/A</v>
      </c>
      <c r="I443" s="4" t="e">
        <f t="shared" ref="I443:I450" si="242">IF($J$442=1,1,0)</f>
        <v>#N/A</v>
      </c>
      <c r="J443" s="4">
        <f t="shared" si="205"/>
        <v>0</v>
      </c>
      <c r="K443" s="4" t="e">
        <f t="shared" si="241"/>
        <v>#N/A</v>
      </c>
      <c r="M443" t="str">
        <f>"Ritual Magic, "&amp;N443</f>
        <v>Ritual Magic, Alteration</v>
      </c>
      <c r="N443" s="3" t="str">
        <f>'Character Sheet'!COP52</f>
        <v>Alteration</v>
      </c>
      <c r="O443" s="4" t="str">
        <f t="shared" ref="O443:O450" si="243">RealmStat&amp;"/"&amp;RealmStat</f>
        <v>Em/Em</v>
      </c>
      <c r="P443" s="4" t="s">
        <v>801</v>
      </c>
      <c r="Q443" s="4" t="e">
        <f t="shared" si="228"/>
        <v>#N/A</v>
      </c>
      <c r="R443" s="4">
        <f>IF(ISNUMBER(SEARCH("Category",N443)),"- -",IF(ISNUMBER(SEARCH("Skills",N443)),"- -",'Level-up'!C461))</f>
        <v>0</v>
      </c>
      <c r="S443" s="4" t="e">
        <f t="shared" si="206"/>
        <v>#N/A</v>
      </c>
      <c r="T443" s="4" t="e">
        <f t="shared" si="207"/>
        <v>#N/A</v>
      </c>
      <c r="U443" s="4">
        <f t="shared" ca="1" si="237"/>
        <v>10</v>
      </c>
      <c r="V443" s="4">
        <f t="shared" ref="V443:V454" si="244">IF(ISNUMBER(SEARCH("Category",N443)),"- -",IF(ISNUMBER(SEARCH("Skills",N443)),"- -",IF(AU443&gt;0,AU443,IF($AU$441&gt;0,$AU$441,$AU$400))))</f>
        <v>0</v>
      </c>
      <c r="W443" s="4">
        <f t="shared" si="227"/>
        <v>0</v>
      </c>
      <c r="X443" s="4">
        <f t="shared" si="226"/>
        <v>0</v>
      </c>
      <c r="Y443" s="4">
        <f t="shared" si="208"/>
        <v>0</v>
      </c>
      <c r="Z443" s="4">
        <f t="shared" si="209"/>
        <v>0</v>
      </c>
      <c r="AA443" s="4">
        <f t="shared" si="210"/>
        <v>0</v>
      </c>
      <c r="AB443" s="4">
        <f t="shared" si="211"/>
        <v>0</v>
      </c>
      <c r="AC443" s="8"/>
      <c r="AD443" s="4"/>
      <c r="AE443" s="4"/>
      <c r="AF443" s="4" t="e">
        <f t="shared" si="212"/>
        <v>#N/A</v>
      </c>
      <c r="AG443" s="4"/>
      <c r="AH443" s="4">
        <f>IFERROR(VLOOKUP(M443,Calculations!$AC$2:$AD$251,2,FALSE),0)</f>
        <v>0</v>
      </c>
      <c r="AI443" s="4" t="e">
        <f>VLOOKUP(N443,$N$2:$AS$620,MATCH('Character Creation'!$Z$12,Skills!$N$1:$AS$1,0),FALSE)</f>
        <v>#N/A</v>
      </c>
      <c r="AJ443" s="4" t="e">
        <f>VLOOKUP($N443,[2]Cultures!$B$4:$M$283,MATCH(AJ$1,[2]Cultures!$B$3:$M$3,0),FALSE)</f>
        <v>#N/A</v>
      </c>
      <c r="AK443" s="4" t="e">
        <f>VLOOKUP($N443,[2]Cultures!$B$4:$M$283,MATCH(AK$1,[2]Cultures!$B$3:$M$3,0),FALSE)</f>
        <v>#N/A</v>
      </c>
      <c r="AL443" s="4" t="e">
        <f>VLOOKUP($N443,[2]Cultures!$B$4:$M$283,MATCH(AL$1,[2]Cultures!$B$3:$M$3,0),FALSE)</f>
        <v>#N/A</v>
      </c>
      <c r="AM443" s="4" t="e">
        <f>VLOOKUP($N443,[2]Cultures!$B$4:$M$283,MATCH(AM$1,[2]Cultures!$B$3:$M$3,0),FALSE)</f>
        <v>#N/A</v>
      </c>
      <c r="AN443" s="4" t="e">
        <f>VLOOKUP($N443,[2]Cultures!$B$4:$M$283,MATCH(AN$1,[2]Cultures!$B$3:$M$3,0),FALSE)</f>
        <v>#N/A</v>
      </c>
      <c r="AO443" s="4" t="e">
        <f>VLOOKUP($N443,[2]Cultures!$B$4:$M$283,MATCH(AO$1,[2]Cultures!$B$3:$M$3,0),FALSE)</f>
        <v>#N/A</v>
      </c>
      <c r="AP443" s="4" t="e">
        <f>VLOOKUP($N443,[2]Cultures!$B$4:$M$283,MATCH(AP$1,[2]Cultures!$B$3:$M$3,0),FALSE)</f>
        <v>#N/A</v>
      </c>
      <c r="AQ443" s="4" t="e">
        <f>VLOOKUP($N443,[2]Cultures!$B$4:$M$283,MATCH(AQ$1,[2]Cultures!$B$3:$M$3,0),FALSE)</f>
        <v>#N/A</v>
      </c>
      <c r="AR443" s="4" t="e">
        <f>VLOOKUP($N443,[2]Cultures!$B$4:$M$283,MATCH(AR$1,[2]Cultures!$B$3:$M$3,0),FALSE)</f>
        <v>#N/A</v>
      </c>
      <c r="AS443" s="4" t="e">
        <f>VLOOKUP($N443,[2]Cultures!$B$4:$M$283,MATCH(AS$1,[2]Cultures!$B$3:$M$3,0),FALSE)</f>
        <v>#N/A</v>
      </c>
      <c r="AT443" s="4"/>
      <c r="AU443" s="4">
        <f>IF(ISNUMBER(SEARCH(N443&amp;";",Calculations!$Q$19)),VLOOKUP(Skills!N443,Calculations!$Q$2:$T$16,4,FALSE),0)</f>
        <v>0</v>
      </c>
      <c r="AV443" s="4">
        <f>IF(ISNUMBER(SEARCH(N443&amp;";",Calculations!$Q$18)),1,0)</f>
        <v>0</v>
      </c>
      <c r="AW443" s="4">
        <f t="shared" ref="AW443:AW450" si="245">IF($AV$400=1,1,IF($AV$402=1,1,IF($AV$441=1,1,AV443)))</f>
        <v>0</v>
      </c>
      <c r="AX443" s="4">
        <f>VLOOKUP($N443,$N443:$CH443,MATCH('Character Sheet'!$BJ$3,Skills!$N$1:$CH$1,0),FALSE)</f>
        <v>0</v>
      </c>
    </row>
    <row r="444" spans="1:50" x14ac:dyDescent="0.25">
      <c r="B444" s="4" t="e">
        <f t="shared" si="225"/>
        <v>#N/A</v>
      </c>
      <c r="E444" s="4"/>
      <c r="F444" s="4">
        <f t="shared" ca="1" si="204"/>
        <v>0</v>
      </c>
      <c r="G444" s="4"/>
      <c r="H444" s="4" t="e">
        <f t="shared" si="240"/>
        <v>#N/A</v>
      </c>
      <c r="I444" s="4" t="e">
        <f t="shared" si="242"/>
        <v>#N/A</v>
      </c>
      <c r="J444" s="4">
        <f t="shared" si="205"/>
        <v>0</v>
      </c>
      <c r="K444" s="4" t="e">
        <f t="shared" si="241"/>
        <v>#N/A</v>
      </c>
      <c r="M444" t="str">
        <f t="shared" ref="M444:M450" si="246">"Ritual Magic, "&amp;N444</f>
        <v>Ritual Magic, Creation</v>
      </c>
      <c r="N444" s="3" t="str">
        <f>'Character Sheet'!COP53</f>
        <v>Creation</v>
      </c>
      <c r="O444" s="4" t="str">
        <f t="shared" si="243"/>
        <v>Em/Em</v>
      </c>
      <c r="P444" s="4" t="s">
        <v>801</v>
      </c>
      <c r="Q444" s="4" t="e">
        <f t="shared" si="228"/>
        <v>#N/A</v>
      </c>
      <c r="R444" s="4">
        <f>IF(ISNUMBER(SEARCH("Category",N444)),"- -",IF(ISNUMBER(SEARCH("Skills",N444)),"- -",'Level-up'!C462))</f>
        <v>0</v>
      </c>
      <c r="S444" s="4" t="e">
        <f t="shared" si="206"/>
        <v>#N/A</v>
      </c>
      <c r="T444" s="4" t="e">
        <f t="shared" si="207"/>
        <v>#N/A</v>
      </c>
      <c r="U444" s="4">
        <f t="shared" ca="1" si="237"/>
        <v>10</v>
      </c>
      <c r="V444" s="4">
        <f t="shared" si="244"/>
        <v>0</v>
      </c>
      <c r="W444" s="4">
        <f t="shared" si="227"/>
        <v>0</v>
      </c>
      <c r="X444" s="4">
        <f t="shared" si="226"/>
        <v>0</v>
      </c>
      <c r="Y444" s="4">
        <f t="shared" si="208"/>
        <v>0</v>
      </c>
      <c r="Z444" s="4">
        <f t="shared" si="209"/>
        <v>0</v>
      </c>
      <c r="AA444" s="4">
        <f t="shared" si="210"/>
        <v>0</v>
      </c>
      <c r="AB444" s="4">
        <f t="shared" si="211"/>
        <v>0</v>
      </c>
      <c r="AC444" s="8"/>
      <c r="AD444" s="4"/>
      <c r="AE444" s="4"/>
      <c r="AF444" s="4" t="e">
        <f t="shared" si="212"/>
        <v>#N/A</v>
      </c>
      <c r="AG444" s="4"/>
      <c r="AH444" s="4">
        <f>IFERROR(VLOOKUP(M444,Calculations!$AC$2:$AD$251,2,FALSE),0)</f>
        <v>0</v>
      </c>
      <c r="AI444" s="4" t="e">
        <f>VLOOKUP(N444,$N$2:$AS$620,MATCH('Character Creation'!$Z$12,Skills!$N$1:$AS$1,0),FALSE)</f>
        <v>#N/A</v>
      </c>
      <c r="AJ444" s="4" t="e">
        <f>VLOOKUP($N444,[2]Cultures!$B$4:$M$283,MATCH(AJ$1,[2]Cultures!$B$3:$M$3,0),FALSE)</f>
        <v>#N/A</v>
      </c>
      <c r="AK444" s="4" t="e">
        <f>VLOOKUP($N444,[2]Cultures!$B$4:$M$283,MATCH(AK$1,[2]Cultures!$B$3:$M$3,0),FALSE)</f>
        <v>#N/A</v>
      </c>
      <c r="AL444" s="4" t="e">
        <f>VLOOKUP($N444,[2]Cultures!$B$4:$M$283,MATCH(AL$1,[2]Cultures!$B$3:$M$3,0),FALSE)</f>
        <v>#N/A</v>
      </c>
      <c r="AM444" s="4" t="e">
        <f>VLOOKUP($N444,[2]Cultures!$B$4:$M$283,MATCH(AM$1,[2]Cultures!$B$3:$M$3,0),FALSE)</f>
        <v>#N/A</v>
      </c>
      <c r="AN444" s="4" t="e">
        <f>VLOOKUP($N444,[2]Cultures!$B$4:$M$283,MATCH(AN$1,[2]Cultures!$B$3:$M$3,0),FALSE)</f>
        <v>#N/A</v>
      </c>
      <c r="AO444" s="4" t="e">
        <f>VLOOKUP($N444,[2]Cultures!$B$4:$M$283,MATCH(AO$1,[2]Cultures!$B$3:$M$3,0),FALSE)</f>
        <v>#N/A</v>
      </c>
      <c r="AP444" s="4" t="e">
        <f>VLOOKUP($N444,[2]Cultures!$B$4:$M$283,MATCH(AP$1,[2]Cultures!$B$3:$M$3,0),FALSE)</f>
        <v>#N/A</v>
      </c>
      <c r="AQ444" s="4" t="e">
        <f>VLOOKUP($N444,[2]Cultures!$B$4:$M$283,MATCH(AQ$1,[2]Cultures!$B$3:$M$3,0),FALSE)</f>
        <v>#N/A</v>
      </c>
      <c r="AR444" s="4" t="e">
        <f>VLOOKUP($N444,[2]Cultures!$B$4:$M$283,MATCH(AR$1,[2]Cultures!$B$3:$M$3,0),FALSE)</f>
        <v>#N/A</v>
      </c>
      <c r="AS444" s="4" t="e">
        <f>VLOOKUP($N444,[2]Cultures!$B$4:$M$283,MATCH(AS$1,[2]Cultures!$B$3:$M$3,0),FALSE)</f>
        <v>#N/A</v>
      </c>
      <c r="AT444" s="4"/>
      <c r="AU444" s="4">
        <f>IF(ISNUMBER(SEARCH(N444&amp;";",Calculations!$Q$19)),VLOOKUP(Skills!N444,Calculations!$Q$2:$T$16,4,FALSE),0)</f>
        <v>0</v>
      </c>
      <c r="AV444" s="4">
        <f>IF(ISNUMBER(SEARCH(N444&amp;";",Calculations!$Q$18)),1,0)</f>
        <v>0</v>
      </c>
      <c r="AW444" s="4">
        <f t="shared" si="245"/>
        <v>0</v>
      </c>
      <c r="AX444" s="4">
        <f>VLOOKUP($N444,$N444:$CH444,MATCH('Character Sheet'!$BJ$3,Skills!$N$1:$CH$1,0),FALSE)</f>
        <v>0</v>
      </c>
    </row>
    <row r="445" spans="1:50" x14ac:dyDescent="0.25">
      <c r="B445" s="4" t="e">
        <f t="shared" si="225"/>
        <v>#N/A</v>
      </c>
      <c r="E445" s="4"/>
      <c r="F445" s="4">
        <f t="shared" ca="1" si="204"/>
        <v>0</v>
      </c>
      <c r="G445" s="4"/>
      <c r="H445" s="4" t="e">
        <f t="shared" si="240"/>
        <v>#N/A</v>
      </c>
      <c r="I445" s="4" t="e">
        <f t="shared" si="242"/>
        <v>#N/A</v>
      </c>
      <c r="J445" s="4">
        <f t="shared" si="205"/>
        <v>0</v>
      </c>
      <c r="K445" s="4" t="e">
        <f t="shared" si="241"/>
        <v>#N/A</v>
      </c>
      <c r="M445" t="str">
        <f t="shared" si="246"/>
        <v>Ritual Magic, Defensive</v>
      </c>
      <c r="N445" s="3" t="str">
        <f>'Character Sheet'!COP54</f>
        <v>Defensive</v>
      </c>
      <c r="O445" s="4" t="str">
        <f t="shared" si="243"/>
        <v>Em/Em</v>
      </c>
      <c r="P445" s="4" t="s">
        <v>801</v>
      </c>
      <c r="Q445" s="4" t="e">
        <f t="shared" si="228"/>
        <v>#N/A</v>
      </c>
      <c r="R445" s="4">
        <f>IF(ISNUMBER(SEARCH("Category",N445)),"- -",IF(ISNUMBER(SEARCH("Skills",N445)),"- -",'Level-up'!C463))</f>
        <v>0</v>
      </c>
      <c r="S445" s="4" t="e">
        <f t="shared" si="206"/>
        <v>#N/A</v>
      </c>
      <c r="T445" s="4" t="e">
        <f t="shared" si="207"/>
        <v>#N/A</v>
      </c>
      <c r="U445" s="4">
        <f t="shared" ca="1" si="237"/>
        <v>10</v>
      </c>
      <c r="V445" s="4">
        <f t="shared" si="244"/>
        <v>0</v>
      </c>
      <c r="W445" s="4">
        <f t="shared" si="227"/>
        <v>0</v>
      </c>
      <c r="X445" s="4">
        <f t="shared" si="226"/>
        <v>0</v>
      </c>
      <c r="Y445" s="4">
        <f t="shared" si="208"/>
        <v>0</v>
      </c>
      <c r="Z445" s="4">
        <f t="shared" si="209"/>
        <v>0</v>
      </c>
      <c r="AA445" s="4">
        <f t="shared" si="210"/>
        <v>0</v>
      </c>
      <c r="AB445" s="4">
        <f t="shared" si="211"/>
        <v>0</v>
      </c>
      <c r="AC445" s="8"/>
      <c r="AD445" s="4"/>
      <c r="AE445" s="4"/>
      <c r="AF445" s="4" t="e">
        <f t="shared" si="212"/>
        <v>#N/A</v>
      </c>
      <c r="AG445" s="4"/>
      <c r="AH445" s="4">
        <f>IFERROR(VLOOKUP(M445,Calculations!$AC$2:$AD$251,2,FALSE),0)</f>
        <v>0</v>
      </c>
      <c r="AI445" s="4" t="e">
        <f>VLOOKUP(N445,$N$2:$AS$620,MATCH('Character Creation'!$Z$12,Skills!$N$1:$AS$1,0),FALSE)</f>
        <v>#N/A</v>
      </c>
      <c r="AJ445" s="4" t="e">
        <f>VLOOKUP($N445,[2]Cultures!$B$4:$M$283,MATCH(AJ$1,[2]Cultures!$B$3:$M$3,0),FALSE)</f>
        <v>#N/A</v>
      </c>
      <c r="AK445" s="4" t="e">
        <f>VLOOKUP($N445,[2]Cultures!$B$4:$M$283,MATCH(AK$1,[2]Cultures!$B$3:$M$3,0),FALSE)</f>
        <v>#N/A</v>
      </c>
      <c r="AL445" s="4" t="e">
        <f>VLOOKUP($N445,[2]Cultures!$B$4:$M$283,MATCH(AL$1,[2]Cultures!$B$3:$M$3,0),FALSE)</f>
        <v>#N/A</v>
      </c>
      <c r="AM445" s="4" t="e">
        <f>VLOOKUP($N445,[2]Cultures!$B$4:$M$283,MATCH(AM$1,[2]Cultures!$B$3:$M$3,0),FALSE)</f>
        <v>#N/A</v>
      </c>
      <c r="AN445" s="4" t="e">
        <f>VLOOKUP($N445,[2]Cultures!$B$4:$M$283,MATCH(AN$1,[2]Cultures!$B$3:$M$3,0),FALSE)</f>
        <v>#N/A</v>
      </c>
      <c r="AO445" s="4" t="e">
        <f>VLOOKUP($N445,[2]Cultures!$B$4:$M$283,MATCH(AO$1,[2]Cultures!$B$3:$M$3,0),FALSE)</f>
        <v>#N/A</v>
      </c>
      <c r="AP445" s="4" t="e">
        <f>VLOOKUP($N445,[2]Cultures!$B$4:$M$283,MATCH(AP$1,[2]Cultures!$B$3:$M$3,0),FALSE)</f>
        <v>#N/A</v>
      </c>
      <c r="AQ445" s="4" t="e">
        <f>VLOOKUP($N445,[2]Cultures!$B$4:$M$283,MATCH(AQ$1,[2]Cultures!$B$3:$M$3,0),FALSE)</f>
        <v>#N/A</v>
      </c>
      <c r="AR445" s="4" t="e">
        <f>VLOOKUP($N445,[2]Cultures!$B$4:$M$283,MATCH(AR$1,[2]Cultures!$B$3:$M$3,0),FALSE)</f>
        <v>#N/A</v>
      </c>
      <c r="AS445" s="4" t="e">
        <f>VLOOKUP($N445,[2]Cultures!$B$4:$M$283,MATCH(AS$1,[2]Cultures!$B$3:$M$3,0),FALSE)</f>
        <v>#N/A</v>
      </c>
      <c r="AT445" s="4"/>
      <c r="AU445" s="4">
        <f>IF(ISNUMBER(SEARCH(N445&amp;";",Calculations!$Q$19)),VLOOKUP(Skills!N445,Calculations!$Q$2:$T$16,4,FALSE),0)</f>
        <v>0</v>
      </c>
      <c r="AV445" s="4">
        <f>IF(ISNUMBER(SEARCH(N445&amp;";",Calculations!$Q$18)),1,0)</f>
        <v>0</v>
      </c>
      <c r="AW445" s="4">
        <f t="shared" si="245"/>
        <v>0</v>
      </c>
      <c r="AX445" s="4">
        <f>VLOOKUP($N445,$N445:$CH445,MATCH('Character Sheet'!$BJ$3,Skills!$N$1:$CH$1,0),FALSE)</f>
        <v>0</v>
      </c>
    </row>
    <row r="446" spans="1:50" x14ac:dyDescent="0.25">
      <c r="B446" s="4" t="e">
        <f t="shared" ca="1" si="225"/>
        <v>#N/A</v>
      </c>
      <c r="E446" s="4"/>
      <c r="F446" s="4">
        <f t="shared" ca="1" si="204"/>
        <v>0</v>
      </c>
      <c r="G446" s="4"/>
      <c r="H446" s="4" t="e">
        <f t="shared" si="240"/>
        <v>#N/A</v>
      </c>
      <c r="I446" s="4" t="e">
        <f t="shared" si="242"/>
        <v>#N/A</v>
      </c>
      <c r="J446" s="4">
        <f t="shared" si="205"/>
        <v>0</v>
      </c>
      <c r="K446" s="4" t="e">
        <f t="shared" ca="1" si="241"/>
        <v>#N/A</v>
      </c>
      <c r="M446" t="str">
        <f t="shared" si="246"/>
        <v>Ritual Magic, Destruction</v>
      </c>
      <c r="N446" s="3" t="str">
        <f>'Character Sheet'!COP55</f>
        <v>Destruction</v>
      </c>
      <c r="O446" s="4" t="str">
        <f t="shared" si="243"/>
        <v>Em/Em</v>
      </c>
      <c r="P446" s="4" t="s">
        <v>801</v>
      </c>
      <c r="Q446" s="4" t="e">
        <f t="shared" ca="1" si="228"/>
        <v>#N/A</v>
      </c>
      <c r="R446" s="4">
        <f>IF(ISNUMBER(SEARCH("Category",N446)),"- -",IF(ISNUMBER(SEARCH("Skills",N446)),"- -",'Level-up'!C464))</f>
        <v>0</v>
      </c>
      <c r="S446" s="4" t="e">
        <f t="shared" ca="1" si="206"/>
        <v>#N/A</v>
      </c>
      <c r="T446" s="4" t="e">
        <f t="shared" ca="1" si="207"/>
        <v>#N/A</v>
      </c>
      <c r="U446" s="4">
        <f t="shared" ca="1" si="237"/>
        <v>10</v>
      </c>
      <c r="V446" s="4">
        <f t="shared" si="244"/>
        <v>0</v>
      </c>
      <c r="W446" s="4">
        <f t="shared" si="227"/>
        <v>0</v>
      </c>
      <c r="X446" s="4">
        <f t="shared" si="226"/>
        <v>0</v>
      </c>
      <c r="Y446" s="4">
        <f t="shared" si="208"/>
        <v>0</v>
      </c>
      <c r="Z446" s="4">
        <f t="shared" si="209"/>
        <v>0</v>
      </c>
      <c r="AA446" s="4">
        <f t="shared" si="210"/>
        <v>0</v>
      </c>
      <c r="AB446" s="4">
        <f t="shared" si="211"/>
        <v>0</v>
      </c>
      <c r="AC446" s="8"/>
      <c r="AD446" s="4"/>
      <c r="AE446" s="4"/>
      <c r="AF446" s="4" t="e">
        <f t="shared" ca="1" si="212"/>
        <v>#N/A</v>
      </c>
      <c r="AG446" s="4"/>
      <c r="AH446" s="4">
        <f>IFERROR(VLOOKUP(M446,Calculations!$AC$2:$AD$251,2,FALSE),0)</f>
        <v>0</v>
      </c>
      <c r="AI446" s="4" t="e">
        <f ca="1">VLOOKUP(N446,$N$2:$AS$620,MATCH('Character Creation'!$Z$12,Skills!$N$1:$AS$1,0),FALSE)</f>
        <v>#N/A</v>
      </c>
      <c r="AJ446" s="4" t="e">
        <f>VLOOKUP($N446,[2]Cultures!$B$4:$M$283,MATCH(AJ$1,[2]Cultures!$B$3:$M$3,0),FALSE)</f>
        <v>#N/A</v>
      </c>
      <c r="AK446" s="4" t="e">
        <f>VLOOKUP($N446,[2]Cultures!$B$4:$M$283,MATCH(AK$1,[2]Cultures!$B$3:$M$3,0),FALSE)</f>
        <v>#N/A</v>
      </c>
      <c r="AL446" s="4" t="e">
        <f>VLOOKUP($N446,[2]Cultures!$B$4:$M$283,MATCH(AL$1,[2]Cultures!$B$3:$M$3,0),FALSE)</f>
        <v>#N/A</v>
      </c>
      <c r="AM446" s="4" t="e">
        <f>VLOOKUP($N446,[2]Cultures!$B$4:$M$283,MATCH(AM$1,[2]Cultures!$B$3:$M$3,0),FALSE)</f>
        <v>#N/A</v>
      </c>
      <c r="AN446" s="4" t="e">
        <f>VLOOKUP($N446,[2]Cultures!$B$4:$M$283,MATCH(AN$1,[2]Cultures!$B$3:$M$3,0),FALSE)</f>
        <v>#N/A</v>
      </c>
      <c r="AO446" s="4" t="e">
        <f>VLOOKUP($N446,[2]Cultures!$B$4:$M$283,MATCH(AO$1,[2]Cultures!$B$3:$M$3,0),FALSE)</f>
        <v>#N/A</v>
      </c>
      <c r="AP446" s="4" t="e">
        <f>VLOOKUP($N446,[2]Cultures!$B$4:$M$283,MATCH(AP$1,[2]Cultures!$B$3:$M$3,0),FALSE)</f>
        <v>#N/A</v>
      </c>
      <c r="AQ446" s="4" t="e">
        <f>VLOOKUP($N446,[2]Cultures!$B$4:$M$283,MATCH(AQ$1,[2]Cultures!$B$3:$M$3,0),FALSE)</f>
        <v>#N/A</v>
      </c>
      <c r="AR446" s="4" t="e">
        <f>VLOOKUP($N446,[2]Cultures!$B$4:$M$283,MATCH(AR$1,[2]Cultures!$B$3:$M$3,0),FALSE)</f>
        <v>#N/A</v>
      </c>
      <c r="AS446" s="4" t="e">
        <f>VLOOKUP($N446,[2]Cultures!$B$4:$M$283,MATCH(AS$1,[2]Cultures!$B$3:$M$3,0),FALSE)</f>
        <v>#N/A</v>
      </c>
      <c r="AT446" s="4"/>
      <c r="AU446" s="4">
        <f>IF(ISNUMBER(SEARCH(N446&amp;";",Calculations!$Q$19)),VLOOKUP(Skills!N446,Calculations!$Q$2:$T$16,4,FALSE),0)</f>
        <v>0</v>
      </c>
      <c r="AV446" s="4">
        <f>IF(ISNUMBER(SEARCH(N446&amp;";",Calculations!$Q$18)),1,0)</f>
        <v>0</v>
      </c>
      <c r="AW446" s="4">
        <f t="shared" si="245"/>
        <v>0</v>
      </c>
      <c r="AX446" s="4">
        <f>VLOOKUP($N446,$N446:$CH446,MATCH('Character Sheet'!$BJ$3,Skills!$N$1:$CH$1,0),FALSE)</f>
        <v>0</v>
      </c>
    </row>
    <row r="447" spans="1:50" x14ac:dyDescent="0.25">
      <c r="B447" s="4" t="e">
        <f t="shared" ca="1" si="225"/>
        <v>#N/A</v>
      </c>
      <c r="E447" s="4"/>
      <c r="F447" s="4">
        <f t="shared" ca="1" si="204"/>
        <v>0</v>
      </c>
      <c r="G447" s="4"/>
      <c r="H447" s="4" t="e">
        <f t="shared" si="240"/>
        <v>#N/A</v>
      </c>
      <c r="I447" s="4" t="e">
        <f t="shared" si="242"/>
        <v>#N/A</v>
      </c>
      <c r="J447" s="4">
        <f t="shared" si="205"/>
        <v>0</v>
      </c>
      <c r="K447" s="4" t="e">
        <f t="shared" ca="1" si="241"/>
        <v>#N/A</v>
      </c>
      <c r="M447" t="str">
        <f t="shared" si="246"/>
        <v>Ritual Magic, Elemental</v>
      </c>
      <c r="N447" s="3" t="str">
        <f>'Character Sheet'!COP56</f>
        <v>Elemental</v>
      </c>
      <c r="O447" s="4" t="str">
        <f t="shared" si="243"/>
        <v>Em/Em</v>
      </c>
      <c r="P447" s="4" t="s">
        <v>801</v>
      </c>
      <c r="Q447" s="4" t="e">
        <f t="shared" ca="1" si="228"/>
        <v>#N/A</v>
      </c>
      <c r="R447" s="4">
        <f>IF(ISNUMBER(SEARCH("Category",N447)),"- -",IF(ISNUMBER(SEARCH("Skills",N447)),"- -",'Level-up'!C465))</f>
        <v>0</v>
      </c>
      <c r="S447" s="4" t="e">
        <f t="shared" ca="1" si="206"/>
        <v>#N/A</v>
      </c>
      <c r="T447" s="4" t="e">
        <f t="shared" ca="1" si="207"/>
        <v>#N/A</v>
      </c>
      <c r="U447" s="4">
        <f t="shared" ca="1" si="237"/>
        <v>10</v>
      </c>
      <c r="V447" s="4">
        <f t="shared" si="244"/>
        <v>0</v>
      </c>
      <c r="W447" s="4">
        <f t="shared" si="227"/>
        <v>0</v>
      </c>
      <c r="X447" s="4">
        <f t="shared" si="226"/>
        <v>0</v>
      </c>
      <c r="Y447" s="4">
        <f t="shared" si="208"/>
        <v>0</v>
      </c>
      <c r="Z447" s="4">
        <f t="shared" si="209"/>
        <v>0</v>
      </c>
      <c r="AA447" s="4">
        <f t="shared" si="210"/>
        <v>0</v>
      </c>
      <c r="AB447" s="4">
        <f t="shared" si="211"/>
        <v>0</v>
      </c>
      <c r="AC447" s="8"/>
      <c r="AD447" s="4"/>
      <c r="AE447" s="4"/>
      <c r="AF447" s="4" t="e">
        <f t="shared" ca="1" si="212"/>
        <v>#N/A</v>
      </c>
      <c r="AG447" s="4"/>
      <c r="AH447" s="4">
        <f>IFERROR(VLOOKUP(M447,Calculations!$AC$2:$AD$251,2,FALSE),0)</f>
        <v>0</v>
      </c>
      <c r="AI447" s="4" t="e">
        <f ca="1">VLOOKUP(N447,$N$2:$AS$620,MATCH('Character Creation'!$Z$12,Skills!$N$1:$AS$1,0),FALSE)</f>
        <v>#N/A</v>
      </c>
      <c r="AJ447" s="4" t="e">
        <f>VLOOKUP($N447,[2]Cultures!$B$4:$M$283,MATCH(AJ$1,[2]Cultures!$B$3:$M$3,0),FALSE)</f>
        <v>#N/A</v>
      </c>
      <c r="AK447" s="4" t="e">
        <f>VLOOKUP($N447,[2]Cultures!$B$4:$M$283,MATCH(AK$1,[2]Cultures!$B$3:$M$3,0),FALSE)</f>
        <v>#N/A</v>
      </c>
      <c r="AL447" s="4" t="e">
        <f>VLOOKUP($N447,[2]Cultures!$B$4:$M$283,MATCH(AL$1,[2]Cultures!$B$3:$M$3,0),FALSE)</f>
        <v>#N/A</v>
      </c>
      <c r="AM447" s="4" t="e">
        <f>VLOOKUP($N447,[2]Cultures!$B$4:$M$283,MATCH(AM$1,[2]Cultures!$B$3:$M$3,0),FALSE)</f>
        <v>#N/A</v>
      </c>
      <c r="AN447" s="4" t="e">
        <f>VLOOKUP($N447,[2]Cultures!$B$4:$M$283,MATCH(AN$1,[2]Cultures!$B$3:$M$3,0),FALSE)</f>
        <v>#N/A</v>
      </c>
      <c r="AO447" s="4" t="e">
        <f>VLOOKUP($N447,[2]Cultures!$B$4:$M$283,MATCH(AO$1,[2]Cultures!$B$3:$M$3,0),FALSE)</f>
        <v>#N/A</v>
      </c>
      <c r="AP447" s="4" t="e">
        <f>VLOOKUP($N447,[2]Cultures!$B$4:$M$283,MATCH(AP$1,[2]Cultures!$B$3:$M$3,0),FALSE)</f>
        <v>#N/A</v>
      </c>
      <c r="AQ447" s="4" t="e">
        <f>VLOOKUP($N447,[2]Cultures!$B$4:$M$283,MATCH(AQ$1,[2]Cultures!$B$3:$M$3,0),FALSE)</f>
        <v>#N/A</v>
      </c>
      <c r="AR447" s="4" t="e">
        <f>VLOOKUP($N447,[2]Cultures!$B$4:$M$283,MATCH(AR$1,[2]Cultures!$B$3:$M$3,0),FALSE)</f>
        <v>#N/A</v>
      </c>
      <c r="AS447" s="4" t="e">
        <f>VLOOKUP($N447,[2]Cultures!$B$4:$M$283,MATCH(AS$1,[2]Cultures!$B$3:$M$3,0),FALSE)</f>
        <v>#N/A</v>
      </c>
      <c r="AT447" s="4"/>
      <c r="AU447" s="4">
        <f>IF(ISNUMBER(SEARCH(N447&amp;";",Calculations!$Q$19)),VLOOKUP(Skills!N447,Calculations!$Q$2:$T$16,4,FALSE),0)</f>
        <v>0</v>
      </c>
      <c r="AV447" s="4">
        <f>IF(ISNUMBER(SEARCH(N447&amp;";",Calculations!$Q$18)),1,0)</f>
        <v>0</v>
      </c>
      <c r="AW447" s="4">
        <f t="shared" si="245"/>
        <v>0</v>
      </c>
      <c r="AX447" s="4">
        <f>VLOOKUP($N447,$N447:$CH447,MATCH('Character Sheet'!$BJ$3,Skills!$N$1:$CH$1,0),FALSE)</f>
        <v>0</v>
      </c>
    </row>
    <row r="448" spans="1:50" x14ac:dyDescent="0.25">
      <c r="B448" s="4" t="e">
        <f t="shared" si="225"/>
        <v>#N/A</v>
      </c>
      <c r="E448" s="4"/>
      <c r="F448" s="4">
        <f t="shared" ca="1" si="204"/>
        <v>0</v>
      </c>
      <c r="G448" s="4"/>
      <c r="H448" s="4" t="e">
        <f t="shared" si="240"/>
        <v>#N/A</v>
      </c>
      <c r="I448" s="4" t="e">
        <f t="shared" si="242"/>
        <v>#N/A</v>
      </c>
      <c r="J448" s="4">
        <f t="shared" si="205"/>
        <v>0</v>
      </c>
      <c r="K448" s="4" t="e">
        <f t="shared" si="241"/>
        <v>#N/A</v>
      </c>
      <c r="M448" t="str">
        <f t="shared" si="246"/>
        <v>Ritual Magic, Healing</v>
      </c>
      <c r="N448" s="3" t="str">
        <f>'Character Sheet'!COP57</f>
        <v>Healing</v>
      </c>
      <c r="O448" s="4" t="str">
        <f t="shared" si="243"/>
        <v>Em/Em</v>
      </c>
      <c r="P448" s="4" t="s">
        <v>801</v>
      </c>
      <c r="Q448" s="4" t="e">
        <f t="shared" si="228"/>
        <v>#N/A</v>
      </c>
      <c r="R448" s="4">
        <f>IF(ISNUMBER(SEARCH("Category",N448)),"- -",IF(ISNUMBER(SEARCH("Skills",N448)),"- -",'Level-up'!C466))</f>
        <v>0</v>
      </c>
      <c r="S448" s="4" t="e">
        <f t="shared" si="206"/>
        <v>#N/A</v>
      </c>
      <c r="T448" s="4" t="e">
        <f t="shared" si="207"/>
        <v>#N/A</v>
      </c>
      <c r="U448" s="4">
        <f t="shared" ca="1" si="237"/>
        <v>10</v>
      </c>
      <c r="V448" s="4">
        <f t="shared" si="244"/>
        <v>0</v>
      </c>
      <c r="W448" s="4">
        <f t="shared" si="227"/>
        <v>0</v>
      </c>
      <c r="X448" s="4">
        <f t="shared" si="226"/>
        <v>0</v>
      </c>
      <c r="Y448" s="4">
        <f t="shared" si="208"/>
        <v>0</v>
      </c>
      <c r="Z448" s="4">
        <f t="shared" si="209"/>
        <v>0</v>
      </c>
      <c r="AA448" s="4">
        <f t="shared" si="210"/>
        <v>0</v>
      </c>
      <c r="AB448" s="4">
        <f t="shared" si="211"/>
        <v>0</v>
      </c>
      <c r="AC448" s="8"/>
      <c r="AD448" s="4"/>
      <c r="AE448" s="4"/>
      <c r="AF448" s="4" t="e">
        <f t="shared" si="212"/>
        <v>#N/A</v>
      </c>
      <c r="AG448" s="4"/>
      <c r="AH448" s="4">
        <f>IFERROR(VLOOKUP(M448,Calculations!$AC$2:$AD$251,2,FALSE),0)</f>
        <v>0</v>
      </c>
      <c r="AI448" s="4" t="e">
        <f>VLOOKUP(N448,$N$2:$AS$620,MATCH('Character Creation'!$Z$12,Skills!$N$1:$AS$1,0),FALSE)</f>
        <v>#N/A</v>
      </c>
      <c r="AJ448" s="4" t="e">
        <f>VLOOKUP($N448,[2]Cultures!$B$4:$M$283,MATCH(AJ$1,[2]Cultures!$B$3:$M$3,0),FALSE)</f>
        <v>#N/A</v>
      </c>
      <c r="AK448" s="4" t="e">
        <f>VLOOKUP($N448,[2]Cultures!$B$4:$M$283,MATCH(AK$1,[2]Cultures!$B$3:$M$3,0),FALSE)</f>
        <v>#N/A</v>
      </c>
      <c r="AL448" s="4" t="e">
        <f>VLOOKUP($N448,[2]Cultures!$B$4:$M$283,MATCH(AL$1,[2]Cultures!$B$3:$M$3,0),FALSE)</f>
        <v>#N/A</v>
      </c>
      <c r="AM448" s="4" t="e">
        <f>VLOOKUP($N448,[2]Cultures!$B$4:$M$283,MATCH(AM$1,[2]Cultures!$B$3:$M$3,0),FALSE)</f>
        <v>#N/A</v>
      </c>
      <c r="AN448" s="4" t="e">
        <f>VLOOKUP($N448,[2]Cultures!$B$4:$M$283,MATCH(AN$1,[2]Cultures!$B$3:$M$3,0),FALSE)</f>
        <v>#N/A</v>
      </c>
      <c r="AO448" s="4" t="e">
        <f>VLOOKUP($N448,[2]Cultures!$B$4:$M$283,MATCH(AO$1,[2]Cultures!$B$3:$M$3,0),FALSE)</f>
        <v>#N/A</v>
      </c>
      <c r="AP448" s="4" t="e">
        <f>VLOOKUP($N448,[2]Cultures!$B$4:$M$283,MATCH(AP$1,[2]Cultures!$B$3:$M$3,0),FALSE)</f>
        <v>#N/A</v>
      </c>
      <c r="AQ448" s="4" t="e">
        <f>VLOOKUP($N448,[2]Cultures!$B$4:$M$283,MATCH(AQ$1,[2]Cultures!$B$3:$M$3,0),FALSE)</f>
        <v>#N/A</v>
      </c>
      <c r="AR448" s="4" t="e">
        <f>VLOOKUP($N448,[2]Cultures!$B$4:$M$283,MATCH(AR$1,[2]Cultures!$B$3:$M$3,0),FALSE)</f>
        <v>#N/A</v>
      </c>
      <c r="AS448" s="4" t="e">
        <f>VLOOKUP($N448,[2]Cultures!$B$4:$M$283,MATCH(AS$1,[2]Cultures!$B$3:$M$3,0),FALSE)</f>
        <v>#N/A</v>
      </c>
      <c r="AT448" s="4"/>
      <c r="AU448" s="4">
        <f>IF(ISNUMBER(SEARCH(N448&amp;";",Calculations!$Q$19)),VLOOKUP(Skills!N448,Calculations!$Q$2:$T$16,4,FALSE),0)</f>
        <v>0</v>
      </c>
      <c r="AV448" s="4">
        <f>IF(ISNUMBER(SEARCH(N448&amp;";",Calculations!$Q$18)),1,0)</f>
        <v>0</v>
      </c>
      <c r="AW448" s="4">
        <f t="shared" si="245"/>
        <v>0</v>
      </c>
      <c r="AX448" s="4">
        <f>VLOOKUP($N448,$N448:$CH448,MATCH('Character Sheet'!$BJ$3,Skills!$N$1:$CH$1,0),FALSE)</f>
        <v>0</v>
      </c>
    </row>
    <row r="449" spans="2:50" x14ac:dyDescent="0.25">
      <c r="B449" s="4" t="e">
        <f t="shared" ca="1" si="225"/>
        <v>#N/A</v>
      </c>
      <c r="E449" s="4"/>
      <c r="F449" s="4">
        <f t="shared" ca="1" si="204"/>
        <v>0</v>
      </c>
      <c r="G449" s="4"/>
      <c r="H449" s="4" t="e">
        <f t="shared" si="240"/>
        <v>#N/A</v>
      </c>
      <c r="I449" s="4" t="e">
        <f t="shared" si="242"/>
        <v>#N/A</v>
      </c>
      <c r="J449" s="4">
        <f t="shared" si="205"/>
        <v>0</v>
      </c>
      <c r="K449" s="4" t="e">
        <f t="shared" ca="1" si="241"/>
        <v>#N/A</v>
      </c>
      <c r="M449" t="str">
        <f t="shared" si="246"/>
        <v>Ritual Magic, Informational</v>
      </c>
      <c r="N449" s="3" t="str">
        <f>'Character Sheet'!COP58</f>
        <v>Informational</v>
      </c>
      <c r="O449" s="4" t="str">
        <f t="shared" si="243"/>
        <v>Em/Em</v>
      </c>
      <c r="P449" s="4" t="s">
        <v>801</v>
      </c>
      <c r="Q449" s="4" t="e">
        <f t="shared" ca="1" si="228"/>
        <v>#N/A</v>
      </c>
      <c r="R449" s="4">
        <f>IF(ISNUMBER(SEARCH("Category",N449)),"- -",IF(ISNUMBER(SEARCH("Skills",N449)),"- -",'Level-up'!C467))</f>
        <v>0</v>
      </c>
      <c r="S449" s="4" t="e">
        <f t="shared" ca="1" si="206"/>
        <v>#N/A</v>
      </c>
      <c r="T449" s="4" t="e">
        <f t="shared" ca="1" si="207"/>
        <v>#N/A</v>
      </c>
      <c r="U449" s="4">
        <f t="shared" ca="1" si="237"/>
        <v>10</v>
      </c>
      <c r="V449" s="4">
        <f t="shared" si="244"/>
        <v>0</v>
      </c>
      <c r="W449" s="4">
        <f t="shared" si="227"/>
        <v>0</v>
      </c>
      <c r="X449" s="4">
        <f t="shared" si="226"/>
        <v>0</v>
      </c>
      <c r="Y449" s="4">
        <f t="shared" si="208"/>
        <v>0</v>
      </c>
      <c r="Z449" s="4">
        <f t="shared" si="209"/>
        <v>0</v>
      </c>
      <c r="AA449" s="4">
        <f t="shared" si="210"/>
        <v>0</v>
      </c>
      <c r="AB449" s="4">
        <f t="shared" si="211"/>
        <v>0</v>
      </c>
      <c r="AC449" s="8"/>
      <c r="AD449" s="4"/>
      <c r="AE449" s="4"/>
      <c r="AF449" s="4" t="e">
        <f t="shared" ca="1" si="212"/>
        <v>#N/A</v>
      </c>
      <c r="AG449" s="4"/>
      <c r="AH449" s="4">
        <f>IFERROR(VLOOKUP(M449,Calculations!$AC$2:$AD$251,2,FALSE),0)</f>
        <v>0</v>
      </c>
      <c r="AI449" s="4" t="e">
        <f ca="1">VLOOKUP(N449,$N$2:$AS$620,MATCH('Character Creation'!$Z$12,Skills!$N$1:$AS$1,0),FALSE)</f>
        <v>#N/A</v>
      </c>
      <c r="AJ449" s="4" t="e">
        <f>VLOOKUP($N449,[2]Cultures!$B$4:$M$283,MATCH(AJ$1,[2]Cultures!$B$3:$M$3,0),FALSE)</f>
        <v>#N/A</v>
      </c>
      <c r="AK449" s="4" t="e">
        <f>VLOOKUP($N449,[2]Cultures!$B$4:$M$283,MATCH(AK$1,[2]Cultures!$B$3:$M$3,0),FALSE)</f>
        <v>#N/A</v>
      </c>
      <c r="AL449" s="4" t="e">
        <f>VLOOKUP($N449,[2]Cultures!$B$4:$M$283,MATCH(AL$1,[2]Cultures!$B$3:$M$3,0),FALSE)</f>
        <v>#N/A</v>
      </c>
      <c r="AM449" s="4" t="e">
        <f>VLOOKUP($N449,[2]Cultures!$B$4:$M$283,MATCH(AM$1,[2]Cultures!$B$3:$M$3,0),FALSE)</f>
        <v>#N/A</v>
      </c>
      <c r="AN449" s="4" t="e">
        <f>VLOOKUP($N449,[2]Cultures!$B$4:$M$283,MATCH(AN$1,[2]Cultures!$B$3:$M$3,0),FALSE)</f>
        <v>#N/A</v>
      </c>
      <c r="AO449" s="4" t="e">
        <f>VLOOKUP($N449,[2]Cultures!$B$4:$M$283,MATCH(AO$1,[2]Cultures!$B$3:$M$3,0),FALSE)</f>
        <v>#N/A</v>
      </c>
      <c r="AP449" s="4" t="e">
        <f>VLOOKUP($N449,[2]Cultures!$B$4:$M$283,MATCH(AP$1,[2]Cultures!$B$3:$M$3,0),FALSE)</f>
        <v>#N/A</v>
      </c>
      <c r="AQ449" s="4" t="e">
        <f>VLOOKUP($N449,[2]Cultures!$B$4:$M$283,MATCH(AQ$1,[2]Cultures!$B$3:$M$3,0),FALSE)</f>
        <v>#N/A</v>
      </c>
      <c r="AR449" s="4" t="e">
        <f>VLOOKUP($N449,[2]Cultures!$B$4:$M$283,MATCH(AR$1,[2]Cultures!$B$3:$M$3,0),FALSE)</f>
        <v>#N/A</v>
      </c>
      <c r="AS449" s="4" t="e">
        <f>VLOOKUP($N449,[2]Cultures!$B$4:$M$283,MATCH(AS$1,[2]Cultures!$B$3:$M$3,0),FALSE)</f>
        <v>#N/A</v>
      </c>
      <c r="AT449" s="4"/>
      <c r="AU449" s="4">
        <f>IF(ISNUMBER(SEARCH(N449&amp;";",Calculations!$Q$19)),VLOOKUP(Skills!N449,Calculations!$Q$2:$T$16,4,FALSE),0)</f>
        <v>0</v>
      </c>
      <c r="AV449" s="4">
        <f>IF(ISNUMBER(SEARCH(N449&amp;";",Calculations!$Q$18)),1,0)</f>
        <v>0</v>
      </c>
      <c r="AW449" s="4">
        <f t="shared" si="245"/>
        <v>0</v>
      </c>
      <c r="AX449" s="4">
        <f>VLOOKUP($N449,$N449:$CH449,MATCH('Character Sheet'!$BJ$3,Skills!$N$1:$CH$1,0),FALSE)</f>
        <v>0</v>
      </c>
    </row>
    <row r="450" spans="2:50" x14ac:dyDescent="0.25">
      <c r="B450" s="4" t="e">
        <f t="shared" si="225"/>
        <v>#N/A</v>
      </c>
      <c r="E450" s="4"/>
      <c r="F450" s="4">
        <f t="shared" ca="1" si="204"/>
        <v>0</v>
      </c>
      <c r="G450" s="4"/>
      <c r="H450" s="4" t="e">
        <f t="shared" si="240"/>
        <v>#N/A</v>
      </c>
      <c r="I450" s="4" t="e">
        <f t="shared" si="242"/>
        <v>#N/A</v>
      </c>
      <c r="J450" s="4">
        <f t="shared" si="205"/>
        <v>0</v>
      </c>
      <c r="K450" s="4" t="e">
        <f t="shared" si="241"/>
        <v>#N/A</v>
      </c>
      <c r="M450" t="str">
        <f t="shared" si="246"/>
        <v>Ritual Magic, Transportation</v>
      </c>
      <c r="N450" s="3" t="str">
        <f>'Character Sheet'!COP59</f>
        <v>Transportation</v>
      </c>
      <c r="O450" s="4" t="str">
        <f t="shared" si="243"/>
        <v>Em/Em</v>
      </c>
      <c r="P450" s="4" t="s">
        <v>801</v>
      </c>
      <c r="Q450" s="4" t="e">
        <f t="shared" si="228"/>
        <v>#N/A</v>
      </c>
      <c r="R450" s="4">
        <f>IF(ISNUMBER(SEARCH("Category",N450)),"- -",IF(ISNUMBER(SEARCH("Skills",N450)),"- -",'Level-up'!C468))</f>
        <v>0</v>
      </c>
      <c r="S450" s="4" t="e">
        <f t="shared" si="206"/>
        <v>#N/A</v>
      </c>
      <c r="T450" s="4" t="e">
        <f t="shared" si="207"/>
        <v>#N/A</v>
      </c>
      <c r="U450" s="4">
        <f t="shared" ca="1" si="237"/>
        <v>10</v>
      </c>
      <c r="V450" s="4">
        <f t="shared" si="244"/>
        <v>0</v>
      </c>
      <c r="W450" s="4">
        <f t="shared" si="227"/>
        <v>0</v>
      </c>
      <c r="X450" s="4">
        <f t="shared" si="226"/>
        <v>0</v>
      </c>
      <c r="Y450" s="4">
        <f t="shared" si="208"/>
        <v>0</v>
      </c>
      <c r="Z450" s="4">
        <f t="shared" si="209"/>
        <v>0</v>
      </c>
      <c r="AA450" s="4">
        <f t="shared" si="210"/>
        <v>0</v>
      </c>
      <c r="AB450" s="4">
        <f t="shared" si="211"/>
        <v>0</v>
      </c>
      <c r="AC450" s="8"/>
      <c r="AD450" s="4"/>
      <c r="AE450" s="4"/>
      <c r="AF450" s="4" t="e">
        <f t="shared" si="212"/>
        <v>#N/A</v>
      </c>
      <c r="AG450" s="4"/>
      <c r="AH450" s="4">
        <f>IFERROR(VLOOKUP(M450,Calculations!$AC$2:$AD$251,2,FALSE),0)</f>
        <v>0</v>
      </c>
      <c r="AI450" s="4" t="e">
        <f>VLOOKUP(N450,$N$2:$AS$620,MATCH('Character Creation'!$Z$12,Skills!$N$1:$AS$1,0),FALSE)</f>
        <v>#N/A</v>
      </c>
      <c r="AJ450" s="4" t="e">
        <f>VLOOKUP($N450,[2]Cultures!$B$4:$M$283,MATCH(AJ$1,[2]Cultures!$B$3:$M$3,0),FALSE)</f>
        <v>#N/A</v>
      </c>
      <c r="AK450" s="4" t="e">
        <f>VLOOKUP($N450,[2]Cultures!$B$4:$M$283,MATCH(AK$1,[2]Cultures!$B$3:$M$3,0),FALSE)</f>
        <v>#N/A</v>
      </c>
      <c r="AL450" s="4" t="e">
        <f>VLOOKUP($N450,[2]Cultures!$B$4:$M$283,MATCH(AL$1,[2]Cultures!$B$3:$M$3,0),FALSE)</f>
        <v>#N/A</v>
      </c>
      <c r="AM450" s="4" t="e">
        <f>VLOOKUP($N450,[2]Cultures!$B$4:$M$283,MATCH(AM$1,[2]Cultures!$B$3:$M$3,0),FALSE)</f>
        <v>#N/A</v>
      </c>
      <c r="AN450" s="4" t="e">
        <f>VLOOKUP($N450,[2]Cultures!$B$4:$M$283,MATCH(AN$1,[2]Cultures!$B$3:$M$3,0),FALSE)</f>
        <v>#N/A</v>
      </c>
      <c r="AO450" s="4" t="e">
        <f>VLOOKUP($N450,[2]Cultures!$B$4:$M$283,MATCH(AO$1,[2]Cultures!$B$3:$M$3,0),FALSE)</f>
        <v>#N/A</v>
      </c>
      <c r="AP450" s="4" t="e">
        <f>VLOOKUP($N450,[2]Cultures!$B$4:$M$283,MATCH(AP$1,[2]Cultures!$B$3:$M$3,0),FALSE)</f>
        <v>#N/A</v>
      </c>
      <c r="AQ450" s="4" t="e">
        <f>VLOOKUP($N450,[2]Cultures!$B$4:$M$283,MATCH(AQ$1,[2]Cultures!$B$3:$M$3,0),FALSE)</f>
        <v>#N/A</v>
      </c>
      <c r="AR450" s="4" t="e">
        <f>VLOOKUP($N450,[2]Cultures!$B$4:$M$283,MATCH(AR$1,[2]Cultures!$B$3:$M$3,0),FALSE)</f>
        <v>#N/A</v>
      </c>
      <c r="AS450" s="4" t="e">
        <f>VLOOKUP($N450,[2]Cultures!$B$4:$M$283,MATCH(AS$1,[2]Cultures!$B$3:$M$3,0),FALSE)</f>
        <v>#N/A</v>
      </c>
      <c r="AT450" s="4"/>
      <c r="AU450" s="4">
        <f>IF(ISNUMBER(SEARCH(N450&amp;";",Calculations!$Q$19)),VLOOKUP(Skills!N450,Calculations!$Q$2:$T$16,4,FALSE),0)</f>
        <v>0</v>
      </c>
      <c r="AV450" s="4">
        <f>IF(ISNUMBER(SEARCH(N450&amp;";",Calculations!$Q$18)),1,0)</f>
        <v>0</v>
      </c>
      <c r="AW450" s="4">
        <f t="shared" si="245"/>
        <v>0</v>
      </c>
      <c r="AX450" s="4">
        <f>VLOOKUP($N450,$N450:$CH450,MATCH('Character Sheet'!$BJ$3,Skills!$N$1:$CH$1,0),FALSE)</f>
        <v>0</v>
      </c>
    </row>
    <row r="451" spans="2:50" x14ac:dyDescent="0.25">
      <c r="B451" s="4" t="e">
        <f t="shared" si="225"/>
        <v>#N/A</v>
      </c>
      <c r="E451" s="4"/>
      <c r="F451" s="4">
        <f t="shared" ref="F451:F514" ca="1" si="247">IF(AX451="x",F450+1,F450)</f>
        <v>0</v>
      </c>
      <c r="G451" s="4"/>
      <c r="H451" s="4" t="e">
        <f t="shared" si="240"/>
        <v>#N/A</v>
      </c>
      <c r="I451" s="4" t="e">
        <f>IF($J$452=1,1,IF($J$454=1,1,IF($J$502=1,1,IF($J$506=1,1,0))))</f>
        <v>#N/A</v>
      </c>
      <c r="J451" s="4">
        <f t="shared" ref="J451:J514" si="248">IF(ISNUMBER(SEARCH("Skills",N451)),IF(AI451&gt;=1,1,0),0)</f>
        <v>0</v>
      </c>
      <c r="K451" s="4" t="e">
        <f t="shared" si="241"/>
        <v>#N/A</v>
      </c>
      <c r="N451" s="3" t="s">
        <v>720</v>
      </c>
      <c r="O451" s="6" t="s">
        <v>782</v>
      </c>
      <c r="P451" s="6" t="s">
        <v>782</v>
      </c>
      <c r="Q451" s="4" t="str">
        <f t="shared" si="228"/>
        <v>- -</v>
      </c>
      <c r="R451" s="4" t="str">
        <f>IF(ISNUMBER(SEARCH("Category",N451)),"- -",IF(ISNUMBER(SEARCH("Skills",N451)),"- -",'Level-up'!C469))</f>
        <v>- -</v>
      </c>
      <c r="S451" s="4" t="str">
        <f t="shared" ref="S451:S514" si="249">IF(ISNUMBER(SEARCH("Skills",N451)),"- -",IF(ISNUMBER(SEARCH("category",N451)),"- -",SUM(Q451:R451)))</f>
        <v>- -</v>
      </c>
      <c r="T451" s="4" t="str">
        <f t="shared" ref="T451:T514" si="250">IF(ISNUMBER(SEARCH("Skills",N451)),"- -",IF(ISNUMBER(SEARCH("category",N451)),"- -",IF(S451="",0,IF(S451=0,(IF(O451="- -",0,-25)),IF(S451&lt;11,S451*5,IF(S451&lt;21,((S451-10)*3)+50,IF(S451&lt;31,((S451-20)*2)+80,IF(S451&gt;30,(S451-30)+100))))))))</f>
        <v>- -</v>
      </c>
      <c r="U451" s="4" t="str">
        <f t="shared" ca="1" si="237"/>
        <v>- -</v>
      </c>
      <c r="V451" s="4" t="str">
        <f t="shared" si="244"/>
        <v>- -</v>
      </c>
      <c r="W451" s="4" t="str">
        <f t="shared" si="227"/>
        <v>- -</v>
      </c>
      <c r="X451" s="4" t="str">
        <f t="shared" si="226"/>
        <v>- -</v>
      </c>
      <c r="Y451" s="4" t="str">
        <f t="shared" si="208"/>
        <v>- -</v>
      </c>
      <c r="Z451" s="4" t="str">
        <f t="shared" si="209"/>
        <v>- -</v>
      </c>
      <c r="AA451" s="4" t="str">
        <f t="shared" si="210"/>
        <v>- -</v>
      </c>
      <c r="AB451" s="4" t="str">
        <f t="shared" si="211"/>
        <v>- -</v>
      </c>
      <c r="AC451" s="8"/>
      <c r="AD451" s="4"/>
      <c r="AE451" s="4"/>
      <c r="AF451" s="4" t="str">
        <f t="shared" si="212"/>
        <v>- -</v>
      </c>
      <c r="AG451" s="4"/>
      <c r="AH451" s="4">
        <f>IFERROR(VLOOKUP(M451,Calculations!$AC$2:$AD$251,2,FALSE),0)</f>
        <v>0</v>
      </c>
      <c r="AI451" s="4" t="e">
        <f>VLOOKUP(N451,$N$2:$AS$620,MATCH('Character Creation'!$Z$12,Skills!$N$1:$AS$1,0),FALSE)</f>
        <v>#N/A</v>
      </c>
      <c r="AJ451" s="4" t="e">
        <f>VLOOKUP($N451,[2]Cultures!$B$4:$M$283,MATCH(AJ$1,[2]Cultures!$B$3:$M$3,0),FALSE)</f>
        <v>#N/A</v>
      </c>
      <c r="AK451" s="4" t="e">
        <f>VLOOKUP($N451,[2]Cultures!$B$4:$M$283,MATCH(AK$1,[2]Cultures!$B$3:$M$3,0),FALSE)</f>
        <v>#N/A</v>
      </c>
      <c r="AL451" s="4" t="e">
        <f>VLOOKUP($N451,[2]Cultures!$B$4:$M$283,MATCH(AL$1,[2]Cultures!$B$3:$M$3,0),FALSE)</f>
        <v>#N/A</v>
      </c>
      <c r="AM451" s="4" t="e">
        <f>VLOOKUP($N451,[2]Cultures!$B$4:$M$283,MATCH(AM$1,[2]Cultures!$B$3:$M$3,0),FALSE)</f>
        <v>#N/A</v>
      </c>
      <c r="AN451" s="4" t="e">
        <f>VLOOKUP($N451,[2]Cultures!$B$4:$M$283,MATCH(AN$1,[2]Cultures!$B$3:$M$3,0),FALSE)</f>
        <v>#N/A</v>
      </c>
      <c r="AO451" s="4" t="e">
        <f>VLOOKUP($N451,[2]Cultures!$B$4:$M$283,MATCH(AO$1,[2]Cultures!$B$3:$M$3,0),FALSE)</f>
        <v>#N/A</v>
      </c>
      <c r="AP451" s="4" t="e">
        <f>VLOOKUP($N451,[2]Cultures!$B$4:$M$283,MATCH(AP$1,[2]Cultures!$B$3:$M$3,0),FALSE)</f>
        <v>#N/A</v>
      </c>
      <c r="AQ451" s="4" t="e">
        <f>VLOOKUP($N451,[2]Cultures!$B$4:$M$283,MATCH(AQ$1,[2]Cultures!$B$3:$M$3,0),FALSE)</f>
        <v>#N/A</v>
      </c>
      <c r="AR451" s="4" t="e">
        <f>VLOOKUP($N451,[2]Cultures!$B$4:$M$283,MATCH(AR$1,[2]Cultures!$B$3:$M$3,0),FALSE)</f>
        <v>#N/A</v>
      </c>
      <c r="AS451" s="4" t="e">
        <f>VLOOKUP($N451,[2]Cultures!$B$4:$M$283,MATCH(AS$1,[2]Cultures!$B$3:$M$3,0),FALSE)</f>
        <v>#N/A</v>
      </c>
      <c r="AT451" s="4"/>
      <c r="AU451" s="4">
        <f>IF(ISNUMBER(SEARCH(N451&amp;";",Calculations!$Q$19)),VLOOKUP(Skills!N451,Calculations!$Q$2:$T$16,4,FALSE),0)</f>
        <v>0</v>
      </c>
      <c r="AV451" s="4">
        <f>IF(ISNUMBER(SEARCH(N451&amp;";",Calculations!$Q$18)),1,0)</f>
        <v>0</v>
      </c>
      <c r="AW451" s="4"/>
      <c r="AX451" s="4">
        <f>VLOOKUP($N451,$N451:$CH451,MATCH('Character Sheet'!$BJ$3,Skills!$N$1:$CH$1,0),FALSE)</f>
        <v>0</v>
      </c>
    </row>
    <row r="452" spans="2:50" x14ac:dyDescent="0.25">
      <c r="B452" s="4" t="e">
        <f t="shared" si="225"/>
        <v>#N/A</v>
      </c>
      <c r="E452" s="4"/>
      <c r="F452" s="4">
        <f t="shared" ca="1" si="247"/>
        <v>0</v>
      </c>
      <c r="G452" s="4"/>
      <c r="H452" s="4" t="e">
        <f t="shared" si="240"/>
        <v>#N/A</v>
      </c>
      <c r="I452" s="4">
        <v>0</v>
      </c>
      <c r="J452" s="4" t="e">
        <f t="shared" si="248"/>
        <v>#N/A</v>
      </c>
      <c r="K452" s="4" t="e">
        <f t="shared" si="241"/>
        <v>#N/A</v>
      </c>
      <c r="N452" s="3" t="s">
        <v>721</v>
      </c>
      <c r="O452" s="6" t="s">
        <v>782</v>
      </c>
      <c r="P452" s="6" t="s">
        <v>782</v>
      </c>
      <c r="Q452" s="4" t="str">
        <f t="shared" si="228"/>
        <v>- -</v>
      </c>
      <c r="R452" s="4" t="str">
        <f>IF(ISNUMBER(SEARCH("Category",N452)),"- -",IF(ISNUMBER(SEARCH("Skills",N452)),"- -",'Level-up'!C470))</f>
        <v>- -</v>
      </c>
      <c r="S452" s="4" t="str">
        <f t="shared" si="249"/>
        <v>- -</v>
      </c>
      <c r="T452" s="4" t="str">
        <f t="shared" si="250"/>
        <v>- -</v>
      </c>
      <c r="U452" s="4" t="str">
        <f t="shared" ca="1" si="237"/>
        <v>- -</v>
      </c>
      <c r="V452" s="4" t="str">
        <f t="shared" si="244"/>
        <v>- -</v>
      </c>
      <c r="W452" s="4" t="str">
        <f t="shared" si="227"/>
        <v>- -</v>
      </c>
      <c r="X452" s="4" t="str">
        <f t="shared" si="226"/>
        <v>- -</v>
      </c>
      <c r="Y452" s="4" t="str">
        <f t="shared" ref="Y452:Y515" si="251">IF(ISNUMBER(SEARCH("Category",N452)),"- -",IF(ISNUMBER(SEARCH("Skills",N452)),"- -",0))</f>
        <v>- -</v>
      </c>
      <c r="Z452" s="4" t="str">
        <f t="shared" ref="Z452:Z515" si="252">IF(ISNUMBER(SEARCH("Category",N452)),"- -",IF(ISNUMBER(SEARCH("Skills",N452)),"- -",0))</f>
        <v>- -</v>
      </c>
      <c r="AA452" s="4" t="str">
        <f t="shared" ref="AA452:AA515" si="253">IF(ISNUMBER(SEARCH("Category",N452)),"- -",IF(ISNUMBER(SEARCH("Skills",N452)),"- -",0))</f>
        <v>- -</v>
      </c>
      <c r="AB452" s="4" t="str">
        <f t="shared" ref="AB452:AB515" si="254">IF(ISNUMBER(SEARCH("Category",N452)),"- -",IF(ISNUMBER(SEARCH("Skills",N452)),"- -",0))</f>
        <v>- -</v>
      </c>
      <c r="AC452" s="8"/>
      <c r="AD452" s="4"/>
      <c r="AE452" s="4"/>
      <c r="AF452" s="4" t="str">
        <f t="shared" si="212"/>
        <v>- -</v>
      </c>
      <c r="AG452" s="4"/>
      <c r="AH452" s="4">
        <f>IFERROR(VLOOKUP(M452,Calculations!$AC$2:$AD$251,2,FALSE),0)</f>
        <v>0</v>
      </c>
      <c r="AI452" s="4" t="e">
        <f>VLOOKUP(N452,$N$2:$AS$620,MATCH('Character Creation'!$Z$12,Skills!$N$1:$AS$1,0),FALSE)</f>
        <v>#N/A</v>
      </c>
      <c r="AJ452" s="4" t="e">
        <f>VLOOKUP($N452,[2]Cultures!$B$4:$M$283,MATCH(AJ$1,[2]Cultures!$B$3:$M$3,0),FALSE)</f>
        <v>#N/A</v>
      </c>
      <c r="AK452" s="4" t="e">
        <f>VLOOKUP($N452,[2]Cultures!$B$4:$M$283,MATCH(AK$1,[2]Cultures!$B$3:$M$3,0),FALSE)</f>
        <v>#N/A</v>
      </c>
      <c r="AL452" s="4" t="e">
        <f>VLOOKUP($N452,[2]Cultures!$B$4:$M$283,MATCH(AL$1,[2]Cultures!$B$3:$M$3,0),FALSE)</f>
        <v>#N/A</v>
      </c>
      <c r="AM452" s="4" t="e">
        <f>VLOOKUP($N452,[2]Cultures!$B$4:$M$283,MATCH(AM$1,[2]Cultures!$B$3:$M$3,0),FALSE)</f>
        <v>#N/A</v>
      </c>
      <c r="AN452" s="4" t="e">
        <f>VLOOKUP($N452,[2]Cultures!$B$4:$M$283,MATCH(AN$1,[2]Cultures!$B$3:$M$3,0),FALSE)</f>
        <v>#N/A</v>
      </c>
      <c r="AO452" s="4" t="e">
        <f>VLOOKUP($N452,[2]Cultures!$B$4:$M$283,MATCH(AO$1,[2]Cultures!$B$3:$M$3,0),FALSE)</f>
        <v>#N/A</v>
      </c>
      <c r="AP452" s="4" t="e">
        <f>VLOOKUP($N452,[2]Cultures!$B$4:$M$283,MATCH(AP$1,[2]Cultures!$B$3:$M$3,0),FALSE)</f>
        <v>#N/A</v>
      </c>
      <c r="AQ452" s="4" t="e">
        <f>VLOOKUP($N452,[2]Cultures!$B$4:$M$283,MATCH(AQ$1,[2]Cultures!$B$3:$M$3,0),FALSE)</f>
        <v>#N/A</v>
      </c>
      <c r="AR452" s="4" t="e">
        <f>VLOOKUP($N452,[2]Cultures!$B$4:$M$283,MATCH(AR$1,[2]Cultures!$B$3:$M$3,0),FALSE)</f>
        <v>#N/A</v>
      </c>
      <c r="AS452" s="4" t="e">
        <f>VLOOKUP($N452,[2]Cultures!$B$4:$M$283,MATCH(AS$1,[2]Cultures!$B$3:$M$3,0),FALSE)</f>
        <v>#N/A</v>
      </c>
      <c r="AT452" s="4"/>
      <c r="AU452" s="4">
        <f>IF(ISNUMBER(SEARCH(N452&amp;";",Calculations!$Q$19)),VLOOKUP(Skills!N452,Calculations!$Q$2:$T$16,4,FALSE),0)</f>
        <v>0</v>
      </c>
      <c r="AV452" s="4">
        <f>IF(ISNUMBER(SEARCH(N452&amp;";",Calculations!$Q$18)),1,0)</f>
        <v>0</v>
      </c>
      <c r="AW452" s="4"/>
      <c r="AX452" s="4">
        <f>VLOOKUP($N452,$N452:$CH452,MATCH('Character Sheet'!$BJ$3,Skills!$N$1:$CH$1,0),FALSE)</f>
        <v>0</v>
      </c>
    </row>
    <row r="453" spans="2:50" x14ac:dyDescent="0.25">
      <c r="B453" s="4" t="e">
        <f t="shared" si="225"/>
        <v>#N/A</v>
      </c>
      <c r="E453" s="4"/>
      <c r="F453" s="4">
        <f t="shared" ca="1" si="247"/>
        <v>0</v>
      </c>
      <c r="G453" s="4"/>
      <c r="H453" s="4" t="e">
        <f t="shared" si="240"/>
        <v>#N/A</v>
      </c>
      <c r="I453" s="4" t="e">
        <f>IF($J$452=1,1,IF($J$454=1,1,IF($J$502=1,1,IF($J$506=1,1,0))))</f>
        <v>#N/A</v>
      </c>
      <c r="J453" s="4">
        <f t="shared" si="248"/>
        <v>0</v>
      </c>
      <c r="K453" s="4" t="e">
        <f t="shared" si="241"/>
        <v>#N/A</v>
      </c>
      <c r="N453" s="3" t="s">
        <v>722</v>
      </c>
      <c r="O453" s="6" t="s">
        <v>782</v>
      </c>
      <c r="P453" s="6" t="s">
        <v>782</v>
      </c>
      <c r="Q453" s="4" t="str">
        <f t="shared" si="228"/>
        <v>- -</v>
      </c>
      <c r="R453" s="4" t="str">
        <f>IF(ISNUMBER(SEARCH("Category",N453)),"- -",IF(ISNUMBER(SEARCH("Skills",N453)),"- -",'Level-up'!C471))</f>
        <v>- -</v>
      </c>
      <c r="S453" s="4" t="str">
        <f t="shared" si="249"/>
        <v>- -</v>
      </c>
      <c r="T453" s="4" t="str">
        <f t="shared" si="250"/>
        <v>- -</v>
      </c>
      <c r="U453" s="4" t="str">
        <f t="shared" ca="1" si="237"/>
        <v>- -</v>
      </c>
      <c r="V453" s="4" t="str">
        <f t="shared" si="244"/>
        <v>- -</v>
      </c>
      <c r="W453" s="4" t="str">
        <f t="shared" si="227"/>
        <v>- -</v>
      </c>
      <c r="X453" s="4" t="str">
        <f t="shared" si="226"/>
        <v>- -</v>
      </c>
      <c r="Y453" s="4" t="str">
        <f t="shared" si="251"/>
        <v>- -</v>
      </c>
      <c r="Z453" s="4" t="str">
        <f t="shared" si="252"/>
        <v>- -</v>
      </c>
      <c r="AA453" s="4" t="str">
        <f t="shared" si="253"/>
        <v>- -</v>
      </c>
      <c r="AB453" s="4" t="str">
        <f t="shared" si="254"/>
        <v>- -</v>
      </c>
      <c r="AC453" s="8"/>
      <c r="AD453" s="4"/>
      <c r="AE453" s="4"/>
      <c r="AF453" s="4" t="str">
        <f t="shared" si="212"/>
        <v>- -</v>
      </c>
      <c r="AG453" s="4"/>
      <c r="AH453" s="4">
        <f>IFERROR(VLOOKUP(M453,Calculations!$AC$2:$AD$251,2,FALSE),0)</f>
        <v>0</v>
      </c>
      <c r="AI453" s="4" t="e">
        <f>VLOOKUP(N453,$N$2:$AS$620,MATCH('Character Creation'!$Z$12,Skills!$N$1:$AS$1,0),FALSE)</f>
        <v>#N/A</v>
      </c>
      <c r="AJ453" s="4" t="e">
        <f>VLOOKUP($N453,[2]Cultures!$B$4:$M$283,MATCH(AJ$1,[2]Cultures!$B$3:$M$3,0),FALSE)</f>
        <v>#N/A</v>
      </c>
      <c r="AK453" s="4" t="e">
        <f>VLOOKUP($N453,[2]Cultures!$B$4:$M$283,MATCH(AK$1,[2]Cultures!$B$3:$M$3,0),FALSE)</f>
        <v>#N/A</v>
      </c>
      <c r="AL453" s="4" t="e">
        <f>VLOOKUP($N453,[2]Cultures!$B$4:$M$283,MATCH(AL$1,[2]Cultures!$B$3:$M$3,0),FALSE)</f>
        <v>#N/A</v>
      </c>
      <c r="AM453" s="4" t="e">
        <f>VLOOKUP($N453,[2]Cultures!$B$4:$M$283,MATCH(AM$1,[2]Cultures!$B$3:$M$3,0),FALSE)</f>
        <v>#N/A</v>
      </c>
      <c r="AN453" s="4" t="e">
        <f>VLOOKUP($N453,[2]Cultures!$B$4:$M$283,MATCH(AN$1,[2]Cultures!$B$3:$M$3,0),FALSE)</f>
        <v>#N/A</v>
      </c>
      <c r="AO453" s="4" t="e">
        <f>VLOOKUP($N453,[2]Cultures!$B$4:$M$283,MATCH(AO$1,[2]Cultures!$B$3:$M$3,0),FALSE)</f>
        <v>#N/A</v>
      </c>
      <c r="AP453" s="4" t="e">
        <f>VLOOKUP($N453,[2]Cultures!$B$4:$M$283,MATCH(AP$1,[2]Cultures!$B$3:$M$3,0),FALSE)</f>
        <v>#N/A</v>
      </c>
      <c r="AQ453" s="4" t="e">
        <f>VLOOKUP($N453,[2]Cultures!$B$4:$M$283,MATCH(AQ$1,[2]Cultures!$B$3:$M$3,0),FALSE)</f>
        <v>#N/A</v>
      </c>
      <c r="AR453" s="4" t="e">
        <f>VLOOKUP($N453,[2]Cultures!$B$4:$M$283,MATCH(AR$1,[2]Cultures!$B$3:$M$3,0),FALSE)</f>
        <v>#N/A</v>
      </c>
      <c r="AS453" s="4" t="e">
        <f>VLOOKUP($N453,[2]Cultures!$B$4:$M$283,MATCH(AS$1,[2]Cultures!$B$3:$M$3,0),FALSE)</f>
        <v>#N/A</v>
      </c>
      <c r="AT453" s="4"/>
      <c r="AU453" s="4">
        <f>IF(ISNUMBER(SEARCH(N453&amp;";",Calculations!$Q$19)),VLOOKUP(Skills!N453,Calculations!$Q$2:$T$16,4,FALSE),0)</f>
        <v>0</v>
      </c>
      <c r="AV453" s="4">
        <f>IF(ISNUMBER(SEARCH(N453&amp;";",Calculations!$Q$18)),1,0)</f>
        <v>0</v>
      </c>
      <c r="AW453" s="4"/>
      <c r="AX453" s="4">
        <f>VLOOKUP($N453,$N453:$CH453,MATCH('Character Sheet'!$BJ$3,Skills!$N$1:$CH$1,0),FALSE)</f>
        <v>0</v>
      </c>
    </row>
    <row r="454" spans="2:50" x14ac:dyDescent="0.25">
      <c r="B454" s="4" t="e">
        <f t="shared" si="225"/>
        <v>#N/A</v>
      </c>
      <c r="E454" s="4"/>
      <c r="F454" s="4">
        <f t="shared" ca="1" si="247"/>
        <v>0</v>
      </c>
      <c r="G454" s="4"/>
      <c r="H454" s="4" t="e">
        <f t="shared" si="240"/>
        <v>#N/A</v>
      </c>
      <c r="I454" s="4">
        <v>0</v>
      </c>
      <c r="J454" s="4" t="e">
        <f t="shared" si="248"/>
        <v>#N/A</v>
      </c>
      <c r="K454" s="4" t="e">
        <f t="shared" si="241"/>
        <v>#N/A</v>
      </c>
      <c r="N454" s="3" t="s">
        <v>721</v>
      </c>
      <c r="O454" s="6" t="s">
        <v>782</v>
      </c>
      <c r="P454" s="6" t="s">
        <v>782</v>
      </c>
      <c r="Q454" s="4" t="str">
        <f t="shared" si="228"/>
        <v>- -</v>
      </c>
      <c r="R454" s="4" t="str">
        <f>IF(ISNUMBER(SEARCH("Category",N454)),"- -",IF(ISNUMBER(SEARCH("Skills",N454)),"- -",'Level-up'!C472))</f>
        <v>- -</v>
      </c>
      <c r="S454" s="4" t="str">
        <f t="shared" si="249"/>
        <v>- -</v>
      </c>
      <c r="T454" s="4" t="str">
        <f t="shared" si="250"/>
        <v>- -</v>
      </c>
      <c r="U454" s="4" t="str">
        <f t="shared" ca="1" si="237"/>
        <v>- -</v>
      </c>
      <c r="V454" s="4" t="str">
        <f t="shared" si="244"/>
        <v>- -</v>
      </c>
      <c r="W454" s="4" t="str">
        <f t="shared" si="227"/>
        <v>- -</v>
      </c>
      <c r="X454" s="4" t="str">
        <f t="shared" si="226"/>
        <v>- -</v>
      </c>
      <c r="Y454" s="4" t="str">
        <f t="shared" si="251"/>
        <v>- -</v>
      </c>
      <c r="Z454" s="4" t="str">
        <f t="shared" si="252"/>
        <v>- -</v>
      </c>
      <c r="AA454" s="4" t="str">
        <f t="shared" si="253"/>
        <v>- -</v>
      </c>
      <c r="AB454" s="4" t="str">
        <f t="shared" si="254"/>
        <v>- -</v>
      </c>
      <c r="AC454" s="8"/>
      <c r="AD454" s="4"/>
      <c r="AE454" s="4"/>
      <c r="AF454" s="4" t="str">
        <f t="shared" si="212"/>
        <v>- -</v>
      </c>
      <c r="AG454" s="4"/>
      <c r="AH454" s="4">
        <f>IFERROR(VLOOKUP(M454,Calculations!$AC$2:$AD$251,2,FALSE),0)</f>
        <v>0</v>
      </c>
      <c r="AI454" s="4" t="e">
        <f>VLOOKUP(N454,$N$2:$AS$620,MATCH('Character Creation'!$Z$12,Skills!$N$1:$AS$1,0),FALSE)</f>
        <v>#N/A</v>
      </c>
      <c r="AJ454" s="4" t="e">
        <f>VLOOKUP($N454,[2]Cultures!$B$4:$M$283,MATCH(AJ$1,[2]Cultures!$B$3:$M$3,0),FALSE)</f>
        <v>#N/A</v>
      </c>
      <c r="AK454" s="4" t="e">
        <f>VLOOKUP($N454,[2]Cultures!$B$4:$M$283,MATCH(AK$1,[2]Cultures!$B$3:$M$3,0),FALSE)</f>
        <v>#N/A</v>
      </c>
      <c r="AL454" s="4" t="e">
        <f>VLOOKUP($N454,[2]Cultures!$B$4:$M$283,MATCH(AL$1,[2]Cultures!$B$3:$M$3,0),FALSE)</f>
        <v>#N/A</v>
      </c>
      <c r="AM454" s="4" t="e">
        <f>VLOOKUP($N454,[2]Cultures!$B$4:$M$283,MATCH(AM$1,[2]Cultures!$B$3:$M$3,0),FALSE)</f>
        <v>#N/A</v>
      </c>
      <c r="AN454" s="4" t="e">
        <f>VLOOKUP($N454,[2]Cultures!$B$4:$M$283,MATCH(AN$1,[2]Cultures!$B$3:$M$3,0),FALSE)</f>
        <v>#N/A</v>
      </c>
      <c r="AO454" s="4" t="e">
        <f>VLOOKUP($N454,[2]Cultures!$B$4:$M$283,MATCH(AO$1,[2]Cultures!$B$3:$M$3,0),FALSE)</f>
        <v>#N/A</v>
      </c>
      <c r="AP454" s="4" t="e">
        <f>VLOOKUP($N454,[2]Cultures!$B$4:$M$283,MATCH(AP$1,[2]Cultures!$B$3:$M$3,0),FALSE)</f>
        <v>#N/A</v>
      </c>
      <c r="AQ454" s="4" t="e">
        <f>VLOOKUP($N454,[2]Cultures!$B$4:$M$283,MATCH(AQ$1,[2]Cultures!$B$3:$M$3,0),FALSE)</f>
        <v>#N/A</v>
      </c>
      <c r="AR454" s="4" t="e">
        <f>VLOOKUP($N454,[2]Cultures!$B$4:$M$283,MATCH(AR$1,[2]Cultures!$B$3:$M$3,0),FALSE)</f>
        <v>#N/A</v>
      </c>
      <c r="AS454" s="4" t="e">
        <f>VLOOKUP($N454,[2]Cultures!$B$4:$M$283,MATCH(AS$1,[2]Cultures!$B$3:$M$3,0),FALSE)</f>
        <v>#N/A</v>
      </c>
      <c r="AT454" s="4"/>
      <c r="AU454" s="4">
        <f>IF(ISNUMBER(SEARCH(N454&amp;";",Calculations!$Q$19)),VLOOKUP(Skills!N454,Calculations!$Q$2:$T$16,4,FALSE),0)</f>
        <v>0</v>
      </c>
      <c r="AV454" s="4">
        <f>IF(ISNUMBER(SEARCH(N454&amp;";",Calculations!$Q$18)),1,0)</f>
        <v>0</v>
      </c>
      <c r="AW454" s="4"/>
      <c r="AX454" s="4">
        <f>VLOOKUP($N454,$N454:$CH454,MATCH('Character Sheet'!$BJ$3,Skills!$N$1:$CH$1,0),FALSE)</f>
        <v>0</v>
      </c>
    </row>
    <row r="455" spans="2:50" x14ac:dyDescent="0.25">
      <c r="B455" s="4" t="e">
        <f t="shared" si="225"/>
        <v>#N/A</v>
      </c>
      <c r="E455" s="4"/>
      <c r="F455" s="4">
        <f t="shared" ca="1" si="247"/>
        <v>0</v>
      </c>
      <c r="G455" s="4"/>
      <c r="H455" s="4" t="e">
        <f t="shared" si="240"/>
        <v>#N/A</v>
      </c>
      <c r="I455" s="4" t="e">
        <f>IF($J$452=1,1,IF($J$454=1,1,0))</f>
        <v>#N/A</v>
      </c>
      <c r="J455" s="4">
        <f t="shared" si="248"/>
        <v>0</v>
      </c>
      <c r="K455" s="4">
        <f t="shared" si="241"/>
        <v>0</v>
      </c>
      <c r="M455" t="str">
        <f t="shared" ref="M455:M500" si="255">N455</f>
        <v>Aerodynamics</v>
      </c>
      <c r="N455" s="3" t="str">
        <f>'Character Sheet'!CSF5</f>
        <v>Aerodynamics</v>
      </c>
      <c r="O455" s="4" t="s">
        <v>795</v>
      </c>
      <c r="P455" s="4" t="s">
        <v>794</v>
      </c>
      <c r="Q455" s="4">
        <f t="shared" si="228"/>
        <v>0</v>
      </c>
      <c r="R455" s="4">
        <f>IF(ISNUMBER(SEARCH("Category",N455)),"- -",IF(ISNUMBER(SEARCH("Skills",N455)),"- -",'Level-up'!C473))</f>
        <v>0</v>
      </c>
      <c r="S455" s="4">
        <f t="shared" si="249"/>
        <v>0</v>
      </c>
      <c r="T455" s="4">
        <f t="shared" si="250"/>
        <v>-25</v>
      </c>
      <c r="U455" s="4">
        <f t="shared" ca="1" si="237"/>
        <v>5</v>
      </c>
      <c r="V455" s="4">
        <f t="shared" ref="V455:V502" si="256">IF(ISNUMBER(SEARCH("Category",N455)),"- -",IF(ISNUMBER(SEARCH("Skills",N455)),"- -",IF(AU455&gt;0,AU455,IF($AU$453&gt;0,$AU$453,$AU$451))))</f>
        <v>0</v>
      </c>
      <c r="W455" s="4">
        <f t="shared" si="227"/>
        <v>0</v>
      </c>
      <c r="X455" s="4">
        <f t="shared" si="226"/>
        <v>0</v>
      </c>
      <c r="Y455" s="4">
        <f t="shared" si="251"/>
        <v>0</v>
      </c>
      <c r="Z455" s="4">
        <f t="shared" si="252"/>
        <v>0</v>
      </c>
      <c r="AA455" s="4">
        <f t="shared" si="253"/>
        <v>0</v>
      </c>
      <c r="AB455" s="4">
        <f t="shared" si="254"/>
        <v>0</v>
      </c>
      <c r="AC455" s="8"/>
      <c r="AD455" s="4"/>
      <c r="AE455" s="4"/>
      <c r="AF455" s="4" t="str">
        <f t="shared" ca="1" si="212"/>
        <v>-20</v>
      </c>
      <c r="AG455" s="4"/>
      <c r="AH455" s="4">
        <f>IFERROR(VLOOKUP(M455,Calculations!$AC$2:$AD$251,2,FALSE),0)</f>
        <v>0</v>
      </c>
      <c r="AI455" s="4">
        <f>VLOOKUP(N455,$N$2:$AS$620,MATCH('Character Creation'!$Z$12,Skills!$N$1:$AS$1,0),FALSE)</f>
        <v>0</v>
      </c>
      <c r="AJ455" s="4">
        <f>VLOOKUP($N455,[2]Cultures!$B$4:$M$283,MATCH(AJ$1,[2]Cultures!$B$3:$M$3,0),FALSE)</f>
        <v>0</v>
      </c>
      <c r="AK455" s="4">
        <f>VLOOKUP($N455,[2]Cultures!$B$4:$M$283,MATCH(AK$1,[2]Cultures!$B$3:$M$3,0),FALSE)</f>
        <v>0</v>
      </c>
      <c r="AL455" s="4">
        <f>VLOOKUP($N455,[2]Cultures!$B$4:$M$283,MATCH(AL$1,[2]Cultures!$B$3:$M$3,0),FALSE)</f>
        <v>0</v>
      </c>
      <c r="AM455" s="4">
        <f>VLOOKUP($N455,[2]Cultures!$B$4:$M$283,MATCH(AM$1,[2]Cultures!$B$3:$M$3,0),FALSE)</f>
        <v>0</v>
      </c>
      <c r="AN455" s="4">
        <f>VLOOKUP($N455,[2]Cultures!$B$4:$M$283,MATCH(AN$1,[2]Cultures!$B$3:$M$3,0),FALSE)</f>
        <v>0</v>
      </c>
      <c r="AO455" s="4">
        <f>VLOOKUP($N455,[2]Cultures!$B$4:$M$283,MATCH(AO$1,[2]Cultures!$B$3:$M$3,0),FALSE)</f>
        <v>0</v>
      </c>
      <c r="AP455" s="4">
        <f>VLOOKUP($N455,[2]Cultures!$B$4:$M$283,MATCH(AP$1,[2]Cultures!$B$3:$M$3,0),FALSE)</f>
        <v>0</v>
      </c>
      <c r="AQ455" s="4">
        <f>VLOOKUP($N455,[2]Cultures!$B$4:$M$283,MATCH(AQ$1,[2]Cultures!$B$3:$M$3,0),FALSE)</f>
        <v>0</v>
      </c>
      <c r="AR455" s="4">
        <f>VLOOKUP($N455,[2]Cultures!$B$4:$M$283,MATCH(AR$1,[2]Cultures!$B$3:$M$3,0),FALSE)</f>
        <v>0</v>
      </c>
      <c r="AS455" s="4">
        <f>VLOOKUP($N455,[2]Cultures!$B$4:$M$283,MATCH(AS$1,[2]Cultures!$B$3:$M$3,0),FALSE)</f>
        <v>0</v>
      </c>
      <c r="AT455" s="4"/>
      <c r="AU455" s="4">
        <f>IF(ISNUMBER(SEARCH(N455&amp;";",Calculations!$Q$19)),VLOOKUP(Skills!N455,Calculations!$Q$2:$T$16,4,FALSE),0)</f>
        <v>0</v>
      </c>
      <c r="AV455" s="4">
        <f>IF(ISNUMBER(SEARCH(N455&amp;";",Calculations!$Q$18)),1,0)</f>
        <v>0</v>
      </c>
      <c r="AW455" s="4">
        <f t="shared" ref="AW455:AW500" si="257">IF($AV$451=1,1,IF($AV$453=1,1,AV455))</f>
        <v>0</v>
      </c>
      <c r="AX455" s="4">
        <f>VLOOKUP($N455,$N455:$CH455,MATCH('Character Sheet'!$BJ$3,Skills!$N$1:$CH$1,0),FALSE)</f>
        <v>0</v>
      </c>
    </row>
    <row r="456" spans="2:50" x14ac:dyDescent="0.25">
      <c r="B456" s="4" t="e">
        <f t="shared" si="225"/>
        <v>#N/A</v>
      </c>
      <c r="E456" s="4"/>
      <c r="F456" s="4">
        <f t="shared" ca="1" si="247"/>
        <v>0</v>
      </c>
      <c r="G456" s="4"/>
      <c r="H456" s="4" t="e">
        <f t="shared" si="240"/>
        <v>#N/A</v>
      </c>
      <c r="I456" s="4" t="e">
        <f t="shared" ref="I456:I500" si="258">IF($J$452=1,1,IF($J$454=1,1,0))</f>
        <v>#N/A</v>
      </c>
      <c r="J456" s="4">
        <f t="shared" si="248"/>
        <v>0</v>
      </c>
      <c r="K456" s="4">
        <f t="shared" si="241"/>
        <v>0</v>
      </c>
      <c r="M456" t="str">
        <f t="shared" si="255"/>
        <v>Agriculture</v>
      </c>
      <c r="N456" s="3" t="str">
        <f>'Character Sheet'!CSF6</f>
        <v>Agriculture</v>
      </c>
      <c r="O456" s="4" t="s">
        <v>795</v>
      </c>
      <c r="P456" s="4" t="s">
        <v>794</v>
      </c>
      <c r="Q456" s="4">
        <f t="shared" si="228"/>
        <v>0</v>
      </c>
      <c r="R456" s="4">
        <f>IF(ISNUMBER(SEARCH("Category",N456)),"- -",IF(ISNUMBER(SEARCH("Skills",N456)),"- -",'Level-up'!C474))</f>
        <v>0</v>
      </c>
      <c r="S456" s="4">
        <f t="shared" si="249"/>
        <v>0</v>
      </c>
      <c r="T456" s="4">
        <f t="shared" si="250"/>
        <v>-25</v>
      </c>
      <c r="U456" s="4">
        <f t="shared" ca="1" si="237"/>
        <v>5</v>
      </c>
      <c r="V456" s="4">
        <f t="shared" si="256"/>
        <v>0</v>
      </c>
      <c r="W456" s="4">
        <f t="shared" si="227"/>
        <v>0</v>
      </c>
      <c r="X456" s="4">
        <f t="shared" si="226"/>
        <v>0</v>
      </c>
      <c r="Y456" s="4">
        <f t="shared" si="251"/>
        <v>0</v>
      </c>
      <c r="Z456" s="4">
        <f t="shared" si="252"/>
        <v>0</v>
      </c>
      <c r="AA456" s="4">
        <f t="shared" si="253"/>
        <v>0</v>
      </c>
      <c r="AB456" s="4">
        <f t="shared" si="254"/>
        <v>0</v>
      </c>
      <c r="AC456" s="8"/>
      <c r="AD456" s="4"/>
      <c r="AE456" s="4"/>
      <c r="AF456" s="4" t="str">
        <f t="shared" ca="1" si="212"/>
        <v>-20</v>
      </c>
      <c r="AG456" s="4"/>
      <c r="AH456" s="4">
        <f>IFERROR(VLOOKUP(M456,Calculations!$AC$2:$AD$251,2,FALSE),0)</f>
        <v>0</v>
      </c>
      <c r="AI456" s="4">
        <f>VLOOKUP(N456,$N$2:$AS$620,MATCH('Character Creation'!$Z$12,Skills!$N$1:$AS$1,0),FALSE)</f>
        <v>0</v>
      </c>
      <c r="AJ456" s="4">
        <f>VLOOKUP($N456,[2]Cultures!$B$4:$M$283,MATCH(AJ$1,[2]Cultures!$B$3:$M$3,0),FALSE)</f>
        <v>0</v>
      </c>
      <c r="AK456" s="4">
        <f>VLOOKUP($N456,[2]Cultures!$B$4:$M$283,MATCH(AK$1,[2]Cultures!$B$3:$M$3,0),FALSE)</f>
        <v>0</v>
      </c>
      <c r="AL456" s="4">
        <f>VLOOKUP($N456,[2]Cultures!$B$4:$M$283,MATCH(AL$1,[2]Cultures!$B$3:$M$3,0),FALSE)</f>
        <v>0</v>
      </c>
      <c r="AM456" s="4">
        <f>VLOOKUP($N456,[2]Cultures!$B$4:$M$283,MATCH(AM$1,[2]Cultures!$B$3:$M$3,0),FALSE)</f>
        <v>0</v>
      </c>
      <c r="AN456" s="4">
        <f>VLOOKUP($N456,[2]Cultures!$B$4:$M$283,MATCH(AN$1,[2]Cultures!$B$3:$M$3,0),FALSE)</f>
        <v>0</v>
      </c>
      <c r="AO456" s="4">
        <f>VLOOKUP($N456,[2]Cultures!$B$4:$M$283,MATCH(AO$1,[2]Cultures!$B$3:$M$3,0),FALSE)</f>
        <v>0</v>
      </c>
      <c r="AP456" s="4">
        <f>VLOOKUP($N456,[2]Cultures!$B$4:$M$283,MATCH(AP$1,[2]Cultures!$B$3:$M$3,0),FALSE)</f>
        <v>0</v>
      </c>
      <c r="AQ456" s="4">
        <f>VLOOKUP($N456,[2]Cultures!$B$4:$M$283,MATCH(AQ$1,[2]Cultures!$B$3:$M$3,0),FALSE)</f>
        <v>0</v>
      </c>
      <c r="AR456" s="4">
        <f>VLOOKUP($N456,[2]Cultures!$B$4:$M$283,MATCH(AR$1,[2]Cultures!$B$3:$M$3,0),FALSE)</f>
        <v>0</v>
      </c>
      <c r="AS456" s="4">
        <f>VLOOKUP($N456,[2]Cultures!$B$4:$M$283,MATCH(AS$1,[2]Cultures!$B$3:$M$3,0),FALSE)</f>
        <v>0</v>
      </c>
      <c r="AT456" s="4"/>
      <c r="AU456" s="4">
        <f>IF(ISNUMBER(SEARCH(N456&amp;";",Calculations!$Q$19)),VLOOKUP(Skills!N456,Calculations!$Q$2:$T$16,4,FALSE),0)</f>
        <v>0</v>
      </c>
      <c r="AV456" s="4">
        <f>IF(ISNUMBER(SEARCH(N456&amp;";",Calculations!$Q$18)),1,0)</f>
        <v>0</v>
      </c>
      <c r="AW456" s="4">
        <f t="shared" si="257"/>
        <v>0</v>
      </c>
      <c r="AX456" s="4">
        <f>VLOOKUP($N456,$N456:$CH456,MATCH('Character Sheet'!$BJ$3,Skills!$N$1:$CH$1,0),FALSE)</f>
        <v>0</v>
      </c>
    </row>
    <row r="457" spans="2:50" x14ac:dyDescent="0.25">
      <c r="B457" s="4" t="e">
        <f t="shared" si="225"/>
        <v>#N/A</v>
      </c>
      <c r="E457" s="4"/>
      <c r="F457" s="4">
        <f t="shared" ca="1" si="247"/>
        <v>0</v>
      </c>
      <c r="G457" s="4"/>
      <c r="H457" s="4" t="e">
        <f t="shared" si="240"/>
        <v>#N/A</v>
      </c>
      <c r="I457" s="4" t="e">
        <f t="shared" si="258"/>
        <v>#N/A</v>
      </c>
      <c r="J457" s="4">
        <f t="shared" si="248"/>
        <v>0</v>
      </c>
      <c r="K457" s="4">
        <f t="shared" si="241"/>
        <v>0</v>
      </c>
      <c r="M457" t="str">
        <f t="shared" si="255"/>
        <v>Anthropology</v>
      </c>
      <c r="N457" s="3" t="str">
        <f>'Character Sheet'!CSF7</f>
        <v>Anthropology</v>
      </c>
      <c r="O457" s="4" t="s">
        <v>795</v>
      </c>
      <c r="P457" s="4" t="s">
        <v>794</v>
      </c>
      <c r="Q457" s="4">
        <f t="shared" si="228"/>
        <v>0</v>
      </c>
      <c r="R457" s="4">
        <f>IF(ISNUMBER(SEARCH("Category",N457)),"- -",IF(ISNUMBER(SEARCH("Skills",N457)),"- -",'Level-up'!C475))</f>
        <v>0</v>
      </c>
      <c r="S457" s="4">
        <f t="shared" si="249"/>
        <v>0</v>
      </c>
      <c r="T457" s="4">
        <f t="shared" si="250"/>
        <v>-25</v>
      </c>
      <c r="U457" s="4">
        <f t="shared" ca="1" si="237"/>
        <v>5</v>
      </c>
      <c r="V457" s="4">
        <f t="shared" si="256"/>
        <v>0</v>
      </c>
      <c r="W457" s="4">
        <f t="shared" si="227"/>
        <v>0</v>
      </c>
      <c r="X457" s="4">
        <f t="shared" si="226"/>
        <v>0</v>
      </c>
      <c r="Y457" s="4">
        <f t="shared" si="251"/>
        <v>0</v>
      </c>
      <c r="Z457" s="4">
        <f t="shared" si="252"/>
        <v>0</v>
      </c>
      <c r="AA457" s="4">
        <f t="shared" si="253"/>
        <v>0</v>
      </c>
      <c r="AB457" s="4">
        <f t="shared" si="254"/>
        <v>0</v>
      </c>
      <c r="AC457" s="8"/>
      <c r="AD457" s="4"/>
      <c r="AE457" s="4"/>
      <c r="AF457" s="4" t="str">
        <f t="shared" ca="1" si="212"/>
        <v>-20</v>
      </c>
      <c r="AG457" s="4"/>
      <c r="AH457" s="4">
        <f>IFERROR(VLOOKUP(M457,Calculations!$AC$2:$AD$251,2,FALSE),0)</f>
        <v>0</v>
      </c>
      <c r="AI457" s="4">
        <f>VLOOKUP(N457,$N$2:$AS$620,MATCH('Character Creation'!$Z$12,Skills!$N$1:$AS$1,0),FALSE)</f>
        <v>0</v>
      </c>
      <c r="AJ457" s="4">
        <f>VLOOKUP($N457,[2]Cultures!$B$4:$M$283,MATCH(AJ$1,[2]Cultures!$B$3:$M$3,0),FALSE)</f>
        <v>0</v>
      </c>
      <c r="AK457" s="4">
        <f>VLOOKUP($N457,[2]Cultures!$B$4:$M$283,MATCH(AK$1,[2]Cultures!$B$3:$M$3,0),FALSE)</f>
        <v>0</v>
      </c>
      <c r="AL457" s="4">
        <f>VLOOKUP($N457,[2]Cultures!$B$4:$M$283,MATCH(AL$1,[2]Cultures!$B$3:$M$3,0),FALSE)</f>
        <v>0</v>
      </c>
      <c r="AM457" s="4">
        <f>VLOOKUP($N457,[2]Cultures!$B$4:$M$283,MATCH(AM$1,[2]Cultures!$B$3:$M$3,0),FALSE)</f>
        <v>0</v>
      </c>
      <c r="AN457" s="4">
        <f>VLOOKUP($N457,[2]Cultures!$B$4:$M$283,MATCH(AN$1,[2]Cultures!$B$3:$M$3,0),FALSE)</f>
        <v>0</v>
      </c>
      <c r="AO457" s="4">
        <f>VLOOKUP($N457,[2]Cultures!$B$4:$M$283,MATCH(AO$1,[2]Cultures!$B$3:$M$3,0),FALSE)</f>
        <v>0</v>
      </c>
      <c r="AP457" s="4">
        <f>VLOOKUP($N457,[2]Cultures!$B$4:$M$283,MATCH(AP$1,[2]Cultures!$B$3:$M$3,0),FALSE)</f>
        <v>0</v>
      </c>
      <c r="AQ457" s="4">
        <f>VLOOKUP($N457,[2]Cultures!$B$4:$M$283,MATCH(AQ$1,[2]Cultures!$B$3:$M$3,0),FALSE)</f>
        <v>0</v>
      </c>
      <c r="AR457" s="4">
        <f>VLOOKUP($N457,[2]Cultures!$B$4:$M$283,MATCH(AR$1,[2]Cultures!$B$3:$M$3,0),FALSE)</f>
        <v>0</v>
      </c>
      <c r="AS457" s="4">
        <f>VLOOKUP($N457,[2]Cultures!$B$4:$M$283,MATCH(AS$1,[2]Cultures!$B$3:$M$3,0),FALSE)</f>
        <v>0</v>
      </c>
      <c r="AT457" s="4"/>
      <c r="AU457" s="4">
        <f>IF(ISNUMBER(SEARCH(N457&amp;";",Calculations!$Q$19)),VLOOKUP(Skills!N457,Calculations!$Q$2:$T$16,4,FALSE),0)</f>
        <v>0</v>
      </c>
      <c r="AV457" s="4">
        <f>IF(ISNUMBER(SEARCH(N457&amp;";",Calculations!$Q$18)),1,0)</f>
        <v>0</v>
      </c>
      <c r="AW457" s="4">
        <f t="shared" si="257"/>
        <v>0</v>
      </c>
      <c r="AX457" s="4">
        <f>VLOOKUP($N457,$N457:$CH457,MATCH('Character Sheet'!$BJ$3,Skills!$N$1:$CH$1,0),FALSE)</f>
        <v>0</v>
      </c>
    </row>
    <row r="458" spans="2:50" x14ac:dyDescent="0.25">
      <c r="B458" s="4" t="e">
        <f t="shared" si="225"/>
        <v>#N/A</v>
      </c>
      <c r="E458" s="4"/>
      <c r="F458" s="4">
        <f t="shared" ca="1" si="247"/>
        <v>0</v>
      </c>
      <c r="G458" s="4"/>
      <c r="H458" s="4" t="e">
        <f t="shared" si="240"/>
        <v>#N/A</v>
      </c>
      <c r="I458" s="4" t="e">
        <f t="shared" si="258"/>
        <v>#N/A</v>
      </c>
      <c r="J458" s="4">
        <f t="shared" si="248"/>
        <v>0</v>
      </c>
      <c r="K458" s="4">
        <f t="shared" si="241"/>
        <v>0</v>
      </c>
      <c r="M458" t="str">
        <f t="shared" si="255"/>
        <v>Archaeology</v>
      </c>
      <c r="N458" s="3" t="str">
        <f>'Character Sheet'!CSF8</f>
        <v>Archaeology</v>
      </c>
      <c r="O458" s="4" t="s">
        <v>795</v>
      </c>
      <c r="P458" s="4" t="s">
        <v>794</v>
      </c>
      <c r="Q458" s="4">
        <f t="shared" si="228"/>
        <v>0</v>
      </c>
      <c r="R458" s="4">
        <f>IF(ISNUMBER(SEARCH("Category",N458)),"- -",IF(ISNUMBER(SEARCH("Skills",N458)),"- -",'Level-up'!C476))</f>
        <v>0</v>
      </c>
      <c r="S458" s="4">
        <f t="shared" si="249"/>
        <v>0</v>
      </c>
      <c r="T458" s="4">
        <f t="shared" si="250"/>
        <v>-25</v>
      </c>
      <c r="U458" s="4">
        <f t="shared" ca="1" si="237"/>
        <v>5</v>
      </c>
      <c r="V458" s="4">
        <f t="shared" si="256"/>
        <v>0</v>
      </c>
      <c r="W458" s="4">
        <f t="shared" si="227"/>
        <v>0</v>
      </c>
      <c r="X458" s="4">
        <f t="shared" si="226"/>
        <v>0</v>
      </c>
      <c r="Y458" s="4">
        <f t="shared" si="251"/>
        <v>0</v>
      </c>
      <c r="Z458" s="4">
        <f t="shared" si="252"/>
        <v>0</v>
      </c>
      <c r="AA458" s="4">
        <f t="shared" si="253"/>
        <v>0</v>
      </c>
      <c r="AB458" s="4">
        <f t="shared" si="254"/>
        <v>0</v>
      </c>
      <c r="AC458" s="8"/>
      <c r="AD458" s="4"/>
      <c r="AE458" s="4"/>
      <c r="AF458" s="4" t="str">
        <f t="shared" ref="AF458:AF521" ca="1" si="259">IF(ISNUMBER(SEARCH("Skills",N458)),"- -",IF(ISNUMBER(SEARCH("category",N458)),"- -",SUM(T458:Y458)+SUM(AA458:AE458)&amp;IF(AA458=Z458,"","/"&amp;SUM(T458:AE458))))</f>
        <v>-20</v>
      </c>
      <c r="AG458" s="4"/>
      <c r="AH458" s="4">
        <f>IFERROR(VLOOKUP(M458,Calculations!$AC$2:$AD$251,2,FALSE),0)</f>
        <v>0</v>
      </c>
      <c r="AI458" s="4">
        <f>VLOOKUP(N458,$N$2:$AS$620,MATCH('Character Creation'!$Z$12,Skills!$N$1:$AS$1,0),FALSE)</f>
        <v>0</v>
      </c>
      <c r="AJ458" s="4">
        <f>VLOOKUP($N458,[2]Cultures!$B$4:$M$283,MATCH(AJ$1,[2]Cultures!$B$3:$M$3,0),FALSE)</f>
        <v>0</v>
      </c>
      <c r="AK458" s="4">
        <f>VLOOKUP($N458,[2]Cultures!$B$4:$M$283,MATCH(AK$1,[2]Cultures!$B$3:$M$3,0),FALSE)</f>
        <v>0</v>
      </c>
      <c r="AL458" s="4">
        <f>VLOOKUP($N458,[2]Cultures!$B$4:$M$283,MATCH(AL$1,[2]Cultures!$B$3:$M$3,0),FALSE)</f>
        <v>0</v>
      </c>
      <c r="AM458" s="4">
        <f>VLOOKUP($N458,[2]Cultures!$B$4:$M$283,MATCH(AM$1,[2]Cultures!$B$3:$M$3,0),FALSE)</f>
        <v>0</v>
      </c>
      <c r="AN458" s="4">
        <f>VLOOKUP($N458,[2]Cultures!$B$4:$M$283,MATCH(AN$1,[2]Cultures!$B$3:$M$3,0),FALSE)</f>
        <v>0</v>
      </c>
      <c r="AO458" s="4">
        <f>VLOOKUP($N458,[2]Cultures!$B$4:$M$283,MATCH(AO$1,[2]Cultures!$B$3:$M$3,0),FALSE)</f>
        <v>0</v>
      </c>
      <c r="AP458" s="4">
        <f>VLOOKUP($N458,[2]Cultures!$B$4:$M$283,MATCH(AP$1,[2]Cultures!$B$3:$M$3,0),FALSE)</f>
        <v>0</v>
      </c>
      <c r="AQ458" s="4">
        <f>VLOOKUP($N458,[2]Cultures!$B$4:$M$283,MATCH(AQ$1,[2]Cultures!$B$3:$M$3,0),FALSE)</f>
        <v>0</v>
      </c>
      <c r="AR458" s="4">
        <f>VLOOKUP($N458,[2]Cultures!$B$4:$M$283,MATCH(AR$1,[2]Cultures!$B$3:$M$3,0),FALSE)</f>
        <v>0</v>
      </c>
      <c r="AS458" s="4">
        <f>VLOOKUP($N458,[2]Cultures!$B$4:$M$283,MATCH(AS$1,[2]Cultures!$B$3:$M$3,0),FALSE)</f>
        <v>0</v>
      </c>
      <c r="AT458" s="4"/>
      <c r="AU458" s="4">
        <f>IF(ISNUMBER(SEARCH(N458&amp;";",Calculations!$Q$19)),VLOOKUP(Skills!N458,Calculations!$Q$2:$T$16,4,FALSE),0)</f>
        <v>0</v>
      </c>
      <c r="AV458" s="4">
        <f>IF(ISNUMBER(SEARCH(N458&amp;";",Calculations!$Q$18)),1,0)</f>
        <v>0</v>
      </c>
      <c r="AW458" s="4">
        <f t="shared" si="257"/>
        <v>0</v>
      </c>
      <c r="AX458" s="4">
        <f>VLOOKUP($N458,$N458:$CH458,MATCH('Character Sheet'!$BJ$3,Skills!$N$1:$CH$1,0),FALSE)</f>
        <v>0</v>
      </c>
    </row>
    <row r="459" spans="2:50" x14ac:dyDescent="0.25">
      <c r="B459" s="4" t="e">
        <f t="shared" si="225"/>
        <v>#N/A</v>
      </c>
      <c r="E459" s="4"/>
      <c r="F459" s="4">
        <f t="shared" ca="1" si="247"/>
        <v>0</v>
      </c>
      <c r="G459" s="4"/>
      <c r="H459" s="4" t="e">
        <f t="shared" si="240"/>
        <v>#N/A</v>
      </c>
      <c r="I459" s="4" t="e">
        <f t="shared" si="258"/>
        <v>#N/A</v>
      </c>
      <c r="J459" s="4">
        <f t="shared" si="248"/>
        <v>0</v>
      </c>
      <c r="K459" s="4">
        <f t="shared" si="241"/>
        <v>0</v>
      </c>
      <c r="M459" t="str">
        <f t="shared" si="255"/>
        <v>Architecture</v>
      </c>
      <c r="N459" s="3" t="str">
        <f>'Character Sheet'!CSF9</f>
        <v>Architecture</v>
      </c>
      <c r="O459" s="4" t="s">
        <v>795</v>
      </c>
      <c r="P459" s="4" t="s">
        <v>794</v>
      </c>
      <c r="Q459" s="4">
        <f t="shared" si="228"/>
        <v>0</v>
      </c>
      <c r="R459" s="4">
        <f>IF(ISNUMBER(SEARCH("Category",N459)),"- -",IF(ISNUMBER(SEARCH("Skills",N459)),"- -",'Level-up'!C477))</f>
        <v>0</v>
      </c>
      <c r="S459" s="4">
        <f t="shared" si="249"/>
        <v>0</v>
      </c>
      <c r="T459" s="4">
        <f t="shared" si="250"/>
        <v>-25</v>
      </c>
      <c r="U459" s="4">
        <f t="shared" ca="1" si="237"/>
        <v>5</v>
      </c>
      <c r="V459" s="4">
        <f t="shared" si="256"/>
        <v>0</v>
      </c>
      <c r="W459" s="4">
        <f t="shared" si="227"/>
        <v>0</v>
      </c>
      <c r="X459" s="4">
        <f t="shared" si="226"/>
        <v>0</v>
      </c>
      <c r="Y459" s="4">
        <f t="shared" si="251"/>
        <v>0</v>
      </c>
      <c r="Z459" s="4">
        <f t="shared" si="252"/>
        <v>0</v>
      </c>
      <c r="AA459" s="4">
        <f t="shared" si="253"/>
        <v>0</v>
      </c>
      <c r="AB459" s="4">
        <f t="shared" si="254"/>
        <v>0</v>
      </c>
      <c r="AC459" s="8"/>
      <c r="AD459" s="4"/>
      <c r="AE459" s="4"/>
      <c r="AF459" s="4" t="str">
        <f t="shared" ca="1" si="259"/>
        <v>-20</v>
      </c>
      <c r="AG459" s="4"/>
      <c r="AH459" s="4">
        <f>IFERROR(VLOOKUP(M459,Calculations!$AC$2:$AD$251,2,FALSE),0)</f>
        <v>0</v>
      </c>
      <c r="AI459" s="4">
        <f>VLOOKUP(N459,$N$2:$AS$620,MATCH('Character Creation'!$Z$12,Skills!$N$1:$AS$1,0),FALSE)</f>
        <v>0</v>
      </c>
      <c r="AJ459" s="4">
        <f>VLOOKUP($N459,[2]Cultures!$B$4:$M$283,MATCH(AJ$1,[2]Cultures!$B$3:$M$3,0),FALSE)</f>
        <v>0</v>
      </c>
      <c r="AK459" s="4">
        <f>VLOOKUP($N459,[2]Cultures!$B$4:$M$283,MATCH(AK$1,[2]Cultures!$B$3:$M$3,0),FALSE)</f>
        <v>0</v>
      </c>
      <c r="AL459" s="4">
        <f>VLOOKUP($N459,[2]Cultures!$B$4:$M$283,MATCH(AL$1,[2]Cultures!$B$3:$M$3,0),FALSE)</f>
        <v>0</v>
      </c>
      <c r="AM459" s="4">
        <f>VLOOKUP($N459,[2]Cultures!$B$4:$M$283,MATCH(AM$1,[2]Cultures!$B$3:$M$3,0),FALSE)</f>
        <v>0</v>
      </c>
      <c r="AN459" s="4">
        <f>VLOOKUP($N459,[2]Cultures!$B$4:$M$283,MATCH(AN$1,[2]Cultures!$B$3:$M$3,0),FALSE)</f>
        <v>0</v>
      </c>
      <c r="AO459" s="4">
        <f>VLOOKUP($N459,[2]Cultures!$B$4:$M$283,MATCH(AO$1,[2]Cultures!$B$3:$M$3,0),FALSE)</f>
        <v>0</v>
      </c>
      <c r="AP459" s="4">
        <f>VLOOKUP($N459,[2]Cultures!$B$4:$M$283,MATCH(AP$1,[2]Cultures!$B$3:$M$3,0),FALSE)</f>
        <v>0</v>
      </c>
      <c r="AQ459" s="4">
        <f>VLOOKUP($N459,[2]Cultures!$B$4:$M$283,MATCH(AQ$1,[2]Cultures!$B$3:$M$3,0),FALSE)</f>
        <v>0</v>
      </c>
      <c r="AR459" s="4">
        <f>VLOOKUP($N459,[2]Cultures!$B$4:$M$283,MATCH(AR$1,[2]Cultures!$B$3:$M$3,0),FALSE)</f>
        <v>0</v>
      </c>
      <c r="AS459" s="4">
        <f>VLOOKUP($N459,[2]Cultures!$B$4:$M$283,MATCH(AS$1,[2]Cultures!$B$3:$M$3,0),FALSE)</f>
        <v>0</v>
      </c>
      <c r="AT459" s="4"/>
      <c r="AU459" s="4">
        <f>IF(ISNUMBER(SEARCH(N459&amp;";",Calculations!$Q$19)),VLOOKUP(Skills!N459,Calculations!$Q$2:$T$16,4,FALSE),0)</f>
        <v>0</v>
      </c>
      <c r="AV459" s="4">
        <f>IF(ISNUMBER(SEARCH(N459&amp;";",Calculations!$Q$18)),1,0)</f>
        <v>0</v>
      </c>
      <c r="AW459" s="4">
        <f t="shared" si="257"/>
        <v>0</v>
      </c>
      <c r="AX459" s="4">
        <f>VLOOKUP($N459,$N459:$CH459,MATCH('Character Sheet'!$BJ$3,Skills!$N$1:$CH$1,0),FALSE)</f>
        <v>0</v>
      </c>
    </row>
    <row r="460" spans="2:50" x14ac:dyDescent="0.25">
      <c r="B460" s="4" t="e">
        <f t="shared" si="225"/>
        <v>#N/A</v>
      </c>
      <c r="E460" s="4"/>
      <c r="F460" s="4">
        <f t="shared" ca="1" si="247"/>
        <v>0</v>
      </c>
      <c r="G460" s="4"/>
      <c r="H460" s="4" t="e">
        <f t="shared" si="240"/>
        <v>#N/A</v>
      </c>
      <c r="I460" s="4" t="e">
        <f t="shared" si="258"/>
        <v>#N/A</v>
      </c>
      <c r="J460" s="4">
        <f t="shared" si="248"/>
        <v>0</v>
      </c>
      <c r="K460" s="4">
        <f t="shared" si="241"/>
        <v>0</v>
      </c>
      <c r="M460" t="str">
        <f t="shared" si="255"/>
        <v>Astronomy</v>
      </c>
      <c r="N460" s="3" t="str">
        <f>'Character Sheet'!CSF10</f>
        <v>Astronomy</v>
      </c>
      <c r="O460" s="4" t="s">
        <v>795</v>
      </c>
      <c r="P460" s="4" t="s">
        <v>794</v>
      </c>
      <c r="Q460" s="4">
        <f t="shared" si="228"/>
        <v>0</v>
      </c>
      <c r="R460" s="4">
        <f>IF(ISNUMBER(SEARCH("Category",N460)),"- -",IF(ISNUMBER(SEARCH("Skills",N460)),"- -",'Level-up'!C478))</f>
        <v>0</v>
      </c>
      <c r="S460" s="4">
        <f t="shared" si="249"/>
        <v>0</v>
      </c>
      <c r="T460" s="4">
        <f t="shared" si="250"/>
        <v>-25</v>
      </c>
      <c r="U460" s="4">
        <f t="shared" ca="1" si="237"/>
        <v>5</v>
      </c>
      <c r="V460" s="4">
        <f t="shared" si="256"/>
        <v>0</v>
      </c>
      <c r="W460" s="4">
        <f t="shared" si="227"/>
        <v>0</v>
      </c>
      <c r="X460" s="4">
        <f t="shared" si="226"/>
        <v>0</v>
      </c>
      <c r="Y460" s="4">
        <f t="shared" si="251"/>
        <v>0</v>
      </c>
      <c r="Z460" s="4">
        <f t="shared" si="252"/>
        <v>0</v>
      </c>
      <c r="AA460" s="4">
        <f t="shared" si="253"/>
        <v>0</v>
      </c>
      <c r="AB460" s="4">
        <f t="shared" si="254"/>
        <v>0</v>
      </c>
      <c r="AC460" s="8"/>
      <c r="AD460" s="4"/>
      <c r="AE460" s="4"/>
      <c r="AF460" s="4" t="str">
        <f t="shared" ca="1" si="259"/>
        <v>-20</v>
      </c>
      <c r="AG460" s="4"/>
      <c r="AH460" s="4">
        <f>IFERROR(VLOOKUP(M460,Calculations!$AC$2:$AD$251,2,FALSE),0)</f>
        <v>0</v>
      </c>
      <c r="AI460" s="4">
        <f>VLOOKUP(N460,$N$2:$AS$620,MATCH('Character Creation'!$Z$12,Skills!$N$1:$AS$1,0),FALSE)</f>
        <v>0</v>
      </c>
      <c r="AJ460" s="4">
        <f>VLOOKUP($N460,[2]Cultures!$B$4:$M$283,MATCH(AJ$1,[2]Cultures!$B$3:$M$3,0),FALSE)</f>
        <v>0</v>
      </c>
      <c r="AK460" s="4">
        <f>VLOOKUP($N460,[2]Cultures!$B$4:$M$283,MATCH(AK$1,[2]Cultures!$B$3:$M$3,0),FALSE)</f>
        <v>0</v>
      </c>
      <c r="AL460" s="4">
        <f>VLOOKUP($N460,[2]Cultures!$B$4:$M$283,MATCH(AL$1,[2]Cultures!$B$3:$M$3,0),FALSE)</f>
        <v>0</v>
      </c>
      <c r="AM460" s="4">
        <f>VLOOKUP($N460,[2]Cultures!$B$4:$M$283,MATCH(AM$1,[2]Cultures!$B$3:$M$3,0),FALSE)</f>
        <v>0</v>
      </c>
      <c r="AN460" s="4">
        <f>VLOOKUP($N460,[2]Cultures!$B$4:$M$283,MATCH(AN$1,[2]Cultures!$B$3:$M$3,0),FALSE)</f>
        <v>0</v>
      </c>
      <c r="AO460" s="4">
        <f>VLOOKUP($N460,[2]Cultures!$B$4:$M$283,MATCH(AO$1,[2]Cultures!$B$3:$M$3,0),FALSE)</f>
        <v>0</v>
      </c>
      <c r="AP460" s="4">
        <f>VLOOKUP($N460,[2]Cultures!$B$4:$M$283,MATCH(AP$1,[2]Cultures!$B$3:$M$3,0),FALSE)</f>
        <v>0</v>
      </c>
      <c r="AQ460" s="4">
        <f>VLOOKUP($N460,[2]Cultures!$B$4:$M$283,MATCH(AQ$1,[2]Cultures!$B$3:$M$3,0),FALSE)</f>
        <v>0</v>
      </c>
      <c r="AR460" s="4">
        <f>VLOOKUP($N460,[2]Cultures!$B$4:$M$283,MATCH(AR$1,[2]Cultures!$B$3:$M$3,0),FALSE)</f>
        <v>0</v>
      </c>
      <c r="AS460" s="4">
        <f>VLOOKUP($N460,[2]Cultures!$B$4:$M$283,MATCH(AS$1,[2]Cultures!$B$3:$M$3,0),FALSE)</f>
        <v>0</v>
      </c>
      <c r="AT460" s="4"/>
      <c r="AU460" s="4">
        <f>IF(ISNUMBER(SEARCH(N460&amp;";",Calculations!$Q$19)),VLOOKUP(Skills!N460,Calculations!$Q$2:$T$16,4,FALSE),0)</f>
        <v>0</v>
      </c>
      <c r="AV460" s="4">
        <f>IF(ISNUMBER(SEARCH(N460&amp;";",Calculations!$Q$18)),1,0)</f>
        <v>0</v>
      </c>
      <c r="AW460" s="4">
        <f t="shared" si="257"/>
        <v>0</v>
      </c>
      <c r="AX460" s="4">
        <f>VLOOKUP($N460,$N460:$CH460,MATCH('Character Sheet'!$BJ$3,Skills!$N$1:$CH$1,0),FALSE)</f>
        <v>0</v>
      </c>
    </row>
    <row r="461" spans="2:50" x14ac:dyDescent="0.25">
      <c r="B461" s="4" t="e">
        <f t="shared" si="225"/>
        <v>#N/A</v>
      </c>
      <c r="E461" s="4"/>
      <c r="F461" s="4">
        <f t="shared" ca="1" si="247"/>
        <v>0</v>
      </c>
      <c r="G461" s="4"/>
      <c r="H461" s="4" t="e">
        <f t="shared" si="240"/>
        <v>#N/A</v>
      </c>
      <c r="I461" s="4" t="e">
        <f t="shared" si="258"/>
        <v>#N/A</v>
      </c>
      <c r="J461" s="4">
        <f t="shared" si="248"/>
        <v>0</v>
      </c>
      <c r="K461" s="4">
        <f t="shared" si="241"/>
        <v>0</v>
      </c>
      <c r="M461" t="str">
        <f t="shared" si="255"/>
        <v>Atmospherics</v>
      </c>
      <c r="N461" s="3" t="str">
        <f>'Character Sheet'!CSF11</f>
        <v>Atmospherics</v>
      </c>
      <c r="O461" s="4" t="s">
        <v>795</v>
      </c>
      <c r="P461" s="4" t="s">
        <v>794</v>
      </c>
      <c r="Q461" s="4">
        <f t="shared" si="228"/>
        <v>0</v>
      </c>
      <c r="R461" s="4">
        <f>IF(ISNUMBER(SEARCH("Category",N461)),"- -",IF(ISNUMBER(SEARCH("Skills",N461)),"- -",'Level-up'!C479))</f>
        <v>0</v>
      </c>
      <c r="S461" s="4">
        <f t="shared" si="249"/>
        <v>0</v>
      </c>
      <c r="T461" s="4">
        <f t="shared" si="250"/>
        <v>-25</v>
      </c>
      <c r="U461" s="4">
        <f t="shared" ca="1" si="237"/>
        <v>5</v>
      </c>
      <c r="V461" s="4">
        <f t="shared" si="256"/>
        <v>0</v>
      </c>
      <c r="W461" s="4">
        <f t="shared" si="227"/>
        <v>0</v>
      </c>
      <c r="X461" s="4">
        <f t="shared" si="226"/>
        <v>0</v>
      </c>
      <c r="Y461" s="4">
        <f t="shared" si="251"/>
        <v>0</v>
      </c>
      <c r="Z461" s="4">
        <f t="shared" si="252"/>
        <v>0</v>
      </c>
      <c r="AA461" s="4">
        <f t="shared" si="253"/>
        <v>0</v>
      </c>
      <c r="AB461" s="4">
        <f t="shared" si="254"/>
        <v>0</v>
      </c>
      <c r="AC461" s="8"/>
      <c r="AD461" s="4"/>
      <c r="AE461" s="4"/>
      <c r="AF461" s="4" t="str">
        <f t="shared" ca="1" si="259"/>
        <v>-20</v>
      </c>
      <c r="AG461" s="4"/>
      <c r="AH461" s="4">
        <f>IFERROR(VLOOKUP(M461,Calculations!$AC$2:$AD$251,2,FALSE),0)</f>
        <v>0</v>
      </c>
      <c r="AI461" s="4">
        <f>VLOOKUP(N461,$N$2:$AS$620,MATCH('Character Creation'!$Z$12,Skills!$N$1:$AS$1,0),FALSE)</f>
        <v>0</v>
      </c>
      <c r="AJ461" s="4">
        <f>VLOOKUP($N461,[2]Cultures!$B$4:$M$283,MATCH(AJ$1,[2]Cultures!$B$3:$M$3,0),FALSE)</f>
        <v>0</v>
      </c>
      <c r="AK461" s="4">
        <f>VLOOKUP($N461,[2]Cultures!$B$4:$M$283,MATCH(AK$1,[2]Cultures!$B$3:$M$3,0),FALSE)</f>
        <v>0</v>
      </c>
      <c r="AL461" s="4">
        <f>VLOOKUP($N461,[2]Cultures!$B$4:$M$283,MATCH(AL$1,[2]Cultures!$B$3:$M$3,0),FALSE)</f>
        <v>0</v>
      </c>
      <c r="AM461" s="4">
        <f>VLOOKUP($N461,[2]Cultures!$B$4:$M$283,MATCH(AM$1,[2]Cultures!$B$3:$M$3,0),FALSE)</f>
        <v>0</v>
      </c>
      <c r="AN461" s="4">
        <f>VLOOKUP($N461,[2]Cultures!$B$4:$M$283,MATCH(AN$1,[2]Cultures!$B$3:$M$3,0),FALSE)</f>
        <v>0</v>
      </c>
      <c r="AO461" s="4">
        <f>VLOOKUP($N461,[2]Cultures!$B$4:$M$283,MATCH(AO$1,[2]Cultures!$B$3:$M$3,0),FALSE)</f>
        <v>0</v>
      </c>
      <c r="AP461" s="4">
        <f>VLOOKUP($N461,[2]Cultures!$B$4:$M$283,MATCH(AP$1,[2]Cultures!$B$3:$M$3,0),FALSE)</f>
        <v>0</v>
      </c>
      <c r="AQ461" s="4">
        <f>VLOOKUP($N461,[2]Cultures!$B$4:$M$283,MATCH(AQ$1,[2]Cultures!$B$3:$M$3,0),FALSE)</f>
        <v>0</v>
      </c>
      <c r="AR461" s="4">
        <f>VLOOKUP($N461,[2]Cultures!$B$4:$M$283,MATCH(AR$1,[2]Cultures!$B$3:$M$3,0),FALSE)</f>
        <v>0</v>
      </c>
      <c r="AS461" s="4">
        <f>VLOOKUP($N461,[2]Cultures!$B$4:$M$283,MATCH(AS$1,[2]Cultures!$B$3:$M$3,0),FALSE)</f>
        <v>0</v>
      </c>
      <c r="AT461" s="4"/>
      <c r="AU461" s="4">
        <f>IF(ISNUMBER(SEARCH(N461&amp;";",Calculations!$Q$19)),VLOOKUP(Skills!N461,Calculations!$Q$2:$T$16,4,FALSE),0)</f>
        <v>0</v>
      </c>
      <c r="AV461" s="4">
        <f>IF(ISNUMBER(SEARCH(N461&amp;";",Calculations!$Q$18)),1,0)</f>
        <v>0</v>
      </c>
      <c r="AW461" s="4">
        <f t="shared" si="257"/>
        <v>0</v>
      </c>
      <c r="AX461" s="4">
        <f>VLOOKUP($N461,$N461:$CH461,MATCH('Character Sheet'!$BJ$3,Skills!$N$1:$CH$1,0),FALSE)</f>
        <v>0</v>
      </c>
    </row>
    <row r="462" spans="2:50" x14ac:dyDescent="0.25">
      <c r="B462" s="4" t="e">
        <f t="shared" si="225"/>
        <v>#N/A</v>
      </c>
      <c r="E462" s="4"/>
      <c r="F462" s="4">
        <f t="shared" ca="1" si="247"/>
        <v>0</v>
      </c>
      <c r="G462" s="4"/>
      <c r="H462" s="4" t="e">
        <f t="shared" si="240"/>
        <v>#N/A</v>
      </c>
      <c r="I462" s="4" t="e">
        <f t="shared" si="258"/>
        <v>#N/A</v>
      </c>
      <c r="J462" s="4">
        <f t="shared" si="248"/>
        <v>0</v>
      </c>
      <c r="K462" s="4">
        <f t="shared" si="241"/>
        <v>0</v>
      </c>
      <c r="M462" t="str">
        <f t="shared" si="255"/>
        <v>Audiovisuals</v>
      </c>
      <c r="N462" s="3" t="str">
        <f>'Character Sheet'!CSF12</f>
        <v>Audiovisuals</v>
      </c>
      <c r="O462" s="4" t="s">
        <v>795</v>
      </c>
      <c r="P462" s="4" t="s">
        <v>794</v>
      </c>
      <c r="Q462" s="4">
        <f t="shared" si="228"/>
        <v>0</v>
      </c>
      <c r="R462" s="4">
        <f>IF(ISNUMBER(SEARCH("Category",N462)),"- -",IF(ISNUMBER(SEARCH("Skills",N462)),"- -",'Level-up'!C480))</f>
        <v>0</v>
      </c>
      <c r="S462" s="4">
        <f t="shared" si="249"/>
        <v>0</v>
      </c>
      <c r="T462" s="4">
        <f t="shared" si="250"/>
        <v>-25</v>
      </c>
      <c r="U462" s="4">
        <f t="shared" ca="1" si="237"/>
        <v>5</v>
      </c>
      <c r="V462" s="4">
        <f t="shared" si="256"/>
        <v>0</v>
      </c>
      <c r="W462" s="4">
        <f t="shared" si="227"/>
        <v>0</v>
      </c>
      <c r="X462" s="4">
        <f t="shared" si="226"/>
        <v>0</v>
      </c>
      <c r="Y462" s="4">
        <f t="shared" si="251"/>
        <v>0</v>
      </c>
      <c r="Z462" s="4">
        <f t="shared" si="252"/>
        <v>0</v>
      </c>
      <c r="AA462" s="4">
        <f t="shared" si="253"/>
        <v>0</v>
      </c>
      <c r="AB462" s="4">
        <f t="shared" si="254"/>
        <v>0</v>
      </c>
      <c r="AC462" s="8"/>
      <c r="AD462" s="4"/>
      <c r="AE462" s="4"/>
      <c r="AF462" s="4" t="str">
        <f t="shared" ca="1" si="259"/>
        <v>-20</v>
      </c>
      <c r="AG462" s="4"/>
      <c r="AH462" s="4">
        <f>IFERROR(VLOOKUP(M462,Calculations!$AC$2:$AD$251,2,FALSE),0)</f>
        <v>0</v>
      </c>
      <c r="AI462" s="4">
        <f>VLOOKUP(N462,$N$2:$AS$620,MATCH('Character Creation'!$Z$12,Skills!$N$1:$AS$1,0),FALSE)</f>
        <v>0</v>
      </c>
      <c r="AJ462" s="4">
        <f>VLOOKUP($N462,[2]Cultures!$B$4:$M$283,MATCH(AJ$1,[2]Cultures!$B$3:$M$3,0),FALSE)</f>
        <v>0</v>
      </c>
      <c r="AK462" s="4">
        <f>VLOOKUP($N462,[2]Cultures!$B$4:$M$283,MATCH(AK$1,[2]Cultures!$B$3:$M$3,0),FALSE)</f>
        <v>0</v>
      </c>
      <c r="AL462" s="4">
        <f>VLOOKUP($N462,[2]Cultures!$B$4:$M$283,MATCH(AL$1,[2]Cultures!$B$3:$M$3,0),FALSE)</f>
        <v>0</v>
      </c>
      <c r="AM462" s="4">
        <f>VLOOKUP($N462,[2]Cultures!$B$4:$M$283,MATCH(AM$1,[2]Cultures!$B$3:$M$3,0),FALSE)</f>
        <v>0</v>
      </c>
      <c r="AN462" s="4">
        <f>VLOOKUP($N462,[2]Cultures!$B$4:$M$283,MATCH(AN$1,[2]Cultures!$B$3:$M$3,0),FALSE)</f>
        <v>0</v>
      </c>
      <c r="AO462" s="4">
        <f>VLOOKUP($N462,[2]Cultures!$B$4:$M$283,MATCH(AO$1,[2]Cultures!$B$3:$M$3,0),FALSE)</f>
        <v>0</v>
      </c>
      <c r="AP462" s="4">
        <f>VLOOKUP($N462,[2]Cultures!$B$4:$M$283,MATCH(AP$1,[2]Cultures!$B$3:$M$3,0),FALSE)</f>
        <v>0</v>
      </c>
      <c r="AQ462" s="4">
        <f>VLOOKUP($N462,[2]Cultures!$B$4:$M$283,MATCH(AQ$1,[2]Cultures!$B$3:$M$3,0),FALSE)</f>
        <v>0</v>
      </c>
      <c r="AR462" s="4">
        <f>VLOOKUP($N462,[2]Cultures!$B$4:$M$283,MATCH(AR$1,[2]Cultures!$B$3:$M$3,0),FALSE)</f>
        <v>0</v>
      </c>
      <c r="AS462" s="4">
        <f>VLOOKUP($N462,[2]Cultures!$B$4:$M$283,MATCH(AS$1,[2]Cultures!$B$3:$M$3,0),FALSE)</f>
        <v>0</v>
      </c>
      <c r="AT462" s="4"/>
      <c r="AU462" s="4">
        <f>IF(ISNUMBER(SEARCH(N462&amp;";",Calculations!$Q$19)),VLOOKUP(Skills!N462,Calculations!$Q$2:$T$16,4,FALSE),0)</f>
        <v>0</v>
      </c>
      <c r="AV462" s="4">
        <f>IF(ISNUMBER(SEARCH(N462&amp;";",Calculations!$Q$18)),1,0)</f>
        <v>0</v>
      </c>
      <c r="AW462" s="4">
        <f t="shared" si="257"/>
        <v>0</v>
      </c>
      <c r="AX462" s="4">
        <f>VLOOKUP($N462,$N462:$CH462,MATCH('Character Sheet'!$BJ$3,Skills!$N$1:$CH$1,0),FALSE)</f>
        <v>0</v>
      </c>
    </row>
    <row r="463" spans="2:50" x14ac:dyDescent="0.25">
      <c r="B463" s="4" t="e">
        <f t="shared" si="225"/>
        <v>#N/A</v>
      </c>
      <c r="E463" s="4"/>
      <c r="F463" s="4">
        <f t="shared" ca="1" si="247"/>
        <v>0</v>
      </c>
      <c r="G463" s="4"/>
      <c r="H463" s="4" t="e">
        <f t="shared" si="240"/>
        <v>#N/A</v>
      </c>
      <c r="I463" s="4" t="e">
        <f t="shared" si="258"/>
        <v>#N/A</v>
      </c>
      <c r="J463" s="4">
        <f t="shared" si="248"/>
        <v>0</v>
      </c>
      <c r="K463" s="4">
        <f t="shared" si="241"/>
        <v>0</v>
      </c>
      <c r="M463" t="str">
        <f t="shared" si="255"/>
        <v>Biochemistry</v>
      </c>
      <c r="N463" s="3" t="str">
        <f>'Character Sheet'!CSF13</f>
        <v>Biochemistry</v>
      </c>
      <c r="O463" s="4" t="s">
        <v>795</v>
      </c>
      <c r="P463" s="4" t="s">
        <v>794</v>
      </c>
      <c r="Q463" s="4">
        <f t="shared" si="228"/>
        <v>0</v>
      </c>
      <c r="R463" s="4">
        <f>IF(ISNUMBER(SEARCH("Category",N463)),"- -",IF(ISNUMBER(SEARCH("Skills",N463)),"- -",'Level-up'!C481))</f>
        <v>0</v>
      </c>
      <c r="S463" s="4">
        <f t="shared" si="249"/>
        <v>0</v>
      </c>
      <c r="T463" s="4">
        <f t="shared" si="250"/>
        <v>-25</v>
      </c>
      <c r="U463" s="4">
        <f t="shared" ca="1" si="237"/>
        <v>5</v>
      </c>
      <c r="V463" s="4">
        <f t="shared" si="256"/>
        <v>0</v>
      </c>
      <c r="W463" s="4">
        <f t="shared" si="227"/>
        <v>0</v>
      </c>
      <c r="X463" s="4">
        <f t="shared" si="226"/>
        <v>0</v>
      </c>
      <c r="Y463" s="4">
        <f t="shared" si="251"/>
        <v>0</v>
      </c>
      <c r="Z463" s="4">
        <f t="shared" si="252"/>
        <v>0</v>
      </c>
      <c r="AA463" s="4">
        <f t="shared" si="253"/>
        <v>0</v>
      </c>
      <c r="AB463" s="4">
        <f t="shared" si="254"/>
        <v>0</v>
      </c>
      <c r="AC463" s="8"/>
      <c r="AD463" s="4"/>
      <c r="AE463" s="4"/>
      <c r="AF463" s="4" t="str">
        <f t="shared" ca="1" si="259"/>
        <v>-20</v>
      </c>
      <c r="AG463" s="4"/>
      <c r="AH463" s="4">
        <f>IFERROR(VLOOKUP(M463,Calculations!$AC$2:$AD$251,2,FALSE),0)</f>
        <v>0</v>
      </c>
      <c r="AI463" s="4">
        <f>VLOOKUP(N463,$N$2:$AS$620,MATCH('Character Creation'!$Z$12,Skills!$N$1:$AS$1,0),FALSE)</f>
        <v>0</v>
      </c>
      <c r="AJ463" s="4">
        <f>VLOOKUP($N463,[2]Cultures!$B$4:$M$283,MATCH(AJ$1,[2]Cultures!$B$3:$M$3,0),FALSE)</f>
        <v>0</v>
      </c>
      <c r="AK463" s="4">
        <f>VLOOKUP($N463,[2]Cultures!$B$4:$M$283,MATCH(AK$1,[2]Cultures!$B$3:$M$3,0),FALSE)</f>
        <v>0</v>
      </c>
      <c r="AL463" s="4">
        <f>VLOOKUP($N463,[2]Cultures!$B$4:$M$283,MATCH(AL$1,[2]Cultures!$B$3:$M$3,0),FALSE)</f>
        <v>0</v>
      </c>
      <c r="AM463" s="4">
        <f>VLOOKUP($N463,[2]Cultures!$B$4:$M$283,MATCH(AM$1,[2]Cultures!$B$3:$M$3,0),FALSE)</f>
        <v>0</v>
      </c>
      <c r="AN463" s="4">
        <f>VLOOKUP($N463,[2]Cultures!$B$4:$M$283,MATCH(AN$1,[2]Cultures!$B$3:$M$3,0),FALSE)</f>
        <v>0</v>
      </c>
      <c r="AO463" s="4">
        <f>VLOOKUP($N463,[2]Cultures!$B$4:$M$283,MATCH(AO$1,[2]Cultures!$B$3:$M$3,0),FALSE)</f>
        <v>0</v>
      </c>
      <c r="AP463" s="4">
        <f>VLOOKUP($N463,[2]Cultures!$B$4:$M$283,MATCH(AP$1,[2]Cultures!$B$3:$M$3,0),FALSE)</f>
        <v>0</v>
      </c>
      <c r="AQ463" s="4">
        <f>VLOOKUP($N463,[2]Cultures!$B$4:$M$283,MATCH(AQ$1,[2]Cultures!$B$3:$M$3,0),FALSE)</f>
        <v>0</v>
      </c>
      <c r="AR463" s="4">
        <f>VLOOKUP($N463,[2]Cultures!$B$4:$M$283,MATCH(AR$1,[2]Cultures!$B$3:$M$3,0),FALSE)</f>
        <v>0</v>
      </c>
      <c r="AS463" s="4">
        <f>VLOOKUP($N463,[2]Cultures!$B$4:$M$283,MATCH(AS$1,[2]Cultures!$B$3:$M$3,0),FALSE)</f>
        <v>0</v>
      </c>
      <c r="AT463" s="4"/>
      <c r="AU463" s="4">
        <f>IF(ISNUMBER(SEARCH(N463&amp;";",Calculations!$Q$19)),VLOOKUP(Skills!N463,Calculations!$Q$2:$T$16,4,FALSE),0)</f>
        <v>0</v>
      </c>
      <c r="AV463" s="4">
        <f>IF(ISNUMBER(SEARCH(N463&amp;";",Calculations!$Q$18)),1,0)</f>
        <v>0</v>
      </c>
      <c r="AW463" s="4">
        <f t="shared" si="257"/>
        <v>0</v>
      </c>
      <c r="AX463" s="4">
        <f>VLOOKUP($N463,$N463:$CH463,MATCH('Character Sheet'!$BJ$3,Skills!$N$1:$CH$1,0),FALSE)</f>
        <v>0</v>
      </c>
    </row>
    <row r="464" spans="2:50" x14ac:dyDescent="0.25">
      <c r="B464" s="4" t="e">
        <f t="shared" si="225"/>
        <v>#N/A</v>
      </c>
      <c r="E464" s="4"/>
      <c r="F464" s="4">
        <f t="shared" ca="1" si="247"/>
        <v>0</v>
      </c>
      <c r="G464" s="4"/>
      <c r="H464" s="4" t="e">
        <f t="shared" si="240"/>
        <v>#N/A</v>
      </c>
      <c r="I464" s="4" t="e">
        <f t="shared" si="258"/>
        <v>#N/A</v>
      </c>
      <c r="J464" s="4">
        <f t="shared" si="248"/>
        <v>0</v>
      </c>
      <c r="K464" s="4">
        <f t="shared" si="241"/>
        <v>0</v>
      </c>
      <c r="M464" t="str">
        <f t="shared" si="255"/>
        <v>Biology</v>
      </c>
      <c r="N464" s="3" t="str">
        <f>'Character Sheet'!CSF14</f>
        <v>Biology</v>
      </c>
      <c r="O464" s="4" t="s">
        <v>795</v>
      </c>
      <c r="P464" s="4" t="s">
        <v>794</v>
      </c>
      <c r="Q464" s="4">
        <f t="shared" si="228"/>
        <v>0</v>
      </c>
      <c r="R464" s="4">
        <f>IF(ISNUMBER(SEARCH("Category",N464)),"- -",IF(ISNUMBER(SEARCH("Skills",N464)),"- -",'Level-up'!C482))</f>
        <v>0</v>
      </c>
      <c r="S464" s="4">
        <f t="shared" si="249"/>
        <v>0</v>
      </c>
      <c r="T464" s="4">
        <f t="shared" si="250"/>
        <v>-25</v>
      </c>
      <c r="U464" s="4">
        <f t="shared" ca="1" si="237"/>
        <v>5</v>
      </c>
      <c r="V464" s="4">
        <f t="shared" si="256"/>
        <v>0</v>
      </c>
      <c r="W464" s="4">
        <f t="shared" si="227"/>
        <v>0</v>
      </c>
      <c r="X464" s="4">
        <f t="shared" si="226"/>
        <v>0</v>
      </c>
      <c r="Y464" s="4">
        <f t="shared" si="251"/>
        <v>0</v>
      </c>
      <c r="Z464" s="4">
        <f t="shared" si="252"/>
        <v>0</v>
      </c>
      <c r="AA464" s="4">
        <f t="shared" si="253"/>
        <v>0</v>
      </c>
      <c r="AB464" s="4">
        <f t="shared" si="254"/>
        <v>0</v>
      </c>
      <c r="AC464" s="8"/>
      <c r="AD464" s="4"/>
      <c r="AE464" s="4"/>
      <c r="AF464" s="4" t="str">
        <f t="shared" ca="1" si="259"/>
        <v>-20</v>
      </c>
      <c r="AG464" s="4"/>
      <c r="AH464" s="4">
        <f>IFERROR(VLOOKUP(M464,Calculations!$AC$2:$AD$251,2,FALSE),0)</f>
        <v>0</v>
      </c>
      <c r="AI464" s="4">
        <f>VLOOKUP(N464,$N$2:$AS$620,MATCH('Character Creation'!$Z$12,Skills!$N$1:$AS$1,0),FALSE)</f>
        <v>0</v>
      </c>
      <c r="AJ464" s="4">
        <f>VLOOKUP($N464,[2]Cultures!$B$4:$M$283,MATCH(AJ$1,[2]Cultures!$B$3:$M$3,0),FALSE)</f>
        <v>0</v>
      </c>
      <c r="AK464" s="4">
        <f>VLOOKUP($N464,[2]Cultures!$B$4:$M$283,MATCH(AK$1,[2]Cultures!$B$3:$M$3,0),FALSE)</f>
        <v>0</v>
      </c>
      <c r="AL464" s="4">
        <f>VLOOKUP($N464,[2]Cultures!$B$4:$M$283,MATCH(AL$1,[2]Cultures!$B$3:$M$3,0),FALSE)</f>
        <v>0</v>
      </c>
      <c r="AM464" s="4">
        <f>VLOOKUP($N464,[2]Cultures!$B$4:$M$283,MATCH(AM$1,[2]Cultures!$B$3:$M$3,0),FALSE)</f>
        <v>0</v>
      </c>
      <c r="AN464" s="4">
        <f>VLOOKUP($N464,[2]Cultures!$B$4:$M$283,MATCH(AN$1,[2]Cultures!$B$3:$M$3,0),FALSE)</f>
        <v>0</v>
      </c>
      <c r="AO464" s="4">
        <f>VLOOKUP($N464,[2]Cultures!$B$4:$M$283,MATCH(AO$1,[2]Cultures!$B$3:$M$3,0),FALSE)</f>
        <v>0</v>
      </c>
      <c r="AP464" s="4">
        <f>VLOOKUP($N464,[2]Cultures!$B$4:$M$283,MATCH(AP$1,[2]Cultures!$B$3:$M$3,0),FALSE)</f>
        <v>0</v>
      </c>
      <c r="AQ464" s="4">
        <f>VLOOKUP($N464,[2]Cultures!$B$4:$M$283,MATCH(AQ$1,[2]Cultures!$B$3:$M$3,0),FALSE)</f>
        <v>0</v>
      </c>
      <c r="AR464" s="4">
        <f>VLOOKUP($N464,[2]Cultures!$B$4:$M$283,MATCH(AR$1,[2]Cultures!$B$3:$M$3,0),FALSE)</f>
        <v>0</v>
      </c>
      <c r="AS464" s="4">
        <f>VLOOKUP($N464,[2]Cultures!$B$4:$M$283,MATCH(AS$1,[2]Cultures!$B$3:$M$3,0),FALSE)</f>
        <v>0</v>
      </c>
      <c r="AT464" s="4"/>
      <c r="AU464" s="4">
        <f>IF(ISNUMBER(SEARCH(N464&amp;";",Calculations!$Q$19)),VLOOKUP(Skills!N464,Calculations!$Q$2:$T$16,4,FALSE),0)</f>
        <v>0</v>
      </c>
      <c r="AV464" s="4">
        <f>IF(ISNUMBER(SEARCH(N464&amp;";",Calculations!$Q$18)),1,0)</f>
        <v>0</v>
      </c>
      <c r="AW464" s="4">
        <f t="shared" si="257"/>
        <v>0</v>
      </c>
      <c r="AX464" s="4">
        <f>VLOOKUP($N464,$N464:$CH464,MATCH('Character Sheet'!$BJ$3,Skills!$N$1:$CH$1,0),FALSE)</f>
        <v>0</v>
      </c>
    </row>
    <row r="465" spans="2:50" x14ac:dyDescent="0.25">
      <c r="B465" s="4" t="e">
        <f t="shared" si="225"/>
        <v>#N/A</v>
      </c>
      <c r="E465" s="4"/>
      <c r="F465" s="4">
        <f t="shared" ca="1" si="247"/>
        <v>0</v>
      </c>
      <c r="G465" s="4"/>
      <c r="H465" s="4" t="e">
        <f t="shared" si="240"/>
        <v>#N/A</v>
      </c>
      <c r="I465" s="4" t="e">
        <f t="shared" si="258"/>
        <v>#N/A</v>
      </c>
      <c r="J465" s="4">
        <f t="shared" si="248"/>
        <v>0</v>
      </c>
      <c r="K465" s="4">
        <f t="shared" si="241"/>
        <v>0</v>
      </c>
      <c r="M465" t="str">
        <f t="shared" si="255"/>
        <v>Botany</v>
      </c>
      <c r="N465" s="3" t="str">
        <f>'Character Sheet'!CSF15</f>
        <v>Botany</v>
      </c>
      <c r="O465" s="4" t="s">
        <v>795</v>
      </c>
      <c r="P465" s="4" t="s">
        <v>794</v>
      </c>
      <c r="Q465" s="4">
        <f t="shared" si="228"/>
        <v>0</v>
      </c>
      <c r="R465" s="4">
        <f>IF(ISNUMBER(SEARCH("Category",N465)),"- -",IF(ISNUMBER(SEARCH("Skills",N465)),"- -",'Level-up'!C483))</f>
        <v>0</v>
      </c>
      <c r="S465" s="4">
        <f t="shared" si="249"/>
        <v>0</v>
      </c>
      <c r="T465" s="4">
        <f t="shared" si="250"/>
        <v>-25</v>
      </c>
      <c r="U465" s="4">
        <f t="shared" ca="1" si="237"/>
        <v>5</v>
      </c>
      <c r="V465" s="4">
        <f t="shared" si="256"/>
        <v>0</v>
      </c>
      <c r="W465" s="4">
        <f t="shared" si="227"/>
        <v>0</v>
      </c>
      <c r="X465" s="4">
        <f t="shared" si="226"/>
        <v>0</v>
      </c>
      <c r="Y465" s="4">
        <f t="shared" si="251"/>
        <v>0</v>
      </c>
      <c r="Z465" s="4">
        <f t="shared" si="252"/>
        <v>0</v>
      </c>
      <c r="AA465" s="4">
        <f t="shared" si="253"/>
        <v>0</v>
      </c>
      <c r="AB465" s="4">
        <f t="shared" si="254"/>
        <v>0</v>
      </c>
      <c r="AC465" s="8"/>
      <c r="AD465" s="4"/>
      <c r="AE465" s="4"/>
      <c r="AF465" s="4" t="str">
        <f t="shared" ca="1" si="259"/>
        <v>-20</v>
      </c>
      <c r="AG465" s="4"/>
      <c r="AH465" s="4">
        <f>IFERROR(VLOOKUP(M465,Calculations!$AC$2:$AD$251,2,FALSE),0)</f>
        <v>0</v>
      </c>
      <c r="AI465" s="4">
        <f>VLOOKUP(N465,$N$2:$AS$620,MATCH('Character Creation'!$Z$12,Skills!$N$1:$AS$1,0),FALSE)</f>
        <v>0</v>
      </c>
      <c r="AJ465" s="4">
        <f>VLOOKUP($N465,[2]Cultures!$B$4:$M$283,MATCH(AJ$1,[2]Cultures!$B$3:$M$3,0),FALSE)</f>
        <v>0</v>
      </c>
      <c r="AK465" s="4">
        <f>VLOOKUP($N465,[2]Cultures!$B$4:$M$283,MATCH(AK$1,[2]Cultures!$B$3:$M$3,0),FALSE)</f>
        <v>0</v>
      </c>
      <c r="AL465" s="4">
        <f>VLOOKUP($N465,[2]Cultures!$B$4:$M$283,MATCH(AL$1,[2]Cultures!$B$3:$M$3,0),FALSE)</f>
        <v>0</v>
      </c>
      <c r="AM465" s="4">
        <f>VLOOKUP($N465,[2]Cultures!$B$4:$M$283,MATCH(AM$1,[2]Cultures!$B$3:$M$3,0),FALSE)</f>
        <v>0</v>
      </c>
      <c r="AN465" s="4">
        <f>VLOOKUP($N465,[2]Cultures!$B$4:$M$283,MATCH(AN$1,[2]Cultures!$B$3:$M$3,0),FALSE)</f>
        <v>0</v>
      </c>
      <c r="AO465" s="4">
        <f>VLOOKUP($N465,[2]Cultures!$B$4:$M$283,MATCH(AO$1,[2]Cultures!$B$3:$M$3,0),FALSE)</f>
        <v>0</v>
      </c>
      <c r="AP465" s="4">
        <f>VLOOKUP($N465,[2]Cultures!$B$4:$M$283,MATCH(AP$1,[2]Cultures!$B$3:$M$3,0),FALSE)</f>
        <v>0</v>
      </c>
      <c r="AQ465" s="4">
        <f>VLOOKUP($N465,[2]Cultures!$B$4:$M$283,MATCH(AQ$1,[2]Cultures!$B$3:$M$3,0),FALSE)</f>
        <v>0</v>
      </c>
      <c r="AR465" s="4">
        <f>VLOOKUP($N465,[2]Cultures!$B$4:$M$283,MATCH(AR$1,[2]Cultures!$B$3:$M$3,0),FALSE)</f>
        <v>0</v>
      </c>
      <c r="AS465" s="4">
        <f>VLOOKUP($N465,[2]Cultures!$B$4:$M$283,MATCH(AS$1,[2]Cultures!$B$3:$M$3,0),FALSE)</f>
        <v>0</v>
      </c>
      <c r="AT465" s="4"/>
      <c r="AU465" s="4">
        <f>IF(ISNUMBER(SEARCH(N465&amp;";",Calculations!$Q$19)),VLOOKUP(Skills!N465,Calculations!$Q$2:$T$16,4,FALSE),0)</f>
        <v>0</v>
      </c>
      <c r="AV465" s="4">
        <f>IF(ISNUMBER(SEARCH(N465&amp;";",Calculations!$Q$18)),1,0)</f>
        <v>0</v>
      </c>
      <c r="AW465" s="4">
        <f t="shared" si="257"/>
        <v>0</v>
      </c>
      <c r="AX465" s="4">
        <f>VLOOKUP($N465,$N465:$CH465,MATCH('Character Sheet'!$BJ$3,Skills!$N$1:$CH$1,0),FALSE)</f>
        <v>0</v>
      </c>
    </row>
    <row r="466" spans="2:50" x14ac:dyDescent="0.25">
      <c r="B466" s="4" t="e">
        <f t="shared" si="225"/>
        <v>#N/A</v>
      </c>
      <c r="E466" s="4"/>
      <c r="F466" s="4">
        <f t="shared" ca="1" si="247"/>
        <v>0</v>
      </c>
      <c r="G466" s="4"/>
      <c r="H466" s="4" t="e">
        <f t="shared" si="240"/>
        <v>#N/A</v>
      </c>
      <c r="I466" s="4" t="e">
        <f t="shared" si="258"/>
        <v>#N/A</v>
      </c>
      <c r="J466" s="4">
        <f t="shared" si="248"/>
        <v>0</v>
      </c>
      <c r="K466" s="4">
        <f t="shared" si="241"/>
        <v>0</v>
      </c>
      <c r="M466" t="str">
        <f t="shared" si="255"/>
        <v>Caving</v>
      </c>
      <c r="N466" s="3" t="str">
        <f>'Character Sheet'!CSF16</f>
        <v>Caving</v>
      </c>
      <c r="O466" s="4" t="s">
        <v>795</v>
      </c>
      <c r="P466" s="4" t="s">
        <v>794</v>
      </c>
      <c r="Q466" s="4">
        <f t="shared" si="228"/>
        <v>0</v>
      </c>
      <c r="R466" s="4">
        <f>IF(ISNUMBER(SEARCH("Category",N466)),"- -",IF(ISNUMBER(SEARCH("Skills",N466)),"- -",'Level-up'!C484))</f>
        <v>0</v>
      </c>
      <c r="S466" s="4">
        <f t="shared" si="249"/>
        <v>0</v>
      </c>
      <c r="T466" s="4">
        <f t="shared" si="250"/>
        <v>-25</v>
      </c>
      <c r="U466" s="4">
        <f t="shared" ca="1" si="237"/>
        <v>5</v>
      </c>
      <c r="V466" s="4">
        <f t="shared" si="256"/>
        <v>0</v>
      </c>
      <c r="W466" s="4">
        <f t="shared" si="227"/>
        <v>0</v>
      </c>
      <c r="X466" s="4">
        <f t="shared" si="226"/>
        <v>0</v>
      </c>
      <c r="Y466" s="4">
        <f t="shared" si="251"/>
        <v>0</v>
      </c>
      <c r="Z466" s="4">
        <f t="shared" si="252"/>
        <v>0</v>
      </c>
      <c r="AA466" s="4">
        <f t="shared" si="253"/>
        <v>0</v>
      </c>
      <c r="AB466" s="4">
        <f t="shared" si="254"/>
        <v>0</v>
      </c>
      <c r="AC466" s="8"/>
      <c r="AD466" s="4"/>
      <c r="AE466" s="4"/>
      <c r="AF466" s="4" t="str">
        <f t="shared" ca="1" si="259"/>
        <v>-20</v>
      </c>
      <c r="AG466" s="4"/>
      <c r="AH466" s="4">
        <f>IFERROR(VLOOKUP(M466,Calculations!$AC$2:$AD$251,2,FALSE),0)</f>
        <v>0</v>
      </c>
      <c r="AI466" s="4">
        <f>VLOOKUP(N466,$N$2:$AS$620,MATCH('Character Creation'!$Z$12,Skills!$N$1:$AS$1,0),FALSE)</f>
        <v>0</v>
      </c>
      <c r="AJ466" s="4">
        <f>VLOOKUP($N466,[2]Cultures!$B$4:$M$283,MATCH(AJ$1,[2]Cultures!$B$3:$M$3,0),FALSE)</f>
        <v>0</v>
      </c>
      <c r="AK466" s="4">
        <f>VLOOKUP($N466,[2]Cultures!$B$4:$M$283,MATCH(AK$1,[2]Cultures!$B$3:$M$3,0),FALSE)</f>
        <v>0</v>
      </c>
      <c r="AL466" s="4">
        <f>VLOOKUP($N466,[2]Cultures!$B$4:$M$283,MATCH(AL$1,[2]Cultures!$B$3:$M$3,0),FALSE)</f>
        <v>0</v>
      </c>
      <c r="AM466" s="4">
        <f>VLOOKUP($N466,[2]Cultures!$B$4:$M$283,MATCH(AM$1,[2]Cultures!$B$3:$M$3,0),FALSE)</f>
        <v>0</v>
      </c>
      <c r="AN466" s="4">
        <f>VLOOKUP($N466,[2]Cultures!$B$4:$M$283,MATCH(AN$1,[2]Cultures!$B$3:$M$3,0),FALSE)</f>
        <v>0</v>
      </c>
      <c r="AO466" s="4">
        <f>VLOOKUP($N466,[2]Cultures!$B$4:$M$283,MATCH(AO$1,[2]Cultures!$B$3:$M$3,0),FALSE)</f>
        <v>0</v>
      </c>
      <c r="AP466" s="4">
        <f>VLOOKUP($N466,[2]Cultures!$B$4:$M$283,MATCH(AP$1,[2]Cultures!$B$3:$M$3,0),FALSE)</f>
        <v>0</v>
      </c>
      <c r="AQ466" s="4">
        <f>VLOOKUP($N466,[2]Cultures!$B$4:$M$283,MATCH(AQ$1,[2]Cultures!$B$3:$M$3,0),FALSE)</f>
        <v>0</v>
      </c>
      <c r="AR466" s="4">
        <f>VLOOKUP($N466,[2]Cultures!$B$4:$M$283,MATCH(AR$1,[2]Cultures!$B$3:$M$3,0),FALSE)</f>
        <v>0</v>
      </c>
      <c r="AS466" s="4">
        <f>VLOOKUP($N466,[2]Cultures!$B$4:$M$283,MATCH(AS$1,[2]Cultures!$B$3:$M$3,0),FALSE)</f>
        <v>0</v>
      </c>
      <c r="AT466" s="4"/>
      <c r="AU466" s="4">
        <f>IF(ISNUMBER(SEARCH(N466&amp;";",Calculations!$Q$19)),VLOOKUP(Skills!N466,Calculations!$Q$2:$T$16,4,FALSE),0)</f>
        <v>0</v>
      </c>
      <c r="AV466" s="4">
        <f>IF(ISNUMBER(SEARCH(N466&amp;";",Calculations!$Q$18)),1,0)</f>
        <v>0</v>
      </c>
      <c r="AW466" s="4">
        <f t="shared" si="257"/>
        <v>0</v>
      </c>
      <c r="AX466" s="4">
        <f>VLOOKUP($N466,$N466:$CH466,MATCH('Character Sheet'!$BJ$3,Skills!$N$1:$CH$1,0),FALSE)</f>
        <v>0</v>
      </c>
    </row>
    <row r="467" spans="2:50" x14ac:dyDescent="0.25">
      <c r="B467" s="4" t="e">
        <f t="shared" si="225"/>
        <v>#N/A</v>
      </c>
      <c r="E467" s="4"/>
      <c r="F467" s="4">
        <f t="shared" ca="1" si="247"/>
        <v>0</v>
      </c>
      <c r="G467" s="4"/>
      <c r="H467" s="4" t="e">
        <f t="shared" si="240"/>
        <v>#N/A</v>
      </c>
      <c r="I467" s="4" t="e">
        <f t="shared" si="258"/>
        <v>#N/A</v>
      </c>
      <c r="J467" s="4">
        <f t="shared" si="248"/>
        <v>0</v>
      </c>
      <c r="K467" s="4">
        <f t="shared" si="241"/>
        <v>0</v>
      </c>
      <c r="M467" t="str">
        <f t="shared" si="255"/>
        <v>Chemistry</v>
      </c>
      <c r="N467" s="3" t="str">
        <f>'Character Sheet'!CSF17</f>
        <v>Chemistry</v>
      </c>
      <c r="O467" s="4" t="s">
        <v>795</v>
      </c>
      <c r="P467" s="4" t="s">
        <v>794</v>
      </c>
      <c r="Q467" s="4">
        <f t="shared" si="228"/>
        <v>0</v>
      </c>
      <c r="R467" s="4">
        <f>IF(ISNUMBER(SEARCH("Category",N467)),"- -",IF(ISNUMBER(SEARCH("Skills",N467)),"- -",'Level-up'!C485))</f>
        <v>0</v>
      </c>
      <c r="S467" s="4">
        <f t="shared" si="249"/>
        <v>0</v>
      </c>
      <c r="T467" s="4">
        <f t="shared" si="250"/>
        <v>-25</v>
      </c>
      <c r="U467" s="4">
        <f t="shared" ca="1" si="237"/>
        <v>5</v>
      </c>
      <c r="V467" s="4">
        <f t="shared" si="256"/>
        <v>0</v>
      </c>
      <c r="W467" s="4">
        <f t="shared" si="227"/>
        <v>0</v>
      </c>
      <c r="X467" s="4">
        <f t="shared" si="226"/>
        <v>0</v>
      </c>
      <c r="Y467" s="4">
        <f t="shared" si="251"/>
        <v>0</v>
      </c>
      <c r="Z467" s="4">
        <f t="shared" si="252"/>
        <v>0</v>
      </c>
      <c r="AA467" s="4">
        <f t="shared" si="253"/>
        <v>0</v>
      </c>
      <c r="AB467" s="4">
        <f t="shared" si="254"/>
        <v>0</v>
      </c>
      <c r="AC467" s="8"/>
      <c r="AD467" s="4"/>
      <c r="AE467" s="4"/>
      <c r="AF467" s="4" t="str">
        <f t="shared" ca="1" si="259"/>
        <v>-20</v>
      </c>
      <c r="AG467" s="4"/>
      <c r="AH467" s="4">
        <f>IFERROR(VLOOKUP(M467,Calculations!$AC$2:$AD$251,2,FALSE),0)</f>
        <v>0</v>
      </c>
      <c r="AI467" s="4">
        <f>VLOOKUP(N467,$N$2:$AS$620,MATCH('Character Creation'!$Z$12,Skills!$N$1:$AS$1,0),FALSE)</f>
        <v>0</v>
      </c>
      <c r="AJ467" s="4">
        <f>VLOOKUP($N467,[2]Cultures!$B$4:$M$283,MATCH(AJ$1,[2]Cultures!$B$3:$M$3,0),FALSE)</f>
        <v>0</v>
      </c>
      <c r="AK467" s="4">
        <f>VLOOKUP($N467,[2]Cultures!$B$4:$M$283,MATCH(AK$1,[2]Cultures!$B$3:$M$3,0),FALSE)</f>
        <v>0</v>
      </c>
      <c r="AL467" s="4">
        <f>VLOOKUP($N467,[2]Cultures!$B$4:$M$283,MATCH(AL$1,[2]Cultures!$B$3:$M$3,0),FALSE)</f>
        <v>0</v>
      </c>
      <c r="AM467" s="4">
        <f>VLOOKUP($N467,[2]Cultures!$B$4:$M$283,MATCH(AM$1,[2]Cultures!$B$3:$M$3,0),FALSE)</f>
        <v>0</v>
      </c>
      <c r="AN467" s="4">
        <f>VLOOKUP($N467,[2]Cultures!$B$4:$M$283,MATCH(AN$1,[2]Cultures!$B$3:$M$3,0),FALSE)</f>
        <v>0</v>
      </c>
      <c r="AO467" s="4">
        <f>VLOOKUP($N467,[2]Cultures!$B$4:$M$283,MATCH(AO$1,[2]Cultures!$B$3:$M$3,0),FALSE)</f>
        <v>0</v>
      </c>
      <c r="AP467" s="4">
        <f>VLOOKUP($N467,[2]Cultures!$B$4:$M$283,MATCH(AP$1,[2]Cultures!$B$3:$M$3,0),FALSE)</f>
        <v>0</v>
      </c>
      <c r="AQ467" s="4">
        <f>VLOOKUP($N467,[2]Cultures!$B$4:$M$283,MATCH(AQ$1,[2]Cultures!$B$3:$M$3,0),FALSE)</f>
        <v>0</v>
      </c>
      <c r="AR467" s="4">
        <f>VLOOKUP($N467,[2]Cultures!$B$4:$M$283,MATCH(AR$1,[2]Cultures!$B$3:$M$3,0),FALSE)</f>
        <v>0</v>
      </c>
      <c r="AS467" s="4">
        <f>VLOOKUP($N467,[2]Cultures!$B$4:$M$283,MATCH(AS$1,[2]Cultures!$B$3:$M$3,0),FALSE)</f>
        <v>0</v>
      </c>
      <c r="AT467" s="4"/>
      <c r="AU467" s="4">
        <f>IF(ISNUMBER(SEARCH(N467&amp;";",Calculations!$Q$19)),VLOOKUP(Skills!N467,Calculations!$Q$2:$T$16,4,FALSE),0)</f>
        <v>0</v>
      </c>
      <c r="AV467" s="4">
        <f>IF(ISNUMBER(SEARCH(N467&amp;";",Calculations!$Q$18)),1,0)</f>
        <v>0</v>
      </c>
      <c r="AW467" s="4">
        <f t="shared" si="257"/>
        <v>0</v>
      </c>
      <c r="AX467" s="4">
        <f>VLOOKUP($N467,$N467:$CH467,MATCH('Character Sheet'!$BJ$3,Skills!$N$1:$CH$1,0),FALSE)</f>
        <v>0</v>
      </c>
    </row>
    <row r="468" spans="2:50" x14ac:dyDescent="0.25">
      <c r="B468" s="4" t="e">
        <f t="shared" ca="1" si="225"/>
        <v>#N/A</v>
      </c>
      <c r="E468" s="4"/>
      <c r="F468" s="4">
        <f t="shared" ca="1" si="247"/>
        <v>0</v>
      </c>
      <c r="G468" s="4"/>
      <c r="H468" s="4" t="e">
        <f t="shared" si="240"/>
        <v>#N/A</v>
      </c>
      <c r="I468" s="4" t="e">
        <f t="shared" si="258"/>
        <v>#N/A</v>
      </c>
      <c r="J468" s="4">
        <f t="shared" si="248"/>
        <v>0</v>
      </c>
      <c r="K468" s="4">
        <f t="shared" ca="1" si="241"/>
        <v>0</v>
      </c>
      <c r="M468" t="str">
        <f t="shared" si="255"/>
        <v>Cosmetology</v>
      </c>
      <c r="N468" s="3" t="str">
        <f>'Character Sheet'!CSF18</f>
        <v>Cosmetology</v>
      </c>
      <c r="O468" s="4" t="s">
        <v>795</v>
      </c>
      <c r="P468" s="4" t="s">
        <v>794</v>
      </c>
      <c r="Q468" s="4">
        <f t="shared" ca="1" si="228"/>
        <v>0</v>
      </c>
      <c r="R468" s="4">
        <f>IF(ISNUMBER(SEARCH("Category",N468)),"- -",IF(ISNUMBER(SEARCH("Skills",N468)),"- -",'Level-up'!C486))</f>
        <v>0</v>
      </c>
      <c r="S468" s="4">
        <f t="shared" ca="1" si="249"/>
        <v>0</v>
      </c>
      <c r="T468" s="4">
        <f t="shared" ca="1" si="250"/>
        <v>-25</v>
      </c>
      <c r="U468" s="4">
        <f t="shared" ca="1" si="237"/>
        <v>5</v>
      </c>
      <c r="V468" s="4">
        <f t="shared" si="256"/>
        <v>0</v>
      </c>
      <c r="W468" s="4">
        <f t="shared" si="227"/>
        <v>0</v>
      </c>
      <c r="X468" s="4">
        <f t="shared" si="226"/>
        <v>0</v>
      </c>
      <c r="Y468" s="4">
        <f t="shared" si="251"/>
        <v>0</v>
      </c>
      <c r="Z468" s="4">
        <f t="shared" si="252"/>
        <v>0</v>
      </c>
      <c r="AA468" s="4">
        <f t="shared" si="253"/>
        <v>0</v>
      </c>
      <c r="AB468" s="4">
        <f t="shared" si="254"/>
        <v>0</v>
      </c>
      <c r="AC468" s="8"/>
      <c r="AD468" s="4"/>
      <c r="AE468" s="4"/>
      <c r="AF468" s="4" t="str">
        <f t="shared" ca="1" si="259"/>
        <v>-20</v>
      </c>
      <c r="AG468" s="4"/>
      <c r="AH468" s="4">
        <f>IFERROR(VLOOKUP(M468,Calculations!$AC$2:$AD$251,2,FALSE),0)</f>
        <v>0</v>
      </c>
      <c r="AI468" s="4">
        <f ca="1">VLOOKUP(N468,$N$2:$AS$620,MATCH('Character Creation'!$Z$12,Skills!$N$1:$AS$1,0),FALSE)</f>
        <v>0</v>
      </c>
      <c r="AJ468" s="4">
        <f>VLOOKUP($N468,[2]Cultures!$B$4:$M$283,MATCH(AJ$1,[2]Cultures!$B$3:$M$3,0),FALSE)</f>
        <v>0</v>
      </c>
      <c r="AK468" s="4">
        <f>VLOOKUP($N468,[2]Cultures!$B$4:$M$283,MATCH(AK$1,[2]Cultures!$B$3:$M$3,0),FALSE)</f>
        <v>0</v>
      </c>
      <c r="AL468" s="4">
        <f>VLOOKUP($N468,[2]Cultures!$B$4:$M$283,MATCH(AL$1,[2]Cultures!$B$3:$M$3,0),FALSE)</f>
        <v>0</v>
      </c>
      <c r="AM468" s="4">
        <f>VLOOKUP($N468,[2]Cultures!$B$4:$M$283,MATCH(AM$1,[2]Cultures!$B$3:$M$3,0),FALSE)</f>
        <v>0</v>
      </c>
      <c r="AN468" s="4">
        <f>VLOOKUP($N468,[2]Cultures!$B$4:$M$283,MATCH(AN$1,[2]Cultures!$B$3:$M$3,0),FALSE)</f>
        <v>0</v>
      </c>
      <c r="AO468" s="4">
        <f>VLOOKUP($N468,[2]Cultures!$B$4:$M$283,MATCH(AO$1,[2]Cultures!$B$3:$M$3,0),FALSE)</f>
        <v>0</v>
      </c>
      <c r="AP468" s="4">
        <f>VLOOKUP($N468,[2]Cultures!$B$4:$M$283,MATCH(AP$1,[2]Cultures!$B$3:$M$3,0),FALSE)</f>
        <v>0</v>
      </c>
      <c r="AQ468" s="4">
        <f>VLOOKUP($N468,[2]Cultures!$B$4:$M$283,MATCH(AQ$1,[2]Cultures!$B$3:$M$3,0),FALSE)</f>
        <v>0</v>
      </c>
      <c r="AR468" s="4">
        <f>VLOOKUP($N468,[2]Cultures!$B$4:$M$283,MATCH(AR$1,[2]Cultures!$B$3:$M$3,0),FALSE)</f>
        <v>0</v>
      </c>
      <c r="AS468" s="4">
        <f>VLOOKUP($N468,[2]Cultures!$B$4:$M$283,MATCH(AS$1,[2]Cultures!$B$3:$M$3,0),FALSE)</f>
        <v>0</v>
      </c>
      <c r="AT468" s="4"/>
      <c r="AU468" s="4">
        <f>IF(ISNUMBER(SEARCH(N468&amp;";",Calculations!$Q$19)),VLOOKUP(Skills!N468,Calculations!$Q$2:$T$16,4,FALSE),0)</f>
        <v>0</v>
      </c>
      <c r="AV468" s="4">
        <f>IF(ISNUMBER(SEARCH(N468&amp;";",Calculations!$Q$18)),1,0)</f>
        <v>0</v>
      </c>
      <c r="AW468" s="4">
        <f t="shared" si="257"/>
        <v>0</v>
      </c>
      <c r="AX468" s="4">
        <f>VLOOKUP($N468,$N468:$CH468,MATCH('Character Sheet'!$BJ$3,Skills!$N$1:$CH$1,0),FALSE)</f>
        <v>0</v>
      </c>
    </row>
    <row r="469" spans="2:50" x14ac:dyDescent="0.25">
      <c r="B469" s="4" t="e">
        <f t="shared" ca="1" si="225"/>
        <v>#N/A</v>
      </c>
      <c r="E469" s="4"/>
      <c r="F469" s="4">
        <f t="shared" ca="1" si="247"/>
        <v>0</v>
      </c>
      <c r="G469" s="4"/>
      <c r="H469" s="4" t="e">
        <f t="shared" si="240"/>
        <v>#N/A</v>
      </c>
      <c r="I469" s="4" t="e">
        <f t="shared" si="258"/>
        <v>#N/A</v>
      </c>
      <c r="J469" s="4">
        <f t="shared" si="248"/>
        <v>0</v>
      </c>
      <c r="K469" s="4">
        <f t="shared" si="241"/>
        <v>0</v>
      </c>
      <c r="M469" t="str">
        <f t="shared" si="255"/>
        <v>Criminal Investigation</v>
      </c>
      <c r="N469" s="3" t="str">
        <f>'Character Sheet'!CSF19</f>
        <v>Criminal Investigation</v>
      </c>
      <c r="O469" s="4" t="s">
        <v>795</v>
      </c>
      <c r="P469" s="4" t="s">
        <v>794</v>
      </c>
      <c r="Q469" s="4">
        <f t="shared" si="228"/>
        <v>0</v>
      </c>
      <c r="R469" s="4">
        <f>IF(ISNUMBER(SEARCH("Category",N469)),"- -",IF(ISNUMBER(SEARCH("Skills",N469)),"- -",'Level-up'!C487))</f>
        <v>0</v>
      </c>
      <c r="S469" s="4">
        <f t="shared" si="249"/>
        <v>0</v>
      </c>
      <c r="T469" s="4">
        <f t="shared" si="250"/>
        <v>-25</v>
      </c>
      <c r="U469" s="4">
        <f t="shared" ca="1" si="237"/>
        <v>5</v>
      </c>
      <c r="V469" s="4">
        <f t="shared" si="256"/>
        <v>0</v>
      </c>
      <c r="W469" s="4">
        <f t="shared" si="227"/>
        <v>0</v>
      </c>
      <c r="X469" s="4">
        <f t="shared" si="226"/>
        <v>0</v>
      </c>
      <c r="Y469" s="4">
        <f t="shared" si="251"/>
        <v>0</v>
      </c>
      <c r="Z469" s="4">
        <f t="shared" si="252"/>
        <v>0</v>
      </c>
      <c r="AA469" s="4">
        <f t="shared" si="253"/>
        <v>0</v>
      </c>
      <c r="AB469" s="4">
        <f t="shared" si="254"/>
        <v>0</v>
      </c>
      <c r="AC469" s="8"/>
      <c r="AD469" s="4"/>
      <c r="AE469" s="4"/>
      <c r="AF469" s="4" t="str">
        <f t="shared" ca="1" si="259"/>
        <v>-20</v>
      </c>
      <c r="AG469" s="4"/>
      <c r="AH469" s="4">
        <f>IFERROR(VLOOKUP(M469,Calculations!$AC$2:$AD$251,2,FALSE),0)</f>
        <v>0</v>
      </c>
      <c r="AI469" s="4">
        <f>VLOOKUP(N469,$N$2:$AS$620,MATCH('Character Creation'!$Z$12,Skills!$N$1:$AS$1,0),FALSE)</f>
        <v>0</v>
      </c>
      <c r="AJ469" s="4">
        <f>VLOOKUP($N469,[2]Cultures!$B$4:$M$283,MATCH(AJ$1,[2]Cultures!$B$3:$M$3,0),FALSE)</f>
        <v>0</v>
      </c>
      <c r="AK469" s="4">
        <f>VLOOKUP($N469,[2]Cultures!$B$4:$M$283,MATCH(AK$1,[2]Cultures!$B$3:$M$3,0),FALSE)</f>
        <v>0</v>
      </c>
      <c r="AL469" s="4">
        <f>VLOOKUP($N469,[2]Cultures!$B$4:$M$283,MATCH(AL$1,[2]Cultures!$B$3:$M$3,0),FALSE)</f>
        <v>0</v>
      </c>
      <c r="AM469" s="4">
        <f>VLOOKUP($N469,[2]Cultures!$B$4:$M$283,MATCH(AM$1,[2]Cultures!$B$3:$M$3,0),FALSE)</f>
        <v>0</v>
      </c>
      <c r="AN469" s="4">
        <f>VLOOKUP($N469,[2]Cultures!$B$4:$M$283,MATCH(AN$1,[2]Cultures!$B$3:$M$3,0),FALSE)</f>
        <v>0</v>
      </c>
      <c r="AO469" s="4">
        <f>VLOOKUP($N469,[2]Cultures!$B$4:$M$283,MATCH(AO$1,[2]Cultures!$B$3:$M$3,0),FALSE)</f>
        <v>0</v>
      </c>
      <c r="AP469" s="4">
        <f>VLOOKUP($N469,[2]Cultures!$B$4:$M$283,MATCH(AP$1,[2]Cultures!$B$3:$M$3,0),FALSE)</f>
        <v>0</v>
      </c>
      <c r="AQ469" s="4">
        <f>VLOOKUP($N469,[2]Cultures!$B$4:$M$283,MATCH(AQ$1,[2]Cultures!$B$3:$M$3,0),FALSE)</f>
        <v>0</v>
      </c>
      <c r="AR469" s="4">
        <f>VLOOKUP($N469,[2]Cultures!$B$4:$M$283,MATCH(AR$1,[2]Cultures!$B$3:$M$3,0),FALSE)</f>
        <v>0</v>
      </c>
      <c r="AS469" s="4">
        <f>VLOOKUP($N469,[2]Cultures!$B$4:$M$283,MATCH(AS$1,[2]Cultures!$B$3:$M$3,0),FALSE)</f>
        <v>0</v>
      </c>
      <c r="AT469" s="4"/>
      <c r="AU469" s="4">
        <f>IF(ISNUMBER(SEARCH(N469&amp;";",Calculations!$Q$19)),VLOOKUP(Skills!N469,Calculations!$Q$2:$T$16,4,FALSE),0)</f>
        <v>0</v>
      </c>
      <c r="AV469" s="4">
        <f>IF(ISNUMBER(SEARCH(N469&amp;";",Calculations!$Q$18)),1,0)</f>
        <v>0</v>
      </c>
      <c r="AW469" s="4">
        <f t="shared" si="257"/>
        <v>0</v>
      </c>
      <c r="AX469" s="4">
        <f>VLOOKUP($N469,$N469:$CH469,MATCH('Character Sheet'!$BJ$3,Skills!$N$1:$CH$1,0),FALSE)</f>
        <v>0</v>
      </c>
    </row>
    <row r="470" spans="2:50" x14ac:dyDescent="0.25">
      <c r="B470" s="4" t="e">
        <f t="shared" ca="1" si="225"/>
        <v>#N/A</v>
      </c>
      <c r="E470" s="4"/>
      <c r="F470" s="4">
        <f t="shared" ca="1" si="247"/>
        <v>0</v>
      </c>
      <c r="G470" s="4"/>
      <c r="H470" s="4" t="e">
        <f t="shared" si="240"/>
        <v>#N/A</v>
      </c>
      <c r="I470" s="4" t="e">
        <f t="shared" si="258"/>
        <v>#N/A</v>
      </c>
      <c r="J470" s="4">
        <f t="shared" si="248"/>
        <v>0</v>
      </c>
      <c r="K470" s="4">
        <f t="shared" si="241"/>
        <v>0</v>
      </c>
      <c r="M470" t="str">
        <f t="shared" si="255"/>
        <v>Criminal Psychology</v>
      </c>
      <c r="N470" s="3" t="str">
        <f>'Character Sheet'!CSF20</f>
        <v>Criminal Psychology</v>
      </c>
      <c r="O470" s="4" t="s">
        <v>795</v>
      </c>
      <c r="P470" s="4" t="s">
        <v>794</v>
      </c>
      <c r="Q470" s="4">
        <f t="shared" si="228"/>
        <v>0</v>
      </c>
      <c r="R470" s="4">
        <f>IF(ISNUMBER(SEARCH("Category",N470)),"- -",IF(ISNUMBER(SEARCH("Skills",N470)),"- -",'Level-up'!C488))</f>
        <v>0</v>
      </c>
      <c r="S470" s="4">
        <f t="shared" si="249"/>
        <v>0</v>
      </c>
      <c r="T470" s="4">
        <f t="shared" si="250"/>
        <v>-25</v>
      </c>
      <c r="U470" s="4">
        <f t="shared" ca="1" si="237"/>
        <v>5</v>
      </c>
      <c r="V470" s="4">
        <f t="shared" si="256"/>
        <v>0</v>
      </c>
      <c r="W470" s="4">
        <f t="shared" si="227"/>
        <v>0</v>
      </c>
      <c r="X470" s="4">
        <f t="shared" si="226"/>
        <v>0</v>
      </c>
      <c r="Y470" s="4">
        <f t="shared" si="251"/>
        <v>0</v>
      </c>
      <c r="Z470" s="4">
        <f t="shared" si="252"/>
        <v>0</v>
      </c>
      <c r="AA470" s="4">
        <f t="shared" si="253"/>
        <v>0</v>
      </c>
      <c r="AB470" s="4">
        <f t="shared" si="254"/>
        <v>0</v>
      </c>
      <c r="AC470" s="8"/>
      <c r="AD470" s="4"/>
      <c r="AE470" s="4"/>
      <c r="AF470" s="4" t="str">
        <f t="shared" ca="1" si="259"/>
        <v>-20</v>
      </c>
      <c r="AG470" s="4"/>
      <c r="AH470" s="4">
        <f>IFERROR(VLOOKUP(M470,Calculations!$AC$2:$AD$251,2,FALSE),0)</f>
        <v>0</v>
      </c>
      <c r="AI470" s="4">
        <f>VLOOKUP(N470,$N$2:$AS$620,MATCH('Character Creation'!$Z$12,Skills!$N$1:$AS$1,0),FALSE)</f>
        <v>0</v>
      </c>
      <c r="AJ470" s="4">
        <f>VLOOKUP($N470,[2]Cultures!$B$4:$M$283,MATCH(AJ$1,[2]Cultures!$B$3:$M$3,0),FALSE)</f>
        <v>0</v>
      </c>
      <c r="AK470" s="4">
        <f>VLOOKUP($N470,[2]Cultures!$B$4:$M$283,MATCH(AK$1,[2]Cultures!$B$3:$M$3,0),FALSE)</f>
        <v>0</v>
      </c>
      <c r="AL470" s="4">
        <f>VLOOKUP($N470,[2]Cultures!$B$4:$M$283,MATCH(AL$1,[2]Cultures!$B$3:$M$3,0),FALSE)</f>
        <v>0</v>
      </c>
      <c r="AM470" s="4">
        <f>VLOOKUP($N470,[2]Cultures!$B$4:$M$283,MATCH(AM$1,[2]Cultures!$B$3:$M$3,0),FALSE)</f>
        <v>0</v>
      </c>
      <c r="AN470" s="4">
        <f>VLOOKUP($N470,[2]Cultures!$B$4:$M$283,MATCH(AN$1,[2]Cultures!$B$3:$M$3,0),FALSE)</f>
        <v>0</v>
      </c>
      <c r="AO470" s="4">
        <f>VLOOKUP($N470,[2]Cultures!$B$4:$M$283,MATCH(AO$1,[2]Cultures!$B$3:$M$3,0),FALSE)</f>
        <v>0</v>
      </c>
      <c r="AP470" s="4">
        <f>VLOOKUP($N470,[2]Cultures!$B$4:$M$283,MATCH(AP$1,[2]Cultures!$B$3:$M$3,0),FALSE)</f>
        <v>0</v>
      </c>
      <c r="AQ470" s="4">
        <f>VLOOKUP($N470,[2]Cultures!$B$4:$M$283,MATCH(AQ$1,[2]Cultures!$B$3:$M$3,0),FALSE)</f>
        <v>0</v>
      </c>
      <c r="AR470" s="4">
        <f>VLOOKUP($N470,[2]Cultures!$B$4:$M$283,MATCH(AR$1,[2]Cultures!$B$3:$M$3,0),FALSE)</f>
        <v>0</v>
      </c>
      <c r="AS470" s="4">
        <f>VLOOKUP($N470,[2]Cultures!$B$4:$M$283,MATCH(AS$1,[2]Cultures!$B$3:$M$3,0),FALSE)</f>
        <v>0</v>
      </c>
      <c r="AT470" s="4"/>
      <c r="AU470" s="4">
        <f>IF(ISNUMBER(SEARCH(N470&amp;";",Calculations!$Q$19)),VLOOKUP(Skills!N470,Calculations!$Q$2:$T$16,4,FALSE),0)</f>
        <v>0</v>
      </c>
      <c r="AV470" s="4">
        <f>IF(ISNUMBER(SEARCH(N470&amp;";",Calculations!$Q$18)),1,0)</f>
        <v>0</v>
      </c>
      <c r="AW470" s="4">
        <f t="shared" si="257"/>
        <v>0</v>
      </c>
      <c r="AX470" s="4">
        <f>VLOOKUP($N470,$N470:$CH470,MATCH('Character Sheet'!$BJ$3,Skills!$N$1:$CH$1,0),FALSE)</f>
        <v>0</v>
      </c>
    </row>
    <row r="471" spans="2:50" x14ac:dyDescent="0.25">
      <c r="B471" s="4" t="e">
        <f t="shared" ca="1" si="225"/>
        <v>#N/A</v>
      </c>
      <c r="E471" s="4"/>
      <c r="F471" s="4">
        <f t="shared" ca="1" si="247"/>
        <v>0</v>
      </c>
      <c r="G471" s="4"/>
      <c r="H471" s="4" t="e">
        <f t="shared" si="240"/>
        <v>#N/A</v>
      </c>
      <c r="I471" s="4" t="e">
        <f t="shared" si="258"/>
        <v>#N/A</v>
      </c>
      <c r="J471" s="4">
        <f t="shared" si="248"/>
        <v>0</v>
      </c>
      <c r="K471" s="4">
        <f t="shared" si="241"/>
        <v>0</v>
      </c>
      <c r="M471" t="str">
        <f t="shared" si="255"/>
        <v>Cryptology</v>
      </c>
      <c r="N471" s="3" t="str">
        <f>'Character Sheet'!CSF21</f>
        <v>Cryptology</v>
      </c>
      <c r="O471" s="4" t="s">
        <v>795</v>
      </c>
      <c r="P471" s="4" t="s">
        <v>794</v>
      </c>
      <c r="Q471" s="4">
        <f t="shared" si="228"/>
        <v>0</v>
      </c>
      <c r="R471" s="4">
        <f>IF(ISNUMBER(SEARCH("Category",N471)),"- -",IF(ISNUMBER(SEARCH("Skills",N471)),"- -",'Level-up'!C489))</f>
        <v>0</v>
      </c>
      <c r="S471" s="4">
        <f t="shared" si="249"/>
        <v>0</v>
      </c>
      <c r="T471" s="4">
        <f t="shared" si="250"/>
        <v>-25</v>
      </c>
      <c r="U471" s="4">
        <f t="shared" ca="1" si="237"/>
        <v>5</v>
      </c>
      <c r="V471" s="4">
        <f t="shared" si="256"/>
        <v>0</v>
      </c>
      <c r="W471" s="4">
        <f t="shared" si="227"/>
        <v>0</v>
      </c>
      <c r="X471" s="4">
        <f t="shared" si="226"/>
        <v>0</v>
      </c>
      <c r="Y471" s="4">
        <f t="shared" si="251"/>
        <v>0</v>
      </c>
      <c r="Z471" s="4">
        <f t="shared" si="252"/>
        <v>0</v>
      </c>
      <c r="AA471" s="4">
        <f t="shared" si="253"/>
        <v>0</v>
      </c>
      <c r="AB471" s="4">
        <f t="shared" si="254"/>
        <v>0</v>
      </c>
      <c r="AC471" s="8"/>
      <c r="AD471" s="4"/>
      <c r="AE471" s="4"/>
      <c r="AF471" s="4" t="str">
        <f t="shared" ca="1" si="259"/>
        <v>-20</v>
      </c>
      <c r="AG471" s="4"/>
      <c r="AH471" s="4">
        <f>IFERROR(VLOOKUP(M471,Calculations!$AC$2:$AD$251,2,FALSE),0)</f>
        <v>0</v>
      </c>
      <c r="AI471" s="4">
        <f>VLOOKUP(N471,$N$2:$AS$620,MATCH('Character Creation'!$Z$12,Skills!$N$1:$AS$1,0),FALSE)</f>
        <v>0</v>
      </c>
      <c r="AJ471" s="4">
        <f>VLOOKUP($N471,[2]Cultures!$B$4:$M$283,MATCH(AJ$1,[2]Cultures!$B$3:$M$3,0),FALSE)</f>
        <v>0</v>
      </c>
      <c r="AK471" s="4">
        <f>VLOOKUP($N471,[2]Cultures!$B$4:$M$283,MATCH(AK$1,[2]Cultures!$B$3:$M$3,0),FALSE)</f>
        <v>0</v>
      </c>
      <c r="AL471" s="4">
        <f>VLOOKUP($N471,[2]Cultures!$B$4:$M$283,MATCH(AL$1,[2]Cultures!$B$3:$M$3,0),FALSE)</f>
        <v>0</v>
      </c>
      <c r="AM471" s="4">
        <f>VLOOKUP($N471,[2]Cultures!$B$4:$M$283,MATCH(AM$1,[2]Cultures!$B$3:$M$3,0),FALSE)</f>
        <v>0</v>
      </c>
      <c r="AN471" s="4">
        <f>VLOOKUP($N471,[2]Cultures!$B$4:$M$283,MATCH(AN$1,[2]Cultures!$B$3:$M$3,0),FALSE)</f>
        <v>0</v>
      </c>
      <c r="AO471" s="4">
        <f>VLOOKUP($N471,[2]Cultures!$B$4:$M$283,MATCH(AO$1,[2]Cultures!$B$3:$M$3,0),FALSE)</f>
        <v>0</v>
      </c>
      <c r="AP471" s="4">
        <f>VLOOKUP($N471,[2]Cultures!$B$4:$M$283,MATCH(AP$1,[2]Cultures!$B$3:$M$3,0),FALSE)</f>
        <v>0</v>
      </c>
      <c r="AQ471" s="4">
        <f>VLOOKUP($N471,[2]Cultures!$B$4:$M$283,MATCH(AQ$1,[2]Cultures!$B$3:$M$3,0),FALSE)</f>
        <v>0</v>
      </c>
      <c r="AR471" s="4">
        <f>VLOOKUP($N471,[2]Cultures!$B$4:$M$283,MATCH(AR$1,[2]Cultures!$B$3:$M$3,0),FALSE)</f>
        <v>0</v>
      </c>
      <c r="AS471" s="4">
        <f>VLOOKUP($N471,[2]Cultures!$B$4:$M$283,MATCH(AS$1,[2]Cultures!$B$3:$M$3,0),FALSE)</f>
        <v>0</v>
      </c>
      <c r="AT471" s="4"/>
      <c r="AU471" s="4">
        <f>IF(ISNUMBER(SEARCH(N471&amp;";",Calculations!$Q$19)),VLOOKUP(Skills!N471,Calculations!$Q$2:$T$16,4,FALSE),0)</f>
        <v>0</v>
      </c>
      <c r="AV471" s="4">
        <f>IF(ISNUMBER(SEARCH(N471&amp;";",Calculations!$Q$18)),1,0)</f>
        <v>0</v>
      </c>
      <c r="AW471" s="4">
        <f t="shared" si="257"/>
        <v>0</v>
      </c>
      <c r="AX471" s="4">
        <f>VLOOKUP($N471,$N471:$CH471,MATCH('Character Sheet'!$BJ$3,Skills!$N$1:$CH$1,0),FALSE)</f>
        <v>0</v>
      </c>
    </row>
    <row r="472" spans="2:50" x14ac:dyDescent="0.25">
      <c r="B472" s="4" t="e">
        <f t="shared" ca="1" si="225"/>
        <v>#N/A</v>
      </c>
      <c r="E472" s="4"/>
      <c r="F472" s="4">
        <f t="shared" ca="1" si="247"/>
        <v>0</v>
      </c>
      <c r="G472" s="4"/>
      <c r="H472" s="4" t="e">
        <f t="shared" si="240"/>
        <v>#N/A</v>
      </c>
      <c r="I472" s="4" t="e">
        <f t="shared" si="258"/>
        <v>#N/A</v>
      </c>
      <c r="J472" s="4">
        <f t="shared" si="248"/>
        <v>0</v>
      </c>
      <c r="K472" s="4">
        <f t="shared" si="241"/>
        <v>0</v>
      </c>
      <c r="M472" t="str">
        <f t="shared" si="255"/>
        <v>Dowsing</v>
      </c>
      <c r="N472" s="3" t="str">
        <f>'Character Sheet'!CSF22</f>
        <v>Dowsing</v>
      </c>
      <c r="O472" s="4" t="s">
        <v>795</v>
      </c>
      <c r="P472" s="4" t="s">
        <v>794</v>
      </c>
      <c r="Q472" s="4">
        <f t="shared" si="228"/>
        <v>0</v>
      </c>
      <c r="R472" s="4">
        <f>IF(ISNUMBER(SEARCH("Category",N472)),"- -",IF(ISNUMBER(SEARCH("Skills",N472)),"- -",'Level-up'!C490))</f>
        <v>0</v>
      </c>
      <c r="S472" s="4">
        <f t="shared" si="249"/>
        <v>0</v>
      </c>
      <c r="T472" s="4">
        <f t="shared" si="250"/>
        <v>-25</v>
      </c>
      <c r="U472" s="4">
        <f t="shared" ca="1" si="237"/>
        <v>5</v>
      </c>
      <c r="V472" s="4">
        <f t="shared" si="256"/>
        <v>0</v>
      </c>
      <c r="W472" s="4">
        <f t="shared" si="227"/>
        <v>0</v>
      </c>
      <c r="X472" s="4">
        <f t="shared" si="226"/>
        <v>0</v>
      </c>
      <c r="Y472" s="4">
        <f t="shared" si="251"/>
        <v>0</v>
      </c>
      <c r="Z472" s="4">
        <f t="shared" si="252"/>
        <v>0</v>
      </c>
      <c r="AA472" s="4">
        <f t="shared" si="253"/>
        <v>0</v>
      </c>
      <c r="AB472" s="4">
        <f t="shared" si="254"/>
        <v>0</v>
      </c>
      <c r="AC472" s="8"/>
      <c r="AD472" s="4"/>
      <c r="AE472" s="4"/>
      <c r="AF472" s="4" t="str">
        <f t="shared" ca="1" si="259"/>
        <v>-20</v>
      </c>
      <c r="AG472" s="4"/>
      <c r="AH472" s="4">
        <f>IFERROR(VLOOKUP(M472,Calculations!$AC$2:$AD$251,2,FALSE),0)</f>
        <v>0</v>
      </c>
      <c r="AI472" s="4">
        <f>VLOOKUP(N472,$N$2:$AS$620,MATCH('Character Creation'!$Z$12,Skills!$N$1:$AS$1,0),FALSE)</f>
        <v>0</v>
      </c>
      <c r="AJ472" s="4">
        <f>VLOOKUP($N472,[2]Cultures!$B$4:$M$283,MATCH(AJ$1,[2]Cultures!$B$3:$M$3,0),FALSE)</f>
        <v>0</v>
      </c>
      <c r="AK472" s="4">
        <f>VLOOKUP($N472,[2]Cultures!$B$4:$M$283,MATCH(AK$1,[2]Cultures!$B$3:$M$3,0),FALSE)</f>
        <v>0</v>
      </c>
      <c r="AL472" s="4">
        <f>VLOOKUP($N472,[2]Cultures!$B$4:$M$283,MATCH(AL$1,[2]Cultures!$B$3:$M$3,0),FALSE)</f>
        <v>0</v>
      </c>
      <c r="AM472" s="4">
        <f>VLOOKUP($N472,[2]Cultures!$B$4:$M$283,MATCH(AM$1,[2]Cultures!$B$3:$M$3,0),FALSE)</f>
        <v>0</v>
      </c>
      <c r="AN472" s="4">
        <f>VLOOKUP($N472,[2]Cultures!$B$4:$M$283,MATCH(AN$1,[2]Cultures!$B$3:$M$3,0),FALSE)</f>
        <v>0</v>
      </c>
      <c r="AO472" s="4">
        <f>VLOOKUP($N472,[2]Cultures!$B$4:$M$283,MATCH(AO$1,[2]Cultures!$B$3:$M$3,0),FALSE)</f>
        <v>0</v>
      </c>
      <c r="AP472" s="4">
        <f>VLOOKUP($N472,[2]Cultures!$B$4:$M$283,MATCH(AP$1,[2]Cultures!$B$3:$M$3,0),FALSE)</f>
        <v>0</v>
      </c>
      <c r="AQ472" s="4">
        <f>VLOOKUP($N472,[2]Cultures!$B$4:$M$283,MATCH(AQ$1,[2]Cultures!$B$3:$M$3,0),FALSE)</f>
        <v>0</v>
      </c>
      <c r="AR472" s="4">
        <f>VLOOKUP($N472,[2]Cultures!$B$4:$M$283,MATCH(AR$1,[2]Cultures!$B$3:$M$3,0),FALSE)</f>
        <v>0</v>
      </c>
      <c r="AS472" s="4">
        <f>VLOOKUP($N472,[2]Cultures!$B$4:$M$283,MATCH(AS$1,[2]Cultures!$B$3:$M$3,0),FALSE)</f>
        <v>0</v>
      </c>
      <c r="AT472" s="4"/>
      <c r="AU472" s="4">
        <f>IF(ISNUMBER(SEARCH(N472&amp;";",Calculations!$Q$19)),VLOOKUP(Skills!N472,Calculations!$Q$2:$T$16,4,FALSE),0)</f>
        <v>0</v>
      </c>
      <c r="AV472" s="4">
        <f>IF(ISNUMBER(SEARCH(N472&amp;";",Calculations!$Q$18)),1,0)</f>
        <v>0</v>
      </c>
      <c r="AW472" s="4">
        <f t="shared" si="257"/>
        <v>0</v>
      </c>
      <c r="AX472" s="4">
        <f>VLOOKUP($N472,$N472:$CH472,MATCH('Character Sheet'!$BJ$3,Skills!$N$1:$CH$1,0),FALSE)</f>
        <v>0</v>
      </c>
    </row>
    <row r="473" spans="2:50" x14ac:dyDescent="0.25">
      <c r="B473" s="4" t="e">
        <f t="shared" ca="1" si="225"/>
        <v>#N/A</v>
      </c>
      <c r="E473" s="4"/>
      <c r="F473" s="4">
        <f t="shared" ca="1" si="247"/>
        <v>0</v>
      </c>
      <c r="G473" s="4"/>
      <c r="H473" s="4" t="e">
        <f t="shared" si="240"/>
        <v>#N/A</v>
      </c>
      <c r="I473" s="4" t="e">
        <f t="shared" si="258"/>
        <v>#N/A</v>
      </c>
      <c r="J473" s="4">
        <f t="shared" si="248"/>
        <v>0</v>
      </c>
      <c r="K473" s="4">
        <f t="shared" ca="1" si="241"/>
        <v>0</v>
      </c>
      <c r="M473" t="str">
        <f t="shared" si="255"/>
        <v>Drug Trafficking</v>
      </c>
      <c r="N473" s="3" t="str">
        <f>'Character Sheet'!CSF23</f>
        <v>Drug Trafficking</v>
      </c>
      <c r="O473" s="4" t="s">
        <v>795</v>
      </c>
      <c r="P473" s="4" t="s">
        <v>794</v>
      </c>
      <c r="Q473" s="4">
        <f t="shared" ca="1" si="228"/>
        <v>0</v>
      </c>
      <c r="R473" s="4">
        <f>IF(ISNUMBER(SEARCH("Category",N473)),"- -",IF(ISNUMBER(SEARCH("Skills",N473)),"- -",'Level-up'!C491))</f>
        <v>0</v>
      </c>
      <c r="S473" s="4">
        <f t="shared" ca="1" si="249"/>
        <v>0</v>
      </c>
      <c r="T473" s="4">
        <f t="shared" ca="1" si="250"/>
        <v>-25</v>
      </c>
      <c r="U473" s="4">
        <f t="shared" ca="1" si="237"/>
        <v>5</v>
      </c>
      <c r="V473" s="4">
        <f t="shared" si="256"/>
        <v>0</v>
      </c>
      <c r="W473" s="4">
        <f t="shared" si="227"/>
        <v>0</v>
      </c>
      <c r="X473" s="4">
        <f t="shared" si="226"/>
        <v>0</v>
      </c>
      <c r="Y473" s="4">
        <f t="shared" si="251"/>
        <v>0</v>
      </c>
      <c r="Z473" s="4">
        <f t="shared" si="252"/>
        <v>0</v>
      </c>
      <c r="AA473" s="4">
        <f t="shared" si="253"/>
        <v>0</v>
      </c>
      <c r="AB473" s="4">
        <f t="shared" si="254"/>
        <v>0</v>
      </c>
      <c r="AC473" s="8"/>
      <c r="AD473" s="4"/>
      <c r="AE473" s="4"/>
      <c r="AF473" s="4" t="str">
        <f t="shared" ca="1" si="259"/>
        <v>-20</v>
      </c>
      <c r="AG473" s="4"/>
      <c r="AH473" s="4">
        <f>IFERROR(VLOOKUP(M473,Calculations!$AC$2:$AD$251,2,FALSE),0)</f>
        <v>0</v>
      </c>
      <c r="AI473" s="4">
        <f ca="1">VLOOKUP(N473,$N$2:$AS$620,MATCH('Character Creation'!$Z$12,Skills!$N$1:$AS$1,0),FALSE)</f>
        <v>0</v>
      </c>
      <c r="AJ473" s="4">
        <f>VLOOKUP($N473,[2]Cultures!$B$4:$M$283,MATCH(AJ$1,[2]Cultures!$B$3:$M$3,0),FALSE)</f>
        <v>0</v>
      </c>
      <c r="AK473" s="4">
        <f>VLOOKUP($N473,[2]Cultures!$B$4:$M$283,MATCH(AK$1,[2]Cultures!$B$3:$M$3,0),FALSE)</f>
        <v>0</v>
      </c>
      <c r="AL473" s="4">
        <f>VLOOKUP($N473,[2]Cultures!$B$4:$M$283,MATCH(AL$1,[2]Cultures!$B$3:$M$3,0),FALSE)</f>
        <v>0</v>
      </c>
      <c r="AM473" s="4">
        <f>VLOOKUP($N473,[2]Cultures!$B$4:$M$283,MATCH(AM$1,[2]Cultures!$B$3:$M$3,0),FALSE)</f>
        <v>0</v>
      </c>
      <c r="AN473" s="4">
        <f>VLOOKUP($N473,[2]Cultures!$B$4:$M$283,MATCH(AN$1,[2]Cultures!$B$3:$M$3,0),FALSE)</f>
        <v>0</v>
      </c>
      <c r="AO473" s="4">
        <f>VLOOKUP($N473,[2]Cultures!$B$4:$M$283,MATCH(AO$1,[2]Cultures!$B$3:$M$3,0),FALSE)</f>
        <v>0</v>
      </c>
      <c r="AP473" s="4">
        <f>VLOOKUP($N473,[2]Cultures!$B$4:$M$283,MATCH(AP$1,[2]Cultures!$B$3:$M$3,0),FALSE)</f>
        <v>0</v>
      </c>
      <c r="AQ473" s="4">
        <f>VLOOKUP($N473,[2]Cultures!$B$4:$M$283,MATCH(AQ$1,[2]Cultures!$B$3:$M$3,0),FALSE)</f>
        <v>0</v>
      </c>
      <c r="AR473" s="4">
        <f>VLOOKUP($N473,[2]Cultures!$B$4:$M$283,MATCH(AR$1,[2]Cultures!$B$3:$M$3,0),FALSE)</f>
        <v>0</v>
      </c>
      <c r="AS473" s="4">
        <f>VLOOKUP($N473,[2]Cultures!$B$4:$M$283,MATCH(AS$1,[2]Cultures!$B$3:$M$3,0),FALSE)</f>
        <v>0</v>
      </c>
      <c r="AT473" s="4"/>
      <c r="AU473" s="4">
        <f>IF(ISNUMBER(SEARCH(N473&amp;";",Calculations!$Q$19)),VLOOKUP(Skills!N473,Calculations!$Q$2:$T$16,4,FALSE),0)</f>
        <v>0</v>
      </c>
      <c r="AV473" s="4">
        <f>IF(ISNUMBER(SEARCH(N473&amp;";",Calculations!$Q$18)),1,0)</f>
        <v>0</v>
      </c>
      <c r="AW473" s="4">
        <f t="shared" si="257"/>
        <v>0</v>
      </c>
      <c r="AX473" s="4">
        <f>VLOOKUP($N473,$N473:$CH473,MATCH('Character Sheet'!$BJ$3,Skills!$N$1:$CH$1,0),FALSE)</f>
        <v>0</v>
      </c>
    </row>
    <row r="474" spans="2:50" x14ac:dyDescent="0.25">
      <c r="B474" s="4" t="e">
        <f t="shared" ca="1" si="225"/>
        <v>#N/A</v>
      </c>
      <c r="E474" s="4"/>
      <c r="F474" s="4">
        <f t="shared" ca="1" si="247"/>
        <v>0</v>
      </c>
      <c r="G474" s="4"/>
      <c r="H474" s="4" t="e">
        <f t="shared" si="240"/>
        <v>#N/A</v>
      </c>
      <c r="I474" s="4" t="e">
        <f t="shared" si="258"/>
        <v>#N/A</v>
      </c>
      <c r="J474" s="4">
        <f t="shared" si="248"/>
        <v>0</v>
      </c>
      <c r="K474" s="4">
        <f t="shared" ca="1" si="241"/>
        <v>0</v>
      </c>
      <c r="M474" t="str">
        <f t="shared" si="255"/>
        <v>Ecology</v>
      </c>
      <c r="N474" s="3" t="str">
        <f>'Character Sheet'!CSF24</f>
        <v>Ecology</v>
      </c>
      <c r="O474" s="4" t="s">
        <v>795</v>
      </c>
      <c r="P474" s="4" t="s">
        <v>794</v>
      </c>
      <c r="Q474" s="4">
        <f t="shared" ca="1" si="228"/>
        <v>0</v>
      </c>
      <c r="R474" s="4">
        <f>IF(ISNUMBER(SEARCH("Category",N474)),"- -",IF(ISNUMBER(SEARCH("Skills",N474)),"- -",'Level-up'!C492))</f>
        <v>0</v>
      </c>
      <c r="S474" s="4">
        <f t="shared" ca="1" si="249"/>
        <v>0</v>
      </c>
      <c r="T474" s="4">
        <f t="shared" ca="1" si="250"/>
        <v>-25</v>
      </c>
      <c r="U474" s="4">
        <f t="shared" ca="1" si="237"/>
        <v>5</v>
      </c>
      <c r="V474" s="4">
        <f t="shared" si="256"/>
        <v>0</v>
      </c>
      <c r="W474" s="4">
        <f t="shared" si="227"/>
        <v>0</v>
      </c>
      <c r="X474" s="4">
        <f t="shared" si="226"/>
        <v>0</v>
      </c>
      <c r="Y474" s="4">
        <f t="shared" si="251"/>
        <v>0</v>
      </c>
      <c r="Z474" s="4">
        <f t="shared" si="252"/>
        <v>0</v>
      </c>
      <c r="AA474" s="4">
        <f t="shared" si="253"/>
        <v>0</v>
      </c>
      <c r="AB474" s="4">
        <f t="shared" si="254"/>
        <v>0</v>
      </c>
      <c r="AC474" s="8"/>
      <c r="AD474" s="4"/>
      <c r="AE474" s="4"/>
      <c r="AF474" s="4" t="str">
        <f t="shared" ca="1" si="259"/>
        <v>-20</v>
      </c>
      <c r="AG474" s="4"/>
      <c r="AH474" s="4">
        <f>IFERROR(VLOOKUP(M474,Calculations!$AC$2:$AD$251,2,FALSE),0)</f>
        <v>0</v>
      </c>
      <c r="AI474" s="4">
        <f ca="1">VLOOKUP(N474,$N$2:$AS$620,MATCH('Character Creation'!$Z$12,Skills!$N$1:$AS$1,0),FALSE)</f>
        <v>0</v>
      </c>
      <c r="AJ474" s="4">
        <f>VLOOKUP($N474,[2]Cultures!$B$4:$M$283,MATCH(AJ$1,[2]Cultures!$B$3:$M$3,0),FALSE)</f>
        <v>0</v>
      </c>
      <c r="AK474" s="4">
        <f>VLOOKUP($N474,[2]Cultures!$B$4:$M$283,MATCH(AK$1,[2]Cultures!$B$3:$M$3,0),FALSE)</f>
        <v>0</v>
      </c>
      <c r="AL474" s="4">
        <f>VLOOKUP($N474,[2]Cultures!$B$4:$M$283,MATCH(AL$1,[2]Cultures!$B$3:$M$3,0),FALSE)</f>
        <v>0</v>
      </c>
      <c r="AM474" s="4">
        <f>VLOOKUP($N474,[2]Cultures!$B$4:$M$283,MATCH(AM$1,[2]Cultures!$B$3:$M$3,0),FALSE)</f>
        <v>0</v>
      </c>
      <c r="AN474" s="4">
        <f>VLOOKUP($N474,[2]Cultures!$B$4:$M$283,MATCH(AN$1,[2]Cultures!$B$3:$M$3,0),FALSE)</f>
        <v>0</v>
      </c>
      <c r="AO474" s="4">
        <f>VLOOKUP($N474,[2]Cultures!$B$4:$M$283,MATCH(AO$1,[2]Cultures!$B$3:$M$3,0),FALSE)</f>
        <v>0</v>
      </c>
      <c r="AP474" s="4">
        <f>VLOOKUP($N474,[2]Cultures!$B$4:$M$283,MATCH(AP$1,[2]Cultures!$B$3:$M$3,0),FALSE)</f>
        <v>0</v>
      </c>
      <c r="AQ474" s="4">
        <f>VLOOKUP($N474,[2]Cultures!$B$4:$M$283,MATCH(AQ$1,[2]Cultures!$B$3:$M$3,0),FALSE)</f>
        <v>0</v>
      </c>
      <c r="AR474" s="4">
        <f>VLOOKUP($N474,[2]Cultures!$B$4:$M$283,MATCH(AR$1,[2]Cultures!$B$3:$M$3,0),FALSE)</f>
        <v>0</v>
      </c>
      <c r="AS474" s="4">
        <f>VLOOKUP($N474,[2]Cultures!$B$4:$M$283,MATCH(AS$1,[2]Cultures!$B$3:$M$3,0),FALSE)</f>
        <v>0</v>
      </c>
      <c r="AT474" s="4"/>
      <c r="AU474" s="4">
        <f>IF(ISNUMBER(SEARCH(N474&amp;";",Calculations!$Q$19)),VLOOKUP(Skills!N474,Calculations!$Q$2:$T$16,4,FALSE),0)</f>
        <v>0</v>
      </c>
      <c r="AV474" s="4">
        <f>IF(ISNUMBER(SEARCH(N474&amp;";",Calculations!$Q$18)),1,0)</f>
        <v>0</v>
      </c>
      <c r="AW474" s="4">
        <f t="shared" si="257"/>
        <v>0</v>
      </c>
      <c r="AX474" s="4">
        <f>VLOOKUP($N474,$N474:$CH474,MATCH('Character Sheet'!$BJ$3,Skills!$N$1:$CH$1,0),FALSE)</f>
        <v>0</v>
      </c>
    </row>
    <row r="475" spans="2:50" x14ac:dyDescent="0.25">
      <c r="B475" s="4" t="e">
        <f t="shared" ca="1" si="225"/>
        <v>#N/A</v>
      </c>
      <c r="E475" s="4"/>
      <c r="F475" s="4">
        <f t="shared" ca="1" si="247"/>
        <v>0</v>
      </c>
      <c r="G475" s="4"/>
      <c r="H475" s="4" t="e">
        <f t="shared" si="240"/>
        <v>#N/A</v>
      </c>
      <c r="I475" s="4" t="e">
        <f t="shared" si="258"/>
        <v>#N/A</v>
      </c>
      <c r="J475" s="4">
        <f t="shared" si="248"/>
        <v>0</v>
      </c>
      <c r="K475" s="4">
        <f t="shared" si="241"/>
        <v>0</v>
      </c>
      <c r="M475" t="str">
        <f t="shared" si="255"/>
        <v>Evolution Theory</v>
      </c>
      <c r="N475" s="3" t="str">
        <f>'Character Sheet'!CSF25</f>
        <v>Evolution Theory</v>
      </c>
      <c r="O475" s="4" t="s">
        <v>795</v>
      </c>
      <c r="P475" s="4" t="s">
        <v>794</v>
      </c>
      <c r="Q475" s="4">
        <f t="shared" si="228"/>
        <v>0</v>
      </c>
      <c r="R475" s="4">
        <f>IF(ISNUMBER(SEARCH("Category",N475)),"- -",IF(ISNUMBER(SEARCH("Skills",N475)),"- -",'Level-up'!C493))</f>
        <v>0</v>
      </c>
      <c r="S475" s="4">
        <f t="shared" si="249"/>
        <v>0</v>
      </c>
      <c r="T475" s="4">
        <f t="shared" si="250"/>
        <v>-25</v>
      </c>
      <c r="U475" s="4">
        <f t="shared" ca="1" si="237"/>
        <v>5</v>
      </c>
      <c r="V475" s="4">
        <f t="shared" si="256"/>
        <v>0</v>
      </c>
      <c r="W475" s="4">
        <f t="shared" si="227"/>
        <v>0</v>
      </c>
      <c r="X475" s="4">
        <f t="shared" si="226"/>
        <v>0</v>
      </c>
      <c r="Y475" s="4">
        <f t="shared" si="251"/>
        <v>0</v>
      </c>
      <c r="Z475" s="4">
        <f t="shared" si="252"/>
        <v>0</v>
      </c>
      <c r="AA475" s="4">
        <f t="shared" si="253"/>
        <v>0</v>
      </c>
      <c r="AB475" s="4">
        <f t="shared" si="254"/>
        <v>0</v>
      </c>
      <c r="AC475" s="8"/>
      <c r="AD475" s="4"/>
      <c r="AE475" s="4"/>
      <c r="AF475" s="4" t="str">
        <f t="shared" ca="1" si="259"/>
        <v>-20</v>
      </c>
      <c r="AG475" s="4"/>
      <c r="AH475" s="4">
        <f>IFERROR(VLOOKUP(M475,Calculations!$AC$2:$AD$251,2,FALSE),0)</f>
        <v>0</v>
      </c>
      <c r="AI475" s="4">
        <f>VLOOKUP(N475,$N$2:$AS$620,MATCH('Character Creation'!$Z$12,Skills!$N$1:$AS$1,0),FALSE)</f>
        <v>0</v>
      </c>
      <c r="AJ475" s="4">
        <f>VLOOKUP($N475,[2]Cultures!$B$4:$M$283,MATCH(AJ$1,[2]Cultures!$B$3:$M$3,0),FALSE)</f>
        <v>0</v>
      </c>
      <c r="AK475" s="4">
        <f>VLOOKUP($N475,[2]Cultures!$B$4:$M$283,MATCH(AK$1,[2]Cultures!$B$3:$M$3,0),FALSE)</f>
        <v>0</v>
      </c>
      <c r="AL475" s="4">
        <f>VLOOKUP($N475,[2]Cultures!$B$4:$M$283,MATCH(AL$1,[2]Cultures!$B$3:$M$3,0),FALSE)</f>
        <v>0</v>
      </c>
      <c r="AM475" s="4">
        <f>VLOOKUP($N475,[2]Cultures!$B$4:$M$283,MATCH(AM$1,[2]Cultures!$B$3:$M$3,0),FALSE)</f>
        <v>0</v>
      </c>
      <c r="AN475" s="4">
        <f>VLOOKUP($N475,[2]Cultures!$B$4:$M$283,MATCH(AN$1,[2]Cultures!$B$3:$M$3,0),FALSE)</f>
        <v>0</v>
      </c>
      <c r="AO475" s="4">
        <f>VLOOKUP($N475,[2]Cultures!$B$4:$M$283,MATCH(AO$1,[2]Cultures!$B$3:$M$3,0),FALSE)</f>
        <v>0</v>
      </c>
      <c r="AP475" s="4">
        <f>VLOOKUP($N475,[2]Cultures!$B$4:$M$283,MATCH(AP$1,[2]Cultures!$B$3:$M$3,0),FALSE)</f>
        <v>0</v>
      </c>
      <c r="AQ475" s="4">
        <f>VLOOKUP($N475,[2]Cultures!$B$4:$M$283,MATCH(AQ$1,[2]Cultures!$B$3:$M$3,0),FALSE)</f>
        <v>0</v>
      </c>
      <c r="AR475" s="4">
        <f>VLOOKUP($N475,[2]Cultures!$B$4:$M$283,MATCH(AR$1,[2]Cultures!$B$3:$M$3,0),FALSE)</f>
        <v>0</v>
      </c>
      <c r="AS475" s="4">
        <f>VLOOKUP($N475,[2]Cultures!$B$4:$M$283,MATCH(AS$1,[2]Cultures!$B$3:$M$3,0),FALSE)</f>
        <v>0</v>
      </c>
      <c r="AT475" s="4"/>
      <c r="AU475" s="4">
        <f>IF(ISNUMBER(SEARCH(N475&amp;";",Calculations!$Q$19)),VLOOKUP(Skills!N475,Calculations!$Q$2:$T$16,4,FALSE),0)</f>
        <v>0</v>
      </c>
      <c r="AV475" s="4">
        <f>IF(ISNUMBER(SEARCH(N475&amp;";",Calculations!$Q$18)),1,0)</f>
        <v>0</v>
      </c>
      <c r="AW475" s="4">
        <f t="shared" si="257"/>
        <v>0</v>
      </c>
      <c r="AX475" s="4">
        <f>VLOOKUP($N475,$N475:$CH475,MATCH('Character Sheet'!$BJ$3,Skills!$N$1:$CH$1,0),FALSE)</f>
        <v>0</v>
      </c>
    </row>
    <row r="476" spans="2:50" x14ac:dyDescent="0.25">
      <c r="B476" s="4" t="e">
        <f t="shared" ca="1" si="225"/>
        <v>#N/A</v>
      </c>
      <c r="E476" s="4"/>
      <c r="F476" s="4">
        <f t="shared" ca="1" si="247"/>
        <v>0</v>
      </c>
      <c r="G476" s="4"/>
      <c r="H476" s="4" t="e">
        <f t="shared" si="240"/>
        <v>#N/A</v>
      </c>
      <c r="I476" s="4" t="e">
        <f t="shared" si="258"/>
        <v>#N/A</v>
      </c>
      <c r="J476" s="4">
        <f t="shared" si="248"/>
        <v>0</v>
      </c>
      <c r="K476" s="4">
        <f t="shared" si="241"/>
        <v>0</v>
      </c>
      <c r="M476" t="str">
        <f t="shared" si="255"/>
        <v>Fashion</v>
      </c>
      <c r="N476" s="3" t="str">
        <f>'Character Sheet'!CSF26</f>
        <v>Fashion</v>
      </c>
      <c r="O476" s="4" t="s">
        <v>795</v>
      </c>
      <c r="P476" s="4" t="s">
        <v>794</v>
      </c>
      <c r="Q476" s="4">
        <f t="shared" si="228"/>
        <v>0</v>
      </c>
      <c r="R476" s="4">
        <f>IF(ISNUMBER(SEARCH("Category",N476)),"- -",IF(ISNUMBER(SEARCH("Skills",N476)),"- -",'Level-up'!C494))</f>
        <v>0</v>
      </c>
      <c r="S476" s="4">
        <f t="shared" si="249"/>
        <v>0</v>
      </c>
      <c r="T476" s="4">
        <f t="shared" si="250"/>
        <v>-25</v>
      </c>
      <c r="U476" s="4">
        <f t="shared" ca="1" si="237"/>
        <v>5</v>
      </c>
      <c r="V476" s="4">
        <f t="shared" si="256"/>
        <v>0</v>
      </c>
      <c r="W476" s="4">
        <f t="shared" si="227"/>
        <v>0</v>
      </c>
      <c r="X476" s="4">
        <f t="shared" si="226"/>
        <v>0</v>
      </c>
      <c r="Y476" s="4">
        <f t="shared" si="251"/>
        <v>0</v>
      </c>
      <c r="Z476" s="4">
        <f t="shared" si="252"/>
        <v>0</v>
      </c>
      <c r="AA476" s="4">
        <f t="shared" si="253"/>
        <v>0</v>
      </c>
      <c r="AB476" s="4">
        <f t="shared" si="254"/>
        <v>0</v>
      </c>
      <c r="AC476" s="8"/>
      <c r="AD476" s="4"/>
      <c r="AE476" s="4"/>
      <c r="AF476" s="4" t="str">
        <f t="shared" ca="1" si="259"/>
        <v>-20</v>
      </c>
      <c r="AG476" s="4"/>
      <c r="AH476" s="4">
        <f>IFERROR(VLOOKUP(M476,Calculations!$AC$2:$AD$251,2,FALSE),0)</f>
        <v>0</v>
      </c>
      <c r="AI476" s="4">
        <f>VLOOKUP(N476,$N$2:$AS$620,MATCH('Character Creation'!$Z$12,Skills!$N$1:$AS$1,0),FALSE)</f>
        <v>0</v>
      </c>
      <c r="AJ476" s="4">
        <f>VLOOKUP($N476,[2]Cultures!$B$4:$M$283,MATCH(AJ$1,[2]Cultures!$B$3:$M$3,0),FALSE)</f>
        <v>0</v>
      </c>
      <c r="AK476" s="4">
        <f>VLOOKUP($N476,[2]Cultures!$B$4:$M$283,MATCH(AK$1,[2]Cultures!$B$3:$M$3,0),FALSE)</f>
        <v>0</v>
      </c>
      <c r="AL476" s="4">
        <f>VLOOKUP($N476,[2]Cultures!$B$4:$M$283,MATCH(AL$1,[2]Cultures!$B$3:$M$3,0),FALSE)</f>
        <v>0</v>
      </c>
      <c r="AM476" s="4">
        <f>VLOOKUP($N476,[2]Cultures!$B$4:$M$283,MATCH(AM$1,[2]Cultures!$B$3:$M$3,0),FALSE)</f>
        <v>0</v>
      </c>
      <c r="AN476" s="4">
        <f>VLOOKUP($N476,[2]Cultures!$B$4:$M$283,MATCH(AN$1,[2]Cultures!$B$3:$M$3,0),FALSE)</f>
        <v>0</v>
      </c>
      <c r="AO476" s="4">
        <f>VLOOKUP($N476,[2]Cultures!$B$4:$M$283,MATCH(AO$1,[2]Cultures!$B$3:$M$3,0),FALSE)</f>
        <v>0</v>
      </c>
      <c r="AP476" s="4">
        <f>VLOOKUP($N476,[2]Cultures!$B$4:$M$283,MATCH(AP$1,[2]Cultures!$B$3:$M$3,0),FALSE)</f>
        <v>0</v>
      </c>
      <c r="AQ476" s="4">
        <f>VLOOKUP($N476,[2]Cultures!$B$4:$M$283,MATCH(AQ$1,[2]Cultures!$B$3:$M$3,0),FALSE)</f>
        <v>0</v>
      </c>
      <c r="AR476" s="4">
        <f>VLOOKUP($N476,[2]Cultures!$B$4:$M$283,MATCH(AR$1,[2]Cultures!$B$3:$M$3,0),FALSE)</f>
        <v>0</v>
      </c>
      <c r="AS476" s="4">
        <f>VLOOKUP($N476,[2]Cultures!$B$4:$M$283,MATCH(AS$1,[2]Cultures!$B$3:$M$3,0),FALSE)</f>
        <v>0</v>
      </c>
      <c r="AT476" s="4"/>
      <c r="AU476" s="4">
        <f>IF(ISNUMBER(SEARCH(N476&amp;";",Calculations!$Q$19)),VLOOKUP(Skills!N476,Calculations!$Q$2:$T$16,4,FALSE),0)</f>
        <v>0</v>
      </c>
      <c r="AV476" s="4">
        <f>IF(ISNUMBER(SEARCH(N476&amp;";",Calculations!$Q$18)),1,0)</f>
        <v>0</v>
      </c>
      <c r="AW476" s="4">
        <f t="shared" si="257"/>
        <v>0</v>
      </c>
      <c r="AX476" s="4">
        <f>VLOOKUP($N476,$N476:$CH476,MATCH('Character Sheet'!$BJ$3,Skills!$N$1:$CH$1,0),FALSE)</f>
        <v>0</v>
      </c>
    </row>
    <row r="477" spans="2:50" x14ac:dyDescent="0.25">
      <c r="B477" s="4" t="e">
        <f t="shared" ca="1" si="225"/>
        <v>#N/A</v>
      </c>
      <c r="E477" s="4"/>
      <c r="F477" s="4">
        <f t="shared" ca="1" si="247"/>
        <v>0</v>
      </c>
      <c r="G477" s="4"/>
      <c r="H477" s="4" t="e">
        <f t="shared" si="240"/>
        <v>#N/A</v>
      </c>
      <c r="I477" s="4" t="e">
        <f t="shared" si="258"/>
        <v>#N/A</v>
      </c>
      <c r="J477" s="4">
        <f t="shared" si="248"/>
        <v>0</v>
      </c>
      <c r="K477" s="4">
        <f t="shared" si="241"/>
        <v>0</v>
      </c>
      <c r="M477" t="str">
        <f t="shared" si="255"/>
        <v>Finance</v>
      </c>
      <c r="N477" s="3" t="str">
        <f>'Character Sheet'!CSF27</f>
        <v>Finance</v>
      </c>
      <c r="O477" s="4" t="s">
        <v>795</v>
      </c>
      <c r="P477" s="4" t="s">
        <v>794</v>
      </c>
      <c r="Q477" s="4">
        <f t="shared" si="228"/>
        <v>0</v>
      </c>
      <c r="R477" s="4">
        <f>IF(ISNUMBER(SEARCH("Category",N477)),"- -",IF(ISNUMBER(SEARCH("Skills",N477)),"- -",'Level-up'!C495))</f>
        <v>0</v>
      </c>
      <c r="S477" s="4">
        <f t="shared" si="249"/>
        <v>0</v>
      </c>
      <c r="T477" s="4">
        <f t="shared" si="250"/>
        <v>-25</v>
      </c>
      <c r="U477" s="4">
        <f t="shared" ca="1" si="237"/>
        <v>5</v>
      </c>
      <c r="V477" s="4">
        <f t="shared" si="256"/>
        <v>0</v>
      </c>
      <c r="W477" s="4">
        <f t="shared" si="227"/>
        <v>0</v>
      </c>
      <c r="X477" s="4">
        <f t="shared" si="226"/>
        <v>0</v>
      </c>
      <c r="Y477" s="4">
        <f t="shared" si="251"/>
        <v>0</v>
      </c>
      <c r="Z477" s="4">
        <f t="shared" si="252"/>
        <v>0</v>
      </c>
      <c r="AA477" s="4">
        <f t="shared" si="253"/>
        <v>0</v>
      </c>
      <c r="AB477" s="4">
        <f t="shared" si="254"/>
        <v>0</v>
      </c>
      <c r="AC477" s="8"/>
      <c r="AD477" s="4"/>
      <c r="AE477" s="4"/>
      <c r="AF477" s="4" t="str">
        <f t="shared" ca="1" si="259"/>
        <v>-20</v>
      </c>
      <c r="AG477" s="4"/>
      <c r="AH477" s="4">
        <f>IFERROR(VLOOKUP(M477,Calculations!$AC$2:$AD$251,2,FALSE),0)</f>
        <v>0</v>
      </c>
      <c r="AI477" s="4">
        <f>VLOOKUP(N477,$N$2:$AS$620,MATCH('Character Creation'!$Z$12,Skills!$N$1:$AS$1,0),FALSE)</f>
        <v>0</v>
      </c>
      <c r="AJ477" s="4">
        <f>VLOOKUP($N477,[2]Cultures!$B$4:$M$283,MATCH(AJ$1,[2]Cultures!$B$3:$M$3,0),FALSE)</f>
        <v>0</v>
      </c>
      <c r="AK477" s="4">
        <f>VLOOKUP($N477,[2]Cultures!$B$4:$M$283,MATCH(AK$1,[2]Cultures!$B$3:$M$3,0),FALSE)</f>
        <v>0</v>
      </c>
      <c r="AL477" s="4">
        <f>VLOOKUP($N477,[2]Cultures!$B$4:$M$283,MATCH(AL$1,[2]Cultures!$B$3:$M$3,0),FALSE)</f>
        <v>0</v>
      </c>
      <c r="AM477" s="4">
        <f>VLOOKUP($N477,[2]Cultures!$B$4:$M$283,MATCH(AM$1,[2]Cultures!$B$3:$M$3,0),FALSE)</f>
        <v>0</v>
      </c>
      <c r="AN477" s="4">
        <f>VLOOKUP($N477,[2]Cultures!$B$4:$M$283,MATCH(AN$1,[2]Cultures!$B$3:$M$3,0),FALSE)</f>
        <v>0</v>
      </c>
      <c r="AO477" s="4">
        <f>VLOOKUP($N477,[2]Cultures!$B$4:$M$283,MATCH(AO$1,[2]Cultures!$B$3:$M$3,0),FALSE)</f>
        <v>0</v>
      </c>
      <c r="AP477" s="4">
        <f>VLOOKUP($N477,[2]Cultures!$B$4:$M$283,MATCH(AP$1,[2]Cultures!$B$3:$M$3,0),FALSE)</f>
        <v>0</v>
      </c>
      <c r="AQ477" s="4">
        <f>VLOOKUP($N477,[2]Cultures!$B$4:$M$283,MATCH(AQ$1,[2]Cultures!$B$3:$M$3,0),FALSE)</f>
        <v>0</v>
      </c>
      <c r="AR477" s="4">
        <f>VLOOKUP($N477,[2]Cultures!$B$4:$M$283,MATCH(AR$1,[2]Cultures!$B$3:$M$3,0),FALSE)</f>
        <v>0</v>
      </c>
      <c r="AS477" s="4">
        <f>VLOOKUP($N477,[2]Cultures!$B$4:$M$283,MATCH(AS$1,[2]Cultures!$B$3:$M$3,0),FALSE)</f>
        <v>0</v>
      </c>
      <c r="AT477" s="4"/>
      <c r="AU477" s="4">
        <f>IF(ISNUMBER(SEARCH(N477&amp;";",Calculations!$Q$19)),VLOOKUP(Skills!N477,Calculations!$Q$2:$T$16,4,FALSE),0)</f>
        <v>0</v>
      </c>
      <c r="AV477" s="4">
        <f>IF(ISNUMBER(SEARCH(N477&amp;";",Calculations!$Q$18)),1,0)</f>
        <v>0</v>
      </c>
      <c r="AW477" s="4">
        <f t="shared" si="257"/>
        <v>0</v>
      </c>
      <c r="AX477" s="4">
        <f>VLOOKUP($N477,$N477:$CH477,MATCH('Character Sheet'!$BJ$3,Skills!$N$1:$CH$1,0),FALSE)</f>
        <v>0</v>
      </c>
    </row>
    <row r="478" spans="2:50" x14ac:dyDescent="0.25">
      <c r="B478" s="4" t="e">
        <f t="shared" ca="1" si="225"/>
        <v>#N/A</v>
      </c>
      <c r="E478" s="4"/>
      <c r="F478" s="4">
        <f t="shared" ca="1" si="247"/>
        <v>0</v>
      </c>
      <c r="G478" s="4"/>
      <c r="H478" s="4" t="e">
        <f t="shared" si="240"/>
        <v>#N/A</v>
      </c>
      <c r="I478" s="4" t="e">
        <f t="shared" si="258"/>
        <v>#N/A</v>
      </c>
      <c r="J478" s="4">
        <f t="shared" si="248"/>
        <v>0</v>
      </c>
      <c r="K478" s="4">
        <f t="shared" ca="1" si="241"/>
        <v>0</v>
      </c>
      <c r="M478" t="str">
        <f t="shared" si="255"/>
        <v>Gambling</v>
      </c>
      <c r="N478" s="3" t="str">
        <f>'Character Sheet'!CSF28</f>
        <v>Gambling</v>
      </c>
      <c r="O478" s="4" t="s">
        <v>795</v>
      </c>
      <c r="P478" s="4" t="s">
        <v>794</v>
      </c>
      <c r="Q478" s="4">
        <f t="shared" ca="1" si="228"/>
        <v>0</v>
      </c>
      <c r="R478" s="4">
        <f>IF(ISNUMBER(SEARCH("Category",N478)),"- -",IF(ISNUMBER(SEARCH("Skills",N478)),"- -",'Level-up'!C496))</f>
        <v>0</v>
      </c>
      <c r="S478" s="4">
        <f t="shared" ca="1" si="249"/>
        <v>0</v>
      </c>
      <c r="T478" s="4">
        <f t="shared" ca="1" si="250"/>
        <v>-25</v>
      </c>
      <c r="U478" s="4">
        <f t="shared" ca="1" si="237"/>
        <v>5</v>
      </c>
      <c r="V478" s="4">
        <f t="shared" si="256"/>
        <v>0</v>
      </c>
      <c r="W478" s="4">
        <f t="shared" si="227"/>
        <v>0</v>
      </c>
      <c r="X478" s="4">
        <f t="shared" si="226"/>
        <v>0</v>
      </c>
      <c r="Y478" s="4">
        <f t="shared" si="251"/>
        <v>0</v>
      </c>
      <c r="Z478" s="4">
        <f t="shared" si="252"/>
        <v>0</v>
      </c>
      <c r="AA478" s="4">
        <f t="shared" si="253"/>
        <v>0</v>
      </c>
      <c r="AB478" s="4">
        <f t="shared" si="254"/>
        <v>0</v>
      </c>
      <c r="AC478" s="8"/>
      <c r="AD478" s="4"/>
      <c r="AE478" s="4"/>
      <c r="AF478" s="4" t="str">
        <f t="shared" ca="1" si="259"/>
        <v>-20</v>
      </c>
      <c r="AG478" s="4"/>
      <c r="AH478" s="4">
        <f>IFERROR(VLOOKUP(M478,Calculations!$AC$2:$AD$251,2,FALSE),0)</f>
        <v>0</v>
      </c>
      <c r="AI478" s="4">
        <f ca="1">VLOOKUP(N478,$N$2:$AS$620,MATCH('Character Creation'!$Z$12,Skills!$N$1:$AS$1,0),FALSE)</f>
        <v>0</v>
      </c>
      <c r="AJ478" s="4">
        <f>VLOOKUP($N478,[2]Cultures!$B$4:$M$283,MATCH(AJ$1,[2]Cultures!$B$3:$M$3,0),FALSE)</f>
        <v>0</v>
      </c>
      <c r="AK478" s="4">
        <f>VLOOKUP($N478,[2]Cultures!$B$4:$M$283,MATCH(AK$1,[2]Cultures!$B$3:$M$3,0),FALSE)</f>
        <v>0</v>
      </c>
      <c r="AL478" s="4">
        <f>VLOOKUP($N478,[2]Cultures!$B$4:$M$283,MATCH(AL$1,[2]Cultures!$B$3:$M$3,0),FALSE)</f>
        <v>0</v>
      </c>
      <c r="AM478" s="4">
        <f>VLOOKUP($N478,[2]Cultures!$B$4:$M$283,MATCH(AM$1,[2]Cultures!$B$3:$M$3,0),FALSE)</f>
        <v>0</v>
      </c>
      <c r="AN478" s="4">
        <f>VLOOKUP($N478,[2]Cultures!$B$4:$M$283,MATCH(AN$1,[2]Cultures!$B$3:$M$3,0),FALSE)</f>
        <v>0</v>
      </c>
      <c r="AO478" s="4">
        <f>VLOOKUP($N478,[2]Cultures!$B$4:$M$283,MATCH(AO$1,[2]Cultures!$B$3:$M$3,0),FALSE)</f>
        <v>0</v>
      </c>
      <c r="AP478" s="4">
        <f>VLOOKUP($N478,[2]Cultures!$B$4:$M$283,MATCH(AP$1,[2]Cultures!$B$3:$M$3,0),FALSE)</f>
        <v>0</v>
      </c>
      <c r="AQ478" s="4">
        <f>VLOOKUP($N478,[2]Cultures!$B$4:$M$283,MATCH(AQ$1,[2]Cultures!$B$3:$M$3,0),FALSE)</f>
        <v>0</v>
      </c>
      <c r="AR478" s="4">
        <f>VLOOKUP($N478,[2]Cultures!$B$4:$M$283,MATCH(AR$1,[2]Cultures!$B$3:$M$3,0),FALSE)</f>
        <v>0</v>
      </c>
      <c r="AS478" s="4">
        <f>VLOOKUP($N478,[2]Cultures!$B$4:$M$283,MATCH(AS$1,[2]Cultures!$B$3:$M$3,0),FALSE)</f>
        <v>0</v>
      </c>
      <c r="AT478" s="4"/>
      <c r="AU478" s="4">
        <f>IF(ISNUMBER(SEARCH(N478&amp;";",Calculations!$Q$19)),VLOOKUP(Skills!N478,Calculations!$Q$2:$T$16,4,FALSE),0)</f>
        <v>0</v>
      </c>
      <c r="AV478" s="4">
        <f>IF(ISNUMBER(SEARCH(N478&amp;";",Calculations!$Q$18)),1,0)</f>
        <v>0</v>
      </c>
      <c r="AW478" s="4">
        <f t="shared" si="257"/>
        <v>0</v>
      </c>
      <c r="AX478" s="4">
        <f>VLOOKUP($N478,$N478:$CH478,MATCH('Character Sheet'!$BJ$3,Skills!$N$1:$CH$1,0),FALSE)</f>
        <v>0</v>
      </c>
    </row>
    <row r="479" spans="2:50" x14ac:dyDescent="0.25">
      <c r="B479" s="4" t="e">
        <f t="shared" ca="1" si="225"/>
        <v>#N/A</v>
      </c>
      <c r="E479" s="4"/>
      <c r="F479" s="4">
        <f t="shared" ca="1" si="247"/>
        <v>0</v>
      </c>
      <c r="G479" s="4"/>
      <c r="H479" s="4" t="e">
        <f t="shared" si="240"/>
        <v>#N/A</v>
      </c>
      <c r="I479" s="4" t="e">
        <f t="shared" si="258"/>
        <v>#N/A</v>
      </c>
      <c r="J479" s="4">
        <f t="shared" si="248"/>
        <v>0</v>
      </c>
      <c r="K479" s="4">
        <f t="shared" si="241"/>
        <v>0</v>
      </c>
      <c r="M479" t="str">
        <f t="shared" si="255"/>
        <v>Genetics</v>
      </c>
      <c r="N479" s="3" t="str">
        <f>'Character Sheet'!CSF29</f>
        <v>Genetics</v>
      </c>
      <c r="O479" s="4" t="s">
        <v>795</v>
      </c>
      <c r="P479" s="4" t="s">
        <v>794</v>
      </c>
      <c r="Q479" s="4">
        <f t="shared" si="228"/>
        <v>0</v>
      </c>
      <c r="R479" s="4">
        <f>IF(ISNUMBER(SEARCH("Category",N479)),"- -",IF(ISNUMBER(SEARCH("Skills",N479)),"- -",'Level-up'!C497))</f>
        <v>0</v>
      </c>
      <c r="S479" s="4">
        <f t="shared" si="249"/>
        <v>0</v>
      </c>
      <c r="T479" s="4">
        <f t="shared" si="250"/>
        <v>-25</v>
      </c>
      <c r="U479" s="4">
        <f t="shared" ca="1" si="237"/>
        <v>5</v>
      </c>
      <c r="V479" s="4">
        <f t="shared" si="256"/>
        <v>0</v>
      </c>
      <c r="W479" s="4">
        <f t="shared" si="227"/>
        <v>0</v>
      </c>
      <c r="X479" s="4">
        <f t="shared" si="226"/>
        <v>0</v>
      </c>
      <c r="Y479" s="4">
        <f t="shared" si="251"/>
        <v>0</v>
      </c>
      <c r="Z479" s="4">
        <f t="shared" si="252"/>
        <v>0</v>
      </c>
      <c r="AA479" s="4">
        <f t="shared" si="253"/>
        <v>0</v>
      </c>
      <c r="AB479" s="4">
        <f t="shared" si="254"/>
        <v>0</v>
      </c>
      <c r="AC479" s="8"/>
      <c r="AD479" s="4"/>
      <c r="AE479" s="4"/>
      <c r="AF479" s="4" t="str">
        <f t="shared" ca="1" si="259"/>
        <v>-20</v>
      </c>
      <c r="AG479" s="4"/>
      <c r="AH479" s="4">
        <f>IFERROR(VLOOKUP(M479,Calculations!$AC$2:$AD$251,2,FALSE),0)</f>
        <v>0</v>
      </c>
      <c r="AI479" s="4">
        <f>VLOOKUP(N479,$N$2:$AS$620,MATCH('Character Creation'!$Z$12,Skills!$N$1:$AS$1,0),FALSE)</f>
        <v>0</v>
      </c>
      <c r="AJ479" s="4">
        <f>VLOOKUP($N479,[2]Cultures!$B$4:$M$283,MATCH(AJ$1,[2]Cultures!$B$3:$M$3,0),FALSE)</f>
        <v>0</v>
      </c>
      <c r="AK479" s="4">
        <f>VLOOKUP($N479,[2]Cultures!$B$4:$M$283,MATCH(AK$1,[2]Cultures!$B$3:$M$3,0),FALSE)</f>
        <v>0</v>
      </c>
      <c r="AL479" s="4">
        <f>VLOOKUP($N479,[2]Cultures!$B$4:$M$283,MATCH(AL$1,[2]Cultures!$B$3:$M$3,0),FALSE)</f>
        <v>0</v>
      </c>
      <c r="AM479" s="4">
        <f>VLOOKUP($N479,[2]Cultures!$B$4:$M$283,MATCH(AM$1,[2]Cultures!$B$3:$M$3,0),FALSE)</f>
        <v>0</v>
      </c>
      <c r="AN479" s="4">
        <f>VLOOKUP($N479,[2]Cultures!$B$4:$M$283,MATCH(AN$1,[2]Cultures!$B$3:$M$3,0),FALSE)</f>
        <v>0</v>
      </c>
      <c r="AO479" s="4">
        <f>VLOOKUP($N479,[2]Cultures!$B$4:$M$283,MATCH(AO$1,[2]Cultures!$B$3:$M$3,0),FALSE)</f>
        <v>0</v>
      </c>
      <c r="AP479" s="4">
        <f>VLOOKUP($N479,[2]Cultures!$B$4:$M$283,MATCH(AP$1,[2]Cultures!$B$3:$M$3,0),FALSE)</f>
        <v>0</v>
      </c>
      <c r="AQ479" s="4">
        <f>VLOOKUP($N479,[2]Cultures!$B$4:$M$283,MATCH(AQ$1,[2]Cultures!$B$3:$M$3,0),FALSE)</f>
        <v>0</v>
      </c>
      <c r="AR479" s="4">
        <f>VLOOKUP($N479,[2]Cultures!$B$4:$M$283,MATCH(AR$1,[2]Cultures!$B$3:$M$3,0),FALSE)</f>
        <v>0</v>
      </c>
      <c r="AS479" s="4">
        <f>VLOOKUP($N479,[2]Cultures!$B$4:$M$283,MATCH(AS$1,[2]Cultures!$B$3:$M$3,0),FALSE)</f>
        <v>0</v>
      </c>
      <c r="AT479" s="4"/>
      <c r="AU479" s="4">
        <f>IF(ISNUMBER(SEARCH(N479&amp;";",Calculations!$Q$19)),VLOOKUP(Skills!N479,Calculations!$Q$2:$T$16,4,FALSE),0)</f>
        <v>0</v>
      </c>
      <c r="AV479" s="4">
        <f>IF(ISNUMBER(SEARCH(N479&amp;";",Calculations!$Q$18)),1,0)</f>
        <v>0</v>
      </c>
      <c r="AW479" s="4">
        <f t="shared" si="257"/>
        <v>0</v>
      </c>
      <c r="AX479" s="4">
        <f>VLOOKUP($N479,$N479:$CH479,MATCH('Character Sheet'!$BJ$3,Skills!$N$1:$CH$1,0),FALSE)</f>
        <v>0</v>
      </c>
    </row>
    <row r="480" spans="2:50" x14ac:dyDescent="0.25">
      <c r="B480" s="4" t="e">
        <f t="shared" ref="B480:B543" ca="1" si="260">IF(A480="Y",B479+1,IF(A480="N",B479,IF(S480="- -",B479,IF(S480&gt;0,B479+1,B479))))</f>
        <v>#N/A</v>
      </c>
      <c r="E480" s="4"/>
      <c r="F480" s="4">
        <f t="shared" ca="1" si="247"/>
        <v>0</v>
      </c>
      <c r="G480" s="4"/>
      <c r="H480" s="4" t="e">
        <f t="shared" si="240"/>
        <v>#N/A</v>
      </c>
      <c r="I480" s="4" t="e">
        <f t="shared" si="258"/>
        <v>#N/A</v>
      </c>
      <c r="J480" s="4">
        <f t="shared" si="248"/>
        <v>0</v>
      </c>
      <c r="K480" s="4">
        <f t="shared" si="241"/>
        <v>0</v>
      </c>
      <c r="M480" t="str">
        <f t="shared" si="255"/>
        <v>Horticulture</v>
      </c>
      <c r="N480" s="3" t="str">
        <f>'Character Sheet'!CSF30</f>
        <v>Horticulture</v>
      </c>
      <c r="O480" s="4" t="s">
        <v>795</v>
      </c>
      <c r="P480" s="4" t="s">
        <v>794</v>
      </c>
      <c r="Q480" s="4">
        <f t="shared" si="228"/>
        <v>0</v>
      </c>
      <c r="R480" s="4">
        <f>IF(ISNUMBER(SEARCH("Category",N480)),"- -",IF(ISNUMBER(SEARCH("Skills",N480)),"- -",'Level-up'!C498))</f>
        <v>0</v>
      </c>
      <c r="S480" s="4">
        <f t="shared" si="249"/>
        <v>0</v>
      </c>
      <c r="T480" s="4">
        <f t="shared" si="250"/>
        <v>-25</v>
      </c>
      <c r="U480" s="4">
        <f t="shared" ca="1" si="237"/>
        <v>5</v>
      </c>
      <c r="V480" s="4">
        <f t="shared" si="256"/>
        <v>0</v>
      </c>
      <c r="W480" s="4">
        <f t="shared" si="227"/>
        <v>0</v>
      </c>
      <c r="X480" s="4">
        <f t="shared" si="226"/>
        <v>0</v>
      </c>
      <c r="Y480" s="4">
        <f t="shared" si="251"/>
        <v>0</v>
      </c>
      <c r="Z480" s="4">
        <f t="shared" si="252"/>
        <v>0</v>
      </c>
      <c r="AA480" s="4">
        <f t="shared" si="253"/>
        <v>0</v>
      </c>
      <c r="AB480" s="4">
        <f t="shared" si="254"/>
        <v>0</v>
      </c>
      <c r="AC480" s="8"/>
      <c r="AD480" s="4"/>
      <c r="AE480" s="4"/>
      <c r="AF480" s="4" t="str">
        <f t="shared" ca="1" si="259"/>
        <v>-20</v>
      </c>
      <c r="AG480" s="4"/>
      <c r="AH480" s="4">
        <f>IFERROR(VLOOKUP(M480,Calculations!$AC$2:$AD$251,2,FALSE),0)</f>
        <v>0</v>
      </c>
      <c r="AI480" s="4">
        <f>VLOOKUP(N480,$N$2:$AS$620,MATCH('Character Creation'!$Z$12,Skills!$N$1:$AS$1,0),FALSE)</f>
        <v>0</v>
      </c>
      <c r="AJ480" s="4">
        <f>VLOOKUP($N480,[2]Cultures!$B$4:$M$283,MATCH(AJ$1,[2]Cultures!$B$3:$M$3,0),FALSE)</f>
        <v>0</v>
      </c>
      <c r="AK480" s="4">
        <f>VLOOKUP($N480,[2]Cultures!$B$4:$M$283,MATCH(AK$1,[2]Cultures!$B$3:$M$3,0),FALSE)</f>
        <v>0</v>
      </c>
      <c r="AL480" s="4">
        <f>VLOOKUP($N480,[2]Cultures!$B$4:$M$283,MATCH(AL$1,[2]Cultures!$B$3:$M$3,0),FALSE)</f>
        <v>0</v>
      </c>
      <c r="AM480" s="4">
        <f>VLOOKUP($N480,[2]Cultures!$B$4:$M$283,MATCH(AM$1,[2]Cultures!$B$3:$M$3,0),FALSE)</f>
        <v>0</v>
      </c>
      <c r="AN480" s="4">
        <f>VLOOKUP($N480,[2]Cultures!$B$4:$M$283,MATCH(AN$1,[2]Cultures!$B$3:$M$3,0),FALSE)</f>
        <v>0</v>
      </c>
      <c r="AO480" s="4">
        <f>VLOOKUP($N480,[2]Cultures!$B$4:$M$283,MATCH(AO$1,[2]Cultures!$B$3:$M$3,0),FALSE)</f>
        <v>0</v>
      </c>
      <c r="AP480" s="4">
        <f>VLOOKUP($N480,[2]Cultures!$B$4:$M$283,MATCH(AP$1,[2]Cultures!$B$3:$M$3,0),FALSE)</f>
        <v>0</v>
      </c>
      <c r="AQ480" s="4">
        <f>VLOOKUP($N480,[2]Cultures!$B$4:$M$283,MATCH(AQ$1,[2]Cultures!$B$3:$M$3,0),FALSE)</f>
        <v>0</v>
      </c>
      <c r="AR480" s="4">
        <f>VLOOKUP($N480,[2]Cultures!$B$4:$M$283,MATCH(AR$1,[2]Cultures!$B$3:$M$3,0),FALSE)</f>
        <v>0</v>
      </c>
      <c r="AS480" s="4">
        <f>VLOOKUP($N480,[2]Cultures!$B$4:$M$283,MATCH(AS$1,[2]Cultures!$B$3:$M$3,0),FALSE)</f>
        <v>0</v>
      </c>
      <c r="AT480" s="4"/>
      <c r="AU480" s="4">
        <f>IF(ISNUMBER(SEARCH(N480&amp;";",Calculations!$Q$19)),VLOOKUP(Skills!N480,Calculations!$Q$2:$T$16,4,FALSE),0)</f>
        <v>0</v>
      </c>
      <c r="AV480" s="4">
        <f>IF(ISNUMBER(SEARCH(N480&amp;";",Calculations!$Q$18)),1,0)</f>
        <v>0</v>
      </c>
      <c r="AW480" s="4">
        <f t="shared" si="257"/>
        <v>0</v>
      </c>
      <c r="AX480" s="4">
        <f>VLOOKUP($N480,$N480:$CH480,MATCH('Character Sheet'!$BJ$3,Skills!$N$1:$CH$1,0),FALSE)</f>
        <v>0</v>
      </c>
    </row>
    <row r="481" spans="2:50" x14ac:dyDescent="0.25">
      <c r="B481" s="4" t="e">
        <f t="shared" ca="1" si="260"/>
        <v>#N/A</v>
      </c>
      <c r="E481" s="4"/>
      <c r="F481" s="4">
        <f t="shared" ca="1" si="247"/>
        <v>0</v>
      </c>
      <c r="G481" s="4"/>
      <c r="H481" s="4" t="e">
        <f t="shared" si="240"/>
        <v>#N/A</v>
      </c>
      <c r="I481" s="4" t="e">
        <f t="shared" si="258"/>
        <v>#N/A</v>
      </c>
      <c r="J481" s="4">
        <f t="shared" si="248"/>
        <v>0</v>
      </c>
      <c r="K481" s="4">
        <f t="shared" ca="1" si="241"/>
        <v>0</v>
      </c>
      <c r="M481" t="str">
        <f t="shared" si="255"/>
        <v>Interior Design</v>
      </c>
      <c r="N481" s="3" t="str">
        <f>'Character Sheet'!CSF31</f>
        <v>Interior Design</v>
      </c>
      <c r="O481" s="4" t="s">
        <v>795</v>
      </c>
      <c r="P481" s="4" t="s">
        <v>794</v>
      </c>
      <c r="Q481" s="4">
        <f t="shared" ca="1" si="228"/>
        <v>0</v>
      </c>
      <c r="R481" s="4">
        <f>IF(ISNUMBER(SEARCH("Category",N481)),"- -",IF(ISNUMBER(SEARCH("Skills",N481)),"- -",'Level-up'!C499))</f>
        <v>0</v>
      </c>
      <c r="S481" s="4">
        <f t="shared" ca="1" si="249"/>
        <v>0</v>
      </c>
      <c r="T481" s="4">
        <f t="shared" ca="1" si="250"/>
        <v>-25</v>
      </c>
      <c r="U481" s="4">
        <f t="shared" ca="1" si="237"/>
        <v>5</v>
      </c>
      <c r="V481" s="4">
        <f t="shared" si="256"/>
        <v>0</v>
      </c>
      <c r="W481" s="4">
        <f t="shared" si="227"/>
        <v>0</v>
      </c>
      <c r="X481" s="4">
        <f t="shared" si="226"/>
        <v>0</v>
      </c>
      <c r="Y481" s="4">
        <f t="shared" si="251"/>
        <v>0</v>
      </c>
      <c r="Z481" s="4">
        <f t="shared" si="252"/>
        <v>0</v>
      </c>
      <c r="AA481" s="4">
        <f t="shared" si="253"/>
        <v>0</v>
      </c>
      <c r="AB481" s="4">
        <f t="shared" si="254"/>
        <v>0</v>
      </c>
      <c r="AC481" s="8"/>
      <c r="AD481" s="4"/>
      <c r="AE481" s="4"/>
      <c r="AF481" s="4" t="str">
        <f t="shared" ca="1" si="259"/>
        <v>-20</v>
      </c>
      <c r="AG481" s="4"/>
      <c r="AH481" s="4">
        <f>IFERROR(VLOOKUP(M481,Calculations!$AC$2:$AD$251,2,FALSE),0)</f>
        <v>0</v>
      </c>
      <c r="AI481" s="4">
        <f ca="1">VLOOKUP(N481,$N$2:$AS$620,MATCH('Character Creation'!$Z$12,Skills!$N$1:$AS$1,0),FALSE)</f>
        <v>0</v>
      </c>
      <c r="AJ481" s="4">
        <f>VLOOKUP($N481,[2]Cultures!$B$4:$M$283,MATCH(AJ$1,[2]Cultures!$B$3:$M$3,0),FALSE)</f>
        <v>0</v>
      </c>
      <c r="AK481" s="4">
        <f>VLOOKUP($N481,[2]Cultures!$B$4:$M$283,MATCH(AK$1,[2]Cultures!$B$3:$M$3,0),FALSE)</f>
        <v>0</v>
      </c>
      <c r="AL481" s="4">
        <f>VLOOKUP($N481,[2]Cultures!$B$4:$M$283,MATCH(AL$1,[2]Cultures!$B$3:$M$3,0),FALSE)</f>
        <v>0</v>
      </c>
      <c r="AM481" s="4">
        <f>VLOOKUP($N481,[2]Cultures!$B$4:$M$283,MATCH(AM$1,[2]Cultures!$B$3:$M$3,0),FALSE)</f>
        <v>0</v>
      </c>
      <c r="AN481" s="4">
        <f>VLOOKUP($N481,[2]Cultures!$B$4:$M$283,MATCH(AN$1,[2]Cultures!$B$3:$M$3,0),FALSE)</f>
        <v>0</v>
      </c>
      <c r="AO481" s="4">
        <f>VLOOKUP($N481,[2]Cultures!$B$4:$M$283,MATCH(AO$1,[2]Cultures!$B$3:$M$3,0),FALSE)</f>
        <v>0</v>
      </c>
      <c r="AP481" s="4">
        <f>VLOOKUP($N481,[2]Cultures!$B$4:$M$283,MATCH(AP$1,[2]Cultures!$B$3:$M$3,0),FALSE)</f>
        <v>0</v>
      </c>
      <c r="AQ481" s="4">
        <f>VLOOKUP($N481,[2]Cultures!$B$4:$M$283,MATCH(AQ$1,[2]Cultures!$B$3:$M$3,0),FALSE)</f>
        <v>0</v>
      </c>
      <c r="AR481" s="4">
        <f>VLOOKUP($N481,[2]Cultures!$B$4:$M$283,MATCH(AR$1,[2]Cultures!$B$3:$M$3,0),FALSE)</f>
        <v>0</v>
      </c>
      <c r="AS481" s="4">
        <f>VLOOKUP($N481,[2]Cultures!$B$4:$M$283,MATCH(AS$1,[2]Cultures!$B$3:$M$3,0),FALSE)</f>
        <v>0</v>
      </c>
      <c r="AT481" s="4"/>
      <c r="AU481" s="4">
        <f>IF(ISNUMBER(SEARCH(N481&amp;";",Calculations!$Q$19)),VLOOKUP(Skills!N481,Calculations!$Q$2:$T$16,4,FALSE),0)</f>
        <v>0</v>
      </c>
      <c r="AV481" s="4">
        <f>IF(ISNUMBER(SEARCH(N481&amp;";",Calculations!$Q$18)),1,0)</f>
        <v>0</v>
      </c>
      <c r="AW481" s="4">
        <f t="shared" si="257"/>
        <v>0</v>
      </c>
      <c r="AX481" s="4">
        <f>VLOOKUP($N481,$N481:$CH481,MATCH('Character Sheet'!$BJ$3,Skills!$N$1:$CH$1,0),FALSE)</f>
        <v>0</v>
      </c>
    </row>
    <row r="482" spans="2:50" x14ac:dyDescent="0.25">
      <c r="B482" s="4" t="e">
        <f t="shared" ca="1" si="260"/>
        <v>#N/A</v>
      </c>
      <c r="E482" s="4"/>
      <c r="F482" s="4">
        <f t="shared" ca="1" si="247"/>
        <v>0</v>
      </c>
      <c r="G482" s="4"/>
      <c r="H482" s="4" t="e">
        <f t="shared" si="240"/>
        <v>#N/A</v>
      </c>
      <c r="I482" s="4" t="e">
        <f t="shared" si="258"/>
        <v>#N/A</v>
      </c>
      <c r="J482" s="4">
        <f t="shared" si="248"/>
        <v>0</v>
      </c>
      <c r="K482" s="4">
        <f t="shared" si="241"/>
        <v>0</v>
      </c>
      <c r="M482" t="str">
        <f t="shared" si="255"/>
        <v>Law Enforcement</v>
      </c>
      <c r="N482" s="3" t="str">
        <f>'Character Sheet'!CSF32</f>
        <v>Law Enforcement</v>
      </c>
      <c r="O482" s="4" t="s">
        <v>795</v>
      </c>
      <c r="P482" s="4" t="s">
        <v>794</v>
      </c>
      <c r="Q482" s="4">
        <f t="shared" si="228"/>
        <v>0</v>
      </c>
      <c r="R482" s="4">
        <f>IF(ISNUMBER(SEARCH("Category",N482)),"- -",IF(ISNUMBER(SEARCH("Skills",N482)),"- -",'Level-up'!C500))</f>
        <v>0</v>
      </c>
      <c r="S482" s="4">
        <f t="shared" si="249"/>
        <v>0</v>
      </c>
      <c r="T482" s="4">
        <f t="shared" si="250"/>
        <v>-25</v>
      </c>
      <c r="U482" s="4">
        <f t="shared" ca="1" si="237"/>
        <v>5</v>
      </c>
      <c r="V482" s="4">
        <f t="shared" si="256"/>
        <v>0</v>
      </c>
      <c r="W482" s="4">
        <f t="shared" si="227"/>
        <v>0</v>
      </c>
      <c r="X482" s="4">
        <f t="shared" ref="X482:X545" si="261">IF(ISNUMBER(SEARCH("Category",N482)),"- -",IF(ISNUMBER(SEARCH("Skills",N482)),"- -",0))</f>
        <v>0</v>
      </c>
      <c r="Y482" s="4">
        <f t="shared" si="251"/>
        <v>0</v>
      </c>
      <c r="Z482" s="4">
        <f t="shared" si="252"/>
        <v>0</v>
      </c>
      <c r="AA482" s="4">
        <f t="shared" si="253"/>
        <v>0</v>
      </c>
      <c r="AB482" s="4">
        <f t="shared" si="254"/>
        <v>0</v>
      </c>
      <c r="AC482" s="8"/>
      <c r="AD482" s="4"/>
      <c r="AE482" s="4"/>
      <c r="AF482" s="4" t="str">
        <f t="shared" ca="1" si="259"/>
        <v>-20</v>
      </c>
      <c r="AG482" s="4"/>
      <c r="AH482" s="4">
        <f>IFERROR(VLOOKUP(M482,Calculations!$AC$2:$AD$251,2,FALSE),0)</f>
        <v>0</v>
      </c>
      <c r="AI482" s="4">
        <f>VLOOKUP(N482,$N$2:$AS$620,MATCH('Character Creation'!$Z$12,Skills!$N$1:$AS$1,0),FALSE)</f>
        <v>0</v>
      </c>
      <c r="AJ482" s="4">
        <f>VLOOKUP($N482,[2]Cultures!$B$4:$M$283,MATCH(AJ$1,[2]Cultures!$B$3:$M$3,0),FALSE)</f>
        <v>0</v>
      </c>
      <c r="AK482" s="4">
        <f>VLOOKUP($N482,[2]Cultures!$B$4:$M$283,MATCH(AK$1,[2]Cultures!$B$3:$M$3,0),FALSE)</f>
        <v>0</v>
      </c>
      <c r="AL482" s="4">
        <f>VLOOKUP($N482,[2]Cultures!$B$4:$M$283,MATCH(AL$1,[2]Cultures!$B$3:$M$3,0),FALSE)</f>
        <v>0</v>
      </c>
      <c r="AM482" s="4">
        <f>VLOOKUP($N482,[2]Cultures!$B$4:$M$283,MATCH(AM$1,[2]Cultures!$B$3:$M$3,0),FALSE)</f>
        <v>0</v>
      </c>
      <c r="AN482" s="4">
        <f>VLOOKUP($N482,[2]Cultures!$B$4:$M$283,MATCH(AN$1,[2]Cultures!$B$3:$M$3,0),FALSE)</f>
        <v>0</v>
      </c>
      <c r="AO482" s="4">
        <f>VLOOKUP($N482,[2]Cultures!$B$4:$M$283,MATCH(AO$1,[2]Cultures!$B$3:$M$3,0),FALSE)</f>
        <v>0</v>
      </c>
      <c r="AP482" s="4">
        <f>VLOOKUP($N482,[2]Cultures!$B$4:$M$283,MATCH(AP$1,[2]Cultures!$B$3:$M$3,0),FALSE)</f>
        <v>0</v>
      </c>
      <c r="AQ482" s="4">
        <f>VLOOKUP($N482,[2]Cultures!$B$4:$M$283,MATCH(AQ$1,[2]Cultures!$B$3:$M$3,0),FALSE)</f>
        <v>0</v>
      </c>
      <c r="AR482" s="4">
        <f>VLOOKUP($N482,[2]Cultures!$B$4:$M$283,MATCH(AR$1,[2]Cultures!$B$3:$M$3,0),FALSE)</f>
        <v>0</v>
      </c>
      <c r="AS482" s="4">
        <f>VLOOKUP($N482,[2]Cultures!$B$4:$M$283,MATCH(AS$1,[2]Cultures!$B$3:$M$3,0),FALSE)</f>
        <v>0</v>
      </c>
      <c r="AT482" s="4"/>
      <c r="AU482" s="4">
        <f>IF(ISNUMBER(SEARCH(N482&amp;";",Calculations!$Q$19)),VLOOKUP(Skills!N482,Calculations!$Q$2:$T$16,4,FALSE),0)</f>
        <v>0</v>
      </c>
      <c r="AV482" s="4">
        <f>IF(ISNUMBER(SEARCH(N482&amp;";",Calculations!$Q$18)),1,0)</f>
        <v>0</v>
      </c>
      <c r="AW482" s="4">
        <f t="shared" si="257"/>
        <v>0</v>
      </c>
      <c r="AX482" s="4">
        <f>VLOOKUP($N482,$N482:$CH482,MATCH('Character Sheet'!$BJ$3,Skills!$N$1:$CH$1,0),FALSE)</f>
        <v>0</v>
      </c>
    </row>
    <row r="483" spans="2:50" x14ac:dyDescent="0.25">
      <c r="B483" s="4" t="e">
        <f t="shared" ca="1" si="260"/>
        <v>#N/A</v>
      </c>
      <c r="E483" s="4"/>
      <c r="F483" s="4">
        <f t="shared" ca="1" si="247"/>
        <v>0</v>
      </c>
      <c r="G483" s="4"/>
      <c r="H483" s="4" t="e">
        <f t="shared" si="240"/>
        <v>#N/A</v>
      </c>
      <c r="I483" s="4" t="e">
        <f t="shared" si="258"/>
        <v>#N/A</v>
      </c>
      <c r="J483" s="4">
        <f t="shared" si="248"/>
        <v>0</v>
      </c>
      <c r="K483" s="4">
        <f t="shared" si="241"/>
        <v>0</v>
      </c>
      <c r="M483" t="str">
        <f t="shared" si="255"/>
        <v>Mapping</v>
      </c>
      <c r="N483" s="3" t="str">
        <f>'Character Sheet'!CSF33</f>
        <v>Mapping</v>
      </c>
      <c r="O483" s="4" t="s">
        <v>795</v>
      </c>
      <c r="P483" s="4" t="s">
        <v>794</v>
      </c>
      <c r="Q483" s="4">
        <f t="shared" si="228"/>
        <v>0</v>
      </c>
      <c r="R483" s="4">
        <f>IF(ISNUMBER(SEARCH("Category",N483)),"- -",IF(ISNUMBER(SEARCH("Skills",N483)),"- -",'Level-up'!C501))</f>
        <v>0</v>
      </c>
      <c r="S483" s="4">
        <f t="shared" si="249"/>
        <v>0</v>
      </c>
      <c r="T483" s="4">
        <f t="shared" si="250"/>
        <v>-25</v>
      </c>
      <c r="U483" s="4">
        <f t="shared" ca="1" si="237"/>
        <v>5</v>
      </c>
      <c r="V483" s="4">
        <f t="shared" si="256"/>
        <v>0</v>
      </c>
      <c r="W483" s="4">
        <f t="shared" si="227"/>
        <v>0</v>
      </c>
      <c r="X483" s="4">
        <f t="shared" si="261"/>
        <v>0</v>
      </c>
      <c r="Y483" s="4">
        <f t="shared" si="251"/>
        <v>0</v>
      </c>
      <c r="Z483" s="4">
        <f t="shared" si="252"/>
        <v>0</v>
      </c>
      <c r="AA483" s="4">
        <f t="shared" si="253"/>
        <v>0</v>
      </c>
      <c r="AB483" s="4">
        <f t="shared" si="254"/>
        <v>0</v>
      </c>
      <c r="AC483" s="8"/>
      <c r="AD483" s="4"/>
      <c r="AE483" s="4"/>
      <c r="AF483" s="4" t="str">
        <f t="shared" ca="1" si="259"/>
        <v>-20</v>
      </c>
      <c r="AG483" s="4"/>
      <c r="AH483" s="4">
        <f>IFERROR(VLOOKUP(M483,Calculations!$AC$2:$AD$251,2,FALSE),0)</f>
        <v>0</v>
      </c>
      <c r="AI483" s="4">
        <f>VLOOKUP(N483,$N$2:$AS$620,MATCH('Character Creation'!$Z$12,Skills!$N$1:$AS$1,0),FALSE)</f>
        <v>0</v>
      </c>
      <c r="AJ483" s="4">
        <f>VLOOKUP($N483,[2]Cultures!$B$4:$M$283,MATCH(AJ$1,[2]Cultures!$B$3:$M$3,0),FALSE)</f>
        <v>0</v>
      </c>
      <c r="AK483" s="4">
        <f>VLOOKUP($N483,[2]Cultures!$B$4:$M$283,MATCH(AK$1,[2]Cultures!$B$3:$M$3,0),FALSE)</f>
        <v>0</v>
      </c>
      <c r="AL483" s="4">
        <f>VLOOKUP($N483,[2]Cultures!$B$4:$M$283,MATCH(AL$1,[2]Cultures!$B$3:$M$3,0),FALSE)</f>
        <v>0</v>
      </c>
      <c r="AM483" s="4">
        <f>VLOOKUP($N483,[2]Cultures!$B$4:$M$283,MATCH(AM$1,[2]Cultures!$B$3:$M$3,0),FALSE)</f>
        <v>0</v>
      </c>
      <c r="AN483" s="4">
        <f>VLOOKUP($N483,[2]Cultures!$B$4:$M$283,MATCH(AN$1,[2]Cultures!$B$3:$M$3,0),FALSE)</f>
        <v>0</v>
      </c>
      <c r="AO483" s="4">
        <f>VLOOKUP($N483,[2]Cultures!$B$4:$M$283,MATCH(AO$1,[2]Cultures!$B$3:$M$3,0),FALSE)</f>
        <v>0</v>
      </c>
      <c r="AP483" s="4">
        <f>VLOOKUP($N483,[2]Cultures!$B$4:$M$283,MATCH(AP$1,[2]Cultures!$B$3:$M$3,0),FALSE)</f>
        <v>0</v>
      </c>
      <c r="AQ483" s="4">
        <f>VLOOKUP($N483,[2]Cultures!$B$4:$M$283,MATCH(AQ$1,[2]Cultures!$B$3:$M$3,0),FALSE)</f>
        <v>0</v>
      </c>
      <c r="AR483" s="4">
        <f>VLOOKUP($N483,[2]Cultures!$B$4:$M$283,MATCH(AR$1,[2]Cultures!$B$3:$M$3,0),FALSE)</f>
        <v>0</v>
      </c>
      <c r="AS483" s="4">
        <f>VLOOKUP($N483,[2]Cultures!$B$4:$M$283,MATCH(AS$1,[2]Cultures!$B$3:$M$3,0),FALSE)</f>
        <v>0</v>
      </c>
      <c r="AT483" s="4"/>
      <c r="AU483" s="4">
        <f>IF(ISNUMBER(SEARCH(N483&amp;";",Calculations!$Q$19)),VLOOKUP(Skills!N483,Calculations!$Q$2:$T$16,4,FALSE),0)</f>
        <v>0</v>
      </c>
      <c r="AV483" s="4">
        <f>IF(ISNUMBER(SEARCH(N483&amp;";",Calculations!$Q$18)),1,0)</f>
        <v>0</v>
      </c>
      <c r="AW483" s="4">
        <f t="shared" si="257"/>
        <v>0</v>
      </c>
      <c r="AX483" s="4">
        <f>VLOOKUP($N483,$N483:$CH483,MATCH('Character Sheet'!$BJ$3,Skills!$N$1:$CH$1,0),FALSE)</f>
        <v>0</v>
      </c>
    </row>
    <row r="484" spans="2:50" x14ac:dyDescent="0.25">
      <c r="B484" s="4" t="e">
        <f t="shared" ca="1" si="260"/>
        <v>#N/A</v>
      </c>
      <c r="E484" s="4"/>
      <c r="F484" s="4">
        <f t="shared" ca="1" si="247"/>
        <v>0</v>
      </c>
      <c r="G484" s="4"/>
      <c r="H484" s="4" t="e">
        <f t="shared" si="240"/>
        <v>#N/A</v>
      </c>
      <c r="I484" s="4" t="e">
        <f t="shared" si="258"/>
        <v>#N/A</v>
      </c>
      <c r="J484" s="4">
        <f t="shared" si="248"/>
        <v>0</v>
      </c>
      <c r="K484" s="4">
        <f t="shared" ca="1" si="241"/>
        <v>0</v>
      </c>
      <c r="M484" t="str">
        <f t="shared" si="255"/>
        <v>Metallurgy</v>
      </c>
      <c r="N484" s="3" t="str">
        <f>'Character Sheet'!CSF34</f>
        <v>Metallurgy</v>
      </c>
      <c r="O484" s="4" t="s">
        <v>795</v>
      </c>
      <c r="P484" s="4" t="s">
        <v>794</v>
      </c>
      <c r="Q484" s="4">
        <f t="shared" ca="1" si="228"/>
        <v>0</v>
      </c>
      <c r="R484" s="4">
        <f>IF(ISNUMBER(SEARCH("Category",N484)),"- -",IF(ISNUMBER(SEARCH("Skills",N484)),"- -",'Level-up'!C502))</f>
        <v>0</v>
      </c>
      <c r="S484" s="4">
        <f t="shared" ca="1" si="249"/>
        <v>0</v>
      </c>
      <c r="T484" s="4">
        <f t="shared" ca="1" si="250"/>
        <v>-25</v>
      </c>
      <c r="U484" s="4">
        <f t="shared" ca="1" si="237"/>
        <v>5</v>
      </c>
      <c r="V484" s="4">
        <f t="shared" si="256"/>
        <v>0</v>
      </c>
      <c r="W484" s="4">
        <f t="shared" ref="W484:W547" si="262">IF(ISNUMBER(SEARCH("Category",N484)),"- -",IF(ISNUMBER(SEARCH("Skills",N484)),"- -",IF(AW484=1,MIN(S484,30),0)))</f>
        <v>0</v>
      </c>
      <c r="X484" s="4">
        <f t="shared" si="261"/>
        <v>0</v>
      </c>
      <c r="Y484" s="4">
        <f t="shared" si="251"/>
        <v>0</v>
      </c>
      <c r="Z484" s="4">
        <f t="shared" si="252"/>
        <v>0</v>
      </c>
      <c r="AA484" s="4">
        <f t="shared" si="253"/>
        <v>0</v>
      </c>
      <c r="AB484" s="4">
        <f t="shared" si="254"/>
        <v>0</v>
      </c>
      <c r="AC484" s="8"/>
      <c r="AD484" s="4"/>
      <c r="AE484" s="4"/>
      <c r="AF484" s="4" t="str">
        <f t="shared" ca="1" si="259"/>
        <v>-20</v>
      </c>
      <c r="AG484" s="4"/>
      <c r="AH484" s="4">
        <f>IFERROR(VLOOKUP(M484,Calculations!$AC$2:$AD$251,2,FALSE),0)</f>
        <v>0</v>
      </c>
      <c r="AI484" s="4">
        <f ca="1">VLOOKUP(N484,$N$2:$AS$620,MATCH('Character Creation'!$Z$12,Skills!$N$1:$AS$1,0),FALSE)</f>
        <v>0</v>
      </c>
      <c r="AJ484" s="4">
        <f>VLOOKUP($N484,[2]Cultures!$B$4:$M$283,MATCH(AJ$1,[2]Cultures!$B$3:$M$3,0),FALSE)</f>
        <v>0</v>
      </c>
      <c r="AK484" s="4">
        <f>VLOOKUP($N484,[2]Cultures!$B$4:$M$283,MATCH(AK$1,[2]Cultures!$B$3:$M$3,0),FALSE)</f>
        <v>0</v>
      </c>
      <c r="AL484" s="4">
        <f>VLOOKUP($N484,[2]Cultures!$B$4:$M$283,MATCH(AL$1,[2]Cultures!$B$3:$M$3,0),FALSE)</f>
        <v>0</v>
      </c>
      <c r="AM484" s="4">
        <f>VLOOKUP($N484,[2]Cultures!$B$4:$M$283,MATCH(AM$1,[2]Cultures!$B$3:$M$3,0),FALSE)</f>
        <v>0</v>
      </c>
      <c r="AN484" s="4">
        <f>VLOOKUP($N484,[2]Cultures!$B$4:$M$283,MATCH(AN$1,[2]Cultures!$B$3:$M$3,0),FALSE)</f>
        <v>0</v>
      </c>
      <c r="AO484" s="4">
        <f>VLOOKUP($N484,[2]Cultures!$B$4:$M$283,MATCH(AO$1,[2]Cultures!$B$3:$M$3,0),FALSE)</f>
        <v>0</v>
      </c>
      <c r="AP484" s="4">
        <f>VLOOKUP($N484,[2]Cultures!$B$4:$M$283,MATCH(AP$1,[2]Cultures!$B$3:$M$3,0),FALSE)</f>
        <v>0</v>
      </c>
      <c r="AQ484" s="4">
        <f>VLOOKUP($N484,[2]Cultures!$B$4:$M$283,MATCH(AQ$1,[2]Cultures!$B$3:$M$3,0),FALSE)</f>
        <v>0</v>
      </c>
      <c r="AR484" s="4">
        <f>VLOOKUP($N484,[2]Cultures!$B$4:$M$283,MATCH(AR$1,[2]Cultures!$B$3:$M$3,0),FALSE)</f>
        <v>0</v>
      </c>
      <c r="AS484" s="4">
        <f>VLOOKUP($N484,[2]Cultures!$B$4:$M$283,MATCH(AS$1,[2]Cultures!$B$3:$M$3,0),FALSE)</f>
        <v>0</v>
      </c>
      <c r="AT484" s="4"/>
      <c r="AU484" s="4">
        <f>IF(ISNUMBER(SEARCH(N484&amp;";",Calculations!$Q$19)),VLOOKUP(Skills!N484,Calculations!$Q$2:$T$16,4,FALSE),0)</f>
        <v>0</v>
      </c>
      <c r="AV484" s="4">
        <f>IF(ISNUMBER(SEARCH(N484&amp;";",Calculations!$Q$18)),1,0)</f>
        <v>0</v>
      </c>
      <c r="AW484" s="4">
        <f t="shared" si="257"/>
        <v>0</v>
      </c>
      <c r="AX484" s="4">
        <f>VLOOKUP($N484,$N484:$CH484,MATCH('Character Sheet'!$BJ$3,Skills!$N$1:$CH$1,0),FALSE)</f>
        <v>0</v>
      </c>
    </row>
    <row r="485" spans="2:50" x14ac:dyDescent="0.25">
      <c r="B485" s="4" t="e">
        <f t="shared" ca="1" si="260"/>
        <v>#N/A</v>
      </c>
      <c r="E485" s="4"/>
      <c r="F485" s="4">
        <f t="shared" ca="1" si="247"/>
        <v>0</v>
      </c>
      <c r="G485" s="4"/>
      <c r="H485" s="4" t="e">
        <f t="shared" si="240"/>
        <v>#N/A</v>
      </c>
      <c r="I485" s="4" t="e">
        <f t="shared" si="258"/>
        <v>#N/A</v>
      </c>
      <c r="J485" s="4">
        <f t="shared" si="248"/>
        <v>0</v>
      </c>
      <c r="K485" s="4">
        <f t="shared" si="241"/>
        <v>0</v>
      </c>
      <c r="M485" t="str">
        <f t="shared" si="255"/>
        <v>Mining</v>
      </c>
      <c r="N485" s="3" t="str">
        <f>'Character Sheet'!CSF35</f>
        <v>Mining</v>
      </c>
      <c r="O485" s="4" t="s">
        <v>795</v>
      </c>
      <c r="P485" s="4" t="s">
        <v>794</v>
      </c>
      <c r="Q485" s="4">
        <f t="shared" ref="Q485:Q548" si="263">IF(ISNUMBER(SEARCH("Category",N485)),"- -",IF(ISNUMBER(SEARCH("Skills",N485)),"- -",AH485+AI485))</f>
        <v>0</v>
      </c>
      <c r="R485" s="4">
        <f>IF(ISNUMBER(SEARCH("Category",N485)),"- -",IF(ISNUMBER(SEARCH("Skills",N485)),"- -",'Level-up'!C503))</f>
        <v>0</v>
      </c>
      <c r="S485" s="4">
        <f t="shared" si="249"/>
        <v>0</v>
      </c>
      <c r="T485" s="4">
        <f t="shared" si="250"/>
        <v>-25</v>
      </c>
      <c r="U485" s="4">
        <f t="shared" ca="1" si="237"/>
        <v>5</v>
      </c>
      <c r="V485" s="4">
        <f t="shared" si="256"/>
        <v>0</v>
      </c>
      <c r="W485" s="4">
        <f t="shared" si="262"/>
        <v>0</v>
      </c>
      <c r="X485" s="4">
        <f t="shared" si="261"/>
        <v>0</v>
      </c>
      <c r="Y485" s="4">
        <f t="shared" si="251"/>
        <v>0</v>
      </c>
      <c r="Z485" s="4">
        <f t="shared" si="252"/>
        <v>0</v>
      </c>
      <c r="AA485" s="4">
        <f t="shared" si="253"/>
        <v>0</v>
      </c>
      <c r="AB485" s="4">
        <f t="shared" si="254"/>
        <v>0</v>
      </c>
      <c r="AC485" s="8"/>
      <c r="AD485" s="4"/>
      <c r="AE485" s="4"/>
      <c r="AF485" s="4" t="str">
        <f t="shared" ca="1" si="259"/>
        <v>-20</v>
      </c>
      <c r="AG485" s="4"/>
      <c r="AH485" s="4">
        <f>IFERROR(VLOOKUP(M485,Calculations!$AC$2:$AD$251,2,FALSE),0)</f>
        <v>0</v>
      </c>
      <c r="AI485" s="4">
        <f>VLOOKUP(N485,$N$2:$AS$620,MATCH('Character Creation'!$Z$12,Skills!$N$1:$AS$1,0),FALSE)</f>
        <v>0</v>
      </c>
      <c r="AJ485" s="4">
        <f>VLOOKUP($N485,[2]Cultures!$B$4:$M$283,MATCH(AJ$1,[2]Cultures!$B$3:$M$3,0),FALSE)</f>
        <v>0</v>
      </c>
      <c r="AK485" s="4">
        <f>VLOOKUP($N485,[2]Cultures!$B$4:$M$283,MATCH(AK$1,[2]Cultures!$B$3:$M$3,0),FALSE)</f>
        <v>0</v>
      </c>
      <c r="AL485" s="4">
        <f>VLOOKUP($N485,[2]Cultures!$B$4:$M$283,MATCH(AL$1,[2]Cultures!$B$3:$M$3,0),FALSE)</f>
        <v>0</v>
      </c>
      <c r="AM485" s="4">
        <f>VLOOKUP($N485,[2]Cultures!$B$4:$M$283,MATCH(AM$1,[2]Cultures!$B$3:$M$3,0),FALSE)</f>
        <v>0</v>
      </c>
      <c r="AN485" s="4">
        <f>VLOOKUP($N485,[2]Cultures!$B$4:$M$283,MATCH(AN$1,[2]Cultures!$B$3:$M$3,0),FALSE)</f>
        <v>0</v>
      </c>
      <c r="AO485" s="4">
        <f>VLOOKUP($N485,[2]Cultures!$B$4:$M$283,MATCH(AO$1,[2]Cultures!$B$3:$M$3,0),FALSE)</f>
        <v>0</v>
      </c>
      <c r="AP485" s="4">
        <f>VLOOKUP($N485,[2]Cultures!$B$4:$M$283,MATCH(AP$1,[2]Cultures!$B$3:$M$3,0),FALSE)</f>
        <v>0</v>
      </c>
      <c r="AQ485" s="4">
        <f>VLOOKUP($N485,[2]Cultures!$B$4:$M$283,MATCH(AQ$1,[2]Cultures!$B$3:$M$3,0),FALSE)</f>
        <v>0</v>
      </c>
      <c r="AR485" s="4">
        <f>VLOOKUP($N485,[2]Cultures!$B$4:$M$283,MATCH(AR$1,[2]Cultures!$B$3:$M$3,0),FALSE)</f>
        <v>0</v>
      </c>
      <c r="AS485" s="4">
        <f>VLOOKUP($N485,[2]Cultures!$B$4:$M$283,MATCH(AS$1,[2]Cultures!$B$3:$M$3,0),FALSE)</f>
        <v>0</v>
      </c>
      <c r="AT485" s="4"/>
      <c r="AU485" s="4">
        <f>IF(ISNUMBER(SEARCH(N485&amp;";",Calculations!$Q$19)),VLOOKUP(Skills!N485,Calculations!$Q$2:$T$16,4,FALSE),0)</f>
        <v>0</v>
      </c>
      <c r="AV485" s="4">
        <f>IF(ISNUMBER(SEARCH(N485&amp;";",Calculations!$Q$18)),1,0)</f>
        <v>0</v>
      </c>
      <c r="AW485" s="4">
        <f t="shared" si="257"/>
        <v>0</v>
      </c>
      <c r="AX485" s="4">
        <f>VLOOKUP($N485,$N485:$CH485,MATCH('Character Sheet'!$BJ$3,Skills!$N$1:$CH$1,0),FALSE)</f>
        <v>0</v>
      </c>
    </row>
    <row r="486" spans="2:50" x14ac:dyDescent="0.25">
      <c r="B486" s="4" t="e">
        <f t="shared" ca="1" si="260"/>
        <v>#N/A</v>
      </c>
      <c r="E486" s="4"/>
      <c r="F486" s="4">
        <f t="shared" ca="1" si="247"/>
        <v>0</v>
      </c>
      <c r="G486" s="4"/>
      <c r="H486" s="4" t="e">
        <f t="shared" si="240"/>
        <v>#N/A</v>
      </c>
      <c r="I486" s="4" t="e">
        <f t="shared" si="258"/>
        <v>#N/A</v>
      </c>
      <c r="J486" s="4">
        <f t="shared" si="248"/>
        <v>0</v>
      </c>
      <c r="K486" s="4">
        <f t="shared" si="241"/>
        <v>0</v>
      </c>
      <c r="M486" t="str">
        <f t="shared" si="255"/>
        <v>Oceanography</v>
      </c>
      <c r="N486" s="3" t="str">
        <f>'Character Sheet'!CSF36</f>
        <v>Oceanography</v>
      </c>
      <c r="O486" s="4" t="s">
        <v>795</v>
      </c>
      <c r="P486" s="4" t="s">
        <v>794</v>
      </c>
      <c r="Q486" s="4">
        <f t="shared" si="263"/>
        <v>0</v>
      </c>
      <c r="R486" s="4">
        <f>IF(ISNUMBER(SEARCH("Category",N486)),"- -",IF(ISNUMBER(SEARCH("Skills",N486)),"- -",'Level-up'!C504))</f>
        <v>0</v>
      </c>
      <c r="S486" s="4">
        <f t="shared" si="249"/>
        <v>0</v>
      </c>
      <c r="T486" s="4">
        <f t="shared" si="250"/>
        <v>-25</v>
      </c>
      <c r="U486" s="4">
        <f t="shared" ca="1" si="237"/>
        <v>5</v>
      </c>
      <c r="V486" s="4">
        <f t="shared" si="256"/>
        <v>0</v>
      </c>
      <c r="W486" s="4">
        <f t="shared" si="262"/>
        <v>0</v>
      </c>
      <c r="X486" s="4">
        <f t="shared" si="261"/>
        <v>0</v>
      </c>
      <c r="Y486" s="4">
        <f t="shared" si="251"/>
        <v>0</v>
      </c>
      <c r="Z486" s="4">
        <f t="shared" si="252"/>
        <v>0</v>
      </c>
      <c r="AA486" s="4">
        <f t="shared" si="253"/>
        <v>0</v>
      </c>
      <c r="AB486" s="4">
        <f t="shared" si="254"/>
        <v>0</v>
      </c>
      <c r="AC486" s="8"/>
      <c r="AD486" s="4"/>
      <c r="AE486" s="4"/>
      <c r="AF486" s="4" t="str">
        <f t="shared" ca="1" si="259"/>
        <v>-20</v>
      </c>
      <c r="AG486" s="4"/>
      <c r="AH486" s="4">
        <f>IFERROR(VLOOKUP(M486,Calculations!$AC$2:$AD$251,2,FALSE),0)</f>
        <v>0</v>
      </c>
      <c r="AI486" s="4">
        <f>VLOOKUP(N486,$N$2:$AS$620,MATCH('Character Creation'!$Z$12,Skills!$N$1:$AS$1,0),FALSE)</f>
        <v>0</v>
      </c>
      <c r="AJ486" s="4">
        <f>VLOOKUP($N486,[2]Cultures!$B$4:$M$283,MATCH(AJ$1,[2]Cultures!$B$3:$M$3,0),FALSE)</f>
        <v>0</v>
      </c>
      <c r="AK486" s="4">
        <f>VLOOKUP($N486,[2]Cultures!$B$4:$M$283,MATCH(AK$1,[2]Cultures!$B$3:$M$3,0),FALSE)</f>
        <v>0</v>
      </c>
      <c r="AL486" s="4">
        <f>VLOOKUP($N486,[2]Cultures!$B$4:$M$283,MATCH(AL$1,[2]Cultures!$B$3:$M$3,0),FALSE)</f>
        <v>0</v>
      </c>
      <c r="AM486" s="4">
        <f>VLOOKUP($N486,[2]Cultures!$B$4:$M$283,MATCH(AM$1,[2]Cultures!$B$3:$M$3,0),FALSE)</f>
        <v>0</v>
      </c>
      <c r="AN486" s="4">
        <f>VLOOKUP($N486,[2]Cultures!$B$4:$M$283,MATCH(AN$1,[2]Cultures!$B$3:$M$3,0),FALSE)</f>
        <v>0</v>
      </c>
      <c r="AO486" s="4">
        <f>VLOOKUP($N486,[2]Cultures!$B$4:$M$283,MATCH(AO$1,[2]Cultures!$B$3:$M$3,0),FALSE)</f>
        <v>0</v>
      </c>
      <c r="AP486" s="4">
        <f>VLOOKUP($N486,[2]Cultures!$B$4:$M$283,MATCH(AP$1,[2]Cultures!$B$3:$M$3,0),FALSE)</f>
        <v>0</v>
      </c>
      <c r="AQ486" s="4">
        <f>VLOOKUP($N486,[2]Cultures!$B$4:$M$283,MATCH(AQ$1,[2]Cultures!$B$3:$M$3,0),FALSE)</f>
        <v>0</v>
      </c>
      <c r="AR486" s="4">
        <f>VLOOKUP($N486,[2]Cultures!$B$4:$M$283,MATCH(AR$1,[2]Cultures!$B$3:$M$3,0),FALSE)</f>
        <v>0</v>
      </c>
      <c r="AS486" s="4">
        <f>VLOOKUP($N486,[2]Cultures!$B$4:$M$283,MATCH(AS$1,[2]Cultures!$B$3:$M$3,0),FALSE)</f>
        <v>0</v>
      </c>
      <c r="AT486" s="4"/>
      <c r="AU486" s="4">
        <f>IF(ISNUMBER(SEARCH(N486&amp;";",Calculations!$Q$19)),VLOOKUP(Skills!N486,Calculations!$Q$2:$T$16,4,FALSE),0)</f>
        <v>0</v>
      </c>
      <c r="AV486" s="4">
        <f>IF(ISNUMBER(SEARCH(N486&amp;";",Calculations!$Q$18)),1,0)</f>
        <v>0</v>
      </c>
      <c r="AW486" s="4">
        <f t="shared" si="257"/>
        <v>0</v>
      </c>
      <c r="AX486" s="4">
        <f>VLOOKUP($N486,$N486:$CH486,MATCH('Character Sheet'!$BJ$3,Skills!$N$1:$CH$1,0),FALSE)</f>
        <v>0</v>
      </c>
    </row>
    <row r="487" spans="2:50" x14ac:dyDescent="0.25">
      <c r="B487" s="4" t="e">
        <f t="shared" ca="1" si="260"/>
        <v>#N/A</v>
      </c>
      <c r="E487" s="4"/>
      <c r="F487" s="4">
        <f t="shared" ca="1" si="247"/>
        <v>0</v>
      </c>
      <c r="G487" s="4"/>
      <c r="H487" s="4" t="e">
        <f t="shared" si="240"/>
        <v>#N/A</v>
      </c>
      <c r="I487" s="4" t="e">
        <f t="shared" si="258"/>
        <v>#N/A</v>
      </c>
      <c r="J487" s="4">
        <f t="shared" si="248"/>
        <v>0</v>
      </c>
      <c r="K487" s="4">
        <f t="shared" si="241"/>
        <v>0</v>
      </c>
      <c r="M487" t="str">
        <f t="shared" si="255"/>
        <v>Organised Crime</v>
      </c>
      <c r="N487" s="3" t="str">
        <f>'Character Sheet'!CSF37</f>
        <v>Organised Crime</v>
      </c>
      <c r="O487" s="4" t="s">
        <v>795</v>
      </c>
      <c r="P487" s="4" t="s">
        <v>794</v>
      </c>
      <c r="Q487" s="4">
        <f t="shared" si="263"/>
        <v>0</v>
      </c>
      <c r="R487" s="4">
        <f>IF(ISNUMBER(SEARCH("Category",N487)),"- -",IF(ISNUMBER(SEARCH("Skills",N487)),"- -",'Level-up'!C505))</f>
        <v>0</v>
      </c>
      <c r="S487" s="4">
        <f t="shared" si="249"/>
        <v>0</v>
      </c>
      <c r="T487" s="4">
        <f t="shared" si="250"/>
        <v>-25</v>
      </c>
      <c r="U487" s="4">
        <f t="shared" ca="1" si="237"/>
        <v>5</v>
      </c>
      <c r="V487" s="4">
        <f t="shared" si="256"/>
        <v>0</v>
      </c>
      <c r="W487" s="4">
        <f t="shared" si="262"/>
        <v>0</v>
      </c>
      <c r="X487" s="4">
        <f t="shared" si="261"/>
        <v>0</v>
      </c>
      <c r="Y487" s="4">
        <f t="shared" si="251"/>
        <v>0</v>
      </c>
      <c r="Z487" s="4">
        <f t="shared" si="252"/>
        <v>0</v>
      </c>
      <c r="AA487" s="4">
        <f t="shared" si="253"/>
        <v>0</v>
      </c>
      <c r="AB487" s="4">
        <f t="shared" si="254"/>
        <v>0</v>
      </c>
      <c r="AC487" s="8"/>
      <c r="AD487" s="4"/>
      <c r="AE487" s="4"/>
      <c r="AF487" s="4" t="str">
        <f t="shared" ca="1" si="259"/>
        <v>-20</v>
      </c>
      <c r="AG487" s="4"/>
      <c r="AH487" s="4">
        <f>IFERROR(VLOOKUP(M487,Calculations!$AC$2:$AD$251,2,FALSE),0)</f>
        <v>0</v>
      </c>
      <c r="AI487" s="4">
        <f>VLOOKUP(N487,$N$2:$AS$620,MATCH('Character Creation'!$Z$12,Skills!$N$1:$AS$1,0),FALSE)</f>
        <v>0</v>
      </c>
      <c r="AJ487" s="4">
        <f>VLOOKUP($N487,[2]Cultures!$B$4:$M$283,MATCH(AJ$1,[2]Cultures!$B$3:$M$3,0),FALSE)</f>
        <v>0</v>
      </c>
      <c r="AK487" s="4">
        <f>VLOOKUP($N487,[2]Cultures!$B$4:$M$283,MATCH(AK$1,[2]Cultures!$B$3:$M$3,0),FALSE)</f>
        <v>0</v>
      </c>
      <c r="AL487" s="4">
        <f>VLOOKUP($N487,[2]Cultures!$B$4:$M$283,MATCH(AL$1,[2]Cultures!$B$3:$M$3,0),FALSE)</f>
        <v>0</v>
      </c>
      <c r="AM487" s="4">
        <f>VLOOKUP($N487,[2]Cultures!$B$4:$M$283,MATCH(AM$1,[2]Cultures!$B$3:$M$3,0),FALSE)</f>
        <v>0</v>
      </c>
      <c r="AN487" s="4">
        <f>VLOOKUP($N487,[2]Cultures!$B$4:$M$283,MATCH(AN$1,[2]Cultures!$B$3:$M$3,0),FALSE)</f>
        <v>0</v>
      </c>
      <c r="AO487" s="4">
        <f>VLOOKUP($N487,[2]Cultures!$B$4:$M$283,MATCH(AO$1,[2]Cultures!$B$3:$M$3,0),FALSE)</f>
        <v>0</v>
      </c>
      <c r="AP487" s="4">
        <f>VLOOKUP($N487,[2]Cultures!$B$4:$M$283,MATCH(AP$1,[2]Cultures!$B$3:$M$3,0),FALSE)</f>
        <v>0</v>
      </c>
      <c r="AQ487" s="4">
        <f>VLOOKUP($N487,[2]Cultures!$B$4:$M$283,MATCH(AQ$1,[2]Cultures!$B$3:$M$3,0),FALSE)</f>
        <v>0</v>
      </c>
      <c r="AR487" s="4">
        <f>VLOOKUP($N487,[2]Cultures!$B$4:$M$283,MATCH(AR$1,[2]Cultures!$B$3:$M$3,0),FALSE)</f>
        <v>0</v>
      </c>
      <c r="AS487" s="4">
        <f>VLOOKUP($N487,[2]Cultures!$B$4:$M$283,MATCH(AS$1,[2]Cultures!$B$3:$M$3,0),FALSE)</f>
        <v>0</v>
      </c>
      <c r="AT487" s="4"/>
      <c r="AU487" s="4">
        <f>IF(ISNUMBER(SEARCH(N487&amp;";",Calculations!$Q$19)),VLOOKUP(Skills!N487,Calculations!$Q$2:$T$16,4,FALSE),0)</f>
        <v>0</v>
      </c>
      <c r="AV487" s="4">
        <f>IF(ISNUMBER(SEARCH(N487&amp;";",Calculations!$Q$18)),1,0)</f>
        <v>0</v>
      </c>
      <c r="AW487" s="4">
        <f t="shared" si="257"/>
        <v>0</v>
      </c>
      <c r="AX487" s="4">
        <f>VLOOKUP($N487,$N487:$CH487,MATCH('Character Sheet'!$BJ$3,Skills!$N$1:$CH$1,0),FALSE)</f>
        <v>0</v>
      </c>
    </row>
    <row r="488" spans="2:50" x14ac:dyDescent="0.25">
      <c r="B488" s="4" t="e">
        <f t="shared" ca="1" si="260"/>
        <v>#N/A</v>
      </c>
      <c r="E488" s="4"/>
      <c r="F488" s="4">
        <f t="shared" ca="1" si="247"/>
        <v>0</v>
      </c>
      <c r="G488" s="4"/>
      <c r="H488" s="4" t="e">
        <f t="shared" si="240"/>
        <v>#N/A</v>
      </c>
      <c r="I488" s="4" t="e">
        <f t="shared" si="258"/>
        <v>#N/A</v>
      </c>
      <c r="J488" s="4">
        <f t="shared" si="248"/>
        <v>0</v>
      </c>
      <c r="K488" s="4">
        <f t="shared" ca="1" si="241"/>
        <v>0</v>
      </c>
      <c r="M488" t="str">
        <f t="shared" si="255"/>
        <v>Photography</v>
      </c>
      <c r="N488" s="3" t="str">
        <f>'Character Sheet'!CSF38</f>
        <v>Photography</v>
      </c>
      <c r="O488" s="4" t="s">
        <v>795</v>
      </c>
      <c r="P488" s="4" t="s">
        <v>794</v>
      </c>
      <c r="Q488" s="4">
        <f t="shared" ca="1" si="263"/>
        <v>0</v>
      </c>
      <c r="R488" s="4">
        <f>IF(ISNUMBER(SEARCH("Category",N488)),"- -",IF(ISNUMBER(SEARCH("Skills",N488)),"- -",'Level-up'!C506))</f>
        <v>0</v>
      </c>
      <c r="S488" s="4">
        <f t="shared" ca="1" si="249"/>
        <v>0</v>
      </c>
      <c r="T488" s="4">
        <f t="shared" ca="1" si="250"/>
        <v>-25</v>
      </c>
      <c r="U488" s="4">
        <f t="shared" ca="1" si="237"/>
        <v>5</v>
      </c>
      <c r="V488" s="4">
        <f t="shared" si="256"/>
        <v>0</v>
      </c>
      <c r="W488" s="4">
        <f t="shared" si="262"/>
        <v>0</v>
      </c>
      <c r="X488" s="4">
        <f t="shared" si="261"/>
        <v>0</v>
      </c>
      <c r="Y488" s="4">
        <f t="shared" si="251"/>
        <v>0</v>
      </c>
      <c r="Z488" s="4">
        <f t="shared" si="252"/>
        <v>0</v>
      </c>
      <c r="AA488" s="4">
        <f t="shared" si="253"/>
        <v>0</v>
      </c>
      <c r="AB488" s="4">
        <f t="shared" si="254"/>
        <v>0</v>
      </c>
      <c r="AC488" s="8"/>
      <c r="AD488" s="4"/>
      <c r="AE488" s="4"/>
      <c r="AF488" s="4" t="str">
        <f t="shared" ca="1" si="259"/>
        <v>-20</v>
      </c>
      <c r="AG488" s="4"/>
      <c r="AH488" s="4">
        <f>IFERROR(VLOOKUP(M488,Calculations!$AC$2:$AD$251,2,FALSE),0)</f>
        <v>0</v>
      </c>
      <c r="AI488" s="4">
        <f ca="1">VLOOKUP(N488,$N$2:$AS$620,MATCH('Character Creation'!$Z$12,Skills!$N$1:$AS$1,0),FALSE)</f>
        <v>0</v>
      </c>
      <c r="AJ488" s="4">
        <f>VLOOKUP($N488,[2]Cultures!$B$4:$M$283,MATCH(AJ$1,[2]Cultures!$B$3:$M$3,0),FALSE)</f>
        <v>0</v>
      </c>
      <c r="AK488" s="4">
        <f>VLOOKUP($N488,[2]Cultures!$B$4:$M$283,MATCH(AK$1,[2]Cultures!$B$3:$M$3,0),FALSE)</f>
        <v>0</v>
      </c>
      <c r="AL488" s="4">
        <f>VLOOKUP($N488,[2]Cultures!$B$4:$M$283,MATCH(AL$1,[2]Cultures!$B$3:$M$3,0),FALSE)</f>
        <v>0</v>
      </c>
      <c r="AM488" s="4">
        <f>VLOOKUP($N488,[2]Cultures!$B$4:$M$283,MATCH(AM$1,[2]Cultures!$B$3:$M$3,0),FALSE)</f>
        <v>0</v>
      </c>
      <c r="AN488" s="4">
        <f>VLOOKUP($N488,[2]Cultures!$B$4:$M$283,MATCH(AN$1,[2]Cultures!$B$3:$M$3,0),FALSE)</f>
        <v>0</v>
      </c>
      <c r="AO488" s="4">
        <f>VLOOKUP($N488,[2]Cultures!$B$4:$M$283,MATCH(AO$1,[2]Cultures!$B$3:$M$3,0),FALSE)</f>
        <v>0</v>
      </c>
      <c r="AP488" s="4">
        <f>VLOOKUP($N488,[2]Cultures!$B$4:$M$283,MATCH(AP$1,[2]Cultures!$B$3:$M$3,0),FALSE)</f>
        <v>0</v>
      </c>
      <c r="AQ488" s="4">
        <f>VLOOKUP($N488,[2]Cultures!$B$4:$M$283,MATCH(AQ$1,[2]Cultures!$B$3:$M$3,0),FALSE)</f>
        <v>0</v>
      </c>
      <c r="AR488" s="4">
        <f>VLOOKUP($N488,[2]Cultures!$B$4:$M$283,MATCH(AR$1,[2]Cultures!$B$3:$M$3,0),FALSE)</f>
        <v>0</v>
      </c>
      <c r="AS488" s="4">
        <f>VLOOKUP($N488,[2]Cultures!$B$4:$M$283,MATCH(AS$1,[2]Cultures!$B$3:$M$3,0),FALSE)</f>
        <v>0</v>
      </c>
      <c r="AT488" s="4"/>
      <c r="AU488" s="4">
        <f>IF(ISNUMBER(SEARCH(N488&amp;";",Calculations!$Q$19)),VLOOKUP(Skills!N488,Calculations!$Q$2:$T$16,4,FALSE),0)</f>
        <v>0</v>
      </c>
      <c r="AV488" s="4">
        <f>IF(ISNUMBER(SEARCH(N488&amp;";",Calculations!$Q$18)),1,0)</f>
        <v>0</v>
      </c>
      <c r="AW488" s="4">
        <f t="shared" si="257"/>
        <v>0</v>
      </c>
      <c r="AX488" s="4">
        <f>VLOOKUP($N488,$N488:$CH488,MATCH('Character Sheet'!$BJ$3,Skills!$N$1:$CH$1,0),FALSE)</f>
        <v>0</v>
      </c>
    </row>
    <row r="489" spans="2:50" x14ac:dyDescent="0.25">
      <c r="B489" s="4" t="e">
        <f t="shared" ca="1" si="260"/>
        <v>#N/A</v>
      </c>
      <c r="E489" s="4"/>
      <c r="F489" s="4">
        <f t="shared" ca="1" si="247"/>
        <v>0</v>
      </c>
      <c r="G489" s="4"/>
      <c r="H489" s="4" t="e">
        <f t="shared" si="240"/>
        <v>#N/A</v>
      </c>
      <c r="I489" s="4" t="e">
        <f t="shared" si="258"/>
        <v>#N/A</v>
      </c>
      <c r="J489" s="4">
        <f t="shared" si="248"/>
        <v>0</v>
      </c>
      <c r="K489" s="4">
        <f t="shared" si="241"/>
        <v>0</v>
      </c>
      <c r="M489" t="str">
        <f t="shared" si="255"/>
        <v>Physics</v>
      </c>
      <c r="N489" s="3" t="str">
        <f>'Character Sheet'!CSF39</f>
        <v>Physics</v>
      </c>
      <c r="O489" s="4" t="s">
        <v>795</v>
      </c>
      <c r="P489" s="4" t="s">
        <v>794</v>
      </c>
      <c r="Q489" s="4">
        <f t="shared" si="263"/>
        <v>0</v>
      </c>
      <c r="R489" s="4">
        <f>IF(ISNUMBER(SEARCH("Category",N489)),"- -",IF(ISNUMBER(SEARCH("Skills",N489)),"- -",'Level-up'!C507))</f>
        <v>0</v>
      </c>
      <c r="S489" s="4">
        <f t="shared" si="249"/>
        <v>0</v>
      </c>
      <c r="T489" s="4">
        <f t="shared" si="250"/>
        <v>-25</v>
      </c>
      <c r="U489" s="4">
        <f t="shared" ca="1" si="237"/>
        <v>5</v>
      </c>
      <c r="V489" s="4">
        <f t="shared" si="256"/>
        <v>0</v>
      </c>
      <c r="W489" s="4">
        <f t="shared" si="262"/>
        <v>0</v>
      </c>
      <c r="X489" s="4">
        <f t="shared" si="261"/>
        <v>0</v>
      </c>
      <c r="Y489" s="4">
        <f t="shared" si="251"/>
        <v>0</v>
      </c>
      <c r="Z489" s="4">
        <f t="shared" si="252"/>
        <v>0</v>
      </c>
      <c r="AA489" s="4">
        <f t="shared" si="253"/>
        <v>0</v>
      </c>
      <c r="AB489" s="4">
        <f t="shared" si="254"/>
        <v>0</v>
      </c>
      <c r="AC489" s="8"/>
      <c r="AD489" s="4"/>
      <c r="AE489" s="4"/>
      <c r="AF489" s="4" t="str">
        <f t="shared" ca="1" si="259"/>
        <v>-20</v>
      </c>
      <c r="AG489" s="4"/>
      <c r="AH489" s="4">
        <f>IFERROR(VLOOKUP(M489,Calculations!$AC$2:$AD$251,2,FALSE),0)</f>
        <v>0</v>
      </c>
      <c r="AI489" s="4">
        <f>VLOOKUP(N489,$N$2:$AS$620,MATCH('Character Creation'!$Z$12,Skills!$N$1:$AS$1,0),FALSE)</f>
        <v>0</v>
      </c>
      <c r="AJ489" s="4">
        <f>VLOOKUP($N489,[2]Cultures!$B$4:$M$283,MATCH(AJ$1,[2]Cultures!$B$3:$M$3,0),FALSE)</f>
        <v>0</v>
      </c>
      <c r="AK489" s="4">
        <f>VLOOKUP($N489,[2]Cultures!$B$4:$M$283,MATCH(AK$1,[2]Cultures!$B$3:$M$3,0),FALSE)</f>
        <v>0</v>
      </c>
      <c r="AL489" s="4">
        <f>VLOOKUP($N489,[2]Cultures!$B$4:$M$283,MATCH(AL$1,[2]Cultures!$B$3:$M$3,0),FALSE)</f>
        <v>0</v>
      </c>
      <c r="AM489" s="4">
        <f>VLOOKUP($N489,[2]Cultures!$B$4:$M$283,MATCH(AM$1,[2]Cultures!$B$3:$M$3,0),FALSE)</f>
        <v>0</v>
      </c>
      <c r="AN489" s="4">
        <f>VLOOKUP($N489,[2]Cultures!$B$4:$M$283,MATCH(AN$1,[2]Cultures!$B$3:$M$3,0),FALSE)</f>
        <v>0</v>
      </c>
      <c r="AO489" s="4">
        <f>VLOOKUP($N489,[2]Cultures!$B$4:$M$283,MATCH(AO$1,[2]Cultures!$B$3:$M$3,0),FALSE)</f>
        <v>0</v>
      </c>
      <c r="AP489" s="4">
        <f>VLOOKUP($N489,[2]Cultures!$B$4:$M$283,MATCH(AP$1,[2]Cultures!$B$3:$M$3,0),FALSE)</f>
        <v>0</v>
      </c>
      <c r="AQ489" s="4">
        <f>VLOOKUP($N489,[2]Cultures!$B$4:$M$283,MATCH(AQ$1,[2]Cultures!$B$3:$M$3,0),FALSE)</f>
        <v>0</v>
      </c>
      <c r="AR489" s="4">
        <f>VLOOKUP($N489,[2]Cultures!$B$4:$M$283,MATCH(AR$1,[2]Cultures!$B$3:$M$3,0),FALSE)</f>
        <v>0</v>
      </c>
      <c r="AS489" s="4">
        <f>VLOOKUP($N489,[2]Cultures!$B$4:$M$283,MATCH(AS$1,[2]Cultures!$B$3:$M$3,0),FALSE)</f>
        <v>0</v>
      </c>
      <c r="AT489" s="4"/>
      <c r="AU489" s="4">
        <f>IF(ISNUMBER(SEARCH(N489&amp;";",Calculations!$Q$19)),VLOOKUP(Skills!N489,Calculations!$Q$2:$T$16,4,FALSE),0)</f>
        <v>0</v>
      </c>
      <c r="AV489" s="4">
        <f>IF(ISNUMBER(SEARCH(N489&amp;";",Calculations!$Q$18)),1,0)</f>
        <v>0</v>
      </c>
      <c r="AW489" s="4">
        <f t="shared" si="257"/>
        <v>0</v>
      </c>
      <c r="AX489" s="4">
        <f>VLOOKUP($N489,$N489:$CH489,MATCH('Character Sheet'!$BJ$3,Skills!$N$1:$CH$1,0),FALSE)</f>
        <v>0</v>
      </c>
    </row>
    <row r="490" spans="2:50" x14ac:dyDescent="0.25">
      <c r="B490" s="4" t="e">
        <f t="shared" ca="1" si="260"/>
        <v>#N/A</v>
      </c>
      <c r="E490" s="4"/>
      <c r="F490" s="4">
        <f t="shared" ca="1" si="247"/>
        <v>0</v>
      </c>
      <c r="G490" s="4"/>
      <c r="H490" s="4" t="e">
        <f t="shared" si="240"/>
        <v>#N/A</v>
      </c>
      <c r="I490" s="4" t="e">
        <f t="shared" si="258"/>
        <v>#N/A</v>
      </c>
      <c r="J490" s="4">
        <f t="shared" si="248"/>
        <v>0</v>
      </c>
      <c r="K490" s="4">
        <f t="shared" ca="1" si="241"/>
        <v>0</v>
      </c>
      <c r="M490" t="str">
        <f t="shared" si="255"/>
        <v>Planetology</v>
      </c>
      <c r="N490" s="3" t="str">
        <f>'Character Sheet'!CSF40</f>
        <v>Planetology</v>
      </c>
      <c r="O490" s="4" t="s">
        <v>795</v>
      </c>
      <c r="P490" s="4" t="s">
        <v>794</v>
      </c>
      <c r="Q490" s="4">
        <f t="shared" ca="1" si="263"/>
        <v>0</v>
      </c>
      <c r="R490" s="4">
        <f>IF(ISNUMBER(SEARCH("Category",N490)),"- -",IF(ISNUMBER(SEARCH("Skills",N490)),"- -",'Level-up'!C508))</f>
        <v>0</v>
      </c>
      <c r="S490" s="4">
        <f t="shared" ca="1" si="249"/>
        <v>0</v>
      </c>
      <c r="T490" s="4">
        <f t="shared" ca="1" si="250"/>
        <v>-25</v>
      </c>
      <c r="U490" s="4">
        <f t="shared" ca="1" si="237"/>
        <v>5</v>
      </c>
      <c r="V490" s="4">
        <f t="shared" si="256"/>
        <v>0</v>
      </c>
      <c r="W490" s="4">
        <f t="shared" si="262"/>
        <v>0</v>
      </c>
      <c r="X490" s="4">
        <f t="shared" si="261"/>
        <v>0</v>
      </c>
      <c r="Y490" s="4">
        <f t="shared" si="251"/>
        <v>0</v>
      </c>
      <c r="Z490" s="4">
        <f t="shared" si="252"/>
        <v>0</v>
      </c>
      <c r="AA490" s="4">
        <f t="shared" si="253"/>
        <v>0</v>
      </c>
      <c r="AB490" s="4">
        <f t="shared" si="254"/>
        <v>0</v>
      </c>
      <c r="AC490" s="8"/>
      <c r="AD490" s="4"/>
      <c r="AE490" s="4"/>
      <c r="AF490" s="4" t="str">
        <f t="shared" ca="1" si="259"/>
        <v>-20</v>
      </c>
      <c r="AG490" s="4"/>
      <c r="AH490" s="4">
        <f>IFERROR(VLOOKUP(M490,Calculations!$AC$2:$AD$251,2,FALSE),0)</f>
        <v>0</v>
      </c>
      <c r="AI490" s="4">
        <f ca="1">VLOOKUP(N490,$N$2:$AS$620,MATCH('Character Creation'!$Z$12,Skills!$N$1:$AS$1,0),FALSE)</f>
        <v>0</v>
      </c>
      <c r="AJ490" s="4">
        <f>VLOOKUP($N490,[2]Cultures!$B$4:$M$283,MATCH(AJ$1,[2]Cultures!$B$3:$M$3,0),FALSE)</f>
        <v>0</v>
      </c>
      <c r="AK490" s="4">
        <f>VLOOKUP($N490,[2]Cultures!$B$4:$M$283,MATCH(AK$1,[2]Cultures!$B$3:$M$3,0),FALSE)</f>
        <v>0</v>
      </c>
      <c r="AL490" s="4">
        <f>VLOOKUP($N490,[2]Cultures!$B$4:$M$283,MATCH(AL$1,[2]Cultures!$B$3:$M$3,0),FALSE)</f>
        <v>0</v>
      </c>
      <c r="AM490" s="4">
        <f>VLOOKUP($N490,[2]Cultures!$B$4:$M$283,MATCH(AM$1,[2]Cultures!$B$3:$M$3,0),FALSE)</f>
        <v>0</v>
      </c>
      <c r="AN490" s="4">
        <f>VLOOKUP($N490,[2]Cultures!$B$4:$M$283,MATCH(AN$1,[2]Cultures!$B$3:$M$3,0),FALSE)</f>
        <v>0</v>
      </c>
      <c r="AO490" s="4">
        <f>VLOOKUP($N490,[2]Cultures!$B$4:$M$283,MATCH(AO$1,[2]Cultures!$B$3:$M$3,0),FALSE)</f>
        <v>0</v>
      </c>
      <c r="AP490" s="4">
        <f>VLOOKUP($N490,[2]Cultures!$B$4:$M$283,MATCH(AP$1,[2]Cultures!$B$3:$M$3,0),FALSE)</f>
        <v>0</v>
      </c>
      <c r="AQ490" s="4">
        <f>VLOOKUP($N490,[2]Cultures!$B$4:$M$283,MATCH(AQ$1,[2]Cultures!$B$3:$M$3,0),FALSE)</f>
        <v>0</v>
      </c>
      <c r="AR490" s="4">
        <f>VLOOKUP($N490,[2]Cultures!$B$4:$M$283,MATCH(AR$1,[2]Cultures!$B$3:$M$3,0),FALSE)</f>
        <v>0</v>
      </c>
      <c r="AS490" s="4">
        <f>VLOOKUP($N490,[2]Cultures!$B$4:$M$283,MATCH(AS$1,[2]Cultures!$B$3:$M$3,0),FALSE)</f>
        <v>0</v>
      </c>
      <c r="AT490" s="4"/>
      <c r="AU490" s="4">
        <f>IF(ISNUMBER(SEARCH(N490&amp;";",Calculations!$Q$19)),VLOOKUP(Skills!N490,Calculations!$Q$2:$T$16,4,FALSE),0)</f>
        <v>0</v>
      </c>
      <c r="AV490" s="4">
        <f>IF(ISNUMBER(SEARCH(N490&amp;";",Calculations!$Q$18)),1,0)</f>
        <v>0</v>
      </c>
      <c r="AW490" s="4">
        <f t="shared" si="257"/>
        <v>0</v>
      </c>
      <c r="AX490" s="4">
        <f>VLOOKUP($N490,$N490:$CH490,MATCH('Character Sheet'!$BJ$3,Skills!$N$1:$CH$1,0),FALSE)</f>
        <v>0</v>
      </c>
    </row>
    <row r="491" spans="2:50" x14ac:dyDescent="0.25">
      <c r="B491" s="4" t="e">
        <f t="shared" ca="1" si="260"/>
        <v>#N/A</v>
      </c>
      <c r="E491" s="4"/>
      <c r="F491" s="4">
        <f t="shared" ca="1" si="247"/>
        <v>0</v>
      </c>
      <c r="G491" s="4"/>
      <c r="H491" s="4" t="e">
        <f t="shared" si="240"/>
        <v>#N/A</v>
      </c>
      <c r="I491" s="4" t="e">
        <f t="shared" si="258"/>
        <v>#N/A</v>
      </c>
      <c r="J491" s="4">
        <f t="shared" si="248"/>
        <v>0</v>
      </c>
      <c r="K491" s="4">
        <f t="shared" si="241"/>
        <v>0</v>
      </c>
      <c r="M491" t="str">
        <f t="shared" si="255"/>
        <v>Politcal Science</v>
      </c>
      <c r="N491" s="3" t="str">
        <f>'Character Sheet'!CSF41</f>
        <v>Politcal Science</v>
      </c>
      <c r="O491" s="4" t="s">
        <v>795</v>
      </c>
      <c r="P491" s="4" t="s">
        <v>794</v>
      </c>
      <c r="Q491" s="4">
        <f t="shared" si="263"/>
        <v>0</v>
      </c>
      <c r="R491" s="4">
        <f>IF(ISNUMBER(SEARCH("Category",N491)),"- -",IF(ISNUMBER(SEARCH("Skills",N491)),"- -",'Level-up'!C509))</f>
        <v>0</v>
      </c>
      <c r="S491" s="4">
        <f t="shared" si="249"/>
        <v>0</v>
      </c>
      <c r="T491" s="4">
        <f t="shared" si="250"/>
        <v>-25</v>
      </c>
      <c r="U491" s="4">
        <f t="shared" ca="1" si="237"/>
        <v>5</v>
      </c>
      <c r="V491" s="4">
        <f t="shared" si="256"/>
        <v>0</v>
      </c>
      <c r="W491" s="4">
        <f t="shared" si="262"/>
        <v>0</v>
      </c>
      <c r="X491" s="4">
        <f t="shared" si="261"/>
        <v>0</v>
      </c>
      <c r="Y491" s="4">
        <f t="shared" si="251"/>
        <v>0</v>
      </c>
      <c r="Z491" s="4">
        <f t="shared" si="252"/>
        <v>0</v>
      </c>
      <c r="AA491" s="4">
        <f t="shared" si="253"/>
        <v>0</v>
      </c>
      <c r="AB491" s="4">
        <f t="shared" si="254"/>
        <v>0</v>
      </c>
      <c r="AC491" s="8"/>
      <c r="AD491" s="4"/>
      <c r="AE491" s="4"/>
      <c r="AF491" s="4" t="str">
        <f t="shared" ca="1" si="259"/>
        <v>-20</v>
      </c>
      <c r="AG491" s="4"/>
      <c r="AH491" s="4">
        <f>IFERROR(VLOOKUP(M491,Calculations!$AC$2:$AD$251,2,FALSE),0)</f>
        <v>0</v>
      </c>
      <c r="AI491" s="4">
        <f>VLOOKUP(N491,$N$2:$AS$620,MATCH('Character Creation'!$Z$12,Skills!$N$1:$AS$1,0),FALSE)</f>
        <v>0</v>
      </c>
      <c r="AJ491" s="4">
        <f>VLOOKUP($N491,[2]Cultures!$B$4:$M$283,MATCH(AJ$1,[2]Cultures!$B$3:$M$3,0),FALSE)</f>
        <v>0</v>
      </c>
      <c r="AK491" s="4">
        <f>VLOOKUP($N491,[2]Cultures!$B$4:$M$283,MATCH(AK$1,[2]Cultures!$B$3:$M$3,0),FALSE)</f>
        <v>0</v>
      </c>
      <c r="AL491" s="4">
        <f>VLOOKUP($N491,[2]Cultures!$B$4:$M$283,MATCH(AL$1,[2]Cultures!$B$3:$M$3,0),FALSE)</f>
        <v>0</v>
      </c>
      <c r="AM491" s="4">
        <f>VLOOKUP($N491,[2]Cultures!$B$4:$M$283,MATCH(AM$1,[2]Cultures!$B$3:$M$3,0),FALSE)</f>
        <v>0</v>
      </c>
      <c r="AN491" s="4">
        <f>VLOOKUP($N491,[2]Cultures!$B$4:$M$283,MATCH(AN$1,[2]Cultures!$B$3:$M$3,0),FALSE)</f>
        <v>0</v>
      </c>
      <c r="AO491" s="4">
        <f>VLOOKUP($N491,[2]Cultures!$B$4:$M$283,MATCH(AO$1,[2]Cultures!$B$3:$M$3,0),FALSE)</f>
        <v>0</v>
      </c>
      <c r="AP491" s="4">
        <f>VLOOKUP($N491,[2]Cultures!$B$4:$M$283,MATCH(AP$1,[2]Cultures!$B$3:$M$3,0),FALSE)</f>
        <v>0</v>
      </c>
      <c r="AQ491" s="4">
        <f>VLOOKUP($N491,[2]Cultures!$B$4:$M$283,MATCH(AQ$1,[2]Cultures!$B$3:$M$3,0),FALSE)</f>
        <v>0</v>
      </c>
      <c r="AR491" s="4">
        <f>VLOOKUP($N491,[2]Cultures!$B$4:$M$283,MATCH(AR$1,[2]Cultures!$B$3:$M$3,0),FALSE)</f>
        <v>0</v>
      </c>
      <c r="AS491" s="4">
        <f>VLOOKUP($N491,[2]Cultures!$B$4:$M$283,MATCH(AS$1,[2]Cultures!$B$3:$M$3,0),FALSE)</f>
        <v>0</v>
      </c>
      <c r="AT491" s="4"/>
      <c r="AU491" s="4">
        <f>IF(ISNUMBER(SEARCH(N491&amp;";",Calculations!$Q$19)),VLOOKUP(Skills!N491,Calculations!$Q$2:$T$16,4,FALSE),0)</f>
        <v>0</v>
      </c>
      <c r="AV491" s="4">
        <f>IF(ISNUMBER(SEARCH(N491&amp;";",Calculations!$Q$18)),1,0)</f>
        <v>0</v>
      </c>
      <c r="AW491" s="4">
        <f t="shared" si="257"/>
        <v>0</v>
      </c>
      <c r="AX491" s="4">
        <f>VLOOKUP($N491,$N491:$CH491,MATCH('Character Sheet'!$BJ$3,Skills!$N$1:$CH$1,0),FALSE)</f>
        <v>0</v>
      </c>
    </row>
    <row r="492" spans="2:50" x14ac:dyDescent="0.25">
      <c r="B492" s="4" t="e">
        <f t="shared" ca="1" si="260"/>
        <v>#N/A</v>
      </c>
      <c r="E492" s="4"/>
      <c r="F492" s="4">
        <f t="shared" ca="1" si="247"/>
        <v>0</v>
      </c>
      <c r="G492" s="4"/>
      <c r="H492" s="4" t="e">
        <f t="shared" si="240"/>
        <v>#N/A</v>
      </c>
      <c r="I492" s="4" t="e">
        <f t="shared" si="258"/>
        <v>#N/A</v>
      </c>
      <c r="J492" s="4">
        <f t="shared" si="248"/>
        <v>0</v>
      </c>
      <c r="K492" s="4">
        <f t="shared" si="241"/>
        <v>0</v>
      </c>
      <c r="M492" t="str">
        <f t="shared" si="255"/>
        <v>Propaganda</v>
      </c>
      <c r="N492" s="3" t="str">
        <f>'Character Sheet'!CSF42</f>
        <v>Propaganda</v>
      </c>
      <c r="O492" s="4" t="s">
        <v>795</v>
      </c>
      <c r="P492" s="4" t="s">
        <v>794</v>
      </c>
      <c r="Q492" s="4">
        <f t="shared" si="263"/>
        <v>0</v>
      </c>
      <c r="R492" s="4">
        <f>IF(ISNUMBER(SEARCH("Category",N492)),"- -",IF(ISNUMBER(SEARCH("Skills",N492)),"- -",'Level-up'!C510))</f>
        <v>0</v>
      </c>
      <c r="S492" s="4">
        <f t="shared" si="249"/>
        <v>0</v>
      </c>
      <c r="T492" s="4">
        <f t="shared" si="250"/>
        <v>-25</v>
      </c>
      <c r="U492" s="4">
        <f t="shared" ca="1" si="237"/>
        <v>5</v>
      </c>
      <c r="V492" s="4">
        <f t="shared" si="256"/>
        <v>0</v>
      </c>
      <c r="W492" s="4">
        <f t="shared" si="262"/>
        <v>0</v>
      </c>
      <c r="X492" s="4">
        <f t="shared" si="261"/>
        <v>0</v>
      </c>
      <c r="Y492" s="4">
        <f t="shared" si="251"/>
        <v>0</v>
      </c>
      <c r="Z492" s="4">
        <f t="shared" si="252"/>
        <v>0</v>
      </c>
      <c r="AA492" s="4">
        <f t="shared" si="253"/>
        <v>0</v>
      </c>
      <c r="AB492" s="4">
        <f t="shared" si="254"/>
        <v>0</v>
      </c>
      <c r="AC492" s="8"/>
      <c r="AD492" s="4"/>
      <c r="AE492" s="4"/>
      <c r="AF492" s="4" t="str">
        <f t="shared" ca="1" si="259"/>
        <v>-20</v>
      </c>
      <c r="AG492" s="4"/>
      <c r="AH492" s="4">
        <f>IFERROR(VLOOKUP(M492,Calculations!$AC$2:$AD$251,2,FALSE),0)</f>
        <v>0</v>
      </c>
      <c r="AI492" s="4">
        <f>VLOOKUP(N492,$N$2:$AS$620,MATCH('Character Creation'!$Z$12,Skills!$N$1:$AS$1,0),FALSE)</f>
        <v>0</v>
      </c>
      <c r="AJ492" s="4">
        <f>VLOOKUP($N492,[2]Cultures!$B$4:$M$283,MATCH(AJ$1,[2]Cultures!$B$3:$M$3,0),FALSE)</f>
        <v>0</v>
      </c>
      <c r="AK492" s="4">
        <f>VLOOKUP($N492,[2]Cultures!$B$4:$M$283,MATCH(AK$1,[2]Cultures!$B$3:$M$3,0),FALSE)</f>
        <v>0</v>
      </c>
      <c r="AL492" s="4">
        <f>VLOOKUP($N492,[2]Cultures!$B$4:$M$283,MATCH(AL$1,[2]Cultures!$B$3:$M$3,0),FALSE)</f>
        <v>0</v>
      </c>
      <c r="AM492" s="4">
        <f>VLOOKUP($N492,[2]Cultures!$B$4:$M$283,MATCH(AM$1,[2]Cultures!$B$3:$M$3,0),FALSE)</f>
        <v>0</v>
      </c>
      <c r="AN492" s="4">
        <f>VLOOKUP($N492,[2]Cultures!$B$4:$M$283,MATCH(AN$1,[2]Cultures!$B$3:$M$3,0),FALSE)</f>
        <v>0</v>
      </c>
      <c r="AO492" s="4">
        <f>VLOOKUP($N492,[2]Cultures!$B$4:$M$283,MATCH(AO$1,[2]Cultures!$B$3:$M$3,0),FALSE)</f>
        <v>0</v>
      </c>
      <c r="AP492" s="4">
        <f>VLOOKUP($N492,[2]Cultures!$B$4:$M$283,MATCH(AP$1,[2]Cultures!$B$3:$M$3,0),FALSE)</f>
        <v>0</v>
      </c>
      <c r="AQ492" s="4">
        <f>VLOOKUP($N492,[2]Cultures!$B$4:$M$283,MATCH(AQ$1,[2]Cultures!$B$3:$M$3,0),FALSE)</f>
        <v>0</v>
      </c>
      <c r="AR492" s="4">
        <f>VLOOKUP($N492,[2]Cultures!$B$4:$M$283,MATCH(AR$1,[2]Cultures!$B$3:$M$3,0),FALSE)</f>
        <v>0</v>
      </c>
      <c r="AS492" s="4">
        <f>VLOOKUP($N492,[2]Cultures!$B$4:$M$283,MATCH(AS$1,[2]Cultures!$B$3:$M$3,0),FALSE)</f>
        <v>0</v>
      </c>
      <c r="AT492" s="4"/>
      <c r="AU492" s="4">
        <f>IF(ISNUMBER(SEARCH(N492&amp;";",Calculations!$Q$19)),VLOOKUP(Skills!N492,Calculations!$Q$2:$T$16,4,FALSE),0)</f>
        <v>0</v>
      </c>
      <c r="AV492" s="4">
        <f>IF(ISNUMBER(SEARCH(N492&amp;";",Calculations!$Q$18)),1,0)</f>
        <v>0</v>
      </c>
      <c r="AW492" s="4">
        <f t="shared" si="257"/>
        <v>0</v>
      </c>
      <c r="AX492" s="4">
        <f>VLOOKUP($N492,$N492:$CH492,MATCH('Character Sheet'!$BJ$3,Skills!$N$1:$CH$1,0),FALSE)</f>
        <v>0</v>
      </c>
    </row>
    <row r="493" spans="2:50" x14ac:dyDescent="0.25">
      <c r="B493" s="4" t="e">
        <f t="shared" ca="1" si="260"/>
        <v>#N/A</v>
      </c>
      <c r="E493" s="4"/>
      <c r="F493" s="4">
        <f t="shared" ca="1" si="247"/>
        <v>0</v>
      </c>
      <c r="G493" s="4"/>
      <c r="H493" s="4" t="e">
        <f t="shared" si="240"/>
        <v>#N/A</v>
      </c>
      <c r="I493" s="4" t="e">
        <f t="shared" si="258"/>
        <v>#N/A</v>
      </c>
      <c r="J493" s="4">
        <f t="shared" si="248"/>
        <v>0</v>
      </c>
      <c r="K493" s="4">
        <f t="shared" si="241"/>
        <v>0</v>
      </c>
      <c r="M493" t="str">
        <f t="shared" si="255"/>
        <v>Research</v>
      </c>
      <c r="N493" s="3" t="str">
        <f>'Character Sheet'!CSF43</f>
        <v>Research</v>
      </c>
      <c r="O493" s="4" t="s">
        <v>795</v>
      </c>
      <c r="P493" s="4" t="s">
        <v>794</v>
      </c>
      <c r="Q493" s="4">
        <f t="shared" si="263"/>
        <v>0</v>
      </c>
      <c r="R493" s="4">
        <f>IF(ISNUMBER(SEARCH("Category",N493)),"- -",IF(ISNUMBER(SEARCH("Skills",N493)),"- -",'Level-up'!C511))</f>
        <v>0</v>
      </c>
      <c r="S493" s="4">
        <f t="shared" si="249"/>
        <v>0</v>
      </c>
      <c r="T493" s="4">
        <f t="shared" si="250"/>
        <v>-25</v>
      </c>
      <c r="U493" s="4">
        <f t="shared" ca="1" si="237"/>
        <v>5</v>
      </c>
      <c r="V493" s="4">
        <f t="shared" si="256"/>
        <v>0</v>
      </c>
      <c r="W493" s="4">
        <f t="shared" si="262"/>
        <v>0</v>
      </c>
      <c r="X493" s="4">
        <f t="shared" si="261"/>
        <v>0</v>
      </c>
      <c r="Y493" s="4">
        <f t="shared" si="251"/>
        <v>0</v>
      </c>
      <c r="Z493" s="4">
        <f t="shared" si="252"/>
        <v>0</v>
      </c>
      <c r="AA493" s="4">
        <f t="shared" si="253"/>
        <v>0</v>
      </c>
      <c r="AB493" s="4">
        <f t="shared" si="254"/>
        <v>0</v>
      </c>
      <c r="AC493" s="8"/>
      <c r="AD493" s="4"/>
      <c r="AE493" s="4"/>
      <c r="AF493" s="4" t="str">
        <f t="shared" ca="1" si="259"/>
        <v>-20</v>
      </c>
      <c r="AG493" s="4"/>
      <c r="AH493" s="4">
        <f>IFERROR(VLOOKUP(M493,Calculations!$AC$2:$AD$251,2,FALSE),0)</f>
        <v>0</v>
      </c>
      <c r="AI493" s="4">
        <f>VLOOKUP(N493,$N$2:$AS$620,MATCH('Character Creation'!$Z$12,Skills!$N$1:$AS$1,0),FALSE)</f>
        <v>0</v>
      </c>
      <c r="AJ493" s="4">
        <f>VLOOKUP($N493,[2]Cultures!$B$4:$M$283,MATCH(AJ$1,[2]Cultures!$B$3:$M$3,0),FALSE)</f>
        <v>0</v>
      </c>
      <c r="AK493" s="4">
        <f>VLOOKUP($N493,[2]Cultures!$B$4:$M$283,MATCH(AK$1,[2]Cultures!$B$3:$M$3,0),FALSE)</f>
        <v>0</v>
      </c>
      <c r="AL493" s="4">
        <f>VLOOKUP($N493,[2]Cultures!$B$4:$M$283,MATCH(AL$1,[2]Cultures!$B$3:$M$3,0),FALSE)</f>
        <v>0</v>
      </c>
      <c r="AM493" s="4">
        <f>VLOOKUP($N493,[2]Cultures!$B$4:$M$283,MATCH(AM$1,[2]Cultures!$B$3:$M$3,0),FALSE)</f>
        <v>0</v>
      </c>
      <c r="AN493" s="4">
        <f>VLOOKUP($N493,[2]Cultures!$B$4:$M$283,MATCH(AN$1,[2]Cultures!$B$3:$M$3,0),FALSE)</f>
        <v>0</v>
      </c>
      <c r="AO493" s="4">
        <f>VLOOKUP($N493,[2]Cultures!$B$4:$M$283,MATCH(AO$1,[2]Cultures!$B$3:$M$3,0),FALSE)</f>
        <v>0</v>
      </c>
      <c r="AP493" s="4">
        <f>VLOOKUP($N493,[2]Cultures!$B$4:$M$283,MATCH(AP$1,[2]Cultures!$B$3:$M$3,0),FALSE)</f>
        <v>0</v>
      </c>
      <c r="AQ493" s="4">
        <f>VLOOKUP($N493,[2]Cultures!$B$4:$M$283,MATCH(AQ$1,[2]Cultures!$B$3:$M$3,0),FALSE)</f>
        <v>0</v>
      </c>
      <c r="AR493" s="4">
        <f>VLOOKUP($N493,[2]Cultures!$B$4:$M$283,MATCH(AR$1,[2]Cultures!$B$3:$M$3,0),FALSE)</f>
        <v>0</v>
      </c>
      <c r="AS493" s="4">
        <f>VLOOKUP($N493,[2]Cultures!$B$4:$M$283,MATCH(AS$1,[2]Cultures!$B$3:$M$3,0),FALSE)</f>
        <v>0</v>
      </c>
      <c r="AT493" s="4"/>
      <c r="AU493" s="4">
        <f>IF(ISNUMBER(SEARCH(N493&amp;";",Calculations!$Q$19)),VLOOKUP(Skills!N493,Calculations!$Q$2:$T$16,4,FALSE),0)</f>
        <v>0</v>
      </c>
      <c r="AV493" s="4">
        <f>IF(ISNUMBER(SEARCH(N493&amp;";",Calculations!$Q$18)),1,0)</f>
        <v>0</v>
      </c>
      <c r="AW493" s="4">
        <f t="shared" si="257"/>
        <v>0</v>
      </c>
      <c r="AX493" s="4">
        <f>VLOOKUP($N493,$N493:$CH493,MATCH('Character Sheet'!$BJ$3,Skills!$N$1:$CH$1,0),FALSE)</f>
        <v>0</v>
      </c>
    </row>
    <row r="494" spans="2:50" x14ac:dyDescent="0.25">
      <c r="B494" s="4" t="e">
        <f t="shared" ca="1" si="260"/>
        <v>#N/A</v>
      </c>
      <c r="E494" s="4"/>
      <c r="F494" s="4">
        <f t="shared" ca="1" si="247"/>
        <v>0</v>
      </c>
      <c r="G494" s="4"/>
      <c r="H494" s="4" t="e">
        <f t="shared" si="240"/>
        <v>#N/A</v>
      </c>
      <c r="I494" s="4" t="e">
        <f t="shared" si="258"/>
        <v>#N/A</v>
      </c>
      <c r="J494" s="4">
        <f t="shared" si="248"/>
        <v>0</v>
      </c>
      <c r="K494" s="4">
        <f t="shared" si="241"/>
        <v>0</v>
      </c>
      <c r="M494" t="str">
        <f t="shared" si="255"/>
        <v>Rope Mastery</v>
      </c>
      <c r="N494" s="3" t="str">
        <f>'Character Sheet'!CSF44</f>
        <v>Rope Mastery</v>
      </c>
      <c r="O494" s="4" t="s">
        <v>795</v>
      </c>
      <c r="P494" s="4" t="s">
        <v>794</v>
      </c>
      <c r="Q494" s="4">
        <f t="shared" si="263"/>
        <v>0</v>
      </c>
      <c r="R494" s="4">
        <f>IF(ISNUMBER(SEARCH("Category",N494)),"- -",IF(ISNUMBER(SEARCH("Skills",N494)),"- -",'Level-up'!C512))</f>
        <v>0</v>
      </c>
      <c r="S494" s="4">
        <f t="shared" si="249"/>
        <v>0</v>
      </c>
      <c r="T494" s="4">
        <f t="shared" si="250"/>
        <v>-25</v>
      </c>
      <c r="U494" s="4">
        <f t="shared" ca="1" si="237"/>
        <v>5</v>
      </c>
      <c r="V494" s="4">
        <f t="shared" si="256"/>
        <v>0</v>
      </c>
      <c r="W494" s="4">
        <f t="shared" si="262"/>
        <v>0</v>
      </c>
      <c r="X494" s="4">
        <f t="shared" si="261"/>
        <v>0</v>
      </c>
      <c r="Y494" s="4">
        <f t="shared" si="251"/>
        <v>0</v>
      </c>
      <c r="Z494" s="4">
        <f t="shared" si="252"/>
        <v>0</v>
      </c>
      <c r="AA494" s="4">
        <f t="shared" si="253"/>
        <v>0</v>
      </c>
      <c r="AB494" s="4">
        <f t="shared" si="254"/>
        <v>0</v>
      </c>
      <c r="AC494" s="8"/>
      <c r="AD494" s="4"/>
      <c r="AE494" s="4"/>
      <c r="AF494" s="4" t="str">
        <f t="shared" ca="1" si="259"/>
        <v>-20</v>
      </c>
      <c r="AG494" s="4"/>
      <c r="AH494" s="4">
        <f>IFERROR(VLOOKUP(M494,Calculations!$AC$2:$AD$251,2,FALSE),0)</f>
        <v>0</v>
      </c>
      <c r="AI494" s="4">
        <f>VLOOKUP(N494,$N$2:$AS$620,MATCH('Character Creation'!$Z$12,Skills!$N$1:$AS$1,0),FALSE)</f>
        <v>0</v>
      </c>
      <c r="AJ494" s="4">
        <f>VLOOKUP($N494,[2]Cultures!$B$4:$M$283,MATCH(AJ$1,[2]Cultures!$B$3:$M$3,0),FALSE)</f>
        <v>0</v>
      </c>
      <c r="AK494" s="4">
        <f>VLOOKUP($N494,[2]Cultures!$B$4:$M$283,MATCH(AK$1,[2]Cultures!$B$3:$M$3,0),FALSE)</f>
        <v>0</v>
      </c>
      <c r="AL494" s="4">
        <f>VLOOKUP($N494,[2]Cultures!$B$4:$M$283,MATCH(AL$1,[2]Cultures!$B$3:$M$3,0),FALSE)</f>
        <v>0</v>
      </c>
      <c r="AM494" s="4">
        <f>VLOOKUP($N494,[2]Cultures!$B$4:$M$283,MATCH(AM$1,[2]Cultures!$B$3:$M$3,0),FALSE)</f>
        <v>0</v>
      </c>
      <c r="AN494" s="4">
        <f>VLOOKUP($N494,[2]Cultures!$B$4:$M$283,MATCH(AN$1,[2]Cultures!$B$3:$M$3,0),FALSE)</f>
        <v>0</v>
      </c>
      <c r="AO494" s="4">
        <f>VLOOKUP($N494,[2]Cultures!$B$4:$M$283,MATCH(AO$1,[2]Cultures!$B$3:$M$3,0),FALSE)</f>
        <v>0</v>
      </c>
      <c r="AP494" s="4">
        <f>VLOOKUP($N494,[2]Cultures!$B$4:$M$283,MATCH(AP$1,[2]Cultures!$B$3:$M$3,0),FALSE)</f>
        <v>0</v>
      </c>
      <c r="AQ494" s="4">
        <f>VLOOKUP($N494,[2]Cultures!$B$4:$M$283,MATCH(AQ$1,[2]Cultures!$B$3:$M$3,0),FALSE)</f>
        <v>0</v>
      </c>
      <c r="AR494" s="4">
        <f>VLOOKUP($N494,[2]Cultures!$B$4:$M$283,MATCH(AR$1,[2]Cultures!$B$3:$M$3,0),FALSE)</f>
        <v>0</v>
      </c>
      <c r="AS494" s="4">
        <f>VLOOKUP($N494,[2]Cultures!$B$4:$M$283,MATCH(AS$1,[2]Cultures!$B$3:$M$3,0),FALSE)</f>
        <v>0</v>
      </c>
      <c r="AT494" s="4"/>
      <c r="AU494" s="4">
        <f>IF(ISNUMBER(SEARCH(N494&amp;";",Calculations!$Q$19)),VLOOKUP(Skills!N494,Calculations!$Q$2:$T$16,4,FALSE),0)</f>
        <v>0</v>
      </c>
      <c r="AV494" s="4">
        <f>IF(ISNUMBER(SEARCH(N494&amp;";",Calculations!$Q$18)),1,0)</f>
        <v>0</v>
      </c>
      <c r="AW494" s="4">
        <f t="shared" si="257"/>
        <v>0</v>
      </c>
      <c r="AX494" s="4">
        <f>VLOOKUP($N494,$N494:$CH494,MATCH('Character Sheet'!$BJ$3,Skills!$N$1:$CH$1,0),FALSE)</f>
        <v>0</v>
      </c>
    </row>
    <row r="495" spans="2:50" x14ac:dyDescent="0.25">
      <c r="B495" s="4" t="e">
        <f t="shared" ca="1" si="260"/>
        <v>#N/A</v>
      </c>
      <c r="E495" s="4"/>
      <c r="F495" s="4">
        <f t="shared" ca="1" si="247"/>
        <v>0</v>
      </c>
      <c r="G495" s="4"/>
      <c r="H495" s="4" t="e">
        <f t="shared" si="240"/>
        <v>#N/A</v>
      </c>
      <c r="I495" s="4" t="e">
        <f t="shared" si="258"/>
        <v>#N/A</v>
      </c>
      <c r="J495" s="4">
        <f t="shared" si="248"/>
        <v>0</v>
      </c>
      <c r="K495" s="4">
        <f t="shared" ca="1" si="241"/>
        <v>0</v>
      </c>
      <c r="M495" t="str">
        <f t="shared" si="255"/>
        <v>Sociology</v>
      </c>
      <c r="N495" s="3" t="str">
        <f>'Character Sheet'!CSF45</f>
        <v>Sociology</v>
      </c>
      <c r="O495" s="4" t="s">
        <v>795</v>
      </c>
      <c r="P495" s="4" t="s">
        <v>794</v>
      </c>
      <c r="Q495" s="4">
        <f t="shared" ca="1" si="263"/>
        <v>0</v>
      </c>
      <c r="R495" s="4">
        <f>IF(ISNUMBER(SEARCH("Category",N495)),"- -",IF(ISNUMBER(SEARCH("Skills",N495)),"- -",'Level-up'!C513))</f>
        <v>0</v>
      </c>
      <c r="S495" s="4">
        <f t="shared" ca="1" si="249"/>
        <v>0</v>
      </c>
      <c r="T495" s="4">
        <f t="shared" ca="1" si="250"/>
        <v>-25</v>
      </c>
      <c r="U495" s="4">
        <f t="shared" ca="1" si="237"/>
        <v>5</v>
      </c>
      <c r="V495" s="4">
        <f t="shared" si="256"/>
        <v>0</v>
      </c>
      <c r="W495" s="4">
        <f t="shared" si="262"/>
        <v>0</v>
      </c>
      <c r="X495" s="4">
        <f t="shared" si="261"/>
        <v>0</v>
      </c>
      <c r="Y495" s="4">
        <f t="shared" si="251"/>
        <v>0</v>
      </c>
      <c r="Z495" s="4">
        <f t="shared" si="252"/>
        <v>0</v>
      </c>
      <c r="AA495" s="4">
        <f t="shared" si="253"/>
        <v>0</v>
      </c>
      <c r="AB495" s="4">
        <f t="shared" si="254"/>
        <v>0</v>
      </c>
      <c r="AC495" s="8"/>
      <c r="AD495" s="4"/>
      <c r="AE495" s="4"/>
      <c r="AF495" s="4" t="str">
        <f t="shared" ca="1" si="259"/>
        <v>-20</v>
      </c>
      <c r="AG495" s="4"/>
      <c r="AH495" s="4">
        <f>IFERROR(VLOOKUP(M495,Calculations!$AC$2:$AD$251,2,FALSE),0)</f>
        <v>0</v>
      </c>
      <c r="AI495" s="4">
        <f ca="1">VLOOKUP(N495,$N$2:$AS$620,MATCH('Character Creation'!$Z$12,Skills!$N$1:$AS$1,0),FALSE)</f>
        <v>0</v>
      </c>
      <c r="AJ495" s="4">
        <f>VLOOKUP($N495,[2]Cultures!$B$4:$M$283,MATCH(AJ$1,[2]Cultures!$B$3:$M$3,0),FALSE)</f>
        <v>0</v>
      </c>
      <c r="AK495" s="4">
        <f>VLOOKUP($N495,[2]Cultures!$B$4:$M$283,MATCH(AK$1,[2]Cultures!$B$3:$M$3,0),FALSE)</f>
        <v>0</v>
      </c>
      <c r="AL495" s="4">
        <f>VLOOKUP($N495,[2]Cultures!$B$4:$M$283,MATCH(AL$1,[2]Cultures!$B$3:$M$3,0),FALSE)</f>
        <v>0</v>
      </c>
      <c r="AM495" s="4">
        <f>VLOOKUP($N495,[2]Cultures!$B$4:$M$283,MATCH(AM$1,[2]Cultures!$B$3:$M$3,0),FALSE)</f>
        <v>0</v>
      </c>
      <c r="AN495" s="4">
        <f>VLOOKUP($N495,[2]Cultures!$B$4:$M$283,MATCH(AN$1,[2]Cultures!$B$3:$M$3,0),FALSE)</f>
        <v>0</v>
      </c>
      <c r="AO495" s="4">
        <f>VLOOKUP($N495,[2]Cultures!$B$4:$M$283,MATCH(AO$1,[2]Cultures!$B$3:$M$3,0),FALSE)</f>
        <v>0</v>
      </c>
      <c r="AP495" s="4">
        <f>VLOOKUP($N495,[2]Cultures!$B$4:$M$283,MATCH(AP$1,[2]Cultures!$B$3:$M$3,0),FALSE)</f>
        <v>0</v>
      </c>
      <c r="AQ495" s="4">
        <f>VLOOKUP($N495,[2]Cultures!$B$4:$M$283,MATCH(AQ$1,[2]Cultures!$B$3:$M$3,0),FALSE)</f>
        <v>0</v>
      </c>
      <c r="AR495" s="4">
        <f>VLOOKUP($N495,[2]Cultures!$B$4:$M$283,MATCH(AR$1,[2]Cultures!$B$3:$M$3,0),FALSE)</f>
        <v>0</v>
      </c>
      <c r="AS495" s="4">
        <f>VLOOKUP($N495,[2]Cultures!$B$4:$M$283,MATCH(AS$1,[2]Cultures!$B$3:$M$3,0),FALSE)</f>
        <v>0</v>
      </c>
      <c r="AT495" s="4"/>
      <c r="AU495" s="4">
        <f>IF(ISNUMBER(SEARCH(N495&amp;";",Calculations!$Q$19)),VLOOKUP(Skills!N495,Calculations!$Q$2:$T$16,4,FALSE),0)</f>
        <v>0</v>
      </c>
      <c r="AV495" s="4">
        <f>IF(ISNUMBER(SEARCH(N495&amp;";",Calculations!$Q$18)),1,0)</f>
        <v>0</v>
      </c>
      <c r="AW495" s="4">
        <f t="shared" si="257"/>
        <v>0</v>
      </c>
      <c r="AX495" s="4">
        <f>VLOOKUP($N495,$N495:$CH495,MATCH('Character Sheet'!$BJ$3,Skills!$N$1:$CH$1,0),FALSE)</f>
        <v>0</v>
      </c>
    </row>
    <row r="496" spans="2:50" x14ac:dyDescent="0.25">
      <c r="B496" s="4" t="e">
        <f t="shared" ca="1" si="260"/>
        <v>#N/A</v>
      </c>
      <c r="E496" s="4"/>
      <c r="F496" s="4">
        <f t="shared" ca="1" si="247"/>
        <v>0</v>
      </c>
      <c r="G496" s="4"/>
      <c r="H496" s="4" t="e">
        <f t="shared" si="240"/>
        <v>#N/A</v>
      </c>
      <c r="I496" s="4" t="e">
        <f t="shared" si="258"/>
        <v>#N/A</v>
      </c>
      <c r="J496" s="4">
        <f t="shared" si="248"/>
        <v>0</v>
      </c>
      <c r="K496" s="4">
        <f t="shared" ca="1" si="241"/>
        <v>0</v>
      </c>
      <c r="M496" t="str">
        <f t="shared" si="255"/>
        <v>Star Gazing</v>
      </c>
      <c r="N496" s="3" t="str">
        <f>'Character Sheet'!CSF46</f>
        <v>Star Gazing</v>
      </c>
      <c r="O496" s="4" t="s">
        <v>795</v>
      </c>
      <c r="P496" s="4" t="s">
        <v>794</v>
      </c>
      <c r="Q496" s="4">
        <f t="shared" ca="1" si="263"/>
        <v>0</v>
      </c>
      <c r="R496" s="4">
        <f>IF(ISNUMBER(SEARCH("Category",N496)),"- -",IF(ISNUMBER(SEARCH("Skills",N496)),"- -",'Level-up'!C514))</f>
        <v>0</v>
      </c>
      <c r="S496" s="4">
        <f t="shared" ca="1" si="249"/>
        <v>0</v>
      </c>
      <c r="T496" s="4">
        <f t="shared" ca="1" si="250"/>
        <v>-25</v>
      </c>
      <c r="U496" s="4">
        <f t="shared" ca="1" si="237"/>
        <v>5</v>
      </c>
      <c r="V496" s="4">
        <f t="shared" si="256"/>
        <v>0</v>
      </c>
      <c r="W496" s="4">
        <f t="shared" si="262"/>
        <v>0</v>
      </c>
      <c r="X496" s="4">
        <f t="shared" si="261"/>
        <v>0</v>
      </c>
      <c r="Y496" s="4">
        <f t="shared" si="251"/>
        <v>0</v>
      </c>
      <c r="Z496" s="4">
        <f t="shared" si="252"/>
        <v>0</v>
      </c>
      <c r="AA496" s="4">
        <f t="shared" si="253"/>
        <v>0</v>
      </c>
      <c r="AB496" s="4">
        <f t="shared" si="254"/>
        <v>0</v>
      </c>
      <c r="AC496" s="8"/>
      <c r="AD496" s="4"/>
      <c r="AE496" s="4"/>
      <c r="AF496" s="4" t="str">
        <f t="shared" ca="1" si="259"/>
        <v>-20</v>
      </c>
      <c r="AG496" s="4"/>
      <c r="AH496" s="4">
        <f>IFERROR(VLOOKUP(M496,Calculations!$AC$2:$AD$251,2,FALSE),0)</f>
        <v>0</v>
      </c>
      <c r="AI496" s="4">
        <f ca="1">VLOOKUP(N496,$N$2:$AS$620,MATCH('Character Creation'!$Z$12,Skills!$N$1:$AS$1,0),FALSE)</f>
        <v>0</v>
      </c>
      <c r="AJ496" s="4">
        <f>VLOOKUP($N496,[2]Cultures!$B$4:$M$283,MATCH(AJ$1,[2]Cultures!$B$3:$M$3,0),FALSE)</f>
        <v>0</v>
      </c>
      <c r="AK496" s="4">
        <f>VLOOKUP($N496,[2]Cultures!$B$4:$M$283,MATCH(AK$1,[2]Cultures!$B$3:$M$3,0),FALSE)</f>
        <v>0</v>
      </c>
      <c r="AL496" s="4">
        <f>VLOOKUP($N496,[2]Cultures!$B$4:$M$283,MATCH(AL$1,[2]Cultures!$B$3:$M$3,0),FALSE)</f>
        <v>0</v>
      </c>
      <c r="AM496" s="4">
        <f>VLOOKUP($N496,[2]Cultures!$B$4:$M$283,MATCH(AM$1,[2]Cultures!$B$3:$M$3,0),FALSE)</f>
        <v>0</v>
      </c>
      <c r="AN496" s="4">
        <f>VLOOKUP($N496,[2]Cultures!$B$4:$M$283,MATCH(AN$1,[2]Cultures!$B$3:$M$3,0),FALSE)</f>
        <v>0</v>
      </c>
      <c r="AO496" s="4">
        <f>VLOOKUP($N496,[2]Cultures!$B$4:$M$283,MATCH(AO$1,[2]Cultures!$B$3:$M$3,0),FALSE)</f>
        <v>0</v>
      </c>
      <c r="AP496" s="4">
        <f>VLOOKUP($N496,[2]Cultures!$B$4:$M$283,MATCH(AP$1,[2]Cultures!$B$3:$M$3,0),FALSE)</f>
        <v>0</v>
      </c>
      <c r="AQ496" s="4">
        <f>VLOOKUP($N496,[2]Cultures!$B$4:$M$283,MATCH(AQ$1,[2]Cultures!$B$3:$M$3,0),FALSE)</f>
        <v>0</v>
      </c>
      <c r="AR496" s="4">
        <f>VLOOKUP($N496,[2]Cultures!$B$4:$M$283,MATCH(AR$1,[2]Cultures!$B$3:$M$3,0),FALSE)</f>
        <v>0</v>
      </c>
      <c r="AS496" s="4">
        <f>VLOOKUP($N496,[2]Cultures!$B$4:$M$283,MATCH(AS$1,[2]Cultures!$B$3:$M$3,0),FALSE)</f>
        <v>0</v>
      </c>
      <c r="AT496" s="4"/>
      <c r="AU496" s="4">
        <f>IF(ISNUMBER(SEARCH(N496&amp;";",Calculations!$Q$19)),VLOOKUP(Skills!N496,Calculations!$Q$2:$T$16,4,FALSE),0)</f>
        <v>0</v>
      </c>
      <c r="AV496" s="4">
        <f>IF(ISNUMBER(SEARCH(N496&amp;";",Calculations!$Q$18)),1,0)</f>
        <v>0</v>
      </c>
      <c r="AW496" s="4">
        <f t="shared" si="257"/>
        <v>0</v>
      </c>
      <c r="AX496" s="4">
        <f>VLOOKUP($N496,$N496:$CH496,MATCH('Character Sheet'!$BJ$3,Skills!$N$1:$CH$1,0),FALSE)</f>
        <v>0</v>
      </c>
    </row>
    <row r="497" spans="2:50" x14ac:dyDescent="0.25">
      <c r="B497" s="4" t="e">
        <f t="shared" ca="1" si="260"/>
        <v>#N/A</v>
      </c>
      <c r="E497" s="4"/>
      <c r="F497" s="4">
        <f t="shared" ca="1" si="247"/>
        <v>0</v>
      </c>
      <c r="G497" s="4"/>
      <c r="H497" s="4" t="e">
        <f t="shared" si="240"/>
        <v>#N/A</v>
      </c>
      <c r="I497" s="4" t="e">
        <f t="shared" si="258"/>
        <v>#N/A</v>
      </c>
      <c r="J497" s="4">
        <f t="shared" si="248"/>
        <v>0</v>
      </c>
      <c r="K497" s="4">
        <f t="shared" si="241"/>
        <v>0</v>
      </c>
      <c r="M497" t="str">
        <f t="shared" si="255"/>
        <v>Tax Evasion</v>
      </c>
      <c r="N497" s="3" t="str">
        <f>'Character Sheet'!CSF47</f>
        <v>Tax Evasion</v>
      </c>
      <c r="O497" s="4" t="s">
        <v>795</v>
      </c>
      <c r="P497" s="4" t="s">
        <v>794</v>
      </c>
      <c r="Q497" s="4">
        <f t="shared" si="263"/>
        <v>0</v>
      </c>
      <c r="R497" s="4">
        <f>IF(ISNUMBER(SEARCH("Category",N497)),"- -",IF(ISNUMBER(SEARCH("Skills",N497)),"- -",'Level-up'!C515))</f>
        <v>0</v>
      </c>
      <c r="S497" s="4">
        <f t="shared" si="249"/>
        <v>0</v>
      </c>
      <c r="T497" s="4">
        <f t="shared" si="250"/>
        <v>-25</v>
      </c>
      <c r="U497" s="4">
        <f t="shared" ca="1" si="237"/>
        <v>5</v>
      </c>
      <c r="V497" s="4">
        <f t="shared" si="256"/>
        <v>0</v>
      </c>
      <c r="W497" s="4">
        <f t="shared" si="262"/>
        <v>0</v>
      </c>
      <c r="X497" s="4">
        <f t="shared" si="261"/>
        <v>0</v>
      </c>
      <c r="Y497" s="4">
        <f t="shared" si="251"/>
        <v>0</v>
      </c>
      <c r="Z497" s="4">
        <f t="shared" si="252"/>
        <v>0</v>
      </c>
      <c r="AA497" s="4">
        <f t="shared" si="253"/>
        <v>0</v>
      </c>
      <c r="AB497" s="4">
        <f t="shared" si="254"/>
        <v>0</v>
      </c>
      <c r="AC497" s="8"/>
      <c r="AD497" s="4"/>
      <c r="AE497" s="4"/>
      <c r="AF497" s="4" t="str">
        <f t="shared" ca="1" si="259"/>
        <v>-20</v>
      </c>
      <c r="AG497" s="4"/>
      <c r="AH497" s="4">
        <f>IFERROR(VLOOKUP(M497,Calculations!$AC$2:$AD$251,2,FALSE),0)</f>
        <v>0</v>
      </c>
      <c r="AI497" s="4">
        <f>VLOOKUP(N497,$N$2:$AS$620,MATCH('Character Creation'!$Z$12,Skills!$N$1:$AS$1,0),FALSE)</f>
        <v>0</v>
      </c>
      <c r="AJ497" s="4">
        <f>VLOOKUP($N497,[2]Cultures!$B$4:$M$283,MATCH(AJ$1,[2]Cultures!$B$3:$M$3,0),FALSE)</f>
        <v>0</v>
      </c>
      <c r="AK497" s="4">
        <f>VLOOKUP($N497,[2]Cultures!$B$4:$M$283,MATCH(AK$1,[2]Cultures!$B$3:$M$3,0),FALSE)</f>
        <v>0</v>
      </c>
      <c r="AL497" s="4">
        <f>VLOOKUP($N497,[2]Cultures!$B$4:$M$283,MATCH(AL$1,[2]Cultures!$B$3:$M$3,0),FALSE)</f>
        <v>0</v>
      </c>
      <c r="AM497" s="4">
        <f>VLOOKUP($N497,[2]Cultures!$B$4:$M$283,MATCH(AM$1,[2]Cultures!$B$3:$M$3,0),FALSE)</f>
        <v>0</v>
      </c>
      <c r="AN497" s="4">
        <f>VLOOKUP($N497,[2]Cultures!$B$4:$M$283,MATCH(AN$1,[2]Cultures!$B$3:$M$3,0),FALSE)</f>
        <v>0</v>
      </c>
      <c r="AO497" s="4">
        <f>VLOOKUP($N497,[2]Cultures!$B$4:$M$283,MATCH(AO$1,[2]Cultures!$B$3:$M$3,0),FALSE)</f>
        <v>0</v>
      </c>
      <c r="AP497" s="4">
        <f>VLOOKUP($N497,[2]Cultures!$B$4:$M$283,MATCH(AP$1,[2]Cultures!$B$3:$M$3,0),FALSE)</f>
        <v>0</v>
      </c>
      <c r="AQ497" s="4">
        <f>VLOOKUP($N497,[2]Cultures!$B$4:$M$283,MATCH(AQ$1,[2]Cultures!$B$3:$M$3,0),FALSE)</f>
        <v>0</v>
      </c>
      <c r="AR497" s="4">
        <f>VLOOKUP($N497,[2]Cultures!$B$4:$M$283,MATCH(AR$1,[2]Cultures!$B$3:$M$3,0),FALSE)</f>
        <v>0</v>
      </c>
      <c r="AS497" s="4">
        <f>VLOOKUP($N497,[2]Cultures!$B$4:$M$283,MATCH(AS$1,[2]Cultures!$B$3:$M$3,0),FALSE)</f>
        <v>0</v>
      </c>
      <c r="AT497" s="4"/>
      <c r="AU497" s="4">
        <f>IF(ISNUMBER(SEARCH(N497&amp;";",Calculations!$Q$19)),VLOOKUP(Skills!N497,Calculations!$Q$2:$T$16,4,FALSE),0)</f>
        <v>0</v>
      </c>
      <c r="AV497" s="4">
        <f>IF(ISNUMBER(SEARCH(N497&amp;";",Calculations!$Q$18)),1,0)</f>
        <v>0</v>
      </c>
      <c r="AW497" s="4">
        <f t="shared" si="257"/>
        <v>0</v>
      </c>
      <c r="AX497" s="4">
        <f>VLOOKUP($N497,$N497:$CH497,MATCH('Character Sheet'!$BJ$3,Skills!$N$1:$CH$1,0),FALSE)</f>
        <v>0</v>
      </c>
    </row>
    <row r="498" spans="2:50" x14ac:dyDescent="0.25">
      <c r="B498" s="4" t="e">
        <f t="shared" ca="1" si="260"/>
        <v>#N/A</v>
      </c>
      <c r="E498" s="4"/>
      <c r="F498" s="4">
        <f t="shared" ca="1" si="247"/>
        <v>0</v>
      </c>
      <c r="G498" s="4"/>
      <c r="H498" s="4" t="e">
        <f t="shared" si="240"/>
        <v>#N/A</v>
      </c>
      <c r="I498" s="4" t="e">
        <f t="shared" si="258"/>
        <v>#N/A</v>
      </c>
      <c r="J498" s="4">
        <f t="shared" si="248"/>
        <v>0</v>
      </c>
      <c r="K498" s="4">
        <f t="shared" si="241"/>
        <v>0</v>
      </c>
      <c r="M498" t="str">
        <f t="shared" si="255"/>
        <v>Urban Design</v>
      </c>
      <c r="N498" s="3" t="str">
        <f>'Character Sheet'!CSF48</f>
        <v>Urban Design</v>
      </c>
      <c r="O498" s="4" t="s">
        <v>795</v>
      </c>
      <c r="P498" s="4" t="s">
        <v>794</v>
      </c>
      <c r="Q498" s="4">
        <f t="shared" si="263"/>
        <v>0</v>
      </c>
      <c r="R498" s="4">
        <f>IF(ISNUMBER(SEARCH("Category",N498)),"- -",IF(ISNUMBER(SEARCH("Skills",N498)),"- -",'Level-up'!C516))</f>
        <v>0</v>
      </c>
      <c r="S498" s="4">
        <f t="shared" si="249"/>
        <v>0</v>
      </c>
      <c r="T498" s="4">
        <f t="shared" si="250"/>
        <v>-25</v>
      </c>
      <c r="U498" s="4">
        <f t="shared" ca="1" si="237"/>
        <v>5</v>
      </c>
      <c r="V498" s="4">
        <f t="shared" si="256"/>
        <v>0</v>
      </c>
      <c r="W498" s="4">
        <f t="shared" si="262"/>
        <v>0</v>
      </c>
      <c r="X498" s="4">
        <f t="shared" si="261"/>
        <v>0</v>
      </c>
      <c r="Y498" s="4">
        <f t="shared" si="251"/>
        <v>0</v>
      </c>
      <c r="Z498" s="4">
        <f t="shared" si="252"/>
        <v>0</v>
      </c>
      <c r="AA498" s="4">
        <f t="shared" si="253"/>
        <v>0</v>
      </c>
      <c r="AB498" s="4">
        <f t="shared" si="254"/>
        <v>0</v>
      </c>
      <c r="AC498" s="8"/>
      <c r="AD498" s="4"/>
      <c r="AE498" s="4"/>
      <c r="AF498" s="4" t="str">
        <f t="shared" ca="1" si="259"/>
        <v>-20</v>
      </c>
      <c r="AG498" s="4"/>
      <c r="AH498" s="4">
        <f>IFERROR(VLOOKUP(M498,Calculations!$AC$2:$AD$251,2,FALSE),0)</f>
        <v>0</v>
      </c>
      <c r="AI498" s="4">
        <f>VLOOKUP(N498,$N$2:$AS$620,MATCH('Character Creation'!$Z$12,Skills!$N$1:$AS$1,0),FALSE)</f>
        <v>0</v>
      </c>
      <c r="AJ498" s="4">
        <f>VLOOKUP($N498,[2]Cultures!$B$4:$M$283,MATCH(AJ$1,[2]Cultures!$B$3:$M$3,0),FALSE)</f>
        <v>0</v>
      </c>
      <c r="AK498" s="4">
        <f>VLOOKUP($N498,[2]Cultures!$B$4:$M$283,MATCH(AK$1,[2]Cultures!$B$3:$M$3,0),FALSE)</f>
        <v>0</v>
      </c>
      <c r="AL498" s="4">
        <f>VLOOKUP($N498,[2]Cultures!$B$4:$M$283,MATCH(AL$1,[2]Cultures!$B$3:$M$3,0),FALSE)</f>
        <v>0</v>
      </c>
      <c r="AM498" s="4">
        <f>VLOOKUP($N498,[2]Cultures!$B$4:$M$283,MATCH(AM$1,[2]Cultures!$B$3:$M$3,0),FALSE)</f>
        <v>0</v>
      </c>
      <c r="AN498" s="4">
        <f>VLOOKUP($N498,[2]Cultures!$B$4:$M$283,MATCH(AN$1,[2]Cultures!$B$3:$M$3,0),FALSE)</f>
        <v>0</v>
      </c>
      <c r="AO498" s="4">
        <f>VLOOKUP($N498,[2]Cultures!$B$4:$M$283,MATCH(AO$1,[2]Cultures!$B$3:$M$3,0),FALSE)</f>
        <v>0</v>
      </c>
      <c r="AP498" s="4">
        <f>VLOOKUP($N498,[2]Cultures!$B$4:$M$283,MATCH(AP$1,[2]Cultures!$B$3:$M$3,0),FALSE)</f>
        <v>0</v>
      </c>
      <c r="AQ498" s="4">
        <f>VLOOKUP($N498,[2]Cultures!$B$4:$M$283,MATCH(AQ$1,[2]Cultures!$B$3:$M$3,0),FALSE)</f>
        <v>0</v>
      </c>
      <c r="AR498" s="4">
        <f>VLOOKUP($N498,[2]Cultures!$B$4:$M$283,MATCH(AR$1,[2]Cultures!$B$3:$M$3,0),FALSE)</f>
        <v>0</v>
      </c>
      <c r="AS498" s="4">
        <f>VLOOKUP($N498,[2]Cultures!$B$4:$M$283,MATCH(AS$1,[2]Cultures!$B$3:$M$3,0),FALSE)</f>
        <v>0</v>
      </c>
      <c r="AT498" s="4"/>
      <c r="AU498" s="4">
        <f>IF(ISNUMBER(SEARCH(N498&amp;";",Calculations!$Q$19)),VLOOKUP(Skills!N498,Calculations!$Q$2:$T$16,4,FALSE),0)</f>
        <v>0</v>
      </c>
      <c r="AV498" s="4">
        <f>IF(ISNUMBER(SEARCH(N498&amp;";",Calculations!$Q$18)),1,0)</f>
        <v>0</v>
      </c>
      <c r="AW498" s="4">
        <f t="shared" si="257"/>
        <v>0</v>
      </c>
      <c r="AX498" s="4">
        <f>VLOOKUP($N498,$N498:$CH498,MATCH('Character Sheet'!$BJ$3,Skills!$N$1:$CH$1,0),FALSE)</f>
        <v>0</v>
      </c>
    </row>
    <row r="499" spans="2:50" x14ac:dyDescent="0.25">
      <c r="B499" s="4" t="e">
        <f t="shared" ca="1" si="260"/>
        <v>#N/A</v>
      </c>
      <c r="E499" s="4"/>
      <c r="F499" s="4">
        <f t="shared" ca="1" si="247"/>
        <v>0</v>
      </c>
      <c r="G499" s="4"/>
      <c r="H499" s="4" t="e">
        <f t="shared" si="240"/>
        <v>#N/A</v>
      </c>
      <c r="I499" s="4" t="e">
        <f t="shared" si="258"/>
        <v>#N/A</v>
      </c>
      <c r="J499" s="4">
        <f t="shared" si="248"/>
        <v>0</v>
      </c>
      <c r="K499" s="4">
        <f t="shared" si="241"/>
        <v>0</v>
      </c>
      <c r="M499" t="str">
        <f t="shared" si="255"/>
        <v>Weather Watching</v>
      </c>
      <c r="N499" s="3" t="str">
        <f>'Character Sheet'!CSF49</f>
        <v>Weather Watching</v>
      </c>
      <c r="O499" s="4" t="s">
        <v>795</v>
      </c>
      <c r="P499" s="4" t="s">
        <v>794</v>
      </c>
      <c r="Q499" s="4">
        <f t="shared" si="263"/>
        <v>0</v>
      </c>
      <c r="R499" s="4">
        <f>IF(ISNUMBER(SEARCH("Category",N499)),"- -",IF(ISNUMBER(SEARCH("Skills",N499)),"- -",'Level-up'!C517))</f>
        <v>0</v>
      </c>
      <c r="S499" s="4">
        <f t="shared" si="249"/>
        <v>0</v>
      </c>
      <c r="T499" s="4">
        <f t="shared" si="250"/>
        <v>-25</v>
      </c>
      <c r="U499" s="4">
        <f t="shared" ref="U499:U562" ca="1" si="264">IFERROR(INDIRECT(LEFT(O499,FIND("/",O499)-1))+INDIRECT(MID(O499,FIND("/",O499)+1,2))+INDIRECT(P499),"- -")</f>
        <v>5</v>
      </c>
      <c r="V499" s="4">
        <f t="shared" si="256"/>
        <v>0</v>
      </c>
      <c r="W499" s="4">
        <f t="shared" si="262"/>
        <v>0</v>
      </c>
      <c r="X499" s="4">
        <f t="shared" si="261"/>
        <v>0</v>
      </c>
      <c r="Y499" s="4">
        <f t="shared" si="251"/>
        <v>0</v>
      </c>
      <c r="Z499" s="4">
        <f t="shared" si="252"/>
        <v>0</v>
      </c>
      <c r="AA499" s="4">
        <f t="shared" si="253"/>
        <v>0</v>
      </c>
      <c r="AB499" s="4">
        <f t="shared" si="254"/>
        <v>0</v>
      </c>
      <c r="AC499" s="8"/>
      <c r="AD499" s="4"/>
      <c r="AE499" s="4"/>
      <c r="AF499" s="4" t="str">
        <f t="shared" ca="1" si="259"/>
        <v>-20</v>
      </c>
      <c r="AG499" s="4"/>
      <c r="AH499" s="4">
        <f>IFERROR(VLOOKUP(M499,Calculations!$AC$2:$AD$251,2,FALSE),0)</f>
        <v>0</v>
      </c>
      <c r="AI499" s="4">
        <f>VLOOKUP(N499,$N$2:$AS$620,MATCH('Character Creation'!$Z$12,Skills!$N$1:$AS$1,0),FALSE)</f>
        <v>0</v>
      </c>
      <c r="AJ499" s="4">
        <f>VLOOKUP($N499,[2]Cultures!$B$4:$M$283,MATCH(AJ$1,[2]Cultures!$B$3:$M$3,0),FALSE)</f>
        <v>0</v>
      </c>
      <c r="AK499" s="4">
        <f>VLOOKUP($N499,[2]Cultures!$B$4:$M$283,MATCH(AK$1,[2]Cultures!$B$3:$M$3,0),FALSE)</f>
        <v>0</v>
      </c>
      <c r="AL499" s="4">
        <f>VLOOKUP($N499,[2]Cultures!$B$4:$M$283,MATCH(AL$1,[2]Cultures!$B$3:$M$3,0),FALSE)</f>
        <v>0</v>
      </c>
      <c r="AM499" s="4">
        <f>VLOOKUP($N499,[2]Cultures!$B$4:$M$283,MATCH(AM$1,[2]Cultures!$B$3:$M$3,0),FALSE)</f>
        <v>0</v>
      </c>
      <c r="AN499" s="4">
        <f>VLOOKUP($N499,[2]Cultures!$B$4:$M$283,MATCH(AN$1,[2]Cultures!$B$3:$M$3,0),FALSE)</f>
        <v>0</v>
      </c>
      <c r="AO499" s="4">
        <f>VLOOKUP($N499,[2]Cultures!$B$4:$M$283,MATCH(AO$1,[2]Cultures!$B$3:$M$3,0),FALSE)</f>
        <v>0</v>
      </c>
      <c r="AP499" s="4">
        <f>VLOOKUP($N499,[2]Cultures!$B$4:$M$283,MATCH(AP$1,[2]Cultures!$B$3:$M$3,0),FALSE)</f>
        <v>0</v>
      </c>
      <c r="AQ499" s="4">
        <f>VLOOKUP($N499,[2]Cultures!$B$4:$M$283,MATCH(AQ$1,[2]Cultures!$B$3:$M$3,0),FALSE)</f>
        <v>0</v>
      </c>
      <c r="AR499" s="4">
        <f>VLOOKUP($N499,[2]Cultures!$B$4:$M$283,MATCH(AR$1,[2]Cultures!$B$3:$M$3,0),FALSE)</f>
        <v>0</v>
      </c>
      <c r="AS499" s="4">
        <f>VLOOKUP($N499,[2]Cultures!$B$4:$M$283,MATCH(AS$1,[2]Cultures!$B$3:$M$3,0),FALSE)</f>
        <v>0</v>
      </c>
      <c r="AT499" s="4"/>
      <c r="AU499" s="4">
        <f>IF(ISNUMBER(SEARCH(N499&amp;";",Calculations!$Q$19)),VLOOKUP(Skills!N499,Calculations!$Q$2:$T$16,4,FALSE),0)</f>
        <v>0</v>
      </c>
      <c r="AV499" s="4">
        <f>IF(ISNUMBER(SEARCH(N499&amp;";",Calculations!$Q$18)),1,0)</f>
        <v>0</v>
      </c>
      <c r="AW499" s="4">
        <f t="shared" si="257"/>
        <v>0</v>
      </c>
      <c r="AX499" s="4">
        <f>VLOOKUP($N499,$N499:$CH499,MATCH('Character Sheet'!$BJ$3,Skills!$N$1:$CH$1,0),FALSE)</f>
        <v>0</v>
      </c>
    </row>
    <row r="500" spans="2:50" x14ac:dyDescent="0.25">
      <c r="B500" s="4" t="e">
        <f t="shared" ca="1" si="260"/>
        <v>#N/A</v>
      </c>
      <c r="E500" s="4"/>
      <c r="F500" s="4">
        <f t="shared" ca="1" si="247"/>
        <v>0</v>
      </c>
      <c r="G500" s="4"/>
      <c r="H500" s="4" t="e">
        <f t="shared" ref="H500:H563" si="265">H499+I500</f>
        <v>#N/A</v>
      </c>
      <c r="I500" s="4" t="e">
        <f t="shared" si="258"/>
        <v>#N/A</v>
      </c>
      <c r="J500" s="4">
        <f t="shared" si="248"/>
        <v>0</v>
      </c>
      <c r="K500" s="4">
        <f t="shared" si="241"/>
        <v>0</v>
      </c>
      <c r="M500" t="str">
        <f t="shared" si="255"/>
        <v>Zoology</v>
      </c>
      <c r="N500" s="3" t="str">
        <f>'Character Sheet'!CSF50</f>
        <v>Zoology</v>
      </c>
      <c r="O500" s="4" t="s">
        <v>795</v>
      </c>
      <c r="P500" s="4" t="s">
        <v>794</v>
      </c>
      <c r="Q500" s="4">
        <f t="shared" si="263"/>
        <v>0</v>
      </c>
      <c r="R500" s="4">
        <f>IF(ISNUMBER(SEARCH("Category",N500)),"- -",IF(ISNUMBER(SEARCH("Skills",N500)),"- -",'Level-up'!C518))</f>
        <v>0</v>
      </c>
      <c r="S500" s="4">
        <f t="shared" si="249"/>
        <v>0</v>
      </c>
      <c r="T500" s="4">
        <f t="shared" si="250"/>
        <v>-25</v>
      </c>
      <c r="U500" s="4">
        <f t="shared" ca="1" si="264"/>
        <v>5</v>
      </c>
      <c r="V500" s="4">
        <f t="shared" si="256"/>
        <v>0</v>
      </c>
      <c r="W500" s="4">
        <f t="shared" si="262"/>
        <v>0</v>
      </c>
      <c r="X500" s="4">
        <f t="shared" si="261"/>
        <v>0</v>
      </c>
      <c r="Y500" s="4">
        <f t="shared" si="251"/>
        <v>0</v>
      </c>
      <c r="Z500" s="4">
        <f t="shared" si="252"/>
        <v>0</v>
      </c>
      <c r="AA500" s="4">
        <f t="shared" si="253"/>
        <v>0</v>
      </c>
      <c r="AB500" s="4">
        <f t="shared" si="254"/>
        <v>0</v>
      </c>
      <c r="AC500" s="8"/>
      <c r="AD500" s="4"/>
      <c r="AE500" s="4"/>
      <c r="AF500" s="4" t="str">
        <f t="shared" ca="1" si="259"/>
        <v>-20</v>
      </c>
      <c r="AG500" s="4"/>
      <c r="AH500" s="4">
        <f>IFERROR(VLOOKUP(M500,Calculations!$AC$2:$AD$251,2,FALSE),0)</f>
        <v>0</v>
      </c>
      <c r="AI500" s="4">
        <f>VLOOKUP(N500,$N$2:$AS$620,MATCH('Character Creation'!$Z$12,Skills!$N$1:$AS$1,0),FALSE)</f>
        <v>0</v>
      </c>
      <c r="AJ500" s="4">
        <f>VLOOKUP($N500,[2]Cultures!$B$4:$M$283,MATCH(AJ$1,[2]Cultures!$B$3:$M$3,0),FALSE)</f>
        <v>0</v>
      </c>
      <c r="AK500" s="4">
        <f>VLOOKUP($N500,[2]Cultures!$B$4:$M$283,MATCH(AK$1,[2]Cultures!$B$3:$M$3,0),FALSE)</f>
        <v>0</v>
      </c>
      <c r="AL500" s="4">
        <f>VLOOKUP($N500,[2]Cultures!$B$4:$M$283,MATCH(AL$1,[2]Cultures!$B$3:$M$3,0),FALSE)</f>
        <v>0</v>
      </c>
      <c r="AM500" s="4">
        <f>VLOOKUP($N500,[2]Cultures!$B$4:$M$283,MATCH(AM$1,[2]Cultures!$B$3:$M$3,0),FALSE)</f>
        <v>0</v>
      </c>
      <c r="AN500" s="4">
        <f>VLOOKUP($N500,[2]Cultures!$B$4:$M$283,MATCH(AN$1,[2]Cultures!$B$3:$M$3,0),FALSE)</f>
        <v>0</v>
      </c>
      <c r="AO500" s="4">
        <f>VLOOKUP($N500,[2]Cultures!$B$4:$M$283,MATCH(AO$1,[2]Cultures!$B$3:$M$3,0),FALSE)</f>
        <v>0</v>
      </c>
      <c r="AP500" s="4">
        <f>VLOOKUP($N500,[2]Cultures!$B$4:$M$283,MATCH(AP$1,[2]Cultures!$B$3:$M$3,0),FALSE)</f>
        <v>0</v>
      </c>
      <c r="AQ500" s="4">
        <f>VLOOKUP($N500,[2]Cultures!$B$4:$M$283,MATCH(AQ$1,[2]Cultures!$B$3:$M$3,0),FALSE)</f>
        <v>0</v>
      </c>
      <c r="AR500" s="4">
        <f>VLOOKUP($N500,[2]Cultures!$B$4:$M$283,MATCH(AR$1,[2]Cultures!$B$3:$M$3,0),FALSE)</f>
        <v>0</v>
      </c>
      <c r="AS500" s="4">
        <f>VLOOKUP($N500,[2]Cultures!$B$4:$M$283,MATCH(AS$1,[2]Cultures!$B$3:$M$3,0),FALSE)</f>
        <v>0</v>
      </c>
      <c r="AT500" s="4"/>
      <c r="AU500" s="4">
        <f>IF(ISNUMBER(SEARCH(N500&amp;";",Calculations!$Q$19)),VLOOKUP(Skills!N500,Calculations!$Q$2:$T$16,4,FALSE),0)</f>
        <v>0</v>
      </c>
      <c r="AV500" s="4">
        <f>IF(ISNUMBER(SEARCH(N500&amp;";",Calculations!$Q$18)),1,0)</f>
        <v>0</v>
      </c>
      <c r="AW500" s="4">
        <f t="shared" si="257"/>
        <v>0</v>
      </c>
      <c r="AX500" s="4">
        <f>VLOOKUP($N500,$N500:$CH500,MATCH('Character Sheet'!$BJ$3,Skills!$N$1:$CH$1,0),FALSE)</f>
        <v>0</v>
      </c>
    </row>
    <row r="501" spans="2:50" x14ac:dyDescent="0.25">
      <c r="B501" s="4" t="e">
        <f t="shared" ca="1" si="260"/>
        <v>#N/A</v>
      </c>
      <c r="E501" s="4"/>
      <c r="F501" s="4">
        <f t="shared" ca="1" si="247"/>
        <v>0</v>
      </c>
      <c r="G501" s="4"/>
      <c r="H501" s="4" t="e">
        <f t="shared" si="265"/>
        <v>#N/A</v>
      </c>
      <c r="I501" s="4" t="e">
        <f>IF($J$452=1,1,IF($J$502=1,1,0))</f>
        <v>#N/A</v>
      </c>
      <c r="J501" s="4">
        <f t="shared" si="248"/>
        <v>0</v>
      </c>
      <c r="K501" s="4" t="e">
        <f t="shared" si="241"/>
        <v>#N/A</v>
      </c>
      <c r="N501" s="3" t="s">
        <v>723</v>
      </c>
      <c r="O501" s="6" t="s">
        <v>782</v>
      </c>
      <c r="P501" s="6" t="s">
        <v>782</v>
      </c>
      <c r="Q501" s="4" t="str">
        <f t="shared" si="263"/>
        <v>- -</v>
      </c>
      <c r="R501" s="4" t="str">
        <f>IF(ISNUMBER(SEARCH("Category",N501)),"- -",IF(ISNUMBER(SEARCH("Skills",N501)),"- -",'Level-up'!C519))</f>
        <v>- -</v>
      </c>
      <c r="S501" s="4" t="str">
        <f t="shared" si="249"/>
        <v>- -</v>
      </c>
      <c r="T501" s="4" t="str">
        <f t="shared" si="250"/>
        <v>- -</v>
      </c>
      <c r="U501" s="4" t="str">
        <f t="shared" ca="1" si="264"/>
        <v>- -</v>
      </c>
      <c r="V501" s="4" t="str">
        <f t="shared" si="256"/>
        <v>- -</v>
      </c>
      <c r="W501" s="4" t="str">
        <f t="shared" si="262"/>
        <v>- -</v>
      </c>
      <c r="X501" s="4" t="str">
        <f t="shared" si="261"/>
        <v>- -</v>
      </c>
      <c r="Y501" s="4" t="str">
        <f t="shared" si="251"/>
        <v>- -</v>
      </c>
      <c r="Z501" s="4" t="str">
        <f t="shared" si="252"/>
        <v>- -</v>
      </c>
      <c r="AA501" s="4" t="str">
        <f t="shared" si="253"/>
        <v>- -</v>
      </c>
      <c r="AB501" s="4" t="str">
        <f t="shared" si="254"/>
        <v>- -</v>
      </c>
      <c r="AC501" s="8"/>
      <c r="AD501" s="4"/>
      <c r="AE501" s="4"/>
      <c r="AF501" s="4" t="str">
        <f t="shared" si="259"/>
        <v>- -</v>
      </c>
      <c r="AG501" s="4"/>
      <c r="AH501" s="4">
        <f>IFERROR(VLOOKUP(M501,Calculations!$AC$2:$AD$251,2,FALSE),0)</f>
        <v>0</v>
      </c>
      <c r="AI501" s="4" t="e">
        <f>VLOOKUP(N501,$N$2:$AS$620,MATCH('Character Creation'!$Z$12,Skills!$N$1:$AS$1,0),FALSE)</f>
        <v>#N/A</v>
      </c>
      <c r="AJ501" s="4" t="e">
        <f>VLOOKUP($N501,[2]Cultures!$B$4:$M$283,MATCH(AJ$1,[2]Cultures!$B$3:$M$3,0),FALSE)</f>
        <v>#N/A</v>
      </c>
      <c r="AK501" s="4" t="e">
        <f>VLOOKUP($N501,[2]Cultures!$B$4:$M$283,MATCH(AK$1,[2]Cultures!$B$3:$M$3,0),FALSE)</f>
        <v>#N/A</v>
      </c>
      <c r="AL501" s="4" t="e">
        <f>VLOOKUP($N501,[2]Cultures!$B$4:$M$283,MATCH(AL$1,[2]Cultures!$B$3:$M$3,0),FALSE)</f>
        <v>#N/A</v>
      </c>
      <c r="AM501" s="4" t="e">
        <f>VLOOKUP($N501,[2]Cultures!$B$4:$M$283,MATCH(AM$1,[2]Cultures!$B$3:$M$3,0),FALSE)</f>
        <v>#N/A</v>
      </c>
      <c r="AN501" s="4" t="e">
        <f>VLOOKUP($N501,[2]Cultures!$B$4:$M$283,MATCH(AN$1,[2]Cultures!$B$3:$M$3,0),FALSE)</f>
        <v>#N/A</v>
      </c>
      <c r="AO501" s="4" t="e">
        <f>VLOOKUP($N501,[2]Cultures!$B$4:$M$283,MATCH(AO$1,[2]Cultures!$B$3:$M$3,0),FALSE)</f>
        <v>#N/A</v>
      </c>
      <c r="AP501" s="4" t="e">
        <f>VLOOKUP($N501,[2]Cultures!$B$4:$M$283,MATCH(AP$1,[2]Cultures!$B$3:$M$3,0),FALSE)</f>
        <v>#N/A</v>
      </c>
      <c r="AQ501" s="4" t="e">
        <f>VLOOKUP($N501,[2]Cultures!$B$4:$M$283,MATCH(AQ$1,[2]Cultures!$B$3:$M$3,0),FALSE)</f>
        <v>#N/A</v>
      </c>
      <c r="AR501" s="4" t="e">
        <f>VLOOKUP($N501,[2]Cultures!$B$4:$M$283,MATCH(AR$1,[2]Cultures!$B$3:$M$3,0),FALSE)</f>
        <v>#N/A</v>
      </c>
      <c r="AS501" s="4" t="e">
        <f>VLOOKUP($N501,[2]Cultures!$B$4:$M$283,MATCH(AS$1,[2]Cultures!$B$3:$M$3,0),FALSE)</f>
        <v>#N/A</v>
      </c>
      <c r="AT501" s="4"/>
      <c r="AU501" s="4">
        <f>IF(ISNUMBER(SEARCH(N501&amp;";",Calculations!$Q$19)),VLOOKUP(Skills!N501,Calculations!$Q$2:$T$16,4,FALSE),0)</f>
        <v>0</v>
      </c>
      <c r="AV501" s="4">
        <f>IF(ISNUMBER(SEARCH(N501&amp;";",Calculations!$Q$18)),1,0)</f>
        <v>0</v>
      </c>
      <c r="AW501" s="4"/>
      <c r="AX501" s="4">
        <f>VLOOKUP($N501,$N501:$CH501,MATCH('Character Sheet'!$BJ$3,Skills!$N$1:$CH$1,0),FALSE)</f>
        <v>0</v>
      </c>
    </row>
    <row r="502" spans="2:50" x14ac:dyDescent="0.25">
      <c r="B502" s="4" t="e">
        <f t="shared" ca="1" si="260"/>
        <v>#N/A</v>
      </c>
      <c r="E502" s="4"/>
      <c r="F502" s="4">
        <f t="shared" ca="1" si="247"/>
        <v>0</v>
      </c>
      <c r="G502" s="4"/>
      <c r="H502" s="4" t="e">
        <f t="shared" si="265"/>
        <v>#N/A</v>
      </c>
      <c r="I502" s="4">
        <v>0</v>
      </c>
      <c r="J502" s="4" t="e">
        <f t="shared" si="248"/>
        <v>#N/A</v>
      </c>
      <c r="K502" s="4" t="e">
        <f t="shared" si="241"/>
        <v>#N/A</v>
      </c>
      <c r="N502" s="3" t="s">
        <v>724</v>
      </c>
      <c r="O502" s="6" t="s">
        <v>782</v>
      </c>
      <c r="P502" s="6" t="s">
        <v>782</v>
      </c>
      <c r="Q502" s="4" t="str">
        <f t="shared" si="263"/>
        <v>- -</v>
      </c>
      <c r="R502" s="4" t="str">
        <f>IF(ISNUMBER(SEARCH("Category",N502)),"- -",IF(ISNUMBER(SEARCH("Skills",N502)),"- -",'Level-up'!C520))</f>
        <v>- -</v>
      </c>
      <c r="S502" s="4" t="str">
        <f t="shared" si="249"/>
        <v>- -</v>
      </c>
      <c r="T502" s="4" t="str">
        <f t="shared" si="250"/>
        <v>- -</v>
      </c>
      <c r="U502" s="4" t="str">
        <f t="shared" ca="1" si="264"/>
        <v>- -</v>
      </c>
      <c r="V502" s="4" t="str">
        <f t="shared" si="256"/>
        <v>- -</v>
      </c>
      <c r="W502" s="4" t="str">
        <f t="shared" si="262"/>
        <v>- -</v>
      </c>
      <c r="X502" s="4" t="str">
        <f t="shared" si="261"/>
        <v>- -</v>
      </c>
      <c r="Y502" s="4" t="str">
        <f t="shared" si="251"/>
        <v>- -</v>
      </c>
      <c r="Z502" s="4" t="str">
        <f t="shared" si="252"/>
        <v>- -</v>
      </c>
      <c r="AA502" s="4" t="str">
        <f t="shared" si="253"/>
        <v>- -</v>
      </c>
      <c r="AB502" s="4" t="str">
        <f t="shared" si="254"/>
        <v>- -</v>
      </c>
      <c r="AC502" s="8"/>
      <c r="AD502" s="4"/>
      <c r="AE502" s="4"/>
      <c r="AF502" s="4" t="str">
        <f t="shared" si="259"/>
        <v>- -</v>
      </c>
      <c r="AG502" s="4"/>
      <c r="AH502" s="4">
        <f>IFERROR(VLOOKUP(M502,Calculations!$AC$2:$AD$251,2,FALSE),0)</f>
        <v>0</v>
      </c>
      <c r="AI502" s="4" t="e">
        <f>VLOOKUP(N502,$N$2:$AS$620,MATCH('Character Creation'!$Z$12,Skills!$N$1:$AS$1,0),FALSE)</f>
        <v>#N/A</v>
      </c>
      <c r="AJ502" s="4" t="e">
        <f>VLOOKUP($N502,[2]Cultures!$B$4:$M$283,MATCH(AJ$1,[2]Cultures!$B$3:$M$3,0),FALSE)</f>
        <v>#N/A</v>
      </c>
      <c r="AK502" s="4" t="e">
        <f>VLOOKUP($N502,[2]Cultures!$B$4:$M$283,MATCH(AK$1,[2]Cultures!$B$3:$M$3,0),FALSE)</f>
        <v>#N/A</v>
      </c>
      <c r="AL502" s="4" t="e">
        <f>VLOOKUP($N502,[2]Cultures!$B$4:$M$283,MATCH(AL$1,[2]Cultures!$B$3:$M$3,0),FALSE)</f>
        <v>#N/A</v>
      </c>
      <c r="AM502" s="4" t="e">
        <f>VLOOKUP($N502,[2]Cultures!$B$4:$M$283,MATCH(AM$1,[2]Cultures!$B$3:$M$3,0),FALSE)</f>
        <v>#N/A</v>
      </c>
      <c r="AN502" s="4" t="e">
        <f>VLOOKUP($N502,[2]Cultures!$B$4:$M$283,MATCH(AN$1,[2]Cultures!$B$3:$M$3,0),FALSE)</f>
        <v>#N/A</v>
      </c>
      <c r="AO502" s="4" t="e">
        <f>VLOOKUP($N502,[2]Cultures!$B$4:$M$283,MATCH(AO$1,[2]Cultures!$B$3:$M$3,0),FALSE)</f>
        <v>#N/A</v>
      </c>
      <c r="AP502" s="4" t="e">
        <f>VLOOKUP($N502,[2]Cultures!$B$4:$M$283,MATCH(AP$1,[2]Cultures!$B$3:$M$3,0),FALSE)</f>
        <v>#N/A</v>
      </c>
      <c r="AQ502" s="4" t="e">
        <f>VLOOKUP($N502,[2]Cultures!$B$4:$M$283,MATCH(AQ$1,[2]Cultures!$B$3:$M$3,0),FALSE)</f>
        <v>#N/A</v>
      </c>
      <c r="AR502" s="4" t="e">
        <f>VLOOKUP($N502,[2]Cultures!$B$4:$M$283,MATCH(AR$1,[2]Cultures!$B$3:$M$3,0),FALSE)</f>
        <v>#N/A</v>
      </c>
      <c r="AS502" s="4" t="e">
        <f>VLOOKUP($N502,[2]Cultures!$B$4:$M$283,MATCH(AS$1,[2]Cultures!$B$3:$M$3,0),FALSE)</f>
        <v>#N/A</v>
      </c>
      <c r="AT502" s="4"/>
      <c r="AU502" s="4">
        <f>IF(ISNUMBER(SEARCH(N502&amp;";",Calculations!$Q$19)),VLOOKUP(Skills!N502,Calculations!$Q$2:$T$16,4,FALSE),0)</f>
        <v>0</v>
      </c>
      <c r="AV502" s="4">
        <f>IF(ISNUMBER(SEARCH(N502&amp;";",Calculations!$Q$18)),1,0)</f>
        <v>0</v>
      </c>
      <c r="AW502" s="4"/>
      <c r="AX502" s="4">
        <f>VLOOKUP($N502,$N502:$CH502,MATCH('Character Sheet'!$BJ$3,Skills!$N$1:$CH$1,0),FALSE)</f>
        <v>0</v>
      </c>
    </row>
    <row r="503" spans="2:50" x14ac:dyDescent="0.25">
      <c r="B503" s="4" t="e">
        <f t="shared" si="260"/>
        <v>#N/A</v>
      </c>
      <c r="E503" s="4"/>
      <c r="F503" s="4">
        <f t="shared" ca="1" si="247"/>
        <v>0</v>
      </c>
      <c r="G503" s="4"/>
      <c r="H503" s="4" t="e">
        <f t="shared" si="265"/>
        <v>#N/A</v>
      </c>
      <c r="I503" s="4" t="e">
        <f>IF($J$452=1,1,IF($J$502=1,1,0))</f>
        <v>#N/A</v>
      </c>
      <c r="J503" s="4">
        <f t="shared" si="248"/>
        <v>0</v>
      </c>
      <c r="K503" s="4" t="e">
        <f t="shared" ref="K503:K566" si="266">IF(ISNUMBER(SEARCH("Category",N503)),K504,AI503)</f>
        <v>#N/A</v>
      </c>
      <c r="M503" t="str">
        <f>N503</f>
        <v>Basic Mathematics</v>
      </c>
      <c r="N503" s="3" t="str">
        <f>'Character Sheet'!CSF54</f>
        <v>Basic Mathematics</v>
      </c>
      <c r="O503" s="4" t="s">
        <v>795</v>
      </c>
      <c r="P503" s="4" t="s">
        <v>794</v>
      </c>
      <c r="Q503" s="4" t="e">
        <f t="shared" si="263"/>
        <v>#N/A</v>
      </c>
      <c r="R503" s="4">
        <f>IF(ISNUMBER(SEARCH("Category",N503)),"- -",IF(ISNUMBER(SEARCH("Skills",N503)),"- -",'Level-up'!C521))</f>
        <v>0</v>
      </c>
      <c r="S503" s="4" t="e">
        <f t="shared" si="249"/>
        <v>#N/A</v>
      </c>
      <c r="T503" s="4" t="e">
        <f t="shared" si="250"/>
        <v>#N/A</v>
      </c>
      <c r="U503" s="4">
        <f t="shared" ca="1" si="264"/>
        <v>5</v>
      </c>
      <c r="V503" s="4">
        <f>IF(ISNUMBER(SEARCH("Category",N503)),"- -",IF(ISNUMBER(SEARCH("Skills",N503)),"- -",IF(AU503&gt;0,AU503,IF($AU$501&gt;0,$AU$501,$AU$451))))</f>
        <v>0</v>
      </c>
      <c r="W503" s="4">
        <f t="shared" si="262"/>
        <v>0</v>
      </c>
      <c r="X503" s="4">
        <f t="shared" si="261"/>
        <v>0</v>
      </c>
      <c r="Y503" s="4">
        <f t="shared" si="251"/>
        <v>0</v>
      </c>
      <c r="Z503" s="4">
        <f t="shared" si="252"/>
        <v>0</v>
      </c>
      <c r="AA503" s="4">
        <f t="shared" si="253"/>
        <v>0</v>
      </c>
      <c r="AB503" s="4">
        <f t="shared" si="254"/>
        <v>0</v>
      </c>
      <c r="AC503" s="8"/>
      <c r="AD503" s="4"/>
      <c r="AE503" s="4"/>
      <c r="AF503" s="4" t="e">
        <f t="shared" si="259"/>
        <v>#N/A</v>
      </c>
      <c r="AG503" s="4"/>
      <c r="AH503" s="4">
        <f>IFERROR(VLOOKUP(M503,Calculations!$AC$2:$AD$251,2,FALSE),0)</f>
        <v>0</v>
      </c>
      <c r="AI503" s="4" t="e">
        <f>VLOOKUP(N503,$N$2:$AS$620,MATCH('Character Creation'!$Z$12,Skills!$N$1:$AS$1,0),FALSE)</f>
        <v>#N/A</v>
      </c>
      <c r="AJ503" s="4" t="e">
        <f>VLOOKUP($N503,[2]Cultures!$B$4:$M$283,MATCH(AJ$1,[2]Cultures!$B$3:$M$3,0),FALSE)</f>
        <v>#N/A</v>
      </c>
      <c r="AK503" s="4" t="e">
        <f>VLOOKUP($N503,[2]Cultures!$B$4:$M$283,MATCH(AK$1,[2]Cultures!$B$3:$M$3,0),FALSE)</f>
        <v>#N/A</v>
      </c>
      <c r="AL503" s="4" t="e">
        <f>VLOOKUP($N503,[2]Cultures!$B$4:$M$283,MATCH(AL$1,[2]Cultures!$B$3:$M$3,0),FALSE)</f>
        <v>#N/A</v>
      </c>
      <c r="AM503" s="4" t="e">
        <f>VLOOKUP($N503,[2]Cultures!$B$4:$M$283,MATCH(AM$1,[2]Cultures!$B$3:$M$3,0),FALSE)</f>
        <v>#N/A</v>
      </c>
      <c r="AN503" s="4" t="e">
        <f>VLOOKUP($N503,[2]Cultures!$B$4:$M$283,MATCH(AN$1,[2]Cultures!$B$3:$M$3,0),FALSE)</f>
        <v>#N/A</v>
      </c>
      <c r="AO503" s="4" t="e">
        <f>VLOOKUP($N503,[2]Cultures!$B$4:$M$283,MATCH(AO$1,[2]Cultures!$B$3:$M$3,0),FALSE)</f>
        <v>#N/A</v>
      </c>
      <c r="AP503" s="4" t="e">
        <f>VLOOKUP($N503,[2]Cultures!$B$4:$M$283,MATCH(AP$1,[2]Cultures!$B$3:$M$3,0),FALSE)</f>
        <v>#N/A</v>
      </c>
      <c r="AQ503" s="4" t="e">
        <f>VLOOKUP($N503,[2]Cultures!$B$4:$M$283,MATCH(AQ$1,[2]Cultures!$B$3:$M$3,0),FALSE)</f>
        <v>#N/A</v>
      </c>
      <c r="AR503" s="4" t="e">
        <f>VLOOKUP($N503,[2]Cultures!$B$4:$M$283,MATCH(AR$1,[2]Cultures!$B$3:$M$3,0),FALSE)</f>
        <v>#N/A</v>
      </c>
      <c r="AS503" s="4" t="e">
        <f>VLOOKUP($N503,[2]Cultures!$B$4:$M$283,MATCH(AS$1,[2]Cultures!$B$3:$M$3,0),FALSE)</f>
        <v>#N/A</v>
      </c>
      <c r="AT503" s="4"/>
      <c r="AU503" s="4">
        <f>IF(ISNUMBER(SEARCH(N503&amp;";",Calculations!$Q$19)),VLOOKUP(Skills!N503,Calculations!$Q$2:$T$16,4,FALSE),0)</f>
        <v>0</v>
      </c>
      <c r="AV503" s="4">
        <f>IF(ISNUMBER(SEARCH(N503&amp;";",Calculations!$Q$18)),1,0)</f>
        <v>0</v>
      </c>
      <c r="AW503" s="4">
        <f>IF($AV$451=1,1,IF($AV$501=1,1,AV503))</f>
        <v>0</v>
      </c>
      <c r="AX503" s="4">
        <f>VLOOKUP($N503,$N503:$CH503,MATCH('Character Sheet'!$BJ$3,Skills!$N$1:$CH$1,0),FALSE)</f>
        <v>0</v>
      </c>
    </row>
    <row r="504" spans="2:50" x14ac:dyDescent="0.25">
      <c r="B504" s="4" t="e">
        <f t="shared" si="260"/>
        <v>#N/A</v>
      </c>
      <c r="E504" s="4"/>
      <c r="F504" s="4">
        <f t="shared" ca="1" si="247"/>
        <v>0</v>
      </c>
      <c r="G504" s="4"/>
      <c r="H504" s="4" t="e">
        <f t="shared" si="265"/>
        <v>#N/A</v>
      </c>
      <c r="I504" s="4" t="e">
        <f>IF($J$452=1,1,IF($J$502=1,1,0))</f>
        <v>#N/A</v>
      </c>
      <c r="J504" s="4">
        <f t="shared" si="248"/>
        <v>0</v>
      </c>
      <c r="K504" s="4" t="e">
        <f t="shared" si="266"/>
        <v>#N/A</v>
      </c>
      <c r="M504" t="str">
        <f>N504</f>
        <v>Advanced Mathematics</v>
      </c>
      <c r="N504" s="3" t="str">
        <f>'Character Sheet'!CSF55</f>
        <v>Advanced Mathematics</v>
      </c>
      <c r="O504" s="4" t="s">
        <v>795</v>
      </c>
      <c r="P504" s="4" t="s">
        <v>794</v>
      </c>
      <c r="Q504" s="4" t="e">
        <f t="shared" si="263"/>
        <v>#N/A</v>
      </c>
      <c r="R504" s="4">
        <f>IF(ISNUMBER(SEARCH("Category",N504)),"- -",IF(ISNUMBER(SEARCH("Skills",N504)),"- -",'Level-up'!C522))</f>
        <v>0</v>
      </c>
      <c r="S504" s="4" t="e">
        <f t="shared" si="249"/>
        <v>#N/A</v>
      </c>
      <c r="T504" s="4" t="e">
        <f t="shared" si="250"/>
        <v>#N/A</v>
      </c>
      <c r="U504" s="4">
        <f t="shared" ca="1" si="264"/>
        <v>5</v>
      </c>
      <c r="V504" s="4">
        <f>IF(ISNUMBER(SEARCH("Category",N504)),"- -",IF(ISNUMBER(SEARCH("Skills",N504)),"- -",IF(AU504&gt;0,AU504,IF($AU$501&gt;0,$AU$501,$AU$451))))</f>
        <v>0</v>
      </c>
      <c r="W504" s="4">
        <f t="shared" si="262"/>
        <v>0</v>
      </c>
      <c r="X504" s="4">
        <f t="shared" si="261"/>
        <v>0</v>
      </c>
      <c r="Y504" s="4">
        <f t="shared" si="251"/>
        <v>0</v>
      </c>
      <c r="Z504" s="4">
        <f t="shared" si="252"/>
        <v>0</v>
      </c>
      <c r="AA504" s="4">
        <f t="shared" si="253"/>
        <v>0</v>
      </c>
      <c r="AB504" s="4">
        <f t="shared" si="254"/>
        <v>0</v>
      </c>
      <c r="AC504" s="8"/>
      <c r="AD504" s="4"/>
      <c r="AE504" s="4"/>
      <c r="AF504" s="4" t="e">
        <f t="shared" si="259"/>
        <v>#N/A</v>
      </c>
      <c r="AG504" s="4"/>
      <c r="AH504" s="4">
        <f>IFERROR(VLOOKUP(M504,Calculations!$AC$2:$AD$251,2,FALSE),0)</f>
        <v>0</v>
      </c>
      <c r="AI504" s="4" t="e">
        <f>VLOOKUP(N504,$N$2:$AS$620,MATCH('Character Creation'!$Z$12,Skills!$N$1:$AS$1,0),FALSE)</f>
        <v>#N/A</v>
      </c>
      <c r="AJ504" s="4" t="e">
        <f>VLOOKUP($N504,[2]Cultures!$B$4:$M$283,MATCH(AJ$1,[2]Cultures!$B$3:$M$3,0),FALSE)</f>
        <v>#N/A</v>
      </c>
      <c r="AK504" s="4" t="e">
        <f>VLOOKUP($N504,[2]Cultures!$B$4:$M$283,MATCH(AK$1,[2]Cultures!$B$3:$M$3,0),FALSE)</f>
        <v>#N/A</v>
      </c>
      <c r="AL504" s="4" t="e">
        <f>VLOOKUP($N504,[2]Cultures!$B$4:$M$283,MATCH(AL$1,[2]Cultures!$B$3:$M$3,0),FALSE)</f>
        <v>#N/A</v>
      </c>
      <c r="AM504" s="4" t="e">
        <f>VLOOKUP($N504,[2]Cultures!$B$4:$M$283,MATCH(AM$1,[2]Cultures!$B$3:$M$3,0),FALSE)</f>
        <v>#N/A</v>
      </c>
      <c r="AN504" s="4" t="e">
        <f>VLOOKUP($N504,[2]Cultures!$B$4:$M$283,MATCH(AN$1,[2]Cultures!$B$3:$M$3,0),FALSE)</f>
        <v>#N/A</v>
      </c>
      <c r="AO504" s="4" t="e">
        <f>VLOOKUP($N504,[2]Cultures!$B$4:$M$283,MATCH(AO$1,[2]Cultures!$B$3:$M$3,0),FALSE)</f>
        <v>#N/A</v>
      </c>
      <c r="AP504" s="4" t="e">
        <f>VLOOKUP($N504,[2]Cultures!$B$4:$M$283,MATCH(AP$1,[2]Cultures!$B$3:$M$3,0),FALSE)</f>
        <v>#N/A</v>
      </c>
      <c r="AQ504" s="4" t="e">
        <f>VLOOKUP($N504,[2]Cultures!$B$4:$M$283,MATCH(AQ$1,[2]Cultures!$B$3:$M$3,0),FALSE)</f>
        <v>#N/A</v>
      </c>
      <c r="AR504" s="4" t="e">
        <f>VLOOKUP($N504,[2]Cultures!$B$4:$M$283,MATCH(AR$1,[2]Cultures!$B$3:$M$3,0),FALSE)</f>
        <v>#N/A</v>
      </c>
      <c r="AS504" s="4" t="e">
        <f>VLOOKUP($N504,[2]Cultures!$B$4:$M$283,MATCH(AS$1,[2]Cultures!$B$3:$M$3,0),FALSE)</f>
        <v>#N/A</v>
      </c>
      <c r="AT504" s="4"/>
      <c r="AU504" s="4">
        <f>IF(ISNUMBER(SEARCH(N504&amp;";",Calculations!$Q$19)),VLOOKUP(Skills!N504,Calculations!$Q$2:$T$16,4,FALSE),0)</f>
        <v>0</v>
      </c>
      <c r="AV504" s="4">
        <f>IF(ISNUMBER(SEARCH(N504&amp;";",Calculations!$Q$18)),1,0)</f>
        <v>0</v>
      </c>
      <c r="AW504" s="4">
        <f>IF($AV$451=1,1,IF($AV$501=1,1,AV504))</f>
        <v>0</v>
      </c>
      <c r="AX504" s="4">
        <f>VLOOKUP($N504,$N504:$CH504,MATCH('Character Sheet'!$BJ$3,Skills!$N$1:$CH$1,0),FALSE)</f>
        <v>0</v>
      </c>
    </row>
    <row r="505" spans="2:50" x14ac:dyDescent="0.25">
      <c r="B505" s="4" t="e">
        <f t="shared" si="260"/>
        <v>#N/A</v>
      </c>
      <c r="E505" s="4"/>
      <c r="F505" s="4">
        <f t="shared" ca="1" si="247"/>
        <v>0</v>
      </c>
      <c r="G505" s="4"/>
      <c r="H505" s="4" t="e">
        <f t="shared" si="265"/>
        <v>#N/A</v>
      </c>
      <c r="I505" s="4" t="e">
        <f>IF($J$452=1,1,IF($J$506=1,1,0))</f>
        <v>#N/A</v>
      </c>
      <c r="J505" s="4">
        <f t="shared" si="248"/>
        <v>0</v>
      </c>
      <c r="K505" s="4" t="e">
        <f t="shared" si="266"/>
        <v>#N/A</v>
      </c>
      <c r="N505" s="3" t="s">
        <v>725</v>
      </c>
      <c r="O505" s="6" t="s">
        <v>782</v>
      </c>
      <c r="P505" s="6" t="s">
        <v>782</v>
      </c>
      <c r="Q505" s="4" t="str">
        <f t="shared" si="263"/>
        <v>- -</v>
      </c>
      <c r="R505" s="4" t="str">
        <f>IF(ISNUMBER(SEARCH("Category",N505)),"- -",IF(ISNUMBER(SEARCH("Skills",N505)),"- -",'Level-up'!C523))</f>
        <v>- -</v>
      </c>
      <c r="S505" s="4" t="str">
        <f t="shared" si="249"/>
        <v>- -</v>
      </c>
      <c r="T505" s="4" t="str">
        <f t="shared" si="250"/>
        <v>- -</v>
      </c>
      <c r="U505" s="4" t="str">
        <f t="shared" ca="1" si="264"/>
        <v>- -</v>
      </c>
      <c r="V505" s="4" t="str">
        <f>IF(ISNUMBER(SEARCH("Category",N505)),"- -",IF(ISNUMBER(SEARCH("Skills",N505)),"- -",IF(AU505&gt;0,AU505,IF($AU$501&gt;0,$AU$501,$AU$451))))</f>
        <v>- -</v>
      </c>
      <c r="W505" s="4" t="str">
        <f t="shared" si="262"/>
        <v>- -</v>
      </c>
      <c r="X505" s="4" t="str">
        <f t="shared" si="261"/>
        <v>- -</v>
      </c>
      <c r="Y505" s="4" t="str">
        <f t="shared" si="251"/>
        <v>- -</v>
      </c>
      <c r="Z505" s="4" t="str">
        <f t="shared" si="252"/>
        <v>- -</v>
      </c>
      <c r="AA505" s="4" t="str">
        <f t="shared" si="253"/>
        <v>- -</v>
      </c>
      <c r="AB505" s="4" t="str">
        <f t="shared" si="254"/>
        <v>- -</v>
      </c>
      <c r="AC505" s="8"/>
      <c r="AD505" s="4"/>
      <c r="AE505" s="4"/>
      <c r="AF505" s="4" t="str">
        <f t="shared" si="259"/>
        <v>- -</v>
      </c>
      <c r="AG505" s="4"/>
      <c r="AH505" s="4">
        <f>IFERROR(VLOOKUP(M505,Calculations!$AC$2:$AD$251,2,FALSE),0)</f>
        <v>0</v>
      </c>
      <c r="AI505" s="4" t="e">
        <f>VLOOKUP(N505,$N$2:$AS$620,MATCH('Character Creation'!$Z$12,Skills!$N$1:$AS$1,0),FALSE)</f>
        <v>#N/A</v>
      </c>
      <c r="AJ505" s="4" t="e">
        <f>VLOOKUP($N505,[2]Cultures!$B$4:$M$283,MATCH(AJ$1,[2]Cultures!$B$3:$M$3,0),FALSE)</f>
        <v>#N/A</v>
      </c>
      <c r="AK505" s="4" t="e">
        <f>VLOOKUP($N505,[2]Cultures!$B$4:$M$283,MATCH(AK$1,[2]Cultures!$B$3:$M$3,0),FALSE)</f>
        <v>#N/A</v>
      </c>
      <c r="AL505" s="4" t="e">
        <f>VLOOKUP($N505,[2]Cultures!$B$4:$M$283,MATCH(AL$1,[2]Cultures!$B$3:$M$3,0),FALSE)</f>
        <v>#N/A</v>
      </c>
      <c r="AM505" s="4" t="e">
        <f>VLOOKUP($N505,[2]Cultures!$B$4:$M$283,MATCH(AM$1,[2]Cultures!$B$3:$M$3,0),FALSE)</f>
        <v>#N/A</v>
      </c>
      <c r="AN505" s="4" t="e">
        <f>VLOOKUP($N505,[2]Cultures!$B$4:$M$283,MATCH(AN$1,[2]Cultures!$B$3:$M$3,0),FALSE)</f>
        <v>#N/A</v>
      </c>
      <c r="AO505" s="4" t="e">
        <f>VLOOKUP($N505,[2]Cultures!$B$4:$M$283,MATCH(AO$1,[2]Cultures!$B$3:$M$3,0),FALSE)</f>
        <v>#N/A</v>
      </c>
      <c r="AP505" s="4" t="e">
        <f>VLOOKUP($N505,[2]Cultures!$B$4:$M$283,MATCH(AP$1,[2]Cultures!$B$3:$M$3,0),FALSE)</f>
        <v>#N/A</v>
      </c>
      <c r="AQ505" s="4" t="e">
        <f>VLOOKUP($N505,[2]Cultures!$B$4:$M$283,MATCH(AQ$1,[2]Cultures!$B$3:$M$3,0),FALSE)</f>
        <v>#N/A</v>
      </c>
      <c r="AR505" s="4" t="e">
        <f>VLOOKUP($N505,[2]Cultures!$B$4:$M$283,MATCH(AR$1,[2]Cultures!$B$3:$M$3,0),FALSE)</f>
        <v>#N/A</v>
      </c>
      <c r="AS505" s="4" t="e">
        <f>VLOOKUP($N505,[2]Cultures!$B$4:$M$283,MATCH(AS$1,[2]Cultures!$B$3:$M$3,0),FALSE)</f>
        <v>#N/A</v>
      </c>
      <c r="AT505" s="4"/>
      <c r="AU505" s="4">
        <f>IF(ISNUMBER(SEARCH(N505&amp;";",Calculations!$Q$19)),VLOOKUP(Skills!N505,Calculations!$Q$2:$T$16,4,FALSE),0)</f>
        <v>0</v>
      </c>
      <c r="AV505" s="4">
        <f>IF(ISNUMBER(SEARCH(N505&amp;";",Calculations!$Q$18)),1,0)</f>
        <v>0</v>
      </c>
      <c r="AW505" s="4"/>
      <c r="AX505" s="4">
        <f>VLOOKUP($N505,$N505:$CH505,MATCH('Character Sheet'!$BJ$3,Skills!$N$1:$CH$1,0),FALSE)</f>
        <v>0</v>
      </c>
    </row>
    <row r="506" spans="2:50" x14ac:dyDescent="0.25">
      <c r="B506" s="4" t="e">
        <f t="shared" si="260"/>
        <v>#N/A</v>
      </c>
      <c r="E506" s="4"/>
      <c r="F506" s="4">
        <f t="shared" ca="1" si="247"/>
        <v>0</v>
      </c>
      <c r="G506" s="4"/>
      <c r="H506" s="4" t="e">
        <f t="shared" si="265"/>
        <v>#N/A</v>
      </c>
      <c r="I506" s="4">
        <v>0</v>
      </c>
      <c r="J506" s="4" t="e">
        <f t="shared" si="248"/>
        <v>#N/A</v>
      </c>
      <c r="K506" s="4" t="e">
        <f t="shared" si="266"/>
        <v>#N/A</v>
      </c>
      <c r="N506" s="3" t="s">
        <v>726</v>
      </c>
      <c r="O506" s="6" t="s">
        <v>782</v>
      </c>
      <c r="P506" s="6" t="s">
        <v>782</v>
      </c>
      <c r="Q506" s="4" t="str">
        <f t="shared" si="263"/>
        <v>- -</v>
      </c>
      <c r="R506" s="4" t="str">
        <f>IF(ISNUMBER(SEARCH("Category",N506)),"- -",IF(ISNUMBER(SEARCH("Skills",N506)),"- -",'Level-up'!C524))</f>
        <v>- -</v>
      </c>
      <c r="S506" s="4" t="str">
        <f t="shared" si="249"/>
        <v>- -</v>
      </c>
      <c r="T506" s="4" t="str">
        <f t="shared" si="250"/>
        <v>- -</v>
      </c>
      <c r="U506" s="4" t="str">
        <f t="shared" ca="1" si="264"/>
        <v>- -</v>
      </c>
      <c r="V506" s="4" t="str">
        <f>IF(ISNUMBER(SEARCH("Category",N506)),"- -",IF(ISNUMBER(SEARCH("Skills",N506)),"- -",IF(AU506&gt;0,AU506,IF($AU$501&gt;0,$AU$501,$AU$451))))</f>
        <v>- -</v>
      </c>
      <c r="W506" s="4" t="str">
        <f t="shared" si="262"/>
        <v>- -</v>
      </c>
      <c r="X506" s="4" t="str">
        <f t="shared" si="261"/>
        <v>- -</v>
      </c>
      <c r="Y506" s="4" t="str">
        <f t="shared" si="251"/>
        <v>- -</v>
      </c>
      <c r="Z506" s="4" t="str">
        <f t="shared" si="252"/>
        <v>- -</v>
      </c>
      <c r="AA506" s="4" t="str">
        <f t="shared" si="253"/>
        <v>- -</v>
      </c>
      <c r="AB506" s="4" t="str">
        <f t="shared" si="254"/>
        <v>- -</v>
      </c>
      <c r="AC506" s="8"/>
      <c r="AD506" s="4"/>
      <c r="AE506" s="4"/>
      <c r="AF506" s="4" t="str">
        <f t="shared" si="259"/>
        <v>- -</v>
      </c>
      <c r="AG506" s="4"/>
      <c r="AH506" s="4">
        <f>IFERROR(VLOOKUP(M506,Calculations!$AC$2:$AD$251,2,FALSE),0)</f>
        <v>0</v>
      </c>
      <c r="AI506" s="4" t="e">
        <f>VLOOKUP(N506,$N$2:$AS$620,MATCH('Character Creation'!$Z$12,Skills!$N$1:$AS$1,0),FALSE)</f>
        <v>#N/A</v>
      </c>
      <c r="AJ506" s="4" t="e">
        <f>VLOOKUP($N506,[2]Cultures!$B$4:$M$283,MATCH(AJ$1,[2]Cultures!$B$3:$M$3,0),FALSE)</f>
        <v>#N/A</v>
      </c>
      <c r="AK506" s="4" t="e">
        <f>VLOOKUP($N506,[2]Cultures!$B$4:$M$283,MATCH(AK$1,[2]Cultures!$B$3:$M$3,0),FALSE)</f>
        <v>#N/A</v>
      </c>
      <c r="AL506" s="4" t="e">
        <f>VLOOKUP($N506,[2]Cultures!$B$4:$M$283,MATCH(AL$1,[2]Cultures!$B$3:$M$3,0),FALSE)</f>
        <v>#N/A</v>
      </c>
      <c r="AM506" s="4" t="e">
        <f>VLOOKUP($N506,[2]Cultures!$B$4:$M$283,MATCH(AM$1,[2]Cultures!$B$3:$M$3,0),FALSE)</f>
        <v>#N/A</v>
      </c>
      <c r="AN506" s="4" t="e">
        <f>VLOOKUP($N506,[2]Cultures!$B$4:$M$283,MATCH(AN$1,[2]Cultures!$B$3:$M$3,0),FALSE)</f>
        <v>#N/A</v>
      </c>
      <c r="AO506" s="4" t="e">
        <f>VLOOKUP($N506,[2]Cultures!$B$4:$M$283,MATCH(AO$1,[2]Cultures!$B$3:$M$3,0),FALSE)</f>
        <v>#N/A</v>
      </c>
      <c r="AP506" s="4" t="e">
        <f>VLOOKUP($N506,[2]Cultures!$B$4:$M$283,MATCH(AP$1,[2]Cultures!$B$3:$M$3,0),FALSE)</f>
        <v>#N/A</v>
      </c>
      <c r="AQ506" s="4" t="e">
        <f>VLOOKUP($N506,[2]Cultures!$B$4:$M$283,MATCH(AQ$1,[2]Cultures!$B$3:$M$3,0),FALSE)</f>
        <v>#N/A</v>
      </c>
      <c r="AR506" s="4" t="e">
        <f>VLOOKUP($N506,[2]Cultures!$B$4:$M$283,MATCH(AR$1,[2]Cultures!$B$3:$M$3,0),FALSE)</f>
        <v>#N/A</v>
      </c>
      <c r="AS506" s="4" t="e">
        <f>VLOOKUP($N506,[2]Cultures!$B$4:$M$283,MATCH(AS$1,[2]Cultures!$B$3:$M$3,0),FALSE)</f>
        <v>#N/A</v>
      </c>
      <c r="AT506" s="4"/>
      <c r="AU506" s="4">
        <f>IF(ISNUMBER(SEARCH(N506&amp;";",Calculations!$Q$19)),VLOOKUP(Skills!N506,Calculations!$Q$2:$T$16,4,FALSE),0)</f>
        <v>0</v>
      </c>
      <c r="AV506" s="4">
        <f>IF(ISNUMBER(SEARCH(N506&amp;";",Calculations!$Q$18)),1,0)</f>
        <v>0</v>
      </c>
      <c r="AW506" s="4"/>
      <c r="AX506" s="4">
        <f>VLOOKUP($N506,$N506:$CH506,MATCH('Character Sheet'!$BJ$3,Skills!$N$1:$CH$1,0),FALSE)</f>
        <v>0</v>
      </c>
    </row>
    <row r="507" spans="2:50" x14ac:dyDescent="0.25">
      <c r="B507" s="4" t="e">
        <f t="shared" si="260"/>
        <v>#N/A</v>
      </c>
      <c r="E507" s="4"/>
      <c r="F507" s="4">
        <f t="shared" ca="1" si="247"/>
        <v>0</v>
      </c>
      <c r="G507" s="4"/>
      <c r="H507" s="4" t="e">
        <f t="shared" si="265"/>
        <v>#N/A</v>
      </c>
      <c r="I507" s="4" t="e">
        <f>IF($J$452=1,1,IF($J$506=1,1,0))</f>
        <v>#N/A</v>
      </c>
      <c r="J507" s="4">
        <f t="shared" si="248"/>
        <v>0</v>
      </c>
      <c r="K507" s="4" t="e">
        <f t="shared" si="266"/>
        <v>#N/A</v>
      </c>
      <c r="M507" t="str">
        <f>"Military Organization, "&amp;N507</f>
        <v>Military Organization, Aerial Forces</v>
      </c>
      <c r="N507" s="3" t="str">
        <f>'Character Sheet'!CSF59</f>
        <v>Aerial Forces</v>
      </c>
      <c r="O507" s="4" t="s">
        <v>795</v>
      </c>
      <c r="P507" s="4" t="s">
        <v>794</v>
      </c>
      <c r="Q507" s="4" t="e">
        <f t="shared" si="263"/>
        <v>#N/A</v>
      </c>
      <c r="R507" s="4">
        <f>IF(ISNUMBER(SEARCH("Category",N507)),"- -",IF(ISNUMBER(SEARCH("Skills",N507)),"- -",'Level-up'!C525))</f>
        <v>0</v>
      </c>
      <c r="S507" s="4" t="e">
        <f t="shared" si="249"/>
        <v>#N/A</v>
      </c>
      <c r="T507" s="4" t="e">
        <f t="shared" si="250"/>
        <v>#N/A</v>
      </c>
      <c r="U507" s="4">
        <f t="shared" ca="1" si="264"/>
        <v>5</v>
      </c>
      <c r="V507" s="4">
        <f t="shared" ref="V507:V513" si="267">IF(ISNUMBER(SEARCH("Category",N507)),"- -",IF(ISNUMBER(SEARCH("Skills",N507)),"- -",IF(AU507&gt;0,AU507,IF($AU$505&gt;0,$AU$505,$AU$451))))</f>
        <v>0</v>
      </c>
      <c r="W507" s="4">
        <f t="shared" si="262"/>
        <v>0</v>
      </c>
      <c r="X507" s="4">
        <f t="shared" si="261"/>
        <v>0</v>
      </c>
      <c r="Y507" s="4">
        <f t="shared" si="251"/>
        <v>0</v>
      </c>
      <c r="Z507" s="4">
        <f t="shared" si="252"/>
        <v>0</v>
      </c>
      <c r="AA507" s="4">
        <f t="shared" si="253"/>
        <v>0</v>
      </c>
      <c r="AB507" s="4">
        <f t="shared" si="254"/>
        <v>0</v>
      </c>
      <c r="AC507" s="8"/>
      <c r="AD507" s="4"/>
      <c r="AE507" s="4"/>
      <c r="AF507" s="4" t="e">
        <f t="shared" si="259"/>
        <v>#N/A</v>
      </c>
      <c r="AG507" s="4"/>
      <c r="AH507" s="4">
        <f>IFERROR(VLOOKUP(M507,Calculations!$AC$2:$AD$251,2,FALSE),0)</f>
        <v>0</v>
      </c>
      <c r="AI507" s="4" t="e">
        <f>VLOOKUP(N507,$N$2:$AS$620,MATCH('Character Creation'!$Z$12,Skills!$N$1:$AS$1,0),FALSE)</f>
        <v>#N/A</v>
      </c>
      <c r="AJ507" s="4" t="e">
        <f>VLOOKUP($N507,[2]Cultures!$B$4:$M$283,MATCH(AJ$1,[2]Cultures!$B$3:$M$3,0),FALSE)</f>
        <v>#N/A</v>
      </c>
      <c r="AK507" s="4" t="e">
        <f>VLOOKUP($N507,[2]Cultures!$B$4:$M$283,MATCH(AK$1,[2]Cultures!$B$3:$M$3,0),FALSE)</f>
        <v>#N/A</v>
      </c>
      <c r="AL507" s="4" t="e">
        <f>VLOOKUP($N507,[2]Cultures!$B$4:$M$283,MATCH(AL$1,[2]Cultures!$B$3:$M$3,0),FALSE)</f>
        <v>#N/A</v>
      </c>
      <c r="AM507" s="4" t="e">
        <f>VLOOKUP($N507,[2]Cultures!$B$4:$M$283,MATCH(AM$1,[2]Cultures!$B$3:$M$3,0),FALSE)</f>
        <v>#N/A</v>
      </c>
      <c r="AN507" s="4" t="e">
        <f>VLOOKUP($N507,[2]Cultures!$B$4:$M$283,MATCH(AN$1,[2]Cultures!$B$3:$M$3,0),FALSE)</f>
        <v>#N/A</v>
      </c>
      <c r="AO507" s="4" t="e">
        <f>VLOOKUP($N507,[2]Cultures!$B$4:$M$283,MATCH(AO$1,[2]Cultures!$B$3:$M$3,0),FALSE)</f>
        <v>#N/A</v>
      </c>
      <c r="AP507" s="4" t="e">
        <f>VLOOKUP($N507,[2]Cultures!$B$4:$M$283,MATCH(AP$1,[2]Cultures!$B$3:$M$3,0),FALSE)</f>
        <v>#N/A</v>
      </c>
      <c r="AQ507" s="4" t="e">
        <f>VLOOKUP($N507,[2]Cultures!$B$4:$M$283,MATCH(AQ$1,[2]Cultures!$B$3:$M$3,0),FALSE)</f>
        <v>#N/A</v>
      </c>
      <c r="AR507" s="4" t="e">
        <f>VLOOKUP($N507,[2]Cultures!$B$4:$M$283,MATCH(AR$1,[2]Cultures!$B$3:$M$3,0),FALSE)</f>
        <v>#N/A</v>
      </c>
      <c r="AS507" s="4" t="e">
        <f>VLOOKUP($N507,[2]Cultures!$B$4:$M$283,MATCH(AS$1,[2]Cultures!$B$3:$M$3,0),FALSE)</f>
        <v>#N/A</v>
      </c>
      <c r="AT507" s="4"/>
      <c r="AU507" s="4">
        <f>IF(ISNUMBER(SEARCH(N507&amp;";",Calculations!$Q$19)),VLOOKUP(Skills!N507,Calculations!$Q$2:$T$16,4,FALSE),0)</f>
        <v>0</v>
      </c>
      <c r="AV507" s="4">
        <f>IF(ISNUMBER(SEARCH(N507&amp;";",Calculations!$Q$18)),1,0)</f>
        <v>0</v>
      </c>
      <c r="AW507" s="4">
        <f>IF($AV$451=1,1,IF($AV$505=1,1,AV507))</f>
        <v>0</v>
      </c>
      <c r="AX507" s="4">
        <f>VLOOKUP($N507,$N507:$CH507,MATCH('Character Sheet'!$BJ$3,Skills!$N$1:$CH$1,0),FALSE)</f>
        <v>0</v>
      </c>
    </row>
    <row r="508" spans="2:50" x14ac:dyDescent="0.25">
      <c r="B508" s="4" t="e">
        <f t="shared" si="260"/>
        <v>#N/A</v>
      </c>
      <c r="E508" s="4"/>
      <c r="F508" s="4">
        <f t="shared" ca="1" si="247"/>
        <v>0</v>
      </c>
      <c r="G508" s="4"/>
      <c r="H508" s="4" t="e">
        <f t="shared" si="265"/>
        <v>#N/A</v>
      </c>
      <c r="I508" s="4" t="e">
        <f>IF($J$452=1,1,IF($J$506=1,1,0))</f>
        <v>#N/A</v>
      </c>
      <c r="J508" s="4">
        <f t="shared" si="248"/>
        <v>0</v>
      </c>
      <c r="K508" s="4" t="e">
        <f t="shared" si="266"/>
        <v>#N/A</v>
      </c>
      <c r="M508" t="str">
        <f>"Military Organization, "&amp;N508</f>
        <v>Military Organization, Ground Forces</v>
      </c>
      <c r="N508" s="3" t="str">
        <f>'Character Sheet'!CSF60</f>
        <v>Ground Forces</v>
      </c>
      <c r="O508" s="4" t="s">
        <v>795</v>
      </c>
      <c r="P508" s="4" t="s">
        <v>794</v>
      </c>
      <c r="Q508" s="4" t="e">
        <f t="shared" si="263"/>
        <v>#N/A</v>
      </c>
      <c r="R508" s="4">
        <f>IF(ISNUMBER(SEARCH("Category",N508)),"- -",IF(ISNUMBER(SEARCH("Skills",N508)),"- -",'Level-up'!C526))</f>
        <v>0</v>
      </c>
      <c r="S508" s="4" t="e">
        <f t="shared" si="249"/>
        <v>#N/A</v>
      </c>
      <c r="T508" s="4" t="e">
        <f t="shared" si="250"/>
        <v>#N/A</v>
      </c>
      <c r="U508" s="4">
        <f t="shared" ca="1" si="264"/>
        <v>5</v>
      </c>
      <c r="V508" s="4">
        <f t="shared" si="267"/>
        <v>0</v>
      </c>
      <c r="W508" s="4">
        <f t="shared" si="262"/>
        <v>0</v>
      </c>
      <c r="X508" s="4">
        <f t="shared" si="261"/>
        <v>0</v>
      </c>
      <c r="Y508" s="4">
        <f t="shared" si="251"/>
        <v>0</v>
      </c>
      <c r="Z508" s="4">
        <f t="shared" si="252"/>
        <v>0</v>
      </c>
      <c r="AA508" s="4">
        <f t="shared" si="253"/>
        <v>0</v>
      </c>
      <c r="AB508" s="4">
        <f t="shared" si="254"/>
        <v>0</v>
      </c>
      <c r="AC508" s="8"/>
      <c r="AD508" s="4"/>
      <c r="AE508" s="4"/>
      <c r="AF508" s="4" t="e">
        <f t="shared" si="259"/>
        <v>#N/A</v>
      </c>
      <c r="AG508" s="4"/>
      <c r="AH508" s="4">
        <f>IFERROR(VLOOKUP(M508,Calculations!$AC$2:$AD$251,2,FALSE),0)</f>
        <v>0</v>
      </c>
      <c r="AI508" s="4" t="e">
        <f>VLOOKUP(N508,$N$2:$AS$620,MATCH('Character Creation'!$Z$12,Skills!$N$1:$AS$1,0),FALSE)</f>
        <v>#N/A</v>
      </c>
      <c r="AJ508" s="4" t="e">
        <f>VLOOKUP($N508,[2]Cultures!$B$4:$M$283,MATCH(AJ$1,[2]Cultures!$B$3:$M$3,0),FALSE)</f>
        <v>#N/A</v>
      </c>
      <c r="AK508" s="4" t="e">
        <f>VLOOKUP($N508,[2]Cultures!$B$4:$M$283,MATCH(AK$1,[2]Cultures!$B$3:$M$3,0),FALSE)</f>
        <v>#N/A</v>
      </c>
      <c r="AL508" s="4" t="e">
        <f>VLOOKUP($N508,[2]Cultures!$B$4:$M$283,MATCH(AL$1,[2]Cultures!$B$3:$M$3,0),FALSE)</f>
        <v>#N/A</v>
      </c>
      <c r="AM508" s="4" t="e">
        <f>VLOOKUP($N508,[2]Cultures!$B$4:$M$283,MATCH(AM$1,[2]Cultures!$B$3:$M$3,0),FALSE)</f>
        <v>#N/A</v>
      </c>
      <c r="AN508" s="4" t="e">
        <f>VLOOKUP($N508,[2]Cultures!$B$4:$M$283,MATCH(AN$1,[2]Cultures!$B$3:$M$3,0),FALSE)</f>
        <v>#N/A</v>
      </c>
      <c r="AO508" s="4" t="e">
        <f>VLOOKUP($N508,[2]Cultures!$B$4:$M$283,MATCH(AO$1,[2]Cultures!$B$3:$M$3,0),FALSE)</f>
        <v>#N/A</v>
      </c>
      <c r="AP508" s="4" t="e">
        <f>VLOOKUP($N508,[2]Cultures!$B$4:$M$283,MATCH(AP$1,[2]Cultures!$B$3:$M$3,0),FALSE)</f>
        <v>#N/A</v>
      </c>
      <c r="AQ508" s="4" t="e">
        <f>VLOOKUP($N508,[2]Cultures!$B$4:$M$283,MATCH(AQ$1,[2]Cultures!$B$3:$M$3,0),FALSE)</f>
        <v>#N/A</v>
      </c>
      <c r="AR508" s="4" t="e">
        <f>VLOOKUP($N508,[2]Cultures!$B$4:$M$283,MATCH(AR$1,[2]Cultures!$B$3:$M$3,0),FALSE)</f>
        <v>#N/A</v>
      </c>
      <c r="AS508" s="4" t="e">
        <f>VLOOKUP($N508,[2]Cultures!$B$4:$M$283,MATCH(AS$1,[2]Cultures!$B$3:$M$3,0),FALSE)</f>
        <v>#N/A</v>
      </c>
      <c r="AT508" s="4"/>
      <c r="AU508" s="4">
        <f>IF(ISNUMBER(SEARCH(N508&amp;";",Calculations!$Q$19)),VLOOKUP(Skills!N508,Calculations!$Q$2:$T$16,4,FALSE),0)</f>
        <v>0</v>
      </c>
      <c r="AV508" s="4">
        <f>IF(ISNUMBER(SEARCH(N508&amp;";",Calculations!$Q$18)),1,0)</f>
        <v>0</v>
      </c>
      <c r="AW508" s="4">
        <f>IF($AV$451=1,1,IF($AV$505=1,1,AV508))</f>
        <v>0</v>
      </c>
      <c r="AX508" s="4">
        <f>VLOOKUP($N508,$N508:$CH508,MATCH('Character Sheet'!$BJ$3,Skills!$N$1:$CH$1,0),FALSE)</f>
        <v>0</v>
      </c>
    </row>
    <row r="509" spans="2:50" x14ac:dyDescent="0.25">
      <c r="B509" s="4" t="e">
        <f t="shared" ca="1" si="260"/>
        <v>#N/A</v>
      </c>
      <c r="E509" s="4"/>
      <c r="F509" s="4">
        <f t="shared" ca="1" si="247"/>
        <v>0</v>
      </c>
      <c r="G509" s="4"/>
      <c r="H509" s="4" t="e">
        <f t="shared" si="265"/>
        <v>#N/A</v>
      </c>
      <c r="I509" s="4" t="e">
        <f>IF($J$452=1,1,IF($J$506=1,1,0))</f>
        <v>#N/A</v>
      </c>
      <c r="J509" s="4">
        <f t="shared" si="248"/>
        <v>0</v>
      </c>
      <c r="K509" s="4" t="e">
        <f t="shared" ca="1" si="266"/>
        <v>#N/A</v>
      </c>
      <c r="M509" t="str">
        <f>"Military Organization, "&amp;N509</f>
        <v>Military Organization, Marine Forces</v>
      </c>
      <c r="N509" s="3" t="str">
        <f>'Character Sheet'!CSF61</f>
        <v>Marine Forces</v>
      </c>
      <c r="O509" s="4" t="s">
        <v>795</v>
      </c>
      <c r="P509" s="4" t="s">
        <v>794</v>
      </c>
      <c r="Q509" s="4" t="e">
        <f t="shared" ca="1" si="263"/>
        <v>#N/A</v>
      </c>
      <c r="R509" s="4">
        <f>IF(ISNUMBER(SEARCH("Category",N509)),"- -",IF(ISNUMBER(SEARCH("Skills",N509)),"- -",'Level-up'!C527))</f>
        <v>0</v>
      </c>
      <c r="S509" s="4" t="e">
        <f t="shared" ca="1" si="249"/>
        <v>#N/A</v>
      </c>
      <c r="T509" s="4" t="e">
        <f t="shared" ca="1" si="250"/>
        <v>#N/A</v>
      </c>
      <c r="U509" s="4">
        <f t="shared" ca="1" si="264"/>
        <v>5</v>
      </c>
      <c r="V509" s="4">
        <f t="shared" si="267"/>
        <v>0</v>
      </c>
      <c r="W509" s="4">
        <f t="shared" si="262"/>
        <v>0</v>
      </c>
      <c r="X509" s="4">
        <f t="shared" si="261"/>
        <v>0</v>
      </c>
      <c r="Y509" s="4">
        <f t="shared" si="251"/>
        <v>0</v>
      </c>
      <c r="Z509" s="4">
        <f t="shared" si="252"/>
        <v>0</v>
      </c>
      <c r="AA509" s="4">
        <f t="shared" si="253"/>
        <v>0</v>
      </c>
      <c r="AB509" s="4">
        <f t="shared" si="254"/>
        <v>0</v>
      </c>
      <c r="AC509" s="8"/>
      <c r="AD509" s="4"/>
      <c r="AE509" s="4"/>
      <c r="AF509" s="4" t="e">
        <f t="shared" ca="1" si="259"/>
        <v>#N/A</v>
      </c>
      <c r="AG509" s="4"/>
      <c r="AH509" s="4">
        <f>IFERROR(VLOOKUP(M509,Calculations!$AC$2:$AD$251,2,FALSE),0)</f>
        <v>0</v>
      </c>
      <c r="AI509" s="4" t="e">
        <f ca="1">VLOOKUP(N509,$N$2:$AS$620,MATCH('Character Creation'!$Z$12,Skills!$N$1:$AS$1,0),FALSE)</f>
        <v>#N/A</v>
      </c>
      <c r="AJ509" s="4" t="e">
        <f>VLOOKUP($N509,[2]Cultures!$B$4:$M$283,MATCH(AJ$1,[2]Cultures!$B$3:$M$3,0),FALSE)</f>
        <v>#N/A</v>
      </c>
      <c r="AK509" s="4" t="e">
        <f>VLOOKUP($N509,[2]Cultures!$B$4:$M$283,MATCH(AK$1,[2]Cultures!$B$3:$M$3,0),FALSE)</f>
        <v>#N/A</v>
      </c>
      <c r="AL509" s="4" t="e">
        <f>VLOOKUP($N509,[2]Cultures!$B$4:$M$283,MATCH(AL$1,[2]Cultures!$B$3:$M$3,0),FALSE)</f>
        <v>#N/A</v>
      </c>
      <c r="AM509" s="4" t="e">
        <f>VLOOKUP($N509,[2]Cultures!$B$4:$M$283,MATCH(AM$1,[2]Cultures!$B$3:$M$3,0),FALSE)</f>
        <v>#N/A</v>
      </c>
      <c r="AN509" s="4" t="e">
        <f>VLOOKUP($N509,[2]Cultures!$B$4:$M$283,MATCH(AN$1,[2]Cultures!$B$3:$M$3,0),FALSE)</f>
        <v>#N/A</v>
      </c>
      <c r="AO509" s="4" t="e">
        <f>VLOOKUP($N509,[2]Cultures!$B$4:$M$283,MATCH(AO$1,[2]Cultures!$B$3:$M$3,0),FALSE)</f>
        <v>#N/A</v>
      </c>
      <c r="AP509" s="4" t="e">
        <f>VLOOKUP($N509,[2]Cultures!$B$4:$M$283,MATCH(AP$1,[2]Cultures!$B$3:$M$3,0),FALSE)</f>
        <v>#N/A</v>
      </c>
      <c r="AQ509" s="4" t="e">
        <f>VLOOKUP($N509,[2]Cultures!$B$4:$M$283,MATCH(AQ$1,[2]Cultures!$B$3:$M$3,0),FALSE)</f>
        <v>#N/A</v>
      </c>
      <c r="AR509" s="4" t="e">
        <f>VLOOKUP($N509,[2]Cultures!$B$4:$M$283,MATCH(AR$1,[2]Cultures!$B$3:$M$3,0),FALSE)</f>
        <v>#N/A</v>
      </c>
      <c r="AS509" s="4" t="e">
        <f>VLOOKUP($N509,[2]Cultures!$B$4:$M$283,MATCH(AS$1,[2]Cultures!$B$3:$M$3,0),FALSE)</f>
        <v>#N/A</v>
      </c>
      <c r="AT509" s="4"/>
      <c r="AU509" s="4">
        <f>IF(ISNUMBER(SEARCH(N509&amp;";",Calculations!$Q$19)),VLOOKUP(Skills!N509,Calculations!$Q$2:$T$16,4,FALSE),0)</f>
        <v>0</v>
      </c>
      <c r="AV509" s="4">
        <f>IF(ISNUMBER(SEARCH(N509&amp;";",Calculations!$Q$18)),1,0)</f>
        <v>0</v>
      </c>
      <c r="AW509" s="4">
        <f>IF($AV$451=1,1,IF($AV$505=1,1,AV509))</f>
        <v>0</v>
      </c>
      <c r="AX509" s="4">
        <f>VLOOKUP($N509,$N509:$CH509,MATCH('Character Sheet'!$BJ$3,Skills!$N$1:$CH$1,0),FALSE)</f>
        <v>0</v>
      </c>
    </row>
    <row r="510" spans="2:50" x14ac:dyDescent="0.25">
      <c r="B510" s="4" t="e">
        <f t="shared" ca="1" si="260"/>
        <v>#N/A</v>
      </c>
      <c r="E510" s="4"/>
      <c r="F510" s="4">
        <f t="shared" ca="1" si="247"/>
        <v>0</v>
      </c>
      <c r="G510" s="4"/>
      <c r="H510" s="4" t="e">
        <f t="shared" si="265"/>
        <v>#N/A</v>
      </c>
      <c r="I510" s="4" t="e">
        <f>IF($J$511=1,1,IF($J$513=1,1,IF($J$525=1,1,0)))</f>
        <v>#N/A</v>
      </c>
      <c r="J510" s="4">
        <f t="shared" si="248"/>
        <v>0</v>
      </c>
      <c r="K510" s="4" t="e">
        <f t="shared" si="266"/>
        <v>#N/A</v>
      </c>
      <c r="N510" s="3" t="s">
        <v>727</v>
      </c>
      <c r="O510" s="6" t="s">
        <v>782</v>
      </c>
      <c r="P510" s="6" t="s">
        <v>782</v>
      </c>
      <c r="Q510" s="4" t="str">
        <f t="shared" si="263"/>
        <v>- -</v>
      </c>
      <c r="R510" s="4" t="str">
        <f>IF(ISNUMBER(SEARCH("Category",N510)),"- -",IF(ISNUMBER(SEARCH("Skills",N510)),"- -",'Level-up'!C528))</f>
        <v>- -</v>
      </c>
      <c r="S510" s="4" t="str">
        <f t="shared" si="249"/>
        <v>- -</v>
      </c>
      <c r="T510" s="4" t="str">
        <f t="shared" si="250"/>
        <v>- -</v>
      </c>
      <c r="U510" s="4" t="str">
        <f t="shared" ca="1" si="264"/>
        <v>- -</v>
      </c>
      <c r="V510" s="4" t="str">
        <f t="shared" si="267"/>
        <v>- -</v>
      </c>
      <c r="W510" s="4" t="str">
        <f t="shared" si="262"/>
        <v>- -</v>
      </c>
      <c r="X510" s="4" t="str">
        <f t="shared" si="261"/>
        <v>- -</v>
      </c>
      <c r="Y510" s="4" t="str">
        <f t="shared" si="251"/>
        <v>- -</v>
      </c>
      <c r="Z510" s="4" t="str">
        <f t="shared" si="252"/>
        <v>- -</v>
      </c>
      <c r="AA510" s="4" t="str">
        <f t="shared" si="253"/>
        <v>- -</v>
      </c>
      <c r="AB510" s="4" t="str">
        <f t="shared" si="254"/>
        <v>- -</v>
      </c>
      <c r="AC510" s="8"/>
      <c r="AD510" s="4"/>
      <c r="AE510" s="4"/>
      <c r="AF510" s="4" t="str">
        <f t="shared" si="259"/>
        <v>- -</v>
      </c>
      <c r="AG510" s="4"/>
      <c r="AH510" s="4">
        <f>IFERROR(VLOOKUP(M510,Calculations!$AC$2:$AD$251,2,FALSE),0)</f>
        <v>0</v>
      </c>
      <c r="AI510" s="4" t="e">
        <f>VLOOKUP(N510,$N$2:$AS$620,MATCH('Character Creation'!$Z$12,Skills!$N$1:$AS$1,0),FALSE)</f>
        <v>#N/A</v>
      </c>
      <c r="AJ510" s="4" t="e">
        <f>VLOOKUP($N510,[2]Cultures!$B$4:$M$283,MATCH(AJ$1,[2]Cultures!$B$3:$M$3,0),FALSE)</f>
        <v>#N/A</v>
      </c>
      <c r="AK510" s="4" t="e">
        <f>VLOOKUP($N510,[2]Cultures!$B$4:$M$283,MATCH(AK$1,[2]Cultures!$B$3:$M$3,0),FALSE)</f>
        <v>#N/A</v>
      </c>
      <c r="AL510" s="4" t="e">
        <f>VLOOKUP($N510,[2]Cultures!$B$4:$M$283,MATCH(AL$1,[2]Cultures!$B$3:$M$3,0),FALSE)</f>
        <v>#N/A</v>
      </c>
      <c r="AM510" s="4" t="e">
        <f>VLOOKUP($N510,[2]Cultures!$B$4:$M$283,MATCH(AM$1,[2]Cultures!$B$3:$M$3,0),FALSE)</f>
        <v>#N/A</v>
      </c>
      <c r="AN510" s="4" t="e">
        <f>VLOOKUP($N510,[2]Cultures!$B$4:$M$283,MATCH(AN$1,[2]Cultures!$B$3:$M$3,0),FALSE)</f>
        <v>#N/A</v>
      </c>
      <c r="AO510" s="4" t="e">
        <f>VLOOKUP($N510,[2]Cultures!$B$4:$M$283,MATCH(AO$1,[2]Cultures!$B$3:$M$3,0),FALSE)</f>
        <v>#N/A</v>
      </c>
      <c r="AP510" s="4" t="e">
        <f>VLOOKUP($N510,[2]Cultures!$B$4:$M$283,MATCH(AP$1,[2]Cultures!$B$3:$M$3,0),FALSE)</f>
        <v>#N/A</v>
      </c>
      <c r="AQ510" s="4" t="e">
        <f>VLOOKUP($N510,[2]Cultures!$B$4:$M$283,MATCH(AQ$1,[2]Cultures!$B$3:$M$3,0),FALSE)</f>
        <v>#N/A</v>
      </c>
      <c r="AR510" s="4" t="e">
        <f>VLOOKUP($N510,[2]Cultures!$B$4:$M$283,MATCH(AR$1,[2]Cultures!$B$3:$M$3,0),FALSE)</f>
        <v>#N/A</v>
      </c>
      <c r="AS510" s="4" t="e">
        <f>VLOOKUP($N510,[2]Cultures!$B$4:$M$283,MATCH(AS$1,[2]Cultures!$B$3:$M$3,0),FALSE)</f>
        <v>#N/A</v>
      </c>
      <c r="AT510" s="4"/>
      <c r="AU510" s="4">
        <f>IF(ISNUMBER(SEARCH(N510&amp;";",Calculations!$Q$19)),VLOOKUP(Skills!N510,Calculations!$Q$2:$T$16,4,FALSE),0)</f>
        <v>0</v>
      </c>
      <c r="AV510" s="4">
        <f>IF(ISNUMBER(SEARCH(N510&amp;";",Calculations!$Q$18)),1,0)</f>
        <v>0</v>
      </c>
      <c r="AW510" s="4"/>
      <c r="AX510" s="4">
        <f>VLOOKUP($N510,$N510:$CH510,MATCH('Character Sheet'!$BJ$3,Skills!$N$1:$CH$1,0),FALSE)</f>
        <v>0</v>
      </c>
    </row>
    <row r="511" spans="2:50" x14ac:dyDescent="0.25">
      <c r="B511" s="4" t="e">
        <f t="shared" ca="1" si="260"/>
        <v>#N/A</v>
      </c>
      <c r="E511" s="4"/>
      <c r="F511" s="4">
        <f t="shared" ca="1" si="247"/>
        <v>0</v>
      </c>
      <c r="G511" s="4"/>
      <c r="H511" s="4" t="e">
        <f t="shared" si="265"/>
        <v>#N/A</v>
      </c>
      <c r="I511" s="4">
        <v>0</v>
      </c>
      <c r="J511" s="4" t="e">
        <f t="shared" si="248"/>
        <v>#N/A</v>
      </c>
      <c r="K511" s="4" t="e">
        <f t="shared" si="266"/>
        <v>#N/A</v>
      </c>
      <c r="N511" s="3" t="s">
        <v>728</v>
      </c>
      <c r="O511" s="6" t="s">
        <v>782</v>
      </c>
      <c r="P511" s="6" t="s">
        <v>782</v>
      </c>
      <c r="Q511" s="4" t="str">
        <f t="shared" si="263"/>
        <v>- -</v>
      </c>
      <c r="R511" s="4" t="str">
        <f>IF(ISNUMBER(SEARCH("Category",N511)),"- -",IF(ISNUMBER(SEARCH("Skills",N511)),"- -",'Level-up'!C529))</f>
        <v>- -</v>
      </c>
      <c r="S511" s="4" t="str">
        <f t="shared" si="249"/>
        <v>- -</v>
      </c>
      <c r="T511" s="4" t="str">
        <f t="shared" si="250"/>
        <v>- -</v>
      </c>
      <c r="U511" s="4" t="str">
        <f t="shared" ca="1" si="264"/>
        <v>- -</v>
      </c>
      <c r="V511" s="4" t="str">
        <f t="shared" si="267"/>
        <v>- -</v>
      </c>
      <c r="W511" s="4" t="str">
        <f t="shared" si="262"/>
        <v>- -</v>
      </c>
      <c r="X511" s="4" t="str">
        <f t="shared" si="261"/>
        <v>- -</v>
      </c>
      <c r="Y511" s="4" t="str">
        <f t="shared" si="251"/>
        <v>- -</v>
      </c>
      <c r="Z511" s="4" t="str">
        <f t="shared" si="252"/>
        <v>- -</v>
      </c>
      <c r="AA511" s="4" t="str">
        <f t="shared" si="253"/>
        <v>- -</v>
      </c>
      <c r="AB511" s="4" t="str">
        <f t="shared" si="254"/>
        <v>- -</v>
      </c>
      <c r="AC511" s="8"/>
      <c r="AD511" s="4"/>
      <c r="AE511" s="4"/>
      <c r="AF511" s="4" t="str">
        <f t="shared" si="259"/>
        <v>- -</v>
      </c>
      <c r="AG511" s="4"/>
      <c r="AH511" s="4">
        <f>IFERROR(VLOOKUP(M511,Calculations!$AC$2:$AD$251,2,FALSE),0)</f>
        <v>0</v>
      </c>
      <c r="AI511" s="4" t="e">
        <f>VLOOKUP(N511,$N$2:$AS$620,MATCH('Character Creation'!$Z$12,Skills!$N$1:$AS$1,0),FALSE)</f>
        <v>#N/A</v>
      </c>
      <c r="AJ511" s="4" t="e">
        <f>VLOOKUP($N511,[2]Cultures!$B$4:$M$283,MATCH(AJ$1,[2]Cultures!$B$3:$M$3,0),FALSE)</f>
        <v>#N/A</v>
      </c>
      <c r="AK511" s="4" t="e">
        <f>VLOOKUP($N511,[2]Cultures!$B$4:$M$283,MATCH(AK$1,[2]Cultures!$B$3:$M$3,0),FALSE)</f>
        <v>#N/A</v>
      </c>
      <c r="AL511" s="4" t="e">
        <f>VLOOKUP($N511,[2]Cultures!$B$4:$M$283,MATCH(AL$1,[2]Cultures!$B$3:$M$3,0),FALSE)</f>
        <v>#N/A</v>
      </c>
      <c r="AM511" s="4" t="e">
        <f>VLOOKUP($N511,[2]Cultures!$B$4:$M$283,MATCH(AM$1,[2]Cultures!$B$3:$M$3,0),FALSE)</f>
        <v>#N/A</v>
      </c>
      <c r="AN511" s="4" t="e">
        <f>VLOOKUP($N511,[2]Cultures!$B$4:$M$283,MATCH(AN$1,[2]Cultures!$B$3:$M$3,0),FALSE)</f>
        <v>#N/A</v>
      </c>
      <c r="AO511" s="4" t="e">
        <f>VLOOKUP($N511,[2]Cultures!$B$4:$M$283,MATCH(AO$1,[2]Cultures!$B$3:$M$3,0),FALSE)</f>
        <v>#N/A</v>
      </c>
      <c r="AP511" s="4" t="e">
        <f>VLOOKUP($N511,[2]Cultures!$B$4:$M$283,MATCH(AP$1,[2]Cultures!$B$3:$M$3,0),FALSE)</f>
        <v>#N/A</v>
      </c>
      <c r="AQ511" s="4" t="e">
        <f>VLOOKUP($N511,[2]Cultures!$B$4:$M$283,MATCH(AQ$1,[2]Cultures!$B$3:$M$3,0),FALSE)</f>
        <v>#N/A</v>
      </c>
      <c r="AR511" s="4" t="e">
        <f>VLOOKUP($N511,[2]Cultures!$B$4:$M$283,MATCH(AR$1,[2]Cultures!$B$3:$M$3,0),FALSE)</f>
        <v>#N/A</v>
      </c>
      <c r="AS511" s="4" t="e">
        <f>VLOOKUP($N511,[2]Cultures!$B$4:$M$283,MATCH(AS$1,[2]Cultures!$B$3:$M$3,0),FALSE)</f>
        <v>#N/A</v>
      </c>
      <c r="AT511" s="4"/>
      <c r="AU511" s="4">
        <f>IF(ISNUMBER(SEARCH(N511&amp;";",Calculations!$Q$19)),VLOOKUP(Skills!N511,Calculations!$Q$2:$T$16,4,FALSE),0)</f>
        <v>0</v>
      </c>
      <c r="AV511" s="4">
        <f>IF(ISNUMBER(SEARCH(N511&amp;";",Calculations!$Q$18)),1,0)</f>
        <v>0</v>
      </c>
      <c r="AW511" s="4"/>
      <c r="AX511" s="4">
        <f>VLOOKUP($N511,$N511:$CH511,MATCH('Character Sheet'!$BJ$3,Skills!$N$1:$CH$1,0),FALSE)</f>
        <v>0</v>
      </c>
    </row>
    <row r="512" spans="2:50" x14ac:dyDescent="0.25">
      <c r="B512" s="4" t="e">
        <f t="shared" ca="1" si="260"/>
        <v>#N/A</v>
      </c>
      <c r="E512" s="4"/>
      <c r="F512" s="4">
        <f t="shared" ca="1" si="247"/>
        <v>0</v>
      </c>
      <c r="G512" s="4"/>
      <c r="H512" s="4" t="e">
        <f t="shared" si="265"/>
        <v>#N/A</v>
      </c>
      <c r="I512" s="4" t="e">
        <f>IF($J$511=1,1,IF($J$513=1,1,IF($J$525=1,1,0)))</f>
        <v>#N/A</v>
      </c>
      <c r="J512" s="4">
        <f t="shared" si="248"/>
        <v>0</v>
      </c>
      <c r="K512" s="4" t="e">
        <f t="shared" si="266"/>
        <v>#N/A</v>
      </c>
      <c r="N512" s="3" t="s">
        <v>729</v>
      </c>
      <c r="O512" s="6" t="s">
        <v>782</v>
      </c>
      <c r="P512" s="6" t="s">
        <v>782</v>
      </c>
      <c r="Q512" s="4" t="str">
        <f t="shared" si="263"/>
        <v>- -</v>
      </c>
      <c r="R512" s="4" t="str">
        <f>IF(ISNUMBER(SEARCH("Category",N512)),"- -",IF(ISNUMBER(SEARCH("Skills",N512)),"- -",'Level-up'!C530))</f>
        <v>- -</v>
      </c>
      <c r="S512" s="4" t="str">
        <f t="shared" si="249"/>
        <v>- -</v>
      </c>
      <c r="T512" s="4" t="str">
        <f t="shared" si="250"/>
        <v>- -</v>
      </c>
      <c r="U512" s="4" t="str">
        <f t="shared" ca="1" si="264"/>
        <v>- -</v>
      </c>
      <c r="V512" s="4" t="str">
        <f t="shared" si="267"/>
        <v>- -</v>
      </c>
      <c r="W512" s="4" t="str">
        <f t="shared" si="262"/>
        <v>- -</v>
      </c>
      <c r="X512" s="4" t="str">
        <f t="shared" si="261"/>
        <v>- -</v>
      </c>
      <c r="Y512" s="4" t="str">
        <f t="shared" si="251"/>
        <v>- -</v>
      </c>
      <c r="Z512" s="4" t="str">
        <f t="shared" si="252"/>
        <v>- -</v>
      </c>
      <c r="AA512" s="4" t="str">
        <f t="shared" si="253"/>
        <v>- -</v>
      </c>
      <c r="AB512" s="4" t="str">
        <f t="shared" si="254"/>
        <v>- -</v>
      </c>
      <c r="AC512" s="8"/>
      <c r="AD512" s="4"/>
      <c r="AE512" s="4"/>
      <c r="AF512" s="4" t="str">
        <f t="shared" si="259"/>
        <v>- -</v>
      </c>
      <c r="AG512" s="4"/>
      <c r="AH512" s="4">
        <f>IFERROR(VLOOKUP(M512,Calculations!$AC$2:$AD$251,2,FALSE),0)</f>
        <v>0</v>
      </c>
      <c r="AI512" s="4" t="e">
        <f>VLOOKUP(N512,$N$2:$AS$620,MATCH('Character Creation'!$Z$12,Skills!$N$1:$AS$1,0),FALSE)</f>
        <v>#N/A</v>
      </c>
      <c r="AJ512" s="4" t="e">
        <f>VLOOKUP($N512,[2]Cultures!$B$4:$M$283,MATCH(AJ$1,[2]Cultures!$B$3:$M$3,0),FALSE)</f>
        <v>#N/A</v>
      </c>
      <c r="AK512" s="4" t="e">
        <f>VLOOKUP($N512,[2]Cultures!$B$4:$M$283,MATCH(AK$1,[2]Cultures!$B$3:$M$3,0),FALSE)</f>
        <v>#N/A</v>
      </c>
      <c r="AL512" s="4" t="e">
        <f>VLOOKUP($N512,[2]Cultures!$B$4:$M$283,MATCH(AL$1,[2]Cultures!$B$3:$M$3,0),FALSE)</f>
        <v>#N/A</v>
      </c>
      <c r="AM512" s="4" t="e">
        <f>VLOOKUP($N512,[2]Cultures!$B$4:$M$283,MATCH(AM$1,[2]Cultures!$B$3:$M$3,0),FALSE)</f>
        <v>#N/A</v>
      </c>
      <c r="AN512" s="4" t="e">
        <f>VLOOKUP($N512,[2]Cultures!$B$4:$M$283,MATCH(AN$1,[2]Cultures!$B$3:$M$3,0),FALSE)</f>
        <v>#N/A</v>
      </c>
      <c r="AO512" s="4" t="e">
        <f>VLOOKUP($N512,[2]Cultures!$B$4:$M$283,MATCH(AO$1,[2]Cultures!$B$3:$M$3,0),FALSE)</f>
        <v>#N/A</v>
      </c>
      <c r="AP512" s="4" t="e">
        <f>VLOOKUP($N512,[2]Cultures!$B$4:$M$283,MATCH(AP$1,[2]Cultures!$B$3:$M$3,0),FALSE)</f>
        <v>#N/A</v>
      </c>
      <c r="AQ512" s="4" t="e">
        <f>VLOOKUP($N512,[2]Cultures!$B$4:$M$283,MATCH(AQ$1,[2]Cultures!$B$3:$M$3,0),FALSE)</f>
        <v>#N/A</v>
      </c>
      <c r="AR512" s="4" t="e">
        <f>VLOOKUP($N512,[2]Cultures!$B$4:$M$283,MATCH(AR$1,[2]Cultures!$B$3:$M$3,0),FALSE)</f>
        <v>#N/A</v>
      </c>
      <c r="AS512" s="4" t="e">
        <f>VLOOKUP($N512,[2]Cultures!$B$4:$M$283,MATCH(AS$1,[2]Cultures!$B$3:$M$3,0),FALSE)</f>
        <v>#N/A</v>
      </c>
      <c r="AT512" s="4"/>
      <c r="AU512" s="4">
        <f>IF(ISNUMBER(SEARCH(N512&amp;";",Calculations!$Q$19)),VLOOKUP(Skills!N512,Calculations!$Q$2:$T$16,4,FALSE),0)</f>
        <v>0</v>
      </c>
      <c r="AV512" s="4">
        <f>IF(ISNUMBER(SEARCH(N512&amp;";",Calculations!$Q$18)),1,0)</f>
        <v>0</v>
      </c>
      <c r="AW512" s="4"/>
      <c r="AX512" s="4">
        <f>VLOOKUP($N512,$N512:$CH512,MATCH('Character Sheet'!$BJ$3,Skills!$N$1:$CH$1,0),FALSE)</f>
        <v>0</v>
      </c>
    </row>
    <row r="513" spans="1:50" x14ac:dyDescent="0.25">
      <c r="B513" s="4" t="e">
        <f t="shared" ca="1" si="260"/>
        <v>#N/A</v>
      </c>
      <c r="E513" s="4"/>
      <c r="F513" s="4">
        <f t="shared" ca="1" si="247"/>
        <v>0</v>
      </c>
      <c r="G513" s="4"/>
      <c r="H513" s="4" t="e">
        <f t="shared" si="265"/>
        <v>#N/A</v>
      </c>
      <c r="I513" s="4">
        <v>0</v>
      </c>
      <c r="J513" s="4" t="e">
        <f t="shared" si="248"/>
        <v>#N/A</v>
      </c>
      <c r="K513" s="4" t="e">
        <f t="shared" si="266"/>
        <v>#N/A</v>
      </c>
      <c r="N513" s="3" t="s">
        <v>730</v>
      </c>
      <c r="O513" s="6" t="s">
        <v>782</v>
      </c>
      <c r="P513" s="6" t="s">
        <v>782</v>
      </c>
      <c r="Q513" s="4" t="str">
        <f t="shared" si="263"/>
        <v>- -</v>
      </c>
      <c r="R513" s="4" t="str">
        <f>IF(ISNUMBER(SEARCH("Category",N513)),"- -",IF(ISNUMBER(SEARCH("Skills",N513)),"- -",'Level-up'!C531))</f>
        <v>- -</v>
      </c>
      <c r="S513" s="4" t="str">
        <f t="shared" si="249"/>
        <v>- -</v>
      </c>
      <c r="T513" s="4" t="str">
        <f t="shared" si="250"/>
        <v>- -</v>
      </c>
      <c r="U513" s="4" t="str">
        <f t="shared" ca="1" si="264"/>
        <v>- -</v>
      </c>
      <c r="V513" s="4" t="str">
        <f t="shared" si="267"/>
        <v>- -</v>
      </c>
      <c r="W513" s="4" t="str">
        <f t="shared" si="262"/>
        <v>- -</v>
      </c>
      <c r="X513" s="4" t="str">
        <f t="shared" si="261"/>
        <v>- -</v>
      </c>
      <c r="Y513" s="4" t="str">
        <f t="shared" si="251"/>
        <v>- -</v>
      </c>
      <c r="Z513" s="4" t="str">
        <f t="shared" si="252"/>
        <v>- -</v>
      </c>
      <c r="AA513" s="4" t="str">
        <f t="shared" si="253"/>
        <v>- -</v>
      </c>
      <c r="AB513" s="4" t="str">
        <f t="shared" si="254"/>
        <v>- -</v>
      </c>
      <c r="AC513" s="8"/>
      <c r="AD513" s="4"/>
      <c r="AE513" s="4"/>
      <c r="AF513" s="4" t="str">
        <f t="shared" si="259"/>
        <v>- -</v>
      </c>
      <c r="AG513" s="4"/>
      <c r="AH513" s="4">
        <f>IFERROR(VLOOKUP(M513,Calculations!$AC$2:$AD$251,2,FALSE),0)</f>
        <v>0</v>
      </c>
      <c r="AI513" s="4" t="e">
        <f>VLOOKUP(N513,$N$2:$AS$620,MATCH('Character Creation'!$Z$12,Skills!$N$1:$AS$1,0),FALSE)</f>
        <v>#N/A</v>
      </c>
      <c r="AJ513" s="4" t="e">
        <f>VLOOKUP($N513,[2]Cultures!$B$4:$M$283,MATCH(AJ$1,[2]Cultures!$B$3:$M$3,0),FALSE)</f>
        <v>#N/A</v>
      </c>
      <c r="AK513" s="4" t="e">
        <f>VLOOKUP($N513,[2]Cultures!$B$4:$M$283,MATCH(AK$1,[2]Cultures!$B$3:$M$3,0),FALSE)</f>
        <v>#N/A</v>
      </c>
      <c r="AL513" s="4" t="e">
        <f>VLOOKUP($N513,[2]Cultures!$B$4:$M$283,MATCH(AL$1,[2]Cultures!$B$3:$M$3,0),FALSE)</f>
        <v>#N/A</v>
      </c>
      <c r="AM513" s="4" t="e">
        <f>VLOOKUP($N513,[2]Cultures!$B$4:$M$283,MATCH(AM$1,[2]Cultures!$B$3:$M$3,0),FALSE)</f>
        <v>#N/A</v>
      </c>
      <c r="AN513" s="4" t="e">
        <f>VLOOKUP($N513,[2]Cultures!$B$4:$M$283,MATCH(AN$1,[2]Cultures!$B$3:$M$3,0),FALSE)</f>
        <v>#N/A</v>
      </c>
      <c r="AO513" s="4" t="e">
        <f>VLOOKUP($N513,[2]Cultures!$B$4:$M$283,MATCH(AO$1,[2]Cultures!$B$3:$M$3,0),FALSE)</f>
        <v>#N/A</v>
      </c>
      <c r="AP513" s="4" t="e">
        <f>VLOOKUP($N513,[2]Cultures!$B$4:$M$283,MATCH(AP$1,[2]Cultures!$B$3:$M$3,0),FALSE)</f>
        <v>#N/A</v>
      </c>
      <c r="AQ513" s="4" t="e">
        <f>VLOOKUP($N513,[2]Cultures!$B$4:$M$283,MATCH(AQ$1,[2]Cultures!$B$3:$M$3,0),FALSE)</f>
        <v>#N/A</v>
      </c>
      <c r="AR513" s="4" t="e">
        <f>VLOOKUP($N513,[2]Cultures!$B$4:$M$283,MATCH(AR$1,[2]Cultures!$B$3:$M$3,0),FALSE)</f>
        <v>#N/A</v>
      </c>
      <c r="AS513" s="4" t="e">
        <f>VLOOKUP($N513,[2]Cultures!$B$4:$M$283,MATCH(AS$1,[2]Cultures!$B$3:$M$3,0),FALSE)</f>
        <v>#N/A</v>
      </c>
      <c r="AT513" s="4"/>
      <c r="AU513" s="4">
        <f>IF(ISNUMBER(SEARCH(N513&amp;";",Calculations!$Q$19)),VLOOKUP(Skills!N513,Calculations!$Q$2:$T$16,4,FALSE),0)</f>
        <v>0</v>
      </c>
      <c r="AV513" s="4">
        <f>IF(ISNUMBER(SEARCH(N513&amp;";",Calculations!$Q$18)),1,0)</f>
        <v>0</v>
      </c>
      <c r="AW513" s="4"/>
      <c r="AX513" s="4">
        <f>VLOOKUP($N513,$N513:$CH513,MATCH('Character Sheet'!$BJ$3,Skills!$N$1:$CH$1,0),FALSE)</f>
        <v>0</v>
      </c>
    </row>
    <row r="514" spans="1:50" x14ac:dyDescent="0.25">
      <c r="B514" s="4" t="e">
        <f t="shared" ca="1" si="260"/>
        <v>#N/A</v>
      </c>
      <c r="E514" s="4"/>
      <c r="F514" s="4">
        <f t="shared" ca="1" si="247"/>
        <v>0</v>
      </c>
      <c r="G514" s="4"/>
      <c r="H514" s="4" t="e">
        <f t="shared" si="265"/>
        <v>#N/A</v>
      </c>
      <c r="I514" s="4" t="e">
        <f>IF($J$511=1,1,IF($J$513=1,1,0))</f>
        <v>#N/A</v>
      </c>
      <c r="J514" s="4">
        <f t="shared" si="248"/>
        <v>0</v>
      </c>
      <c r="K514" s="4">
        <f t="shared" si="266"/>
        <v>0</v>
      </c>
      <c r="M514" t="str">
        <f t="shared" ref="M514:M523" si="268">N514</f>
        <v>Begging</v>
      </c>
      <c r="N514" s="3" t="str">
        <f>'Character Sheet'!CVV5</f>
        <v>Begging</v>
      </c>
      <c r="O514" s="4" t="s">
        <v>791</v>
      </c>
      <c r="P514" s="4" t="s">
        <v>781</v>
      </c>
      <c r="Q514" s="4">
        <f t="shared" si="263"/>
        <v>0</v>
      </c>
      <c r="R514" s="4">
        <f>IF(ISNUMBER(SEARCH("Category",N514)),"- -",IF(ISNUMBER(SEARCH("Skills",N514)),"- -",'Level-up'!C532))</f>
        <v>0</v>
      </c>
      <c r="S514" s="4">
        <f t="shared" si="249"/>
        <v>0</v>
      </c>
      <c r="T514" s="4">
        <f t="shared" si="250"/>
        <v>-25</v>
      </c>
      <c r="U514" s="4">
        <f t="shared" ca="1" si="264"/>
        <v>4</v>
      </c>
      <c r="V514" s="4">
        <f t="shared" ref="V514:V525" si="269">IF(ISNUMBER(SEARCH("Category",N514)),"- -",IF(ISNUMBER(SEARCH("Skills",N514)),"- -",IF(AU514&gt;0,AU514,IF($AU$512&gt;0,$AU$512,$AU$510))))</f>
        <v>0</v>
      </c>
      <c r="W514" s="4">
        <f t="shared" si="262"/>
        <v>0</v>
      </c>
      <c r="X514" s="4">
        <f t="shared" si="261"/>
        <v>0</v>
      </c>
      <c r="Y514" s="4">
        <f t="shared" si="251"/>
        <v>0</v>
      </c>
      <c r="Z514" s="4">
        <f t="shared" si="252"/>
        <v>0</v>
      </c>
      <c r="AA514" s="4">
        <f t="shared" si="253"/>
        <v>0</v>
      </c>
      <c r="AB514" s="4">
        <f t="shared" si="254"/>
        <v>0</v>
      </c>
      <c r="AC514" s="8"/>
      <c r="AD514" s="4"/>
      <c r="AE514" s="4"/>
      <c r="AF514" s="4" t="str">
        <f t="shared" ca="1" si="259"/>
        <v>-21</v>
      </c>
      <c r="AG514" s="4"/>
      <c r="AH514" s="4">
        <f>IFERROR(VLOOKUP(M514,Calculations!$AC$2:$AD$251,2,FALSE),0)</f>
        <v>0</v>
      </c>
      <c r="AI514" s="4">
        <f>VLOOKUP(N514,$N$2:$AS$620,MATCH('Character Creation'!$Z$12,Skills!$N$1:$AS$1,0),FALSE)</f>
        <v>0</v>
      </c>
      <c r="AJ514" s="4">
        <f>VLOOKUP($N514,[2]Cultures!$B$4:$M$283,MATCH(AJ$1,[2]Cultures!$B$3:$M$3,0),FALSE)</f>
        <v>0</v>
      </c>
      <c r="AK514" s="4">
        <f>VLOOKUP($N514,[2]Cultures!$B$4:$M$283,MATCH(AK$1,[2]Cultures!$B$3:$M$3,0),FALSE)</f>
        <v>0</v>
      </c>
      <c r="AL514" s="4">
        <f>VLOOKUP($N514,[2]Cultures!$B$4:$M$283,MATCH(AL$1,[2]Cultures!$B$3:$M$3,0),FALSE)</f>
        <v>0</v>
      </c>
      <c r="AM514" s="4">
        <f>VLOOKUP($N514,[2]Cultures!$B$4:$M$283,MATCH(AM$1,[2]Cultures!$B$3:$M$3,0),FALSE)</f>
        <v>0</v>
      </c>
      <c r="AN514" s="4">
        <f>VLOOKUP($N514,[2]Cultures!$B$4:$M$283,MATCH(AN$1,[2]Cultures!$B$3:$M$3,0),FALSE)</f>
        <v>0</v>
      </c>
      <c r="AO514" s="4">
        <f>VLOOKUP($N514,[2]Cultures!$B$4:$M$283,MATCH(AO$1,[2]Cultures!$B$3:$M$3,0),FALSE)</f>
        <v>0</v>
      </c>
      <c r="AP514" s="4">
        <f>VLOOKUP($N514,[2]Cultures!$B$4:$M$283,MATCH(AP$1,[2]Cultures!$B$3:$M$3,0),FALSE)</f>
        <v>0</v>
      </c>
      <c r="AQ514" s="4">
        <f>VLOOKUP($N514,[2]Cultures!$B$4:$M$283,MATCH(AQ$1,[2]Cultures!$B$3:$M$3,0),FALSE)</f>
        <v>0</v>
      </c>
      <c r="AR514" s="4">
        <f>VLOOKUP($N514,[2]Cultures!$B$4:$M$283,MATCH(AR$1,[2]Cultures!$B$3:$M$3,0),FALSE)</f>
        <v>0</v>
      </c>
      <c r="AS514" s="4">
        <f>VLOOKUP($N514,[2]Cultures!$B$4:$M$283,MATCH(AS$1,[2]Cultures!$B$3:$M$3,0),FALSE)</f>
        <v>0</v>
      </c>
      <c r="AT514" s="4"/>
      <c r="AU514" s="4">
        <f>IF(ISNUMBER(SEARCH(N514&amp;";",Calculations!$Q$19)),VLOOKUP(Skills!N514,Calculations!$Q$2:$T$16,4,FALSE),0)</f>
        <v>0</v>
      </c>
      <c r="AV514" s="4">
        <f>IF(ISNUMBER(SEARCH(N514&amp;";",Calculations!$Q$18)),1,0)</f>
        <v>0</v>
      </c>
      <c r="AW514" s="4">
        <f t="shared" ref="AW514:AW523" si="270">IF($AV$510=1,1,IF($AV$512=1,1,AV514))</f>
        <v>0</v>
      </c>
      <c r="AX514" s="4">
        <f>VLOOKUP($N514,$N514:$CH514,MATCH('Character Sheet'!$BJ$3,Skills!$N$1:$CH$1,0),FALSE)</f>
        <v>0</v>
      </c>
    </row>
    <row r="515" spans="1:50" x14ac:dyDescent="0.25">
      <c r="B515" s="4" t="e">
        <f t="shared" ca="1" si="260"/>
        <v>#N/A</v>
      </c>
      <c r="E515" s="4"/>
      <c r="F515" s="4">
        <f t="shared" ref="F515:F578" ca="1" si="271">IF(AX515="x",F514+1,F514)</f>
        <v>0</v>
      </c>
      <c r="G515" s="4"/>
      <c r="H515" s="4" t="e">
        <f t="shared" si="265"/>
        <v>#N/A</v>
      </c>
      <c r="I515" s="4" t="e">
        <f t="shared" ref="I515:I523" si="272">IF($J$511=1,1,IF($J$513=1,1,0))</f>
        <v>#N/A</v>
      </c>
      <c r="J515" s="4">
        <f t="shared" ref="J515:J578" si="273">IF(ISNUMBER(SEARCH("Skills",N515)),IF(AI515&gt;=1,1,0),0)</f>
        <v>0</v>
      </c>
      <c r="K515" s="4">
        <f t="shared" ca="1" si="266"/>
        <v>0</v>
      </c>
      <c r="M515" t="str">
        <f t="shared" si="268"/>
        <v>Diplomacy</v>
      </c>
      <c r="N515" s="3" t="str">
        <f>'Character Sheet'!CVV6</f>
        <v>Diplomacy</v>
      </c>
      <c r="O515" s="4" t="s">
        <v>791</v>
      </c>
      <c r="P515" s="4" t="s">
        <v>781</v>
      </c>
      <c r="Q515" s="4">
        <f t="shared" ca="1" si="263"/>
        <v>0</v>
      </c>
      <c r="R515" s="4">
        <f>IF(ISNUMBER(SEARCH("Category",N515)),"- -",IF(ISNUMBER(SEARCH("Skills",N515)),"- -",'Level-up'!C533))</f>
        <v>0</v>
      </c>
      <c r="S515" s="4">
        <f t="shared" ref="S515:S578" ca="1" si="274">IF(ISNUMBER(SEARCH("Skills",N515)),"- -",IF(ISNUMBER(SEARCH("category",N515)),"- -",SUM(Q515:R515)))</f>
        <v>0</v>
      </c>
      <c r="T515" s="4">
        <f t="shared" ref="T515:T578" ca="1" si="275">IF(ISNUMBER(SEARCH("Skills",N515)),"- -",IF(ISNUMBER(SEARCH("category",N515)),"- -",IF(S515="",0,IF(S515=0,(IF(O515="- -",0,-25)),IF(S515&lt;11,S515*5,IF(S515&lt;21,((S515-10)*3)+50,IF(S515&lt;31,((S515-20)*2)+80,IF(S515&gt;30,(S515-30)+100))))))))</f>
        <v>-25</v>
      </c>
      <c r="U515" s="4">
        <f t="shared" ca="1" si="264"/>
        <v>4</v>
      </c>
      <c r="V515" s="4">
        <f t="shared" si="269"/>
        <v>0</v>
      </c>
      <c r="W515" s="4">
        <f t="shared" si="262"/>
        <v>0</v>
      </c>
      <c r="X515" s="4">
        <f t="shared" si="261"/>
        <v>0</v>
      </c>
      <c r="Y515" s="4">
        <f t="shared" si="251"/>
        <v>0</v>
      </c>
      <c r="Z515" s="4">
        <f t="shared" si="252"/>
        <v>0</v>
      </c>
      <c r="AA515" s="4">
        <f t="shared" si="253"/>
        <v>0</v>
      </c>
      <c r="AB515" s="4">
        <f t="shared" si="254"/>
        <v>0</v>
      </c>
      <c r="AC515" s="8"/>
      <c r="AD515" s="4"/>
      <c r="AE515" s="4"/>
      <c r="AF515" s="4" t="str">
        <f t="shared" ca="1" si="259"/>
        <v>-21</v>
      </c>
      <c r="AG515" s="4"/>
      <c r="AH515" s="4">
        <f>IFERROR(VLOOKUP(M515,Calculations!$AC$2:$AD$251,2,FALSE),0)</f>
        <v>0</v>
      </c>
      <c r="AI515" s="4">
        <f ca="1">VLOOKUP(N515,$N$2:$AS$620,MATCH('Character Creation'!$Z$12,Skills!$N$1:$AS$1,0),FALSE)</f>
        <v>0</v>
      </c>
      <c r="AJ515" s="4">
        <f>VLOOKUP($N515,[2]Cultures!$B$4:$M$283,MATCH(AJ$1,[2]Cultures!$B$3:$M$3,0),FALSE)</f>
        <v>0</v>
      </c>
      <c r="AK515" s="4">
        <f>VLOOKUP($N515,[2]Cultures!$B$4:$M$283,MATCH(AK$1,[2]Cultures!$B$3:$M$3,0),FALSE)</f>
        <v>0</v>
      </c>
      <c r="AL515" s="4">
        <f>VLOOKUP($N515,[2]Cultures!$B$4:$M$283,MATCH(AL$1,[2]Cultures!$B$3:$M$3,0),FALSE)</f>
        <v>0</v>
      </c>
      <c r="AM515" s="4">
        <f>VLOOKUP($N515,[2]Cultures!$B$4:$M$283,MATCH(AM$1,[2]Cultures!$B$3:$M$3,0),FALSE)</f>
        <v>0</v>
      </c>
      <c r="AN515" s="4">
        <f>VLOOKUP($N515,[2]Cultures!$B$4:$M$283,MATCH(AN$1,[2]Cultures!$B$3:$M$3,0),FALSE)</f>
        <v>0</v>
      </c>
      <c r="AO515" s="4">
        <f>VLOOKUP($N515,[2]Cultures!$B$4:$M$283,MATCH(AO$1,[2]Cultures!$B$3:$M$3,0),FALSE)</f>
        <v>0</v>
      </c>
      <c r="AP515" s="4">
        <f>VLOOKUP($N515,[2]Cultures!$B$4:$M$283,MATCH(AP$1,[2]Cultures!$B$3:$M$3,0),FALSE)</f>
        <v>0</v>
      </c>
      <c r="AQ515" s="4">
        <f>VLOOKUP($N515,[2]Cultures!$B$4:$M$283,MATCH(AQ$1,[2]Cultures!$B$3:$M$3,0),FALSE)</f>
        <v>0</v>
      </c>
      <c r="AR515" s="4">
        <f>VLOOKUP($N515,[2]Cultures!$B$4:$M$283,MATCH(AR$1,[2]Cultures!$B$3:$M$3,0),FALSE)</f>
        <v>0</v>
      </c>
      <c r="AS515" s="4">
        <f>VLOOKUP($N515,[2]Cultures!$B$4:$M$283,MATCH(AS$1,[2]Cultures!$B$3:$M$3,0),FALSE)</f>
        <v>0</v>
      </c>
      <c r="AT515" s="4"/>
      <c r="AU515" s="4">
        <f>IF(ISNUMBER(SEARCH(N515&amp;";",Calculations!$Q$19)),VLOOKUP(Skills!N515,Calculations!$Q$2:$T$16,4,FALSE),0)</f>
        <v>0</v>
      </c>
      <c r="AV515" s="4">
        <f>IF(ISNUMBER(SEARCH(N515&amp;";",Calculations!$Q$18)),1,0)</f>
        <v>0</v>
      </c>
      <c r="AW515" s="4">
        <f t="shared" si="270"/>
        <v>0</v>
      </c>
      <c r="AX515" s="4">
        <f>VLOOKUP($N515,$N515:$CH515,MATCH('Character Sheet'!$BJ$3,Skills!$N$1:$CH$1,0),FALSE)</f>
        <v>0</v>
      </c>
    </row>
    <row r="516" spans="1:50" x14ac:dyDescent="0.25">
      <c r="B516" s="4" t="e">
        <f t="shared" ca="1" si="260"/>
        <v>#N/A</v>
      </c>
      <c r="E516" s="4"/>
      <c r="F516" s="4">
        <f t="shared" ca="1" si="271"/>
        <v>0</v>
      </c>
      <c r="G516" s="4"/>
      <c r="H516" s="4" t="e">
        <f t="shared" si="265"/>
        <v>#N/A</v>
      </c>
      <c r="I516" s="4" t="e">
        <f t="shared" si="272"/>
        <v>#N/A</v>
      </c>
      <c r="J516" s="4">
        <f t="shared" si="273"/>
        <v>0</v>
      </c>
      <c r="K516" s="4">
        <f t="shared" ca="1" si="266"/>
        <v>0</v>
      </c>
      <c r="M516" t="str">
        <f t="shared" si="268"/>
        <v>Education</v>
      </c>
      <c r="N516" s="3" t="str">
        <f>'Character Sheet'!CVV7</f>
        <v>Education</v>
      </c>
      <c r="O516" s="4" t="s">
        <v>791</v>
      </c>
      <c r="P516" s="4" t="s">
        <v>781</v>
      </c>
      <c r="Q516" s="4">
        <f t="shared" ca="1" si="263"/>
        <v>0</v>
      </c>
      <c r="R516" s="4">
        <f>IF(ISNUMBER(SEARCH("Category",N516)),"- -",IF(ISNUMBER(SEARCH("Skills",N516)),"- -",'Level-up'!C534))</f>
        <v>0</v>
      </c>
      <c r="S516" s="4">
        <f t="shared" ca="1" si="274"/>
        <v>0</v>
      </c>
      <c r="T516" s="4">
        <f t="shared" ca="1" si="275"/>
        <v>-25</v>
      </c>
      <c r="U516" s="4">
        <f t="shared" ca="1" si="264"/>
        <v>4</v>
      </c>
      <c r="V516" s="4">
        <f t="shared" si="269"/>
        <v>0</v>
      </c>
      <c r="W516" s="4">
        <f t="shared" si="262"/>
        <v>0</v>
      </c>
      <c r="X516" s="4">
        <f t="shared" si="261"/>
        <v>0</v>
      </c>
      <c r="Y516" s="4">
        <f t="shared" ref="Y516:Y579" si="276">IF(ISNUMBER(SEARCH("Category",N516)),"- -",IF(ISNUMBER(SEARCH("Skills",N516)),"- -",0))</f>
        <v>0</v>
      </c>
      <c r="Z516" s="4">
        <f t="shared" ref="Z516:Z579" si="277">IF(ISNUMBER(SEARCH("Category",N516)),"- -",IF(ISNUMBER(SEARCH("Skills",N516)),"- -",0))</f>
        <v>0</v>
      </c>
      <c r="AA516" s="4">
        <f t="shared" ref="AA516:AA579" si="278">IF(ISNUMBER(SEARCH("Category",N516)),"- -",IF(ISNUMBER(SEARCH("Skills",N516)),"- -",0))</f>
        <v>0</v>
      </c>
      <c r="AB516" s="4">
        <f t="shared" ref="AB516:AB579" si="279">IF(ISNUMBER(SEARCH("Category",N516)),"- -",IF(ISNUMBER(SEARCH("Skills",N516)),"- -",0))</f>
        <v>0</v>
      </c>
      <c r="AC516" s="8"/>
      <c r="AD516" s="4"/>
      <c r="AE516" s="4"/>
      <c r="AF516" s="4" t="str">
        <f t="shared" ca="1" si="259"/>
        <v>-21</v>
      </c>
      <c r="AG516" s="4"/>
      <c r="AH516" s="4">
        <f>IFERROR(VLOOKUP(M516,Calculations!$AC$2:$AD$251,2,FALSE),0)</f>
        <v>0</v>
      </c>
      <c r="AI516" s="4">
        <f ca="1">VLOOKUP(N516,$N$2:$AS$620,MATCH('Character Creation'!$Z$12,Skills!$N$1:$AS$1,0),FALSE)</f>
        <v>0</v>
      </c>
      <c r="AJ516" s="4">
        <f>VLOOKUP($N516,[2]Cultures!$B$4:$M$283,MATCH(AJ$1,[2]Cultures!$B$3:$M$3,0),FALSE)</f>
        <v>0</v>
      </c>
      <c r="AK516" s="4">
        <f>VLOOKUP($N516,[2]Cultures!$B$4:$M$283,MATCH(AK$1,[2]Cultures!$B$3:$M$3,0),FALSE)</f>
        <v>0</v>
      </c>
      <c r="AL516" s="4">
        <f>VLOOKUP($N516,[2]Cultures!$B$4:$M$283,MATCH(AL$1,[2]Cultures!$B$3:$M$3,0),FALSE)</f>
        <v>0</v>
      </c>
      <c r="AM516" s="4">
        <f>VLOOKUP($N516,[2]Cultures!$B$4:$M$283,MATCH(AM$1,[2]Cultures!$B$3:$M$3,0),FALSE)</f>
        <v>0</v>
      </c>
      <c r="AN516" s="4">
        <f>VLOOKUP($N516,[2]Cultures!$B$4:$M$283,MATCH(AN$1,[2]Cultures!$B$3:$M$3,0),FALSE)</f>
        <v>0</v>
      </c>
      <c r="AO516" s="4">
        <f>VLOOKUP($N516,[2]Cultures!$B$4:$M$283,MATCH(AO$1,[2]Cultures!$B$3:$M$3,0),FALSE)</f>
        <v>0</v>
      </c>
      <c r="AP516" s="4">
        <f>VLOOKUP($N516,[2]Cultures!$B$4:$M$283,MATCH(AP$1,[2]Cultures!$B$3:$M$3,0),FALSE)</f>
        <v>0</v>
      </c>
      <c r="AQ516" s="4">
        <f>VLOOKUP($N516,[2]Cultures!$B$4:$M$283,MATCH(AQ$1,[2]Cultures!$B$3:$M$3,0),FALSE)</f>
        <v>0</v>
      </c>
      <c r="AR516" s="4">
        <f>VLOOKUP($N516,[2]Cultures!$B$4:$M$283,MATCH(AR$1,[2]Cultures!$B$3:$M$3,0),FALSE)</f>
        <v>0</v>
      </c>
      <c r="AS516" s="4">
        <f>VLOOKUP($N516,[2]Cultures!$B$4:$M$283,MATCH(AS$1,[2]Cultures!$B$3:$M$3,0),FALSE)</f>
        <v>0</v>
      </c>
      <c r="AT516" s="4"/>
      <c r="AU516" s="4">
        <f>IF(ISNUMBER(SEARCH(N516&amp;";",Calculations!$Q$19)),VLOOKUP(Skills!N516,Calculations!$Q$2:$T$16,4,FALSE),0)</f>
        <v>0</v>
      </c>
      <c r="AV516" s="4">
        <f>IF(ISNUMBER(SEARCH(N516&amp;";",Calculations!$Q$18)),1,0)</f>
        <v>0</v>
      </c>
      <c r="AW516" s="4">
        <f t="shared" si="270"/>
        <v>0</v>
      </c>
      <c r="AX516" s="4">
        <f>VLOOKUP($N516,$N516:$CH516,MATCH('Character Sheet'!$BJ$3,Skills!$N$1:$CH$1,0),FALSE)</f>
        <v>0</v>
      </c>
    </row>
    <row r="517" spans="1:50" x14ac:dyDescent="0.25">
      <c r="B517" s="4" t="e">
        <f t="shared" ca="1" si="260"/>
        <v>#N/A</v>
      </c>
      <c r="E517" s="4"/>
      <c r="F517" s="4">
        <f t="shared" ca="1" si="271"/>
        <v>0</v>
      </c>
      <c r="G517" s="4"/>
      <c r="H517" s="4" t="e">
        <f t="shared" si="265"/>
        <v>#N/A</v>
      </c>
      <c r="I517" s="4" t="e">
        <f t="shared" si="272"/>
        <v>#N/A</v>
      </c>
      <c r="J517" s="4">
        <f t="shared" si="273"/>
        <v>0</v>
      </c>
      <c r="K517" s="4">
        <f t="shared" ca="1" si="266"/>
        <v>0</v>
      </c>
      <c r="M517" t="str">
        <f t="shared" si="268"/>
        <v>Hypnosis</v>
      </c>
      <c r="N517" s="3" t="str">
        <f>'Character Sheet'!CVV8</f>
        <v>Hypnosis</v>
      </c>
      <c r="O517" s="4" t="s">
        <v>791</v>
      </c>
      <c r="P517" s="4" t="s">
        <v>781</v>
      </c>
      <c r="Q517" s="4">
        <f t="shared" ca="1" si="263"/>
        <v>0</v>
      </c>
      <c r="R517" s="4">
        <f>IF(ISNUMBER(SEARCH("Category",N517)),"- -",IF(ISNUMBER(SEARCH("Skills",N517)),"- -",'Level-up'!C535))</f>
        <v>0</v>
      </c>
      <c r="S517" s="4">
        <f t="shared" ca="1" si="274"/>
        <v>0</v>
      </c>
      <c r="T517" s="4">
        <f t="shared" ca="1" si="275"/>
        <v>-25</v>
      </c>
      <c r="U517" s="4">
        <f t="shared" ca="1" si="264"/>
        <v>4</v>
      </c>
      <c r="V517" s="4">
        <f t="shared" si="269"/>
        <v>0</v>
      </c>
      <c r="W517" s="4">
        <f t="shared" si="262"/>
        <v>0</v>
      </c>
      <c r="X517" s="4">
        <f t="shared" si="261"/>
        <v>0</v>
      </c>
      <c r="Y517" s="4">
        <f t="shared" si="276"/>
        <v>0</v>
      </c>
      <c r="Z517" s="4">
        <f t="shared" si="277"/>
        <v>0</v>
      </c>
      <c r="AA517" s="4">
        <f t="shared" si="278"/>
        <v>0</v>
      </c>
      <c r="AB517" s="4">
        <f t="shared" si="279"/>
        <v>0</v>
      </c>
      <c r="AC517" s="8"/>
      <c r="AD517" s="4"/>
      <c r="AE517" s="4"/>
      <c r="AF517" s="4" t="str">
        <f t="shared" ca="1" si="259"/>
        <v>-21</v>
      </c>
      <c r="AG517" s="4"/>
      <c r="AH517" s="4">
        <f>IFERROR(VLOOKUP(M517,Calculations!$AC$2:$AD$251,2,FALSE),0)</f>
        <v>0</v>
      </c>
      <c r="AI517" s="4">
        <f ca="1">VLOOKUP(N517,$N$2:$AS$620,MATCH('Character Creation'!$Z$12,Skills!$N$1:$AS$1,0),FALSE)</f>
        <v>0</v>
      </c>
      <c r="AJ517" s="4">
        <f>VLOOKUP($N517,[2]Cultures!$B$4:$M$283,MATCH(AJ$1,[2]Cultures!$B$3:$M$3,0),FALSE)</f>
        <v>0</v>
      </c>
      <c r="AK517" s="4">
        <f>VLOOKUP($N517,[2]Cultures!$B$4:$M$283,MATCH(AK$1,[2]Cultures!$B$3:$M$3,0),FALSE)</f>
        <v>0</v>
      </c>
      <c r="AL517" s="4">
        <f>VLOOKUP($N517,[2]Cultures!$B$4:$M$283,MATCH(AL$1,[2]Cultures!$B$3:$M$3,0),FALSE)</f>
        <v>0</v>
      </c>
      <c r="AM517" s="4">
        <f>VLOOKUP($N517,[2]Cultures!$B$4:$M$283,MATCH(AM$1,[2]Cultures!$B$3:$M$3,0),FALSE)</f>
        <v>0</v>
      </c>
      <c r="AN517" s="4">
        <f>VLOOKUP($N517,[2]Cultures!$B$4:$M$283,MATCH(AN$1,[2]Cultures!$B$3:$M$3,0),FALSE)</f>
        <v>0</v>
      </c>
      <c r="AO517" s="4">
        <f>VLOOKUP($N517,[2]Cultures!$B$4:$M$283,MATCH(AO$1,[2]Cultures!$B$3:$M$3,0),FALSE)</f>
        <v>0</v>
      </c>
      <c r="AP517" s="4">
        <f>VLOOKUP($N517,[2]Cultures!$B$4:$M$283,MATCH(AP$1,[2]Cultures!$B$3:$M$3,0),FALSE)</f>
        <v>0</v>
      </c>
      <c r="AQ517" s="4">
        <f>VLOOKUP($N517,[2]Cultures!$B$4:$M$283,MATCH(AQ$1,[2]Cultures!$B$3:$M$3,0),FALSE)</f>
        <v>0</v>
      </c>
      <c r="AR517" s="4">
        <f>VLOOKUP($N517,[2]Cultures!$B$4:$M$283,MATCH(AR$1,[2]Cultures!$B$3:$M$3,0),FALSE)</f>
        <v>0</v>
      </c>
      <c r="AS517" s="4">
        <f>VLOOKUP($N517,[2]Cultures!$B$4:$M$283,MATCH(AS$1,[2]Cultures!$B$3:$M$3,0),FALSE)</f>
        <v>0</v>
      </c>
      <c r="AT517" s="4"/>
      <c r="AU517" s="4">
        <f>IF(ISNUMBER(SEARCH(N517&amp;";",Calculations!$Q$19)),VLOOKUP(Skills!N517,Calculations!$Q$2:$T$16,4,FALSE),0)</f>
        <v>0</v>
      </c>
      <c r="AV517" s="4">
        <f>IF(ISNUMBER(SEARCH(N517&amp;";",Calculations!$Q$18)),1,0)</f>
        <v>0</v>
      </c>
      <c r="AW517" s="4">
        <f t="shared" si="270"/>
        <v>0</v>
      </c>
      <c r="AX517" s="4">
        <f>VLOOKUP($N517,$N517:$CH517,MATCH('Character Sheet'!$BJ$3,Skills!$N$1:$CH$1,0),FALSE)</f>
        <v>0</v>
      </c>
    </row>
    <row r="518" spans="1:50" x14ac:dyDescent="0.25">
      <c r="B518" s="4" t="e">
        <f t="shared" ca="1" si="260"/>
        <v>#N/A</v>
      </c>
      <c r="E518" s="4"/>
      <c r="F518" s="4">
        <f t="shared" ca="1" si="271"/>
        <v>0</v>
      </c>
      <c r="G518" s="4"/>
      <c r="H518" s="4" t="e">
        <f t="shared" si="265"/>
        <v>#N/A</v>
      </c>
      <c r="I518" s="4" t="e">
        <f t="shared" si="272"/>
        <v>#N/A</v>
      </c>
      <c r="J518" s="4">
        <f t="shared" si="273"/>
        <v>0</v>
      </c>
      <c r="K518" s="4">
        <f t="shared" ca="1" si="266"/>
        <v>0</v>
      </c>
      <c r="M518" t="str">
        <f t="shared" si="268"/>
        <v>Interrogation</v>
      </c>
      <c r="N518" s="3" t="str">
        <f>'Character Sheet'!CVV9</f>
        <v>Interrogation</v>
      </c>
      <c r="O518" s="4" t="s">
        <v>791</v>
      </c>
      <c r="P518" s="4" t="s">
        <v>781</v>
      </c>
      <c r="Q518" s="4">
        <f t="shared" ca="1" si="263"/>
        <v>0</v>
      </c>
      <c r="R518" s="4">
        <f>IF(ISNUMBER(SEARCH("Category",N518)),"- -",IF(ISNUMBER(SEARCH("Skills",N518)),"- -",'Level-up'!C536))</f>
        <v>0</v>
      </c>
      <c r="S518" s="4">
        <f t="shared" ca="1" si="274"/>
        <v>0</v>
      </c>
      <c r="T518" s="4">
        <f t="shared" ca="1" si="275"/>
        <v>-25</v>
      </c>
      <c r="U518" s="4">
        <f t="shared" ca="1" si="264"/>
        <v>4</v>
      </c>
      <c r="V518" s="4">
        <f t="shared" si="269"/>
        <v>0</v>
      </c>
      <c r="W518" s="4">
        <f t="shared" si="262"/>
        <v>0</v>
      </c>
      <c r="X518" s="4">
        <f t="shared" si="261"/>
        <v>0</v>
      </c>
      <c r="Y518" s="4">
        <f t="shared" si="276"/>
        <v>0</v>
      </c>
      <c r="Z518" s="4">
        <f t="shared" si="277"/>
        <v>0</v>
      </c>
      <c r="AA518" s="4">
        <f t="shared" si="278"/>
        <v>0</v>
      </c>
      <c r="AB518" s="4">
        <f t="shared" si="279"/>
        <v>0</v>
      </c>
      <c r="AC518" s="8"/>
      <c r="AD518" s="4"/>
      <c r="AE518" s="4"/>
      <c r="AF518" s="4" t="str">
        <f t="shared" ca="1" si="259"/>
        <v>-21</v>
      </c>
      <c r="AG518" s="4"/>
      <c r="AH518" s="4">
        <f>IFERROR(VLOOKUP(M518,Calculations!$AC$2:$AD$251,2,FALSE),0)</f>
        <v>0</v>
      </c>
      <c r="AI518" s="4">
        <f ca="1">VLOOKUP(N518,$N$2:$AS$620,MATCH('Character Creation'!$Z$12,Skills!$N$1:$AS$1,0),FALSE)</f>
        <v>0</v>
      </c>
      <c r="AJ518" s="4">
        <f>VLOOKUP($N518,[2]Cultures!$B$4:$M$283,MATCH(AJ$1,[2]Cultures!$B$3:$M$3,0),FALSE)</f>
        <v>0</v>
      </c>
      <c r="AK518" s="4">
        <f>VLOOKUP($N518,[2]Cultures!$B$4:$M$283,MATCH(AK$1,[2]Cultures!$B$3:$M$3,0),FALSE)</f>
        <v>0</v>
      </c>
      <c r="AL518" s="4">
        <f>VLOOKUP($N518,[2]Cultures!$B$4:$M$283,MATCH(AL$1,[2]Cultures!$B$3:$M$3,0),FALSE)</f>
        <v>0</v>
      </c>
      <c r="AM518" s="4">
        <f>VLOOKUP($N518,[2]Cultures!$B$4:$M$283,MATCH(AM$1,[2]Cultures!$B$3:$M$3,0),FALSE)</f>
        <v>0</v>
      </c>
      <c r="AN518" s="4">
        <f>VLOOKUP($N518,[2]Cultures!$B$4:$M$283,MATCH(AN$1,[2]Cultures!$B$3:$M$3,0),FALSE)</f>
        <v>0</v>
      </c>
      <c r="AO518" s="4">
        <f>VLOOKUP($N518,[2]Cultures!$B$4:$M$283,MATCH(AO$1,[2]Cultures!$B$3:$M$3,0),FALSE)</f>
        <v>0</v>
      </c>
      <c r="AP518" s="4">
        <f>VLOOKUP($N518,[2]Cultures!$B$4:$M$283,MATCH(AP$1,[2]Cultures!$B$3:$M$3,0),FALSE)</f>
        <v>0</v>
      </c>
      <c r="AQ518" s="4">
        <f>VLOOKUP($N518,[2]Cultures!$B$4:$M$283,MATCH(AQ$1,[2]Cultures!$B$3:$M$3,0),FALSE)</f>
        <v>0</v>
      </c>
      <c r="AR518" s="4">
        <f>VLOOKUP($N518,[2]Cultures!$B$4:$M$283,MATCH(AR$1,[2]Cultures!$B$3:$M$3,0),FALSE)</f>
        <v>0</v>
      </c>
      <c r="AS518" s="4">
        <f>VLOOKUP($N518,[2]Cultures!$B$4:$M$283,MATCH(AS$1,[2]Cultures!$B$3:$M$3,0),FALSE)</f>
        <v>0</v>
      </c>
      <c r="AT518" s="4"/>
      <c r="AU518" s="4">
        <f>IF(ISNUMBER(SEARCH(N518&amp;";",Calculations!$Q$19)),VLOOKUP(Skills!N518,Calculations!$Q$2:$T$16,4,FALSE),0)</f>
        <v>0</v>
      </c>
      <c r="AV518" s="4">
        <f>IF(ISNUMBER(SEARCH(N518&amp;";",Calculations!$Q$18)),1,0)</f>
        <v>0</v>
      </c>
      <c r="AW518" s="4">
        <f t="shared" si="270"/>
        <v>0</v>
      </c>
      <c r="AX518" s="4">
        <f>VLOOKUP($N518,$N518:$CH518,MATCH('Character Sheet'!$BJ$3,Skills!$N$1:$CH$1,0),FALSE)</f>
        <v>0</v>
      </c>
    </row>
    <row r="519" spans="1:50" x14ac:dyDescent="0.25">
      <c r="B519" s="4" t="e">
        <f t="shared" ca="1" si="260"/>
        <v>#N/A</v>
      </c>
      <c r="E519" s="4"/>
      <c r="F519" s="4">
        <f t="shared" ca="1" si="271"/>
        <v>0</v>
      </c>
      <c r="G519" s="4"/>
      <c r="H519" s="4" t="e">
        <f t="shared" si="265"/>
        <v>#N/A</v>
      </c>
      <c r="I519" s="4" t="e">
        <f t="shared" si="272"/>
        <v>#N/A</v>
      </c>
      <c r="J519" s="4">
        <f t="shared" si="273"/>
        <v>0</v>
      </c>
      <c r="K519" s="4">
        <f t="shared" si="266"/>
        <v>0</v>
      </c>
      <c r="M519" t="str">
        <f t="shared" si="268"/>
        <v>Labour Relations</v>
      </c>
      <c r="N519" s="3" t="str">
        <f>'Character Sheet'!CVV10</f>
        <v>Labour Relations</v>
      </c>
      <c r="O519" s="4" t="s">
        <v>791</v>
      </c>
      <c r="P519" s="4" t="s">
        <v>853</v>
      </c>
      <c r="Q519" s="4">
        <f t="shared" si="263"/>
        <v>0</v>
      </c>
      <c r="R519" s="4">
        <f>IF(ISNUMBER(SEARCH("Category",N519)),"- -",IF(ISNUMBER(SEARCH("Skills",N519)),"- -",'Level-up'!C537))</f>
        <v>0</v>
      </c>
      <c r="S519" s="4">
        <f t="shared" si="274"/>
        <v>0</v>
      </c>
      <c r="T519" s="4">
        <f t="shared" si="275"/>
        <v>-25</v>
      </c>
      <c r="U519" s="4">
        <f t="shared" ca="1" si="264"/>
        <v>12</v>
      </c>
      <c r="V519" s="4">
        <f t="shared" si="269"/>
        <v>0</v>
      </c>
      <c r="W519" s="4">
        <f t="shared" si="262"/>
        <v>0</v>
      </c>
      <c r="X519" s="4">
        <f t="shared" si="261"/>
        <v>0</v>
      </c>
      <c r="Y519" s="4">
        <f t="shared" si="276"/>
        <v>0</v>
      </c>
      <c r="Z519" s="4">
        <f t="shared" si="277"/>
        <v>0</v>
      </c>
      <c r="AA519" s="4">
        <f t="shared" si="278"/>
        <v>0</v>
      </c>
      <c r="AB519" s="4">
        <f t="shared" si="279"/>
        <v>0</v>
      </c>
      <c r="AC519" s="8"/>
      <c r="AD519" s="4"/>
      <c r="AE519" s="4"/>
      <c r="AF519" s="4" t="str">
        <f t="shared" ca="1" si="259"/>
        <v>-13</v>
      </c>
      <c r="AG519" s="4"/>
      <c r="AH519" s="4">
        <f>IFERROR(VLOOKUP(M519,Calculations!$AC$2:$AD$251,2,FALSE),0)</f>
        <v>0</v>
      </c>
      <c r="AI519" s="4">
        <f>VLOOKUP(N519,$N$2:$AS$620,MATCH('Character Creation'!$Z$12,Skills!$N$1:$AS$1,0),FALSE)</f>
        <v>0</v>
      </c>
      <c r="AJ519" s="4">
        <f>VLOOKUP($N519,[2]Cultures!$B$4:$M$283,MATCH(AJ$1,[2]Cultures!$B$3:$M$3,0),FALSE)</f>
        <v>0</v>
      </c>
      <c r="AK519" s="4">
        <f>VLOOKUP($N519,[2]Cultures!$B$4:$M$283,MATCH(AK$1,[2]Cultures!$B$3:$M$3,0),FALSE)</f>
        <v>0</v>
      </c>
      <c r="AL519" s="4">
        <f>VLOOKUP($N519,[2]Cultures!$B$4:$M$283,MATCH(AL$1,[2]Cultures!$B$3:$M$3,0),FALSE)</f>
        <v>0</v>
      </c>
      <c r="AM519" s="4">
        <f>VLOOKUP($N519,[2]Cultures!$B$4:$M$283,MATCH(AM$1,[2]Cultures!$B$3:$M$3,0),FALSE)</f>
        <v>0</v>
      </c>
      <c r="AN519" s="4">
        <f>VLOOKUP($N519,[2]Cultures!$B$4:$M$283,MATCH(AN$1,[2]Cultures!$B$3:$M$3,0),FALSE)</f>
        <v>0</v>
      </c>
      <c r="AO519" s="4">
        <f>VLOOKUP($N519,[2]Cultures!$B$4:$M$283,MATCH(AO$1,[2]Cultures!$B$3:$M$3,0),FALSE)</f>
        <v>0</v>
      </c>
      <c r="AP519" s="4">
        <f>VLOOKUP($N519,[2]Cultures!$B$4:$M$283,MATCH(AP$1,[2]Cultures!$B$3:$M$3,0),FALSE)</f>
        <v>0</v>
      </c>
      <c r="AQ519" s="4">
        <f>VLOOKUP($N519,[2]Cultures!$B$4:$M$283,MATCH(AQ$1,[2]Cultures!$B$3:$M$3,0),FALSE)</f>
        <v>0</v>
      </c>
      <c r="AR519" s="4">
        <f>VLOOKUP($N519,[2]Cultures!$B$4:$M$283,MATCH(AR$1,[2]Cultures!$B$3:$M$3,0),FALSE)</f>
        <v>0</v>
      </c>
      <c r="AS519" s="4">
        <f>VLOOKUP($N519,[2]Cultures!$B$4:$M$283,MATCH(AS$1,[2]Cultures!$B$3:$M$3,0),FALSE)</f>
        <v>0</v>
      </c>
      <c r="AT519" s="4"/>
      <c r="AU519" s="4">
        <f>IF(ISNUMBER(SEARCH(N519&amp;";",Calculations!$Q$19)),VLOOKUP(Skills!N519,Calculations!$Q$2:$T$16,4,FALSE),0)</f>
        <v>0</v>
      </c>
      <c r="AV519" s="4">
        <f>IF(ISNUMBER(SEARCH(N519&amp;";",Calculations!$Q$18)),1,0)</f>
        <v>0</v>
      </c>
      <c r="AW519" s="4">
        <f t="shared" si="270"/>
        <v>0</v>
      </c>
      <c r="AX519" s="4">
        <f>VLOOKUP($N519,$N519:$CH519,MATCH('Character Sheet'!$BJ$3,Skills!$N$1:$CH$1,0),FALSE)</f>
        <v>0</v>
      </c>
    </row>
    <row r="520" spans="1:50" x14ac:dyDescent="0.25">
      <c r="B520" s="4" t="e">
        <f t="shared" ca="1" si="260"/>
        <v>#N/A</v>
      </c>
      <c r="E520" s="4"/>
      <c r="F520" s="4">
        <f t="shared" ca="1" si="271"/>
        <v>0</v>
      </c>
      <c r="G520" s="4"/>
      <c r="H520" s="4" t="e">
        <f t="shared" si="265"/>
        <v>#N/A</v>
      </c>
      <c r="I520" s="4" t="e">
        <f t="shared" si="272"/>
        <v>#N/A</v>
      </c>
      <c r="J520" s="4">
        <f t="shared" si="273"/>
        <v>0</v>
      </c>
      <c r="K520" s="4">
        <f t="shared" si="266"/>
        <v>0</v>
      </c>
      <c r="M520" t="str">
        <f t="shared" si="268"/>
        <v>Leadership</v>
      </c>
      <c r="N520" s="3" t="str">
        <f>'Character Sheet'!CVV11</f>
        <v>Leadership</v>
      </c>
      <c r="O520" s="4" t="s">
        <v>791</v>
      </c>
      <c r="P520" s="4" t="s">
        <v>781</v>
      </c>
      <c r="Q520" s="4">
        <f t="shared" si="263"/>
        <v>0</v>
      </c>
      <c r="R520" s="4">
        <f>IF(ISNUMBER(SEARCH("Category",N520)),"- -",IF(ISNUMBER(SEARCH("Skills",N520)),"- -",'Level-up'!C538))</f>
        <v>0</v>
      </c>
      <c r="S520" s="4">
        <f t="shared" si="274"/>
        <v>0</v>
      </c>
      <c r="T520" s="4">
        <f t="shared" si="275"/>
        <v>-25</v>
      </c>
      <c r="U520" s="4">
        <f t="shared" ca="1" si="264"/>
        <v>4</v>
      </c>
      <c r="V520" s="4">
        <f t="shared" si="269"/>
        <v>0</v>
      </c>
      <c r="W520" s="4">
        <f t="shared" si="262"/>
        <v>0</v>
      </c>
      <c r="X520" s="4">
        <f t="shared" si="261"/>
        <v>0</v>
      </c>
      <c r="Y520" s="4">
        <f t="shared" si="276"/>
        <v>0</v>
      </c>
      <c r="Z520" s="4">
        <f t="shared" si="277"/>
        <v>0</v>
      </c>
      <c r="AA520" s="4">
        <f t="shared" si="278"/>
        <v>0</v>
      </c>
      <c r="AB520" s="4">
        <f t="shared" si="279"/>
        <v>0</v>
      </c>
      <c r="AC520" s="8"/>
      <c r="AD520" s="4"/>
      <c r="AE520" s="4"/>
      <c r="AF520" s="4" t="str">
        <f t="shared" ca="1" si="259"/>
        <v>-21</v>
      </c>
      <c r="AG520" s="4"/>
      <c r="AH520" s="4">
        <f>IFERROR(VLOOKUP(M520,Calculations!$AC$2:$AD$251,2,FALSE),0)</f>
        <v>0</v>
      </c>
      <c r="AI520" s="4">
        <f>VLOOKUP(N520,$N$2:$AS$620,MATCH('Character Creation'!$Z$12,Skills!$N$1:$AS$1,0),FALSE)</f>
        <v>0</v>
      </c>
      <c r="AJ520" s="4">
        <f>VLOOKUP($N520,[2]Cultures!$B$4:$M$283,MATCH(AJ$1,[2]Cultures!$B$3:$M$3,0),FALSE)</f>
        <v>0</v>
      </c>
      <c r="AK520" s="4">
        <f>VLOOKUP($N520,[2]Cultures!$B$4:$M$283,MATCH(AK$1,[2]Cultures!$B$3:$M$3,0),FALSE)</f>
        <v>0</v>
      </c>
      <c r="AL520" s="4">
        <f>VLOOKUP($N520,[2]Cultures!$B$4:$M$283,MATCH(AL$1,[2]Cultures!$B$3:$M$3,0),FALSE)</f>
        <v>0</v>
      </c>
      <c r="AM520" s="4">
        <f>VLOOKUP($N520,[2]Cultures!$B$4:$M$283,MATCH(AM$1,[2]Cultures!$B$3:$M$3,0),FALSE)</f>
        <v>0</v>
      </c>
      <c r="AN520" s="4">
        <f>VLOOKUP($N520,[2]Cultures!$B$4:$M$283,MATCH(AN$1,[2]Cultures!$B$3:$M$3,0),FALSE)</f>
        <v>0</v>
      </c>
      <c r="AO520" s="4">
        <f>VLOOKUP($N520,[2]Cultures!$B$4:$M$283,MATCH(AO$1,[2]Cultures!$B$3:$M$3,0),FALSE)</f>
        <v>0</v>
      </c>
      <c r="AP520" s="4">
        <f>VLOOKUP($N520,[2]Cultures!$B$4:$M$283,MATCH(AP$1,[2]Cultures!$B$3:$M$3,0),FALSE)</f>
        <v>0</v>
      </c>
      <c r="AQ520" s="4">
        <f>VLOOKUP($N520,[2]Cultures!$B$4:$M$283,MATCH(AQ$1,[2]Cultures!$B$3:$M$3,0),FALSE)</f>
        <v>0</v>
      </c>
      <c r="AR520" s="4">
        <f>VLOOKUP($N520,[2]Cultures!$B$4:$M$283,MATCH(AR$1,[2]Cultures!$B$3:$M$3,0),FALSE)</f>
        <v>0</v>
      </c>
      <c r="AS520" s="4">
        <f>VLOOKUP($N520,[2]Cultures!$B$4:$M$283,MATCH(AS$1,[2]Cultures!$B$3:$M$3,0),FALSE)</f>
        <v>0</v>
      </c>
      <c r="AT520" s="4"/>
      <c r="AU520" s="4">
        <f>IF(ISNUMBER(SEARCH(N520&amp;";",Calculations!$Q$19)),VLOOKUP(Skills!N520,Calculations!$Q$2:$T$16,4,FALSE),0)</f>
        <v>0</v>
      </c>
      <c r="AV520" s="4">
        <f>IF(ISNUMBER(SEARCH(N520&amp;";",Calculations!$Q$18)),1,0)</f>
        <v>0</v>
      </c>
      <c r="AW520" s="4">
        <f t="shared" si="270"/>
        <v>0</v>
      </c>
      <c r="AX520" s="4">
        <f>VLOOKUP($N520,$N520:$CH520,MATCH('Character Sheet'!$BJ$3,Skills!$N$1:$CH$1,0),FALSE)</f>
        <v>0</v>
      </c>
    </row>
    <row r="521" spans="1:50" x14ac:dyDescent="0.25">
      <c r="B521" s="4" t="e">
        <f t="shared" ca="1" si="260"/>
        <v>#N/A</v>
      </c>
      <c r="E521" s="4"/>
      <c r="F521" s="4">
        <f t="shared" ca="1" si="271"/>
        <v>0</v>
      </c>
      <c r="G521" s="4"/>
      <c r="H521" s="4" t="e">
        <f t="shared" si="265"/>
        <v>#N/A</v>
      </c>
      <c r="I521" s="4" t="e">
        <f t="shared" si="272"/>
        <v>#N/A</v>
      </c>
      <c r="J521" s="4">
        <f t="shared" si="273"/>
        <v>0</v>
      </c>
      <c r="K521" s="4">
        <f t="shared" si="266"/>
        <v>0</v>
      </c>
      <c r="M521" t="str">
        <f t="shared" si="268"/>
        <v>Proselytism</v>
      </c>
      <c r="N521" s="3" t="str">
        <f>'Character Sheet'!CVV12</f>
        <v>Proselytism</v>
      </c>
      <c r="O521" s="4" t="s">
        <v>791</v>
      </c>
      <c r="P521" s="4" t="s">
        <v>781</v>
      </c>
      <c r="Q521" s="4">
        <f t="shared" si="263"/>
        <v>0</v>
      </c>
      <c r="R521" s="4">
        <f>IF(ISNUMBER(SEARCH("Category",N521)),"- -",IF(ISNUMBER(SEARCH("Skills",N521)),"- -",'Level-up'!C539))</f>
        <v>0</v>
      </c>
      <c r="S521" s="4">
        <f t="shared" si="274"/>
        <v>0</v>
      </c>
      <c r="T521" s="4">
        <f t="shared" si="275"/>
        <v>-25</v>
      </c>
      <c r="U521" s="4">
        <f t="shared" ca="1" si="264"/>
        <v>4</v>
      </c>
      <c r="V521" s="4">
        <f t="shared" si="269"/>
        <v>0</v>
      </c>
      <c r="W521" s="4">
        <f t="shared" si="262"/>
        <v>0</v>
      </c>
      <c r="X521" s="4">
        <f t="shared" si="261"/>
        <v>0</v>
      </c>
      <c r="Y521" s="4">
        <f t="shared" si="276"/>
        <v>0</v>
      </c>
      <c r="Z521" s="4">
        <f t="shared" si="277"/>
        <v>0</v>
      </c>
      <c r="AA521" s="4">
        <f t="shared" si="278"/>
        <v>0</v>
      </c>
      <c r="AB521" s="4">
        <f t="shared" si="279"/>
        <v>0</v>
      </c>
      <c r="AC521" s="8"/>
      <c r="AD521" s="4"/>
      <c r="AE521" s="4"/>
      <c r="AF521" s="4" t="str">
        <f t="shared" ca="1" si="259"/>
        <v>-21</v>
      </c>
      <c r="AG521" s="4"/>
      <c r="AH521" s="4">
        <f>IFERROR(VLOOKUP(M521,Calculations!$AC$2:$AD$251,2,FALSE),0)</f>
        <v>0</v>
      </c>
      <c r="AI521" s="4">
        <f>VLOOKUP(N521,$N$2:$AS$620,MATCH('Character Creation'!$Z$12,Skills!$N$1:$AS$1,0),FALSE)</f>
        <v>0</v>
      </c>
      <c r="AJ521" s="4">
        <f>VLOOKUP($N521,[2]Cultures!$B$4:$M$283,MATCH(AJ$1,[2]Cultures!$B$3:$M$3,0),FALSE)</f>
        <v>0</v>
      </c>
      <c r="AK521" s="4">
        <f>VLOOKUP($N521,[2]Cultures!$B$4:$M$283,MATCH(AK$1,[2]Cultures!$B$3:$M$3,0),FALSE)</f>
        <v>0</v>
      </c>
      <c r="AL521" s="4">
        <f>VLOOKUP($N521,[2]Cultures!$B$4:$M$283,MATCH(AL$1,[2]Cultures!$B$3:$M$3,0),FALSE)</f>
        <v>0</v>
      </c>
      <c r="AM521" s="4">
        <f>VLOOKUP($N521,[2]Cultures!$B$4:$M$283,MATCH(AM$1,[2]Cultures!$B$3:$M$3,0),FALSE)</f>
        <v>0</v>
      </c>
      <c r="AN521" s="4">
        <f>VLOOKUP($N521,[2]Cultures!$B$4:$M$283,MATCH(AN$1,[2]Cultures!$B$3:$M$3,0),FALSE)</f>
        <v>0</v>
      </c>
      <c r="AO521" s="4">
        <f>VLOOKUP($N521,[2]Cultures!$B$4:$M$283,MATCH(AO$1,[2]Cultures!$B$3:$M$3,0),FALSE)</f>
        <v>0</v>
      </c>
      <c r="AP521" s="4">
        <f>VLOOKUP($N521,[2]Cultures!$B$4:$M$283,MATCH(AP$1,[2]Cultures!$B$3:$M$3,0),FALSE)</f>
        <v>0</v>
      </c>
      <c r="AQ521" s="4">
        <f>VLOOKUP($N521,[2]Cultures!$B$4:$M$283,MATCH(AQ$1,[2]Cultures!$B$3:$M$3,0),FALSE)</f>
        <v>0</v>
      </c>
      <c r="AR521" s="4">
        <f>VLOOKUP($N521,[2]Cultures!$B$4:$M$283,MATCH(AR$1,[2]Cultures!$B$3:$M$3,0),FALSE)</f>
        <v>0</v>
      </c>
      <c r="AS521" s="4">
        <f>VLOOKUP($N521,[2]Cultures!$B$4:$M$283,MATCH(AS$1,[2]Cultures!$B$3:$M$3,0),FALSE)</f>
        <v>0</v>
      </c>
      <c r="AT521" s="4"/>
      <c r="AU521" s="4">
        <f>IF(ISNUMBER(SEARCH(N521&amp;";",Calculations!$Q$19)),VLOOKUP(Skills!N521,Calculations!$Q$2:$T$16,4,FALSE),0)</f>
        <v>0</v>
      </c>
      <c r="AV521" s="4">
        <f>IF(ISNUMBER(SEARCH(N521&amp;";",Calculations!$Q$18)),1,0)</f>
        <v>0</v>
      </c>
      <c r="AW521" s="4">
        <f t="shared" si="270"/>
        <v>0</v>
      </c>
      <c r="AX521" s="4">
        <f>VLOOKUP($N521,$N521:$CH521,MATCH('Character Sheet'!$BJ$3,Skills!$N$1:$CH$1,0),FALSE)</f>
        <v>0</v>
      </c>
    </row>
    <row r="522" spans="1:50" x14ac:dyDescent="0.25">
      <c r="A522" s="4" t="s">
        <v>2240</v>
      </c>
      <c r="B522" s="4" t="e">
        <f t="shared" ca="1" si="260"/>
        <v>#N/A</v>
      </c>
      <c r="E522" s="4"/>
      <c r="F522" s="4">
        <f t="shared" ca="1" si="271"/>
        <v>0</v>
      </c>
      <c r="G522" s="4"/>
      <c r="H522" s="4" t="e">
        <f t="shared" si="265"/>
        <v>#N/A</v>
      </c>
      <c r="I522" s="4" t="e">
        <f t="shared" si="272"/>
        <v>#N/A</v>
      </c>
      <c r="J522" s="4">
        <f t="shared" si="273"/>
        <v>0</v>
      </c>
      <c r="K522" s="4">
        <f t="shared" si="266"/>
        <v>0</v>
      </c>
      <c r="M522" t="str">
        <f t="shared" si="268"/>
        <v>Social Awareness</v>
      </c>
      <c r="N522" s="3" t="str">
        <f>'Character Sheet'!CVV13</f>
        <v>Social Awareness</v>
      </c>
      <c r="O522" s="4" t="s">
        <v>791</v>
      </c>
      <c r="P522" s="4" t="s">
        <v>853</v>
      </c>
      <c r="Q522" s="4">
        <f t="shared" si="263"/>
        <v>0</v>
      </c>
      <c r="R522" s="4">
        <f>IF(ISNUMBER(SEARCH("Category",N522)),"- -",IF(ISNUMBER(SEARCH("Skills",N522)),"- -",'Level-up'!C540))</f>
        <v>0</v>
      </c>
      <c r="S522" s="4">
        <f t="shared" si="274"/>
        <v>0</v>
      </c>
      <c r="T522" s="4">
        <f t="shared" si="275"/>
        <v>-25</v>
      </c>
      <c r="U522" s="4">
        <f t="shared" ca="1" si="264"/>
        <v>12</v>
      </c>
      <c r="V522" s="4">
        <f t="shared" si="269"/>
        <v>0</v>
      </c>
      <c r="W522" s="4">
        <f t="shared" si="262"/>
        <v>0</v>
      </c>
      <c r="X522" s="4">
        <f t="shared" si="261"/>
        <v>0</v>
      </c>
      <c r="Y522" s="4">
        <f t="shared" si="276"/>
        <v>0</v>
      </c>
      <c r="Z522" s="4">
        <f t="shared" si="277"/>
        <v>0</v>
      </c>
      <c r="AA522" s="4">
        <f t="shared" si="278"/>
        <v>0</v>
      </c>
      <c r="AB522" s="4">
        <f t="shared" si="279"/>
        <v>0</v>
      </c>
      <c r="AC522" s="8"/>
      <c r="AD522" s="4"/>
      <c r="AE522" s="4"/>
      <c r="AF522" s="4" t="str">
        <f t="shared" ref="AF522:AF583" ca="1" si="280">IF(ISNUMBER(SEARCH("Skills",N522)),"- -",IF(ISNUMBER(SEARCH("category",N522)),"- -",SUM(T522:Y522)+SUM(AA522:AE522)&amp;IF(AA522=Z522,"","/"&amp;SUM(T522:AE522))))</f>
        <v>-13</v>
      </c>
      <c r="AG522" s="4"/>
      <c r="AH522" s="4">
        <f>IFERROR(VLOOKUP(M522,Calculations!$AC$2:$AD$251,2,FALSE),0)</f>
        <v>0</v>
      </c>
      <c r="AI522" s="4">
        <f>VLOOKUP(N522,$N$2:$AS$620,MATCH('Character Creation'!$Z$12,Skills!$N$1:$AS$1,0),FALSE)</f>
        <v>0</v>
      </c>
      <c r="AJ522" s="4">
        <f>VLOOKUP($N522,[2]Cultures!$B$4:$M$283,MATCH(AJ$1,[2]Cultures!$B$3:$M$3,0),FALSE)</f>
        <v>3</v>
      </c>
      <c r="AK522" s="4">
        <f>VLOOKUP($N522,[2]Cultures!$B$4:$M$283,MATCH(AK$1,[2]Cultures!$B$3:$M$3,0),FALSE)</f>
        <v>0</v>
      </c>
      <c r="AL522" s="4">
        <f>VLOOKUP($N522,[2]Cultures!$B$4:$M$283,MATCH(AL$1,[2]Cultures!$B$3:$M$3,0),FALSE)</f>
        <v>1</v>
      </c>
      <c r="AM522" s="4">
        <f>VLOOKUP($N522,[2]Cultures!$B$4:$M$283,MATCH(AM$1,[2]Cultures!$B$3:$M$3,0),FALSE)</f>
        <v>1</v>
      </c>
      <c r="AN522" s="4">
        <f>VLOOKUP($N522,[2]Cultures!$B$4:$M$283,MATCH(AN$1,[2]Cultures!$B$3:$M$3,0),FALSE)</f>
        <v>1</v>
      </c>
      <c r="AO522" s="4">
        <f>VLOOKUP($N522,[2]Cultures!$B$4:$M$283,MATCH(AO$1,[2]Cultures!$B$3:$M$3,0),FALSE)</f>
        <v>0</v>
      </c>
      <c r="AP522" s="4">
        <f>VLOOKUP($N522,[2]Cultures!$B$4:$M$283,MATCH(AP$1,[2]Cultures!$B$3:$M$3,0),FALSE)</f>
        <v>1</v>
      </c>
      <c r="AQ522" s="4">
        <f>VLOOKUP($N522,[2]Cultures!$B$4:$M$283,MATCH(AQ$1,[2]Cultures!$B$3:$M$3,0),FALSE)</f>
        <v>1</v>
      </c>
      <c r="AR522" s="4">
        <f>VLOOKUP($N522,[2]Cultures!$B$4:$M$283,MATCH(AR$1,[2]Cultures!$B$3:$M$3,0),FALSE)</f>
        <v>1</v>
      </c>
      <c r="AS522" s="4">
        <f>VLOOKUP($N522,[2]Cultures!$B$4:$M$283,MATCH(AS$1,[2]Cultures!$B$3:$M$3,0),FALSE)</f>
        <v>2</v>
      </c>
      <c r="AT522" s="4"/>
      <c r="AU522" s="4">
        <f>IF(ISNUMBER(SEARCH(N522&amp;";",Calculations!$Q$19)),VLOOKUP(Skills!N522,Calculations!$Q$2:$T$16,4,FALSE),0)</f>
        <v>0</v>
      </c>
      <c r="AV522" s="4">
        <f>IF(ISNUMBER(SEARCH(N522&amp;";",Calculations!$Q$18)),1,0)</f>
        <v>0</v>
      </c>
      <c r="AW522" s="4">
        <f t="shared" si="270"/>
        <v>0</v>
      </c>
      <c r="AX522" s="4">
        <f>VLOOKUP($N522,$N522:$CH522,MATCH('Character Sheet'!$BJ$3,Skills!$N$1:$CH$1,0),FALSE)</f>
        <v>0</v>
      </c>
    </row>
    <row r="523" spans="1:50" x14ac:dyDescent="0.25">
      <c r="A523" s="4" t="s">
        <v>2240</v>
      </c>
      <c r="B523" s="4" t="e">
        <f t="shared" ca="1" si="260"/>
        <v>#N/A</v>
      </c>
      <c r="E523" s="4"/>
      <c r="F523" s="4">
        <f t="shared" ca="1" si="271"/>
        <v>0</v>
      </c>
      <c r="G523" s="4"/>
      <c r="H523" s="4" t="e">
        <f t="shared" si="265"/>
        <v>#N/A</v>
      </c>
      <c r="I523" s="4" t="e">
        <f t="shared" si="272"/>
        <v>#N/A</v>
      </c>
      <c r="J523" s="4">
        <f t="shared" si="273"/>
        <v>0</v>
      </c>
      <c r="K523" s="4">
        <f t="shared" si="266"/>
        <v>0</v>
      </c>
      <c r="M523" t="str">
        <f t="shared" si="268"/>
        <v>Trading</v>
      </c>
      <c r="N523" s="3" t="str">
        <f>'Character Sheet'!CVV14</f>
        <v>Trading</v>
      </c>
      <c r="O523" s="4" t="s">
        <v>791</v>
      </c>
      <c r="P523" s="4" t="s">
        <v>781</v>
      </c>
      <c r="Q523" s="4">
        <f t="shared" si="263"/>
        <v>0</v>
      </c>
      <c r="R523" s="4">
        <f>IF(ISNUMBER(SEARCH("Category",N523)),"- -",IF(ISNUMBER(SEARCH("Skills",N523)),"- -",'Level-up'!C541))</f>
        <v>0</v>
      </c>
      <c r="S523" s="4">
        <f t="shared" si="274"/>
        <v>0</v>
      </c>
      <c r="T523" s="4">
        <f t="shared" si="275"/>
        <v>-25</v>
      </c>
      <c r="U523" s="4">
        <f t="shared" ca="1" si="264"/>
        <v>4</v>
      </c>
      <c r="V523" s="4">
        <f t="shared" si="269"/>
        <v>0</v>
      </c>
      <c r="W523" s="4">
        <f t="shared" si="262"/>
        <v>0</v>
      </c>
      <c r="X523" s="4">
        <f t="shared" si="261"/>
        <v>0</v>
      </c>
      <c r="Y523" s="4">
        <f t="shared" si="276"/>
        <v>0</v>
      </c>
      <c r="Z523" s="4">
        <f t="shared" si="277"/>
        <v>0</v>
      </c>
      <c r="AA523" s="4">
        <f t="shared" si="278"/>
        <v>0</v>
      </c>
      <c r="AB523" s="4">
        <f t="shared" si="279"/>
        <v>0</v>
      </c>
      <c r="AC523" s="8"/>
      <c r="AD523" s="4"/>
      <c r="AE523" s="4"/>
      <c r="AF523" s="4" t="str">
        <f t="shared" ca="1" si="280"/>
        <v>-21</v>
      </c>
      <c r="AG523" s="4"/>
      <c r="AH523" s="4">
        <f>IFERROR(VLOOKUP(M523,Calculations!$AC$2:$AD$251,2,FALSE),0)</f>
        <v>0</v>
      </c>
      <c r="AI523" s="4">
        <f>VLOOKUP(N523,$N$2:$AS$620,MATCH('Character Creation'!$Z$12,Skills!$N$1:$AS$1,0),FALSE)</f>
        <v>0</v>
      </c>
      <c r="AJ523" s="4">
        <f>VLOOKUP($N523,[2]Cultures!$B$4:$M$283,MATCH(AJ$1,[2]Cultures!$B$3:$M$3,0),FALSE)</f>
        <v>1</v>
      </c>
      <c r="AK523" s="4">
        <f>VLOOKUP($N523,[2]Cultures!$B$4:$M$283,MATCH(AK$1,[2]Cultures!$B$3:$M$3,0),FALSE)</f>
        <v>0</v>
      </c>
      <c r="AL523" s="4">
        <f>VLOOKUP($N523,[2]Cultures!$B$4:$M$283,MATCH(AL$1,[2]Cultures!$B$3:$M$3,0),FALSE)</f>
        <v>0</v>
      </c>
      <c r="AM523" s="4">
        <f>VLOOKUP($N523,[2]Cultures!$B$4:$M$283,MATCH(AM$1,[2]Cultures!$B$3:$M$3,0),FALSE)</f>
        <v>1</v>
      </c>
      <c r="AN523" s="4">
        <f>VLOOKUP($N523,[2]Cultures!$B$4:$M$283,MATCH(AN$1,[2]Cultures!$B$3:$M$3,0),FALSE)</f>
        <v>1</v>
      </c>
      <c r="AO523" s="4">
        <f>VLOOKUP($N523,[2]Cultures!$B$4:$M$283,MATCH(AO$1,[2]Cultures!$B$3:$M$3,0),FALSE)</f>
        <v>0</v>
      </c>
      <c r="AP523" s="4">
        <f>VLOOKUP($N523,[2]Cultures!$B$4:$M$283,MATCH(AP$1,[2]Cultures!$B$3:$M$3,0),FALSE)</f>
        <v>1</v>
      </c>
      <c r="AQ523" s="4">
        <f>VLOOKUP($N523,[2]Cultures!$B$4:$M$283,MATCH(AQ$1,[2]Cultures!$B$3:$M$3,0),FALSE)</f>
        <v>0</v>
      </c>
      <c r="AR523" s="4">
        <f>VLOOKUP($N523,[2]Cultures!$B$4:$M$283,MATCH(AR$1,[2]Cultures!$B$3:$M$3,0),FALSE)</f>
        <v>0</v>
      </c>
      <c r="AS523" s="4">
        <f>VLOOKUP($N523,[2]Cultures!$B$4:$M$283,MATCH(AS$1,[2]Cultures!$B$3:$M$3,0),FALSE)</f>
        <v>2</v>
      </c>
      <c r="AT523" s="4"/>
      <c r="AU523" s="4">
        <f>IF(ISNUMBER(SEARCH(N523&amp;";",Calculations!$Q$19)),VLOOKUP(Skills!N523,Calculations!$Q$2:$T$16,4,FALSE),0)</f>
        <v>0</v>
      </c>
      <c r="AV523" s="4">
        <f>IF(ISNUMBER(SEARCH(N523&amp;";",Calculations!$Q$18)),1,0)</f>
        <v>0</v>
      </c>
      <c r="AW523" s="4">
        <f t="shared" si="270"/>
        <v>0</v>
      </c>
      <c r="AX523" s="4">
        <f>VLOOKUP($N523,$N523:$CH523,MATCH('Character Sheet'!$BJ$3,Skills!$N$1:$CH$1,0),FALSE)</f>
        <v>0</v>
      </c>
    </row>
    <row r="524" spans="1:50" x14ac:dyDescent="0.25">
      <c r="B524" s="4" t="e">
        <f t="shared" ca="1" si="260"/>
        <v>#N/A</v>
      </c>
      <c r="E524" s="4"/>
      <c r="F524" s="4">
        <f t="shared" ca="1" si="271"/>
        <v>0</v>
      </c>
      <c r="G524" s="4"/>
      <c r="H524" s="4" t="e">
        <f t="shared" si="265"/>
        <v>#N/A</v>
      </c>
      <c r="I524" s="4" t="e">
        <f>IF($J$511=1,1,IF($J$525=1,1,0))</f>
        <v>#N/A</v>
      </c>
      <c r="J524" s="4">
        <f t="shared" si="273"/>
        <v>0</v>
      </c>
      <c r="K524" s="4" t="e">
        <f t="shared" ca="1" si="266"/>
        <v>#N/A</v>
      </c>
      <c r="N524" s="3" t="s">
        <v>732</v>
      </c>
      <c r="O524" s="6" t="s">
        <v>782</v>
      </c>
      <c r="P524" s="6" t="s">
        <v>782</v>
      </c>
      <c r="Q524" s="4" t="str">
        <f t="shared" si="263"/>
        <v>- -</v>
      </c>
      <c r="R524" s="4" t="str">
        <f>IF(ISNUMBER(SEARCH("Category",N524)),"- -",IF(ISNUMBER(SEARCH("Skills",N524)),"- -",'Level-up'!C542))</f>
        <v>- -</v>
      </c>
      <c r="S524" s="4" t="str">
        <f t="shared" si="274"/>
        <v>- -</v>
      </c>
      <c r="T524" s="4" t="str">
        <f t="shared" si="275"/>
        <v>- -</v>
      </c>
      <c r="U524" s="4" t="str">
        <f t="shared" ca="1" si="264"/>
        <v>- -</v>
      </c>
      <c r="V524" s="4" t="str">
        <f t="shared" si="269"/>
        <v>- -</v>
      </c>
      <c r="W524" s="4" t="str">
        <f t="shared" si="262"/>
        <v>- -</v>
      </c>
      <c r="X524" s="4" t="str">
        <f t="shared" si="261"/>
        <v>- -</v>
      </c>
      <c r="Y524" s="4" t="str">
        <f t="shared" si="276"/>
        <v>- -</v>
      </c>
      <c r="Z524" s="4" t="str">
        <f t="shared" si="277"/>
        <v>- -</v>
      </c>
      <c r="AA524" s="4" t="str">
        <f t="shared" si="278"/>
        <v>- -</v>
      </c>
      <c r="AB524" s="4" t="str">
        <f t="shared" si="279"/>
        <v>- -</v>
      </c>
      <c r="AC524" s="8"/>
      <c r="AD524" s="4"/>
      <c r="AE524" s="4"/>
      <c r="AF524" s="4" t="str">
        <f t="shared" si="280"/>
        <v>- -</v>
      </c>
      <c r="AG524" s="4"/>
      <c r="AH524" s="4">
        <f>IFERROR(VLOOKUP(M524,Calculations!$AC$2:$AD$251,2,FALSE),0)</f>
        <v>0</v>
      </c>
      <c r="AI524" s="4" t="e">
        <f ca="1">VLOOKUP(N524,$N$2:$AS$620,MATCH('Character Creation'!$Z$12,Skills!$N$1:$AS$1,0),FALSE)</f>
        <v>#N/A</v>
      </c>
      <c r="AJ524" s="4" t="e">
        <f>VLOOKUP($N524,[2]Cultures!$B$4:$M$283,MATCH(AJ$1,[2]Cultures!$B$3:$M$3,0),FALSE)</f>
        <v>#N/A</v>
      </c>
      <c r="AK524" s="4" t="e">
        <f>VLOOKUP($N524,[2]Cultures!$B$4:$M$283,MATCH(AK$1,[2]Cultures!$B$3:$M$3,0),FALSE)</f>
        <v>#N/A</v>
      </c>
      <c r="AL524" s="4" t="e">
        <f>VLOOKUP($N524,[2]Cultures!$B$4:$M$283,MATCH(AL$1,[2]Cultures!$B$3:$M$3,0),FALSE)</f>
        <v>#N/A</v>
      </c>
      <c r="AM524" s="4" t="e">
        <f>VLOOKUP($N524,[2]Cultures!$B$4:$M$283,MATCH(AM$1,[2]Cultures!$B$3:$M$3,0),FALSE)</f>
        <v>#N/A</v>
      </c>
      <c r="AN524" s="4" t="e">
        <f>VLOOKUP($N524,[2]Cultures!$B$4:$M$283,MATCH(AN$1,[2]Cultures!$B$3:$M$3,0),FALSE)</f>
        <v>#N/A</v>
      </c>
      <c r="AO524" s="4" t="e">
        <f>VLOOKUP($N524,[2]Cultures!$B$4:$M$283,MATCH(AO$1,[2]Cultures!$B$3:$M$3,0),FALSE)</f>
        <v>#N/A</v>
      </c>
      <c r="AP524" s="4" t="e">
        <f>VLOOKUP($N524,[2]Cultures!$B$4:$M$283,MATCH(AP$1,[2]Cultures!$B$3:$M$3,0),FALSE)</f>
        <v>#N/A</v>
      </c>
      <c r="AQ524" s="4" t="e">
        <f>VLOOKUP($N524,[2]Cultures!$B$4:$M$283,MATCH(AQ$1,[2]Cultures!$B$3:$M$3,0),FALSE)</f>
        <v>#N/A</v>
      </c>
      <c r="AR524" s="4" t="e">
        <f>VLOOKUP($N524,[2]Cultures!$B$4:$M$283,MATCH(AR$1,[2]Cultures!$B$3:$M$3,0),FALSE)</f>
        <v>#N/A</v>
      </c>
      <c r="AS524" s="4" t="e">
        <f>VLOOKUP($N524,[2]Cultures!$B$4:$M$283,MATCH(AS$1,[2]Cultures!$B$3:$M$3,0),FALSE)</f>
        <v>#N/A</v>
      </c>
      <c r="AT524" s="4"/>
      <c r="AU524" s="4">
        <f>IF(ISNUMBER(SEARCH(N524&amp;";",Calculations!$Q$19)),VLOOKUP(Skills!N524,Calculations!$Q$2:$T$16,4,FALSE),0)</f>
        <v>0</v>
      </c>
      <c r="AV524" s="4">
        <f>IF(ISNUMBER(SEARCH(N524&amp;";",Calculations!$Q$18)),1,0)</f>
        <v>1</v>
      </c>
      <c r="AW524" s="4"/>
      <c r="AX524" s="4">
        <f>VLOOKUP($N524,$N524:$CH524,MATCH('Character Sheet'!$BJ$3,Skills!$N$1:$CH$1,0),FALSE)</f>
        <v>0</v>
      </c>
    </row>
    <row r="525" spans="1:50" x14ac:dyDescent="0.25">
      <c r="B525" s="4" t="e">
        <f t="shared" ca="1" si="260"/>
        <v>#N/A</v>
      </c>
      <c r="E525" s="4"/>
      <c r="F525" s="4">
        <f t="shared" ca="1" si="271"/>
        <v>0</v>
      </c>
      <c r="G525" s="4"/>
      <c r="H525" s="4" t="e">
        <f t="shared" si="265"/>
        <v>#N/A</v>
      </c>
      <c r="I525" s="4">
        <v>0</v>
      </c>
      <c r="J525" s="4" t="e">
        <f t="shared" ca="1" si="273"/>
        <v>#N/A</v>
      </c>
      <c r="K525" s="4" t="e">
        <f t="shared" ca="1" si="266"/>
        <v>#N/A</v>
      </c>
      <c r="N525" s="3" t="s">
        <v>733</v>
      </c>
      <c r="O525" s="6" t="s">
        <v>782</v>
      </c>
      <c r="P525" s="6" t="s">
        <v>782</v>
      </c>
      <c r="Q525" s="4" t="str">
        <f t="shared" si="263"/>
        <v>- -</v>
      </c>
      <c r="R525" s="4" t="str">
        <f>IF(ISNUMBER(SEARCH("Category",N525)),"- -",IF(ISNUMBER(SEARCH("Skills",N525)),"- -",'Level-up'!C543))</f>
        <v>- -</v>
      </c>
      <c r="S525" s="4" t="str">
        <f t="shared" si="274"/>
        <v>- -</v>
      </c>
      <c r="T525" s="4" t="str">
        <f t="shared" si="275"/>
        <v>- -</v>
      </c>
      <c r="U525" s="4" t="str">
        <f t="shared" ca="1" si="264"/>
        <v>- -</v>
      </c>
      <c r="V525" s="4" t="str">
        <f t="shared" si="269"/>
        <v>- -</v>
      </c>
      <c r="W525" s="4" t="str">
        <f t="shared" si="262"/>
        <v>- -</v>
      </c>
      <c r="X525" s="4" t="str">
        <f t="shared" si="261"/>
        <v>- -</v>
      </c>
      <c r="Y525" s="4" t="str">
        <f t="shared" si="276"/>
        <v>- -</v>
      </c>
      <c r="Z525" s="4" t="str">
        <f t="shared" si="277"/>
        <v>- -</v>
      </c>
      <c r="AA525" s="4" t="str">
        <f t="shared" si="278"/>
        <v>- -</v>
      </c>
      <c r="AB525" s="4" t="str">
        <f t="shared" si="279"/>
        <v>- -</v>
      </c>
      <c r="AC525" s="8"/>
      <c r="AD525" s="4"/>
      <c r="AE525" s="4"/>
      <c r="AF525" s="4" t="str">
        <f t="shared" si="280"/>
        <v>- -</v>
      </c>
      <c r="AG525" s="4"/>
      <c r="AH525" s="4">
        <f>IFERROR(VLOOKUP(M525,Calculations!$AC$2:$AD$251,2,FALSE),0)</f>
        <v>0</v>
      </c>
      <c r="AI525" s="4" t="e">
        <f ca="1">VLOOKUP(N525,$N$2:$AS$620,MATCH('Character Creation'!$Z$12,Skills!$N$1:$AS$1,0),FALSE)</f>
        <v>#N/A</v>
      </c>
      <c r="AJ525" s="4" t="e">
        <f>VLOOKUP($N525,[2]Cultures!$B$4:$M$283,MATCH(AJ$1,[2]Cultures!$B$3:$M$3,0),FALSE)</f>
        <v>#N/A</v>
      </c>
      <c r="AK525" s="4" t="e">
        <f>VLOOKUP($N525,[2]Cultures!$B$4:$M$283,MATCH(AK$1,[2]Cultures!$B$3:$M$3,0),FALSE)</f>
        <v>#N/A</v>
      </c>
      <c r="AL525" s="4" t="e">
        <f>VLOOKUP($N525,[2]Cultures!$B$4:$M$283,MATCH(AL$1,[2]Cultures!$B$3:$M$3,0),FALSE)</f>
        <v>#N/A</v>
      </c>
      <c r="AM525" s="4" t="e">
        <f>VLOOKUP($N525,[2]Cultures!$B$4:$M$283,MATCH(AM$1,[2]Cultures!$B$3:$M$3,0),FALSE)</f>
        <v>#N/A</v>
      </c>
      <c r="AN525" s="4" t="e">
        <f>VLOOKUP($N525,[2]Cultures!$B$4:$M$283,MATCH(AN$1,[2]Cultures!$B$3:$M$3,0),FALSE)</f>
        <v>#N/A</v>
      </c>
      <c r="AO525" s="4" t="e">
        <f>VLOOKUP($N525,[2]Cultures!$B$4:$M$283,MATCH(AO$1,[2]Cultures!$B$3:$M$3,0),FALSE)</f>
        <v>#N/A</v>
      </c>
      <c r="AP525" s="4" t="e">
        <f>VLOOKUP($N525,[2]Cultures!$B$4:$M$283,MATCH(AP$1,[2]Cultures!$B$3:$M$3,0),FALSE)</f>
        <v>#N/A</v>
      </c>
      <c r="AQ525" s="4" t="e">
        <f>VLOOKUP($N525,[2]Cultures!$B$4:$M$283,MATCH(AQ$1,[2]Cultures!$B$3:$M$3,0),FALSE)</f>
        <v>#N/A</v>
      </c>
      <c r="AR525" s="4" t="e">
        <f>VLOOKUP($N525,[2]Cultures!$B$4:$M$283,MATCH(AR$1,[2]Cultures!$B$3:$M$3,0),FALSE)</f>
        <v>#N/A</v>
      </c>
      <c r="AS525" s="4" t="e">
        <f>VLOOKUP($N525,[2]Cultures!$B$4:$M$283,MATCH(AS$1,[2]Cultures!$B$3:$M$3,0),FALSE)</f>
        <v>#N/A</v>
      </c>
      <c r="AT525" s="4"/>
      <c r="AU525" s="4">
        <f>IF(ISNUMBER(SEARCH(N525&amp;";",Calculations!$Q$19)),VLOOKUP(Skills!N525,Calculations!$Q$2:$T$16,4,FALSE),0)</f>
        <v>0</v>
      </c>
      <c r="AV525" s="4">
        <f>IF(ISNUMBER(SEARCH(N525&amp;";",Calculations!$Q$18)),1,0)</f>
        <v>0</v>
      </c>
      <c r="AW525" s="4"/>
      <c r="AX525" s="4">
        <f>VLOOKUP($N525,$N525:$CH525,MATCH('Character Sheet'!$BJ$3,Skills!$N$1:$CH$1,0),FALSE)</f>
        <v>0</v>
      </c>
    </row>
    <row r="526" spans="1:50" x14ac:dyDescent="0.25">
      <c r="B526" s="4" t="e">
        <f t="shared" si="260"/>
        <v>#N/A</v>
      </c>
      <c r="E526" s="4"/>
      <c r="F526" s="4">
        <f t="shared" ca="1" si="271"/>
        <v>0</v>
      </c>
      <c r="G526" s="4"/>
      <c r="H526" s="4" t="e">
        <f t="shared" si="265"/>
        <v>#N/A</v>
      </c>
      <c r="I526" s="4" t="e">
        <f t="shared" ref="I526:I531" si="281">IF($J$511=1,1,IF($J$525=1,1,0))</f>
        <v>#N/A</v>
      </c>
      <c r="J526" s="4">
        <f t="shared" si="273"/>
        <v>0</v>
      </c>
      <c r="K526" s="4" t="e">
        <f t="shared" si="266"/>
        <v>#N/A</v>
      </c>
      <c r="M526" t="str">
        <f t="shared" ref="M526:M531" si="282">"Influence, "&amp;N526</f>
        <v>Influence, Brain Washing</v>
      </c>
      <c r="N526" s="3" t="str">
        <f>'Character Sheet'!CVV18</f>
        <v>Brain Washing</v>
      </c>
      <c r="O526" s="4" t="s">
        <v>791</v>
      </c>
      <c r="P526" s="4" t="s">
        <v>781</v>
      </c>
      <c r="Q526" s="4" t="e">
        <f t="shared" si="263"/>
        <v>#N/A</v>
      </c>
      <c r="R526" s="4">
        <f>IF(ISNUMBER(SEARCH("Category",N526)),"- -",IF(ISNUMBER(SEARCH("Skills",N526)),"- -",'Level-up'!C544))</f>
        <v>0</v>
      </c>
      <c r="S526" s="4" t="e">
        <f t="shared" si="274"/>
        <v>#N/A</v>
      </c>
      <c r="T526" s="4" t="e">
        <f t="shared" si="275"/>
        <v>#N/A</v>
      </c>
      <c r="U526" s="4">
        <f t="shared" ca="1" si="264"/>
        <v>4</v>
      </c>
      <c r="V526" s="4">
        <f t="shared" ref="V526:V535" si="283">IF(ISNUMBER(SEARCH("Category",N526)),"- -",IF(ISNUMBER(SEARCH("Skills",N526)),"- -",IF(AU526&gt;0,AU526,IF($AU$524&gt;0,$AU$524,$AU$510))))</f>
        <v>0</v>
      </c>
      <c r="W526" s="4" t="e">
        <f t="shared" si="262"/>
        <v>#N/A</v>
      </c>
      <c r="X526" s="4">
        <f t="shared" si="261"/>
        <v>0</v>
      </c>
      <c r="Y526" s="4">
        <f t="shared" si="276"/>
        <v>0</v>
      </c>
      <c r="Z526" s="4">
        <f t="shared" si="277"/>
        <v>0</v>
      </c>
      <c r="AA526" s="4">
        <f t="shared" si="278"/>
        <v>0</v>
      </c>
      <c r="AB526" s="4">
        <f t="shared" si="279"/>
        <v>0</v>
      </c>
      <c r="AC526" s="8"/>
      <c r="AD526" s="4"/>
      <c r="AE526" s="4"/>
      <c r="AF526" s="4" t="e">
        <f t="shared" si="280"/>
        <v>#N/A</v>
      </c>
      <c r="AG526" s="4"/>
      <c r="AH526" s="4">
        <f>IFERROR(VLOOKUP(M526,Calculations!$AC$2:$AD$251,2,FALSE),0)</f>
        <v>0</v>
      </c>
      <c r="AI526" s="4" t="e">
        <f>VLOOKUP(N526,$N$2:$AS$620,MATCH('Character Creation'!$Z$12,Skills!$N$1:$AS$1,0),FALSE)</f>
        <v>#N/A</v>
      </c>
      <c r="AJ526" s="4" t="e">
        <f>VLOOKUP($N526,[2]Cultures!$B$4:$M$283,MATCH(AJ$1,[2]Cultures!$B$3:$M$3,0),FALSE)</f>
        <v>#N/A</v>
      </c>
      <c r="AK526" s="4" t="e">
        <f>VLOOKUP($N526,[2]Cultures!$B$4:$M$283,MATCH(AK$1,[2]Cultures!$B$3:$M$3,0),FALSE)</f>
        <v>#N/A</v>
      </c>
      <c r="AL526" s="4" t="e">
        <f>VLOOKUP($N526,[2]Cultures!$B$4:$M$283,MATCH(AL$1,[2]Cultures!$B$3:$M$3,0),FALSE)</f>
        <v>#N/A</v>
      </c>
      <c r="AM526" s="4" t="e">
        <f>VLOOKUP($N526,[2]Cultures!$B$4:$M$283,MATCH(AM$1,[2]Cultures!$B$3:$M$3,0),FALSE)</f>
        <v>#N/A</v>
      </c>
      <c r="AN526" s="4" t="e">
        <f>VLOOKUP($N526,[2]Cultures!$B$4:$M$283,MATCH(AN$1,[2]Cultures!$B$3:$M$3,0),FALSE)</f>
        <v>#N/A</v>
      </c>
      <c r="AO526" s="4" t="e">
        <f>VLOOKUP($N526,[2]Cultures!$B$4:$M$283,MATCH(AO$1,[2]Cultures!$B$3:$M$3,0),FALSE)</f>
        <v>#N/A</v>
      </c>
      <c r="AP526" s="4" t="e">
        <f>VLOOKUP($N526,[2]Cultures!$B$4:$M$283,MATCH(AP$1,[2]Cultures!$B$3:$M$3,0),FALSE)</f>
        <v>#N/A</v>
      </c>
      <c r="AQ526" s="4" t="e">
        <f>VLOOKUP($N526,[2]Cultures!$B$4:$M$283,MATCH(AQ$1,[2]Cultures!$B$3:$M$3,0),FALSE)</f>
        <v>#N/A</v>
      </c>
      <c r="AR526" s="4" t="e">
        <f>VLOOKUP($N526,[2]Cultures!$B$4:$M$283,MATCH(AR$1,[2]Cultures!$B$3:$M$3,0),FALSE)</f>
        <v>#N/A</v>
      </c>
      <c r="AS526" s="4" t="e">
        <f>VLOOKUP($N526,[2]Cultures!$B$4:$M$283,MATCH(AS$1,[2]Cultures!$B$3:$M$3,0),FALSE)</f>
        <v>#N/A</v>
      </c>
      <c r="AT526" s="4"/>
      <c r="AU526" s="4">
        <f>IF(ISNUMBER(SEARCH(N526&amp;";",Calculations!$Q$19)),VLOOKUP(Skills!N526,Calculations!$Q$2:$T$16,4,FALSE),0)</f>
        <v>0</v>
      </c>
      <c r="AV526" s="4">
        <f>IF(ISNUMBER(SEARCH(N526&amp;";",Calculations!$Q$18)),1,0)</f>
        <v>0</v>
      </c>
      <c r="AW526" s="4">
        <f t="shared" ref="AW526:AW531" si="284">IF($AV$510=1,1,IF($AV$524=1,1,AV526))</f>
        <v>1</v>
      </c>
      <c r="AX526" s="4">
        <f>VLOOKUP($N526,$N526:$CH526,MATCH('Character Sheet'!$BJ$3,Skills!$N$1:$CH$1,0),FALSE)</f>
        <v>0</v>
      </c>
    </row>
    <row r="527" spans="1:50" x14ac:dyDescent="0.25">
      <c r="B527" s="4" t="e">
        <f t="shared" si="260"/>
        <v>#N/A</v>
      </c>
      <c r="E527" s="4"/>
      <c r="F527" s="4">
        <f t="shared" ca="1" si="271"/>
        <v>0</v>
      </c>
      <c r="G527" s="4"/>
      <c r="H527" s="4" t="e">
        <f t="shared" si="265"/>
        <v>#N/A</v>
      </c>
      <c r="I527" s="4" t="e">
        <f t="shared" si="281"/>
        <v>#N/A</v>
      </c>
      <c r="J527" s="4">
        <f t="shared" si="273"/>
        <v>0</v>
      </c>
      <c r="K527" s="4" t="e">
        <f t="shared" si="266"/>
        <v>#N/A</v>
      </c>
      <c r="M527" t="str">
        <f t="shared" si="282"/>
        <v>Influence, Bribery</v>
      </c>
      <c r="N527" s="3" t="str">
        <f>'Character Sheet'!CVV19</f>
        <v>Bribery</v>
      </c>
      <c r="O527" s="4" t="s">
        <v>791</v>
      </c>
      <c r="P527" s="4" t="s">
        <v>781</v>
      </c>
      <c r="Q527" s="4" t="e">
        <f t="shared" si="263"/>
        <v>#N/A</v>
      </c>
      <c r="R527" s="4">
        <f>IF(ISNUMBER(SEARCH("Category",N527)),"- -",IF(ISNUMBER(SEARCH("Skills",N527)),"- -",'Level-up'!C545))</f>
        <v>0</v>
      </c>
      <c r="S527" s="4" t="e">
        <f t="shared" si="274"/>
        <v>#N/A</v>
      </c>
      <c r="T527" s="4" t="e">
        <f t="shared" si="275"/>
        <v>#N/A</v>
      </c>
      <c r="U527" s="4">
        <f t="shared" ca="1" si="264"/>
        <v>4</v>
      </c>
      <c r="V527" s="4">
        <f t="shared" si="283"/>
        <v>0</v>
      </c>
      <c r="W527" s="4" t="e">
        <f t="shared" si="262"/>
        <v>#N/A</v>
      </c>
      <c r="X527" s="4">
        <f t="shared" si="261"/>
        <v>0</v>
      </c>
      <c r="Y527" s="4">
        <f t="shared" si="276"/>
        <v>0</v>
      </c>
      <c r="Z527" s="4">
        <f t="shared" si="277"/>
        <v>0</v>
      </c>
      <c r="AA527" s="4">
        <f t="shared" si="278"/>
        <v>0</v>
      </c>
      <c r="AB527" s="4">
        <f t="shared" si="279"/>
        <v>0</v>
      </c>
      <c r="AC527" s="8"/>
      <c r="AD527" s="4"/>
      <c r="AE527" s="4"/>
      <c r="AF527" s="4" t="e">
        <f t="shared" si="280"/>
        <v>#N/A</v>
      </c>
      <c r="AG527" s="4"/>
      <c r="AH527" s="4">
        <f>IFERROR(VLOOKUP(M527,Calculations!$AC$2:$AD$251,2,FALSE),0)</f>
        <v>0</v>
      </c>
      <c r="AI527" s="4" t="e">
        <f>VLOOKUP(N527,$N$2:$AS$620,MATCH('Character Creation'!$Z$12,Skills!$N$1:$AS$1,0),FALSE)</f>
        <v>#N/A</v>
      </c>
      <c r="AJ527" s="4" t="e">
        <f>VLOOKUP($N527,[2]Cultures!$B$4:$M$283,MATCH(AJ$1,[2]Cultures!$B$3:$M$3,0),FALSE)</f>
        <v>#N/A</v>
      </c>
      <c r="AK527" s="4" t="e">
        <f>VLOOKUP($N527,[2]Cultures!$B$4:$M$283,MATCH(AK$1,[2]Cultures!$B$3:$M$3,0),FALSE)</f>
        <v>#N/A</v>
      </c>
      <c r="AL527" s="4" t="e">
        <f>VLOOKUP($N527,[2]Cultures!$B$4:$M$283,MATCH(AL$1,[2]Cultures!$B$3:$M$3,0),FALSE)</f>
        <v>#N/A</v>
      </c>
      <c r="AM527" s="4" t="e">
        <f>VLOOKUP($N527,[2]Cultures!$B$4:$M$283,MATCH(AM$1,[2]Cultures!$B$3:$M$3,0),FALSE)</f>
        <v>#N/A</v>
      </c>
      <c r="AN527" s="4" t="e">
        <f>VLOOKUP($N527,[2]Cultures!$B$4:$M$283,MATCH(AN$1,[2]Cultures!$B$3:$M$3,0),FALSE)</f>
        <v>#N/A</v>
      </c>
      <c r="AO527" s="4" t="e">
        <f>VLOOKUP($N527,[2]Cultures!$B$4:$M$283,MATCH(AO$1,[2]Cultures!$B$3:$M$3,0),FALSE)</f>
        <v>#N/A</v>
      </c>
      <c r="AP527" s="4" t="e">
        <f>VLOOKUP($N527,[2]Cultures!$B$4:$M$283,MATCH(AP$1,[2]Cultures!$B$3:$M$3,0),FALSE)</f>
        <v>#N/A</v>
      </c>
      <c r="AQ527" s="4" t="e">
        <f>VLOOKUP($N527,[2]Cultures!$B$4:$M$283,MATCH(AQ$1,[2]Cultures!$B$3:$M$3,0),FALSE)</f>
        <v>#N/A</v>
      </c>
      <c r="AR527" s="4" t="e">
        <f>VLOOKUP($N527,[2]Cultures!$B$4:$M$283,MATCH(AR$1,[2]Cultures!$B$3:$M$3,0),FALSE)</f>
        <v>#N/A</v>
      </c>
      <c r="AS527" s="4" t="e">
        <f>VLOOKUP($N527,[2]Cultures!$B$4:$M$283,MATCH(AS$1,[2]Cultures!$B$3:$M$3,0),FALSE)</f>
        <v>#N/A</v>
      </c>
      <c r="AT527" s="4"/>
      <c r="AU527" s="4">
        <f>IF(ISNUMBER(SEARCH(N527&amp;";",Calculations!$Q$19)),VLOOKUP(Skills!N527,Calculations!$Q$2:$T$16,4,FALSE),0)</f>
        <v>0</v>
      </c>
      <c r="AV527" s="4">
        <f>IF(ISNUMBER(SEARCH(N527&amp;";",Calculations!$Q$18)),1,0)</f>
        <v>0</v>
      </c>
      <c r="AW527" s="4">
        <f t="shared" si="284"/>
        <v>1</v>
      </c>
      <c r="AX527" s="4">
        <f>VLOOKUP($N527,$N527:$CH527,MATCH('Character Sheet'!$BJ$3,Skills!$N$1:$CH$1,0),FALSE)</f>
        <v>0</v>
      </c>
    </row>
    <row r="528" spans="1:50" x14ac:dyDescent="0.25">
      <c r="B528" s="4" t="e">
        <f t="shared" si="260"/>
        <v>#N/A</v>
      </c>
      <c r="E528" s="4"/>
      <c r="F528" s="4">
        <f t="shared" ca="1" si="271"/>
        <v>0</v>
      </c>
      <c r="G528" s="4"/>
      <c r="H528" s="4" t="e">
        <f t="shared" si="265"/>
        <v>#N/A</v>
      </c>
      <c r="I528" s="4" t="e">
        <f t="shared" si="281"/>
        <v>#N/A</v>
      </c>
      <c r="J528" s="4">
        <f t="shared" si="273"/>
        <v>0</v>
      </c>
      <c r="K528" s="4" t="e">
        <f t="shared" si="266"/>
        <v>#N/A</v>
      </c>
      <c r="M528" t="str">
        <f t="shared" si="282"/>
        <v>Influence, Charm</v>
      </c>
      <c r="N528" s="3" t="str">
        <f>'Character Sheet'!CVV20</f>
        <v>Charm</v>
      </c>
      <c r="O528" s="4" t="s">
        <v>791</v>
      </c>
      <c r="P528" s="4" t="s">
        <v>781</v>
      </c>
      <c r="Q528" s="4" t="e">
        <f t="shared" si="263"/>
        <v>#N/A</v>
      </c>
      <c r="R528" s="4">
        <f>IF(ISNUMBER(SEARCH("Category",N528)),"- -",IF(ISNUMBER(SEARCH("Skills",N528)),"- -",'Level-up'!C546))</f>
        <v>0</v>
      </c>
      <c r="S528" s="4" t="e">
        <f t="shared" si="274"/>
        <v>#N/A</v>
      </c>
      <c r="T528" s="4" t="e">
        <f t="shared" si="275"/>
        <v>#N/A</v>
      </c>
      <c r="U528" s="4">
        <f t="shared" ca="1" si="264"/>
        <v>4</v>
      </c>
      <c r="V528" s="4">
        <f t="shared" si="283"/>
        <v>0</v>
      </c>
      <c r="W528" s="4" t="e">
        <f t="shared" si="262"/>
        <v>#N/A</v>
      </c>
      <c r="X528" s="4">
        <f t="shared" si="261"/>
        <v>0</v>
      </c>
      <c r="Y528" s="4">
        <f t="shared" si="276"/>
        <v>0</v>
      </c>
      <c r="Z528" s="4">
        <f t="shared" si="277"/>
        <v>0</v>
      </c>
      <c r="AA528" s="4">
        <f t="shared" si="278"/>
        <v>0</v>
      </c>
      <c r="AB528" s="4">
        <f t="shared" si="279"/>
        <v>0</v>
      </c>
      <c r="AC528" s="8"/>
      <c r="AD528" s="4"/>
      <c r="AE528" s="4"/>
      <c r="AF528" s="4" t="e">
        <f t="shared" si="280"/>
        <v>#N/A</v>
      </c>
      <c r="AG528" s="4"/>
      <c r="AH528" s="4">
        <f>IFERROR(VLOOKUP(M528,Calculations!$AC$2:$AD$251,2,FALSE),0)</f>
        <v>0</v>
      </c>
      <c r="AI528" s="4" t="e">
        <f>VLOOKUP(N528,$N$2:$AS$620,MATCH('Character Creation'!$Z$12,Skills!$N$1:$AS$1,0),FALSE)</f>
        <v>#N/A</v>
      </c>
      <c r="AJ528" s="4" t="e">
        <f>VLOOKUP($N528,[2]Cultures!$B$4:$M$283,MATCH(AJ$1,[2]Cultures!$B$3:$M$3,0),FALSE)</f>
        <v>#N/A</v>
      </c>
      <c r="AK528" s="4" t="e">
        <f>VLOOKUP($N528,[2]Cultures!$B$4:$M$283,MATCH(AK$1,[2]Cultures!$B$3:$M$3,0),FALSE)</f>
        <v>#N/A</v>
      </c>
      <c r="AL528" s="4" t="e">
        <f>VLOOKUP($N528,[2]Cultures!$B$4:$M$283,MATCH(AL$1,[2]Cultures!$B$3:$M$3,0),FALSE)</f>
        <v>#N/A</v>
      </c>
      <c r="AM528" s="4" t="e">
        <f>VLOOKUP($N528,[2]Cultures!$B$4:$M$283,MATCH(AM$1,[2]Cultures!$B$3:$M$3,0),FALSE)</f>
        <v>#N/A</v>
      </c>
      <c r="AN528" s="4" t="e">
        <f>VLOOKUP($N528,[2]Cultures!$B$4:$M$283,MATCH(AN$1,[2]Cultures!$B$3:$M$3,0),FALSE)</f>
        <v>#N/A</v>
      </c>
      <c r="AO528" s="4" t="e">
        <f>VLOOKUP($N528,[2]Cultures!$B$4:$M$283,MATCH(AO$1,[2]Cultures!$B$3:$M$3,0),FALSE)</f>
        <v>#N/A</v>
      </c>
      <c r="AP528" s="4" t="e">
        <f>VLOOKUP($N528,[2]Cultures!$B$4:$M$283,MATCH(AP$1,[2]Cultures!$B$3:$M$3,0),FALSE)</f>
        <v>#N/A</v>
      </c>
      <c r="AQ528" s="4" t="e">
        <f>VLOOKUP($N528,[2]Cultures!$B$4:$M$283,MATCH(AQ$1,[2]Cultures!$B$3:$M$3,0),FALSE)</f>
        <v>#N/A</v>
      </c>
      <c r="AR528" s="4" t="e">
        <f>VLOOKUP($N528,[2]Cultures!$B$4:$M$283,MATCH(AR$1,[2]Cultures!$B$3:$M$3,0),FALSE)</f>
        <v>#N/A</v>
      </c>
      <c r="AS528" s="4" t="e">
        <f>VLOOKUP($N528,[2]Cultures!$B$4:$M$283,MATCH(AS$1,[2]Cultures!$B$3:$M$3,0),FALSE)</f>
        <v>#N/A</v>
      </c>
      <c r="AT528" s="4"/>
      <c r="AU528" s="4">
        <f>IF(ISNUMBER(SEARCH(N528&amp;";",Calculations!$Q$19)),VLOOKUP(Skills!N528,Calculations!$Q$2:$T$16,4,FALSE),0)</f>
        <v>0</v>
      </c>
      <c r="AV528" s="4">
        <f>IF(ISNUMBER(SEARCH(N528&amp;";",Calculations!$Q$18)),1,0)</f>
        <v>0</v>
      </c>
      <c r="AW528" s="4">
        <f t="shared" si="284"/>
        <v>1</v>
      </c>
      <c r="AX528" s="4">
        <f>VLOOKUP($N528,$N528:$CH528,MATCH('Character Sheet'!$BJ$3,Skills!$N$1:$CH$1,0),FALSE)</f>
        <v>0</v>
      </c>
    </row>
    <row r="529" spans="2:50" x14ac:dyDescent="0.25">
      <c r="B529" s="4" t="e">
        <f t="shared" ca="1" si="260"/>
        <v>#N/A</v>
      </c>
      <c r="E529" s="4"/>
      <c r="F529" s="4">
        <f t="shared" ca="1" si="271"/>
        <v>0</v>
      </c>
      <c r="G529" s="4"/>
      <c r="H529" s="4" t="e">
        <f t="shared" si="265"/>
        <v>#N/A</v>
      </c>
      <c r="I529" s="4" t="e">
        <f t="shared" si="281"/>
        <v>#N/A</v>
      </c>
      <c r="J529" s="4">
        <f t="shared" si="273"/>
        <v>0</v>
      </c>
      <c r="K529" s="4" t="e">
        <f t="shared" ca="1" si="266"/>
        <v>#N/A</v>
      </c>
      <c r="M529" t="str">
        <f t="shared" si="282"/>
        <v>Influence, Duping</v>
      </c>
      <c r="N529" s="3" t="str">
        <f>'Character Sheet'!CVV21</f>
        <v>Duping</v>
      </c>
      <c r="O529" s="4" t="s">
        <v>791</v>
      </c>
      <c r="P529" s="4" t="s">
        <v>781</v>
      </c>
      <c r="Q529" s="4" t="e">
        <f t="shared" ca="1" si="263"/>
        <v>#N/A</v>
      </c>
      <c r="R529" s="4">
        <f>IF(ISNUMBER(SEARCH("Category",N529)),"- -",IF(ISNUMBER(SEARCH("Skills",N529)),"- -",'Level-up'!C547))</f>
        <v>0</v>
      </c>
      <c r="S529" s="4" t="e">
        <f t="shared" ca="1" si="274"/>
        <v>#N/A</v>
      </c>
      <c r="T529" s="4" t="e">
        <f t="shared" ca="1" si="275"/>
        <v>#N/A</v>
      </c>
      <c r="U529" s="4">
        <f t="shared" ca="1" si="264"/>
        <v>4</v>
      </c>
      <c r="V529" s="4">
        <f t="shared" si="283"/>
        <v>0</v>
      </c>
      <c r="W529" s="4" t="e">
        <f t="shared" ca="1" si="262"/>
        <v>#N/A</v>
      </c>
      <c r="X529" s="4">
        <f t="shared" si="261"/>
        <v>0</v>
      </c>
      <c r="Y529" s="4">
        <f t="shared" si="276"/>
        <v>0</v>
      </c>
      <c r="Z529" s="4">
        <f t="shared" si="277"/>
        <v>0</v>
      </c>
      <c r="AA529" s="4">
        <f t="shared" si="278"/>
        <v>0</v>
      </c>
      <c r="AB529" s="4">
        <f t="shared" si="279"/>
        <v>0</v>
      </c>
      <c r="AC529" s="8"/>
      <c r="AD529" s="4"/>
      <c r="AE529" s="4"/>
      <c r="AF529" s="4" t="e">
        <f t="shared" ca="1" si="280"/>
        <v>#N/A</v>
      </c>
      <c r="AG529" s="4"/>
      <c r="AH529" s="4">
        <f>IFERROR(VLOOKUP(M529,Calculations!$AC$2:$AD$251,2,FALSE),0)</f>
        <v>0</v>
      </c>
      <c r="AI529" s="4" t="e">
        <f ca="1">VLOOKUP(N529,$N$2:$AS$620,MATCH('Character Creation'!$Z$12,Skills!$N$1:$AS$1,0),FALSE)</f>
        <v>#N/A</v>
      </c>
      <c r="AJ529" s="4" t="e">
        <f>VLOOKUP($N529,[2]Cultures!$B$4:$M$283,MATCH(AJ$1,[2]Cultures!$B$3:$M$3,0),FALSE)</f>
        <v>#N/A</v>
      </c>
      <c r="AK529" s="4" t="e">
        <f>VLOOKUP($N529,[2]Cultures!$B$4:$M$283,MATCH(AK$1,[2]Cultures!$B$3:$M$3,0),FALSE)</f>
        <v>#N/A</v>
      </c>
      <c r="AL529" s="4" t="e">
        <f>VLOOKUP($N529,[2]Cultures!$B$4:$M$283,MATCH(AL$1,[2]Cultures!$B$3:$M$3,0),FALSE)</f>
        <v>#N/A</v>
      </c>
      <c r="AM529" s="4" t="e">
        <f>VLOOKUP($N529,[2]Cultures!$B$4:$M$283,MATCH(AM$1,[2]Cultures!$B$3:$M$3,0),FALSE)</f>
        <v>#N/A</v>
      </c>
      <c r="AN529" s="4" t="e">
        <f>VLOOKUP($N529,[2]Cultures!$B$4:$M$283,MATCH(AN$1,[2]Cultures!$B$3:$M$3,0),FALSE)</f>
        <v>#N/A</v>
      </c>
      <c r="AO529" s="4" t="e">
        <f>VLOOKUP($N529,[2]Cultures!$B$4:$M$283,MATCH(AO$1,[2]Cultures!$B$3:$M$3,0),FALSE)</f>
        <v>#N/A</v>
      </c>
      <c r="AP529" s="4" t="e">
        <f>VLOOKUP($N529,[2]Cultures!$B$4:$M$283,MATCH(AP$1,[2]Cultures!$B$3:$M$3,0),FALSE)</f>
        <v>#N/A</v>
      </c>
      <c r="AQ529" s="4" t="e">
        <f>VLOOKUP($N529,[2]Cultures!$B$4:$M$283,MATCH(AQ$1,[2]Cultures!$B$3:$M$3,0),FALSE)</f>
        <v>#N/A</v>
      </c>
      <c r="AR529" s="4" t="e">
        <f>VLOOKUP($N529,[2]Cultures!$B$4:$M$283,MATCH(AR$1,[2]Cultures!$B$3:$M$3,0),FALSE)</f>
        <v>#N/A</v>
      </c>
      <c r="AS529" s="4" t="e">
        <f>VLOOKUP($N529,[2]Cultures!$B$4:$M$283,MATCH(AS$1,[2]Cultures!$B$3:$M$3,0),FALSE)</f>
        <v>#N/A</v>
      </c>
      <c r="AT529" s="4"/>
      <c r="AU529" s="4">
        <f>IF(ISNUMBER(SEARCH(N529&amp;";",Calculations!$Q$19)),VLOOKUP(Skills!N529,Calculations!$Q$2:$T$16,4,FALSE),0)</f>
        <v>0</v>
      </c>
      <c r="AV529" s="4">
        <f>IF(ISNUMBER(SEARCH(N529&amp;";",Calculations!$Q$18)),1,0)</f>
        <v>0</v>
      </c>
      <c r="AW529" s="4">
        <f t="shared" si="284"/>
        <v>1</v>
      </c>
      <c r="AX529" s="4">
        <f>VLOOKUP($N529,$N529:$CH529,MATCH('Character Sheet'!$BJ$3,Skills!$N$1:$CH$1,0),FALSE)</f>
        <v>0</v>
      </c>
    </row>
    <row r="530" spans="2:50" x14ac:dyDescent="0.25">
      <c r="B530" s="4" t="e">
        <f t="shared" ca="1" si="260"/>
        <v>#N/A</v>
      </c>
      <c r="E530" s="4"/>
      <c r="F530" s="4">
        <f t="shared" ca="1" si="271"/>
        <v>0</v>
      </c>
      <c r="G530" s="4"/>
      <c r="H530" s="4" t="e">
        <f t="shared" si="265"/>
        <v>#N/A</v>
      </c>
      <c r="I530" s="4" t="e">
        <f t="shared" si="281"/>
        <v>#N/A</v>
      </c>
      <c r="J530" s="4">
        <f t="shared" si="273"/>
        <v>0</v>
      </c>
      <c r="K530" s="4" t="e">
        <f t="shared" ca="1" si="266"/>
        <v>#N/A</v>
      </c>
      <c r="M530" t="str">
        <f t="shared" si="282"/>
        <v>Influence, Intimidation</v>
      </c>
      <c r="N530" s="3" t="str">
        <f>'Character Sheet'!CVV22</f>
        <v>Intimidation</v>
      </c>
      <c r="O530" s="4" t="s">
        <v>791</v>
      </c>
      <c r="P530" s="4" t="s">
        <v>781</v>
      </c>
      <c r="Q530" s="4" t="e">
        <f t="shared" ca="1" si="263"/>
        <v>#N/A</v>
      </c>
      <c r="R530" s="4">
        <f>IF(ISNUMBER(SEARCH("Category",N530)),"- -",IF(ISNUMBER(SEARCH("Skills",N530)),"- -",'Level-up'!C548))</f>
        <v>0</v>
      </c>
      <c r="S530" s="4" t="e">
        <f t="shared" ca="1" si="274"/>
        <v>#N/A</v>
      </c>
      <c r="T530" s="4" t="e">
        <f t="shared" ca="1" si="275"/>
        <v>#N/A</v>
      </c>
      <c r="U530" s="4">
        <f t="shared" ca="1" si="264"/>
        <v>4</v>
      </c>
      <c r="V530" s="4">
        <f t="shared" si="283"/>
        <v>0</v>
      </c>
      <c r="W530" s="4" t="e">
        <f t="shared" ca="1" si="262"/>
        <v>#N/A</v>
      </c>
      <c r="X530" s="4">
        <f t="shared" si="261"/>
        <v>0</v>
      </c>
      <c r="Y530" s="4">
        <f t="shared" si="276"/>
        <v>0</v>
      </c>
      <c r="Z530" s="4">
        <f t="shared" si="277"/>
        <v>0</v>
      </c>
      <c r="AA530" s="4">
        <f t="shared" si="278"/>
        <v>0</v>
      </c>
      <c r="AB530" s="4">
        <f t="shared" si="279"/>
        <v>0</v>
      </c>
      <c r="AC530" s="8"/>
      <c r="AD530" s="4"/>
      <c r="AE530" s="4"/>
      <c r="AF530" s="4" t="e">
        <f t="shared" ca="1" si="280"/>
        <v>#N/A</v>
      </c>
      <c r="AG530" s="4"/>
      <c r="AH530" s="4">
        <f>IFERROR(VLOOKUP(M530,Calculations!$AC$2:$AD$251,2,FALSE),0)</f>
        <v>0</v>
      </c>
      <c r="AI530" s="4" t="e">
        <f ca="1">VLOOKUP(N530,$N$2:$AS$620,MATCH('Character Creation'!$Z$12,Skills!$N$1:$AS$1,0),FALSE)</f>
        <v>#N/A</v>
      </c>
      <c r="AJ530" s="4" t="e">
        <f>VLOOKUP($N530,[2]Cultures!$B$4:$M$283,MATCH(AJ$1,[2]Cultures!$B$3:$M$3,0),FALSE)</f>
        <v>#N/A</v>
      </c>
      <c r="AK530" s="4" t="e">
        <f>VLOOKUP($N530,[2]Cultures!$B$4:$M$283,MATCH(AK$1,[2]Cultures!$B$3:$M$3,0),FALSE)</f>
        <v>#N/A</v>
      </c>
      <c r="AL530" s="4" t="e">
        <f>VLOOKUP($N530,[2]Cultures!$B$4:$M$283,MATCH(AL$1,[2]Cultures!$B$3:$M$3,0),FALSE)</f>
        <v>#N/A</v>
      </c>
      <c r="AM530" s="4" t="e">
        <f>VLOOKUP($N530,[2]Cultures!$B$4:$M$283,MATCH(AM$1,[2]Cultures!$B$3:$M$3,0),FALSE)</f>
        <v>#N/A</v>
      </c>
      <c r="AN530" s="4" t="e">
        <f>VLOOKUP($N530,[2]Cultures!$B$4:$M$283,MATCH(AN$1,[2]Cultures!$B$3:$M$3,0),FALSE)</f>
        <v>#N/A</v>
      </c>
      <c r="AO530" s="4" t="e">
        <f>VLOOKUP($N530,[2]Cultures!$B$4:$M$283,MATCH(AO$1,[2]Cultures!$B$3:$M$3,0),FALSE)</f>
        <v>#N/A</v>
      </c>
      <c r="AP530" s="4" t="e">
        <f>VLOOKUP($N530,[2]Cultures!$B$4:$M$283,MATCH(AP$1,[2]Cultures!$B$3:$M$3,0),FALSE)</f>
        <v>#N/A</v>
      </c>
      <c r="AQ530" s="4" t="e">
        <f>VLOOKUP($N530,[2]Cultures!$B$4:$M$283,MATCH(AQ$1,[2]Cultures!$B$3:$M$3,0),FALSE)</f>
        <v>#N/A</v>
      </c>
      <c r="AR530" s="4" t="e">
        <f>VLOOKUP($N530,[2]Cultures!$B$4:$M$283,MATCH(AR$1,[2]Cultures!$B$3:$M$3,0),FALSE)</f>
        <v>#N/A</v>
      </c>
      <c r="AS530" s="4" t="e">
        <f>VLOOKUP($N530,[2]Cultures!$B$4:$M$283,MATCH(AS$1,[2]Cultures!$B$3:$M$3,0),FALSE)</f>
        <v>#N/A</v>
      </c>
      <c r="AT530" s="4"/>
      <c r="AU530" s="4">
        <f>IF(ISNUMBER(SEARCH(N530&amp;";",Calculations!$Q$19)),VLOOKUP(Skills!N530,Calculations!$Q$2:$T$16,4,FALSE),0)</f>
        <v>0</v>
      </c>
      <c r="AV530" s="4">
        <f>IF(ISNUMBER(SEARCH(N530&amp;";",Calculations!$Q$18)),1,0)</f>
        <v>0</v>
      </c>
      <c r="AW530" s="4">
        <f t="shared" si="284"/>
        <v>1</v>
      </c>
      <c r="AX530" s="4">
        <f>VLOOKUP($N530,$N530:$CH530,MATCH('Character Sheet'!$BJ$3,Skills!$N$1:$CH$1,0),FALSE)</f>
        <v>0</v>
      </c>
    </row>
    <row r="531" spans="2:50" x14ac:dyDescent="0.25">
      <c r="B531" s="4" t="e">
        <f t="shared" si="260"/>
        <v>#N/A</v>
      </c>
      <c r="E531" s="4"/>
      <c r="F531" s="4">
        <f t="shared" ca="1" si="271"/>
        <v>0</v>
      </c>
      <c r="G531" s="4"/>
      <c r="H531" s="4" t="e">
        <f t="shared" si="265"/>
        <v>#N/A</v>
      </c>
      <c r="I531" s="4" t="e">
        <f t="shared" si="281"/>
        <v>#N/A</v>
      </c>
      <c r="J531" s="4">
        <f t="shared" si="273"/>
        <v>0</v>
      </c>
      <c r="K531" s="4" t="e">
        <f t="shared" si="266"/>
        <v>#N/A</v>
      </c>
      <c r="M531" t="str">
        <f t="shared" si="282"/>
        <v>Influence, Seduction</v>
      </c>
      <c r="N531" s="3" t="str">
        <f>'Character Sheet'!CVV23</f>
        <v>Seduction</v>
      </c>
      <c r="O531" s="4" t="s">
        <v>791</v>
      </c>
      <c r="P531" s="4" t="s">
        <v>781</v>
      </c>
      <c r="Q531" s="4" t="e">
        <f t="shared" si="263"/>
        <v>#N/A</v>
      </c>
      <c r="R531" s="4">
        <f>IF(ISNUMBER(SEARCH("Category",N531)),"- -",IF(ISNUMBER(SEARCH("Skills",N531)),"- -",'Level-up'!C549))</f>
        <v>0</v>
      </c>
      <c r="S531" s="4" t="e">
        <f t="shared" si="274"/>
        <v>#N/A</v>
      </c>
      <c r="T531" s="4" t="e">
        <f t="shared" si="275"/>
        <v>#N/A</v>
      </c>
      <c r="U531" s="4">
        <f t="shared" ca="1" si="264"/>
        <v>4</v>
      </c>
      <c r="V531" s="4">
        <f t="shared" si="283"/>
        <v>0</v>
      </c>
      <c r="W531" s="4" t="e">
        <f t="shared" si="262"/>
        <v>#N/A</v>
      </c>
      <c r="X531" s="4">
        <f t="shared" si="261"/>
        <v>0</v>
      </c>
      <c r="Y531" s="4">
        <f t="shared" si="276"/>
        <v>0</v>
      </c>
      <c r="Z531" s="4">
        <f t="shared" si="277"/>
        <v>0</v>
      </c>
      <c r="AA531" s="4">
        <f t="shared" si="278"/>
        <v>0</v>
      </c>
      <c r="AB531" s="4">
        <f t="shared" si="279"/>
        <v>0</v>
      </c>
      <c r="AC531" s="8"/>
      <c r="AD531" s="4"/>
      <c r="AE531" s="4"/>
      <c r="AF531" s="4" t="e">
        <f t="shared" si="280"/>
        <v>#N/A</v>
      </c>
      <c r="AG531" s="4"/>
      <c r="AH531" s="4">
        <f>IFERROR(VLOOKUP(M531,Calculations!$AC$2:$AD$251,2,FALSE),0)</f>
        <v>0</v>
      </c>
      <c r="AI531" s="4" t="e">
        <f>VLOOKUP(N531,$N$2:$AS$620,MATCH('Character Creation'!$Z$12,Skills!$N$1:$AS$1,0),FALSE)</f>
        <v>#N/A</v>
      </c>
      <c r="AJ531" s="4" t="e">
        <f>VLOOKUP($N531,[2]Cultures!$B$4:$M$283,MATCH(AJ$1,[2]Cultures!$B$3:$M$3,0),FALSE)</f>
        <v>#N/A</v>
      </c>
      <c r="AK531" s="4" t="e">
        <f>VLOOKUP($N531,[2]Cultures!$B$4:$M$283,MATCH(AK$1,[2]Cultures!$B$3:$M$3,0),FALSE)</f>
        <v>#N/A</v>
      </c>
      <c r="AL531" s="4" t="e">
        <f>VLOOKUP($N531,[2]Cultures!$B$4:$M$283,MATCH(AL$1,[2]Cultures!$B$3:$M$3,0),FALSE)</f>
        <v>#N/A</v>
      </c>
      <c r="AM531" s="4" t="e">
        <f>VLOOKUP($N531,[2]Cultures!$B$4:$M$283,MATCH(AM$1,[2]Cultures!$B$3:$M$3,0),FALSE)</f>
        <v>#N/A</v>
      </c>
      <c r="AN531" s="4" t="e">
        <f>VLOOKUP($N531,[2]Cultures!$B$4:$M$283,MATCH(AN$1,[2]Cultures!$B$3:$M$3,0),FALSE)</f>
        <v>#N/A</v>
      </c>
      <c r="AO531" s="4" t="e">
        <f>VLOOKUP($N531,[2]Cultures!$B$4:$M$283,MATCH(AO$1,[2]Cultures!$B$3:$M$3,0),FALSE)</f>
        <v>#N/A</v>
      </c>
      <c r="AP531" s="4" t="e">
        <f>VLOOKUP($N531,[2]Cultures!$B$4:$M$283,MATCH(AP$1,[2]Cultures!$B$3:$M$3,0),FALSE)</f>
        <v>#N/A</v>
      </c>
      <c r="AQ531" s="4" t="e">
        <f>VLOOKUP($N531,[2]Cultures!$B$4:$M$283,MATCH(AQ$1,[2]Cultures!$B$3:$M$3,0),FALSE)</f>
        <v>#N/A</v>
      </c>
      <c r="AR531" s="4" t="e">
        <f>VLOOKUP($N531,[2]Cultures!$B$4:$M$283,MATCH(AR$1,[2]Cultures!$B$3:$M$3,0),FALSE)</f>
        <v>#N/A</v>
      </c>
      <c r="AS531" s="4" t="e">
        <f>VLOOKUP($N531,[2]Cultures!$B$4:$M$283,MATCH(AS$1,[2]Cultures!$B$3:$M$3,0),FALSE)</f>
        <v>#N/A</v>
      </c>
      <c r="AT531" s="4"/>
      <c r="AU531" s="4">
        <f>IF(ISNUMBER(SEARCH(N531&amp;";",Calculations!$Q$19)),VLOOKUP(Skills!N531,Calculations!$Q$2:$T$16,4,FALSE),0)</f>
        <v>0</v>
      </c>
      <c r="AV531" s="4">
        <f>IF(ISNUMBER(SEARCH(N531&amp;";",Calculations!$Q$18)),1,0)</f>
        <v>0</v>
      </c>
      <c r="AW531" s="4">
        <f t="shared" si="284"/>
        <v>1</v>
      </c>
      <c r="AX531" s="4">
        <f>VLOOKUP($N531,$N531:$CH531,MATCH('Character Sheet'!$BJ$3,Skills!$N$1:$CH$1,0),FALSE)</f>
        <v>0</v>
      </c>
    </row>
    <row r="532" spans="2:50" x14ac:dyDescent="0.25">
      <c r="B532" s="4" t="e">
        <f t="shared" si="260"/>
        <v>#N/A</v>
      </c>
      <c r="E532" s="4"/>
      <c r="F532" s="4">
        <f t="shared" ca="1" si="271"/>
        <v>0</v>
      </c>
      <c r="G532" s="4"/>
      <c r="H532" s="4" t="e">
        <f t="shared" si="265"/>
        <v>#N/A</v>
      </c>
      <c r="I532" s="4" t="e">
        <f>IF($J$533=1,1,IF($J$535=1,1,IF($J$541=1,1,0)))</f>
        <v>#N/A</v>
      </c>
      <c r="J532" s="4">
        <f t="shared" si="273"/>
        <v>0</v>
      </c>
      <c r="K532" s="4" t="e">
        <f t="shared" si="266"/>
        <v>#N/A</v>
      </c>
      <c r="N532" s="3" t="s">
        <v>734</v>
      </c>
      <c r="O532" s="6" t="s">
        <v>782</v>
      </c>
      <c r="P532" s="6" t="s">
        <v>782</v>
      </c>
      <c r="Q532" s="4" t="str">
        <f t="shared" si="263"/>
        <v>- -</v>
      </c>
      <c r="R532" s="4" t="str">
        <f>IF(ISNUMBER(SEARCH("Category",N532)),"- -",IF(ISNUMBER(SEARCH("Skills",N532)),"- -",'Level-up'!C550))</f>
        <v>- -</v>
      </c>
      <c r="S532" s="4" t="str">
        <f t="shared" si="274"/>
        <v>- -</v>
      </c>
      <c r="T532" s="4" t="str">
        <f t="shared" si="275"/>
        <v>- -</v>
      </c>
      <c r="U532" s="4" t="str">
        <f t="shared" ca="1" si="264"/>
        <v>- -</v>
      </c>
      <c r="V532" s="4" t="str">
        <f t="shared" si="283"/>
        <v>- -</v>
      </c>
      <c r="W532" s="4" t="str">
        <f t="shared" si="262"/>
        <v>- -</v>
      </c>
      <c r="X532" s="4" t="str">
        <f t="shared" si="261"/>
        <v>- -</v>
      </c>
      <c r="Y532" s="4" t="str">
        <f t="shared" si="276"/>
        <v>- -</v>
      </c>
      <c r="Z532" s="4" t="str">
        <f t="shared" si="277"/>
        <v>- -</v>
      </c>
      <c r="AA532" s="4" t="str">
        <f t="shared" si="278"/>
        <v>- -</v>
      </c>
      <c r="AB532" s="4" t="str">
        <f t="shared" si="279"/>
        <v>- -</v>
      </c>
      <c r="AC532" s="8"/>
      <c r="AD532" s="4"/>
      <c r="AE532" s="4"/>
      <c r="AF532" s="4" t="str">
        <f t="shared" si="280"/>
        <v>- -</v>
      </c>
      <c r="AG532" s="4"/>
      <c r="AH532" s="4">
        <f>IFERROR(VLOOKUP(M532,Calculations!$AC$2:$AD$251,2,FALSE),0)</f>
        <v>0</v>
      </c>
      <c r="AI532" s="4" t="e">
        <f>VLOOKUP(N532,$N$2:$AS$620,MATCH('Character Creation'!$Z$12,Skills!$N$1:$AS$1,0),FALSE)</f>
        <v>#N/A</v>
      </c>
      <c r="AJ532" s="4" t="e">
        <f>VLOOKUP($N532,[2]Cultures!$B$4:$M$283,MATCH(AJ$1,[2]Cultures!$B$3:$M$3,0),FALSE)</f>
        <v>#N/A</v>
      </c>
      <c r="AK532" s="4" t="e">
        <f>VLOOKUP($N532,[2]Cultures!$B$4:$M$283,MATCH(AK$1,[2]Cultures!$B$3:$M$3,0),FALSE)</f>
        <v>#N/A</v>
      </c>
      <c r="AL532" s="4" t="e">
        <f>VLOOKUP($N532,[2]Cultures!$B$4:$M$283,MATCH(AL$1,[2]Cultures!$B$3:$M$3,0),FALSE)</f>
        <v>#N/A</v>
      </c>
      <c r="AM532" s="4" t="e">
        <f>VLOOKUP($N532,[2]Cultures!$B$4:$M$283,MATCH(AM$1,[2]Cultures!$B$3:$M$3,0),FALSE)</f>
        <v>#N/A</v>
      </c>
      <c r="AN532" s="4" t="e">
        <f>VLOOKUP($N532,[2]Cultures!$B$4:$M$283,MATCH(AN$1,[2]Cultures!$B$3:$M$3,0),FALSE)</f>
        <v>#N/A</v>
      </c>
      <c r="AO532" s="4" t="e">
        <f>VLOOKUP($N532,[2]Cultures!$B$4:$M$283,MATCH(AO$1,[2]Cultures!$B$3:$M$3,0),FALSE)</f>
        <v>#N/A</v>
      </c>
      <c r="AP532" s="4" t="e">
        <f>VLOOKUP($N532,[2]Cultures!$B$4:$M$283,MATCH(AP$1,[2]Cultures!$B$3:$M$3,0),FALSE)</f>
        <v>#N/A</v>
      </c>
      <c r="AQ532" s="4" t="e">
        <f>VLOOKUP($N532,[2]Cultures!$B$4:$M$283,MATCH(AQ$1,[2]Cultures!$B$3:$M$3,0),FALSE)</f>
        <v>#N/A</v>
      </c>
      <c r="AR532" s="4" t="e">
        <f>VLOOKUP($N532,[2]Cultures!$B$4:$M$283,MATCH(AR$1,[2]Cultures!$B$3:$M$3,0),FALSE)</f>
        <v>#N/A</v>
      </c>
      <c r="AS532" s="4" t="e">
        <f>VLOOKUP($N532,[2]Cultures!$B$4:$M$283,MATCH(AS$1,[2]Cultures!$B$3:$M$3,0),FALSE)</f>
        <v>#N/A</v>
      </c>
      <c r="AT532" s="4"/>
      <c r="AU532" s="4">
        <f>IF(ISNUMBER(SEARCH(N532&amp;";",Calculations!$Q$19)),VLOOKUP(Skills!N532,Calculations!$Q$2:$T$16,4,FALSE),0)</f>
        <v>0</v>
      </c>
      <c r="AV532" s="4">
        <f>IF(ISNUMBER(SEARCH(N532&amp;";",Calculations!$Q$18)),1,0)</f>
        <v>0</v>
      </c>
      <c r="AW532" s="4"/>
      <c r="AX532" s="4">
        <f>VLOOKUP($N532,$N532:$CH532,MATCH('Character Sheet'!$BJ$3,Skills!$N$1:$CH$1,0),FALSE)</f>
        <v>0</v>
      </c>
    </row>
    <row r="533" spans="2:50" x14ac:dyDescent="0.25">
      <c r="B533" s="4" t="e">
        <f t="shared" si="260"/>
        <v>#N/A</v>
      </c>
      <c r="E533" s="4"/>
      <c r="F533" s="4">
        <f t="shared" ca="1" si="271"/>
        <v>0</v>
      </c>
      <c r="G533" s="4"/>
      <c r="H533" s="4" t="e">
        <f t="shared" si="265"/>
        <v>#N/A</v>
      </c>
      <c r="I533" s="4">
        <v>0</v>
      </c>
      <c r="J533" s="4" t="e">
        <f t="shared" si="273"/>
        <v>#N/A</v>
      </c>
      <c r="K533" s="4" t="e">
        <f t="shared" si="266"/>
        <v>#N/A</v>
      </c>
      <c r="N533" s="3" t="s">
        <v>735</v>
      </c>
      <c r="O533" s="6" t="s">
        <v>782</v>
      </c>
      <c r="P533" s="6" t="s">
        <v>782</v>
      </c>
      <c r="Q533" s="4" t="str">
        <f t="shared" si="263"/>
        <v>- -</v>
      </c>
      <c r="R533" s="4" t="str">
        <f>IF(ISNUMBER(SEARCH("Category",N533)),"- -",IF(ISNUMBER(SEARCH("Skills",N533)),"- -",'Level-up'!C551))</f>
        <v>- -</v>
      </c>
      <c r="S533" s="4" t="str">
        <f t="shared" si="274"/>
        <v>- -</v>
      </c>
      <c r="T533" s="4" t="str">
        <f t="shared" si="275"/>
        <v>- -</v>
      </c>
      <c r="U533" s="4" t="str">
        <f t="shared" ca="1" si="264"/>
        <v>- -</v>
      </c>
      <c r="V533" s="4" t="str">
        <f t="shared" si="283"/>
        <v>- -</v>
      </c>
      <c r="W533" s="4" t="str">
        <f t="shared" si="262"/>
        <v>- -</v>
      </c>
      <c r="X533" s="4" t="str">
        <f t="shared" si="261"/>
        <v>- -</v>
      </c>
      <c r="Y533" s="4" t="str">
        <f t="shared" si="276"/>
        <v>- -</v>
      </c>
      <c r="Z533" s="4" t="str">
        <f t="shared" si="277"/>
        <v>- -</v>
      </c>
      <c r="AA533" s="4" t="str">
        <f t="shared" si="278"/>
        <v>- -</v>
      </c>
      <c r="AB533" s="4" t="str">
        <f t="shared" si="279"/>
        <v>- -</v>
      </c>
      <c r="AC533" s="8"/>
      <c r="AD533" s="4"/>
      <c r="AE533" s="4"/>
      <c r="AF533" s="4" t="str">
        <f t="shared" si="280"/>
        <v>- -</v>
      </c>
      <c r="AG533" s="4"/>
      <c r="AH533" s="4">
        <f>IFERROR(VLOOKUP(M533,Calculations!$AC$2:$AD$251,2,FALSE),0)</f>
        <v>0</v>
      </c>
      <c r="AI533" s="4" t="e">
        <f>VLOOKUP(N533,$N$2:$AS$620,MATCH('Character Creation'!$Z$12,Skills!$N$1:$AS$1,0),FALSE)</f>
        <v>#N/A</v>
      </c>
      <c r="AJ533" s="4" t="e">
        <f>VLOOKUP($N533,[2]Cultures!$B$4:$M$283,MATCH(AJ$1,[2]Cultures!$B$3:$M$3,0),FALSE)</f>
        <v>#N/A</v>
      </c>
      <c r="AK533" s="4" t="e">
        <f>VLOOKUP($N533,[2]Cultures!$B$4:$M$283,MATCH(AK$1,[2]Cultures!$B$3:$M$3,0),FALSE)</f>
        <v>#N/A</v>
      </c>
      <c r="AL533" s="4" t="e">
        <f>VLOOKUP($N533,[2]Cultures!$B$4:$M$283,MATCH(AL$1,[2]Cultures!$B$3:$M$3,0),FALSE)</f>
        <v>#N/A</v>
      </c>
      <c r="AM533" s="4" t="e">
        <f>VLOOKUP($N533,[2]Cultures!$B$4:$M$283,MATCH(AM$1,[2]Cultures!$B$3:$M$3,0),FALSE)</f>
        <v>#N/A</v>
      </c>
      <c r="AN533" s="4" t="e">
        <f>VLOOKUP($N533,[2]Cultures!$B$4:$M$283,MATCH(AN$1,[2]Cultures!$B$3:$M$3,0),FALSE)</f>
        <v>#N/A</v>
      </c>
      <c r="AO533" s="4" t="e">
        <f>VLOOKUP($N533,[2]Cultures!$B$4:$M$283,MATCH(AO$1,[2]Cultures!$B$3:$M$3,0),FALSE)</f>
        <v>#N/A</v>
      </c>
      <c r="AP533" s="4" t="e">
        <f>VLOOKUP($N533,[2]Cultures!$B$4:$M$283,MATCH(AP$1,[2]Cultures!$B$3:$M$3,0),FALSE)</f>
        <v>#N/A</v>
      </c>
      <c r="AQ533" s="4" t="e">
        <f>VLOOKUP($N533,[2]Cultures!$B$4:$M$283,MATCH(AQ$1,[2]Cultures!$B$3:$M$3,0),FALSE)</f>
        <v>#N/A</v>
      </c>
      <c r="AR533" s="4" t="e">
        <f>VLOOKUP($N533,[2]Cultures!$B$4:$M$283,MATCH(AR$1,[2]Cultures!$B$3:$M$3,0),FALSE)</f>
        <v>#N/A</v>
      </c>
      <c r="AS533" s="4" t="e">
        <f>VLOOKUP($N533,[2]Cultures!$B$4:$M$283,MATCH(AS$1,[2]Cultures!$B$3:$M$3,0),FALSE)</f>
        <v>#N/A</v>
      </c>
      <c r="AT533" s="4"/>
      <c r="AU533" s="4">
        <f>IF(ISNUMBER(SEARCH(N533&amp;";",Calculations!$Q$19)),VLOOKUP(Skills!N533,Calculations!$Q$2:$T$16,4,FALSE),0)</f>
        <v>0</v>
      </c>
      <c r="AV533" s="4">
        <f>IF(ISNUMBER(SEARCH(N533&amp;";",Calculations!$Q$18)),1,0)</f>
        <v>0</v>
      </c>
      <c r="AW533" s="4"/>
      <c r="AX533" s="4">
        <f>VLOOKUP($N533,$N533:$CH533,MATCH('Character Sheet'!$BJ$3,Skills!$N$1:$CH$1,0),FALSE)</f>
        <v>0</v>
      </c>
    </row>
    <row r="534" spans="2:50" x14ac:dyDescent="0.25">
      <c r="B534" s="4" t="e">
        <f t="shared" si="260"/>
        <v>#N/A</v>
      </c>
      <c r="E534" s="4"/>
      <c r="F534" s="4">
        <f t="shared" ca="1" si="271"/>
        <v>0</v>
      </c>
      <c r="G534" s="4"/>
      <c r="H534" s="4" t="e">
        <f t="shared" si="265"/>
        <v>#N/A</v>
      </c>
      <c r="I534" s="4" t="e">
        <f>IF($J$533=1,1,IF($J$535=1,1,IF($J$541=1,1,0)))</f>
        <v>#N/A</v>
      </c>
      <c r="J534" s="4">
        <f t="shared" si="273"/>
        <v>0</v>
      </c>
      <c r="K534" s="4" t="e">
        <f t="shared" si="266"/>
        <v>#N/A</v>
      </c>
      <c r="N534" s="3" t="s">
        <v>736</v>
      </c>
      <c r="O534" s="6" t="s">
        <v>782</v>
      </c>
      <c r="P534" s="6" t="s">
        <v>782</v>
      </c>
      <c r="Q534" s="4" t="str">
        <f t="shared" si="263"/>
        <v>- -</v>
      </c>
      <c r="R534" s="4" t="str">
        <f>IF(ISNUMBER(SEARCH("Category",N534)),"- -",IF(ISNUMBER(SEARCH("Skills",N534)),"- -",'Level-up'!C552))</f>
        <v>- -</v>
      </c>
      <c r="S534" s="4" t="str">
        <f t="shared" si="274"/>
        <v>- -</v>
      </c>
      <c r="T534" s="4" t="str">
        <f t="shared" si="275"/>
        <v>- -</v>
      </c>
      <c r="U534" s="4" t="str">
        <f t="shared" ca="1" si="264"/>
        <v>- -</v>
      </c>
      <c r="V534" s="4" t="str">
        <f t="shared" si="283"/>
        <v>- -</v>
      </c>
      <c r="W534" s="4" t="str">
        <f t="shared" si="262"/>
        <v>- -</v>
      </c>
      <c r="X534" s="4" t="str">
        <f t="shared" si="261"/>
        <v>- -</v>
      </c>
      <c r="Y534" s="4" t="str">
        <f t="shared" si="276"/>
        <v>- -</v>
      </c>
      <c r="Z534" s="4" t="str">
        <f t="shared" si="277"/>
        <v>- -</v>
      </c>
      <c r="AA534" s="4" t="str">
        <f t="shared" si="278"/>
        <v>- -</v>
      </c>
      <c r="AB534" s="4" t="str">
        <f t="shared" si="279"/>
        <v>- -</v>
      </c>
      <c r="AC534" s="8"/>
      <c r="AD534" s="4"/>
      <c r="AE534" s="4"/>
      <c r="AF534" s="4" t="str">
        <f t="shared" si="280"/>
        <v>- -</v>
      </c>
      <c r="AG534" s="4"/>
      <c r="AH534" s="4">
        <f>IFERROR(VLOOKUP(M534,Calculations!$AC$2:$AD$251,2,FALSE),0)</f>
        <v>0</v>
      </c>
      <c r="AI534" s="4" t="e">
        <f>VLOOKUP(N534,$N$2:$AS$620,MATCH('Character Creation'!$Z$12,Skills!$N$1:$AS$1,0),FALSE)</f>
        <v>#N/A</v>
      </c>
      <c r="AJ534" s="4" t="e">
        <f>VLOOKUP($N534,[2]Cultures!$B$4:$M$283,MATCH(AJ$1,[2]Cultures!$B$3:$M$3,0),FALSE)</f>
        <v>#N/A</v>
      </c>
      <c r="AK534" s="4" t="e">
        <f>VLOOKUP($N534,[2]Cultures!$B$4:$M$283,MATCH(AK$1,[2]Cultures!$B$3:$M$3,0),FALSE)</f>
        <v>#N/A</v>
      </c>
      <c r="AL534" s="4" t="e">
        <f>VLOOKUP($N534,[2]Cultures!$B$4:$M$283,MATCH(AL$1,[2]Cultures!$B$3:$M$3,0),FALSE)</f>
        <v>#N/A</v>
      </c>
      <c r="AM534" s="4" t="e">
        <f>VLOOKUP($N534,[2]Cultures!$B$4:$M$283,MATCH(AM$1,[2]Cultures!$B$3:$M$3,0),FALSE)</f>
        <v>#N/A</v>
      </c>
      <c r="AN534" s="4" t="e">
        <f>VLOOKUP($N534,[2]Cultures!$B$4:$M$283,MATCH(AN$1,[2]Cultures!$B$3:$M$3,0),FALSE)</f>
        <v>#N/A</v>
      </c>
      <c r="AO534" s="4" t="e">
        <f>VLOOKUP($N534,[2]Cultures!$B$4:$M$283,MATCH(AO$1,[2]Cultures!$B$3:$M$3,0),FALSE)</f>
        <v>#N/A</v>
      </c>
      <c r="AP534" s="4" t="e">
        <f>VLOOKUP($N534,[2]Cultures!$B$4:$M$283,MATCH(AP$1,[2]Cultures!$B$3:$M$3,0),FALSE)</f>
        <v>#N/A</v>
      </c>
      <c r="AQ534" s="4" t="e">
        <f>VLOOKUP($N534,[2]Cultures!$B$4:$M$283,MATCH(AQ$1,[2]Cultures!$B$3:$M$3,0),FALSE)</f>
        <v>#N/A</v>
      </c>
      <c r="AR534" s="4" t="e">
        <f>VLOOKUP($N534,[2]Cultures!$B$4:$M$283,MATCH(AR$1,[2]Cultures!$B$3:$M$3,0),FALSE)</f>
        <v>#N/A</v>
      </c>
      <c r="AS534" s="4" t="e">
        <f>VLOOKUP($N534,[2]Cultures!$B$4:$M$283,MATCH(AS$1,[2]Cultures!$B$3:$M$3,0),FALSE)</f>
        <v>#N/A</v>
      </c>
      <c r="AT534" s="4"/>
      <c r="AU534" s="4">
        <f>IF(ISNUMBER(SEARCH(N534&amp;";",Calculations!$Q$19)),VLOOKUP(Skills!N534,Calculations!$Q$2:$T$16,4,FALSE),0)</f>
        <v>0</v>
      </c>
      <c r="AV534" s="4">
        <f>IF(ISNUMBER(SEARCH(N534&amp;";",Calculations!$Q$18)),1,0)</f>
        <v>0</v>
      </c>
      <c r="AW534" s="4"/>
      <c r="AX534" s="4">
        <f>VLOOKUP($N534,$N534:$CH534,MATCH('Character Sheet'!$BJ$3,Skills!$N$1:$CH$1,0),FALSE)</f>
        <v>0</v>
      </c>
    </row>
    <row r="535" spans="2:50" x14ac:dyDescent="0.25">
      <c r="B535" s="4" t="e">
        <f t="shared" si="260"/>
        <v>#N/A</v>
      </c>
      <c r="E535" s="4"/>
      <c r="F535" s="4">
        <f t="shared" ca="1" si="271"/>
        <v>0</v>
      </c>
      <c r="G535" s="4"/>
      <c r="H535" s="4" t="e">
        <f t="shared" si="265"/>
        <v>#N/A</v>
      </c>
      <c r="I535" s="4">
        <v>0</v>
      </c>
      <c r="J535" s="4" t="e">
        <f t="shared" si="273"/>
        <v>#N/A</v>
      </c>
      <c r="K535" s="4" t="e">
        <f t="shared" si="266"/>
        <v>#N/A</v>
      </c>
      <c r="N535" s="3" t="s">
        <v>737</v>
      </c>
      <c r="O535" s="6" t="s">
        <v>782</v>
      </c>
      <c r="P535" s="6" t="s">
        <v>782</v>
      </c>
      <c r="Q535" s="4" t="str">
        <f t="shared" si="263"/>
        <v>- -</v>
      </c>
      <c r="R535" s="4" t="str">
        <f>IF(ISNUMBER(SEARCH("Category",N535)),"- -",IF(ISNUMBER(SEARCH("Skills",N535)),"- -",'Level-up'!C553))</f>
        <v>- -</v>
      </c>
      <c r="S535" s="4" t="str">
        <f t="shared" si="274"/>
        <v>- -</v>
      </c>
      <c r="T535" s="4" t="str">
        <f t="shared" si="275"/>
        <v>- -</v>
      </c>
      <c r="U535" s="4" t="str">
        <f t="shared" ca="1" si="264"/>
        <v>- -</v>
      </c>
      <c r="V535" s="4" t="str">
        <f t="shared" si="283"/>
        <v>- -</v>
      </c>
      <c r="W535" s="4" t="str">
        <f t="shared" si="262"/>
        <v>- -</v>
      </c>
      <c r="X535" s="4" t="str">
        <f t="shared" si="261"/>
        <v>- -</v>
      </c>
      <c r="Y535" s="4" t="str">
        <f t="shared" si="276"/>
        <v>- -</v>
      </c>
      <c r="Z535" s="4" t="str">
        <f t="shared" si="277"/>
        <v>- -</v>
      </c>
      <c r="AA535" s="4" t="str">
        <f t="shared" si="278"/>
        <v>- -</v>
      </c>
      <c r="AB535" s="4" t="str">
        <f t="shared" si="279"/>
        <v>- -</v>
      </c>
      <c r="AC535" s="8"/>
      <c r="AD535" s="4"/>
      <c r="AE535" s="4"/>
      <c r="AF535" s="4" t="str">
        <f t="shared" si="280"/>
        <v>- -</v>
      </c>
      <c r="AG535" s="4"/>
      <c r="AH535" s="4">
        <f>IFERROR(VLOOKUP(M535,Calculations!$AC$2:$AD$251,2,FALSE),0)</f>
        <v>0</v>
      </c>
      <c r="AI535" s="4" t="e">
        <f>VLOOKUP(N535,$N$2:$AS$620,MATCH('Character Creation'!$Z$12,Skills!$N$1:$AS$1,0),FALSE)</f>
        <v>#N/A</v>
      </c>
      <c r="AJ535" s="4" t="e">
        <f>VLOOKUP($N535,[2]Cultures!$B$4:$M$283,MATCH(AJ$1,[2]Cultures!$B$3:$M$3,0),FALSE)</f>
        <v>#N/A</v>
      </c>
      <c r="AK535" s="4" t="e">
        <f>VLOOKUP($N535,[2]Cultures!$B$4:$M$283,MATCH(AK$1,[2]Cultures!$B$3:$M$3,0),FALSE)</f>
        <v>#N/A</v>
      </c>
      <c r="AL535" s="4" t="e">
        <f>VLOOKUP($N535,[2]Cultures!$B$4:$M$283,MATCH(AL$1,[2]Cultures!$B$3:$M$3,0),FALSE)</f>
        <v>#N/A</v>
      </c>
      <c r="AM535" s="4" t="e">
        <f>VLOOKUP($N535,[2]Cultures!$B$4:$M$283,MATCH(AM$1,[2]Cultures!$B$3:$M$3,0),FALSE)</f>
        <v>#N/A</v>
      </c>
      <c r="AN535" s="4" t="e">
        <f>VLOOKUP($N535,[2]Cultures!$B$4:$M$283,MATCH(AN$1,[2]Cultures!$B$3:$M$3,0),FALSE)</f>
        <v>#N/A</v>
      </c>
      <c r="AO535" s="4" t="e">
        <f>VLOOKUP($N535,[2]Cultures!$B$4:$M$283,MATCH(AO$1,[2]Cultures!$B$3:$M$3,0),FALSE)</f>
        <v>#N/A</v>
      </c>
      <c r="AP535" s="4" t="e">
        <f>VLOOKUP($N535,[2]Cultures!$B$4:$M$283,MATCH(AP$1,[2]Cultures!$B$3:$M$3,0),FALSE)</f>
        <v>#N/A</v>
      </c>
      <c r="AQ535" s="4" t="e">
        <f>VLOOKUP($N535,[2]Cultures!$B$4:$M$283,MATCH(AQ$1,[2]Cultures!$B$3:$M$3,0),FALSE)</f>
        <v>#N/A</v>
      </c>
      <c r="AR535" s="4" t="e">
        <f>VLOOKUP($N535,[2]Cultures!$B$4:$M$283,MATCH(AR$1,[2]Cultures!$B$3:$M$3,0),FALSE)</f>
        <v>#N/A</v>
      </c>
      <c r="AS535" s="4" t="e">
        <f>VLOOKUP($N535,[2]Cultures!$B$4:$M$283,MATCH(AS$1,[2]Cultures!$B$3:$M$3,0),FALSE)</f>
        <v>#N/A</v>
      </c>
      <c r="AT535" s="4"/>
      <c r="AU535" s="4">
        <f>IF(ISNUMBER(SEARCH(N535&amp;";",Calculations!$Q$19)),VLOOKUP(Skills!N535,Calculations!$Q$2:$T$16,4,FALSE),0)</f>
        <v>0</v>
      </c>
      <c r="AV535" s="4">
        <f>IF(ISNUMBER(SEARCH(N535&amp;";",Calculations!$Q$18)),1,0)</f>
        <v>0</v>
      </c>
      <c r="AW535" s="4"/>
      <c r="AX535" s="4">
        <f>VLOOKUP($N535,$N535:$CH535,MATCH('Character Sheet'!$BJ$3,Skills!$N$1:$CH$1,0),FALSE)</f>
        <v>0</v>
      </c>
    </row>
    <row r="536" spans="2:50" x14ac:dyDescent="0.25">
      <c r="B536" s="4" t="e">
        <f t="shared" ca="1" si="260"/>
        <v>#N/A</v>
      </c>
      <c r="E536" s="4"/>
      <c r="F536" s="4">
        <f t="shared" ca="1" si="271"/>
        <v>0</v>
      </c>
      <c r="G536" s="4"/>
      <c r="H536" s="4" t="e">
        <f t="shared" si="265"/>
        <v>#N/A</v>
      </c>
      <c r="I536" s="4" t="e">
        <f>IF($J$533=1,1,IF($J$535=1,1,0))</f>
        <v>#N/A</v>
      </c>
      <c r="J536" s="4">
        <f t="shared" si="273"/>
        <v>0</v>
      </c>
      <c r="K536" s="4" t="e">
        <f t="shared" ca="1" si="266"/>
        <v>#N/A</v>
      </c>
      <c r="M536" t="str">
        <f>"Ambush, "&amp;N536</f>
        <v>Ambush, Directed Spells</v>
      </c>
      <c r="N536" s="3" t="str">
        <f>'Character Sheet'!CZL5</f>
        <v>Directed Spells</v>
      </c>
      <c r="O536" s="4" t="s">
        <v>1995</v>
      </c>
      <c r="P536" s="4" t="s">
        <v>794</v>
      </c>
      <c r="Q536" s="4" t="e">
        <f t="shared" ca="1" si="263"/>
        <v>#N/A</v>
      </c>
      <c r="R536" s="4">
        <f>IF(ISNUMBER(SEARCH("Category",N536)),"- -",IF(ISNUMBER(SEARCH("Skills",N536)),"- -",'Level-up'!C554))</f>
        <v>0</v>
      </c>
      <c r="S536" s="4" t="e">
        <f t="shared" ca="1" si="274"/>
        <v>#N/A</v>
      </c>
      <c r="T536" s="4" t="e">
        <f t="shared" ca="1" si="275"/>
        <v>#N/A</v>
      </c>
      <c r="U536" s="4">
        <f t="shared" ca="1" si="264"/>
        <v>2</v>
      </c>
      <c r="V536" s="4">
        <f t="shared" ref="V536:V541" si="285">IF(ISNUMBER(SEARCH("Category",N536)),"- -",IF(ISNUMBER(SEARCH("Skills",N536)),"- -",IF(AU536&gt;0,AU536,IF($AU$534&gt;0,$AU$534,$AU$532))))</f>
        <v>0</v>
      </c>
      <c r="W536" s="4">
        <f t="shared" si="262"/>
        <v>0</v>
      </c>
      <c r="X536" s="4">
        <f t="shared" si="261"/>
        <v>0</v>
      </c>
      <c r="Y536" s="4">
        <f t="shared" si="276"/>
        <v>0</v>
      </c>
      <c r="Z536" s="4">
        <f t="shared" si="277"/>
        <v>0</v>
      </c>
      <c r="AA536" s="4">
        <f t="shared" si="278"/>
        <v>0</v>
      </c>
      <c r="AB536" s="4">
        <f t="shared" si="279"/>
        <v>0</v>
      </c>
      <c r="AC536" s="8"/>
      <c r="AD536" s="4"/>
      <c r="AE536" s="4"/>
      <c r="AF536" s="4" t="e">
        <f t="shared" ca="1" si="280"/>
        <v>#N/A</v>
      </c>
      <c r="AG536" s="4"/>
      <c r="AH536" s="4">
        <f>IFERROR(VLOOKUP(M536,Calculations!$AC$2:$AD$251,2,FALSE),0)</f>
        <v>0</v>
      </c>
      <c r="AI536" s="4" t="e">
        <f ca="1">VLOOKUP(N536,$N$2:$AS$620,MATCH('Character Creation'!$Z$12,Skills!$N$1:$AS$1,0),FALSE)</f>
        <v>#N/A</v>
      </c>
      <c r="AJ536" s="4" t="e">
        <f>VLOOKUP($N536,[2]Cultures!$B$4:$M$283,MATCH(AJ$1,[2]Cultures!$B$3:$M$3,0),FALSE)</f>
        <v>#N/A</v>
      </c>
      <c r="AK536" s="4" t="e">
        <f>VLOOKUP($N536,[2]Cultures!$B$4:$M$283,MATCH(AK$1,[2]Cultures!$B$3:$M$3,0),FALSE)</f>
        <v>#N/A</v>
      </c>
      <c r="AL536" s="4" t="e">
        <f>VLOOKUP($N536,[2]Cultures!$B$4:$M$283,MATCH(AL$1,[2]Cultures!$B$3:$M$3,0),FALSE)</f>
        <v>#N/A</v>
      </c>
      <c r="AM536" s="4" t="e">
        <f>VLOOKUP($N536,[2]Cultures!$B$4:$M$283,MATCH(AM$1,[2]Cultures!$B$3:$M$3,0),FALSE)</f>
        <v>#N/A</v>
      </c>
      <c r="AN536" s="4" t="e">
        <f>VLOOKUP($N536,[2]Cultures!$B$4:$M$283,MATCH(AN$1,[2]Cultures!$B$3:$M$3,0),FALSE)</f>
        <v>#N/A</v>
      </c>
      <c r="AO536" s="4" t="e">
        <f>VLOOKUP($N536,[2]Cultures!$B$4:$M$283,MATCH(AO$1,[2]Cultures!$B$3:$M$3,0),FALSE)</f>
        <v>#N/A</v>
      </c>
      <c r="AP536" s="4" t="e">
        <f>VLOOKUP($N536,[2]Cultures!$B$4:$M$283,MATCH(AP$1,[2]Cultures!$B$3:$M$3,0),FALSE)</f>
        <v>#N/A</v>
      </c>
      <c r="AQ536" s="4" t="e">
        <f>VLOOKUP($N536,[2]Cultures!$B$4:$M$283,MATCH(AQ$1,[2]Cultures!$B$3:$M$3,0),FALSE)</f>
        <v>#N/A</v>
      </c>
      <c r="AR536" s="4" t="e">
        <f>VLOOKUP($N536,[2]Cultures!$B$4:$M$283,MATCH(AR$1,[2]Cultures!$B$3:$M$3,0),FALSE)</f>
        <v>#N/A</v>
      </c>
      <c r="AS536" s="4" t="e">
        <f>VLOOKUP($N536,[2]Cultures!$B$4:$M$283,MATCH(AS$1,[2]Cultures!$B$3:$M$3,0),FALSE)</f>
        <v>#N/A</v>
      </c>
      <c r="AT536" s="4"/>
      <c r="AU536" s="4">
        <f>IF(ISNUMBER(SEARCH(N536&amp;";",Calculations!$Q$19)),VLOOKUP(Skills!N536,Calculations!$Q$2:$T$16,4,FALSE),0)</f>
        <v>0</v>
      </c>
      <c r="AV536" s="4">
        <f>IF(ISNUMBER(SEARCH(N536&amp;";",Calculations!$Q$18)),1,0)</f>
        <v>0</v>
      </c>
      <c r="AW536" s="4">
        <f>IF($AV$532=1,1,IF($AV$534=1,1,AV536))</f>
        <v>0</v>
      </c>
      <c r="AX536" s="4">
        <f>VLOOKUP($N536,$N536:$CH536,MATCH('Character Sheet'!$BJ$3,Skills!$N$1:$CH$1,0),FALSE)</f>
        <v>0</v>
      </c>
    </row>
    <row r="537" spans="2:50" x14ac:dyDescent="0.25">
      <c r="B537" s="4" t="e">
        <f t="shared" si="260"/>
        <v>#N/A</v>
      </c>
      <c r="E537" s="4"/>
      <c r="F537" s="4">
        <f t="shared" ca="1" si="271"/>
        <v>0</v>
      </c>
      <c r="G537" s="4"/>
      <c r="H537" s="4" t="e">
        <f t="shared" si="265"/>
        <v>#N/A</v>
      </c>
      <c r="I537" s="4" t="e">
        <f>IF($J$533=1,1,IF($J$535=1,1,0))</f>
        <v>#N/A</v>
      </c>
      <c r="J537" s="4">
        <f t="shared" si="273"/>
        <v>0</v>
      </c>
      <c r="K537" s="4" t="e">
        <f t="shared" si="266"/>
        <v>#N/A</v>
      </c>
      <c r="M537" t="str">
        <f>"Ambush, "&amp;N537</f>
        <v>Ambush, Melee</v>
      </c>
      <c r="N537" s="3" t="str">
        <f>'Character Sheet'!CZL6</f>
        <v>Melee</v>
      </c>
      <c r="O537" s="4" t="s">
        <v>1995</v>
      </c>
      <c r="P537" s="4" t="s">
        <v>794</v>
      </c>
      <c r="Q537" s="4" t="e">
        <f t="shared" si="263"/>
        <v>#N/A</v>
      </c>
      <c r="R537" s="4">
        <f>IF(ISNUMBER(SEARCH("Category",N537)),"- -",IF(ISNUMBER(SEARCH("Skills",N537)),"- -",'Level-up'!C555))</f>
        <v>0</v>
      </c>
      <c r="S537" s="4" t="e">
        <f t="shared" si="274"/>
        <v>#N/A</v>
      </c>
      <c r="T537" s="4" t="e">
        <f t="shared" si="275"/>
        <v>#N/A</v>
      </c>
      <c r="U537" s="4">
        <f t="shared" ca="1" si="264"/>
        <v>2</v>
      </c>
      <c r="V537" s="4">
        <f t="shared" si="285"/>
        <v>0</v>
      </c>
      <c r="W537" s="4">
        <f t="shared" si="262"/>
        <v>0</v>
      </c>
      <c r="X537" s="4">
        <f t="shared" si="261"/>
        <v>0</v>
      </c>
      <c r="Y537" s="4">
        <f t="shared" si="276"/>
        <v>0</v>
      </c>
      <c r="Z537" s="4">
        <f t="shared" si="277"/>
        <v>0</v>
      </c>
      <c r="AA537" s="4">
        <f t="shared" si="278"/>
        <v>0</v>
      </c>
      <c r="AB537" s="4">
        <f t="shared" si="279"/>
        <v>0</v>
      </c>
      <c r="AC537" s="8"/>
      <c r="AD537" s="4"/>
      <c r="AE537" s="4"/>
      <c r="AF537" s="4" t="e">
        <f t="shared" si="280"/>
        <v>#N/A</v>
      </c>
      <c r="AG537" s="4"/>
      <c r="AH537" s="4">
        <f>IFERROR(VLOOKUP(M537,Calculations!$AC$2:$AD$251,2,FALSE),0)</f>
        <v>0</v>
      </c>
      <c r="AI537" s="4" t="e">
        <f>VLOOKUP(N537,$N$2:$AS$620,MATCH('Character Creation'!$Z$12,Skills!$N$1:$AS$1,0),FALSE)</f>
        <v>#N/A</v>
      </c>
      <c r="AJ537" s="4" t="e">
        <f>VLOOKUP($N537,[2]Cultures!$B$4:$M$283,MATCH(AJ$1,[2]Cultures!$B$3:$M$3,0),FALSE)</f>
        <v>#N/A</v>
      </c>
      <c r="AK537" s="4" t="e">
        <f>VLOOKUP($N537,[2]Cultures!$B$4:$M$283,MATCH(AK$1,[2]Cultures!$B$3:$M$3,0),FALSE)</f>
        <v>#N/A</v>
      </c>
      <c r="AL537" s="4" t="e">
        <f>VLOOKUP($N537,[2]Cultures!$B$4:$M$283,MATCH(AL$1,[2]Cultures!$B$3:$M$3,0),FALSE)</f>
        <v>#N/A</v>
      </c>
      <c r="AM537" s="4" t="e">
        <f>VLOOKUP($N537,[2]Cultures!$B$4:$M$283,MATCH(AM$1,[2]Cultures!$B$3:$M$3,0),FALSE)</f>
        <v>#N/A</v>
      </c>
      <c r="AN537" s="4" t="e">
        <f>VLOOKUP($N537,[2]Cultures!$B$4:$M$283,MATCH(AN$1,[2]Cultures!$B$3:$M$3,0),FALSE)</f>
        <v>#N/A</v>
      </c>
      <c r="AO537" s="4" t="e">
        <f>VLOOKUP($N537,[2]Cultures!$B$4:$M$283,MATCH(AO$1,[2]Cultures!$B$3:$M$3,0),FALSE)</f>
        <v>#N/A</v>
      </c>
      <c r="AP537" s="4" t="e">
        <f>VLOOKUP($N537,[2]Cultures!$B$4:$M$283,MATCH(AP$1,[2]Cultures!$B$3:$M$3,0),FALSE)</f>
        <v>#N/A</v>
      </c>
      <c r="AQ537" s="4" t="e">
        <f>VLOOKUP($N537,[2]Cultures!$B$4:$M$283,MATCH(AQ$1,[2]Cultures!$B$3:$M$3,0),FALSE)</f>
        <v>#N/A</v>
      </c>
      <c r="AR537" s="4" t="e">
        <f>VLOOKUP($N537,[2]Cultures!$B$4:$M$283,MATCH(AR$1,[2]Cultures!$B$3:$M$3,0),FALSE)</f>
        <v>#N/A</v>
      </c>
      <c r="AS537" s="4" t="e">
        <f>VLOOKUP($N537,[2]Cultures!$B$4:$M$283,MATCH(AS$1,[2]Cultures!$B$3:$M$3,0),FALSE)</f>
        <v>#N/A</v>
      </c>
      <c r="AT537" s="4"/>
      <c r="AU537" s="4">
        <f>IF(ISNUMBER(SEARCH(N537&amp;";",Calculations!$Q$19)),VLOOKUP(Skills!N537,Calculations!$Q$2:$T$16,4,FALSE),0)</f>
        <v>0</v>
      </c>
      <c r="AV537" s="4">
        <f>IF(ISNUMBER(SEARCH(N537&amp;";",Calculations!$Q$18)),1,0)</f>
        <v>0</v>
      </c>
      <c r="AW537" s="4">
        <f>IF($AV$532=1,1,IF($AV$534=1,1,AV537))</f>
        <v>0</v>
      </c>
      <c r="AX537" s="4">
        <f>VLOOKUP($N537,$N537:$CH537,MATCH('Character Sheet'!$BJ$3,Skills!$N$1:$CH$1,0),FALSE)</f>
        <v>0</v>
      </c>
    </row>
    <row r="538" spans="2:50" x14ac:dyDescent="0.25">
      <c r="B538" s="4" t="e">
        <f t="shared" ca="1" si="260"/>
        <v>#N/A</v>
      </c>
      <c r="E538" s="4"/>
      <c r="F538" s="4">
        <f t="shared" ca="1" si="271"/>
        <v>0</v>
      </c>
      <c r="G538" s="4"/>
      <c r="H538" s="4" t="e">
        <f t="shared" si="265"/>
        <v>#N/A</v>
      </c>
      <c r="I538" s="4" t="e">
        <f>IF($J$533=1,1,IF($J$535=1,1,0))</f>
        <v>#N/A</v>
      </c>
      <c r="J538" s="4">
        <f t="shared" si="273"/>
        <v>0</v>
      </c>
      <c r="K538" s="4" t="e">
        <f t="shared" ca="1" si="266"/>
        <v>#N/A</v>
      </c>
      <c r="M538" t="str">
        <f>"Ambush, "&amp;N538</f>
        <v>Ambush, Ranged</v>
      </c>
      <c r="N538" s="3" t="str">
        <f>'Character Sheet'!CZL7</f>
        <v>Ranged</v>
      </c>
      <c r="O538" s="4" t="s">
        <v>1995</v>
      </c>
      <c r="P538" s="4" t="s">
        <v>794</v>
      </c>
      <c r="Q538" s="4" t="e">
        <f t="shared" ca="1" si="263"/>
        <v>#N/A</v>
      </c>
      <c r="R538" s="4">
        <f>IF(ISNUMBER(SEARCH("Category",N538)),"- -",IF(ISNUMBER(SEARCH("Skills",N538)),"- -",'Level-up'!C556))</f>
        <v>0</v>
      </c>
      <c r="S538" s="4" t="e">
        <f t="shared" ca="1" si="274"/>
        <v>#N/A</v>
      </c>
      <c r="T538" s="4" t="e">
        <f t="shared" ca="1" si="275"/>
        <v>#N/A</v>
      </c>
      <c r="U538" s="4">
        <f t="shared" ca="1" si="264"/>
        <v>2</v>
      </c>
      <c r="V538" s="4">
        <f t="shared" si="285"/>
        <v>0</v>
      </c>
      <c r="W538" s="4">
        <f t="shared" si="262"/>
        <v>0</v>
      </c>
      <c r="X538" s="4">
        <f t="shared" si="261"/>
        <v>0</v>
      </c>
      <c r="Y538" s="4">
        <f t="shared" si="276"/>
        <v>0</v>
      </c>
      <c r="Z538" s="4">
        <f t="shared" si="277"/>
        <v>0</v>
      </c>
      <c r="AA538" s="4">
        <f t="shared" si="278"/>
        <v>0</v>
      </c>
      <c r="AB538" s="4">
        <f t="shared" si="279"/>
        <v>0</v>
      </c>
      <c r="AC538" s="8"/>
      <c r="AD538" s="4"/>
      <c r="AE538" s="4"/>
      <c r="AF538" s="4" t="e">
        <f t="shared" ca="1" si="280"/>
        <v>#N/A</v>
      </c>
      <c r="AG538" s="4"/>
      <c r="AH538" s="4">
        <f>IFERROR(VLOOKUP(M538,Calculations!$AC$2:$AD$251,2,FALSE),0)</f>
        <v>0</v>
      </c>
      <c r="AI538" s="4" t="e">
        <f ca="1">VLOOKUP(N538,$N$2:$AS$620,MATCH('Character Creation'!$Z$12,Skills!$N$1:$AS$1,0),FALSE)</f>
        <v>#N/A</v>
      </c>
      <c r="AJ538" s="4" t="e">
        <f>VLOOKUP($N538,[2]Cultures!$B$4:$M$283,MATCH(AJ$1,[2]Cultures!$B$3:$M$3,0),FALSE)</f>
        <v>#N/A</v>
      </c>
      <c r="AK538" s="4" t="e">
        <f>VLOOKUP($N538,[2]Cultures!$B$4:$M$283,MATCH(AK$1,[2]Cultures!$B$3:$M$3,0),FALSE)</f>
        <v>#N/A</v>
      </c>
      <c r="AL538" s="4" t="e">
        <f>VLOOKUP($N538,[2]Cultures!$B$4:$M$283,MATCH(AL$1,[2]Cultures!$B$3:$M$3,0),FALSE)</f>
        <v>#N/A</v>
      </c>
      <c r="AM538" s="4" t="e">
        <f>VLOOKUP($N538,[2]Cultures!$B$4:$M$283,MATCH(AM$1,[2]Cultures!$B$3:$M$3,0),FALSE)</f>
        <v>#N/A</v>
      </c>
      <c r="AN538" s="4" t="e">
        <f>VLOOKUP($N538,[2]Cultures!$B$4:$M$283,MATCH(AN$1,[2]Cultures!$B$3:$M$3,0),FALSE)</f>
        <v>#N/A</v>
      </c>
      <c r="AO538" s="4" t="e">
        <f>VLOOKUP($N538,[2]Cultures!$B$4:$M$283,MATCH(AO$1,[2]Cultures!$B$3:$M$3,0),FALSE)</f>
        <v>#N/A</v>
      </c>
      <c r="AP538" s="4" t="e">
        <f>VLOOKUP($N538,[2]Cultures!$B$4:$M$283,MATCH(AP$1,[2]Cultures!$B$3:$M$3,0),FALSE)</f>
        <v>#N/A</v>
      </c>
      <c r="AQ538" s="4" t="e">
        <f>VLOOKUP($N538,[2]Cultures!$B$4:$M$283,MATCH(AQ$1,[2]Cultures!$B$3:$M$3,0),FALSE)</f>
        <v>#N/A</v>
      </c>
      <c r="AR538" s="4" t="e">
        <f>VLOOKUP($N538,[2]Cultures!$B$4:$M$283,MATCH(AR$1,[2]Cultures!$B$3:$M$3,0),FALSE)</f>
        <v>#N/A</v>
      </c>
      <c r="AS538" s="4" t="e">
        <f>VLOOKUP($N538,[2]Cultures!$B$4:$M$283,MATCH(AS$1,[2]Cultures!$B$3:$M$3,0),FALSE)</f>
        <v>#N/A</v>
      </c>
      <c r="AT538" s="4"/>
      <c r="AU538" s="4">
        <f>IF(ISNUMBER(SEARCH(N538&amp;";",Calculations!$Q$19)),VLOOKUP(Skills!N538,Calculations!$Q$2:$T$16,4,FALSE),0)</f>
        <v>0</v>
      </c>
      <c r="AV538" s="4">
        <f>IF(ISNUMBER(SEARCH(N538&amp;";",Calculations!$Q$18)),1,0)</f>
        <v>0</v>
      </c>
      <c r="AW538" s="4">
        <f>IF($AV$532=1,1,IF($AV$534=1,1,AV538))</f>
        <v>0</v>
      </c>
      <c r="AX538" s="4">
        <f>VLOOKUP($N538,$N538:$CH538,MATCH('Character Sheet'!$BJ$3,Skills!$N$1:$CH$1,0),FALSE)</f>
        <v>0</v>
      </c>
    </row>
    <row r="539" spans="2:50" x14ac:dyDescent="0.25">
      <c r="B539" s="4" t="e">
        <f t="shared" si="260"/>
        <v>#N/A</v>
      </c>
      <c r="E539" s="4"/>
      <c r="F539" s="4">
        <f t="shared" ca="1" si="271"/>
        <v>0</v>
      </c>
      <c r="G539" s="4"/>
      <c r="H539" s="4" t="e">
        <f t="shared" si="265"/>
        <v>#N/A</v>
      </c>
      <c r="I539" s="4" t="e">
        <f>IF($J$533=1,1,IF($J$535=1,1,0))</f>
        <v>#N/A</v>
      </c>
      <c r="J539" s="4">
        <f t="shared" si="273"/>
        <v>0</v>
      </c>
      <c r="K539" s="4" t="e">
        <f t="shared" si="266"/>
        <v>#N/A</v>
      </c>
      <c r="M539" t="str">
        <f>"Ambush, "&amp;N539</f>
        <v>Ambush, Unarmed</v>
      </c>
      <c r="N539" s="3" t="str">
        <f>'Character Sheet'!CZL8</f>
        <v>Unarmed</v>
      </c>
      <c r="O539" s="4" t="s">
        <v>1995</v>
      </c>
      <c r="P539" s="4" t="s">
        <v>794</v>
      </c>
      <c r="Q539" s="4" t="e">
        <f t="shared" si="263"/>
        <v>#N/A</v>
      </c>
      <c r="R539" s="4">
        <f>IF(ISNUMBER(SEARCH("Category",N539)),"- -",IF(ISNUMBER(SEARCH("Skills",N539)),"- -",'Level-up'!C557))</f>
        <v>0</v>
      </c>
      <c r="S539" s="4" t="e">
        <f t="shared" si="274"/>
        <v>#N/A</v>
      </c>
      <c r="T539" s="4" t="e">
        <f t="shared" si="275"/>
        <v>#N/A</v>
      </c>
      <c r="U539" s="4">
        <f t="shared" ca="1" si="264"/>
        <v>2</v>
      </c>
      <c r="V539" s="4">
        <f t="shared" si="285"/>
        <v>0</v>
      </c>
      <c r="W539" s="4">
        <f t="shared" si="262"/>
        <v>0</v>
      </c>
      <c r="X539" s="4">
        <f t="shared" si="261"/>
        <v>0</v>
      </c>
      <c r="Y539" s="4">
        <f t="shared" si="276"/>
        <v>0</v>
      </c>
      <c r="Z539" s="4">
        <f t="shared" si="277"/>
        <v>0</v>
      </c>
      <c r="AA539" s="4">
        <f t="shared" si="278"/>
        <v>0</v>
      </c>
      <c r="AB539" s="4">
        <f t="shared" si="279"/>
        <v>0</v>
      </c>
      <c r="AC539" s="8"/>
      <c r="AD539" s="4"/>
      <c r="AE539" s="4"/>
      <c r="AF539" s="4" t="e">
        <f t="shared" si="280"/>
        <v>#N/A</v>
      </c>
      <c r="AG539" s="4"/>
      <c r="AH539" s="4">
        <f>IFERROR(VLOOKUP(M539,Calculations!$AC$2:$AD$251,2,FALSE),0)</f>
        <v>0</v>
      </c>
      <c r="AI539" s="4" t="e">
        <f>VLOOKUP(N539,$N$2:$AS$620,MATCH('Character Creation'!$Z$12,Skills!$N$1:$AS$1,0),FALSE)</f>
        <v>#N/A</v>
      </c>
      <c r="AJ539" s="4" t="e">
        <f>VLOOKUP($N539,[2]Cultures!$B$4:$M$283,MATCH(AJ$1,[2]Cultures!$B$3:$M$3,0),FALSE)</f>
        <v>#N/A</v>
      </c>
      <c r="AK539" s="4" t="e">
        <f>VLOOKUP($N539,[2]Cultures!$B$4:$M$283,MATCH(AK$1,[2]Cultures!$B$3:$M$3,0),FALSE)</f>
        <v>#N/A</v>
      </c>
      <c r="AL539" s="4" t="e">
        <f>VLOOKUP($N539,[2]Cultures!$B$4:$M$283,MATCH(AL$1,[2]Cultures!$B$3:$M$3,0),FALSE)</f>
        <v>#N/A</v>
      </c>
      <c r="AM539" s="4" t="e">
        <f>VLOOKUP($N539,[2]Cultures!$B$4:$M$283,MATCH(AM$1,[2]Cultures!$B$3:$M$3,0),FALSE)</f>
        <v>#N/A</v>
      </c>
      <c r="AN539" s="4" t="e">
        <f>VLOOKUP($N539,[2]Cultures!$B$4:$M$283,MATCH(AN$1,[2]Cultures!$B$3:$M$3,0),FALSE)</f>
        <v>#N/A</v>
      </c>
      <c r="AO539" s="4" t="e">
        <f>VLOOKUP($N539,[2]Cultures!$B$4:$M$283,MATCH(AO$1,[2]Cultures!$B$3:$M$3,0),FALSE)</f>
        <v>#N/A</v>
      </c>
      <c r="AP539" s="4" t="e">
        <f>VLOOKUP($N539,[2]Cultures!$B$4:$M$283,MATCH(AP$1,[2]Cultures!$B$3:$M$3,0),FALSE)</f>
        <v>#N/A</v>
      </c>
      <c r="AQ539" s="4" t="e">
        <f>VLOOKUP($N539,[2]Cultures!$B$4:$M$283,MATCH(AQ$1,[2]Cultures!$B$3:$M$3,0),FALSE)</f>
        <v>#N/A</v>
      </c>
      <c r="AR539" s="4" t="e">
        <f>VLOOKUP($N539,[2]Cultures!$B$4:$M$283,MATCH(AR$1,[2]Cultures!$B$3:$M$3,0),FALSE)</f>
        <v>#N/A</v>
      </c>
      <c r="AS539" s="4" t="e">
        <f>VLOOKUP($N539,[2]Cultures!$B$4:$M$283,MATCH(AS$1,[2]Cultures!$B$3:$M$3,0),FALSE)</f>
        <v>#N/A</v>
      </c>
      <c r="AT539" s="4"/>
      <c r="AU539" s="4">
        <f>IF(ISNUMBER(SEARCH(N539&amp;";",Calculations!$Q$19)),VLOOKUP(Skills!N539,Calculations!$Q$2:$T$16,4,FALSE),0)</f>
        <v>0</v>
      </c>
      <c r="AV539" s="4">
        <f>IF(ISNUMBER(SEARCH(N539&amp;";",Calculations!$Q$18)),1,0)</f>
        <v>0</v>
      </c>
      <c r="AW539" s="4">
        <f>IF($AV$532=1,1,IF($AV$534=1,1,AV539))</f>
        <v>0</v>
      </c>
      <c r="AX539" s="4">
        <f>VLOOKUP($N539,$N539:$CH539,MATCH('Character Sheet'!$BJ$3,Skills!$N$1:$CH$1,0),FALSE)</f>
        <v>0</v>
      </c>
    </row>
    <row r="540" spans="2:50" x14ac:dyDescent="0.25">
      <c r="B540" s="4" t="e">
        <f t="shared" si="260"/>
        <v>#N/A</v>
      </c>
      <c r="E540" s="4"/>
      <c r="F540" s="4">
        <f t="shared" ca="1" si="271"/>
        <v>0</v>
      </c>
      <c r="G540" s="4"/>
      <c r="H540" s="4" t="e">
        <f t="shared" si="265"/>
        <v>#N/A</v>
      </c>
      <c r="I540" s="4" t="e">
        <f>IF($J$533=1,1,IF($J$541=1,1,0))</f>
        <v>#N/A</v>
      </c>
      <c r="J540" s="4">
        <f t="shared" si="273"/>
        <v>0</v>
      </c>
      <c r="K540" s="4" t="e">
        <f t="shared" si="266"/>
        <v>#N/A</v>
      </c>
      <c r="N540" s="3" t="s">
        <v>738</v>
      </c>
      <c r="O540" s="6" t="s">
        <v>782</v>
      </c>
      <c r="P540" s="6" t="s">
        <v>782</v>
      </c>
      <c r="Q540" s="4" t="str">
        <f t="shared" si="263"/>
        <v>- -</v>
      </c>
      <c r="R540" s="4" t="str">
        <f>IF(ISNUMBER(SEARCH("Category",N540)),"- -",IF(ISNUMBER(SEARCH("Skills",N540)),"- -",'Level-up'!C558))</f>
        <v>- -</v>
      </c>
      <c r="S540" s="4" t="str">
        <f t="shared" si="274"/>
        <v>- -</v>
      </c>
      <c r="T540" s="4" t="str">
        <f t="shared" si="275"/>
        <v>- -</v>
      </c>
      <c r="U540" s="4" t="str">
        <f t="shared" ca="1" si="264"/>
        <v>- -</v>
      </c>
      <c r="V540" s="4" t="str">
        <f t="shared" si="285"/>
        <v>- -</v>
      </c>
      <c r="W540" s="4" t="str">
        <f t="shared" si="262"/>
        <v>- -</v>
      </c>
      <c r="X540" s="4" t="str">
        <f t="shared" si="261"/>
        <v>- -</v>
      </c>
      <c r="Y540" s="4" t="str">
        <f t="shared" si="276"/>
        <v>- -</v>
      </c>
      <c r="Z540" s="4" t="str">
        <f t="shared" si="277"/>
        <v>- -</v>
      </c>
      <c r="AA540" s="4" t="str">
        <f t="shared" si="278"/>
        <v>- -</v>
      </c>
      <c r="AB540" s="4" t="str">
        <f t="shared" si="279"/>
        <v>- -</v>
      </c>
      <c r="AC540" s="8"/>
      <c r="AD540" s="4"/>
      <c r="AE540" s="4"/>
      <c r="AF540" s="4" t="str">
        <f t="shared" si="280"/>
        <v>- -</v>
      </c>
      <c r="AG540" s="4"/>
      <c r="AH540" s="4">
        <f>IFERROR(VLOOKUP(M540,Calculations!$AC$2:$AD$251,2,FALSE),0)</f>
        <v>0</v>
      </c>
      <c r="AI540" s="4" t="e">
        <f>VLOOKUP(N540,$N$2:$AS$620,MATCH('Character Creation'!$Z$12,Skills!$N$1:$AS$1,0),FALSE)</f>
        <v>#N/A</v>
      </c>
      <c r="AJ540" s="4" t="e">
        <f>VLOOKUP($N540,[2]Cultures!$B$4:$M$283,MATCH(AJ$1,[2]Cultures!$B$3:$M$3,0),FALSE)</f>
        <v>#N/A</v>
      </c>
      <c r="AK540" s="4" t="e">
        <f>VLOOKUP($N540,[2]Cultures!$B$4:$M$283,MATCH(AK$1,[2]Cultures!$B$3:$M$3,0),FALSE)</f>
        <v>#N/A</v>
      </c>
      <c r="AL540" s="4" t="e">
        <f>VLOOKUP($N540,[2]Cultures!$B$4:$M$283,MATCH(AL$1,[2]Cultures!$B$3:$M$3,0),FALSE)</f>
        <v>#N/A</v>
      </c>
      <c r="AM540" s="4" t="e">
        <f>VLOOKUP($N540,[2]Cultures!$B$4:$M$283,MATCH(AM$1,[2]Cultures!$B$3:$M$3,0),FALSE)</f>
        <v>#N/A</v>
      </c>
      <c r="AN540" s="4" t="e">
        <f>VLOOKUP($N540,[2]Cultures!$B$4:$M$283,MATCH(AN$1,[2]Cultures!$B$3:$M$3,0),FALSE)</f>
        <v>#N/A</v>
      </c>
      <c r="AO540" s="4" t="e">
        <f>VLOOKUP($N540,[2]Cultures!$B$4:$M$283,MATCH(AO$1,[2]Cultures!$B$3:$M$3,0),FALSE)</f>
        <v>#N/A</v>
      </c>
      <c r="AP540" s="4" t="e">
        <f>VLOOKUP($N540,[2]Cultures!$B$4:$M$283,MATCH(AP$1,[2]Cultures!$B$3:$M$3,0),FALSE)</f>
        <v>#N/A</v>
      </c>
      <c r="AQ540" s="4" t="e">
        <f>VLOOKUP($N540,[2]Cultures!$B$4:$M$283,MATCH(AQ$1,[2]Cultures!$B$3:$M$3,0),FALSE)</f>
        <v>#N/A</v>
      </c>
      <c r="AR540" s="4" t="e">
        <f>VLOOKUP($N540,[2]Cultures!$B$4:$M$283,MATCH(AR$1,[2]Cultures!$B$3:$M$3,0),FALSE)</f>
        <v>#N/A</v>
      </c>
      <c r="AS540" s="4" t="e">
        <f>VLOOKUP($N540,[2]Cultures!$B$4:$M$283,MATCH(AS$1,[2]Cultures!$B$3:$M$3,0),FALSE)</f>
        <v>#N/A</v>
      </c>
      <c r="AT540" s="4"/>
      <c r="AU540" s="4">
        <f>IF(ISNUMBER(SEARCH(N540&amp;";",Calculations!$Q$19)),VLOOKUP(Skills!N540,Calculations!$Q$2:$T$16,4,FALSE),0)</f>
        <v>0</v>
      </c>
      <c r="AV540" s="4">
        <f>IF(ISNUMBER(SEARCH(N540&amp;";",Calculations!$Q$18)),1,0)</f>
        <v>0</v>
      </c>
      <c r="AW540" s="4"/>
      <c r="AX540" s="4">
        <f>VLOOKUP($N540,$N540:$CH540,MATCH('Character Sheet'!$BJ$3,Skills!$N$1:$CH$1,0),FALSE)</f>
        <v>0</v>
      </c>
    </row>
    <row r="541" spans="2:50" x14ac:dyDescent="0.25">
      <c r="B541" s="4" t="e">
        <f t="shared" si="260"/>
        <v>#N/A</v>
      </c>
      <c r="E541" s="4"/>
      <c r="F541" s="4">
        <f t="shared" ca="1" si="271"/>
        <v>0</v>
      </c>
      <c r="G541" s="4"/>
      <c r="H541" s="4" t="e">
        <f t="shared" si="265"/>
        <v>#N/A</v>
      </c>
      <c r="I541" s="4">
        <v>0</v>
      </c>
      <c r="J541" s="4" t="e">
        <f t="shared" si="273"/>
        <v>#N/A</v>
      </c>
      <c r="K541" s="4" t="e">
        <f t="shared" si="266"/>
        <v>#N/A</v>
      </c>
      <c r="N541" s="3" t="s">
        <v>735</v>
      </c>
      <c r="O541" s="6" t="s">
        <v>782</v>
      </c>
      <c r="P541" s="6" t="s">
        <v>782</v>
      </c>
      <c r="Q541" s="4" t="str">
        <f t="shared" si="263"/>
        <v>- -</v>
      </c>
      <c r="R541" s="4" t="str">
        <f>IF(ISNUMBER(SEARCH("Category",N541)),"- -",IF(ISNUMBER(SEARCH("Skills",N541)),"- -",'Level-up'!C559))</f>
        <v>- -</v>
      </c>
      <c r="S541" s="4" t="str">
        <f t="shared" si="274"/>
        <v>- -</v>
      </c>
      <c r="T541" s="4" t="str">
        <f t="shared" si="275"/>
        <v>- -</v>
      </c>
      <c r="U541" s="4" t="str">
        <f t="shared" ca="1" si="264"/>
        <v>- -</v>
      </c>
      <c r="V541" s="4" t="str">
        <f t="shared" si="285"/>
        <v>- -</v>
      </c>
      <c r="W541" s="4" t="str">
        <f t="shared" si="262"/>
        <v>- -</v>
      </c>
      <c r="X541" s="4" t="str">
        <f t="shared" si="261"/>
        <v>- -</v>
      </c>
      <c r="Y541" s="4" t="str">
        <f t="shared" si="276"/>
        <v>- -</v>
      </c>
      <c r="Z541" s="4" t="str">
        <f t="shared" si="277"/>
        <v>- -</v>
      </c>
      <c r="AA541" s="4" t="str">
        <f t="shared" si="278"/>
        <v>- -</v>
      </c>
      <c r="AB541" s="4" t="str">
        <f t="shared" si="279"/>
        <v>- -</v>
      </c>
      <c r="AC541" s="8"/>
      <c r="AD541" s="4"/>
      <c r="AE541" s="4"/>
      <c r="AF541" s="4" t="str">
        <f t="shared" si="280"/>
        <v>- -</v>
      </c>
      <c r="AG541" s="4"/>
      <c r="AH541" s="4">
        <f>IFERROR(VLOOKUP(M541,Calculations!$AC$2:$AD$251,2,FALSE),0)</f>
        <v>0</v>
      </c>
      <c r="AI541" s="4" t="e">
        <f>VLOOKUP(N541,$N$2:$AS$620,MATCH('Character Creation'!$Z$12,Skills!$N$1:$AS$1,0),FALSE)</f>
        <v>#N/A</v>
      </c>
      <c r="AJ541" s="4" t="e">
        <f>VLOOKUP($N541,[2]Cultures!$B$4:$M$283,MATCH(AJ$1,[2]Cultures!$B$3:$M$3,0),FALSE)</f>
        <v>#N/A</v>
      </c>
      <c r="AK541" s="4" t="e">
        <f>VLOOKUP($N541,[2]Cultures!$B$4:$M$283,MATCH(AK$1,[2]Cultures!$B$3:$M$3,0),FALSE)</f>
        <v>#N/A</v>
      </c>
      <c r="AL541" s="4" t="e">
        <f>VLOOKUP($N541,[2]Cultures!$B$4:$M$283,MATCH(AL$1,[2]Cultures!$B$3:$M$3,0),FALSE)</f>
        <v>#N/A</v>
      </c>
      <c r="AM541" s="4" t="e">
        <f>VLOOKUP($N541,[2]Cultures!$B$4:$M$283,MATCH(AM$1,[2]Cultures!$B$3:$M$3,0),FALSE)</f>
        <v>#N/A</v>
      </c>
      <c r="AN541" s="4" t="e">
        <f>VLOOKUP($N541,[2]Cultures!$B$4:$M$283,MATCH(AN$1,[2]Cultures!$B$3:$M$3,0),FALSE)</f>
        <v>#N/A</v>
      </c>
      <c r="AO541" s="4" t="e">
        <f>VLOOKUP($N541,[2]Cultures!$B$4:$M$283,MATCH(AO$1,[2]Cultures!$B$3:$M$3,0),FALSE)</f>
        <v>#N/A</v>
      </c>
      <c r="AP541" s="4" t="e">
        <f>VLOOKUP($N541,[2]Cultures!$B$4:$M$283,MATCH(AP$1,[2]Cultures!$B$3:$M$3,0),FALSE)</f>
        <v>#N/A</v>
      </c>
      <c r="AQ541" s="4" t="e">
        <f>VLOOKUP($N541,[2]Cultures!$B$4:$M$283,MATCH(AQ$1,[2]Cultures!$B$3:$M$3,0),FALSE)</f>
        <v>#N/A</v>
      </c>
      <c r="AR541" s="4" t="e">
        <f>VLOOKUP($N541,[2]Cultures!$B$4:$M$283,MATCH(AR$1,[2]Cultures!$B$3:$M$3,0),FALSE)</f>
        <v>#N/A</v>
      </c>
      <c r="AS541" s="4" t="e">
        <f>VLOOKUP($N541,[2]Cultures!$B$4:$M$283,MATCH(AS$1,[2]Cultures!$B$3:$M$3,0),FALSE)</f>
        <v>#N/A</v>
      </c>
      <c r="AT541" s="4"/>
      <c r="AU541" s="4">
        <f>IF(ISNUMBER(SEARCH(N541&amp;";",Calculations!$Q$19)),VLOOKUP(Skills!N541,Calculations!$Q$2:$T$16,4,FALSE),0)</f>
        <v>0</v>
      </c>
      <c r="AV541" s="4">
        <f>IF(ISNUMBER(SEARCH(N541&amp;";",Calculations!$Q$18)),1,0)</f>
        <v>0</v>
      </c>
      <c r="AW541" s="4"/>
      <c r="AX541" s="4">
        <f>VLOOKUP($N541,$N541:$CH541,MATCH('Character Sheet'!$BJ$3,Skills!$N$1:$CH$1,0),FALSE)</f>
        <v>0</v>
      </c>
    </row>
    <row r="542" spans="2:50" x14ac:dyDescent="0.25">
      <c r="B542" s="4" t="e">
        <f t="shared" ca="1" si="260"/>
        <v>#N/A</v>
      </c>
      <c r="E542" s="4"/>
      <c r="F542" s="4">
        <f t="shared" ca="1" si="271"/>
        <v>0</v>
      </c>
      <c r="G542" s="4"/>
      <c r="H542" s="4" t="e">
        <f t="shared" si="265"/>
        <v>#N/A</v>
      </c>
      <c r="I542" s="4" t="e">
        <f>IF($J$533=1,1,IF($J$541=1,1,0))</f>
        <v>#N/A</v>
      </c>
      <c r="J542" s="4">
        <f t="shared" si="273"/>
        <v>0</v>
      </c>
      <c r="K542" s="4">
        <f t="shared" ca="1" si="266"/>
        <v>1</v>
      </c>
      <c r="M542" t="str">
        <f>N542</f>
        <v>Concealment</v>
      </c>
      <c r="N542" s="3" t="str">
        <f>'Character Sheet'!CZL12</f>
        <v>Concealment</v>
      </c>
      <c r="O542" s="4" t="s">
        <v>1995</v>
      </c>
      <c r="P542" s="4" t="s">
        <v>794</v>
      </c>
      <c r="Q542" s="4">
        <f t="shared" ca="1" si="263"/>
        <v>1</v>
      </c>
      <c r="R542" s="4">
        <f>IF(ISNUMBER(SEARCH("Category",N542)),"- -",IF(ISNUMBER(SEARCH("Skills",N542)),"- -",'Level-up'!C560))</f>
        <v>0</v>
      </c>
      <c r="S542" s="4">
        <f t="shared" ca="1" si="274"/>
        <v>1</v>
      </c>
      <c r="T542" s="4">
        <f t="shared" ca="1" si="275"/>
        <v>5</v>
      </c>
      <c r="U542" s="4">
        <f t="shared" ca="1" si="264"/>
        <v>2</v>
      </c>
      <c r="V542" s="4">
        <f t="shared" ref="V542:V550" si="286">IF(ISNUMBER(SEARCH("Category",N542)),"- -",IF(ISNUMBER(SEARCH("Skills",N542)),"- -",IF(AU542&gt;0,AU542,IF($AU$540&gt;0,$AU$540,$AU$532))))</f>
        <v>0</v>
      </c>
      <c r="W542" s="4">
        <f t="shared" si="262"/>
        <v>0</v>
      </c>
      <c r="X542" s="4">
        <f t="shared" si="261"/>
        <v>0</v>
      </c>
      <c r="Y542" s="4">
        <f t="shared" si="276"/>
        <v>0</v>
      </c>
      <c r="Z542" s="4">
        <f t="shared" si="277"/>
        <v>0</v>
      </c>
      <c r="AA542" s="4">
        <f t="shared" si="278"/>
        <v>0</v>
      </c>
      <c r="AB542" s="4">
        <f t="shared" si="279"/>
        <v>0</v>
      </c>
      <c r="AC542" s="8"/>
      <c r="AD542" s="4"/>
      <c r="AE542" s="4"/>
      <c r="AF542" s="4" t="str">
        <f t="shared" ca="1" si="280"/>
        <v>7</v>
      </c>
      <c r="AG542" s="4"/>
      <c r="AH542" s="4">
        <f>IFERROR(VLOOKUP(M542,Calculations!$AC$2:$AD$251,2,FALSE),0)</f>
        <v>0</v>
      </c>
      <c r="AI542" s="4">
        <f ca="1">VLOOKUP(N542,$N$2:$AS$620,MATCH('Character Creation'!$Z$12,Skills!$N$1:$AS$1,0),FALSE)</f>
        <v>1</v>
      </c>
      <c r="AJ542" s="4">
        <f>VLOOKUP($N542,[2]Cultures!$B$4:$M$283,MATCH(AJ$1,[2]Cultures!$B$3:$M$3,0),FALSE)</f>
        <v>0</v>
      </c>
      <c r="AK542" s="4">
        <f>VLOOKUP($N542,[2]Cultures!$B$4:$M$283,MATCH(AK$1,[2]Cultures!$B$3:$M$3,0),FALSE)</f>
        <v>1</v>
      </c>
      <c r="AL542" s="4">
        <f>VLOOKUP($N542,[2]Cultures!$B$4:$M$283,MATCH(AL$1,[2]Cultures!$B$3:$M$3,0),FALSE)</f>
        <v>0</v>
      </c>
      <c r="AM542" s="4">
        <f>VLOOKUP($N542,[2]Cultures!$B$4:$M$283,MATCH(AM$1,[2]Cultures!$B$3:$M$3,0),FALSE)</f>
        <v>0</v>
      </c>
      <c r="AN542" s="4">
        <f>VLOOKUP($N542,[2]Cultures!$B$4:$M$283,MATCH(AN$1,[2]Cultures!$B$3:$M$3,0),FALSE)</f>
        <v>0</v>
      </c>
      <c r="AO542" s="4">
        <f>VLOOKUP($N542,[2]Cultures!$B$4:$M$283,MATCH(AO$1,[2]Cultures!$B$3:$M$3,0),FALSE)</f>
        <v>0</v>
      </c>
      <c r="AP542" s="4">
        <f>VLOOKUP($N542,[2]Cultures!$B$4:$M$283,MATCH(AP$1,[2]Cultures!$B$3:$M$3,0),FALSE)</f>
        <v>0</v>
      </c>
      <c r="AQ542" s="4">
        <f>VLOOKUP($N542,[2]Cultures!$B$4:$M$283,MATCH(AQ$1,[2]Cultures!$B$3:$M$3,0),FALSE)</f>
        <v>1</v>
      </c>
      <c r="AR542" s="4">
        <f>VLOOKUP($N542,[2]Cultures!$B$4:$M$283,MATCH(AR$1,[2]Cultures!$B$3:$M$3,0),FALSE)</f>
        <v>1</v>
      </c>
      <c r="AS542" s="4">
        <f>VLOOKUP($N542,[2]Cultures!$B$4:$M$283,MATCH(AS$1,[2]Cultures!$B$3:$M$3,0),FALSE)</f>
        <v>0</v>
      </c>
      <c r="AT542" s="4"/>
      <c r="AU542" s="4">
        <f>IF(ISNUMBER(SEARCH(N542&amp;";",Calculations!$Q$19)),VLOOKUP(Skills!N542,Calculations!$Q$2:$T$16,4,FALSE),0)</f>
        <v>0</v>
      </c>
      <c r="AV542" s="4">
        <f>IF(ISNUMBER(SEARCH(N542&amp;";",Calculations!$Q$18)),1,0)</f>
        <v>0</v>
      </c>
      <c r="AW542" s="4">
        <f>IF($AV$532=1,1,IF($AV$540=1,1,AV542))</f>
        <v>0</v>
      </c>
      <c r="AX542" s="4">
        <f>VLOOKUP($N542,$N542:$CH542,MATCH('Character Sheet'!$BJ$3,Skills!$N$1:$CH$1,0),FALSE)</f>
        <v>0</v>
      </c>
    </row>
    <row r="543" spans="2:50" x14ac:dyDescent="0.25">
      <c r="B543" s="4" t="e">
        <f t="shared" ca="1" si="260"/>
        <v>#N/A</v>
      </c>
      <c r="E543" s="4"/>
      <c r="F543" s="4">
        <f t="shared" ca="1" si="271"/>
        <v>0</v>
      </c>
      <c r="G543" s="4"/>
      <c r="H543" s="4" t="e">
        <f t="shared" si="265"/>
        <v>#N/A</v>
      </c>
      <c r="I543" s="4" t="e">
        <f>IF($J$533=1,1,IF($J$541=1,1,0))</f>
        <v>#N/A</v>
      </c>
      <c r="J543" s="4">
        <f t="shared" si="273"/>
        <v>0</v>
      </c>
      <c r="K543" s="4">
        <f t="shared" ca="1" si="266"/>
        <v>0</v>
      </c>
      <c r="M543" t="str">
        <f>N543</f>
        <v>Evidence Dispersal</v>
      </c>
      <c r="N543" s="3" t="str">
        <f>'Character Sheet'!CZL13</f>
        <v>Evidence Dispersal</v>
      </c>
      <c r="O543" s="4" t="s">
        <v>1995</v>
      </c>
      <c r="P543" s="4" t="s">
        <v>794</v>
      </c>
      <c r="Q543" s="4">
        <f t="shared" ca="1" si="263"/>
        <v>0</v>
      </c>
      <c r="R543" s="4">
        <f>IF(ISNUMBER(SEARCH("Category",N543)),"- -",IF(ISNUMBER(SEARCH("Skills",N543)),"- -",'Level-up'!C561))</f>
        <v>0</v>
      </c>
      <c r="S543" s="4">
        <f t="shared" ca="1" si="274"/>
        <v>0</v>
      </c>
      <c r="T543" s="4">
        <f t="shared" ca="1" si="275"/>
        <v>-25</v>
      </c>
      <c r="U543" s="4">
        <f t="shared" ca="1" si="264"/>
        <v>2</v>
      </c>
      <c r="V543" s="4">
        <f t="shared" si="286"/>
        <v>0</v>
      </c>
      <c r="W543" s="4">
        <f t="shared" si="262"/>
        <v>0</v>
      </c>
      <c r="X543" s="4">
        <f t="shared" si="261"/>
        <v>0</v>
      </c>
      <c r="Y543" s="4">
        <f t="shared" si="276"/>
        <v>0</v>
      </c>
      <c r="Z543" s="4">
        <f t="shared" si="277"/>
        <v>0</v>
      </c>
      <c r="AA543" s="4">
        <f t="shared" si="278"/>
        <v>0</v>
      </c>
      <c r="AB543" s="4">
        <f t="shared" si="279"/>
        <v>0</v>
      </c>
      <c r="AC543" s="8"/>
      <c r="AD543" s="4"/>
      <c r="AE543" s="4"/>
      <c r="AF543" s="4" t="str">
        <f t="shared" ca="1" si="280"/>
        <v>-23</v>
      </c>
      <c r="AG543" s="4"/>
      <c r="AH543" s="4">
        <f>IFERROR(VLOOKUP(M543,Calculations!$AC$2:$AD$251,2,FALSE),0)</f>
        <v>0</v>
      </c>
      <c r="AI543" s="4">
        <f ca="1">VLOOKUP(N543,$N$2:$AS$620,MATCH('Character Creation'!$Z$12,Skills!$N$1:$AS$1,0),FALSE)</f>
        <v>0</v>
      </c>
      <c r="AJ543" s="4">
        <f>VLOOKUP($N543,[2]Cultures!$B$4:$M$283,MATCH(AJ$1,[2]Cultures!$B$3:$M$3,0),FALSE)</f>
        <v>0</v>
      </c>
      <c r="AK543" s="4">
        <f>VLOOKUP($N543,[2]Cultures!$B$4:$M$283,MATCH(AK$1,[2]Cultures!$B$3:$M$3,0),FALSE)</f>
        <v>0</v>
      </c>
      <c r="AL543" s="4">
        <f>VLOOKUP($N543,[2]Cultures!$B$4:$M$283,MATCH(AL$1,[2]Cultures!$B$3:$M$3,0),FALSE)</f>
        <v>0</v>
      </c>
      <c r="AM543" s="4">
        <f>VLOOKUP($N543,[2]Cultures!$B$4:$M$283,MATCH(AM$1,[2]Cultures!$B$3:$M$3,0),FALSE)</f>
        <v>0</v>
      </c>
      <c r="AN543" s="4">
        <f>VLOOKUP($N543,[2]Cultures!$B$4:$M$283,MATCH(AN$1,[2]Cultures!$B$3:$M$3,0),FALSE)</f>
        <v>0</v>
      </c>
      <c r="AO543" s="4">
        <f>VLOOKUP($N543,[2]Cultures!$B$4:$M$283,MATCH(AO$1,[2]Cultures!$B$3:$M$3,0),FALSE)</f>
        <v>0</v>
      </c>
      <c r="AP543" s="4">
        <f>VLOOKUP($N543,[2]Cultures!$B$4:$M$283,MATCH(AP$1,[2]Cultures!$B$3:$M$3,0),FALSE)</f>
        <v>0</v>
      </c>
      <c r="AQ543" s="4">
        <f>VLOOKUP($N543,[2]Cultures!$B$4:$M$283,MATCH(AQ$1,[2]Cultures!$B$3:$M$3,0),FALSE)</f>
        <v>0</v>
      </c>
      <c r="AR543" s="4">
        <f>VLOOKUP($N543,[2]Cultures!$B$4:$M$283,MATCH(AR$1,[2]Cultures!$B$3:$M$3,0),FALSE)</f>
        <v>0</v>
      </c>
      <c r="AS543" s="4">
        <f>VLOOKUP($N543,[2]Cultures!$B$4:$M$283,MATCH(AS$1,[2]Cultures!$B$3:$M$3,0),FALSE)</f>
        <v>0</v>
      </c>
      <c r="AT543" s="4"/>
      <c r="AU543" s="4">
        <f>IF(ISNUMBER(SEARCH(N543&amp;";",Calculations!$Q$19)),VLOOKUP(Skills!N543,Calculations!$Q$2:$T$16,4,FALSE),0)</f>
        <v>0</v>
      </c>
      <c r="AV543" s="4">
        <f>IF(ISNUMBER(SEARCH(N543&amp;";",Calculations!$Q$18)),1,0)</f>
        <v>0</v>
      </c>
      <c r="AW543" s="4">
        <f>IF($AV$532=1,1,IF($AV$540=1,1,AV543))</f>
        <v>0</v>
      </c>
      <c r="AX543" s="4">
        <f>VLOOKUP($N543,$N543:$CH543,MATCH('Character Sheet'!$BJ$3,Skills!$N$1:$CH$1,0),FALSE)</f>
        <v>0</v>
      </c>
    </row>
    <row r="544" spans="2:50" x14ac:dyDescent="0.25">
      <c r="B544" s="4" t="e">
        <f t="shared" ref="B544:B601" ca="1" si="287">IF(A544="Y",B543+1,IF(A544="N",B543,IF(S544="- -",B543,IF(S544&gt;0,B543+1,B543))))</f>
        <v>#N/A</v>
      </c>
      <c r="E544" s="4"/>
      <c r="F544" s="4">
        <f t="shared" ca="1" si="271"/>
        <v>0</v>
      </c>
      <c r="G544" s="4"/>
      <c r="H544" s="4" t="e">
        <f t="shared" si="265"/>
        <v>#N/A</v>
      </c>
      <c r="I544" s="4" t="e">
        <f>IF($J$533=1,1,IF($J$541=1,1,0))</f>
        <v>#N/A</v>
      </c>
      <c r="J544" s="4">
        <f t="shared" si="273"/>
        <v>0</v>
      </c>
      <c r="K544" s="4">
        <f t="shared" si="266"/>
        <v>0</v>
      </c>
      <c r="M544" t="str">
        <f>N544</f>
        <v>Picking Pockets</v>
      </c>
      <c r="N544" s="3" t="str">
        <f>'Character Sheet'!CZL14</f>
        <v>Picking Pockets</v>
      </c>
      <c r="O544" s="4" t="s">
        <v>1995</v>
      </c>
      <c r="P544" s="4" t="s">
        <v>794</v>
      </c>
      <c r="Q544" s="4">
        <f t="shared" si="263"/>
        <v>0</v>
      </c>
      <c r="R544" s="4">
        <f>IF(ISNUMBER(SEARCH("Category",N544)),"- -",IF(ISNUMBER(SEARCH("Skills",N544)),"- -",'Level-up'!C562))</f>
        <v>0</v>
      </c>
      <c r="S544" s="4">
        <f t="shared" si="274"/>
        <v>0</v>
      </c>
      <c r="T544" s="4">
        <f t="shared" si="275"/>
        <v>-25</v>
      </c>
      <c r="U544" s="4">
        <f t="shared" ca="1" si="264"/>
        <v>2</v>
      </c>
      <c r="V544" s="4">
        <f t="shared" si="286"/>
        <v>0</v>
      </c>
      <c r="W544" s="4">
        <f t="shared" si="262"/>
        <v>0</v>
      </c>
      <c r="X544" s="4">
        <f t="shared" si="261"/>
        <v>0</v>
      </c>
      <c r="Y544" s="4">
        <f t="shared" si="276"/>
        <v>0</v>
      </c>
      <c r="Z544" s="4">
        <f t="shared" si="277"/>
        <v>0</v>
      </c>
      <c r="AA544" s="4">
        <f t="shared" si="278"/>
        <v>0</v>
      </c>
      <c r="AB544" s="4">
        <f t="shared" si="279"/>
        <v>0</v>
      </c>
      <c r="AC544" s="8"/>
      <c r="AD544" s="4"/>
      <c r="AE544" s="4"/>
      <c r="AF544" s="4" t="str">
        <f t="shared" ca="1" si="280"/>
        <v>-23</v>
      </c>
      <c r="AG544" s="4"/>
      <c r="AH544" s="4">
        <f>IFERROR(VLOOKUP(M544,Calculations!$AC$2:$AD$251,2,FALSE),0)</f>
        <v>0</v>
      </c>
      <c r="AI544" s="4">
        <f>VLOOKUP(N544,$N$2:$AS$620,MATCH('Character Creation'!$Z$12,Skills!$N$1:$AS$1,0),FALSE)</f>
        <v>0</v>
      </c>
      <c r="AJ544" s="4">
        <f>VLOOKUP($N544,[2]Cultures!$B$4:$M$283,MATCH(AJ$1,[2]Cultures!$B$3:$M$3,0),FALSE)</f>
        <v>0</v>
      </c>
      <c r="AK544" s="4">
        <f>VLOOKUP($N544,[2]Cultures!$B$4:$M$283,MATCH(AK$1,[2]Cultures!$B$3:$M$3,0),FALSE)</f>
        <v>0</v>
      </c>
      <c r="AL544" s="4">
        <f>VLOOKUP($N544,[2]Cultures!$B$4:$M$283,MATCH(AL$1,[2]Cultures!$B$3:$M$3,0),FALSE)</f>
        <v>0</v>
      </c>
      <c r="AM544" s="4">
        <f>VLOOKUP($N544,[2]Cultures!$B$4:$M$283,MATCH(AM$1,[2]Cultures!$B$3:$M$3,0),FALSE)</f>
        <v>0</v>
      </c>
      <c r="AN544" s="4">
        <f>VLOOKUP($N544,[2]Cultures!$B$4:$M$283,MATCH(AN$1,[2]Cultures!$B$3:$M$3,0),FALSE)</f>
        <v>0</v>
      </c>
      <c r="AO544" s="4">
        <f>VLOOKUP($N544,[2]Cultures!$B$4:$M$283,MATCH(AO$1,[2]Cultures!$B$3:$M$3,0),FALSE)</f>
        <v>0</v>
      </c>
      <c r="AP544" s="4">
        <f>VLOOKUP($N544,[2]Cultures!$B$4:$M$283,MATCH(AP$1,[2]Cultures!$B$3:$M$3,0),FALSE)</f>
        <v>0</v>
      </c>
      <c r="AQ544" s="4">
        <f>VLOOKUP($N544,[2]Cultures!$B$4:$M$283,MATCH(AQ$1,[2]Cultures!$B$3:$M$3,0),FALSE)</f>
        <v>0</v>
      </c>
      <c r="AR544" s="4">
        <f>VLOOKUP($N544,[2]Cultures!$B$4:$M$283,MATCH(AR$1,[2]Cultures!$B$3:$M$3,0),FALSE)</f>
        <v>0</v>
      </c>
      <c r="AS544" s="4">
        <f>VLOOKUP($N544,[2]Cultures!$B$4:$M$283,MATCH(AS$1,[2]Cultures!$B$3:$M$3,0),FALSE)</f>
        <v>0</v>
      </c>
      <c r="AT544" s="4"/>
      <c r="AU544" s="4">
        <f>IF(ISNUMBER(SEARCH(N544&amp;";",Calculations!$Q$19)),VLOOKUP(Skills!N544,Calculations!$Q$2:$T$16,4,FALSE),0)</f>
        <v>0</v>
      </c>
      <c r="AV544" s="4">
        <f>IF(ISNUMBER(SEARCH(N544&amp;";",Calculations!$Q$18)),1,0)</f>
        <v>0</v>
      </c>
      <c r="AW544" s="4">
        <f>IF($AV$532=1,1,IF($AV$540=1,1,AV544))</f>
        <v>0</v>
      </c>
      <c r="AX544" s="4">
        <f>VLOOKUP($N544,$N544:$CH544,MATCH('Character Sheet'!$BJ$3,Skills!$N$1:$CH$1,0),FALSE)</f>
        <v>0</v>
      </c>
    </row>
    <row r="545" spans="1:50" x14ac:dyDescent="0.25">
      <c r="A545" s="4" t="s">
        <v>2240</v>
      </c>
      <c r="B545" s="4" t="e">
        <f t="shared" ca="1" si="287"/>
        <v>#N/A</v>
      </c>
      <c r="E545" s="4"/>
      <c r="F545" s="4">
        <f t="shared" ca="1" si="271"/>
        <v>0</v>
      </c>
      <c r="G545" s="4"/>
      <c r="H545" s="4" t="e">
        <f t="shared" si="265"/>
        <v>#N/A</v>
      </c>
      <c r="I545" s="4" t="e">
        <f>IF($J$533=1,1,IF($J$541=1,1,0))</f>
        <v>#N/A</v>
      </c>
      <c r="J545" s="4">
        <f t="shared" si="273"/>
        <v>0</v>
      </c>
      <c r="K545" s="4">
        <f t="shared" si="266"/>
        <v>2</v>
      </c>
      <c r="M545" t="str">
        <f>N545</f>
        <v>Stalking</v>
      </c>
      <c r="N545" s="3" t="str">
        <f>'Character Sheet'!CZL15</f>
        <v>Stalking</v>
      </c>
      <c r="O545" s="4" t="s">
        <v>1995</v>
      </c>
      <c r="P545" s="4" t="s">
        <v>794</v>
      </c>
      <c r="Q545" s="4">
        <f t="shared" si="263"/>
        <v>2</v>
      </c>
      <c r="R545" s="4">
        <f>IF(ISNUMBER(SEARCH("Category",N545)),"- -",IF(ISNUMBER(SEARCH("Skills",N545)),"- -",'Level-up'!C563))</f>
        <v>0</v>
      </c>
      <c r="S545" s="4">
        <f t="shared" si="274"/>
        <v>2</v>
      </c>
      <c r="T545" s="4">
        <f t="shared" si="275"/>
        <v>10</v>
      </c>
      <c r="U545" s="4">
        <f t="shared" ca="1" si="264"/>
        <v>2</v>
      </c>
      <c r="V545" s="4">
        <f t="shared" si="286"/>
        <v>0</v>
      </c>
      <c r="W545" s="4">
        <f t="shared" si="262"/>
        <v>0</v>
      </c>
      <c r="X545" s="4">
        <f t="shared" si="261"/>
        <v>0</v>
      </c>
      <c r="Y545" s="4">
        <f ca="1">IF(ISNUMBER(SEARCH("Category",N545)),"- -",IF(ISNUMBER(SEARCH("Skills",N545)),"- -",'Character Sheet'!$ES$11))</f>
        <v>-25</v>
      </c>
      <c r="Z545" s="4">
        <f>IF(ISNUMBER(SEARCH("Category",N545)),"- -",IF(ISNUMBER(SEARCH("Skills",N545)),"- -",'Character Sheet'!$EG$15))</f>
        <v>-12</v>
      </c>
      <c r="AA545" s="4">
        <f>IF(ISNUMBER(SEARCH("Category",N545)),"- -",IF(ISNUMBER(SEARCH("Skills",N545)),"- -",'Character Sheet'!$ES$15))</f>
        <v>-1</v>
      </c>
      <c r="AB545" s="4">
        <f t="shared" si="279"/>
        <v>0</v>
      </c>
      <c r="AC545" s="8"/>
      <c r="AD545" s="4"/>
      <c r="AE545" s="4"/>
      <c r="AF545" s="4" t="str">
        <f t="shared" ca="1" si="280"/>
        <v>-14/-26</v>
      </c>
      <c r="AG545" s="4"/>
      <c r="AH545" s="4">
        <f>IFERROR(VLOOKUP(M545,Calculations!$AC$2:$AD$251,2,FALSE),0)</f>
        <v>0</v>
      </c>
      <c r="AI545" s="4">
        <f>VLOOKUP(N545,$N$2:$AS$620,MATCH('Character Creation'!$Z$12,Skills!$N$1:$AS$1,0),FALSE)</f>
        <v>2</v>
      </c>
      <c r="AJ545" s="4">
        <f>VLOOKUP($N545,[2]Cultures!$B$4:$M$283,MATCH(AJ$1,[2]Cultures!$B$3:$M$3,0),FALSE)</f>
        <v>0</v>
      </c>
      <c r="AK545" s="4">
        <f>VLOOKUP($N545,[2]Cultures!$B$4:$M$283,MATCH(AK$1,[2]Cultures!$B$3:$M$3,0),FALSE)</f>
        <v>2</v>
      </c>
      <c r="AL545" s="4">
        <f>VLOOKUP($N545,[2]Cultures!$B$4:$M$283,MATCH(AL$1,[2]Cultures!$B$3:$M$3,0),FALSE)</f>
        <v>1</v>
      </c>
      <c r="AM545" s="4">
        <f>VLOOKUP($N545,[2]Cultures!$B$4:$M$283,MATCH(AM$1,[2]Cultures!$B$3:$M$3,0),FALSE)</f>
        <v>0</v>
      </c>
      <c r="AN545" s="4">
        <f>VLOOKUP($N545,[2]Cultures!$B$4:$M$283,MATCH(AN$1,[2]Cultures!$B$3:$M$3,0),FALSE)</f>
        <v>0</v>
      </c>
      <c r="AO545" s="4">
        <f>VLOOKUP($N545,[2]Cultures!$B$4:$M$283,MATCH(AO$1,[2]Cultures!$B$3:$M$3,0),FALSE)</f>
        <v>1</v>
      </c>
      <c r="AP545" s="4">
        <f>VLOOKUP($N545,[2]Cultures!$B$4:$M$283,MATCH(AP$1,[2]Cultures!$B$3:$M$3,0),FALSE)</f>
        <v>0</v>
      </c>
      <c r="AQ545" s="4">
        <f>VLOOKUP($N545,[2]Cultures!$B$4:$M$283,MATCH(AQ$1,[2]Cultures!$B$3:$M$3,0),FALSE)</f>
        <v>2</v>
      </c>
      <c r="AR545" s="4">
        <f>VLOOKUP($N545,[2]Cultures!$B$4:$M$283,MATCH(AR$1,[2]Cultures!$B$3:$M$3,0),FALSE)</f>
        <v>2</v>
      </c>
      <c r="AS545" s="4">
        <f>VLOOKUP($N545,[2]Cultures!$B$4:$M$283,MATCH(AS$1,[2]Cultures!$B$3:$M$3,0),FALSE)</f>
        <v>0</v>
      </c>
      <c r="AT545" s="4"/>
      <c r="AU545" s="4">
        <f>IF(ISNUMBER(SEARCH(N545&amp;";",Calculations!$Q$19)),VLOOKUP(Skills!N545,Calculations!$Q$2:$T$16,4,FALSE),0)</f>
        <v>0</v>
      </c>
      <c r="AV545" s="4">
        <f>IF(ISNUMBER(SEARCH(N545&amp;";",Calculations!$Q$18)),1,0)</f>
        <v>0</v>
      </c>
      <c r="AW545" s="4">
        <f>IF($AV$532=1,1,IF($AV$540=1,1,AV545))</f>
        <v>0</v>
      </c>
      <c r="AX545" s="4">
        <f>VLOOKUP($N545,$N545:$CH545,MATCH('Character Sheet'!$BJ$3,Skills!$N$1:$CH$1,0),FALSE)</f>
        <v>0</v>
      </c>
    </row>
    <row r="546" spans="1:50" x14ac:dyDescent="0.25">
      <c r="B546" s="4" t="e">
        <f t="shared" ca="1" si="287"/>
        <v>#N/A</v>
      </c>
      <c r="E546" s="4"/>
      <c r="F546" s="4">
        <f t="shared" ca="1" si="271"/>
        <v>0</v>
      </c>
      <c r="G546" s="4"/>
      <c r="H546" s="4" t="e">
        <f t="shared" si="265"/>
        <v>#N/A</v>
      </c>
      <c r="I546" s="4" t="e">
        <f>IF($J$533=1,1,IF($J$541=1,1,0))</f>
        <v>#N/A</v>
      </c>
      <c r="J546" s="4">
        <f t="shared" si="273"/>
        <v>0</v>
      </c>
      <c r="K546" s="4">
        <f t="shared" si="266"/>
        <v>0</v>
      </c>
      <c r="M546" t="str">
        <f>N546</f>
        <v>Trickery</v>
      </c>
      <c r="N546" s="3" t="str">
        <f>'Character Sheet'!CZL16</f>
        <v>Trickery</v>
      </c>
      <c r="O546" s="4" t="s">
        <v>1995</v>
      </c>
      <c r="P546" s="4" t="s">
        <v>794</v>
      </c>
      <c r="Q546" s="4">
        <f t="shared" si="263"/>
        <v>0</v>
      </c>
      <c r="R546" s="4">
        <f>IF(ISNUMBER(SEARCH("Category",N546)),"- -",IF(ISNUMBER(SEARCH("Skills",N546)),"- -",'Level-up'!C564))</f>
        <v>0</v>
      </c>
      <c r="S546" s="4">
        <f t="shared" si="274"/>
        <v>0</v>
      </c>
      <c r="T546" s="4">
        <f t="shared" si="275"/>
        <v>-25</v>
      </c>
      <c r="U546" s="4">
        <f t="shared" ca="1" si="264"/>
        <v>2</v>
      </c>
      <c r="V546" s="4">
        <f t="shared" si="286"/>
        <v>0</v>
      </c>
      <c r="W546" s="4">
        <f t="shared" si="262"/>
        <v>0</v>
      </c>
      <c r="X546" s="4">
        <f t="shared" ref="X546:X603" si="288">IF(ISNUMBER(SEARCH("Category",N546)),"- -",IF(ISNUMBER(SEARCH("Skills",N546)),"- -",0))</f>
        <v>0</v>
      </c>
      <c r="Y546" s="4">
        <f t="shared" si="276"/>
        <v>0</v>
      </c>
      <c r="Z546" s="4">
        <f t="shared" si="277"/>
        <v>0</v>
      </c>
      <c r="AA546" s="4">
        <f t="shared" si="278"/>
        <v>0</v>
      </c>
      <c r="AB546" s="4">
        <f t="shared" si="279"/>
        <v>0</v>
      </c>
      <c r="AC546" s="8"/>
      <c r="AD546" s="4"/>
      <c r="AE546" s="4"/>
      <c r="AF546" s="4" t="str">
        <f t="shared" ca="1" si="280"/>
        <v>-23</v>
      </c>
      <c r="AG546" s="4"/>
      <c r="AH546" s="4">
        <f>IFERROR(VLOOKUP(M546,Calculations!$AC$2:$AD$251,2,FALSE),0)</f>
        <v>0</v>
      </c>
      <c r="AI546" s="4">
        <f>VLOOKUP(N546,$N$2:$AS$620,MATCH('Character Creation'!$Z$12,Skills!$N$1:$AS$1,0),FALSE)</f>
        <v>0</v>
      </c>
      <c r="AJ546" s="4">
        <f>VLOOKUP($N546,[2]Cultures!$B$4:$M$283,MATCH(AJ$1,[2]Cultures!$B$3:$M$3,0),FALSE)</f>
        <v>0</v>
      </c>
      <c r="AK546" s="4">
        <f>VLOOKUP($N546,[2]Cultures!$B$4:$M$283,MATCH(AK$1,[2]Cultures!$B$3:$M$3,0),FALSE)</f>
        <v>0</v>
      </c>
      <c r="AL546" s="4">
        <f>VLOOKUP($N546,[2]Cultures!$B$4:$M$283,MATCH(AL$1,[2]Cultures!$B$3:$M$3,0),FALSE)</f>
        <v>0</v>
      </c>
      <c r="AM546" s="4">
        <f>VLOOKUP($N546,[2]Cultures!$B$4:$M$283,MATCH(AM$1,[2]Cultures!$B$3:$M$3,0),FALSE)</f>
        <v>0</v>
      </c>
      <c r="AN546" s="4">
        <f>VLOOKUP($N546,[2]Cultures!$B$4:$M$283,MATCH(AN$1,[2]Cultures!$B$3:$M$3,0),FALSE)</f>
        <v>0</v>
      </c>
      <c r="AO546" s="4">
        <f>VLOOKUP($N546,[2]Cultures!$B$4:$M$283,MATCH(AO$1,[2]Cultures!$B$3:$M$3,0),FALSE)</f>
        <v>0</v>
      </c>
      <c r="AP546" s="4">
        <f>VLOOKUP($N546,[2]Cultures!$B$4:$M$283,MATCH(AP$1,[2]Cultures!$B$3:$M$3,0),FALSE)</f>
        <v>0</v>
      </c>
      <c r="AQ546" s="4">
        <f>VLOOKUP($N546,[2]Cultures!$B$4:$M$283,MATCH(AQ$1,[2]Cultures!$B$3:$M$3,0),FALSE)</f>
        <v>0</v>
      </c>
      <c r="AR546" s="4">
        <f>VLOOKUP($N546,[2]Cultures!$B$4:$M$283,MATCH(AR$1,[2]Cultures!$B$3:$M$3,0),FALSE)</f>
        <v>0</v>
      </c>
      <c r="AS546" s="4">
        <f>VLOOKUP($N546,[2]Cultures!$B$4:$M$283,MATCH(AS$1,[2]Cultures!$B$3:$M$3,0),FALSE)</f>
        <v>0</v>
      </c>
      <c r="AT546" s="4"/>
      <c r="AU546" s="4">
        <f>IF(ISNUMBER(SEARCH(N546&amp;";",Calculations!$Q$19)),VLOOKUP(Skills!N546,Calculations!$Q$2:$T$16,4,FALSE),0)</f>
        <v>0</v>
      </c>
      <c r="AV546" s="4">
        <f>IF(ISNUMBER(SEARCH(N546&amp;";",Calculations!$Q$18)),1,0)</f>
        <v>0</v>
      </c>
      <c r="AW546" s="4">
        <f>IF($AV$532=1,1,IF($AV$540=1,1,AV546))</f>
        <v>0</v>
      </c>
      <c r="AX546" s="4">
        <f>VLOOKUP($N546,$N546:$CH546,MATCH('Character Sheet'!$BJ$3,Skills!$N$1:$CH$1,0),FALSE)</f>
        <v>0</v>
      </c>
    </row>
    <row r="547" spans="1:50" x14ac:dyDescent="0.25">
      <c r="B547" s="4" t="e">
        <f t="shared" ca="1" si="287"/>
        <v>#N/A</v>
      </c>
      <c r="E547" s="4"/>
      <c r="F547" s="4">
        <f t="shared" ca="1" si="271"/>
        <v>0</v>
      </c>
      <c r="G547" s="4"/>
      <c r="H547" s="4" t="e">
        <f t="shared" si="265"/>
        <v>#N/A</v>
      </c>
      <c r="I547" s="4" t="e">
        <f>IF($J$548=1,1,IF($J$550=1,1,IF($J$569=1,1,IF($J$573=1,1,IF($J$578=1,1,IF($J$585=1,1,0))))))</f>
        <v>#N/A</v>
      </c>
      <c r="J547" s="4">
        <f t="shared" si="273"/>
        <v>0</v>
      </c>
      <c r="K547" s="4" t="e">
        <f t="shared" si="266"/>
        <v>#N/A</v>
      </c>
      <c r="N547" s="3" t="s">
        <v>739</v>
      </c>
      <c r="O547" s="6" t="s">
        <v>782</v>
      </c>
      <c r="P547" s="6" t="s">
        <v>782</v>
      </c>
      <c r="Q547" s="4" t="str">
        <f t="shared" si="263"/>
        <v>- -</v>
      </c>
      <c r="R547" s="4" t="str">
        <f>IF(ISNUMBER(SEARCH("Category",N547)),"- -",IF(ISNUMBER(SEARCH("Skills",N547)),"- -",'Level-up'!C565))</f>
        <v>- -</v>
      </c>
      <c r="S547" s="4" t="str">
        <f t="shared" si="274"/>
        <v>- -</v>
      </c>
      <c r="T547" s="4" t="str">
        <f t="shared" si="275"/>
        <v>- -</v>
      </c>
      <c r="U547" s="4" t="str">
        <f t="shared" ca="1" si="264"/>
        <v>- -</v>
      </c>
      <c r="V547" s="4" t="str">
        <f t="shared" si="286"/>
        <v>- -</v>
      </c>
      <c r="W547" s="4" t="str">
        <f t="shared" si="262"/>
        <v>- -</v>
      </c>
      <c r="X547" s="4" t="str">
        <f t="shared" si="288"/>
        <v>- -</v>
      </c>
      <c r="Y547" s="4" t="str">
        <f t="shared" si="276"/>
        <v>- -</v>
      </c>
      <c r="Z547" s="4" t="str">
        <f t="shared" si="277"/>
        <v>- -</v>
      </c>
      <c r="AA547" s="4" t="str">
        <f t="shared" si="278"/>
        <v>- -</v>
      </c>
      <c r="AB547" s="4" t="str">
        <f t="shared" si="279"/>
        <v>- -</v>
      </c>
      <c r="AC547" s="8"/>
      <c r="AD547" s="4"/>
      <c r="AE547" s="4"/>
      <c r="AF547" s="4" t="str">
        <f t="shared" si="280"/>
        <v>- -</v>
      </c>
      <c r="AG547" s="4"/>
      <c r="AH547" s="4">
        <f>IFERROR(VLOOKUP(M547,Calculations!$AC$2:$AD$251,2,FALSE),0)</f>
        <v>0</v>
      </c>
      <c r="AI547" s="4" t="e">
        <f>VLOOKUP(N547,$N$2:$AS$620,MATCH('Character Creation'!$Z$12,Skills!$N$1:$AS$1,0),FALSE)</f>
        <v>#N/A</v>
      </c>
      <c r="AJ547" s="4" t="e">
        <f>VLOOKUP($N547,[2]Cultures!$B$4:$M$283,MATCH(AJ$1,[2]Cultures!$B$3:$M$3,0),FALSE)</f>
        <v>#N/A</v>
      </c>
      <c r="AK547" s="4" t="e">
        <f>VLOOKUP($N547,[2]Cultures!$B$4:$M$283,MATCH(AK$1,[2]Cultures!$B$3:$M$3,0),FALSE)</f>
        <v>#N/A</v>
      </c>
      <c r="AL547" s="4" t="e">
        <f>VLOOKUP($N547,[2]Cultures!$B$4:$M$283,MATCH(AL$1,[2]Cultures!$B$3:$M$3,0),FALSE)</f>
        <v>#N/A</v>
      </c>
      <c r="AM547" s="4" t="e">
        <f>VLOOKUP($N547,[2]Cultures!$B$4:$M$283,MATCH(AM$1,[2]Cultures!$B$3:$M$3,0),FALSE)</f>
        <v>#N/A</v>
      </c>
      <c r="AN547" s="4" t="e">
        <f>VLOOKUP($N547,[2]Cultures!$B$4:$M$283,MATCH(AN$1,[2]Cultures!$B$3:$M$3,0),FALSE)</f>
        <v>#N/A</v>
      </c>
      <c r="AO547" s="4" t="e">
        <f>VLOOKUP($N547,[2]Cultures!$B$4:$M$283,MATCH(AO$1,[2]Cultures!$B$3:$M$3,0),FALSE)</f>
        <v>#N/A</v>
      </c>
      <c r="AP547" s="4" t="e">
        <f>VLOOKUP($N547,[2]Cultures!$B$4:$M$283,MATCH(AP$1,[2]Cultures!$B$3:$M$3,0),FALSE)</f>
        <v>#N/A</v>
      </c>
      <c r="AQ547" s="4" t="e">
        <f>VLOOKUP($N547,[2]Cultures!$B$4:$M$283,MATCH(AQ$1,[2]Cultures!$B$3:$M$3,0),FALSE)</f>
        <v>#N/A</v>
      </c>
      <c r="AR547" s="4" t="e">
        <f>VLOOKUP($N547,[2]Cultures!$B$4:$M$283,MATCH(AR$1,[2]Cultures!$B$3:$M$3,0),FALSE)</f>
        <v>#N/A</v>
      </c>
      <c r="AS547" s="4" t="e">
        <f>VLOOKUP($N547,[2]Cultures!$B$4:$M$283,MATCH(AS$1,[2]Cultures!$B$3:$M$3,0),FALSE)</f>
        <v>#N/A</v>
      </c>
      <c r="AT547" s="4"/>
      <c r="AU547" s="4">
        <f>IF(ISNUMBER(SEARCH(N547&amp;";",Calculations!$Q$19)),VLOOKUP(Skills!N547,Calculations!$Q$2:$T$16,4,FALSE),0)</f>
        <v>0</v>
      </c>
      <c r="AV547" s="4">
        <f>IF(ISNUMBER(SEARCH(N547&amp;";",Calculations!$Q$18)),1,0)</f>
        <v>0</v>
      </c>
      <c r="AW547" s="4"/>
      <c r="AX547" s="4">
        <f>VLOOKUP($N547,$N547:$CH547,MATCH('Character Sheet'!$BJ$3,Skills!$N$1:$CH$1,0),FALSE)</f>
        <v>0</v>
      </c>
    </row>
    <row r="548" spans="1:50" x14ac:dyDescent="0.25">
      <c r="B548" s="4" t="e">
        <f t="shared" ca="1" si="287"/>
        <v>#N/A</v>
      </c>
      <c r="E548" s="4"/>
      <c r="F548" s="4">
        <f t="shared" ca="1" si="271"/>
        <v>0</v>
      </c>
      <c r="G548" s="4"/>
      <c r="H548" s="4" t="e">
        <f t="shared" si="265"/>
        <v>#N/A</v>
      </c>
      <c r="I548" s="4">
        <v>0</v>
      </c>
      <c r="J548" s="4" t="e">
        <f t="shared" si="273"/>
        <v>#N/A</v>
      </c>
      <c r="K548" s="4" t="e">
        <f t="shared" si="266"/>
        <v>#N/A</v>
      </c>
      <c r="N548" s="3" t="s">
        <v>740</v>
      </c>
      <c r="O548" s="6" t="s">
        <v>782</v>
      </c>
      <c r="P548" s="6" t="s">
        <v>782</v>
      </c>
      <c r="Q548" s="4" t="str">
        <f t="shared" si="263"/>
        <v>- -</v>
      </c>
      <c r="R548" s="4" t="str">
        <f>IF(ISNUMBER(SEARCH("Category",N548)),"- -",IF(ISNUMBER(SEARCH("Skills",N548)),"- -",'Level-up'!C566))</f>
        <v>- -</v>
      </c>
      <c r="S548" s="4" t="str">
        <f t="shared" si="274"/>
        <v>- -</v>
      </c>
      <c r="T548" s="4" t="str">
        <f t="shared" si="275"/>
        <v>- -</v>
      </c>
      <c r="U548" s="4" t="str">
        <f t="shared" ca="1" si="264"/>
        <v>- -</v>
      </c>
      <c r="V548" s="4" t="str">
        <f t="shared" si="286"/>
        <v>- -</v>
      </c>
      <c r="W548" s="4" t="str">
        <f t="shared" ref="W548:W611" si="289">IF(ISNUMBER(SEARCH("Category",N548)),"- -",IF(ISNUMBER(SEARCH("Skills",N548)),"- -",IF(AW548=1,MIN(S548,30),0)))</f>
        <v>- -</v>
      </c>
      <c r="X548" s="4" t="str">
        <f t="shared" si="288"/>
        <v>- -</v>
      </c>
      <c r="Y548" s="4" t="str">
        <f t="shared" si="276"/>
        <v>- -</v>
      </c>
      <c r="Z548" s="4" t="str">
        <f t="shared" si="277"/>
        <v>- -</v>
      </c>
      <c r="AA548" s="4" t="str">
        <f t="shared" si="278"/>
        <v>- -</v>
      </c>
      <c r="AB548" s="4" t="str">
        <f t="shared" si="279"/>
        <v>- -</v>
      </c>
      <c r="AC548" s="8"/>
      <c r="AD548" s="4"/>
      <c r="AE548" s="4"/>
      <c r="AF548" s="4" t="str">
        <f t="shared" si="280"/>
        <v>- -</v>
      </c>
      <c r="AG548" s="4"/>
      <c r="AH548" s="4">
        <f>IFERROR(VLOOKUP(M548,Calculations!$AC$2:$AD$251,2,FALSE),0)</f>
        <v>0</v>
      </c>
      <c r="AI548" s="4" t="e">
        <f>VLOOKUP(N548,$N$2:$AS$620,MATCH('Character Creation'!$Z$12,Skills!$N$1:$AS$1,0),FALSE)</f>
        <v>#N/A</v>
      </c>
      <c r="AJ548" s="4" t="e">
        <f>VLOOKUP($N548,[2]Cultures!$B$4:$M$283,MATCH(AJ$1,[2]Cultures!$B$3:$M$3,0),FALSE)</f>
        <v>#N/A</v>
      </c>
      <c r="AK548" s="4" t="e">
        <f>VLOOKUP($N548,[2]Cultures!$B$4:$M$283,MATCH(AK$1,[2]Cultures!$B$3:$M$3,0),FALSE)</f>
        <v>#N/A</v>
      </c>
      <c r="AL548" s="4" t="e">
        <f>VLOOKUP($N548,[2]Cultures!$B$4:$M$283,MATCH(AL$1,[2]Cultures!$B$3:$M$3,0),FALSE)</f>
        <v>#N/A</v>
      </c>
      <c r="AM548" s="4" t="e">
        <f>VLOOKUP($N548,[2]Cultures!$B$4:$M$283,MATCH(AM$1,[2]Cultures!$B$3:$M$3,0),FALSE)</f>
        <v>#N/A</v>
      </c>
      <c r="AN548" s="4" t="e">
        <f>VLOOKUP($N548,[2]Cultures!$B$4:$M$283,MATCH(AN$1,[2]Cultures!$B$3:$M$3,0),FALSE)</f>
        <v>#N/A</v>
      </c>
      <c r="AO548" s="4" t="e">
        <f>VLOOKUP($N548,[2]Cultures!$B$4:$M$283,MATCH(AO$1,[2]Cultures!$B$3:$M$3,0),FALSE)</f>
        <v>#N/A</v>
      </c>
      <c r="AP548" s="4" t="e">
        <f>VLOOKUP($N548,[2]Cultures!$B$4:$M$283,MATCH(AP$1,[2]Cultures!$B$3:$M$3,0),FALSE)</f>
        <v>#N/A</v>
      </c>
      <c r="AQ548" s="4" t="e">
        <f>VLOOKUP($N548,[2]Cultures!$B$4:$M$283,MATCH(AQ$1,[2]Cultures!$B$3:$M$3,0),FALSE)</f>
        <v>#N/A</v>
      </c>
      <c r="AR548" s="4" t="e">
        <f>VLOOKUP($N548,[2]Cultures!$B$4:$M$283,MATCH(AR$1,[2]Cultures!$B$3:$M$3,0),FALSE)</f>
        <v>#N/A</v>
      </c>
      <c r="AS548" s="4" t="e">
        <f>VLOOKUP($N548,[2]Cultures!$B$4:$M$283,MATCH(AS$1,[2]Cultures!$B$3:$M$3,0),FALSE)</f>
        <v>#N/A</v>
      </c>
      <c r="AT548" s="4"/>
      <c r="AU548" s="4">
        <f>IF(ISNUMBER(SEARCH(N548&amp;";",Calculations!$Q$19)),VLOOKUP(Skills!N548,Calculations!$Q$2:$T$16,4,FALSE),0)</f>
        <v>0</v>
      </c>
      <c r="AV548" s="4">
        <f>IF(ISNUMBER(SEARCH(N548&amp;";",Calculations!$Q$18)),1,0)</f>
        <v>0</v>
      </c>
      <c r="AW548" s="4"/>
      <c r="AX548" s="4">
        <f>VLOOKUP($N548,$N548:$CH548,MATCH('Character Sheet'!$BJ$3,Skills!$N$1:$CH$1,0),FALSE)</f>
        <v>0</v>
      </c>
    </row>
    <row r="549" spans="1:50" x14ac:dyDescent="0.25">
      <c r="B549" s="4" t="e">
        <f t="shared" ca="1" si="287"/>
        <v>#N/A</v>
      </c>
      <c r="E549" s="4"/>
      <c r="F549" s="4">
        <f t="shared" ca="1" si="271"/>
        <v>0</v>
      </c>
      <c r="G549" s="4"/>
      <c r="H549" s="4" t="e">
        <f t="shared" si="265"/>
        <v>#N/A</v>
      </c>
      <c r="I549" s="4" t="e">
        <f>IF($J$548=1,1,IF($J$550=1,1,0))</f>
        <v>#N/A</v>
      </c>
      <c r="J549" s="4">
        <f t="shared" si="273"/>
        <v>0</v>
      </c>
      <c r="K549" s="4" t="e">
        <f t="shared" si="266"/>
        <v>#N/A</v>
      </c>
      <c r="N549" s="3" t="s">
        <v>741</v>
      </c>
      <c r="O549" s="6" t="s">
        <v>782</v>
      </c>
      <c r="P549" s="6" t="s">
        <v>782</v>
      </c>
      <c r="Q549" s="4" t="str">
        <f t="shared" ref="Q549:Q606" si="290">IF(ISNUMBER(SEARCH("Category",N549)),"- -",IF(ISNUMBER(SEARCH("Skills",N549)),"- -",AH549+AI549))</f>
        <v>- -</v>
      </c>
      <c r="R549" s="4" t="str">
        <f>IF(ISNUMBER(SEARCH("Category",N549)),"- -",IF(ISNUMBER(SEARCH("Skills",N549)),"- -",'Level-up'!C567))</f>
        <v>- -</v>
      </c>
      <c r="S549" s="4" t="str">
        <f t="shared" si="274"/>
        <v>- -</v>
      </c>
      <c r="T549" s="4" t="str">
        <f t="shared" si="275"/>
        <v>- -</v>
      </c>
      <c r="U549" s="4" t="str">
        <f t="shared" ca="1" si="264"/>
        <v>- -</v>
      </c>
      <c r="V549" s="4" t="str">
        <f t="shared" si="286"/>
        <v>- -</v>
      </c>
      <c r="W549" s="4" t="str">
        <f t="shared" si="289"/>
        <v>- -</v>
      </c>
      <c r="X549" s="4" t="str">
        <f t="shared" si="288"/>
        <v>- -</v>
      </c>
      <c r="Y549" s="4" t="str">
        <f t="shared" si="276"/>
        <v>- -</v>
      </c>
      <c r="Z549" s="4" t="str">
        <f t="shared" si="277"/>
        <v>- -</v>
      </c>
      <c r="AA549" s="4" t="str">
        <f t="shared" si="278"/>
        <v>- -</v>
      </c>
      <c r="AB549" s="4" t="str">
        <f t="shared" si="279"/>
        <v>- -</v>
      </c>
      <c r="AC549" s="8"/>
      <c r="AD549" s="4"/>
      <c r="AE549" s="4"/>
      <c r="AF549" s="4" t="str">
        <f t="shared" si="280"/>
        <v>- -</v>
      </c>
      <c r="AG549" s="4"/>
      <c r="AH549" s="4">
        <f>IFERROR(VLOOKUP(M549,Calculations!$AC$2:$AD$251,2,FALSE),0)</f>
        <v>0</v>
      </c>
      <c r="AI549" s="4" t="e">
        <f>VLOOKUP(N549,$N$2:$AS$620,MATCH('Character Creation'!$Z$12,Skills!$N$1:$AS$1,0),FALSE)</f>
        <v>#N/A</v>
      </c>
      <c r="AJ549" s="4" t="e">
        <f>VLOOKUP($N549,[2]Cultures!$B$4:$M$283,MATCH(AJ$1,[2]Cultures!$B$3:$M$3,0),FALSE)</f>
        <v>#N/A</v>
      </c>
      <c r="AK549" s="4" t="e">
        <f>VLOOKUP($N549,[2]Cultures!$B$4:$M$283,MATCH(AK$1,[2]Cultures!$B$3:$M$3,0),FALSE)</f>
        <v>#N/A</v>
      </c>
      <c r="AL549" s="4" t="e">
        <f>VLOOKUP($N549,[2]Cultures!$B$4:$M$283,MATCH(AL$1,[2]Cultures!$B$3:$M$3,0),FALSE)</f>
        <v>#N/A</v>
      </c>
      <c r="AM549" s="4" t="e">
        <f>VLOOKUP($N549,[2]Cultures!$B$4:$M$283,MATCH(AM$1,[2]Cultures!$B$3:$M$3,0),FALSE)</f>
        <v>#N/A</v>
      </c>
      <c r="AN549" s="4" t="e">
        <f>VLOOKUP($N549,[2]Cultures!$B$4:$M$283,MATCH(AN$1,[2]Cultures!$B$3:$M$3,0),FALSE)</f>
        <v>#N/A</v>
      </c>
      <c r="AO549" s="4" t="e">
        <f>VLOOKUP($N549,[2]Cultures!$B$4:$M$283,MATCH(AO$1,[2]Cultures!$B$3:$M$3,0),FALSE)</f>
        <v>#N/A</v>
      </c>
      <c r="AP549" s="4" t="e">
        <f>VLOOKUP($N549,[2]Cultures!$B$4:$M$283,MATCH(AP$1,[2]Cultures!$B$3:$M$3,0),FALSE)</f>
        <v>#N/A</v>
      </c>
      <c r="AQ549" s="4" t="e">
        <f>VLOOKUP($N549,[2]Cultures!$B$4:$M$283,MATCH(AQ$1,[2]Cultures!$B$3:$M$3,0),FALSE)</f>
        <v>#N/A</v>
      </c>
      <c r="AR549" s="4" t="e">
        <f>VLOOKUP($N549,[2]Cultures!$B$4:$M$283,MATCH(AR$1,[2]Cultures!$B$3:$M$3,0),FALSE)</f>
        <v>#N/A</v>
      </c>
      <c r="AS549" s="4" t="e">
        <f>VLOOKUP($N549,[2]Cultures!$B$4:$M$283,MATCH(AS$1,[2]Cultures!$B$3:$M$3,0),FALSE)</f>
        <v>#N/A</v>
      </c>
      <c r="AT549" s="4"/>
      <c r="AU549" s="4">
        <f>IF(ISNUMBER(SEARCH(N549&amp;";",Calculations!$Q$19)),VLOOKUP(Skills!N549,Calculations!$Q$2:$T$16,4,FALSE),0)</f>
        <v>0</v>
      </c>
      <c r="AV549" s="4">
        <f>IF(ISNUMBER(SEARCH(N549&amp;";",Calculations!$Q$18)),1,0)</f>
        <v>0</v>
      </c>
      <c r="AW549" s="4"/>
      <c r="AX549" s="4">
        <f>VLOOKUP($N549,$N549:$CH549,MATCH('Character Sheet'!$BJ$3,Skills!$N$1:$CH$1,0),FALSE)</f>
        <v>0</v>
      </c>
    </row>
    <row r="550" spans="1:50" x14ac:dyDescent="0.25">
      <c r="B550" s="4" t="e">
        <f t="shared" ca="1" si="287"/>
        <v>#N/A</v>
      </c>
      <c r="E550" s="4"/>
      <c r="F550" s="4">
        <f t="shared" ca="1" si="271"/>
        <v>0</v>
      </c>
      <c r="G550" s="4"/>
      <c r="H550" s="4" t="e">
        <f t="shared" si="265"/>
        <v>#N/A</v>
      </c>
      <c r="I550" s="4">
        <v>0</v>
      </c>
      <c r="J550" s="4" t="e">
        <f t="shared" si="273"/>
        <v>#N/A</v>
      </c>
      <c r="K550" s="4" t="e">
        <f t="shared" si="266"/>
        <v>#N/A</v>
      </c>
      <c r="N550" s="3" t="s">
        <v>740</v>
      </c>
      <c r="O550" s="6" t="s">
        <v>782</v>
      </c>
      <c r="P550" s="6" t="s">
        <v>782</v>
      </c>
      <c r="Q550" s="4" t="str">
        <f t="shared" si="290"/>
        <v>- -</v>
      </c>
      <c r="R550" s="4" t="str">
        <f>IF(ISNUMBER(SEARCH("Category",N550)),"- -",IF(ISNUMBER(SEARCH("Skills",N550)),"- -",'Level-up'!C568))</f>
        <v>- -</v>
      </c>
      <c r="S550" s="4" t="str">
        <f t="shared" si="274"/>
        <v>- -</v>
      </c>
      <c r="T550" s="4" t="str">
        <f t="shared" si="275"/>
        <v>- -</v>
      </c>
      <c r="U550" s="4" t="str">
        <f t="shared" ca="1" si="264"/>
        <v>- -</v>
      </c>
      <c r="V550" s="4" t="str">
        <f t="shared" si="286"/>
        <v>- -</v>
      </c>
      <c r="W550" s="4" t="str">
        <f t="shared" si="289"/>
        <v>- -</v>
      </c>
      <c r="X550" s="4" t="str">
        <f t="shared" si="288"/>
        <v>- -</v>
      </c>
      <c r="Y550" s="4" t="str">
        <f t="shared" si="276"/>
        <v>- -</v>
      </c>
      <c r="Z550" s="4" t="str">
        <f t="shared" si="277"/>
        <v>- -</v>
      </c>
      <c r="AA550" s="4" t="str">
        <f t="shared" si="278"/>
        <v>- -</v>
      </c>
      <c r="AB550" s="4" t="str">
        <f t="shared" si="279"/>
        <v>- -</v>
      </c>
      <c r="AC550" s="8"/>
      <c r="AD550" s="4"/>
      <c r="AE550" s="4"/>
      <c r="AF550" s="4" t="str">
        <f t="shared" si="280"/>
        <v>- -</v>
      </c>
      <c r="AG550" s="4"/>
      <c r="AH550" s="4">
        <f>IFERROR(VLOOKUP(M550,Calculations!$AC$2:$AD$251,2,FALSE),0)</f>
        <v>0</v>
      </c>
      <c r="AI550" s="4" t="e">
        <f>VLOOKUP(N550,$N$2:$AS$620,MATCH('Character Creation'!$Z$12,Skills!$N$1:$AS$1,0),FALSE)</f>
        <v>#N/A</v>
      </c>
      <c r="AJ550" s="4" t="e">
        <f>VLOOKUP($N550,[2]Cultures!$B$4:$M$283,MATCH(AJ$1,[2]Cultures!$B$3:$M$3,0),FALSE)</f>
        <v>#N/A</v>
      </c>
      <c r="AK550" s="4" t="e">
        <f>VLOOKUP($N550,[2]Cultures!$B$4:$M$283,MATCH(AK$1,[2]Cultures!$B$3:$M$3,0),FALSE)</f>
        <v>#N/A</v>
      </c>
      <c r="AL550" s="4" t="e">
        <f>VLOOKUP($N550,[2]Cultures!$B$4:$M$283,MATCH(AL$1,[2]Cultures!$B$3:$M$3,0),FALSE)</f>
        <v>#N/A</v>
      </c>
      <c r="AM550" s="4" t="e">
        <f>VLOOKUP($N550,[2]Cultures!$B$4:$M$283,MATCH(AM$1,[2]Cultures!$B$3:$M$3,0),FALSE)</f>
        <v>#N/A</v>
      </c>
      <c r="AN550" s="4" t="e">
        <f>VLOOKUP($N550,[2]Cultures!$B$4:$M$283,MATCH(AN$1,[2]Cultures!$B$3:$M$3,0),FALSE)</f>
        <v>#N/A</v>
      </c>
      <c r="AO550" s="4" t="e">
        <f>VLOOKUP($N550,[2]Cultures!$B$4:$M$283,MATCH(AO$1,[2]Cultures!$B$3:$M$3,0),FALSE)</f>
        <v>#N/A</v>
      </c>
      <c r="AP550" s="4" t="e">
        <f>VLOOKUP($N550,[2]Cultures!$B$4:$M$283,MATCH(AP$1,[2]Cultures!$B$3:$M$3,0),FALSE)</f>
        <v>#N/A</v>
      </c>
      <c r="AQ550" s="4" t="e">
        <f>VLOOKUP($N550,[2]Cultures!$B$4:$M$283,MATCH(AQ$1,[2]Cultures!$B$3:$M$3,0),FALSE)</f>
        <v>#N/A</v>
      </c>
      <c r="AR550" s="4" t="e">
        <f>VLOOKUP($N550,[2]Cultures!$B$4:$M$283,MATCH(AR$1,[2]Cultures!$B$3:$M$3,0),FALSE)</f>
        <v>#N/A</v>
      </c>
      <c r="AS550" s="4" t="e">
        <f>VLOOKUP($N550,[2]Cultures!$B$4:$M$283,MATCH(AS$1,[2]Cultures!$B$3:$M$3,0),FALSE)</f>
        <v>#N/A</v>
      </c>
      <c r="AT550" s="4"/>
      <c r="AU550" s="4">
        <f>IF(ISNUMBER(SEARCH(N550&amp;";",Calculations!$Q$19)),VLOOKUP(Skills!N550,Calculations!$Q$2:$T$16,4,FALSE),0)</f>
        <v>0</v>
      </c>
      <c r="AV550" s="4">
        <f>IF(ISNUMBER(SEARCH(N550&amp;";",Calculations!$Q$18)),1,0)</f>
        <v>0</v>
      </c>
      <c r="AW550" s="4"/>
      <c r="AX550" s="4">
        <f>VLOOKUP($N550,$N550:$CH550,MATCH('Character Sheet'!$BJ$3,Skills!$N$1:$CH$1,0),FALSE)</f>
        <v>0</v>
      </c>
    </row>
    <row r="551" spans="1:50" x14ac:dyDescent="0.25">
      <c r="B551" s="4" t="e">
        <f t="shared" ca="1" si="287"/>
        <v>#N/A</v>
      </c>
      <c r="E551" s="4"/>
      <c r="F551" s="4">
        <f t="shared" ca="1" si="271"/>
        <v>0</v>
      </c>
      <c r="G551" s="4"/>
      <c r="H551" s="4" t="e">
        <f t="shared" si="265"/>
        <v>#N/A</v>
      </c>
      <c r="I551" s="4" t="e">
        <f t="shared" ref="I551:I567" si="291">IF($J$548=1,1,IF($J$550=1,1,0))</f>
        <v>#N/A</v>
      </c>
      <c r="J551" s="4">
        <f t="shared" si="273"/>
        <v>0</v>
      </c>
      <c r="K551" s="4">
        <f t="shared" si="266"/>
        <v>0</v>
      </c>
      <c r="M551" t="str">
        <f t="shared" ref="M551:M567" si="292">N551</f>
        <v>Aquatics Technics</v>
      </c>
      <c r="N551" s="3" t="str">
        <f>'Character Sheet'!DDB5</f>
        <v>Aquatics Technics</v>
      </c>
      <c r="O551" s="4" t="s">
        <v>783</v>
      </c>
      <c r="P551" s="4" t="s">
        <v>801</v>
      </c>
      <c r="Q551" s="4">
        <f t="shared" si="290"/>
        <v>0</v>
      </c>
      <c r="R551" s="4">
        <f>IF(ISNUMBER(SEARCH("Category",N551)),"- -",IF(ISNUMBER(SEARCH("Skills",N551)),"- -",'Level-up'!C569))</f>
        <v>0</v>
      </c>
      <c r="S551" s="4">
        <f t="shared" si="274"/>
        <v>0</v>
      </c>
      <c r="T551" s="4">
        <f t="shared" si="275"/>
        <v>-25</v>
      </c>
      <c r="U551" s="4">
        <f t="shared" ca="1" si="264"/>
        <v>5</v>
      </c>
      <c r="V551" s="4">
        <f t="shared" ref="V551:V569" si="293">IF(ISNUMBER(SEARCH("Category",N551)),"- -",IF(ISNUMBER(SEARCH("Skills",N551)),"- -",IF(AU551&gt;0,AU551,IF($AU$549&gt;0,$AU$549,$AU$547))))</f>
        <v>0</v>
      </c>
      <c r="W551" s="4">
        <f t="shared" si="289"/>
        <v>0</v>
      </c>
      <c r="X551" s="4">
        <f t="shared" si="288"/>
        <v>0</v>
      </c>
      <c r="Y551" s="4">
        <f t="shared" si="276"/>
        <v>0</v>
      </c>
      <c r="Z551" s="4">
        <f t="shared" si="277"/>
        <v>0</v>
      </c>
      <c r="AA551" s="4">
        <f t="shared" si="278"/>
        <v>0</v>
      </c>
      <c r="AB551" s="4">
        <f t="shared" si="279"/>
        <v>0</v>
      </c>
      <c r="AC551" s="8"/>
      <c r="AD551" s="4"/>
      <c r="AE551" s="4"/>
      <c r="AF551" s="4" t="str">
        <f t="shared" ca="1" si="280"/>
        <v>-20</v>
      </c>
      <c r="AG551" s="4"/>
      <c r="AH551" s="4">
        <f>IFERROR(VLOOKUP(M551,Calculations!$AC$2:$AD$251,2,FALSE),0)</f>
        <v>0</v>
      </c>
      <c r="AI551" s="4">
        <f>VLOOKUP(N551,$N$2:$AS$620,MATCH('Character Creation'!$Z$12,Skills!$N$1:$AS$1,0),FALSE)</f>
        <v>0</v>
      </c>
      <c r="AJ551" s="4">
        <f>VLOOKUP($N551,[2]Cultures!$B$4:$M$283,MATCH(AJ$1,[2]Cultures!$B$3:$M$3,0),FALSE)</f>
        <v>0</v>
      </c>
      <c r="AK551" s="4">
        <f>VLOOKUP($N551,[2]Cultures!$B$4:$M$283,MATCH(AK$1,[2]Cultures!$B$3:$M$3,0),FALSE)</f>
        <v>0</v>
      </c>
      <c r="AL551" s="4">
        <f>VLOOKUP($N551,[2]Cultures!$B$4:$M$283,MATCH(AL$1,[2]Cultures!$B$3:$M$3,0),FALSE)</f>
        <v>0</v>
      </c>
      <c r="AM551" s="4">
        <f>VLOOKUP($N551,[2]Cultures!$B$4:$M$283,MATCH(AM$1,[2]Cultures!$B$3:$M$3,0),FALSE)</f>
        <v>0</v>
      </c>
      <c r="AN551" s="4">
        <f>VLOOKUP($N551,[2]Cultures!$B$4:$M$283,MATCH(AN$1,[2]Cultures!$B$3:$M$3,0),FALSE)</f>
        <v>0</v>
      </c>
      <c r="AO551" s="4">
        <f>VLOOKUP($N551,[2]Cultures!$B$4:$M$283,MATCH(AO$1,[2]Cultures!$B$3:$M$3,0),FALSE)</f>
        <v>0</v>
      </c>
      <c r="AP551" s="4">
        <f>VLOOKUP($N551,[2]Cultures!$B$4:$M$283,MATCH(AP$1,[2]Cultures!$B$3:$M$3,0),FALSE)</f>
        <v>0</v>
      </c>
      <c r="AQ551" s="4">
        <f>VLOOKUP($N551,[2]Cultures!$B$4:$M$283,MATCH(AQ$1,[2]Cultures!$B$3:$M$3,0),FALSE)</f>
        <v>0</v>
      </c>
      <c r="AR551" s="4">
        <f>VLOOKUP($N551,[2]Cultures!$B$4:$M$283,MATCH(AR$1,[2]Cultures!$B$3:$M$3,0),FALSE)</f>
        <v>0</v>
      </c>
      <c r="AS551" s="4">
        <f>VLOOKUP($N551,[2]Cultures!$B$4:$M$283,MATCH(AS$1,[2]Cultures!$B$3:$M$3,0),FALSE)</f>
        <v>0</v>
      </c>
      <c r="AT551" s="4"/>
      <c r="AU551" s="4">
        <f>IF(ISNUMBER(SEARCH(N551&amp;";",Calculations!$Q$19)),VLOOKUP(Skills!N551,Calculations!$Q$2:$T$16,4,FALSE),0)</f>
        <v>0</v>
      </c>
      <c r="AV551" s="4">
        <f>IF(ISNUMBER(SEARCH(N551&amp;";",Calculations!$Q$18)),1,0)</f>
        <v>0</v>
      </c>
      <c r="AW551" s="4">
        <f t="shared" ref="AW551:AW567" si="294">IF($AV$547=1,1,IF($AV$549=1,1,AV551))</f>
        <v>0</v>
      </c>
      <c r="AX551" s="4">
        <f>VLOOKUP($N551,$N551:$CH551,MATCH('Character Sheet'!$BJ$3,Skills!$N$1:$CH$1,0),FALSE)</f>
        <v>0</v>
      </c>
    </row>
    <row r="552" spans="1:50" x14ac:dyDescent="0.25">
      <c r="B552" s="4" t="e">
        <f t="shared" ca="1" si="287"/>
        <v>#N/A</v>
      </c>
      <c r="E552" s="4"/>
      <c r="F552" s="4">
        <f t="shared" ca="1" si="271"/>
        <v>0</v>
      </c>
      <c r="G552" s="4"/>
      <c r="H552" s="4" t="e">
        <f t="shared" si="265"/>
        <v>#N/A</v>
      </c>
      <c r="I552" s="4" t="e">
        <f t="shared" si="291"/>
        <v>#N/A</v>
      </c>
      <c r="J552" s="4">
        <f t="shared" si="273"/>
        <v>0</v>
      </c>
      <c r="K552" s="4">
        <f t="shared" si="266"/>
        <v>0</v>
      </c>
      <c r="M552" t="str">
        <f t="shared" si="292"/>
        <v>Audiophile Technics</v>
      </c>
      <c r="N552" s="3" t="str">
        <f>'Character Sheet'!DDB6</f>
        <v>Audiophile Technics</v>
      </c>
      <c r="O552" s="4" t="s">
        <v>783</v>
      </c>
      <c r="P552" s="4" t="s">
        <v>801</v>
      </c>
      <c r="Q552" s="4">
        <f t="shared" si="290"/>
        <v>0</v>
      </c>
      <c r="R552" s="4">
        <f>IF(ISNUMBER(SEARCH("Category",N552)),"- -",IF(ISNUMBER(SEARCH("Skills",N552)),"- -",'Level-up'!C570))</f>
        <v>0</v>
      </c>
      <c r="S552" s="4">
        <f t="shared" si="274"/>
        <v>0</v>
      </c>
      <c r="T552" s="4">
        <f t="shared" si="275"/>
        <v>-25</v>
      </c>
      <c r="U552" s="4">
        <f t="shared" ca="1" si="264"/>
        <v>5</v>
      </c>
      <c r="V552" s="4">
        <f t="shared" si="293"/>
        <v>0</v>
      </c>
      <c r="W552" s="4">
        <f t="shared" si="289"/>
        <v>0</v>
      </c>
      <c r="X552" s="4">
        <f t="shared" si="288"/>
        <v>0</v>
      </c>
      <c r="Y552" s="4">
        <f t="shared" si="276"/>
        <v>0</v>
      </c>
      <c r="Z552" s="4">
        <f t="shared" si="277"/>
        <v>0</v>
      </c>
      <c r="AA552" s="4">
        <f t="shared" si="278"/>
        <v>0</v>
      </c>
      <c r="AB552" s="4">
        <f t="shared" si="279"/>
        <v>0</v>
      </c>
      <c r="AC552" s="8"/>
      <c r="AD552" s="4"/>
      <c r="AE552" s="4"/>
      <c r="AF552" s="4" t="str">
        <f t="shared" ca="1" si="280"/>
        <v>-20</v>
      </c>
      <c r="AG552" s="4"/>
      <c r="AH552" s="4">
        <f>IFERROR(VLOOKUP(M552,Calculations!$AC$2:$AD$251,2,FALSE),0)</f>
        <v>0</v>
      </c>
      <c r="AI552" s="4">
        <f>VLOOKUP(N552,$N$2:$AS$620,MATCH('Character Creation'!$Z$12,Skills!$N$1:$AS$1,0),FALSE)</f>
        <v>0</v>
      </c>
      <c r="AJ552" s="4">
        <f>VLOOKUP($N552,[2]Cultures!$B$4:$M$283,MATCH(AJ$1,[2]Cultures!$B$3:$M$3,0),FALSE)</f>
        <v>0</v>
      </c>
      <c r="AK552" s="4">
        <f>VLOOKUP($N552,[2]Cultures!$B$4:$M$283,MATCH(AK$1,[2]Cultures!$B$3:$M$3,0),FALSE)</f>
        <v>0</v>
      </c>
      <c r="AL552" s="4">
        <f>VLOOKUP($N552,[2]Cultures!$B$4:$M$283,MATCH(AL$1,[2]Cultures!$B$3:$M$3,0),FALSE)</f>
        <v>0</v>
      </c>
      <c r="AM552" s="4">
        <f>VLOOKUP($N552,[2]Cultures!$B$4:$M$283,MATCH(AM$1,[2]Cultures!$B$3:$M$3,0),FALSE)</f>
        <v>0</v>
      </c>
      <c r="AN552" s="4">
        <f>VLOOKUP($N552,[2]Cultures!$B$4:$M$283,MATCH(AN$1,[2]Cultures!$B$3:$M$3,0),FALSE)</f>
        <v>0</v>
      </c>
      <c r="AO552" s="4">
        <f>VLOOKUP($N552,[2]Cultures!$B$4:$M$283,MATCH(AO$1,[2]Cultures!$B$3:$M$3,0),FALSE)</f>
        <v>0</v>
      </c>
      <c r="AP552" s="4">
        <f>VLOOKUP($N552,[2]Cultures!$B$4:$M$283,MATCH(AP$1,[2]Cultures!$B$3:$M$3,0),FALSE)</f>
        <v>0</v>
      </c>
      <c r="AQ552" s="4">
        <f>VLOOKUP($N552,[2]Cultures!$B$4:$M$283,MATCH(AQ$1,[2]Cultures!$B$3:$M$3,0),FALSE)</f>
        <v>0</v>
      </c>
      <c r="AR552" s="4">
        <f>VLOOKUP($N552,[2]Cultures!$B$4:$M$283,MATCH(AR$1,[2]Cultures!$B$3:$M$3,0),FALSE)</f>
        <v>0</v>
      </c>
      <c r="AS552" s="4">
        <f>VLOOKUP($N552,[2]Cultures!$B$4:$M$283,MATCH(AS$1,[2]Cultures!$B$3:$M$3,0),FALSE)</f>
        <v>0</v>
      </c>
      <c r="AT552" s="4"/>
      <c r="AU552" s="4">
        <f>IF(ISNUMBER(SEARCH(N552&amp;";",Calculations!$Q$19)),VLOOKUP(Skills!N552,Calculations!$Q$2:$T$16,4,FALSE),0)</f>
        <v>0</v>
      </c>
      <c r="AV552" s="4">
        <f>IF(ISNUMBER(SEARCH(N552&amp;";",Calculations!$Q$18)),1,0)</f>
        <v>0</v>
      </c>
      <c r="AW552" s="4">
        <f t="shared" si="294"/>
        <v>0</v>
      </c>
      <c r="AX552" s="4">
        <f>VLOOKUP($N552,$N552:$CH552,MATCH('Character Sheet'!$BJ$3,Skills!$N$1:$CH$1,0),FALSE)</f>
        <v>0</v>
      </c>
    </row>
    <row r="553" spans="1:50" x14ac:dyDescent="0.25">
      <c r="B553" s="4" t="e">
        <f t="shared" ca="1" si="287"/>
        <v>#N/A</v>
      </c>
      <c r="E553" s="4"/>
      <c r="F553" s="4">
        <f t="shared" ca="1" si="271"/>
        <v>0</v>
      </c>
      <c r="G553" s="4"/>
      <c r="H553" s="4" t="e">
        <f t="shared" si="265"/>
        <v>#N/A</v>
      </c>
      <c r="I553" s="4" t="e">
        <f t="shared" si="291"/>
        <v>#N/A</v>
      </c>
      <c r="J553" s="4">
        <f t="shared" si="273"/>
        <v>0</v>
      </c>
      <c r="K553" s="4">
        <f t="shared" ca="1" si="266"/>
        <v>0</v>
      </c>
      <c r="M553" t="str">
        <f t="shared" si="292"/>
        <v>Communications</v>
      </c>
      <c r="N553" s="3" t="str">
        <f>'Character Sheet'!DDB7</f>
        <v>Communications</v>
      </c>
      <c r="O553" s="4" t="s">
        <v>783</v>
      </c>
      <c r="P553" s="4" t="s">
        <v>801</v>
      </c>
      <c r="Q553" s="4">
        <f t="shared" ca="1" si="290"/>
        <v>0</v>
      </c>
      <c r="R553" s="4">
        <f>IF(ISNUMBER(SEARCH("Category",N553)),"- -",IF(ISNUMBER(SEARCH("Skills",N553)),"- -",'Level-up'!C571))</f>
        <v>0</v>
      </c>
      <c r="S553" s="4">
        <f t="shared" ca="1" si="274"/>
        <v>0</v>
      </c>
      <c r="T553" s="4">
        <f t="shared" ca="1" si="275"/>
        <v>-25</v>
      </c>
      <c r="U553" s="4">
        <f t="shared" ca="1" si="264"/>
        <v>5</v>
      </c>
      <c r="V553" s="4">
        <f t="shared" si="293"/>
        <v>0</v>
      </c>
      <c r="W553" s="4">
        <f t="shared" si="289"/>
        <v>0</v>
      </c>
      <c r="X553" s="4">
        <f t="shared" si="288"/>
        <v>0</v>
      </c>
      <c r="Y553" s="4">
        <f t="shared" si="276"/>
        <v>0</v>
      </c>
      <c r="Z553" s="4">
        <f t="shared" si="277"/>
        <v>0</v>
      </c>
      <c r="AA553" s="4">
        <f t="shared" si="278"/>
        <v>0</v>
      </c>
      <c r="AB553" s="4">
        <f t="shared" si="279"/>
        <v>0</v>
      </c>
      <c r="AC553" s="8"/>
      <c r="AD553" s="4"/>
      <c r="AE553" s="4"/>
      <c r="AF553" s="4" t="str">
        <f t="shared" ca="1" si="280"/>
        <v>-20</v>
      </c>
      <c r="AG553" s="4"/>
      <c r="AH553" s="4">
        <f>IFERROR(VLOOKUP(M553,Calculations!$AC$2:$AD$251,2,FALSE),0)</f>
        <v>0</v>
      </c>
      <c r="AI553" s="4">
        <f ca="1">VLOOKUP(N553,$N$2:$AS$620,MATCH('Character Creation'!$Z$12,Skills!$N$1:$AS$1,0),FALSE)</f>
        <v>0</v>
      </c>
      <c r="AJ553" s="4">
        <f>VLOOKUP($N553,[2]Cultures!$B$4:$M$283,MATCH(AJ$1,[2]Cultures!$B$3:$M$3,0),FALSE)</f>
        <v>0</v>
      </c>
      <c r="AK553" s="4">
        <f>VLOOKUP($N553,[2]Cultures!$B$4:$M$283,MATCH(AK$1,[2]Cultures!$B$3:$M$3,0),FALSE)</f>
        <v>0</v>
      </c>
      <c r="AL553" s="4">
        <f>VLOOKUP($N553,[2]Cultures!$B$4:$M$283,MATCH(AL$1,[2]Cultures!$B$3:$M$3,0),FALSE)</f>
        <v>0</v>
      </c>
      <c r="AM553" s="4">
        <f>VLOOKUP($N553,[2]Cultures!$B$4:$M$283,MATCH(AM$1,[2]Cultures!$B$3:$M$3,0),FALSE)</f>
        <v>0</v>
      </c>
      <c r="AN553" s="4">
        <f>VLOOKUP($N553,[2]Cultures!$B$4:$M$283,MATCH(AN$1,[2]Cultures!$B$3:$M$3,0),FALSE)</f>
        <v>0</v>
      </c>
      <c r="AO553" s="4">
        <f>VLOOKUP($N553,[2]Cultures!$B$4:$M$283,MATCH(AO$1,[2]Cultures!$B$3:$M$3,0),FALSE)</f>
        <v>0</v>
      </c>
      <c r="AP553" s="4">
        <f>VLOOKUP($N553,[2]Cultures!$B$4:$M$283,MATCH(AP$1,[2]Cultures!$B$3:$M$3,0),FALSE)</f>
        <v>0</v>
      </c>
      <c r="AQ553" s="4">
        <f>VLOOKUP($N553,[2]Cultures!$B$4:$M$283,MATCH(AQ$1,[2]Cultures!$B$3:$M$3,0),FALSE)</f>
        <v>0</v>
      </c>
      <c r="AR553" s="4">
        <f>VLOOKUP($N553,[2]Cultures!$B$4:$M$283,MATCH(AR$1,[2]Cultures!$B$3:$M$3,0),FALSE)</f>
        <v>0</v>
      </c>
      <c r="AS553" s="4">
        <f>VLOOKUP($N553,[2]Cultures!$B$4:$M$283,MATCH(AS$1,[2]Cultures!$B$3:$M$3,0),FALSE)</f>
        <v>0</v>
      </c>
      <c r="AT553" s="4"/>
      <c r="AU553" s="4">
        <f>IF(ISNUMBER(SEARCH(N553&amp;";",Calculations!$Q$19)),VLOOKUP(Skills!N553,Calculations!$Q$2:$T$16,4,FALSE),0)</f>
        <v>0</v>
      </c>
      <c r="AV553" s="4">
        <f>IF(ISNUMBER(SEARCH(N553&amp;";",Calculations!$Q$18)),1,0)</f>
        <v>0</v>
      </c>
      <c r="AW553" s="4">
        <f t="shared" si="294"/>
        <v>0</v>
      </c>
      <c r="AX553" s="4">
        <f>VLOOKUP($N553,$N553:$CH553,MATCH('Character Sheet'!$BJ$3,Skills!$N$1:$CH$1,0),FALSE)</f>
        <v>0</v>
      </c>
    </row>
    <row r="554" spans="1:50" x14ac:dyDescent="0.25">
      <c r="B554" s="4" t="e">
        <f t="shared" ca="1" si="287"/>
        <v>#N/A</v>
      </c>
      <c r="E554" s="4"/>
      <c r="F554" s="4">
        <f t="shared" ca="1" si="271"/>
        <v>0</v>
      </c>
      <c r="G554" s="4"/>
      <c r="H554" s="4" t="e">
        <f t="shared" si="265"/>
        <v>#N/A</v>
      </c>
      <c r="I554" s="4" t="e">
        <f t="shared" si="291"/>
        <v>#N/A</v>
      </c>
      <c r="J554" s="4">
        <f t="shared" si="273"/>
        <v>0</v>
      </c>
      <c r="K554" s="4">
        <f t="shared" ca="1" si="266"/>
        <v>0</v>
      </c>
      <c r="M554" t="str">
        <f t="shared" si="292"/>
        <v>Demolitions</v>
      </c>
      <c r="N554" s="3" t="str">
        <f>'Character Sheet'!DDB8</f>
        <v>Demolitions</v>
      </c>
      <c r="O554" s="4" t="s">
        <v>783</v>
      </c>
      <c r="P554" s="4" t="s">
        <v>801</v>
      </c>
      <c r="Q554" s="4">
        <f t="shared" ca="1" si="290"/>
        <v>0</v>
      </c>
      <c r="R554" s="4">
        <f>IF(ISNUMBER(SEARCH("Category",N554)),"- -",IF(ISNUMBER(SEARCH("Skills",N554)),"- -",'Level-up'!C572))</f>
        <v>0</v>
      </c>
      <c r="S554" s="4">
        <f t="shared" ca="1" si="274"/>
        <v>0</v>
      </c>
      <c r="T554" s="4">
        <f t="shared" ca="1" si="275"/>
        <v>-25</v>
      </c>
      <c r="U554" s="4">
        <f t="shared" ca="1" si="264"/>
        <v>5</v>
      </c>
      <c r="V554" s="4">
        <f t="shared" si="293"/>
        <v>0</v>
      </c>
      <c r="W554" s="4">
        <f t="shared" si="289"/>
        <v>0</v>
      </c>
      <c r="X554" s="4">
        <f t="shared" si="288"/>
        <v>0</v>
      </c>
      <c r="Y554" s="4">
        <f t="shared" si="276"/>
        <v>0</v>
      </c>
      <c r="Z554" s="4">
        <f t="shared" si="277"/>
        <v>0</v>
      </c>
      <c r="AA554" s="4">
        <f t="shared" si="278"/>
        <v>0</v>
      </c>
      <c r="AB554" s="4">
        <f t="shared" si="279"/>
        <v>0</v>
      </c>
      <c r="AC554" s="8"/>
      <c r="AD554" s="4"/>
      <c r="AE554" s="4"/>
      <c r="AF554" s="4" t="str">
        <f t="shared" ca="1" si="280"/>
        <v>-20</v>
      </c>
      <c r="AG554" s="4"/>
      <c r="AH554" s="4">
        <f>IFERROR(VLOOKUP(M554,Calculations!$AC$2:$AD$251,2,FALSE),0)</f>
        <v>0</v>
      </c>
      <c r="AI554" s="4">
        <f ca="1">VLOOKUP(N554,$N$2:$AS$620,MATCH('Character Creation'!$Z$12,Skills!$N$1:$AS$1,0),FALSE)</f>
        <v>0</v>
      </c>
      <c r="AJ554" s="4">
        <f>VLOOKUP($N554,[2]Cultures!$B$4:$M$283,MATCH(AJ$1,[2]Cultures!$B$3:$M$3,0),FALSE)</f>
        <v>0</v>
      </c>
      <c r="AK554" s="4">
        <f>VLOOKUP($N554,[2]Cultures!$B$4:$M$283,MATCH(AK$1,[2]Cultures!$B$3:$M$3,0),FALSE)</f>
        <v>0</v>
      </c>
      <c r="AL554" s="4">
        <f>VLOOKUP($N554,[2]Cultures!$B$4:$M$283,MATCH(AL$1,[2]Cultures!$B$3:$M$3,0),FALSE)</f>
        <v>0</v>
      </c>
      <c r="AM554" s="4">
        <f>VLOOKUP($N554,[2]Cultures!$B$4:$M$283,MATCH(AM$1,[2]Cultures!$B$3:$M$3,0),FALSE)</f>
        <v>0</v>
      </c>
      <c r="AN554" s="4">
        <f>VLOOKUP($N554,[2]Cultures!$B$4:$M$283,MATCH(AN$1,[2]Cultures!$B$3:$M$3,0),FALSE)</f>
        <v>0</v>
      </c>
      <c r="AO554" s="4">
        <f>VLOOKUP($N554,[2]Cultures!$B$4:$M$283,MATCH(AO$1,[2]Cultures!$B$3:$M$3,0),FALSE)</f>
        <v>0</v>
      </c>
      <c r="AP554" s="4">
        <f>VLOOKUP($N554,[2]Cultures!$B$4:$M$283,MATCH(AP$1,[2]Cultures!$B$3:$M$3,0),FALSE)</f>
        <v>0</v>
      </c>
      <c r="AQ554" s="4">
        <f>VLOOKUP($N554,[2]Cultures!$B$4:$M$283,MATCH(AQ$1,[2]Cultures!$B$3:$M$3,0),FALSE)</f>
        <v>0</v>
      </c>
      <c r="AR554" s="4">
        <f>VLOOKUP($N554,[2]Cultures!$B$4:$M$283,MATCH(AR$1,[2]Cultures!$B$3:$M$3,0),FALSE)</f>
        <v>0</v>
      </c>
      <c r="AS554" s="4">
        <f>VLOOKUP($N554,[2]Cultures!$B$4:$M$283,MATCH(AS$1,[2]Cultures!$B$3:$M$3,0),FALSE)</f>
        <v>0</v>
      </c>
      <c r="AT554" s="4"/>
      <c r="AU554" s="4">
        <f>IF(ISNUMBER(SEARCH(N554&amp;";",Calculations!$Q$19)),VLOOKUP(Skills!N554,Calculations!$Q$2:$T$16,4,FALSE),0)</f>
        <v>0</v>
      </c>
      <c r="AV554" s="4">
        <f>IF(ISNUMBER(SEARCH(N554&amp;";",Calculations!$Q$18)),1,0)</f>
        <v>0</v>
      </c>
      <c r="AW554" s="4">
        <f t="shared" si="294"/>
        <v>0</v>
      </c>
      <c r="AX554" s="4">
        <f>VLOOKUP($N554,$N554:$CH554,MATCH('Character Sheet'!$BJ$3,Skills!$N$1:$CH$1,0),FALSE)</f>
        <v>0</v>
      </c>
    </row>
    <row r="555" spans="1:50" x14ac:dyDescent="0.25">
      <c r="B555" s="4" t="e">
        <f t="shared" ca="1" si="287"/>
        <v>#N/A</v>
      </c>
      <c r="E555" s="4"/>
      <c r="F555" s="4">
        <f t="shared" ca="1" si="271"/>
        <v>0</v>
      </c>
      <c r="G555" s="4"/>
      <c r="H555" s="4" t="e">
        <f t="shared" si="265"/>
        <v>#N/A</v>
      </c>
      <c r="I555" s="4" t="e">
        <f t="shared" si="291"/>
        <v>#N/A</v>
      </c>
      <c r="J555" s="4">
        <f t="shared" si="273"/>
        <v>0</v>
      </c>
      <c r="K555" s="4">
        <f t="shared" ca="1" si="266"/>
        <v>0</v>
      </c>
      <c r="M555" t="str">
        <f t="shared" si="292"/>
        <v>Electronic Technics</v>
      </c>
      <c r="N555" s="3" t="str">
        <f>'Character Sheet'!DDB9</f>
        <v>Electronic Technics</v>
      </c>
      <c r="O555" s="4" t="s">
        <v>783</v>
      </c>
      <c r="P555" s="4" t="s">
        <v>801</v>
      </c>
      <c r="Q555" s="4">
        <f t="shared" ca="1" si="290"/>
        <v>0</v>
      </c>
      <c r="R555" s="4">
        <f>IF(ISNUMBER(SEARCH("Category",N555)),"- -",IF(ISNUMBER(SEARCH("Skills",N555)),"- -",'Level-up'!C573))</f>
        <v>0</v>
      </c>
      <c r="S555" s="4">
        <f t="shared" ca="1" si="274"/>
        <v>0</v>
      </c>
      <c r="T555" s="4">
        <f t="shared" ca="1" si="275"/>
        <v>-25</v>
      </c>
      <c r="U555" s="4">
        <f t="shared" ca="1" si="264"/>
        <v>5</v>
      </c>
      <c r="V555" s="4">
        <f t="shared" si="293"/>
        <v>0</v>
      </c>
      <c r="W555" s="4">
        <f t="shared" si="289"/>
        <v>0</v>
      </c>
      <c r="X555" s="4">
        <f t="shared" si="288"/>
        <v>0</v>
      </c>
      <c r="Y555" s="4">
        <f t="shared" si="276"/>
        <v>0</v>
      </c>
      <c r="Z555" s="4">
        <f t="shared" si="277"/>
        <v>0</v>
      </c>
      <c r="AA555" s="4">
        <f t="shared" si="278"/>
        <v>0</v>
      </c>
      <c r="AB555" s="4">
        <f t="shared" si="279"/>
        <v>0</v>
      </c>
      <c r="AC555" s="8"/>
      <c r="AD555" s="4"/>
      <c r="AE555" s="4"/>
      <c r="AF555" s="4" t="str">
        <f t="shared" ca="1" si="280"/>
        <v>-20</v>
      </c>
      <c r="AG555" s="4"/>
      <c r="AH555" s="4">
        <f>IFERROR(VLOOKUP(M555,Calculations!$AC$2:$AD$251,2,FALSE),0)</f>
        <v>0</v>
      </c>
      <c r="AI555" s="4">
        <f ca="1">VLOOKUP(N555,$N$2:$AS$620,MATCH('Character Creation'!$Z$12,Skills!$N$1:$AS$1,0),FALSE)</f>
        <v>0</v>
      </c>
      <c r="AJ555" s="4">
        <f>VLOOKUP($N555,[2]Cultures!$B$4:$M$283,MATCH(AJ$1,[2]Cultures!$B$3:$M$3,0),FALSE)</f>
        <v>0</v>
      </c>
      <c r="AK555" s="4">
        <f>VLOOKUP($N555,[2]Cultures!$B$4:$M$283,MATCH(AK$1,[2]Cultures!$B$3:$M$3,0),FALSE)</f>
        <v>0</v>
      </c>
      <c r="AL555" s="4">
        <f>VLOOKUP($N555,[2]Cultures!$B$4:$M$283,MATCH(AL$1,[2]Cultures!$B$3:$M$3,0),FALSE)</f>
        <v>0</v>
      </c>
      <c r="AM555" s="4">
        <f>VLOOKUP($N555,[2]Cultures!$B$4:$M$283,MATCH(AM$1,[2]Cultures!$B$3:$M$3,0),FALSE)</f>
        <v>0</v>
      </c>
      <c r="AN555" s="4">
        <f>VLOOKUP($N555,[2]Cultures!$B$4:$M$283,MATCH(AN$1,[2]Cultures!$B$3:$M$3,0),FALSE)</f>
        <v>0</v>
      </c>
      <c r="AO555" s="4">
        <f>VLOOKUP($N555,[2]Cultures!$B$4:$M$283,MATCH(AO$1,[2]Cultures!$B$3:$M$3,0),FALSE)</f>
        <v>0</v>
      </c>
      <c r="AP555" s="4">
        <f>VLOOKUP($N555,[2]Cultures!$B$4:$M$283,MATCH(AP$1,[2]Cultures!$B$3:$M$3,0),FALSE)</f>
        <v>0</v>
      </c>
      <c r="AQ555" s="4">
        <f>VLOOKUP($N555,[2]Cultures!$B$4:$M$283,MATCH(AQ$1,[2]Cultures!$B$3:$M$3,0),FALSE)</f>
        <v>0</v>
      </c>
      <c r="AR555" s="4">
        <f>VLOOKUP($N555,[2]Cultures!$B$4:$M$283,MATCH(AR$1,[2]Cultures!$B$3:$M$3,0),FALSE)</f>
        <v>0</v>
      </c>
      <c r="AS555" s="4">
        <f>VLOOKUP($N555,[2]Cultures!$B$4:$M$283,MATCH(AS$1,[2]Cultures!$B$3:$M$3,0),FALSE)</f>
        <v>0</v>
      </c>
      <c r="AT555" s="4"/>
      <c r="AU555" s="4">
        <f>IF(ISNUMBER(SEARCH(N555&amp;";",Calculations!$Q$19)),VLOOKUP(Skills!N555,Calculations!$Q$2:$T$16,4,FALSE),0)</f>
        <v>0</v>
      </c>
      <c r="AV555" s="4">
        <f>IF(ISNUMBER(SEARCH(N555&amp;";",Calculations!$Q$18)),1,0)</f>
        <v>0</v>
      </c>
      <c r="AW555" s="4">
        <f t="shared" si="294"/>
        <v>0</v>
      </c>
      <c r="AX555" s="4">
        <f>VLOOKUP($N555,$N555:$CH555,MATCH('Character Sheet'!$BJ$3,Skills!$N$1:$CH$1,0),FALSE)</f>
        <v>0</v>
      </c>
    </row>
    <row r="556" spans="1:50" x14ac:dyDescent="0.25">
      <c r="B556" s="4" t="e">
        <f t="shared" ca="1" si="287"/>
        <v>#N/A</v>
      </c>
      <c r="E556" s="4"/>
      <c r="F556" s="4">
        <f t="shared" ca="1" si="271"/>
        <v>0</v>
      </c>
      <c r="G556" s="4"/>
      <c r="H556" s="4" t="e">
        <f t="shared" si="265"/>
        <v>#N/A</v>
      </c>
      <c r="I556" s="4" t="e">
        <f t="shared" si="291"/>
        <v>#N/A</v>
      </c>
      <c r="J556" s="4">
        <f t="shared" si="273"/>
        <v>0</v>
      </c>
      <c r="K556" s="4">
        <f t="shared" si="266"/>
        <v>0</v>
      </c>
      <c r="M556" t="str">
        <f t="shared" si="292"/>
        <v>Fabrication</v>
      </c>
      <c r="N556" s="3" t="str">
        <f>'Character Sheet'!DDB10</f>
        <v>Fabrication</v>
      </c>
      <c r="O556" s="4" t="s">
        <v>783</v>
      </c>
      <c r="P556" s="4" t="s">
        <v>801</v>
      </c>
      <c r="Q556" s="4">
        <f t="shared" si="290"/>
        <v>0</v>
      </c>
      <c r="R556" s="4">
        <f>IF(ISNUMBER(SEARCH("Category",N556)),"- -",IF(ISNUMBER(SEARCH("Skills",N556)),"- -",'Level-up'!C574))</f>
        <v>0</v>
      </c>
      <c r="S556" s="4">
        <f t="shared" si="274"/>
        <v>0</v>
      </c>
      <c r="T556" s="4">
        <f t="shared" si="275"/>
        <v>-25</v>
      </c>
      <c r="U556" s="4">
        <f t="shared" ca="1" si="264"/>
        <v>5</v>
      </c>
      <c r="V556" s="4">
        <f t="shared" si="293"/>
        <v>0</v>
      </c>
      <c r="W556" s="4">
        <f t="shared" si="289"/>
        <v>0</v>
      </c>
      <c r="X556" s="4">
        <f t="shared" si="288"/>
        <v>0</v>
      </c>
      <c r="Y556" s="4">
        <f t="shared" si="276"/>
        <v>0</v>
      </c>
      <c r="Z556" s="4">
        <f t="shared" si="277"/>
        <v>0</v>
      </c>
      <c r="AA556" s="4">
        <f t="shared" si="278"/>
        <v>0</v>
      </c>
      <c r="AB556" s="4">
        <f t="shared" si="279"/>
        <v>0</v>
      </c>
      <c r="AC556" s="8"/>
      <c r="AD556" s="4"/>
      <c r="AE556" s="4"/>
      <c r="AF556" s="4" t="str">
        <f t="shared" ca="1" si="280"/>
        <v>-20</v>
      </c>
      <c r="AG556" s="4"/>
      <c r="AH556" s="4">
        <f>IFERROR(VLOOKUP(M556,Calculations!$AC$2:$AD$251,2,FALSE),0)</f>
        <v>0</v>
      </c>
      <c r="AI556" s="4">
        <f>VLOOKUP(N556,$N$2:$AS$620,MATCH('Character Creation'!$Z$12,Skills!$N$1:$AS$1,0),FALSE)</f>
        <v>0</v>
      </c>
      <c r="AJ556" s="4">
        <f>VLOOKUP($N556,[2]Cultures!$B$4:$M$283,MATCH(AJ$1,[2]Cultures!$B$3:$M$3,0),FALSE)</f>
        <v>0</v>
      </c>
      <c r="AK556" s="4">
        <f>VLOOKUP($N556,[2]Cultures!$B$4:$M$283,MATCH(AK$1,[2]Cultures!$B$3:$M$3,0),FALSE)</f>
        <v>0</v>
      </c>
      <c r="AL556" s="4">
        <f>VLOOKUP($N556,[2]Cultures!$B$4:$M$283,MATCH(AL$1,[2]Cultures!$B$3:$M$3,0),FALSE)</f>
        <v>0</v>
      </c>
      <c r="AM556" s="4">
        <f>VLOOKUP($N556,[2]Cultures!$B$4:$M$283,MATCH(AM$1,[2]Cultures!$B$3:$M$3,0),FALSE)</f>
        <v>0</v>
      </c>
      <c r="AN556" s="4">
        <f>VLOOKUP($N556,[2]Cultures!$B$4:$M$283,MATCH(AN$1,[2]Cultures!$B$3:$M$3,0),FALSE)</f>
        <v>0</v>
      </c>
      <c r="AO556" s="4">
        <f>VLOOKUP($N556,[2]Cultures!$B$4:$M$283,MATCH(AO$1,[2]Cultures!$B$3:$M$3,0),FALSE)</f>
        <v>0</v>
      </c>
      <c r="AP556" s="4">
        <f>VLOOKUP($N556,[2]Cultures!$B$4:$M$283,MATCH(AP$1,[2]Cultures!$B$3:$M$3,0),FALSE)</f>
        <v>0</v>
      </c>
      <c r="AQ556" s="4">
        <f>VLOOKUP($N556,[2]Cultures!$B$4:$M$283,MATCH(AQ$1,[2]Cultures!$B$3:$M$3,0),FALSE)</f>
        <v>0</v>
      </c>
      <c r="AR556" s="4">
        <f>VLOOKUP($N556,[2]Cultures!$B$4:$M$283,MATCH(AR$1,[2]Cultures!$B$3:$M$3,0),FALSE)</f>
        <v>0</v>
      </c>
      <c r="AS556" s="4">
        <f>VLOOKUP($N556,[2]Cultures!$B$4:$M$283,MATCH(AS$1,[2]Cultures!$B$3:$M$3,0),FALSE)</f>
        <v>0</v>
      </c>
      <c r="AT556" s="4"/>
      <c r="AU556" s="4">
        <f>IF(ISNUMBER(SEARCH(N556&amp;";",Calculations!$Q$19)),VLOOKUP(Skills!N556,Calculations!$Q$2:$T$16,4,FALSE),0)</f>
        <v>0</v>
      </c>
      <c r="AV556" s="4">
        <f>IF(ISNUMBER(SEARCH(N556&amp;";",Calculations!$Q$18)),1,0)</f>
        <v>0</v>
      </c>
      <c r="AW556" s="4">
        <f t="shared" si="294"/>
        <v>0</v>
      </c>
      <c r="AX556" s="4">
        <f>VLOOKUP($N556,$N556:$CH556,MATCH('Character Sheet'!$BJ$3,Skills!$N$1:$CH$1,0),FALSE)</f>
        <v>0</v>
      </c>
    </row>
    <row r="557" spans="1:50" x14ac:dyDescent="0.25">
      <c r="B557" s="4" t="e">
        <f t="shared" ca="1" si="287"/>
        <v>#N/A</v>
      </c>
      <c r="E557" s="4"/>
      <c r="F557" s="4">
        <f t="shared" ca="1" si="271"/>
        <v>0</v>
      </c>
      <c r="G557" s="4"/>
      <c r="H557" s="4" t="e">
        <f t="shared" si="265"/>
        <v>#N/A</v>
      </c>
      <c r="I557" s="4" t="e">
        <f t="shared" si="291"/>
        <v>#N/A</v>
      </c>
      <c r="J557" s="4">
        <f t="shared" si="273"/>
        <v>0</v>
      </c>
      <c r="K557" s="4">
        <f t="shared" ca="1" si="266"/>
        <v>0</v>
      </c>
      <c r="M557" t="str">
        <f t="shared" si="292"/>
        <v>Genetic Technics</v>
      </c>
      <c r="N557" s="3" t="str">
        <f>'Character Sheet'!DDB11</f>
        <v>Genetic Technics</v>
      </c>
      <c r="O557" s="4" t="s">
        <v>783</v>
      </c>
      <c r="P557" s="4" t="s">
        <v>801</v>
      </c>
      <c r="Q557" s="4">
        <f t="shared" ca="1" si="290"/>
        <v>0</v>
      </c>
      <c r="R557" s="4">
        <f>IF(ISNUMBER(SEARCH("Category",N557)),"- -",IF(ISNUMBER(SEARCH("Skills",N557)),"- -",'Level-up'!C575))</f>
        <v>0</v>
      </c>
      <c r="S557" s="4">
        <f t="shared" ca="1" si="274"/>
        <v>0</v>
      </c>
      <c r="T557" s="4">
        <f t="shared" ca="1" si="275"/>
        <v>-25</v>
      </c>
      <c r="U557" s="4">
        <f t="shared" ca="1" si="264"/>
        <v>5</v>
      </c>
      <c r="V557" s="4">
        <f t="shared" si="293"/>
        <v>0</v>
      </c>
      <c r="W557" s="4">
        <f t="shared" si="289"/>
        <v>0</v>
      </c>
      <c r="X557" s="4">
        <f t="shared" si="288"/>
        <v>0</v>
      </c>
      <c r="Y557" s="4">
        <f t="shared" si="276"/>
        <v>0</v>
      </c>
      <c r="Z557" s="4">
        <f t="shared" si="277"/>
        <v>0</v>
      </c>
      <c r="AA557" s="4">
        <f t="shared" si="278"/>
        <v>0</v>
      </c>
      <c r="AB557" s="4">
        <f t="shared" si="279"/>
        <v>0</v>
      </c>
      <c r="AC557" s="8"/>
      <c r="AD557" s="4"/>
      <c r="AE557" s="4"/>
      <c r="AF557" s="4" t="str">
        <f t="shared" ca="1" si="280"/>
        <v>-20</v>
      </c>
      <c r="AG557" s="4"/>
      <c r="AH557" s="4">
        <f>IFERROR(VLOOKUP(M557,Calculations!$AC$2:$AD$251,2,FALSE),0)</f>
        <v>0</v>
      </c>
      <c r="AI557" s="4">
        <f ca="1">VLOOKUP(N557,$N$2:$AS$620,MATCH('Character Creation'!$Z$12,Skills!$N$1:$AS$1,0),FALSE)</f>
        <v>0</v>
      </c>
      <c r="AJ557" s="4">
        <f>VLOOKUP($N557,[2]Cultures!$B$4:$M$283,MATCH(AJ$1,[2]Cultures!$B$3:$M$3,0),FALSE)</f>
        <v>0</v>
      </c>
      <c r="AK557" s="4">
        <f>VLOOKUP($N557,[2]Cultures!$B$4:$M$283,MATCH(AK$1,[2]Cultures!$B$3:$M$3,0),FALSE)</f>
        <v>0</v>
      </c>
      <c r="AL557" s="4">
        <f>VLOOKUP($N557,[2]Cultures!$B$4:$M$283,MATCH(AL$1,[2]Cultures!$B$3:$M$3,0),FALSE)</f>
        <v>0</v>
      </c>
      <c r="AM557" s="4">
        <f>VLOOKUP($N557,[2]Cultures!$B$4:$M$283,MATCH(AM$1,[2]Cultures!$B$3:$M$3,0),FALSE)</f>
        <v>0</v>
      </c>
      <c r="AN557" s="4">
        <f>VLOOKUP($N557,[2]Cultures!$B$4:$M$283,MATCH(AN$1,[2]Cultures!$B$3:$M$3,0),FALSE)</f>
        <v>0</v>
      </c>
      <c r="AO557" s="4">
        <f>VLOOKUP($N557,[2]Cultures!$B$4:$M$283,MATCH(AO$1,[2]Cultures!$B$3:$M$3,0),FALSE)</f>
        <v>0</v>
      </c>
      <c r="AP557" s="4">
        <f>VLOOKUP($N557,[2]Cultures!$B$4:$M$283,MATCH(AP$1,[2]Cultures!$B$3:$M$3,0),FALSE)</f>
        <v>0</v>
      </c>
      <c r="AQ557" s="4">
        <f>VLOOKUP($N557,[2]Cultures!$B$4:$M$283,MATCH(AQ$1,[2]Cultures!$B$3:$M$3,0),FALSE)</f>
        <v>0</v>
      </c>
      <c r="AR557" s="4">
        <f>VLOOKUP($N557,[2]Cultures!$B$4:$M$283,MATCH(AR$1,[2]Cultures!$B$3:$M$3,0),FALSE)</f>
        <v>0</v>
      </c>
      <c r="AS557" s="4">
        <f>VLOOKUP($N557,[2]Cultures!$B$4:$M$283,MATCH(AS$1,[2]Cultures!$B$3:$M$3,0),FALSE)</f>
        <v>0</v>
      </c>
      <c r="AT557" s="4"/>
      <c r="AU557" s="4">
        <f>IF(ISNUMBER(SEARCH(N557&amp;";",Calculations!$Q$19)),VLOOKUP(Skills!N557,Calculations!$Q$2:$T$16,4,FALSE),0)</f>
        <v>0</v>
      </c>
      <c r="AV557" s="4">
        <f>IF(ISNUMBER(SEARCH(N557&amp;";",Calculations!$Q$18)),1,0)</f>
        <v>0</v>
      </c>
      <c r="AW557" s="4">
        <f t="shared" si="294"/>
        <v>0</v>
      </c>
      <c r="AX557" s="4">
        <f>VLOOKUP($N557,$N557:$CH557,MATCH('Character Sheet'!$BJ$3,Skills!$N$1:$CH$1,0),FALSE)</f>
        <v>0</v>
      </c>
    </row>
    <row r="558" spans="1:50" x14ac:dyDescent="0.25">
      <c r="B558" s="4" t="e">
        <f t="shared" ca="1" si="287"/>
        <v>#N/A</v>
      </c>
      <c r="E558" s="4"/>
      <c r="F558" s="4">
        <f t="shared" ca="1" si="271"/>
        <v>0</v>
      </c>
      <c r="G558" s="4"/>
      <c r="H558" s="4" t="e">
        <f t="shared" si="265"/>
        <v>#N/A</v>
      </c>
      <c r="I558" s="4" t="e">
        <f t="shared" si="291"/>
        <v>#N/A</v>
      </c>
      <c r="J558" s="4">
        <f t="shared" si="273"/>
        <v>0</v>
      </c>
      <c r="K558" s="4">
        <f t="shared" si="266"/>
        <v>0</v>
      </c>
      <c r="M558" t="str">
        <f t="shared" si="292"/>
        <v>Heavy Machine Operation</v>
      </c>
      <c r="N558" s="3" t="str">
        <f>'Character Sheet'!DDB12</f>
        <v>Heavy Machine Operation</v>
      </c>
      <c r="O558" s="4" t="s">
        <v>783</v>
      </c>
      <c r="P558" s="4" t="s">
        <v>801</v>
      </c>
      <c r="Q558" s="4">
        <f t="shared" si="290"/>
        <v>0</v>
      </c>
      <c r="R558" s="4">
        <f>IF(ISNUMBER(SEARCH("Category",N558)),"- -",IF(ISNUMBER(SEARCH("Skills",N558)),"- -",'Level-up'!C576))</f>
        <v>0</v>
      </c>
      <c r="S558" s="4">
        <f t="shared" si="274"/>
        <v>0</v>
      </c>
      <c r="T558" s="4">
        <f t="shared" si="275"/>
        <v>-25</v>
      </c>
      <c r="U558" s="4">
        <f t="shared" ca="1" si="264"/>
        <v>5</v>
      </c>
      <c r="V558" s="4">
        <f t="shared" si="293"/>
        <v>0</v>
      </c>
      <c r="W558" s="4">
        <f t="shared" si="289"/>
        <v>0</v>
      </c>
      <c r="X558" s="4">
        <f t="shared" si="288"/>
        <v>0</v>
      </c>
      <c r="Y558" s="4">
        <f t="shared" si="276"/>
        <v>0</v>
      </c>
      <c r="Z558" s="4">
        <f t="shared" si="277"/>
        <v>0</v>
      </c>
      <c r="AA558" s="4">
        <f t="shared" si="278"/>
        <v>0</v>
      </c>
      <c r="AB558" s="4">
        <f t="shared" si="279"/>
        <v>0</v>
      </c>
      <c r="AC558" s="8"/>
      <c r="AD558" s="4"/>
      <c r="AE558" s="4"/>
      <c r="AF558" s="4" t="str">
        <f t="shared" ca="1" si="280"/>
        <v>-20</v>
      </c>
      <c r="AG558" s="4"/>
      <c r="AH558" s="4">
        <f>IFERROR(VLOOKUP(M558,Calculations!$AC$2:$AD$251,2,FALSE),0)</f>
        <v>0</v>
      </c>
      <c r="AI558" s="4">
        <f>VLOOKUP(N558,$N$2:$AS$620,MATCH('Character Creation'!$Z$12,Skills!$N$1:$AS$1,0),FALSE)</f>
        <v>0</v>
      </c>
      <c r="AJ558" s="4">
        <f>VLOOKUP($N558,[2]Cultures!$B$4:$M$283,MATCH(AJ$1,[2]Cultures!$B$3:$M$3,0),FALSE)</f>
        <v>0</v>
      </c>
      <c r="AK558" s="4">
        <f>VLOOKUP($N558,[2]Cultures!$B$4:$M$283,MATCH(AK$1,[2]Cultures!$B$3:$M$3,0),FALSE)</f>
        <v>0</v>
      </c>
      <c r="AL558" s="4">
        <f>VLOOKUP($N558,[2]Cultures!$B$4:$M$283,MATCH(AL$1,[2]Cultures!$B$3:$M$3,0),FALSE)</f>
        <v>0</v>
      </c>
      <c r="AM558" s="4">
        <f>VLOOKUP($N558,[2]Cultures!$B$4:$M$283,MATCH(AM$1,[2]Cultures!$B$3:$M$3,0),FALSE)</f>
        <v>0</v>
      </c>
      <c r="AN558" s="4">
        <f>VLOOKUP($N558,[2]Cultures!$B$4:$M$283,MATCH(AN$1,[2]Cultures!$B$3:$M$3,0),FALSE)</f>
        <v>0</v>
      </c>
      <c r="AO558" s="4">
        <f>VLOOKUP($N558,[2]Cultures!$B$4:$M$283,MATCH(AO$1,[2]Cultures!$B$3:$M$3,0),FALSE)</f>
        <v>0</v>
      </c>
      <c r="AP558" s="4">
        <f>VLOOKUP($N558,[2]Cultures!$B$4:$M$283,MATCH(AP$1,[2]Cultures!$B$3:$M$3,0),FALSE)</f>
        <v>0</v>
      </c>
      <c r="AQ558" s="4">
        <f>VLOOKUP($N558,[2]Cultures!$B$4:$M$283,MATCH(AQ$1,[2]Cultures!$B$3:$M$3,0),FALSE)</f>
        <v>0</v>
      </c>
      <c r="AR558" s="4">
        <f>VLOOKUP($N558,[2]Cultures!$B$4:$M$283,MATCH(AR$1,[2]Cultures!$B$3:$M$3,0),FALSE)</f>
        <v>0</v>
      </c>
      <c r="AS558" s="4">
        <f>VLOOKUP($N558,[2]Cultures!$B$4:$M$283,MATCH(AS$1,[2]Cultures!$B$3:$M$3,0),FALSE)</f>
        <v>0</v>
      </c>
      <c r="AT558" s="4"/>
      <c r="AU558" s="4">
        <f>IF(ISNUMBER(SEARCH(N558&amp;";",Calculations!$Q$19)),VLOOKUP(Skills!N558,Calculations!$Q$2:$T$16,4,FALSE),0)</f>
        <v>0</v>
      </c>
      <c r="AV558" s="4">
        <f>IF(ISNUMBER(SEARCH(N558&amp;";",Calculations!$Q$18)),1,0)</f>
        <v>0</v>
      </c>
      <c r="AW558" s="4">
        <f t="shared" si="294"/>
        <v>0</v>
      </c>
      <c r="AX558" s="4">
        <f>VLOOKUP($N558,$N558:$CH558,MATCH('Character Sheet'!$BJ$3,Skills!$N$1:$CH$1,0),FALSE)</f>
        <v>0</v>
      </c>
    </row>
    <row r="559" spans="1:50" x14ac:dyDescent="0.25">
      <c r="B559" s="4" t="e">
        <f t="shared" ca="1" si="287"/>
        <v>#N/A</v>
      </c>
      <c r="E559" s="4"/>
      <c r="F559" s="4">
        <f t="shared" ca="1" si="271"/>
        <v>0</v>
      </c>
      <c r="G559" s="4"/>
      <c r="H559" s="4" t="e">
        <f t="shared" si="265"/>
        <v>#N/A</v>
      </c>
      <c r="I559" s="4" t="e">
        <f t="shared" si="291"/>
        <v>#N/A</v>
      </c>
      <c r="J559" s="4">
        <f t="shared" si="273"/>
        <v>0</v>
      </c>
      <c r="K559" s="4">
        <f t="shared" ca="1" si="266"/>
        <v>0</v>
      </c>
      <c r="M559" t="str">
        <f t="shared" si="292"/>
        <v>Industrial Ceramics</v>
      </c>
      <c r="N559" s="3" t="str">
        <f>'Character Sheet'!DDB13</f>
        <v>Industrial Ceramics</v>
      </c>
      <c r="O559" s="4" t="s">
        <v>783</v>
      </c>
      <c r="P559" s="4" t="s">
        <v>801</v>
      </c>
      <c r="Q559" s="4">
        <f t="shared" ca="1" si="290"/>
        <v>0</v>
      </c>
      <c r="R559" s="4">
        <f>IF(ISNUMBER(SEARCH("Category",N559)),"- -",IF(ISNUMBER(SEARCH("Skills",N559)),"- -",'Level-up'!C577))</f>
        <v>0</v>
      </c>
      <c r="S559" s="4">
        <f t="shared" ca="1" si="274"/>
        <v>0</v>
      </c>
      <c r="T559" s="4">
        <f t="shared" ca="1" si="275"/>
        <v>-25</v>
      </c>
      <c r="U559" s="4">
        <f t="shared" ca="1" si="264"/>
        <v>5</v>
      </c>
      <c r="V559" s="4">
        <f t="shared" si="293"/>
        <v>0</v>
      </c>
      <c r="W559" s="4">
        <f t="shared" si="289"/>
        <v>0</v>
      </c>
      <c r="X559" s="4">
        <f t="shared" si="288"/>
        <v>0</v>
      </c>
      <c r="Y559" s="4">
        <f t="shared" si="276"/>
        <v>0</v>
      </c>
      <c r="Z559" s="4">
        <f t="shared" si="277"/>
        <v>0</v>
      </c>
      <c r="AA559" s="4">
        <f t="shared" si="278"/>
        <v>0</v>
      </c>
      <c r="AB559" s="4">
        <f t="shared" si="279"/>
        <v>0</v>
      </c>
      <c r="AC559" s="8"/>
      <c r="AD559" s="4"/>
      <c r="AE559" s="4"/>
      <c r="AF559" s="4" t="str">
        <f t="shared" ca="1" si="280"/>
        <v>-20</v>
      </c>
      <c r="AG559" s="4"/>
      <c r="AH559" s="4">
        <f>IFERROR(VLOOKUP(M559,Calculations!$AC$2:$AD$251,2,FALSE),0)</f>
        <v>0</v>
      </c>
      <c r="AI559" s="4">
        <f ca="1">VLOOKUP(N559,$N$2:$AS$620,MATCH('Character Creation'!$Z$12,Skills!$N$1:$AS$1,0),FALSE)</f>
        <v>0</v>
      </c>
      <c r="AJ559" s="4">
        <f>VLOOKUP($N559,[2]Cultures!$B$4:$M$283,MATCH(AJ$1,[2]Cultures!$B$3:$M$3,0),FALSE)</f>
        <v>0</v>
      </c>
      <c r="AK559" s="4">
        <f>VLOOKUP($N559,[2]Cultures!$B$4:$M$283,MATCH(AK$1,[2]Cultures!$B$3:$M$3,0),FALSE)</f>
        <v>0</v>
      </c>
      <c r="AL559" s="4">
        <f>VLOOKUP($N559,[2]Cultures!$B$4:$M$283,MATCH(AL$1,[2]Cultures!$B$3:$M$3,0),FALSE)</f>
        <v>0</v>
      </c>
      <c r="AM559" s="4">
        <f>VLOOKUP($N559,[2]Cultures!$B$4:$M$283,MATCH(AM$1,[2]Cultures!$B$3:$M$3,0),FALSE)</f>
        <v>0</v>
      </c>
      <c r="AN559" s="4">
        <f>VLOOKUP($N559,[2]Cultures!$B$4:$M$283,MATCH(AN$1,[2]Cultures!$B$3:$M$3,0),FALSE)</f>
        <v>0</v>
      </c>
      <c r="AO559" s="4">
        <f>VLOOKUP($N559,[2]Cultures!$B$4:$M$283,MATCH(AO$1,[2]Cultures!$B$3:$M$3,0),FALSE)</f>
        <v>0</v>
      </c>
      <c r="AP559" s="4">
        <f>VLOOKUP($N559,[2]Cultures!$B$4:$M$283,MATCH(AP$1,[2]Cultures!$B$3:$M$3,0),FALSE)</f>
        <v>0</v>
      </c>
      <c r="AQ559" s="4">
        <f>VLOOKUP($N559,[2]Cultures!$B$4:$M$283,MATCH(AQ$1,[2]Cultures!$B$3:$M$3,0),FALSE)</f>
        <v>0</v>
      </c>
      <c r="AR559" s="4">
        <f>VLOOKUP($N559,[2]Cultures!$B$4:$M$283,MATCH(AR$1,[2]Cultures!$B$3:$M$3,0),FALSE)</f>
        <v>0</v>
      </c>
      <c r="AS559" s="4">
        <f>VLOOKUP($N559,[2]Cultures!$B$4:$M$283,MATCH(AS$1,[2]Cultures!$B$3:$M$3,0),FALSE)</f>
        <v>0</v>
      </c>
      <c r="AT559" s="4"/>
      <c r="AU559" s="4">
        <f>IF(ISNUMBER(SEARCH(N559&amp;";",Calculations!$Q$19)),VLOOKUP(Skills!N559,Calculations!$Q$2:$T$16,4,FALSE),0)</f>
        <v>0</v>
      </c>
      <c r="AV559" s="4">
        <f>IF(ISNUMBER(SEARCH(N559&amp;";",Calculations!$Q$18)),1,0)</f>
        <v>0</v>
      </c>
      <c r="AW559" s="4">
        <f t="shared" si="294"/>
        <v>0</v>
      </c>
      <c r="AX559" s="4">
        <f>VLOOKUP($N559,$N559:$CH559,MATCH('Character Sheet'!$BJ$3,Skills!$N$1:$CH$1,0),FALSE)</f>
        <v>0</v>
      </c>
    </row>
    <row r="560" spans="1:50" x14ac:dyDescent="0.25">
      <c r="B560" s="4" t="e">
        <f t="shared" ca="1" si="287"/>
        <v>#N/A</v>
      </c>
      <c r="E560" s="4"/>
      <c r="F560" s="4">
        <f t="shared" ca="1" si="271"/>
        <v>0</v>
      </c>
      <c r="G560" s="4"/>
      <c r="H560" s="4" t="e">
        <f t="shared" si="265"/>
        <v>#N/A</v>
      </c>
      <c r="I560" s="4" t="e">
        <f t="shared" si="291"/>
        <v>#N/A</v>
      </c>
      <c r="J560" s="4">
        <f t="shared" si="273"/>
        <v>0</v>
      </c>
      <c r="K560" s="4">
        <f t="shared" ca="1" si="266"/>
        <v>0</v>
      </c>
      <c r="M560" t="str">
        <f t="shared" si="292"/>
        <v>Locks</v>
      </c>
      <c r="N560" s="3" t="str">
        <f>'Character Sheet'!DDB14</f>
        <v>Locks</v>
      </c>
      <c r="O560" s="4" t="s">
        <v>783</v>
      </c>
      <c r="P560" s="4" t="s">
        <v>801</v>
      </c>
      <c r="Q560" s="4">
        <f t="shared" ca="1" si="290"/>
        <v>0</v>
      </c>
      <c r="R560" s="4">
        <f>IF(ISNUMBER(SEARCH("Category",N560)),"- -",IF(ISNUMBER(SEARCH("Skills",N560)),"- -",'Level-up'!C578))</f>
        <v>0</v>
      </c>
      <c r="S560" s="4">
        <f t="shared" ca="1" si="274"/>
        <v>0</v>
      </c>
      <c r="T560" s="4">
        <f t="shared" ca="1" si="275"/>
        <v>-25</v>
      </c>
      <c r="U560" s="4">
        <f t="shared" ca="1" si="264"/>
        <v>5</v>
      </c>
      <c r="V560" s="4">
        <f t="shared" si="293"/>
        <v>0</v>
      </c>
      <c r="W560" s="4">
        <f t="shared" si="289"/>
        <v>0</v>
      </c>
      <c r="X560" s="4">
        <f t="shared" si="288"/>
        <v>0</v>
      </c>
      <c r="Y560" s="4">
        <f t="shared" si="276"/>
        <v>0</v>
      </c>
      <c r="Z560" s="4">
        <f t="shared" si="277"/>
        <v>0</v>
      </c>
      <c r="AA560" s="4">
        <f t="shared" si="278"/>
        <v>0</v>
      </c>
      <c r="AB560" s="4">
        <f t="shared" si="279"/>
        <v>0</v>
      </c>
      <c r="AC560" s="8"/>
      <c r="AD560" s="4"/>
      <c r="AE560" s="4"/>
      <c r="AF560" s="4" t="str">
        <f t="shared" ca="1" si="280"/>
        <v>-20</v>
      </c>
      <c r="AG560" s="4"/>
      <c r="AH560" s="4">
        <f>IFERROR(VLOOKUP(M560,Calculations!$AC$2:$AD$251,2,FALSE),0)</f>
        <v>0</v>
      </c>
      <c r="AI560" s="4">
        <f ca="1">VLOOKUP(N560,$N$2:$AS$620,MATCH('Character Creation'!$Z$12,Skills!$N$1:$AS$1,0),FALSE)</f>
        <v>0</v>
      </c>
      <c r="AJ560" s="4">
        <f>VLOOKUP($N560,[2]Cultures!$B$4:$M$283,MATCH(AJ$1,[2]Cultures!$B$3:$M$3,0),FALSE)</f>
        <v>0</v>
      </c>
      <c r="AK560" s="4">
        <f>VLOOKUP($N560,[2]Cultures!$B$4:$M$283,MATCH(AK$1,[2]Cultures!$B$3:$M$3,0),FALSE)</f>
        <v>0</v>
      </c>
      <c r="AL560" s="4">
        <f>VLOOKUP($N560,[2]Cultures!$B$4:$M$283,MATCH(AL$1,[2]Cultures!$B$3:$M$3,0),FALSE)</f>
        <v>0</v>
      </c>
      <c r="AM560" s="4">
        <f>VLOOKUP($N560,[2]Cultures!$B$4:$M$283,MATCH(AM$1,[2]Cultures!$B$3:$M$3,0),FALSE)</f>
        <v>0</v>
      </c>
      <c r="AN560" s="4">
        <f>VLOOKUP($N560,[2]Cultures!$B$4:$M$283,MATCH(AN$1,[2]Cultures!$B$3:$M$3,0),FALSE)</f>
        <v>0</v>
      </c>
      <c r="AO560" s="4">
        <f>VLOOKUP($N560,[2]Cultures!$B$4:$M$283,MATCH(AO$1,[2]Cultures!$B$3:$M$3,0),FALSE)</f>
        <v>0</v>
      </c>
      <c r="AP560" s="4">
        <f>VLOOKUP($N560,[2]Cultures!$B$4:$M$283,MATCH(AP$1,[2]Cultures!$B$3:$M$3,0),FALSE)</f>
        <v>0</v>
      </c>
      <c r="AQ560" s="4">
        <f>VLOOKUP($N560,[2]Cultures!$B$4:$M$283,MATCH(AQ$1,[2]Cultures!$B$3:$M$3,0),FALSE)</f>
        <v>0</v>
      </c>
      <c r="AR560" s="4">
        <f>VLOOKUP($N560,[2]Cultures!$B$4:$M$283,MATCH(AR$1,[2]Cultures!$B$3:$M$3,0),FALSE)</f>
        <v>0</v>
      </c>
      <c r="AS560" s="4">
        <f>VLOOKUP($N560,[2]Cultures!$B$4:$M$283,MATCH(AS$1,[2]Cultures!$B$3:$M$3,0),FALSE)</f>
        <v>0</v>
      </c>
      <c r="AT560" s="4"/>
      <c r="AU560" s="4">
        <f>IF(ISNUMBER(SEARCH(N560&amp;";",Calculations!$Q$19)),VLOOKUP(Skills!N560,Calculations!$Q$2:$T$16,4,FALSE),0)</f>
        <v>0</v>
      </c>
      <c r="AV560" s="4">
        <f>IF(ISNUMBER(SEARCH(N560&amp;";",Calculations!$Q$18)),1,0)</f>
        <v>0</v>
      </c>
      <c r="AW560" s="4">
        <f t="shared" si="294"/>
        <v>0</v>
      </c>
      <c r="AX560" s="4">
        <f>VLOOKUP($N560,$N560:$CH560,MATCH('Character Sheet'!$BJ$3,Skills!$N$1:$CH$1,0),FALSE)</f>
        <v>0</v>
      </c>
    </row>
    <row r="561" spans="2:50" x14ac:dyDescent="0.25">
      <c r="B561" s="4" t="e">
        <f t="shared" ca="1" si="287"/>
        <v>#N/A</v>
      </c>
      <c r="E561" s="4"/>
      <c r="F561" s="4">
        <f t="shared" ca="1" si="271"/>
        <v>0</v>
      </c>
      <c r="G561" s="4"/>
      <c r="H561" s="4" t="e">
        <f t="shared" si="265"/>
        <v>#N/A</v>
      </c>
      <c r="I561" s="4" t="e">
        <f t="shared" si="291"/>
        <v>#N/A</v>
      </c>
      <c r="J561" s="4">
        <f t="shared" si="273"/>
        <v>0</v>
      </c>
      <c r="K561" s="4">
        <f t="shared" ca="1" si="266"/>
        <v>0</v>
      </c>
      <c r="M561" t="str">
        <f t="shared" si="292"/>
        <v>Medical Technics</v>
      </c>
      <c r="N561" s="3" t="str">
        <f>'Character Sheet'!DDB15</f>
        <v>Medical Technics</v>
      </c>
      <c r="O561" s="4" t="s">
        <v>783</v>
      </c>
      <c r="P561" s="4" t="s">
        <v>801</v>
      </c>
      <c r="Q561" s="4">
        <f t="shared" ca="1" si="290"/>
        <v>0</v>
      </c>
      <c r="R561" s="4">
        <f>IF(ISNUMBER(SEARCH("Category",N561)),"- -",IF(ISNUMBER(SEARCH("Skills",N561)),"- -",'Level-up'!C579))</f>
        <v>0</v>
      </c>
      <c r="S561" s="4">
        <f t="shared" ca="1" si="274"/>
        <v>0</v>
      </c>
      <c r="T561" s="4">
        <f t="shared" ca="1" si="275"/>
        <v>-25</v>
      </c>
      <c r="U561" s="4">
        <f t="shared" ca="1" si="264"/>
        <v>5</v>
      </c>
      <c r="V561" s="4">
        <f t="shared" si="293"/>
        <v>0</v>
      </c>
      <c r="W561" s="4">
        <f t="shared" si="289"/>
        <v>0</v>
      </c>
      <c r="X561" s="4">
        <f t="shared" si="288"/>
        <v>0</v>
      </c>
      <c r="Y561" s="4">
        <f t="shared" si="276"/>
        <v>0</v>
      </c>
      <c r="Z561" s="4">
        <f t="shared" si="277"/>
        <v>0</v>
      </c>
      <c r="AA561" s="4">
        <f t="shared" si="278"/>
        <v>0</v>
      </c>
      <c r="AB561" s="4">
        <f t="shared" si="279"/>
        <v>0</v>
      </c>
      <c r="AC561" s="8"/>
      <c r="AD561" s="4"/>
      <c r="AE561" s="4"/>
      <c r="AF561" s="4" t="str">
        <f t="shared" ca="1" si="280"/>
        <v>-20</v>
      </c>
      <c r="AG561" s="4"/>
      <c r="AH561" s="4">
        <f>IFERROR(VLOOKUP(M561,Calculations!$AC$2:$AD$251,2,FALSE),0)</f>
        <v>0</v>
      </c>
      <c r="AI561" s="4">
        <f ca="1">VLOOKUP(N561,$N$2:$AS$620,MATCH('Character Creation'!$Z$12,Skills!$N$1:$AS$1,0),FALSE)</f>
        <v>0</v>
      </c>
      <c r="AJ561" s="4">
        <f>VLOOKUP($N561,[2]Cultures!$B$4:$M$283,MATCH(AJ$1,[2]Cultures!$B$3:$M$3,0),FALSE)</f>
        <v>0</v>
      </c>
      <c r="AK561" s="4">
        <f>VLOOKUP($N561,[2]Cultures!$B$4:$M$283,MATCH(AK$1,[2]Cultures!$B$3:$M$3,0),FALSE)</f>
        <v>0</v>
      </c>
      <c r="AL561" s="4">
        <f>VLOOKUP($N561,[2]Cultures!$B$4:$M$283,MATCH(AL$1,[2]Cultures!$B$3:$M$3,0),FALSE)</f>
        <v>0</v>
      </c>
      <c r="AM561" s="4">
        <f>VLOOKUP($N561,[2]Cultures!$B$4:$M$283,MATCH(AM$1,[2]Cultures!$B$3:$M$3,0),FALSE)</f>
        <v>0</v>
      </c>
      <c r="AN561" s="4">
        <f>VLOOKUP($N561,[2]Cultures!$B$4:$M$283,MATCH(AN$1,[2]Cultures!$B$3:$M$3,0),FALSE)</f>
        <v>0</v>
      </c>
      <c r="AO561" s="4">
        <f>VLOOKUP($N561,[2]Cultures!$B$4:$M$283,MATCH(AO$1,[2]Cultures!$B$3:$M$3,0),FALSE)</f>
        <v>0</v>
      </c>
      <c r="AP561" s="4">
        <f>VLOOKUP($N561,[2]Cultures!$B$4:$M$283,MATCH(AP$1,[2]Cultures!$B$3:$M$3,0),FALSE)</f>
        <v>0</v>
      </c>
      <c r="AQ561" s="4">
        <f>VLOOKUP($N561,[2]Cultures!$B$4:$M$283,MATCH(AQ$1,[2]Cultures!$B$3:$M$3,0),FALSE)</f>
        <v>0</v>
      </c>
      <c r="AR561" s="4">
        <f>VLOOKUP($N561,[2]Cultures!$B$4:$M$283,MATCH(AR$1,[2]Cultures!$B$3:$M$3,0),FALSE)</f>
        <v>0</v>
      </c>
      <c r="AS561" s="4">
        <f>VLOOKUP($N561,[2]Cultures!$B$4:$M$283,MATCH(AS$1,[2]Cultures!$B$3:$M$3,0),FALSE)</f>
        <v>0</v>
      </c>
      <c r="AT561" s="4"/>
      <c r="AU561" s="4">
        <f>IF(ISNUMBER(SEARCH(N561&amp;";",Calculations!$Q$19)),VLOOKUP(Skills!N561,Calculations!$Q$2:$T$16,4,FALSE),0)</f>
        <v>0</v>
      </c>
      <c r="AV561" s="4">
        <f>IF(ISNUMBER(SEARCH(N561&amp;";",Calculations!$Q$18)),1,0)</f>
        <v>0</v>
      </c>
      <c r="AW561" s="4">
        <f t="shared" si="294"/>
        <v>0</v>
      </c>
      <c r="AX561" s="4">
        <f>VLOOKUP($N561,$N561:$CH561,MATCH('Character Sheet'!$BJ$3,Skills!$N$1:$CH$1,0),FALSE)</f>
        <v>0</v>
      </c>
    </row>
    <row r="562" spans="2:50" x14ac:dyDescent="0.25">
      <c r="B562" s="4" t="e">
        <f t="shared" ca="1" si="287"/>
        <v>#N/A</v>
      </c>
      <c r="E562" s="4"/>
      <c r="F562" s="4">
        <f t="shared" ca="1" si="271"/>
        <v>0</v>
      </c>
      <c r="G562" s="4"/>
      <c r="H562" s="4" t="e">
        <f t="shared" si="265"/>
        <v>#N/A</v>
      </c>
      <c r="I562" s="4" t="e">
        <f t="shared" si="291"/>
        <v>#N/A</v>
      </c>
      <c r="J562" s="4">
        <f t="shared" si="273"/>
        <v>0</v>
      </c>
      <c r="K562" s="4">
        <f t="shared" ca="1" si="266"/>
        <v>0</v>
      </c>
      <c r="M562" t="str">
        <f t="shared" si="292"/>
        <v>Musical Technics</v>
      </c>
      <c r="N562" s="3" t="str">
        <f>'Character Sheet'!DDB16</f>
        <v>Musical Technics</v>
      </c>
      <c r="O562" s="4" t="s">
        <v>783</v>
      </c>
      <c r="P562" s="4" t="s">
        <v>801</v>
      </c>
      <c r="Q562" s="4">
        <f t="shared" ca="1" si="290"/>
        <v>0</v>
      </c>
      <c r="R562" s="4">
        <f>IF(ISNUMBER(SEARCH("Category",N562)),"- -",IF(ISNUMBER(SEARCH("Skills",N562)),"- -",'Level-up'!C580))</f>
        <v>0</v>
      </c>
      <c r="S562" s="4">
        <f t="shared" ca="1" si="274"/>
        <v>0</v>
      </c>
      <c r="T562" s="4">
        <f t="shared" ca="1" si="275"/>
        <v>-25</v>
      </c>
      <c r="U562" s="4">
        <f t="shared" ca="1" si="264"/>
        <v>5</v>
      </c>
      <c r="V562" s="4">
        <f t="shared" si="293"/>
        <v>0</v>
      </c>
      <c r="W562" s="4">
        <f t="shared" si="289"/>
        <v>0</v>
      </c>
      <c r="X562" s="4">
        <f t="shared" si="288"/>
        <v>0</v>
      </c>
      <c r="Y562" s="4">
        <f t="shared" si="276"/>
        <v>0</v>
      </c>
      <c r="Z562" s="4">
        <f t="shared" si="277"/>
        <v>0</v>
      </c>
      <c r="AA562" s="4">
        <f t="shared" si="278"/>
        <v>0</v>
      </c>
      <c r="AB562" s="4">
        <f t="shared" si="279"/>
        <v>0</v>
      </c>
      <c r="AC562" s="8"/>
      <c r="AD562" s="4"/>
      <c r="AE562" s="4"/>
      <c r="AF562" s="4" t="str">
        <f t="shared" ca="1" si="280"/>
        <v>-20</v>
      </c>
      <c r="AG562" s="4"/>
      <c r="AH562" s="4">
        <f>IFERROR(VLOOKUP(M562,Calculations!$AC$2:$AD$251,2,FALSE),0)</f>
        <v>0</v>
      </c>
      <c r="AI562" s="4">
        <f ca="1">VLOOKUP(N562,$N$2:$AS$620,MATCH('Character Creation'!$Z$12,Skills!$N$1:$AS$1,0),FALSE)</f>
        <v>0</v>
      </c>
      <c r="AJ562" s="4">
        <f>VLOOKUP($N562,[2]Cultures!$B$4:$M$283,MATCH(AJ$1,[2]Cultures!$B$3:$M$3,0),FALSE)</f>
        <v>0</v>
      </c>
      <c r="AK562" s="4">
        <f>VLOOKUP($N562,[2]Cultures!$B$4:$M$283,MATCH(AK$1,[2]Cultures!$B$3:$M$3,0),FALSE)</f>
        <v>0</v>
      </c>
      <c r="AL562" s="4">
        <f>VLOOKUP($N562,[2]Cultures!$B$4:$M$283,MATCH(AL$1,[2]Cultures!$B$3:$M$3,0),FALSE)</f>
        <v>0</v>
      </c>
      <c r="AM562" s="4">
        <f>VLOOKUP($N562,[2]Cultures!$B$4:$M$283,MATCH(AM$1,[2]Cultures!$B$3:$M$3,0),FALSE)</f>
        <v>0</v>
      </c>
      <c r="AN562" s="4">
        <f>VLOOKUP($N562,[2]Cultures!$B$4:$M$283,MATCH(AN$1,[2]Cultures!$B$3:$M$3,0),FALSE)</f>
        <v>0</v>
      </c>
      <c r="AO562" s="4">
        <f>VLOOKUP($N562,[2]Cultures!$B$4:$M$283,MATCH(AO$1,[2]Cultures!$B$3:$M$3,0),FALSE)</f>
        <v>0</v>
      </c>
      <c r="AP562" s="4">
        <f>VLOOKUP($N562,[2]Cultures!$B$4:$M$283,MATCH(AP$1,[2]Cultures!$B$3:$M$3,0),FALSE)</f>
        <v>0</v>
      </c>
      <c r="AQ562" s="4">
        <f>VLOOKUP($N562,[2]Cultures!$B$4:$M$283,MATCH(AQ$1,[2]Cultures!$B$3:$M$3,0),FALSE)</f>
        <v>0</v>
      </c>
      <c r="AR562" s="4">
        <f>VLOOKUP($N562,[2]Cultures!$B$4:$M$283,MATCH(AR$1,[2]Cultures!$B$3:$M$3,0),FALSE)</f>
        <v>0</v>
      </c>
      <c r="AS562" s="4">
        <f>VLOOKUP($N562,[2]Cultures!$B$4:$M$283,MATCH(AS$1,[2]Cultures!$B$3:$M$3,0),FALSE)</f>
        <v>0</v>
      </c>
      <c r="AT562" s="4"/>
      <c r="AU562" s="4">
        <f>IF(ISNUMBER(SEARCH(N562&amp;";",Calculations!$Q$19)),VLOOKUP(Skills!N562,Calculations!$Q$2:$T$16,4,FALSE),0)</f>
        <v>0</v>
      </c>
      <c r="AV562" s="4">
        <f>IF(ISNUMBER(SEARCH(N562&amp;";",Calculations!$Q$18)),1,0)</f>
        <v>0</v>
      </c>
      <c r="AW562" s="4">
        <f t="shared" si="294"/>
        <v>0</v>
      </c>
      <c r="AX562" s="4">
        <f>VLOOKUP($N562,$N562:$CH562,MATCH('Character Sheet'!$BJ$3,Skills!$N$1:$CH$1,0),FALSE)</f>
        <v>0</v>
      </c>
    </row>
    <row r="563" spans="2:50" x14ac:dyDescent="0.25">
      <c r="B563" s="4" t="e">
        <f t="shared" ca="1" si="287"/>
        <v>#N/A</v>
      </c>
      <c r="E563" s="4"/>
      <c r="F563" s="4">
        <f t="shared" ca="1" si="271"/>
        <v>0</v>
      </c>
      <c r="G563" s="4"/>
      <c r="H563" s="4" t="e">
        <f t="shared" si="265"/>
        <v>#N/A</v>
      </c>
      <c r="I563" s="4" t="e">
        <f t="shared" si="291"/>
        <v>#N/A</v>
      </c>
      <c r="J563" s="4">
        <f t="shared" si="273"/>
        <v>0</v>
      </c>
      <c r="K563" s="4">
        <f t="shared" si="266"/>
        <v>0</v>
      </c>
      <c r="M563" t="str">
        <f t="shared" si="292"/>
        <v>Optical Technics</v>
      </c>
      <c r="N563" s="3" t="str">
        <f>'Character Sheet'!DDB17</f>
        <v>Optical Technics</v>
      </c>
      <c r="O563" s="4" t="s">
        <v>783</v>
      </c>
      <c r="P563" s="4" t="s">
        <v>801</v>
      </c>
      <c r="Q563" s="4">
        <f t="shared" si="290"/>
        <v>0</v>
      </c>
      <c r="R563" s="4">
        <f>IF(ISNUMBER(SEARCH("Category",N563)),"- -",IF(ISNUMBER(SEARCH("Skills",N563)),"- -",'Level-up'!C581))</f>
        <v>0</v>
      </c>
      <c r="S563" s="4">
        <f t="shared" si="274"/>
        <v>0</v>
      </c>
      <c r="T563" s="4">
        <f t="shared" si="275"/>
        <v>-25</v>
      </c>
      <c r="U563" s="4">
        <f t="shared" ref="U563:U620" ca="1" si="295">IFERROR(INDIRECT(LEFT(O563,FIND("/",O563)-1))+INDIRECT(MID(O563,FIND("/",O563)+1,2))+INDIRECT(P563),"- -")</f>
        <v>5</v>
      </c>
      <c r="V563" s="4">
        <f t="shared" si="293"/>
        <v>0</v>
      </c>
      <c r="W563" s="4">
        <f t="shared" si="289"/>
        <v>0</v>
      </c>
      <c r="X563" s="4">
        <f t="shared" si="288"/>
        <v>0</v>
      </c>
      <c r="Y563" s="4">
        <f t="shared" si="276"/>
        <v>0</v>
      </c>
      <c r="Z563" s="4">
        <f t="shared" si="277"/>
        <v>0</v>
      </c>
      <c r="AA563" s="4">
        <f t="shared" si="278"/>
        <v>0</v>
      </c>
      <c r="AB563" s="4">
        <f t="shared" si="279"/>
        <v>0</v>
      </c>
      <c r="AC563" s="8"/>
      <c r="AD563" s="4"/>
      <c r="AE563" s="4"/>
      <c r="AF563" s="4" t="str">
        <f t="shared" ca="1" si="280"/>
        <v>-20</v>
      </c>
      <c r="AG563" s="4"/>
      <c r="AH563" s="4">
        <f>IFERROR(VLOOKUP(M563,Calculations!$AC$2:$AD$251,2,FALSE),0)</f>
        <v>0</v>
      </c>
      <c r="AI563" s="4">
        <f>VLOOKUP(N563,$N$2:$AS$620,MATCH('Character Creation'!$Z$12,Skills!$N$1:$AS$1,0),FALSE)</f>
        <v>0</v>
      </c>
      <c r="AJ563" s="4">
        <f>VLOOKUP($N563,[2]Cultures!$B$4:$M$283,MATCH(AJ$1,[2]Cultures!$B$3:$M$3,0),FALSE)</f>
        <v>0</v>
      </c>
      <c r="AK563" s="4">
        <f>VLOOKUP($N563,[2]Cultures!$B$4:$M$283,MATCH(AK$1,[2]Cultures!$B$3:$M$3,0),FALSE)</f>
        <v>0</v>
      </c>
      <c r="AL563" s="4">
        <f>VLOOKUP($N563,[2]Cultures!$B$4:$M$283,MATCH(AL$1,[2]Cultures!$B$3:$M$3,0),FALSE)</f>
        <v>0</v>
      </c>
      <c r="AM563" s="4">
        <f>VLOOKUP($N563,[2]Cultures!$B$4:$M$283,MATCH(AM$1,[2]Cultures!$B$3:$M$3,0),FALSE)</f>
        <v>0</v>
      </c>
      <c r="AN563" s="4">
        <f>VLOOKUP($N563,[2]Cultures!$B$4:$M$283,MATCH(AN$1,[2]Cultures!$B$3:$M$3,0),FALSE)</f>
        <v>0</v>
      </c>
      <c r="AO563" s="4">
        <f>VLOOKUP($N563,[2]Cultures!$B$4:$M$283,MATCH(AO$1,[2]Cultures!$B$3:$M$3,0),FALSE)</f>
        <v>0</v>
      </c>
      <c r="AP563" s="4">
        <f>VLOOKUP($N563,[2]Cultures!$B$4:$M$283,MATCH(AP$1,[2]Cultures!$B$3:$M$3,0),FALSE)</f>
        <v>0</v>
      </c>
      <c r="AQ563" s="4">
        <f>VLOOKUP($N563,[2]Cultures!$B$4:$M$283,MATCH(AQ$1,[2]Cultures!$B$3:$M$3,0),FALSE)</f>
        <v>0</v>
      </c>
      <c r="AR563" s="4">
        <f>VLOOKUP($N563,[2]Cultures!$B$4:$M$283,MATCH(AR$1,[2]Cultures!$B$3:$M$3,0),FALSE)</f>
        <v>0</v>
      </c>
      <c r="AS563" s="4">
        <f>VLOOKUP($N563,[2]Cultures!$B$4:$M$283,MATCH(AS$1,[2]Cultures!$B$3:$M$3,0),FALSE)</f>
        <v>0</v>
      </c>
      <c r="AT563" s="4"/>
      <c r="AU563" s="4">
        <f>IF(ISNUMBER(SEARCH(N563&amp;";",Calculations!$Q$19)),VLOOKUP(Skills!N563,Calculations!$Q$2:$T$16,4,FALSE),0)</f>
        <v>0</v>
      </c>
      <c r="AV563" s="4">
        <f>IF(ISNUMBER(SEARCH(N563&amp;";",Calculations!$Q$18)),1,0)</f>
        <v>0</v>
      </c>
      <c r="AW563" s="4">
        <f t="shared" si="294"/>
        <v>0</v>
      </c>
      <c r="AX563" s="4">
        <f>VLOOKUP($N563,$N563:$CH563,MATCH('Character Sheet'!$BJ$3,Skills!$N$1:$CH$1,0),FALSE)</f>
        <v>0</v>
      </c>
    </row>
    <row r="564" spans="2:50" x14ac:dyDescent="0.25">
      <c r="B564" s="4" t="e">
        <f t="shared" ca="1" si="287"/>
        <v>#N/A</v>
      </c>
      <c r="E564" s="4"/>
      <c r="F564" s="4">
        <f t="shared" ca="1" si="271"/>
        <v>0</v>
      </c>
      <c r="G564" s="4"/>
      <c r="H564" s="4" t="e">
        <f t="shared" ref="H564:H620" si="296">H563+I564</f>
        <v>#N/A</v>
      </c>
      <c r="I564" s="4" t="e">
        <f t="shared" si="291"/>
        <v>#N/A</v>
      </c>
      <c r="J564" s="4">
        <f t="shared" si="273"/>
        <v>0</v>
      </c>
      <c r="K564" s="4">
        <f t="shared" si="266"/>
        <v>0</v>
      </c>
      <c r="M564" t="str">
        <f t="shared" si="292"/>
        <v>Safe Cracking</v>
      </c>
      <c r="N564" s="3" t="str">
        <f>'Character Sheet'!DDB18</f>
        <v>Safe Cracking</v>
      </c>
      <c r="O564" s="4" t="s">
        <v>783</v>
      </c>
      <c r="P564" s="4" t="s">
        <v>784</v>
      </c>
      <c r="Q564" s="4">
        <f t="shared" si="290"/>
        <v>0</v>
      </c>
      <c r="R564" s="4">
        <f>IF(ISNUMBER(SEARCH("Category",N564)),"- -",IF(ISNUMBER(SEARCH("Skills",N564)),"- -",'Level-up'!C582))</f>
        <v>0</v>
      </c>
      <c r="S564" s="4">
        <f t="shared" si="274"/>
        <v>0</v>
      </c>
      <c r="T564" s="4">
        <f t="shared" si="275"/>
        <v>-25</v>
      </c>
      <c r="U564" s="4">
        <f t="shared" ca="1" si="295"/>
        <v>3</v>
      </c>
      <c r="V564" s="4">
        <f t="shared" si="293"/>
        <v>0</v>
      </c>
      <c r="W564" s="4">
        <f t="shared" si="289"/>
        <v>0</v>
      </c>
      <c r="X564" s="4">
        <f t="shared" si="288"/>
        <v>0</v>
      </c>
      <c r="Y564" s="4">
        <f t="shared" si="276"/>
        <v>0</v>
      </c>
      <c r="Z564" s="4">
        <f t="shared" si="277"/>
        <v>0</v>
      </c>
      <c r="AA564" s="4">
        <f t="shared" si="278"/>
        <v>0</v>
      </c>
      <c r="AB564" s="4">
        <f t="shared" si="279"/>
        <v>0</v>
      </c>
      <c r="AC564" s="8"/>
      <c r="AD564" s="4"/>
      <c r="AE564" s="4"/>
      <c r="AF564" s="4" t="str">
        <f t="shared" ca="1" si="280"/>
        <v>-22</v>
      </c>
      <c r="AG564" s="4"/>
      <c r="AH564" s="4">
        <f>IFERROR(VLOOKUP(M564,Calculations!$AC$2:$AD$251,2,FALSE),0)</f>
        <v>0</v>
      </c>
      <c r="AI564" s="4">
        <f>VLOOKUP(N564,$N$2:$AS$620,MATCH('Character Creation'!$Z$12,Skills!$N$1:$AS$1,0),FALSE)</f>
        <v>0</v>
      </c>
      <c r="AJ564" s="4">
        <f>VLOOKUP($N564,[2]Cultures!$B$4:$M$283,MATCH(AJ$1,[2]Cultures!$B$3:$M$3,0),FALSE)</f>
        <v>0</v>
      </c>
      <c r="AK564" s="4">
        <f>VLOOKUP($N564,[2]Cultures!$B$4:$M$283,MATCH(AK$1,[2]Cultures!$B$3:$M$3,0),FALSE)</f>
        <v>0</v>
      </c>
      <c r="AL564" s="4">
        <f>VLOOKUP($N564,[2]Cultures!$B$4:$M$283,MATCH(AL$1,[2]Cultures!$B$3:$M$3,0),FALSE)</f>
        <v>0</v>
      </c>
      <c r="AM564" s="4">
        <f>VLOOKUP($N564,[2]Cultures!$B$4:$M$283,MATCH(AM$1,[2]Cultures!$B$3:$M$3,0),FALSE)</f>
        <v>0</v>
      </c>
      <c r="AN564" s="4">
        <f>VLOOKUP($N564,[2]Cultures!$B$4:$M$283,MATCH(AN$1,[2]Cultures!$B$3:$M$3,0),FALSE)</f>
        <v>0</v>
      </c>
      <c r="AO564" s="4">
        <f>VLOOKUP($N564,[2]Cultures!$B$4:$M$283,MATCH(AO$1,[2]Cultures!$B$3:$M$3,0),FALSE)</f>
        <v>0</v>
      </c>
      <c r="AP564" s="4">
        <f>VLOOKUP($N564,[2]Cultures!$B$4:$M$283,MATCH(AP$1,[2]Cultures!$B$3:$M$3,0),FALSE)</f>
        <v>0</v>
      </c>
      <c r="AQ564" s="4">
        <f>VLOOKUP($N564,[2]Cultures!$B$4:$M$283,MATCH(AQ$1,[2]Cultures!$B$3:$M$3,0),FALSE)</f>
        <v>0</v>
      </c>
      <c r="AR564" s="4">
        <f>VLOOKUP($N564,[2]Cultures!$B$4:$M$283,MATCH(AR$1,[2]Cultures!$B$3:$M$3,0),FALSE)</f>
        <v>0</v>
      </c>
      <c r="AS564" s="4">
        <f>VLOOKUP($N564,[2]Cultures!$B$4:$M$283,MATCH(AS$1,[2]Cultures!$B$3:$M$3,0),FALSE)</f>
        <v>0</v>
      </c>
      <c r="AT564" s="4"/>
      <c r="AU564" s="4">
        <f>IF(ISNUMBER(SEARCH(N564&amp;";",Calculations!$Q$19)),VLOOKUP(Skills!N564,Calculations!$Q$2:$T$16,4,FALSE),0)</f>
        <v>0</v>
      </c>
      <c r="AV564" s="4">
        <f>IF(ISNUMBER(SEARCH(N564&amp;";",Calculations!$Q$18)),1,0)</f>
        <v>0</v>
      </c>
      <c r="AW564" s="4">
        <f t="shared" si="294"/>
        <v>0</v>
      </c>
      <c r="AX564" s="4">
        <f>VLOOKUP($N564,$N564:$CH564,MATCH('Character Sheet'!$BJ$3,Skills!$N$1:$CH$1,0),FALSE)</f>
        <v>0</v>
      </c>
    </row>
    <row r="565" spans="2:50" x14ac:dyDescent="0.25">
      <c r="B565" s="4" t="e">
        <f t="shared" ca="1" si="287"/>
        <v>#N/A</v>
      </c>
      <c r="E565" s="4"/>
      <c r="F565" s="4">
        <f t="shared" ca="1" si="271"/>
        <v>0</v>
      </c>
      <c r="G565" s="4"/>
      <c r="H565" s="4" t="e">
        <f t="shared" si="296"/>
        <v>#N/A</v>
      </c>
      <c r="I565" s="4" t="e">
        <f t="shared" si="291"/>
        <v>#N/A</v>
      </c>
      <c r="J565" s="4">
        <f t="shared" si="273"/>
        <v>0</v>
      </c>
      <c r="K565" s="4">
        <f t="shared" si="266"/>
        <v>0</v>
      </c>
      <c r="M565" t="str">
        <f t="shared" si="292"/>
        <v>Security Operations</v>
      </c>
      <c r="N565" s="3" t="str">
        <f>'Character Sheet'!DDB19</f>
        <v>Security Operations</v>
      </c>
      <c r="O565" s="4" t="s">
        <v>783</v>
      </c>
      <c r="P565" s="4" t="s">
        <v>801</v>
      </c>
      <c r="Q565" s="4">
        <f t="shared" si="290"/>
        <v>0</v>
      </c>
      <c r="R565" s="4">
        <f>IF(ISNUMBER(SEARCH("Category",N565)),"- -",IF(ISNUMBER(SEARCH("Skills",N565)),"- -",'Level-up'!C583))</f>
        <v>0</v>
      </c>
      <c r="S565" s="4">
        <f t="shared" si="274"/>
        <v>0</v>
      </c>
      <c r="T565" s="4">
        <f t="shared" si="275"/>
        <v>-25</v>
      </c>
      <c r="U565" s="4">
        <f t="shared" ca="1" si="295"/>
        <v>5</v>
      </c>
      <c r="V565" s="4">
        <f t="shared" si="293"/>
        <v>0</v>
      </c>
      <c r="W565" s="4">
        <f t="shared" si="289"/>
        <v>0</v>
      </c>
      <c r="X565" s="4">
        <f t="shared" si="288"/>
        <v>0</v>
      </c>
      <c r="Y565" s="4">
        <f t="shared" si="276"/>
        <v>0</v>
      </c>
      <c r="Z565" s="4">
        <f t="shared" si="277"/>
        <v>0</v>
      </c>
      <c r="AA565" s="4">
        <f t="shared" si="278"/>
        <v>0</v>
      </c>
      <c r="AB565" s="4">
        <f t="shared" si="279"/>
        <v>0</v>
      </c>
      <c r="AC565" s="8"/>
      <c r="AD565" s="4"/>
      <c r="AE565" s="4"/>
      <c r="AF565" s="4" t="str">
        <f t="shared" ca="1" si="280"/>
        <v>-20</v>
      </c>
      <c r="AG565" s="4"/>
      <c r="AH565" s="4">
        <f>IFERROR(VLOOKUP(M565,Calculations!$AC$2:$AD$251,2,FALSE),0)</f>
        <v>0</v>
      </c>
      <c r="AI565" s="4">
        <f>VLOOKUP(N565,$N$2:$AS$620,MATCH('Character Creation'!$Z$12,Skills!$N$1:$AS$1,0),FALSE)</f>
        <v>0</v>
      </c>
      <c r="AJ565" s="4">
        <f>VLOOKUP($N565,[2]Cultures!$B$4:$M$283,MATCH(AJ$1,[2]Cultures!$B$3:$M$3,0),FALSE)</f>
        <v>0</v>
      </c>
      <c r="AK565" s="4">
        <f>VLOOKUP($N565,[2]Cultures!$B$4:$M$283,MATCH(AK$1,[2]Cultures!$B$3:$M$3,0),FALSE)</f>
        <v>0</v>
      </c>
      <c r="AL565" s="4">
        <f>VLOOKUP($N565,[2]Cultures!$B$4:$M$283,MATCH(AL$1,[2]Cultures!$B$3:$M$3,0),FALSE)</f>
        <v>0</v>
      </c>
      <c r="AM565" s="4">
        <f>VLOOKUP($N565,[2]Cultures!$B$4:$M$283,MATCH(AM$1,[2]Cultures!$B$3:$M$3,0),FALSE)</f>
        <v>0</v>
      </c>
      <c r="AN565" s="4">
        <f>VLOOKUP($N565,[2]Cultures!$B$4:$M$283,MATCH(AN$1,[2]Cultures!$B$3:$M$3,0),FALSE)</f>
        <v>0</v>
      </c>
      <c r="AO565" s="4">
        <f>VLOOKUP($N565,[2]Cultures!$B$4:$M$283,MATCH(AO$1,[2]Cultures!$B$3:$M$3,0),FALSE)</f>
        <v>0</v>
      </c>
      <c r="AP565" s="4">
        <f>VLOOKUP($N565,[2]Cultures!$B$4:$M$283,MATCH(AP$1,[2]Cultures!$B$3:$M$3,0),FALSE)</f>
        <v>0</v>
      </c>
      <c r="AQ565" s="4">
        <f>VLOOKUP($N565,[2]Cultures!$B$4:$M$283,MATCH(AQ$1,[2]Cultures!$B$3:$M$3,0),FALSE)</f>
        <v>0</v>
      </c>
      <c r="AR565" s="4">
        <f>VLOOKUP($N565,[2]Cultures!$B$4:$M$283,MATCH(AR$1,[2]Cultures!$B$3:$M$3,0),FALSE)</f>
        <v>0</v>
      </c>
      <c r="AS565" s="4">
        <f>VLOOKUP($N565,[2]Cultures!$B$4:$M$283,MATCH(AS$1,[2]Cultures!$B$3:$M$3,0),FALSE)</f>
        <v>0</v>
      </c>
      <c r="AT565" s="4"/>
      <c r="AU565" s="4">
        <f>IF(ISNUMBER(SEARCH(N565&amp;";",Calculations!$Q$19)),VLOOKUP(Skills!N565,Calculations!$Q$2:$T$16,4,FALSE),0)</f>
        <v>0</v>
      </c>
      <c r="AV565" s="4">
        <f>IF(ISNUMBER(SEARCH(N565&amp;";",Calculations!$Q$18)),1,0)</f>
        <v>0</v>
      </c>
      <c r="AW565" s="4">
        <f t="shared" si="294"/>
        <v>0</v>
      </c>
      <c r="AX565" s="4">
        <f>VLOOKUP($N565,$N565:$CH565,MATCH('Character Sheet'!$BJ$3,Skills!$N$1:$CH$1,0),FALSE)</f>
        <v>0</v>
      </c>
    </row>
    <row r="566" spans="2:50" x14ac:dyDescent="0.25">
      <c r="B566" s="4" t="e">
        <f t="shared" ca="1" si="287"/>
        <v>#N/A</v>
      </c>
      <c r="E566" s="4"/>
      <c r="F566" s="4">
        <f t="shared" ca="1" si="271"/>
        <v>0</v>
      </c>
      <c r="G566" s="4"/>
      <c r="H566" s="4" t="e">
        <f t="shared" si="296"/>
        <v>#N/A</v>
      </c>
      <c r="I566" s="4" t="e">
        <f t="shared" si="291"/>
        <v>#N/A</v>
      </c>
      <c r="J566" s="4">
        <f t="shared" si="273"/>
        <v>0</v>
      </c>
      <c r="K566" s="4">
        <f t="shared" si="266"/>
        <v>0</v>
      </c>
      <c r="M566" t="str">
        <f t="shared" si="292"/>
        <v>Traps</v>
      </c>
      <c r="N566" s="3" t="str">
        <f>'Character Sheet'!DDB20</f>
        <v>Traps</v>
      </c>
      <c r="O566" s="4" t="s">
        <v>783</v>
      </c>
      <c r="P566" s="4" t="s">
        <v>801</v>
      </c>
      <c r="Q566" s="4">
        <f t="shared" si="290"/>
        <v>0</v>
      </c>
      <c r="R566" s="4">
        <f>IF(ISNUMBER(SEARCH("Category",N566)),"- -",IF(ISNUMBER(SEARCH("Skills",N566)),"- -",'Level-up'!C584))</f>
        <v>0</v>
      </c>
      <c r="S566" s="4">
        <f t="shared" si="274"/>
        <v>0</v>
      </c>
      <c r="T566" s="4">
        <f t="shared" si="275"/>
        <v>-25</v>
      </c>
      <c r="U566" s="4">
        <f t="shared" ca="1" si="295"/>
        <v>5</v>
      </c>
      <c r="V566" s="4">
        <f t="shared" si="293"/>
        <v>0</v>
      </c>
      <c r="W566" s="4">
        <f t="shared" si="289"/>
        <v>0</v>
      </c>
      <c r="X566" s="4">
        <f t="shared" si="288"/>
        <v>0</v>
      </c>
      <c r="Y566" s="4">
        <f t="shared" si="276"/>
        <v>0</v>
      </c>
      <c r="Z566" s="4">
        <f t="shared" si="277"/>
        <v>0</v>
      </c>
      <c r="AA566" s="4">
        <f t="shared" si="278"/>
        <v>0</v>
      </c>
      <c r="AB566" s="4">
        <f t="shared" si="279"/>
        <v>0</v>
      </c>
      <c r="AC566" s="8"/>
      <c r="AD566" s="4"/>
      <c r="AE566" s="4"/>
      <c r="AF566" s="4" t="str">
        <f t="shared" ca="1" si="280"/>
        <v>-20</v>
      </c>
      <c r="AG566" s="4"/>
      <c r="AH566" s="4">
        <f>IFERROR(VLOOKUP(M566,Calculations!$AC$2:$AD$251,2,FALSE),0)</f>
        <v>0</v>
      </c>
      <c r="AI566" s="4">
        <f>VLOOKUP(N566,$N$2:$AS$620,MATCH('Character Creation'!$Z$12,Skills!$N$1:$AS$1,0),FALSE)</f>
        <v>0</v>
      </c>
      <c r="AJ566" s="4">
        <f>VLOOKUP($N566,[2]Cultures!$B$4:$M$283,MATCH(AJ$1,[2]Cultures!$B$3:$M$3,0),FALSE)</f>
        <v>0</v>
      </c>
      <c r="AK566" s="4">
        <f>VLOOKUP($N566,[2]Cultures!$B$4:$M$283,MATCH(AK$1,[2]Cultures!$B$3:$M$3,0),FALSE)</f>
        <v>0</v>
      </c>
      <c r="AL566" s="4">
        <f>VLOOKUP($N566,[2]Cultures!$B$4:$M$283,MATCH(AL$1,[2]Cultures!$B$3:$M$3,0),FALSE)</f>
        <v>0</v>
      </c>
      <c r="AM566" s="4">
        <f>VLOOKUP($N566,[2]Cultures!$B$4:$M$283,MATCH(AM$1,[2]Cultures!$B$3:$M$3,0),FALSE)</f>
        <v>0</v>
      </c>
      <c r="AN566" s="4">
        <f>VLOOKUP($N566,[2]Cultures!$B$4:$M$283,MATCH(AN$1,[2]Cultures!$B$3:$M$3,0),FALSE)</f>
        <v>0</v>
      </c>
      <c r="AO566" s="4">
        <f>VLOOKUP($N566,[2]Cultures!$B$4:$M$283,MATCH(AO$1,[2]Cultures!$B$3:$M$3,0),FALSE)</f>
        <v>0</v>
      </c>
      <c r="AP566" s="4">
        <f>VLOOKUP($N566,[2]Cultures!$B$4:$M$283,MATCH(AP$1,[2]Cultures!$B$3:$M$3,0),FALSE)</f>
        <v>0</v>
      </c>
      <c r="AQ566" s="4">
        <f>VLOOKUP($N566,[2]Cultures!$B$4:$M$283,MATCH(AQ$1,[2]Cultures!$B$3:$M$3,0),FALSE)</f>
        <v>0</v>
      </c>
      <c r="AR566" s="4">
        <f>VLOOKUP($N566,[2]Cultures!$B$4:$M$283,MATCH(AR$1,[2]Cultures!$B$3:$M$3,0),FALSE)</f>
        <v>0</v>
      </c>
      <c r="AS566" s="4">
        <f>VLOOKUP($N566,[2]Cultures!$B$4:$M$283,MATCH(AS$1,[2]Cultures!$B$3:$M$3,0),FALSE)</f>
        <v>0</v>
      </c>
      <c r="AT566" s="4"/>
      <c r="AU566" s="4">
        <f>IF(ISNUMBER(SEARCH(N566&amp;";",Calculations!$Q$19)),VLOOKUP(Skills!N566,Calculations!$Q$2:$T$16,4,FALSE),0)</f>
        <v>0</v>
      </c>
      <c r="AV566" s="4">
        <f>IF(ISNUMBER(SEARCH(N566&amp;";",Calculations!$Q$18)),1,0)</f>
        <v>0</v>
      </c>
      <c r="AW566" s="4">
        <f t="shared" si="294"/>
        <v>0</v>
      </c>
      <c r="AX566" s="4">
        <f>VLOOKUP($N566,$N566:$CH566,MATCH('Character Sheet'!$BJ$3,Skills!$N$1:$CH$1,0),FALSE)</f>
        <v>0</v>
      </c>
    </row>
    <row r="567" spans="2:50" x14ac:dyDescent="0.25">
      <c r="B567" s="4" t="e">
        <f t="shared" ca="1" si="287"/>
        <v>#N/A</v>
      </c>
      <c r="E567" s="4"/>
      <c r="F567" s="4">
        <f t="shared" ca="1" si="271"/>
        <v>0</v>
      </c>
      <c r="G567" s="4"/>
      <c r="H567" s="4" t="e">
        <f t="shared" si="296"/>
        <v>#N/A</v>
      </c>
      <c r="I567" s="4" t="e">
        <f t="shared" si="291"/>
        <v>#N/A</v>
      </c>
      <c r="J567" s="4">
        <f t="shared" si="273"/>
        <v>0</v>
      </c>
      <c r="K567" s="4">
        <f t="shared" ref="K567:K620" si="297">IF(ISNUMBER(SEARCH("Category",N567)),K568,AI567)</f>
        <v>0</v>
      </c>
      <c r="M567" t="str">
        <f t="shared" si="292"/>
        <v>Vehicle Body Repair</v>
      </c>
      <c r="N567" s="3" t="str">
        <f>'Character Sheet'!DDB21</f>
        <v>Vehicle Body Repair</v>
      </c>
      <c r="O567" s="4" t="s">
        <v>783</v>
      </c>
      <c r="P567" s="4" t="s">
        <v>801</v>
      </c>
      <c r="Q567" s="4">
        <f t="shared" si="290"/>
        <v>0</v>
      </c>
      <c r="R567" s="4">
        <f>IF(ISNUMBER(SEARCH("Category",N567)),"- -",IF(ISNUMBER(SEARCH("Skills",N567)),"- -",'Level-up'!C585))</f>
        <v>0</v>
      </c>
      <c r="S567" s="4">
        <f t="shared" si="274"/>
        <v>0</v>
      </c>
      <c r="T567" s="4">
        <f t="shared" si="275"/>
        <v>-25</v>
      </c>
      <c r="U567" s="4">
        <f t="shared" ca="1" si="295"/>
        <v>5</v>
      </c>
      <c r="V567" s="4">
        <f t="shared" si="293"/>
        <v>0</v>
      </c>
      <c r="W567" s="4">
        <f t="shared" si="289"/>
        <v>0</v>
      </c>
      <c r="X567" s="4">
        <f t="shared" si="288"/>
        <v>0</v>
      </c>
      <c r="Y567" s="4">
        <f t="shared" si="276"/>
        <v>0</v>
      </c>
      <c r="Z567" s="4">
        <f t="shared" si="277"/>
        <v>0</v>
      </c>
      <c r="AA567" s="4">
        <f t="shared" si="278"/>
        <v>0</v>
      </c>
      <c r="AB567" s="4">
        <f t="shared" si="279"/>
        <v>0</v>
      </c>
      <c r="AC567" s="8"/>
      <c r="AD567" s="4"/>
      <c r="AE567" s="4"/>
      <c r="AF567" s="4" t="str">
        <f t="shared" ca="1" si="280"/>
        <v>-20</v>
      </c>
      <c r="AG567" s="4"/>
      <c r="AH567" s="4">
        <f>IFERROR(VLOOKUP(M567,Calculations!$AC$2:$AD$251,2,FALSE),0)</f>
        <v>0</v>
      </c>
      <c r="AI567" s="4">
        <f>VLOOKUP(N567,$N$2:$AS$620,MATCH('Character Creation'!$Z$12,Skills!$N$1:$AS$1,0),FALSE)</f>
        <v>0</v>
      </c>
      <c r="AJ567" s="4">
        <f>VLOOKUP($N567,[2]Cultures!$B$4:$M$283,MATCH(AJ$1,[2]Cultures!$B$3:$M$3,0),FALSE)</f>
        <v>0</v>
      </c>
      <c r="AK567" s="4">
        <f>VLOOKUP($N567,[2]Cultures!$B$4:$M$283,MATCH(AK$1,[2]Cultures!$B$3:$M$3,0),FALSE)</f>
        <v>0</v>
      </c>
      <c r="AL567" s="4">
        <f>VLOOKUP($N567,[2]Cultures!$B$4:$M$283,MATCH(AL$1,[2]Cultures!$B$3:$M$3,0),FALSE)</f>
        <v>0</v>
      </c>
      <c r="AM567" s="4">
        <f>VLOOKUP($N567,[2]Cultures!$B$4:$M$283,MATCH(AM$1,[2]Cultures!$B$3:$M$3,0),FALSE)</f>
        <v>0</v>
      </c>
      <c r="AN567" s="4">
        <f>VLOOKUP($N567,[2]Cultures!$B$4:$M$283,MATCH(AN$1,[2]Cultures!$B$3:$M$3,0),FALSE)</f>
        <v>0</v>
      </c>
      <c r="AO567" s="4">
        <f>VLOOKUP($N567,[2]Cultures!$B$4:$M$283,MATCH(AO$1,[2]Cultures!$B$3:$M$3,0),FALSE)</f>
        <v>0</v>
      </c>
      <c r="AP567" s="4">
        <f>VLOOKUP($N567,[2]Cultures!$B$4:$M$283,MATCH(AP$1,[2]Cultures!$B$3:$M$3,0),FALSE)</f>
        <v>0</v>
      </c>
      <c r="AQ567" s="4">
        <f>VLOOKUP($N567,[2]Cultures!$B$4:$M$283,MATCH(AQ$1,[2]Cultures!$B$3:$M$3,0),FALSE)</f>
        <v>0</v>
      </c>
      <c r="AR567" s="4">
        <f>VLOOKUP($N567,[2]Cultures!$B$4:$M$283,MATCH(AR$1,[2]Cultures!$B$3:$M$3,0),FALSE)</f>
        <v>0</v>
      </c>
      <c r="AS567" s="4">
        <f>VLOOKUP($N567,[2]Cultures!$B$4:$M$283,MATCH(AS$1,[2]Cultures!$B$3:$M$3,0),FALSE)</f>
        <v>0</v>
      </c>
      <c r="AT567" s="4"/>
      <c r="AU567" s="4">
        <f>IF(ISNUMBER(SEARCH(N567&amp;";",Calculations!$Q$19)),VLOOKUP(Skills!N567,Calculations!$Q$2:$T$16,4,FALSE),0)</f>
        <v>0</v>
      </c>
      <c r="AV567" s="4">
        <f>IF(ISNUMBER(SEARCH(N567&amp;";",Calculations!$Q$18)),1,0)</f>
        <v>0</v>
      </c>
      <c r="AW567" s="4">
        <f t="shared" si="294"/>
        <v>0</v>
      </c>
      <c r="AX567" s="4">
        <f>VLOOKUP($N567,$N567:$CH567,MATCH('Character Sheet'!$BJ$3,Skills!$N$1:$CH$1,0),FALSE)</f>
        <v>0</v>
      </c>
    </row>
    <row r="568" spans="2:50" x14ac:dyDescent="0.25">
      <c r="B568" s="4" t="e">
        <f t="shared" ca="1" si="287"/>
        <v>#N/A</v>
      </c>
      <c r="E568" s="4"/>
      <c r="F568" s="4">
        <f t="shared" ca="1" si="271"/>
        <v>0</v>
      </c>
      <c r="G568" s="4"/>
      <c r="H568" s="4" t="e">
        <f t="shared" si="296"/>
        <v>#N/A</v>
      </c>
      <c r="I568" s="4" t="e">
        <f>IF($J$548=1,1,IF($J$569=1,1,0))</f>
        <v>#N/A</v>
      </c>
      <c r="J568" s="4">
        <f t="shared" si="273"/>
        <v>0</v>
      </c>
      <c r="K568" s="4" t="e">
        <f t="shared" si="297"/>
        <v>#N/A</v>
      </c>
      <c r="N568" s="3" t="s">
        <v>742</v>
      </c>
      <c r="O568" s="6" t="s">
        <v>782</v>
      </c>
      <c r="P568" s="6" t="s">
        <v>782</v>
      </c>
      <c r="Q568" s="4" t="str">
        <f t="shared" si="290"/>
        <v>- -</v>
      </c>
      <c r="R568" s="4" t="str">
        <f>IF(ISNUMBER(SEARCH("Category",N568)),"- -",IF(ISNUMBER(SEARCH("Skills",N568)),"- -",'Level-up'!C586))</f>
        <v>- -</v>
      </c>
      <c r="S568" s="4" t="str">
        <f t="shared" si="274"/>
        <v>- -</v>
      </c>
      <c r="T568" s="4" t="str">
        <f t="shared" si="275"/>
        <v>- -</v>
      </c>
      <c r="U568" s="4" t="str">
        <f t="shared" ca="1" si="295"/>
        <v>- -</v>
      </c>
      <c r="V568" s="4" t="str">
        <f t="shared" si="293"/>
        <v>- -</v>
      </c>
      <c r="W568" s="4" t="str">
        <f t="shared" si="289"/>
        <v>- -</v>
      </c>
      <c r="X568" s="4" t="str">
        <f t="shared" si="288"/>
        <v>- -</v>
      </c>
      <c r="Y568" s="4" t="str">
        <f t="shared" si="276"/>
        <v>- -</v>
      </c>
      <c r="Z568" s="4" t="str">
        <f t="shared" si="277"/>
        <v>- -</v>
      </c>
      <c r="AA568" s="4" t="str">
        <f t="shared" si="278"/>
        <v>- -</v>
      </c>
      <c r="AB568" s="4" t="str">
        <f t="shared" si="279"/>
        <v>- -</v>
      </c>
      <c r="AC568" s="8"/>
      <c r="AD568" s="4"/>
      <c r="AE568" s="4"/>
      <c r="AF568" s="4" t="str">
        <f t="shared" si="280"/>
        <v>- -</v>
      </c>
      <c r="AG568" s="4"/>
      <c r="AH568" s="4">
        <f>IFERROR(VLOOKUP(M568,Calculations!$AC$2:$AD$251,2,FALSE),0)</f>
        <v>0</v>
      </c>
      <c r="AI568" s="4" t="e">
        <f>VLOOKUP(N568,$N$2:$AS$620,MATCH('Character Creation'!$Z$12,Skills!$N$1:$AS$1,0),FALSE)</f>
        <v>#N/A</v>
      </c>
      <c r="AJ568" s="4" t="e">
        <f>VLOOKUP($N568,[2]Cultures!$B$4:$M$283,MATCH(AJ$1,[2]Cultures!$B$3:$M$3,0),FALSE)</f>
        <v>#N/A</v>
      </c>
      <c r="AK568" s="4" t="e">
        <f>VLOOKUP($N568,[2]Cultures!$B$4:$M$283,MATCH(AK$1,[2]Cultures!$B$3:$M$3,0),FALSE)</f>
        <v>#N/A</v>
      </c>
      <c r="AL568" s="4" t="e">
        <f>VLOOKUP($N568,[2]Cultures!$B$4:$M$283,MATCH(AL$1,[2]Cultures!$B$3:$M$3,0),FALSE)</f>
        <v>#N/A</v>
      </c>
      <c r="AM568" s="4" t="e">
        <f>VLOOKUP($N568,[2]Cultures!$B$4:$M$283,MATCH(AM$1,[2]Cultures!$B$3:$M$3,0),FALSE)</f>
        <v>#N/A</v>
      </c>
      <c r="AN568" s="4" t="e">
        <f>VLOOKUP($N568,[2]Cultures!$B$4:$M$283,MATCH(AN$1,[2]Cultures!$B$3:$M$3,0),FALSE)</f>
        <v>#N/A</v>
      </c>
      <c r="AO568" s="4" t="e">
        <f>VLOOKUP($N568,[2]Cultures!$B$4:$M$283,MATCH(AO$1,[2]Cultures!$B$3:$M$3,0),FALSE)</f>
        <v>#N/A</v>
      </c>
      <c r="AP568" s="4" t="e">
        <f>VLOOKUP($N568,[2]Cultures!$B$4:$M$283,MATCH(AP$1,[2]Cultures!$B$3:$M$3,0),FALSE)</f>
        <v>#N/A</v>
      </c>
      <c r="AQ568" s="4" t="e">
        <f>VLOOKUP($N568,[2]Cultures!$B$4:$M$283,MATCH(AQ$1,[2]Cultures!$B$3:$M$3,0),FALSE)</f>
        <v>#N/A</v>
      </c>
      <c r="AR568" s="4" t="e">
        <f>VLOOKUP($N568,[2]Cultures!$B$4:$M$283,MATCH(AR$1,[2]Cultures!$B$3:$M$3,0),FALSE)</f>
        <v>#N/A</v>
      </c>
      <c r="AS568" s="4" t="e">
        <f>VLOOKUP($N568,[2]Cultures!$B$4:$M$283,MATCH(AS$1,[2]Cultures!$B$3:$M$3,0),FALSE)</f>
        <v>#N/A</v>
      </c>
      <c r="AT568" s="4"/>
      <c r="AU568" s="4">
        <f>IF(ISNUMBER(SEARCH(N568&amp;";",Calculations!$Q$19)),VLOOKUP(Skills!N568,Calculations!$Q$2:$T$16,4,FALSE),0)</f>
        <v>0</v>
      </c>
      <c r="AV568" s="4">
        <f>IF(ISNUMBER(SEARCH(N568&amp;";",Calculations!$Q$18)),1,0)</f>
        <v>0</v>
      </c>
      <c r="AW568" s="4"/>
      <c r="AX568" s="4">
        <f>VLOOKUP($N568,$N568:$CH568,MATCH('Character Sheet'!$BJ$3,Skills!$N$1:$CH$1,0),FALSE)</f>
        <v>0</v>
      </c>
    </row>
    <row r="569" spans="2:50" x14ac:dyDescent="0.25">
      <c r="B569" s="4" t="e">
        <f t="shared" ca="1" si="287"/>
        <v>#N/A</v>
      </c>
      <c r="E569" s="4"/>
      <c r="F569" s="4">
        <f t="shared" ca="1" si="271"/>
        <v>0</v>
      </c>
      <c r="G569" s="4"/>
      <c r="H569" s="4" t="e">
        <f t="shared" si="296"/>
        <v>#N/A</v>
      </c>
      <c r="I569" s="4">
        <v>0</v>
      </c>
      <c r="J569" s="4" t="e">
        <f t="shared" si="273"/>
        <v>#N/A</v>
      </c>
      <c r="K569" s="4" t="e">
        <f t="shared" si="297"/>
        <v>#N/A</v>
      </c>
      <c r="N569" s="3" t="s">
        <v>743</v>
      </c>
      <c r="O569" s="6" t="s">
        <v>782</v>
      </c>
      <c r="P569" s="6" t="s">
        <v>782</v>
      </c>
      <c r="Q569" s="4" t="str">
        <f t="shared" si="290"/>
        <v>- -</v>
      </c>
      <c r="R569" s="4" t="str">
        <f>IF(ISNUMBER(SEARCH("Category",N569)),"- -",IF(ISNUMBER(SEARCH("Skills",N569)),"- -",'Level-up'!C587))</f>
        <v>- -</v>
      </c>
      <c r="S569" s="4" t="str">
        <f t="shared" si="274"/>
        <v>- -</v>
      </c>
      <c r="T569" s="4" t="str">
        <f t="shared" si="275"/>
        <v>- -</v>
      </c>
      <c r="U569" s="4" t="str">
        <f t="shared" ca="1" si="295"/>
        <v>- -</v>
      </c>
      <c r="V569" s="4" t="str">
        <f t="shared" si="293"/>
        <v>- -</v>
      </c>
      <c r="W569" s="4" t="str">
        <f t="shared" si="289"/>
        <v>- -</v>
      </c>
      <c r="X569" s="4" t="str">
        <f t="shared" si="288"/>
        <v>- -</v>
      </c>
      <c r="Y569" s="4" t="str">
        <f t="shared" si="276"/>
        <v>- -</v>
      </c>
      <c r="Z569" s="4" t="str">
        <f t="shared" si="277"/>
        <v>- -</v>
      </c>
      <c r="AA569" s="4" t="str">
        <f t="shared" si="278"/>
        <v>- -</v>
      </c>
      <c r="AB569" s="4" t="str">
        <f t="shared" si="279"/>
        <v>- -</v>
      </c>
      <c r="AC569" s="8"/>
      <c r="AD569" s="4"/>
      <c r="AE569" s="4"/>
      <c r="AF569" s="4" t="str">
        <f t="shared" si="280"/>
        <v>- -</v>
      </c>
      <c r="AG569" s="4"/>
      <c r="AH569" s="4">
        <f>IFERROR(VLOOKUP(M569,Calculations!$AC$2:$AD$251,2,FALSE),0)</f>
        <v>0</v>
      </c>
      <c r="AI569" s="4" t="e">
        <f>VLOOKUP(N569,$N$2:$AS$620,MATCH('Character Creation'!$Z$12,Skills!$N$1:$AS$1,0),FALSE)</f>
        <v>#N/A</v>
      </c>
      <c r="AJ569" s="4" t="e">
        <f>VLOOKUP($N569,[2]Cultures!$B$4:$M$283,MATCH(AJ$1,[2]Cultures!$B$3:$M$3,0),FALSE)</f>
        <v>#N/A</v>
      </c>
      <c r="AK569" s="4" t="e">
        <f>VLOOKUP($N569,[2]Cultures!$B$4:$M$283,MATCH(AK$1,[2]Cultures!$B$3:$M$3,0),FALSE)</f>
        <v>#N/A</v>
      </c>
      <c r="AL569" s="4" t="e">
        <f>VLOOKUP($N569,[2]Cultures!$B$4:$M$283,MATCH(AL$1,[2]Cultures!$B$3:$M$3,0),FALSE)</f>
        <v>#N/A</v>
      </c>
      <c r="AM569" s="4" t="e">
        <f>VLOOKUP($N569,[2]Cultures!$B$4:$M$283,MATCH(AM$1,[2]Cultures!$B$3:$M$3,0),FALSE)</f>
        <v>#N/A</v>
      </c>
      <c r="AN569" s="4" t="e">
        <f>VLOOKUP($N569,[2]Cultures!$B$4:$M$283,MATCH(AN$1,[2]Cultures!$B$3:$M$3,0),FALSE)</f>
        <v>#N/A</v>
      </c>
      <c r="AO569" s="4" t="e">
        <f>VLOOKUP($N569,[2]Cultures!$B$4:$M$283,MATCH(AO$1,[2]Cultures!$B$3:$M$3,0),FALSE)</f>
        <v>#N/A</v>
      </c>
      <c r="AP569" s="4" t="e">
        <f>VLOOKUP($N569,[2]Cultures!$B$4:$M$283,MATCH(AP$1,[2]Cultures!$B$3:$M$3,0),FALSE)</f>
        <v>#N/A</v>
      </c>
      <c r="AQ569" s="4" t="e">
        <f>VLOOKUP($N569,[2]Cultures!$B$4:$M$283,MATCH(AQ$1,[2]Cultures!$B$3:$M$3,0),FALSE)</f>
        <v>#N/A</v>
      </c>
      <c r="AR569" s="4" t="e">
        <f>VLOOKUP($N569,[2]Cultures!$B$4:$M$283,MATCH(AR$1,[2]Cultures!$B$3:$M$3,0),FALSE)</f>
        <v>#N/A</v>
      </c>
      <c r="AS569" s="4" t="e">
        <f>VLOOKUP($N569,[2]Cultures!$B$4:$M$283,MATCH(AS$1,[2]Cultures!$B$3:$M$3,0),FALSE)</f>
        <v>#N/A</v>
      </c>
      <c r="AT569" s="4"/>
      <c r="AU569" s="4">
        <f>IF(ISNUMBER(SEARCH(N569&amp;";",Calculations!$Q$19)),VLOOKUP(Skills!N569,Calculations!$Q$2:$T$16,4,FALSE),0)</f>
        <v>0</v>
      </c>
      <c r="AV569" s="4">
        <f>IF(ISNUMBER(SEARCH(N569&amp;";",Calculations!$Q$18)),1,0)</f>
        <v>0</v>
      </c>
      <c r="AW569" s="4"/>
      <c r="AX569" s="4">
        <f>VLOOKUP($N569,$N569:$CH569,MATCH('Character Sheet'!$BJ$3,Skills!$N$1:$CH$1,0),FALSE)</f>
        <v>0</v>
      </c>
    </row>
    <row r="570" spans="2:50" x14ac:dyDescent="0.25">
      <c r="B570" s="4" t="e">
        <f t="shared" si="287"/>
        <v>#N/A</v>
      </c>
      <c r="E570" s="4"/>
      <c r="F570" s="4">
        <f t="shared" ca="1" si="271"/>
        <v>0</v>
      </c>
      <c r="G570" s="4"/>
      <c r="H570" s="4" t="e">
        <f t="shared" si="296"/>
        <v>#N/A</v>
      </c>
      <c r="I570" s="4" t="e">
        <f>IF($J$548=1,1,IF($J$569=1,1,0))</f>
        <v>#N/A</v>
      </c>
      <c r="J570" s="4">
        <f t="shared" si="273"/>
        <v>0</v>
      </c>
      <c r="K570" s="4" t="e">
        <f t="shared" si="297"/>
        <v>#N/A</v>
      </c>
      <c r="M570" t="str">
        <f>"Repair, "&amp;N570</f>
        <v>Repair, Leather Armour</v>
      </c>
      <c r="N570" s="3" t="str">
        <f>'Character Sheet'!DDB25</f>
        <v>Leather Armour</v>
      </c>
      <c r="O570" s="4" t="s">
        <v>783</v>
      </c>
      <c r="P570" s="4" t="s">
        <v>801</v>
      </c>
      <c r="Q570" s="4" t="e">
        <f t="shared" si="290"/>
        <v>#N/A</v>
      </c>
      <c r="R570" s="4">
        <f>IF(ISNUMBER(SEARCH("Category",N570)),"- -",IF(ISNUMBER(SEARCH("Skills",N570)),"- -",'Level-up'!C588))</f>
        <v>0</v>
      </c>
      <c r="S570" s="4" t="e">
        <f t="shared" si="274"/>
        <v>#N/A</v>
      </c>
      <c r="T570" s="4" t="e">
        <f t="shared" si="275"/>
        <v>#N/A</v>
      </c>
      <c r="U570" s="4">
        <f t="shared" ca="1" si="295"/>
        <v>5</v>
      </c>
      <c r="V570" s="4">
        <f>IF(ISNUMBER(SEARCH("Category",N570)),"- -",IF(ISNUMBER(SEARCH("Skills",N570)),"- -",IF(AU570&gt;0,AU570,IF($AU$568&gt;0,$AU$568,$AU$547))))</f>
        <v>0</v>
      </c>
      <c r="W570" s="4">
        <f t="shared" si="289"/>
        <v>0</v>
      </c>
      <c r="X570" s="4">
        <f t="shared" si="288"/>
        <v>0</v>
      </c>
      <c r="Y570" s="4">
        <f t="shared" si="276"/>
        <v>0</v>
      </c>
      <c r="Z570" s="4">
        <f t="shared" si="277"/>
        <v>0</v>
      </c>
      <c r="AA570" s="4">
        <f t="shared" si="278"/>
        <v>0</v>
      </c>
      <c r="AB570" s="4">
        <f t="shared" si="279"/>
        <v>0</v>
      </c>
      <c r="AC570" s="8"/>
      <c r="AD570" s="4"/>
      <c r="AE570" s="4"/>
      <c r="AF570" s="4" t="e">
        <f t="shared" si="280"/>
        <v>#N/A</v>
      </c>
      <c r="AG570" s="4"/>
      <c r="AH570" s="4">
        <f>IFERROR(VLOOKUP(M570,Calculations!$AC$2:$AD$251,2,FALSE),0)</f>
        <v>0</v>
      </c>
      <c r="AI570" s="4" t="e">
        <f>VLOOKUP(N570,$N$2:$AS$620,MATCH('Character Creation'!$Z$12,Skills!$N$1:$AS$1,0),FALSE)</f>
        <v>#N/A</v>
      </c>
      <c r="AJ570" s="4" t="e">
        <f>VLOOKUP($N570,[2]Cultures!$B$4:$M$283,MATCH(AJ$1,[2]Cultures!$B$3:$M$3,0),FALSE)</f>
        <v>#N/A</v>
      </c>
      <c r="AK570" s="4" t="e">
        <f>VLOOKUP($N570,[2]Cultures!$B$4:$M$283,MATCH(AK$1,[2]Cultures!$B$3:$M$3,0),FALSE)</f>
        <v>#N/A</v>
      </c>
      <c r="AL570" s="4" t="e">
        <f>VLOOKUP($N570,[2]Cultures!$B$4:$M$283,MATCH(AL$1,[2]Cultures!$B$3:$M$3,0),FALSE)</f>
        <v>#N/A</v>
      </c>
      <c r="AM570" s="4" t="e">
        <f>VLOOKUP($N570,[2]Cultures!$B$4:$M$283,MATCH(AM$1,[2]Cultures!$B$3:$M$3,0),FALSE)</f>
        <v>#N/A</v>
      </c>
      <c r="AN570" s="4" t="e">
        <f>VLOOKUP($N570,[2]Cultures!$B$4:$M$283,MATCH(AN$1,[2]Cultures!$B$3:$M$3,0),FALSE)</f>
        <v>#N/A</v>
      </c>
      <c r="AO570" s="4" t="e">
        <f>VLOOKUP($N570,[2]Cultures!$B$4:$M$283,MATCH(AO$1,[2]Cultures!$B$3:$M$3,0),FALSE)</f>
        <v>#N/A</v>
      </c>
      <c r="AP570" s="4" t="e">
        <f>VLOOKUP($N570,[2]Cultures!$B$4:$M$283,MATCH(AP$1,[2]Cultures!$B$3:$M$3,0),FALSE)</f>
        <v>#N/A</v>
      </c>
      <c r="AQ570" s="4" t="e">
        <f>VLOOKUP($N570,[2]Cultures!$B$4:$M$283,MATCH(AQ$1,[2]Cultures!$B$3:$M$3,0),FALSE)</f>
        <v>#N/A</v>
      </c>
      <c r="AR570" s="4" t="e">
        <f>VLOOKUP($N570,[2]Cultures!$B$4:$M$283,MATCH(AR$1,[2]Cultures!$B$3:$M$3,0),FALSE)</f>
        <v>#N/A</v>
      </c>
      <c r="AS570" s="4" t="e">
        <f>VLOOKUP($N570,[2]Cultures!$B$4:$M$283,MATCH(AS$1,[2]Cultures!$B$3:$M$3,0),FALSE)</f>
        <v>#N/A</v>
      </c>
      <c r="AT570" s="4"/>
      <c r="AU570" s="4">
        <f>IF(ISNUMBER(SEARCH(N570&amp;";",Calculations!$Q$19)),VLOOKUP(Skills!N570,Calculations!$Q$2:$T$16,4,FALSE),0)</f>
        <v>0</v>
      </c>
      <c r="AV570" s="4">
        <f>IF(ISNUMBER(SEARCH(N570&amp;";",Calculations!$Q$18)),1,0)</f>
        <v>0</v>
      </c>
      <c r="AW570" s="4">
        <f>IF($AV$547=1,1,IF($AV$568=1,1,AV570))</f>
        <v>0</v>
      </c>
      <c r="AX570" s="4">
        <f>VLOOKUP($N570,$N570:$CH570,MATCH('Character Sheet'!$BJ$3,Skills!$N$1:$CH$1,0),FALSE)</f>
        <v>0</v>
      </c>
    </row>
    <row r="571" spans="2:50" x14ac:dyDescent="0.25">
      <c r="B571" s="4" t="e">
        <f t="shared" si="287"/>
        <v>#N/A</v>
      </c>
      <c r="E571" s="4"/>
      <c r="F571" s="4">
        <f t="shared" ca="1" si="271"/>
        <v>0</v>
      </c>
      <c r="G571" s="4"/>
      <c r="H571" s="4" t="e">
        <f t="shared" si="296"/>
        <v>#N/A</v>
      </c>
      <c r="I571" s="4" t="e">
        <f>IF($J$548=1,1,IF($J$569=1,1,0))</f>
        <v>#N/A</v>
      </c>
      <c r="J571" s="4">
        <f t="shared" si="273"/>
        <v>0</v>
      </c>
      <c r="K571" s="4" t="e">
        <f t="shared" si="297"/>
        <v>#N/A</v>
      </c>
      <c r="M571" t="str">
        <f>"Repair, "&amp;N571</f>
        <v>Repair, Metal Armour</v>
      </c>
      <c r="N571" s="3" t="str">
        <f>'Character Sheet'!DDB26</f>
        <v>Metal Armour</v>
      </c>
      <c r="O571" s="4" t="s">
        <v>783</v>
      </c>
      <c r="P571" s="4" t="s">
        <v>801</v>
      </c>
      <c r="Q571" s="4" t="e">
        <f t="shared" si="290"/>
        <v>#N/A</v>
      </c>
      <c r="R571" s="4">
        <f>IF(ISNUMBER(SEARCH("Category",N571)),"- -",IF(ISNUMBER(SEARCH("Skills",N571)),"- -",'Level-up'!C589))</f>
        <v>0</v>
      </c>
      <c r="S571" s="4" t="e">
        <f t="shared" si="274"/>
        <v>#N/A</v>
      </c>
      <c r="T571" s="4" t="e">
        <f t="shared" si="275"/>
        <v>#N/A</v>
      </c>
      <c r="U571" s="4">
        <f t="shared" ca="1" si="295"/>
        <v>5</v>
      </c>
      <c r="V571" s="4">
        <f>IF(ISNUMBER(SEARCH("Category",N571)),"- -",IF(ISNUMBER(SEARCH("Skills",N571)),"- -",IF(AU571&gt;0,AU571,IF($AU$568&gt;0,$AU$568,$AU$547))))</f>
        <v>0</v>
      </c>
      <c r="W571" s="4">
        <f t="shared" si="289"/>
        <v>0</v>
      </c>
      <c r="X571" s="4">
        <f t="shared" si="288"/>
        <v>0</v>
      </c>
      <c r="Y571" s="4">
        <f t="shared" si="276"/>
        <v>0</v>
      </c>
      <c r="Z571" s="4">
        <f t="shared" si="277"/>
        <v>0</v>
      </c>
      <c r="AA571" s="4">
        <f t="shared" si="278"/>
        <v>0</v>
      </c>
      <c r="AB571" s="4">
        <f t="shared" si="279"/>
        <v>0</v>
      </c>
      <c r="AC571" s="8"/>
      <c r="AD571" s="4"/>
      <c r="AE571" s="4"/>
      <c r="AF571" s="4" t="e">
        <f t="shared" si="280"/>
        <v>#N/A</v>
      </c>
      <c r="AG571" s="4"/>
      <c r="AH571" s="4">
        <f>IFERROR(VLOOKUP(M571,Calculations!$AC$2:$AD$251,2,FALSE),0)</f>
        <v>0</v>
      </c>
      <c r="AI571" s="4" t="e">
        <f>VLOOKUP(N571,$N$2:$AS$620,MATCH('Character Creation'!$Z$12,Skills!$N$1:$AS$1,0),FALSE)</f>
        <v>#N/A</v>
      </c>
      <c r="AJ571" s="4" t="e">
        <f>VLOOKUP($N571,[2]Cultures!$B$4:$M$283,MATCH(AJ$1,[2]Cultures!$B$3:$M$3,0),FALSE)</f>
        <v>#N/A</v>
      </c>
      <c r="AK571" s="4" t="e">
        <f>VLOOKUP($N571,[2]Cultures!$B$4:$M$283,MATCH(AK$1,[2]Cultures!$B$3:$M$3,0),FALSE)</f>
        <v>#N/A</v>
      </c>
      <c r="AL571" s="4" t="e">
        <f>VLOOKUP($N571,[2]Cultures!$B$4:$M$283,MATCH(AL$1,[2]Cultures!$B$3:$M$3,0),FALSE)</f>
        <v>#N/A</v>
      </c>
      <c r="AM571" s="4" t="e">
        <f>VLOOKUP($N571,[2]Cultures!$B$4:$M$283,MATCH(AM$1,[2]Cultures!$B$3:$M$3,0),FALSE)</f>
        <v>#N/A</v>
      </c>
      <c r="AN571" s="4" t="e">
        <f>VLOOKUP($N571,[2]Cultures!$B$4:$M$283,MATCH(AN$1,[2]Cultures!$B$3:$M$3,0),FALSE)</f>
        <v>#N/A</v>
      </c>
      <c r="AO571" s="4" t="e">
        <f>VLOOKUP($N571,[2]Cultures!$B$4:$M$283,MATCH(AO$1,[2]Cultures!$B$3:$M$3,0),FALSE)</f>
        <v>#N/A</v>
      </c>
      <c r="AP571" s="4" t="e">
        <f>VLOOKUP($N571,[2]Cultures!$B$4:$M$283,MATCH(AP$1,[2]Cultures!$B$3:$M$3,0),FALSE)</f>
        <v>#N/A</v>
      </c>
      <c r="AQ571" s="4" t="e">
        <f>VLOOKUP($N571,[2]Cultures!$B$4:$M$283,MATCH(AQ$1,[2]Cultures!$B$3:$M$3,0),FALSE)</f>
        <v>#N/A</v>
      </c>
      <c r="AR571" s="4" t="e">
        <f>VLOOKUP($N571,[2]Cultures!$B$4:$M$283,MATCH(AR$1,[2]Cultures!$B$3:$M$3,0),FALSE)</f>
        <v>#N/A</v>
      </c>
      <c r="AS571" s="4" t="e">
        <f>VLOOKUP($N571,[2]Cultures!$B$4:$M$283,MATCH(AS$1,[2]Cultures!$B$3:$M$3,0),FALSE)</f>
        <v>#N/A</v>
      </c>
      <c r="AT571" s="4"/>
      <c r="AU571" s="4">
        <f>IF(ISNUMBER(SEARCH(N571&amp;";",Calculations!$Q$19)),VLOOKUP(Skills!N571,Calculations!$Q$2:$T$16,4,FALSE),0)</f>
        <v>0</v>
      </c>
      <c r="AV571" s="4">
        <f>IF(ISNUMBER(SEARCH(N571&amp;";",Calculations!$Q$18)),1,0)</f>
        <v>0</v>
      </c>
      <c r="AW571" s="4">
        <f>IF($AV$547=1,1,IF($AV$568=1,1,AV571))</f>
        <v>0</v>
      </c>
      <c r="AX571" s="4">
        <f>VLOOKUP($N571,$N571:$CH571,MATCH('Character Sheet'!$BJ$3,Skills!$N$1:$CH$1,0),FALSE)</f>
        <v>0</v>
      </c>
    </row>
    <row r="572" spans="2:50" x14ac:dyDescent="0.25">
      <c r="B572" s="4" t="e">
        <f t="shared" si="287"/>
        <v>#N/A</v>
      </c>
      <c r="E572" s="4"/>
      <c r="F572" s="4">
        <f t="shared" ca="1" si="271"/>
        <v>0</v>
      </c>
      <c r="G572" s="4"/>
      <c r="H572" s="4" t="e">
        <f t="shared" si="296"/>
        <v>#N/A</v>
      </c>
      <c r="I572" s="4" t="e">
        <f>IF($J$548=1,1,IF($J$573=1,1,0))</f>
        <v>#N/A</v>
      </c>
      <c r="J572" s="4">
        <f t="shared" si="273"/>
        <v>0</v>
      </c>
      <c r="K572" s="4" t="e">
        <f t="shared" si="297"/>
        <v>#N/A</v>
      </c>
      <c r="N572" s="3" t="s">
        <v>744</v>
      </c>
      <c r="O572" s="6" t="s">
        <v>782</v>
      </c>
      <c r="P572" s="6" t="s">
        <v>782</v>
      </c>
      <c r="Q572" s="4" t="str">
        <f t="shared" si="290"/>
        <v>- -</v>
      </c>
      <c r="R572" s="4" t="str">
        <f>IF(ISNUMBER(SEARCH("Category",N572)),"- -",IF(ISNUMBER(SEARCH("Skills",N572)),"- -",'Level-up'!C590))</f>
        <v>- -</v>
      </c>
      <c r="S572" s="4" t="str">
        <f t="shared" si="274"/>
        <v>- -</v>
      </c>
      <c r="T572" s="4" t="str">
        <f t="shared" si="275"/>
        <v>- -</v>
      </c>
      <c r="U572" s="4" t="str">
        <f t="shared" ca="1" si="295"/>
        <v>- -</v>
      </c>
      <c r="V572" s="4" t="str">
        <f>IF(ISNUMBER(SEARCH("Category",N572)),"- -",IF(ISNUMBER(SEARCH("Skills",N572)),"- -",IF(AU572&gt;0,AU572,IF($AU$568&gt;0,$AU$568,$AU$547))))</f>
        <v>- -</v>
      </c>
      <c r="W572" s="4" t="str">
        <f t="shared" si="289"/>
        <v>- -</v>
      </c>
      <c r="X572" s="4" t="str">
        <f t="shared" si="288"/>
        <v>- -</v>
      </c>
      <c r="Y572" s="4" t="str">
        <f t="shared" si="276"/>
        <v>- -</v>
      </c>
      <c r="Z572" s="4" t="str">
        <f t="shared" si="277"/>
        <v>- -</v>
      </c>
      <c r="AA572" s="4" t="str">
        <f t="shared" si="278"/>
        <v>- -</v>
      </c>
      <c r="AB572" s="4" t="str">
        <f t="shared" si="279"/>
        <v>- -</v>
      </c>
      <c r="AC572" s="8"/>
      <c r="AD572" s="4"/>
      <c r="AE572" s="4"/>
      <c r="AF572" s="4" t="str">
        <f t="shared" si="280"/>
        <v>- -</v>
      </c>
      <c r="AG572" s="4"/>
      <c r="AH572" s="4">
        <f>IFERROR(VLOOKUP(M572,Calculations!$AC$2:$AD$251,2,FALSE),0)</f>
        <v>0</v>
      </c>
      <c r="AI572" s="4" t="e">
        <f>VLOOKUP(N572,$N$2:$AS$620,MATCH('Character Creation'!$Z$12,Skills!$N$1:$AS$1,0),FALSE)</f>
        <v>#N/A</v>
      </c>
      <c r="AJ572" s="4" t="e">
        <f>VLOOKUP($N572,[2]Cultures!$B$4:$M$283,MATCH(AJ$1,[2]Cultures!$B$3:$M$3,0),FALSE)</f>
        <v>#N/A</v>
      </c>
      <c r="AK572" s="4" t="e">
        <f>VLOOKUP($N572,[2]Cultures!$B$4:$M$283,MATCH(AK$1,[2]Cultures!$B$3:$M$3,0),FALSE)</f>
        <v>#N/A</v>
      </c>
      <c r="AL572" s="4" t="e">
        <f>VLOOKUP($N572,[2]Cultures!$B$4:$M$283,MATCH(AL$1,[2]Cultures!$B$3:$M$3,0),FALSE)</f>
        <v>#N/A</v>
      </c>
      <c r="AM572" s="4" t="e">
        <f>VLOOKUP($N572,[2]Cultures!$B$4:$M$283,MATCH(AM$1,[2]Cultures!$B$3:$M$3,0),FALSE)</f>
        <v>#N/A</v>
      </c>
      <c r="AN572" s="4" t="e">
        <f>VLOOKUP($N572,[2]Cultures!$B$4:$M$283,MATCH(AN$1,[2]Cultures!$B$3:$M$3,0),FALSE)</f>
        <v>#N/A</v>
      </c>
      <c r="AO572" s="4" t="e">
        <f>VLOOKUP($N572,[2]Cultures!$B$4:$M$283,MATCH(AO$1,[2]Cultures!$B$3:$M$3,0),FALSE)</f>
        <v>#N/A</v>
      </c>
      <c r="AP572" s="4" t="e">
        <f>VLOOKUP($N572,[2]Cultures!$B$4:$M$283,MATCH(AP$1,[2]Cultures!$B$3:$M$3,0),FALSE)</f>
        <v>#N/A</v>
      </c>
      <c r="AQ572" s="4" t="e">
        <f>VLOOKUP($N572,[2]Cultures!$B$4:$M$283,MATCH(AQ$1,[2]Cultures!$B$3:$M$3,0),FALSE)</f>
        <v>#N/A</v>
      </c>
      <c r="AR572" s="4" t="e">
        <f>VLOOKUP($N572,[2]Cultures!$B$4:$M$283,MATCH(AR$1,[2]Cultures!$B$3:$M$3,0),FALSE)</f>
        <v>#N/A</v>
      </c>
      <c r="AS572" s="4" t="e">
        <f>VLOOKUP($N572,[2]Cultures!$B$4:$M$283,MATCH(AS$1,[2]Cultures!$B$3:$M$3,0),FALSE)</f>
        <v>#N/A</v>
      </c>
      <c r="AT572" s="4"/>
      <c r="AU572" s="4">
        <f>IF(ISNUMBER(SEARCH(N572&amp;";",Calculations!$Q$19)),VLOOKUP(Skills!N572,Calculations!$Q$2:$T$16,4,FALSE),0)</f>
        <v>0</v>
      </c>
      <c r="AV572" s="4">
        <f>IF(ISNUMBER(SEARCH(N572&amp;";",Calculations!$Q$18)),1,0)</f>
        <v>0</v>
      </c>
      <c r="AW572" s="4"/>
      <c r="AX572" s="4">
        <f>VLOOKUP($N572,$N572:$CH572,MATCH('Character Sheet'!$BJ$3,Skills!$N$1:$CH$1,0),FALSE)</f>
        <v>0</v>
      </c>
    </row>
    <row r="573" spans="2:50" x14ac:dyDescent="0.25">
      <c r="B573" s="4" t="e">
        <f t="shared" si="287"/>
        <v>#N/A</v>
      </c>
      <c r="E573" s="4"/>
      <c r="F573" s="4">
        <f t="shared" ca="1" si="271"/>
        <v>0</v>
      </c>
      <c r="G573" s="4"/>
      <c r="H573" s="4" t="e">
        <f t="shared" si="296"/>
        <v>#N/A</v>
      </c>
      <c r="I573" s="4">
        <v>0</v>
      </c>
      <c r="J573" s="4" t="e">
        <f t="shared" si="273"/>
        <v>#N/A</v>
      </c>
      <c r="K573" s="4" t="e">
        <f t="shared" si="297"/>
        <v>#N/A</v>
      </c>
      <c r="N573" s="3" t="s">
        <v>745</v>
      </c>
      <c r="O573" s="6" t="s">
        <v>782</v>
      </c>
      <c r="P573" s="6" t="s">
        <v>782</v>
      </c>
      <c r="Q573" s="4" t="str">
        <f t="shared" si="290"/>
        <v>- -</v>
      </c>
      <c r="R573" s="4" t="str">
        <f>IF(ISNUMBER(SEARCH("Category",N573)),"- -",IF(ISNUMBER(SEARCH("Skills",N573)),"- -",'Level-up'!C591))</f>
        <v>- -</v>
      </c>
      <c r="S573" s="4" t="str">
        <f t="shared" si="274"/>
        <v>- -</v>
      </c>
      <c r="T573" s="4" t="str">
        <f t="shared" si="275"/>
        <v>- -</v>
      </c>
      <c r="U573" s="4" t="str">
        <f t="shared" ca="1" si="295"/>
        <v>- -</v>
      </c>
      <c r="V573" s="4" t="str">
        <f>IF(ISNUMBER(SEARCH("Category",N573)),"- -",IF(ISNUMBER(SEARCH("Skills",N573)),"- -",IF(AU573&gt;0,AU573,IF($AU$568&gt;0,$AU$568,$AU$547))))</f>
        <v>- -</v>
      </c>
      <c r="W573" s="4" t="str">
        <f t="shared" si="289"/>
        <v>- -</v>
      </c>
      <c r="X573" s="4" t="str">
        <f t="shared" si="288"/>
        <v>- -</v>
      </c>
      <c r="Y573" s="4" t="str">
        <f t="shared" si="276"/>
        <v>- -</v>
      </c>
      <c r="Z573" s="4" t="str">
        <f t="shared" si="277"/>
        <v>- -</v>
      </c>
      <c r="AA573" s="4" t="str">
        <f t="shared" si="278"/>
        <v>- -</v>
      </c>
      <c r="AB573" s="4" t="str">
        <f t="shared" si="279"/>
        <v>- -</v>
      </c>
      <c r="AC573" s="8"/>
      <c r="AD573" s="4"/>
      <c r="AE573" s="4"/>
      <c r="AF573" s="4" t="str">
        <f t="shared" si="280"/>
        <v>- -</v>
      </c>
      <c r="AG573" s="4"/>
      <c r="AH573" s="4">
        <f>IFERROR(VLOOKUP(M573,Calculations!$AC$2:$AD$251,2,FALSE),0)</f>
        <v>0</v>
      </c>
      <c r="AI573" s="4" t="e">
        <f>VLOOKUP(N573,$N$2:$AS$620,MATCH('Character Creation'!$Z$12,Skills!$N$1:$AS$1,0),FALSE)</f>
        <v>#N/A</v>
      </c>
      <c r="AJ573" s="4" t="e">
        <f>VLOOKUP($N573,[2]Cultures!$B$4:$M$283,MATCH(AJ$1,[2]Cultures!$B$3:$M$3,0),FALSE)</f>
        <v>#N/A</v>
      </c>
      <c r="AK573" s="4" t="e">
        <f>VLOOKUP($N573,[2]Cultures!$B$4:$M$283,MATCH(AK$1,[2]Cultures!$B$3:$M$3,0),FALSE)</f>
        <v>#N/A</v>
      </c>
      <c r="AL573" s="4" t="e">
        <f>VLOOKUP($N573,[2]Cultures!$B$4:$M$283,MATCH(AL$1,[2]Cultures!$B$3:$M$3,0),FALSE)</f>
        <v>#N/A</v>
      </c>
      <c r="AM573" s="4" t="e">
        <f>VLOOKUP($N573,[2]Cultures!$B$4:$M$283,MATCH(AM$1,[2]Cultures!$B$3:$M$3,0),FALSE)</f>
        <v>#N/A</v>
      </c>
      <c r="AN573" s="4" t="e">
        <f>VLOOKUP($N573,[2]Cultures!$B$4:$M$283,MATCH(AN$1,[2]Cultures!$B$3:$M$3,0),FALSE)</f>
        <v>#N/A</v>
      </c>
      <c r="AO573" s="4" t="e">
        <f>VLOOKUP($N573,[2]Cultures!$B$4:$M$283,MATCH(AO$1,[2]Cultures!$B$3:$M$3,0),FALSE)</f>
        <v>#N/A</v>
      </c>
      <c r="AP573" s="4" t="e">
        <f>VLOOKUP($N573,[2]Cultures!$B$4:$M$283,MATCH(AP$1,[2]Cultures!$B$3:$M$3,0),FALSE)</f>
        <v>#N/A</v>
      </c>
      <c r="AQ573" s="4" t="e">
        <f>VLOOKUP($N573,[2]Cultures!$B$4:$M$283,MATCH(AQ$1,[2]Cultures!$B$3:$M$3,0),FALSE)</f>
        <v>#N/A</v>
      </c>
      <c r="AR573" s="4" t="e">
        <f>VLOOKUP($N573,[2]Cultures!$B$4:$M$283,MATCH(AR$1,[2]Cultures!$B$3:$M$3,0),FALSE)</f>
        <v>#N/A</v>
      </c>
      <c r="AS573" s="4" t="e">
        <f>VLOOKUP($N573,[2]Cultures!$B$4:$M$283,MATCH(AS$1,[2]Cultures!$B$3:$M$3,0),FALSE)</f>
        <v>#N/A</v>
      </c>
      <c r="AT573" s="4"/>
      <c r="AU573" s="4">
        <f>IF(ISNUMBER(SEARCH(N573&amp;";",Calculations!$Q$19)),VLOOKUP(Skills!N573,Calculations!$Q$2:$T$16,4,FALSE),0)</f>
        <v>0</v>
      </c>
      <c r="AV573" s="4">
        <f>IF(ISNUMBER(SEARCH(N573&amp;";",Calculations!$Q$18)),1,0)</f>
        <v>0</v>
      </c>
      <c r="AW573" s="4"/>
      <c r="AX573" s="4">
        <f>VLOOKUP($N573,$N573:$CH573,MATCH('Character Sheet'!$BJ$3,Skills!$N$1:$CH$1,0),FALSE)</f>
        <v>0</v>
      </c>
    </row>
    <row r="574" spans="2:50" x14ac:dyDescent="0.25">
      <c r="B574" s="4" t="e">
        <f t="shared" ca="1" si="287"/>
        <v>#N/A</v>
      </c>
      <c r="E574" s="4"/>
      <c r="F574" s="4">
        <f t="shared" ca="1" si="271"/>
        <v>0</v>
      </c>
      <c r="G574" s="4"/>
      <c r="H574" s="4" t="e">
        <f t="shared" si="296"/>
        <v>#N/A</v>
      </c>
      <c r="I574" s="4" t="e">
        <f>IF($J$548=1,1,IF($J$573=1,1,0))</f>
        <v>#N/A</v>
      </c>
      <c r="J574" s="4">
        <f t="shared" si="273"/>
        <v>0</v>
      </c>
      <c r="K574" s="4" t="e">
        <f t="shared" ca="1" si="297"/>
        <v>#N/A</v>
      </c>
      <c r="M574" t="str">
        <f>N574</f>
        <v>Counterfeiting Technics</v>
      </c>
      <c r="N574" s="3" t="str">
        <f>'Character Sheet'!DDB30</f>
        <v>Counterfeiting Technics</v>
      </c>
      <c r="O574" s="4" t="s">
        <v>783</v>
      </c>
      <c r="P574" s="4" t="s">
        <v>801</v>
      </c>
      <c r="Q574" s="4" t="e">
        <f t="shared" ca="1" si="290"/>
        <v>#N/A</v>
      </c>
      <c r="R574" s="4">
        <f>IF(ISNUMBER(SEARCH("Category",N574)),"- -",IF(ISNUMBER(SEARCH("Skills",N574)),"- -",'Level-up'!C592))</f>
        <v>0</v>
      </c>
      <c r="S574" s="4" t="e">
        <f t="shared" ca="1" si="274"/>
        <v>#N/A</v>
      </c>
      <c r="T574" s="4" t="e">
        <f t="shared" ca="1" si="275"/>
        <v>#N/A</v>
      </c>
      <c r="U574" s="4">
        <f t="shared" ca="1" si="295"/>
        <v>5</v>
      </c>
      <c r="V574" s="4">
        <f>IF(ISNUMBER(SEARCH("Category",N574)),"- -",IF(ISNUMBER(SEARCH("Skills",N574)),"- -",IF(AU574&gt;0,AU574,IF($AU$572&gt;0,$AU$572,$AU$547))))</f>
        <v>0</v>
      </c>
      <c r="W574" s="4">
        <f t="shared" si="289"/>
        <v>0</v>
      </c>
      <c r="X574" s="4">
        <f t="shared" si="288"/>
        <v>0</v>
      </c>
      <c r="Y574" s="4">
        <f t="shared" si="276"/>
        <v>0</v>
      </c>
      <c r="Z574" s="4">
        <f t="shared" si="277"/>
        <v>0</v>
      </c>
      <c r="AA574" s="4">
        <f t="shared" si="278"/>
        <v>0</v>
      </c>
      <c r="AB574" s="4">
        <f t="shared" si="279"/>
        <v>0</v>
      </c>
      <c r="AC574" s="8"/>
      <c r="AD574" s="4"/>
      <c r="AE574" s="4"/>
      <c r="AF574" s="4" t="e">
        <f t="shared" ca="1" si="280"/>
        <v>#N/A</v>
      </c>
      <c r="AG574" s="4"/>
      <c r="AH574" s="4">
        <f>IFERROR(VLOOKUP(M574,Calculations!$AC$2:$AD$251,2,FALSE),0)</f>
        <v>0</v>
      </c>
      <c r="AI574" s="4" t="e">
        <f ca="1">VLOOKUP(N574,$N$2:$AS$620,MATCH('Character Creation'!$Z$12,Skills!$N$1:$AS$1,0),FALSE)</f>
        <v>#N/A</v>
      </c>
      <c r="AJ574" s="4" t="e">
        <f>VLOOKUP($N574,[2]Cultures!$B$4:$M$283,MATCH(AJ$1,[2]Cultures!$B$3:$M$3,0),FALSE)</f>
        <v>#N/A</v>
      </c>
      <c r="AK574" s="4" t="e">
        <f>VLOOKUP($N574,[2]Cultures!$B$4:$M$283,MATCH(AK$1,[2]Cultures!$B$3:$M$3,0),FALSE)</f>
        <v>#N/A</v>
      </c>
      <c r="AL574" s="4" t="e">
        <f>VLOOKUP($N574,[2]Cultures!$B$4:$M$283,MATCH(AL$1,[2]Cultures!$B$3:$M$3,0),FALSE)</f>
        <v>#N/A</v>
      </c>
      <c r="AM574" s="4" t="e">
        <f>VLOOKUP($N574,[2]Cultures!$B$4:$M$283,MATCH(AM$1,[2]Cultures!$B$3:$M$3,0),FALSE)</f>
        <v>#N/A</v>
      </c>
      <c r="AN574" s="4" t="e">
        <f>VLOOKUP($N574,[2]Cultures!$B$4:$M$283,MATCH(AN$1,[2]Cultures!$B$3:$M$3,0),FALSE)</f>
        <v>#N/A</v>
      </c>
      <c r="AO574" s="4" t="e">
        <f>VLOOKUP($N574,[2]Cultures!$B$4:$M$283,MATCH(AO$1,[2]Cultures!$B$3:$M$3,0),FALSE)</f>
        <v>#N/A</v>
      </c>
      <c r="AP574" s="4" t="e">
        <f>VLOOKUP($N574,[2]Cultures!$B$4:$M$283,MATCH(AP$1,[2]Cultures!$B$3:$M$3,0),FALSE)</f>
        <v>#N/A</v>
      </c>
      <c r="AQ574" s="4" t="e">
        <f>VLOOKUP($N574,[2]Cultures!$B$4:$M$283,MATCH(AQ$1,[2]Cultures!$B$3:$M$3,0),FALSE)</f>
        <v>#N/A</v>
      </c>
      <c r="AR574" s="4" t="e">
        <f>VLOOKUP($N574,[2]Cultures!$B$4:$M$283,MATCH(AR$1,[2]Cultures!$B$3:$M$3,0),FALSE)</f>
        <v>#N/A</v>
      </c>
      <c r="AS574" s="4" t="e">
        <f>VLOOKUP($N574,[2]Cultures!$B$4:$M$283,MATCH(AS$1,[2]Cultures!$B$3:$M$3,0),FALSE)</f>
        <v>#N/A</v>
      </c>
      <c r="AT574" s="4"/>
      <c r="AU574" s="4">
        <f>IF(ISNUMBER(SEARCH(N574&amp;";",Calculations!$Q$19)),VLOOKUP(Skills!N574,Calculations!$Q$2:$T$16,4,FALSE),0)</f>
        <v>0</v>
      </c>
      <c r="AV574" s="4">
        <f>IF(ISNUMBER(SEARCH(N574&amp;";",Calculations!$Q$18)),1,0)</f>
        <v>0</v>
      </c>
      <c r="AW574" s="4">
        <f>IF($AV$547=1,1,IF($AV$572=1,1,AV574))</f>
        <v>0</v>
      </c>
      <c r="AX574" s="4">
        <f>VLOOKUP($N574,$N574:$CH574,MATCH('Character Sheet'!$BJ$3,Skills!$N$1:$CH$1,0),FALSE)</f>
        <v>0</v>
      </c>
    </row>
    <row r="575" spans="2:50" x14ac:dyDescent="0.25">
      <c r="B575" s="4" t="e">
        <f t="shared" ca="1" si="287"/>
        <v>#N/A</v>
      </c>
      <c r="E575" s="4"/>
      <c r="F575" s="4">
        <f t="shared" ca="1" si="271"/>
        <v>0</v>
      </c>
      <c r="G575" s="4"/>
      <c r="H575" s="4" t="e">
        <f t="shared" si="296"/>
        <v>#N/A</v>
      </c>
      <c r="I575" s="4" t="e">
        <f>IF($J$548=1,1,IF($J$573=1,1,0))</f>
        <v>#N/A</v>
      </c>
      <c r="J575" s="4">
        <f t="shared" si="273"/>
        <v>0</v>
      </c>
      <c r="K575" s="4" t="e">
        <f t="shared" ca="1" si="297"/>
        <v>#N/A</v>
      </c>
      <c r="M575" t="str">
        <f>N575</f>
        <v>Forgery Technics</v>
      </c>
      <c r="N575" s="3" t="str">
        <f>'Character Sheet'!DDB31</f>
        <v>Forgery Technics</v>
      </c>
      <c r="O575" s="4" t="s">
        <v>783</v>
      </c>
      <c r="P575" s="4" t="s">
        <v>801</v>
      </c>
      <c r="Q575" s="4" t="e">
        <f t="shared" ca="1" si="290"/>
        <v>#N/A</v>
      </c>
      <c r="R575" s="4">
        <f>IF(ISNUMBER(SEARCH("Category",N575)),"- -",IF(ISNUMBER(SEARCH("Skills",N575)),"- -",'Level-up'!C593))</f>
        <v>0</v>
      </c>
      <c r="S575" s="4" t="e">
        <f t="shared" ca="1" si="274"/>
        <v>#N/A</v>
      </c>
      <c r="T575" s="4" t="e">
        <f t="shared" ca="1" si="275"/>
        <v>#N/A</v>
      </c>
      <c r="U575" s="4">
        <f t="shared" ca="1" si="295"/>
        <v>5</v>
      </c>
      <c r="V575" s="4">
        <f>IF(ISNUMBER(SEARCH("Category",N575)),"- -",IF(ISNUMBER(SEARCH("Skills",N575)),"- -",IF(AU575&gt;0,AU575,IF($AU$572&gt;0,$AU$572,$AU$547))))</f>
        <v>0</v>
      </c>
      <c r="W575" s="4">
        <f t="shared" si="289"/>
        <v>0</v>
      </c>
      <c r="X575" s="4">
        <f t="shared" si="288"/>
        <v>0</v>
      </c>
      <c r="Y575" s="4">
        <f t="shared" si="276"/>
        <v>0</v>
      </c>
      <c r="Z575" s="4">
        <f t="shared" si="277"/>
        <v>0</v>
      </c>
      <c r="AA575" s="4">
        <f t="shared" si="278"/>
        <v>0</v>
      </c>
      <c r="AB575" s="4">
        <f t="shared" si="279"/>
        <v>0</v>
      </c>
      <c r="AC575" s="8"/>
      <c r="AD575" s="4"/>
      <c r="AE575" s="4"/>
      <c r="AF575" s="4" t="e">
        <f t="shared" ca="1" si="280"/>
        <v>#N/A</v>
      </c>
      <c r="AG575" s="4"/>
      <c r="AH575" s="4">
        <f>IFERROR(VLOOKUP(M575,Calculations!$AC$2:$AD$251,2,FALSE),0)</f>
        <v>0</v>
      </c>
      <c r="AI575" s="4" t="e">
        <f ca="1">VLOOKUP(N575,$N$2:$AS$620,MATCH('Character Creation'!$Z$12,Skills!$N$1:$AS$1,0),FALSE)</f>
        <v>#N/A</v>
      </c>
      <c r="AJ575" s="4" t="e">
        <f>VLOOKUP($N575,[2]Cultures!$B$4:$M$283,MATCH(AJ$1,[2]Cultures!$B$3:$M$3,0),FALSE)</f>
        <v>#N/A</v>
      </c>
      <c r="AK575" s="4" t="e">
        <f>VLOOKUP($N575,[2]Cultures!$B$4:$M$283,MATCH(AK$1,[2]Cultures!$B$3:$M$3,0),FALSE)</f>
        <v>#N/A</v>
      </c>
      <c r="AL575" s="4" t="e">
        <f>VLOOKUP($N575,[2]Cultures!$B$4:$M$283,MATCH(AL$1,[2]Cultures!$B$3:$M$3,0),FALSE)</f>
        <v>#N/A</v>
      </c>
      <c r="AM575" s="4" t="e">
        <f>VLOOKUP($N575,[2]Cultures!$B$4:$M$283,MATCH(AM$1,[2]Cultures!$B$3:$M$3,0),FALSE)</f>
        <v>#N/A</v>
      </c>
      <c r="AN575" s="4" t="e">
        <f>VLOOKUP($N575,[2]Cultures!$B$4:$M$283,MATCH(AN$1,[2]Cultures!$B$3:$M$3,0),FALSE)</f>
        <v>#N/A</v>
      </c>
      <c r="AO575" s="4" t="e">
        <f>VLOOKUP($N575,[2]Cultures!$B$4:$M$283,MATCH(AO$1,[2]Cultures!$B$3:$M$3,0),FALSE)</f>
        <v>#N/A</v>
      </c>
      <c r="AP575" s="4" t="e">
        <f>VLOOKUP($N575,[2]Cultures!$B$4:$M$283,MATCH(AP$1,[2]Cultures!$B$3:$M$3,0),FALSE)</f>
        <v>#N/A</v>
      </c>
      <c r="AQ575" s="4" t="e">
        <f>VLOOKUP($N575,[2]Cultures!$B$4:$M$283,MATCH(AQ$1,[2]Cultures!$B$3:$M$3,0),FALSE)</f>
        <v>#N/A</v>
      </c>
      <c r="AR575" s="4" t="e">
        <f>VLOOKUP($N575,[2]Cultures!$B$4:$M$283,MATCH(AR$1,[2]Cultures!$B$3:$M$3,0),FALSE)</f>
        <v>#N/A</v>
      </c>
      <c r="AS575" s="4" t="e">
        <f>VLOOKUP($N575,[2]Cultures!$B$4:$M$283,MATCH(AS$1,[2]Cultures!$B$3:$M$3,0),FALSE)</f>
        <v>#N/A</v>
      </c>
      <c r="AT575" s="4"/>
      <c r="AU575" s="4">
        <f>IF(ISNUMBER(SEARCH(N575&amp;";",Calculations!$Q$19)),VLOOKUP(Skills!N575,Calculations!$Q$2:$T$16,4,FALSE),0)</f>
        <v>0</v>
      </c>
      <c r="AV575" s="4">
        <f>IF(ISNUMBER(SEARCH(N575&amp;";",Calculations!$Q$18)),1,0)</f>
        <v>0</v>
      </c>
      <c r="AW575" s="4">
        <f>IF($AV$547=1,1,IF($AV$572=1,1,AV575))</f>
        <v>0</v>
      </c>
      <c r="AX575" s="4">
        <f>VLOOKUP($N575,$N575:$CH575,MATCH('Character Sheet'!$BJ$3,Skills!$N$1:$CH$1,0),FALSE)</f>
        <v>0</v>
      </c>
    </row>
    <row r="576" spans="2:50" x14ac:dyDescent="0.25">
      <c r="B576" s="4" t="e">
        <f t="shared" si="287"/>
        <v>#N/A</v>
      </c>
      <c r="E576" s="4"/>
      <c r="F576" s="4">
        <f t="shared" ca="1" si="271"/>
        <v>0</v>
      </c>
      <c r="G576" s="4"/>
      <c r="H576" s="4" t="e">
        <f t="shared" si="296"/>
        <v>#N/A</v>
      </c>
      <c r="I576" s="4" t="e">
        <f>IF($J$548=1,1,IF($J$573=1,1,0))</f>
        <v>#N/A</v>
      </c>
      <c r="J576" s="4">
        <f t="shared" si="273"/>
        <v>0</v>
      </c>
      <c r="K576" s="4" t="e">
        <f t="shared" si="297"/>
        <v>#N/A</v>
      </c>
      <c r="M576" t="str">
        <f>N576</f>
        <v>Tracking Technics</v>
      </c>
      <c r="N576" s="3" t="str">
        <f>'Character Sheet'!DDB32</f>
        <v>Tracking Technics</v>
      </c>
      <c r="O576" s="4" t="s">
        <v>783</v>
      </c>
      <c r="P576" s="4" t="s">
        <v>801</v>
      </c>
      <c r="Q576" s="4" t="e">
        <f t="shared" si="290"/>
        <v>#N/A</v>
      </c>
      <c r="R576" s="4">
        <f>IF(ISNUMBER(SEARCH("Category",N576)),"- -",IF(ISNUMBER(SEARCH("Skills",N576)),"- -",'Level-up'!C594))</f>
        <v>0</v>
      </c>
      <c r="S576" s="4" t="e">
        <f t="shared" si="274"/>
        <v>#N/A</v>
      </c>
      <c r="T576" s="4" t="e">
        <f t="shared" si="275"/>
        <v>#N/A</v>
      </c>
      <c r="U576" s="4">
        <f t="shared" ca="1" si="295"/>
        <v>5</v>
      </c>
      <c r="V576" s="4">
        <f>IF(ISNUMBER(SEARCH("Category",N576)),"- -",IF(ISNUMBER(SEARCH("Skills",N576)),"- -",IF(AU576&gt;0,AU576,IF($AU$572&gt;0,$AU$572,$AU$547))))</f>
        <v>0</v>
      </c>
      <c r="W576" s="4">
        <f t="shared" si="289"/>
        <v>0</v>
      </c>
      <c r="X576" s="4">
        <f t="shared" si="288"/>
        <v>0</v>
      </c>
      <c r="Y576" s="4">
        <f t="shared" si="276"/>
        <v>0</v>
      </c>
      <c r="Z576" s="4">
        <f t="shared" si="277"/>
        <v>0</v>
      </c>
      <c r="AA576" s="4">
        <f t="shared" si="278"/>
        <v>0</v>
      </c>
      <c r="AB576" s="4">
        <f t="shared" si="279"/>
        <v>0</v>
      </c>
      <c r="AC576" s="8"/>
      <c r="AD576" s="4"/>
      <c r="AE576" s="4"/>
      <c r="AF576" s="4" t="e">
        <f t="shared" si="280"/>
        <v>#N/A</v>
      </c>
      <c r="AG576" s="4"/>
      <c r="AH576" s="4">
        <f>IFERROR(VLOOKUP(M576,Calculations!$AC$2:$AD$251,2,FALSE),0)</f>
        <v>0</v>
      </c>
      <c r="AI576" s="4" t="e">
        <f>VLOOKUP(N576,$N$2:$AS$620,MATCH('Character Creation'!$Z$12,Skills!$N$1:$AS$1,0),FALSE)</f>
        <v>#N/A</v>
      </c>
      <c r="AJ576" s="4" t="e">
        <f>VLOOKUP($N576,[2]Cultures!$B$4:$M$283,MATCH(AJ$1,[2]Cultures!$B$3:$M$3,0),FALSE)</f>
        <v>#N/A</v>
      </c>
      <c r="AK576" s="4" t="e">
        <f>VLOOKUP($N576,[2]Cultures!$B$4:$M$283,MATCH(AK$1,[2]Cultures!$B$3:$M$3,0),FALSE)</f>
        <v>#N/A</v>
      </c>
      <c r="AL576" s="4" t="e">
        <f>VLOOKUP($N576,[2]Cultures!$B$4:$M$283,MATCH(AL$1,[2]Cultures!$B$3:$M$3,0),FALSE)</f>
        <v>#N/A</v>
      </c>
      <c r="AM576" s="4" t="e">
        <f>VLOOKUP($N576,[2]Cultures!$B$4:$M$283,MATCH(AM$1,[2]Cultures!$B$3:$M$3,0),FALSE)</f>
        <v>#N/A</v>
      </c>
      <c r="AN576" s="4" t="e">
        <f>VLOOKUP($N576,[2]Cultures!$B$4:$M$283,MATCH(AN$1,[2]Cultures!$B$3:$M$3,0),FALSE)</f>
        <v>#N/A</v>
      </c>
      <c r="AO576" s="4" t="e">
        <f>VLOOKUP($N576,[2]Cultures!$B$4:$M$283,MATCH(AO$1,[2]Cultures!$B$3:$M$3,0),FALSE)</f>
        <v>#N/A</v>
      </c>
      <c r="AP576" s="4" t="e">
        <f>VLOOKUP($N576,[2]Cultures!$B$4:$M$283,MATCH(AP$1,[2]Cultures!$B$3:$M$3,0),FALSE)</f>
        <v>#N/A</v>
      </c>
      <c r="AQ576" s="4" t="e">
        <f>VLOOKUP($N576,[2]Cultures!$B$4:$M$283,MATCH(AQ$1,[2]Cultures!$B$3:$M$3,0),FALSE)</f>
        <v>#N/A</v>
      </c>
      <c r="AR576" s="4" t="e">
        <f>VLOOKUP($N576,[2]Cultures!$B$4:$M$283,MATCH(AR$1,[2]Cultures!$B$3:$M$3,0),FALSE)</f>
        <v>#N/A</v>
      </c>
      <c r="AS576" s="4" t="e">
        <f>VLOOKUP($N576,[2]Cultures!$B$4:$M$283,MATCH(AS$1,[2]Cultures!$B$3:$M$3,0),FALSE)</f>
        <v>#N/A</v>
      </c>
      <c r="AT576" s="4"/>
      <c r="AU576" s="4">
        <f>IF(ISNUMBER(SEARCH(N576&amp;";",Calculations!$Q$19)),VLOOKUP(Skills!N576,Calculations!$Q$2:$T$16,4,FALSE),0)</f>
        <v>0</v>
      </c>
      <c r="AV576" s="4">
        <f>IF(ISNUMBER(SEARCH(N576&amp;";",Calculations!$Q$18)),1,0)</f>
        <v>0</v>
      </c>
      <c r="AW576" s="4">
        <f>IF($AV$547=1,1,IF($AV$572=1,1,AV576))</f>
        <v>0</v>
      </c>
      <c r="AX576" s="4">
        <f>VLOOKUP($N576,$N576:$CH576,MATCH('Character Sheet'!$BJ$3,Skills!$N$1:$CH$1,0),FALSE)</f>
        <v>0</v>
      </c>
    </row>
    <row r="577" spans="2:50" x14ac:dyDescent="0.25">
      <c r="B577" s="4" t="e">
        <f t="shared" si="287"/>
        <v>#N/A</v>
      </c>
      <c r="E577" s="4"/>
      <c r="F577" s="4">
        <f t="shared" ca="1" si="271"/>
        <v>0</v>
      </c>
      <c r="G577" s="4"/>
      <c r="H577" s="4" t="e">
        <f t="shared" si="296"/>
        <v>#N/A</v>
      </c>
      <c r="I577" s="4" t="e">
        <f>IF($J$548=1,1,IF($J$578=1,1,0))</f>
        <v>#N/A</v>
      </c>
      <c r="J577" s="4">
        <f t="shared" si="273"/>
        <v>0</v>
      </c>
      <c r="K577" s="4" t="e">
        <f t="shared" si="297"/>
        <v>#N/A</v>
      </c>
      <c r="N577" s="3" t="s">
        <v>746</v>
      </c>
      <c r="O577" s="6" t="s">
        <v>782</v>
      </c>
      <c r="P577" s="6" t="s">
        <v>782</v>
      </c>
      <c r="Q577" s="4" t="str">
        <f t="shared" si="290"/>
        <v>- -</v>
      </c>
      <c r="R577" s="4" t="str">
        <f>IF(ISNUMBER(SEARCH("Category",N577)),"- -",IF(ISNUMBER(SEARCH("Skills",N577)),"- -",'Level-up'!C595))</f>
        <v>- -</v>
      </c>
      <c r="S577" s="4" t="str">
        <f t="shared" si="274"/>
        <v>- -</v>
      </c>
      <c r="T577" s="4" t="str">
        <f t="shared" si="275"/>
        <v>- -</v>
      </c>
      <c r="U577" s="4" t="str">
        <f t="shared" ca="1" si="295"/>
        <v>- -</v>
      </c>
      <c r="V577" s="4" t="str">
        <f>IF(ISNUMBER(SEARCH("Category",N577)),"- -",IF(ISNUMBER(SEARCH("Skills",N577)),"- -",IF(AU577&gt;0,AU577,IF($AU$572&gt;0,$AU$572,$AU$547))))</f>
        <v>- -</v>
      </c>
      <c r="W577" s="4" t="str">
        <f t="shared" si="289"/>
        <v>- -</v>
      </c>
      <c r="X577" s="4" t="str">
        <f t="shared" si="288"/>
        <v>- -</v>
      </c>
      <c r="Y577" s="4" t="str">
        <f t="shared" si="276"/>
        <v>- -</v>
      </c>
      <c r="Z577" s="4" t="str">
        <f t="shared" si="277"/>
        <v>- -</v>
      </c>
      <c r="AA577" s="4" t="str">
        <f t="shared" si="278"/>
        <v>- -</v>
      </c>
      <c r="AB577" s="4" t="str">
        <f t="shared" si="279"/>
        <v>- -</v>
      </c>
      <c r="AC577" s="8"/>
      <c r="AD577" s="4"/>
      <c r="AE577" s="4"/>
      <c r="AF577" s="4" t="str">
        <f t="shared" si="280"/>
        <v>- -</v>
      </c>
      <c r="AG577" s="4"/>
      <c r="AH577" s="4">
        <f>IFERROR(VLOOKUP(M577,Calculations!$AC$2:$AD$251,2,FALSE),0)</f>
        <v>0</v>
      </c>
      <c r="AI577" s="4" t="e">
        <f>VLOOKUP(N577,$N$2:$AS$620,MATCH('Character Creation'!$Z$12,Skills!$N$1:$AS$1,0),FALSE)</f>
        <v>#N/A</v>
      </c>
      <c r="AJ577" s="4" t="e">
        <f>VLOOKUP($N577,[2]Cultures!$B$4:$M$283,MATCH(AJ$1,[2]Cultures!$B$3:$M$3,0),FALSE)</f>
        <v>#N/A</v>
      </c>
      <c r="AK577" s="4" t="e">
        <f>VLOOKUP($N577,[2]Cultures!$B$4:$M$283,MATCH(AK$1,[2]Cultures!$B$3:$M$3,0),FALSE)</f>
        <v>#N/A</v>
      </c>
      <c r="AL577" s="4" t="e">
        <f>VLOOKUP($N577,[2]Cultures!$B$4:$M$283,MATCH(AL$1,[2]Cultures!$B$3:$M$3,0),FALSE)</f>
        <v>#N/A</v>
      </c>
      <c r="AM577" s="4" t="e">
        <f>VLOOKUP($N577,[2]Cultures!$B$4:$M$283,MATCH(AM$1,[2]Cultures!$B$3:$M$3,0),FALSE)</f>
        <v>#N/A</v>
      </c>
      <c r="AN577" s="4" t="e">
        <f>VLOOKUP($N577,[2]Cultures!$B$4:$M$283,MATCH(AN$1,[2]Cultures!$B$3:$M$3,0),FALSE)</f>
        <v>#N/A</v>
      </c>
      <c r="AO577" s="4" t="e">
        <f>VLOOKUP($N577,[2]Cultures!$B$4:$M$283,MATCH(AO$1,[2]Cultures!$B$3:$M$3,0),FALSE)</f>
        <v>#N/A</v>
      </c>
      <c r="AP577" s="4" t="e">
        <f>VLOOKUP($N577,[2]Cultures!$B$4:$M$283,MATCH(AP$1,[2]Cultures!$B$3:$M$3,0),FALSE)</f>
        <v>#N/A</v>
      </c>
      <c r="AQ577" s="4" t="e">
        <f>VLOOKUP($N577,[2]Cultures!$B$4:$M$283,MATCH(AQ$1,[2]Cultures!$B$3:$M$3,0),FALSE)</f>
        <v>#N/A</v>
      </c>
      <c r="AR577" s="4" t="e">
        <f>VLOOKUP($N577,[2]Cultures!$B$4:$M$283,MATCH(AR$1,[2]Cultures!$B$3:$M$3,0),FALSE)</f>
        <v>#N/A</v>
      </c>
      <c r="AS577" s="4" t="e">
        <f>VLOOKUP($N577,[2]Cultures!$B$4:$M$283,MATCH(AS$1,[2]Cultures!$B$3:$M$3,0),FALSE)</f>
        <v>#N/A</v>
      </c>
      <c r="AT577" s="4"/>
      <c r="AU577" s="4">
        <f>IF(ISNUMBER(SEARCH(N577&amp;";",Calculations!$Q$19)),VLOOKUP(Skills!N577,Calculations!$Q$2:$T$16,4,FALSE),0)</f>
        <v>0</v>
      </c>
      <c r="AV577" s="4">
        <f>IF(ISNUMBER(SEARCH(N577&amp;";",Calculations!$Q$18)),1,0)</f>
        <v>0</v>
      </c>
      <c r="AW577" s="4"/>
      <c r="AX577" s="4">
        <f>VLOOKUP($N577,$N577:$CH577,MATCH('Character Sheet'!$BJ$3,Skills!$N$1:$CH$1,0),FALSE)</f>
        <v>0</v>
      </c>
    </row>
    <row r="578" spans="2:50" x14ac:dyDescent="0.25">
      <c r="B578" s="4" t="e">
        <f t="shared" si="287"/>
        <v>#N/A</v>
      </c>
      <c r="E578" s="4"/>
      <c r="F578" s="4">
        <f t="shared" ca="1" si="271"/>
        <v>0</v>
      </c>
      <c r="G578" s="4"/>
      <c r="H578" s="4" t="e">
        <f t="shared" si="296"/>
        <v>#N/A</v>
      </c>
      <c r="I578" s="4">
        <v>0</v>
      </c>
      <c r="J578" s="4" t="e">
        <f t="shared" si="273"/>
        <v>#N/A</v>
      </c>
      <c r="K578" s="4" t="e">
        <f t="shared" si="297"/>
        <v>#N/A</v>
      </c>
      <c r="N578" s="3" t="s">
        <v>747</v>
      </c>
      <c r="O578" s="6" t="s">
        <v>782</v>
      </c>
      <c r="P578" s="6" t="s">
        <v>782</v>
      </c>
      <c r="Q578" s="4" t="str">
        <f t="shared" si="290"/>
        <v>- -</v>
      </c>
      <c r="R578" s="4" t="str">
        <f>IF(ISNUMBER(SEARCH("Category",N578)),"- -",IF(ISNUMBER(SEARCH("Skills",N578)),"- -",'Level-up'!C596))</f>
        <v>- -</v>
      </c>
      <c r="S578" s="4" t="str">
        <f t="shared" si="274"/>
        <v>- -</v>
      </c>
      <c r="T578" s="4" t="str">
        <f t="shared" si="275"/>
        <v>- -</v>
      </c>
      <c r="U578" s="4" t="str">
        <f t="shared" ca="1" si="295"/>
        <v>- -</v>
      </c>
      <c r="V578" s="4" t="str">
        <f>IF(ISNUMBER(SEARCH("Category",N578)),"- -",IF(ISNUMBER(SEARCH("Skills",N578)),"- -",IF(AU578&gt;0,AU578,IF($AU$572&gt;0,$AU$572,$AU$547))))</f>
        <v>- -</v>
      </c>
      <c r="W578" s="4" t="str">
        <f t="shared" si="289"/>
        <v>- -</v>
      </c>
      <c r="X578" s="4" t="str">
        <f t="shared" si="288"/>
        <v>- -</v>
      </c>
      <c r="Y578" s="4" t="str">
        <f t="shared" si="276"/>
        <v>- -</v>
      </c>
      <c r="Z578" s="4" t="str">
        <f t="shared" si="277"/>
        <v>- -</v>
      </c>
      <c r="AA578" s="4" t="str">
        <f t="shared" si="278"/>
        <v>- -</v>
      </c>
      <c r="AB578" s="4" t="str">
        <f t="shared" si="279"/>
        <v>- -</v>
      </c>
      <c r="AC578" s="8"/>
      <c r="AD578" s="4"/>
      <c r="AE578" s="4"/>
      <c r="AF578" s="4" t="str">
        <f t="shared" si="280"/>
        <v>- -</v>
      </c>
      <c r="AG578" s="4"/>
      <c r="AH578" s="4">
        <f>IFERROR(VLOOKUP(M578,Calculations!$AC$2:$AD$251,2,FALSE),0)</f>
        <v>0</v>
      </c>
      <c r="AI578" s="4" t="e">
        <f>VLOOKUP(N578,$N$2:$AS$620,MATCH('Character Creation'!$Z$12,Skills!$N$1:$AS$1,0),FALSE)</f>
        <v>#N/A</v>
      </c>
      <c r="AJ578" s="4" t="e">
        <f>VLOOKUP($N578,[2]Cultures!$B$4:$M$283,MATCH(AJ$1,[2]Cultures!$B$3:$M$3,0),FALSE)</f>
        <v>#N/A</v>
      </c>
      <c r="AK578" s="4" t="e">
        <f>VLOOKUP($N578,[2]Cultures!$B$4:$M$283,MATCH(AK$1,[2]Cultures!$B$3:$M$3,0),FALSE)</f>
        <v>#N/A</v>
      </c>
      <c r="AL578" s="4" t="e">
        <f>VLOOKUP($N578,[2]Cultures!$B$4:$M$283,MATCH(AL$1,[2]Cultures!$B$3:$M$3,0),FALSE)</f>
        <v>#N/A</v>
      </c>
      <c r="AM578" s="4" t="e">
        <f>VLOOKUP($N578,[2]Cultures!$B$4:$M$283,MATCH(AM$1,[2]Cultures!$B$3:$M$3,0),FALSE)</f>
        <v>#N/A</v>
      </c>
      <c r="AN578" s="4" t="e">
        <f>VLOOKUP($N578,[2]Cultures!$B$4:$M$283,MATCH(AN$1,[2]Cultures!$B$3:$M$3,0),FALSE)</f>
        <v>#N/A</v>
      </c>
      <c r="AO578" s="4" t="e">
        <f>VLOOKUP($N578,[2]Cultures!$B$4:$M$283,MATCH(AO$1,[2]Cultures!$B$3:$M$3,0),FALSE)</f>
        <v>#N/A</v>
      </c>
      <c r="AP578" s="4" t="e">
        <f>VLOOKUP($N578,[2]Cultures!$B$4:$M$283,MATCH(AP$1,[2]Cultures!$B$3:$M$3,0),FALSE)</f>
        <v>#N/A</v>
      </c>
      <c r="AQ578" s="4" t="e">
        <f>VLOOKUP($N578,[2]Cultures!$B$4:$M$283,MATCH(AQ$1,[2]Cultures!$B$3:$M$3,0),FALSE)</f>
        <v>#N/A</v>
      </c>
      <c r="AR578" s="4" t="e">
        <f>VLOOKUP($N578,[2]Cultures!$B$4:$M$283,MATCH(AR$1,[2]Cultures!$B$3:$M$3,0),FALSE)</f>
        <v>#N/A</v>
      </c>
      <c r="AS578" s="4" t="e">
        <f>VLOOKUP($N578,[2]Cultures!$B$4:$M$283,MATCH(AS$1,[2]Cultures!$B$3:$M$3,0),FALSE)</f>
        <v>#N/A</v>
      </c>
      <c r="AT578" s="4"/>
      <c r="AU578" s="4">
        <f>IF(ISNUMBER(SEARCH(N578&amp;";",Calculations!$Q$19)),VLOOKUP(Skills!N578,Calculations!$Q$2:$T$16,4,FALSE),0)</f>
        <v>0</v>
      </c>
      <c r="AV578" s="4">
        <f>IF(ISNUMBER(SEARCH(N578&amp;";",Calculations!$Q$18)),1,0)</f>
        <v>0</v>
      </c>
      <c r="AW578" s="4"/>
      <c r="AX578" s="4">
        <f>VLOOKUP($N578,$N578:$CH578,MATCH('Character Sheet'!$BJ$3,Skills!$N$1:$CH$1,0),FALSE)</f>
        <v>0</v>
      </c>
    </row>
    <row r="579" spans="2:50" x14ac:dyDescent="0.25">
      <c r="B579" s="4" t="e">
        <f t="shared" si="287"/>
        <v>#N/A</v>
      </c>
      <c r="E579" s="4"/>
      <c r="F579" s="4">
        <f t="shared" ref="F579:F620" ca="1" si="298">IF(AX579="x",F578+1,F578)</f>
        <v>0</v>
      </c>
      <c r="G579" s="4"/>
      <c r="H579" s="4" t="e">
        <f t="shared" si="296"/>
        <v>#N/A</v>
      </c>
      <c r="I579" s="4" t="e">
        <f>IF($J$548=1,1,IF($J$578=1,1,0))</f>
        <v>#N/A</v>
      </c>
      <c r="J579" s="4">
        <f t="shared" ref="J579:J620" si="299">IF(ISNUMBER(SEARCH("Skills",N579)),IF(AI579&gt;=1,1,0),0)</f>
        <v>0</v>
      </c>
      <c r="K579" s="4" t="e">
        <f t="shared" si="297"/>
        <v>#N/A</v>
      </c>
      <c r="M579" t="str">
        <f>N579</f>
        <v>Aircraft Technics</v>
      </c>
      <c r="N579" s="3" t="str">
        <f>'Character Sheet'!DDB36</f>
        <v>Aircraft Technics</v>
      </c>
      <c r="O579" s="4" t="s">
        <v>783</v>
      </c>
      <c r="P579" s="4" t="s">
        <v>801</v>
      </c>
      <c r="Q579" s="4" t="e">
        <f t="shared" si="290"/>
        <v>#N/A</v>
      </c>
      <c r="R579" s="4">
        <f>IF(ISNUMBER(SEARCH("Category",N579)),"- -",IF(ISNUMBER(SEARCH("Skills",N579)),"- -",'Level-up'!C597))</f>
        <v>0</v>
      </c>
      <c r="S579" s="4" t="e">
        <f t="shared" ref="S579:S620" si="300">IF(ISNUMBER(SEARCH("Skills",N579)),"- -",IF(ISNUMBER(SEARCH("category",N579)),"- -",SUM(Q579:R579)))</f>
        <v>#N/A</v>
      </c>
      <c r="T579" s="4" t="e">
        <f t="shared" ref="T579:T620" si="301">IF(ISNUMBER(SEARCH("Skills",N579)),"- -",IF(ISNUMBER(SEARCH("category",N579)),"- -",IF(S579="",0,IF(S579=0,(IF(O579="- -",0,-25)),IF(S579&lt;11,S579*5,IF(S579&lt;21,((S579-10)*3)+50,IF(S579&lt;31,((S579-20)*2)+80,IF(S579&gt;30,(S579-30)+100))))))))</f>
        <v>#N/A</v>
      </c>
      <c r="U579" s="4">
        <f t="shared" ca="1" si="295"/>
        <v>5</v>
      </c>
      <c r="V579" s="4">
        <f>IF(ISNUMBER(SEARCH("Category",N579)),"- -",IF(ISNUMBER(SEARCH("Skills",N579)),"- -",IF(AU579&gt;0,AU579,IF($AU$577&gt;0,$AU$577,$AU$547))))</f>
        <v>0</v>
      </c>
      <c r="W579" s="4">
        <f t="shared" si="289"/>
        <v>0</v>
      </c>
      <c r="X579" s="4">
        <f t="shared" si="288"/>
        <v>0</v>
      </c>
      <c r="Y579" s="4">
        <f t="shared" si="276"/>
        <v>0</v>
      </c>
      <c r="Z579" s="4">
        <f t="shared" si="277"/>
        <v>0</v>
      </c>
      <c r="AA579" s="4">
        <f t="shared" si="278"/>
        <v>0</v>
      </c>
      <c r="AB579" s="4">
        <f t="shared" si="279"/>
        <v>0</v>
      </c>
      <c r="AC579" s="8"/>
      <c r="AD579" s="4"/>
      <c r="AE579" s="4"/>
      <c r="AF579" s="4" t="e">
        <f t="shared" si="280"/>
        <v>#N/A</v>
      </c>
      <c r="AG579" s="4"/>
      <c r="AH579" s="4">
        <f>IFERROR(VLOOKUP(M579,Calculations!$AC$2:$AD$251,2,FALSE),0)</f>
        <v>0</v>
      </c>
      <c r="AI579" s="4" t="e">
        <f>VLOOKUP(N579,$N$2:$AS$620,MATCH('Character Creation'!$Z$12,Skills!$N$1:$AS$1,0),FALSE)</f>
        <v>#N/A</v>
      </c>
      <c r="AJ579" s="4" t="e">
        <f>VLOOKUP($N579,[2]Cultures!$B$4:$M$283,MATCH(AJ$1,[2]Cultures!$B$3:$M$3,0),FALSE)</f>
        <v>#N/A</v>
      </c>
      <c r="AK579" s="4" t="e">
        <f>VLOOKUP($N579,[2]Cultures!$B$4:$M$283,MATCH(AK$1,[2]Cultures!$B$3:$M$3,0),FALSE)</f>
        <v>#N/A</v>
      </c>
      <c r="AL579" s="4" t="e">
        <f>VLOOKUP($N579,[2]Cultures!$B$4:$M$283,MATCH(AL$1,[2]Cultures!$B$3:$M$3,0),FALSE)</f>
        <v>#N/A</v>
      </c>
      <c r="AM579" s="4" t="e">
        <f>VLOOKUP($N579,[2]Cultures!$B$4:$M$283,MATCH(AM$1,[2]Cultures!$B$3:$M$3,0),FALSE)</f>
        <v>#N/A</v>
      </c>
      <c r="AN579" s="4" t="e">
        <f>VLOOKUP($N579,[2]Cultures!$B$4:$M$283,MATCH(AN$1,[2]Cultures!$B$3:$M$3,0),FALSE)</f>
        <v>#N/A</v>
      </c>
      <c r="AO579" s="4" t="e">
        <f>VLOOKUP($N579,[2]Cultures!$B$4:$M$283,MATCH(AO$1,[2]Cultures!$B$3:$M$3,0),FALSE)</f>
        <v>#N/A</v>
      </c>
      <c r="AP579" s="4" t="e">
        <f>VLOOKUP($N579,[2]Cultures!$B$4:$M$283,MATCH(AP$1,[2]Cultures!$B$3:$M$3,0),FALSE)</f>
        <v>#N/A</v>
      </c>
      <c r="AQ579" s="4" t="e">
        <f>VLOOKUP($N579,[2]Cultures!$B$4:$M$283,MATCH(AQ$1,[2]Cultures!$B$3:$M$3,0),FALSE)</f>
        <v>#N/A</v>
      </c>
      <c r="AR579" s="4" t="e">
        <f>VLOOKUP($N579,[2]Cultures!$B$4:$M$283,MATCH(AR$1,[2]Cultures!$B$3:$M$3,0),FALSE)</f>
        <v>#N/A</v>
      </c>
      <c r="AS579" s="4" t="e">
        <f>VLOOKUP($N579,[2]Cultures!$B$4:$M$283,MATCH(AS$1,[2]Cultures!$B$3:$M$3,0),FALSE)</f>
        <v>#N/A</v>
      </c>
      <c r="AT579" s="4"/>
      <c r="AU579" s="4">
        <f>IF(ISNUMBER(SEARCH(N579&amp;";",Calculations!$Q$19)),VLOOKUP(Skills!N579,Calculations!$Q$2:$T$16,4,FALSE),0)</f>
        <v>0</v>
      </c>
      <c r="AV579" s="4">
        <f>IF(ISNUMBER(SEARCH(N579&amp;";",Calculations!$Q$18)),1,0)</f>
        <v>0</v>
      </c>
      <c r="AW579" s="4">
        <f>IF($AV$547=1,1,IF($AV$577=1,1,AV579))</f>
        <v>0</v>
      </c>
      <c r="AX579" s="4">
        <f>VLOOKUP($N579,$N579:$CH579,MATCH('Character Sheet'!$BJ$3,Skills!$N$1:$CH$1,0),FALSE)</f>
        <v>0</v>
      </c>
    </row>
    <row r="580" spans="2:50" x14ac:dyDescent="0.25">
      <c r="B580" s="4" t="e">
        <f t="shared" ca="1" si="287"/>
        <v>#N/A</v>
      </c>
      <c r="E580" s="4"/>
      <c r="F580" s="4">
        <f t="shared" ca="1" si="298"/>
        <v>0</v>
      </c>
      <c r="G580" s="4"/>
      <c r="H580" s="4" t="e">
        <f t="shared" si="296"/>
        <v>#N/A</v>
      </c>
      <c r="I580" s="4" t="e">
        <f>IF($J$548=1,1,IF($J$578=1,1,0))</f>
        <v>#N/A</v>
      </c>
      <c r="J580" s="4">
        <f t="shared" si="299"/>
        <v>0</v>
      </c>
      <c r="K580" s="4" t="e">
        <f t="shared" ca="1" si="297"/>
        <v>#N/A</v>
      </c>
      <c r="M580" t="str">
        <f>N580</f>
        <v>Combustion Engine Technics</v>
      </c>
      <c r="N580" s="3" t="str">
        <f>'Character Sheet'!DDB37</f>
        <v>Combustion Engine Technics</v>
      </c>
      <c r="O580" s="4" t="s">
        <v>783</v>
      </c>
      <c r="P580" s="4" t="s">
        <v>801</v>
      </c>
      <c r="Q580" s="4" t="e">
        <f t="shared" ca="1" si="290"/>
        <v>#N/A</v>
      </c>
      <c r="R580" s="4">
        <f>IF(ISNUMBER(SEARCH("Category",N580)),"- -",IF(ISNUMBER(SEARCH("Skills",N580)),"- -",'Level-up'!C598))</f>
        <v>0</v>
      </c>
      <c r="S580" s="4" t="e">
        <f t="shared" ca="1" si="300"/>
        <v>#N/A</v>
      </c>
      <c r="T580" s="4" t="e">
        <f t="shared" ca="1" si="301"/>
        <v>#N/A</v>
      </c>
      <c r="U580" s="4">
        <f t="shared" ca="1" si="295"/>
        <v>5</v>
      </c>
      <c r="V580" s="4">
        <f>IF(ISNUMBER(SEARCH("Category",N580)),"- -",IF(ISNUMBER(SEARCH("Skills",N580)),"- -",IF(AU580&gt;0,AU580,IF($AU$577&gt;0,$AU$577,$AU$547))))</f>
        <v>0</v>
      </c>
      <c r="W580" s="4">
        <f t="shared" si="289"/>
        <v>0</v>
      </c>
      <c r="X580" s="4">
        <f t="shared" si="288"/>
        <v>0</v>
      </c>
      <c r="Y580" s="4">
        <f t="shared" ref="Y580:Y620" si="302">IF(ISNUMBER(SEARCH("Category",N580)),"- -",IF(ISNUMBER(SEARCH("Skills",N580)),"- -",0))</f>
        <v>0</v>
      </c>
      <c r="Z580" s="4">
        <f t="shared" ref="Z580:Z620" si="303">IF(ISNUMBER(SEARCH("Category",N580)),"- -",IF(ISNUMBER(SEARCH("Skills",N580)),"- -",0))</f>
        <v>0</v>
      </c>
      <c r="AA580" s="4">
        <f t="shared" ref="AA580:AA620" si="304">IF(ISNUMBER(SEARCH("Category",N580)),"- -",IF(ISNUMBER(SEARCH("Skills",N580)),"- -",0))</f>
        <v>0</v>
      </c>
      <c r="AB580" s="4">
        <f t="shared" ref="AB580:AB620" si="305">IF(ISNUMBER(SEARCH("Category",N580)),"- -",IF(ISNUMBER(SEARCH("Skills",N580)),"- -",0))</f>
        <v>0</v>
      </c>
      <c r="AC580" s="8"/>
      <c r="AD580" s="4"/>
      <c r="AE580" s="4"/>
      <c r="AF580" s="4" t="e">
        <f t="shared" ca="1" si="280"/>
        <v>#N/A</v>
      </c>
      <c r="AG580" s="4"/>
      <c r="AH580" s="4">
        <f>IFERROR(VLOOKUP(M580,Calculations!$AC$2:$AD$251,2,FALSE),0)</f>
        <v>0</v>
      </c>
      <c r="AI580" s="4" t="e">
        <f ca="1">VLOOKUP(N580,$N$2:$AS$620,MATCH('Character Creation'!$Z$12,Skills!$N$1:$AS$1,0),FALSE)</f>
        <v>#N/A</v>
      </c>
      <c r="AJ580" s="4" t="e">
        <f>VLOOKUP($N580,[2]Cultures!$B$4:$M$283,MATCH(AJ$1,[2]Cultures!$B$3:$M$3,0),FALSE)</f>
        <v>#N/A</v>
      </c>
      <c r="AK580" s="4" t="e">
        <f>VLOOKUP($N580,[2]Cultures!$B$4:$M$283,MATCH(AK$1,[2]Cultures!$B$3:$M$3,0),FALSE)</f>
        <v>#N/A</v>
      </c>
      <c r="AL580" s="4" t="e">
        <f>VLOOKUP($N580,[2]Cultures!$B$4:$M$283,MATCH(AL$1,[2]Cultures!$B$3:$M$3,0),FALSE)</f>
        <v>#N/A</v>
      </c>
      <c r="AM580" s="4" t="e">
        <f>VLOOKUP($N580,[2]Cultures!$B$4:$M$283,MATCH(AM$1,[2]Cultures!$B$3:$M$3,0),FALSE)</f>
        <v>#N/A</v>
      </c>
      <c r="AN580" s="4" t="e">
        <f>VLOOKUP($N580,[2]Cultures!$B$4:$M$283,MATCH(AN$1,[2]Cultures!$B$3:$M$3,0),FALSE)</f>
        <v>#N/A</v>
      </c>
      <c r="AO580" s="4" t="e">
        <f>VLOOKUP($N580,[2]Cultures!$B$4:$M$283,MATCH(AO$1,[2]Cultures!$B$3:$M$3,0),FALSE)</f>
        <v>#N/A</v>
      </c>
      <c r="AP580" s="4" t="e">
        <f>VLOOKUP($N580,[2]Cultures!$B$4:$M$283,MATCH(AP$1,[2]Cultures!$B$3:$M$3,0),FALSE)</f>
        <v>#N/A</v>
      </c>
      <c r="AQ580" s="4" t="e">
        <f>VLOOKUP($N580,[2]Cultures!$B$4:$M$283,MATCH(AQ$1,[2]Cultures!$B$3:$M$3,0),FALSE)</f>
        <v>#N/A</v>
      </c>
      <c r="AR580" s="4" t="e">
        <f>VLOOKUP($N580,[2]Cultures!$B$4:$M$283,MATCH(AR$1,[2]Cultures!$B$3:$M$3,0),FALSE)</f>
        <v>#N/A</v>
      </c>
      <c r="AS580" s="4" t="e">
        <f>VLOOKUP($N580,[2]Cultures!$B$4:$M$283,MATCH(AS$1,[2]Cultures!$B$3:$M$3,0),FALSE)</f>
        <v>#N/A</v>
      </c>
      <c r="AT580" s="4"/>
      <c r="AU580" s="4">
        <f>IF(ISNUMBER(SEARCH(N580&amp;";",Calculations!$Q$19)),VLOOKUP(Skills!N580,Calculations!$Q$2:$T$16,4,FALSE),0)</f>
        <v>0</v>
      </c>
      <c r="AV580" s="4">
        <f>IF(ISNUMBER(SEARCH(N580&amp;";",Calculations!$Q$18)),1,0)</f>
        <v>0</v>
      </c>
      <c r="AW580" s="4">
        <f>IF($AV$547=1,1,IF($AV$577=1,1,AV580))</f>
        <v>0</v>
      </c>
      <c r="AX580" s="4">
        <f>VLOOKUP($N580,$N580:$CH580,MATCH('Character Sheet'!$BJ$3,Skills!$N$1:$CH$1,0),FALSE)</f>
        <v>0</v>
      </c>
    </row>
    <row r="581" spans="2:50" x14ac:dyDescent="0.25">
      <c r="B581" s="4" t="e">
        <f t="shared" si="287"/>
        <v>#N/A</v>
      </c>
      <c r="E581" s="4"/>
      <c r="F581" s="4">
        <f t="shared" ca="1" si="298"/>
        <v>0</v>
      </c>
      <c r="G581" s="4"/>
      <c r="H581" s="4" t="e">
        <f t="shared" si="296"/>
        <v>#N/A</v>
      </c>
      <c r="I581" s="4" t="e">
        <f>IF($J$548=1,1,IF($J$578=1,1,0))</f>
        <v>#N/A</v>
      </c>
      <c r="J581" s="4">
        <f t="shared" si="299"/>
        <v>0</v>
      </c>
      <c r="K581" s="4" t="e">
        <f t="shared" si="297"/>
        <v>#N/A</v>
      </c>
      <c r="M581" t="str">
        <f>N581</f>
        <v>General Mechanics Technics</v>
      </c>
      <c r="N581" s="3" t="str">
        <f>'Character Sheet'!DDB38</f>
        <v>General Mechanics Technics</v>
      </c>
      <c r="O581" s="4" t="s">
        <v>783</v>
      </c>
      <c r="P581" s="4" t="s">
        <v>801</v>
      </c>
      <c r="Q581" s="4" t="e">
        <f t="shared" si="290"/>
        <v>#N/A</v>
      </c>
      <c r="R581" s="4">
        <f>IF(ISNUMBER(SEARCH("Category",N581)),"- -",IF(ISNUMBER(SEARCH("Skills",N581)),"- -",'Level-up'!C599))</f>
        <v>0</v>
      </c>
      <c r="S581" s="4" t="e">
        <f t="shared" si="300"/>
        <v>#N/A</v>
      </c>
      <c r="T581" s="4" t="e">
        <f t="shared" si="301"/>
        <v>#N/A</v>
      </c>
      <c r="U581" s="4">
        <f t="shared" ca="1" si="295"/>
        <v>5</v>
      </c>
      <c r="V581" s="4">
        <f>IF(ISNUMBER(SEARCH("Category",N581)),"- -",IF(ISNUMBER(SEARCH("Skills",N581)),"- -",IF(AU581&gt;0,AU581,IF($AU$577&gt;0,$AU$577,$AU$547))))</f>
        <v>0</v>
      </c>
      <c r="W581" s="4">
        <f t="shared" si="289"/>
        <v>0</v>
      </c>
      <c r="X581" s="4">
        <f t="shared" si="288"/>
        <v>0</v>
      </c>
      <c r="Y581" s="4">
        <f t="shared" si="302"/>
        <v>0</v>
      </c>
      <c r="Z581" s="4">
        <f t="shared" si="303"/>
        <v>0</v>
      </c>
      <c r="AA581" s="4">
        <f t="shared" si="304"/>
        <v>0</v>
      </c>
      <c r="AB581" s="4">
        <f t="shared" si="305"/>
        <v>0</v>
      </c>
      <c r="AC581" s="8"/>
      <c r="AD581" s="4"/>
      <c r="AE581" s="4"/>
      <c r="AF581" s="4" t="e">
        <f t="shared" si="280"/>
        <v>#N/A</v>
      </c>
      <c r="AG581" s="4"/>
      <c r="AH581" s="4">
        <f>IFERROR(VLOOKUP(M581,Calculations!$AC$2:$AD$251,2,FALSE),0)</f>
        <v>0</v>
      </c>
      <c r="AI581" s="4" t="e">
        <f>VLOOKUP(N581,$N$2:$AS$620,MATCH('Character Creation'!$Z$12,Skills!$N$1:$AS$1,0),FALSE)</f>
        <v>#N/A</v>
      </c>
      <c r="AJ581" s="4" t="e">
        <f>VLOOKUP($N581,[2]Cultures!$B$4:$M$283,MATCH(AJ$1,[2]Cultures!$B$3:$M$3,0),FALSE)</f>
        <v>#N/A</v>
      </c>
      <c r="AK581" s="4" t="e">
        <f>VLOOKUP($N581,[2]Cultures!$B$4:$M$283,MATCH(AK$1,[2]Cultures!$B$3:$M$3,0),FALSE)</f>
        <v>#N/A</v>
      </c>
      <c r="AL581" s="4" t="e">
        <f>VLOOKUP($N581,[2]Cultures!$B$4:$M$283,MATCH(AL$1,[2]Cultures!$B$3:$M$3,0),FALSE)</f>
        <v>#N/A</v>
      </c>
      <c r="AM581" s="4" t="e">
        <f>VLOOKUP($N581,[2]Cultures!$B$4:$M$283,MATCH(AM$1,[2]Cultures!$B$3:$M$3,0),FALSE)</f>
        <v>#N/A</v>
      </c>
      <c r="AN581" s="4" t="e">
        <f>VLOOKUP($N581,[2]Cultures!$B$4:$M$283,MATCH(AN$1,[2]Cultures!$B$3:$M$3,0),FALSE)</f>
        <v>#N/A</v>
      </c>
      <c r="AO581" s="4" t="e">
        <f>VLOOKUP($N581,[2]Cultures!$B$4:$M$283,MATCH(AO$1,[2]Cultures!$B$3:$M$3,0),FALSE)</f>
        <v>#N/A</v>
      </c>
      <c r="AP581" s="4" t="e">
        <f>VLOOKUP($N581,[2]Cultures!$B$4:$M$283,MATCH(AP$1,[2]Cultures!$B$3:$M$3,0),FALSE)</f>
        <v>#N/A</v>
      </c>
      <c r="AQ581" s="4" t="e">
        <f>VLOOKUP($N581,[2]Cultures!$B$4:$M$283,MATCH(AQ$1,[2]Cultures!$B$3:$M$3,0),FALSE)</f>
        <v>#N/A</v>
      </c>
      <c r="AR581" s="4" t="e">
        <f>VLOOKUP($N581,[2]Cultures!$B$4:$M$283,MATCH(AR$1,[2]Cultures!$B$3:$M$3,0),FALSE)</f>
        <v>#N/A</v>
      </c>
      <c r="AS581" s="4" t="e">
        <f>VLOOKUP($N581,[2]Cultures!$B$4:$M$283,MATCH(AS$1,[2]Cultures!$B$3:$M$3,0),FALSE)</f>
        <v>#N/A</v>
      </c>
      <c r="AT581" s="4"/>
      <c r="AU581" s="4">
        <f>IF(ISNUMBER(SEARCH(N581&amp;";",Calculations!$Q$19)),VLOOKUP(Skills!N581,Calculations!$Q$2:$T$16,4,FALSE),0)</f>
        <v>0</v>
      </c>
      <c r="AV581" s="4">
        <f>IF(ISNUMBER(SEARCH(N581&amp;";",Calculations!$Q$18)),1,0)</f>
        <v>0</v>
      </c>
      <c r="AW581" s="4">
        <f>IF($AV$547=1,1,IF($AV$577=1,1,AV581))</f>
        <v>0</v>
      </c>
      <c r="AX581" s="4">
        <f>VLOOKUP($N581,$N581:$CH581,MATCH('Character Sheet'!$BJ$3,Skills!$N$1:$CH$1,0),FALSE)</f>
        <v>0</v>
      </c>
    </row>
    <row r="582" spans="2:50" x14ac:dyDescent="0.25">
      <c r="B582" s="4" t="e">
        <f t="shared" si="287"/>
        <v>#N/A</v>
      </c>
      <c r="E582" s="4"/>
      <c r="F582" s="4">
        <f t="shared" ca="1" si="298"/>
        <v>0</v>
      </c>
      <c r="G582" s="4"/>
      <c r="H582" s="4" t="e">
        <f t="shared" si="296"/>
        <v>#N/A</v>
      </c>
      <c r="I582" s="4" t="e">
        <f>IF($J$548=1,1,IF($J$578=1,1,0))</f>
        <v>#N/A</v>
      </c>
      <c r="J582" s="4">
        <f t="shared" si="299"/>
        <v>0</v>
      </c>
      <c r="K582" s="4" t="e">
        <f t="shared" si="297"/>
        <v>#N/A</v>
      </c>
      <c r="M582" t="str">
        <f>N582</f>
        <v>Submersible Technics</v>
      </c>
      <c r="N582" s="3" t="str">
        <f>'Character Sheet'!DDB39</f>
        <v>Submersible Technics</v>
      </c>
      <c r="O582" s="4" t="s">
        <v>783</v>
      </c>
      <c r="P582" s="4" t="s">
        <v>801</v>
      </c>
      <c r="Q582" s="4" t="e">
        <f t="shared" si="290"/>
        <v>#N/A</v>
      </c>
      <c r="R582" s="4">
        <f>IF(ISNUMBER(SEARCH("Category",N582)),"- -",IF(ISNUMBER(SEARCH("Skills",N582)),"- -",'Level-up'!C600))</f>
        <v>0</v>
      </c>
      <c r="S582" s="4" t="e">
        <f t="shared" si="300"/>
        <v>#N/A</v>
      </c>
      <c r="T582" s="4" t="e">
        <f t="shared" si="301"/>
        <v>#N/A</v>
      </c>
      <c r="U582" s="4">
        <f t="shared" ca="1" si="295"/>
        <v>5</v>
      </c>
      <c r="V582" s="4">
        <f>IF(ISNUMBER(SEARCH("Category",N582)),"- -",IF(ISNUMBER(SEARCH("Skills",N582)),"- -",IF(AU582&gt;0,AU582,IF($AU$577&gt;0,$AU$577,$AU$547))))</f>
        <v>0</v>
      </c>
      <c r="W582" s="4">
        <f t="shared" si="289"/>
        <v>0</v>
      </c>
      <c r="X582" s="4">
        <f t="shared" si="288"/>
        <v>0</v>
      </c>
      <c r="Y582" s="4">
        <f t="shared" si="302"/>
        <v>0</v>
      </c>
      <c r="Z582" s="4">
        <f t="shared" si="303"/>
        <v>0</v>
      </c>
      <c r="AA582" s="4">
        <f t="shared" si="304"/>
        <v>0</v>
      </c>
      <c r="AB582" s="4">
        <f t="shared" si="305"/>
        <v>0</v>
      </c>
      <c r="AC582" s="8"/>
      <c r="AD582" s="4"/>
      <c r="AE582" s="4"/>
      <c r="AF582" s="4" t="e">
        <f t="shared" si="280"/>
        <v>#N/A</v>
      </c>
      <c r="AG582" s="4"/>
      <c r="AH582" s="4">
        <f>IFERROR(VLOOKUP(M582,Calculations!$AC$2:$AD$251,2,FALSE),0)</f>
        <v>0</v>
      </c>
      <c r="AI582" s="4" t="e">
        <f>VLOOKUP(N582,$N$2:$AS$620,MATCH('Character Creation'!$Z$12,Skills!$N$1:$AS$1,0),FALSE)</f>
        <v>#N/A</v>
      </c>
      <c r="AJ582" s="4" t="e">
        <f>VLOOKUP($N582,[2]Cultures!$B$4:$M$283,MATCH(AJ$1,[2]Cultures!$B$3:$M$3,0),FALSE)</f>
        <v>#N/A</v>
      </c>
      <c r="AK582" s="4" t="e">
        <f>VLOOKUP($N582,[2]Cultures!$B$4:$M$283,MATCH(AK$1,[2]Cultures!$B$3:$M$3,0),FALSE)</f>
        <v>#N/A</v>
      </c>
      <c r="AL582" s="4" t="e">
        <f>VLOOKUP($N582,[2]Cultures!$B$4:$M$283,MATCH(AL$1,[2]Cultures!$B$3:$M$3,0),FALSE)</f>
        <v>#N/A</v>
      </c>
      <c r="AM582" s="4" t="e">
        <f>VLOOKUP($N582,[2]Cultures!$B$4:$M$283,MATCH(AM$1,[2]Cultures!$B$3:$M$3,0),FALSE)</f>
        <v>#N/A</v>
      </c>
      <c r="AN582" s="4" t="e">
        <f>VLOOKUP($N582,[2]Cultures!$B$4:$M$283,MATCH(AN$1,[2]Cultures!$B$3:$M$3,0),FALSE)</f>
        <v>#N/A</v>
      </c>
      <c r="AO582" s="4" t="e">
        <f>VLOOKUP($N582,[2]Cultures!$B$4:$M$283,MATCH(AO$1,[2]Cultures!$B$3:$M$3,0),FALSE)</f>
        <v>#N/A</v>
      </c>
      <c r="AP582" s="4" t="e">
        <f>VLOOKUP($N582,[2]Cultures!$B$4:$M$283,MATCH(AP$1,[2]Cultures!$B$3:$M$3,0),FALSE)</f>
        <v>#N/A</v>
      </c>
      <c r="AQ582" s="4" t="e">
        <f>VLOOKUP($N582,[2]Cultures!$B$4:$M$283,MATCH(AQ$1,[2]Cultures!$B$3:$M$3,0),FALSE)</f>
        <v>#N/A</v>
      </c>
      <c r="AR582" s="4" t="e">
        <f>VLOOKUP($N582,[2]Cultures!$B$4:$M$283,MATCH(AR$1,[2]Cultures!$B$3:$M$3,0),FALSE)</f>
        <v>#N/A</v>
      </c>
      <c r="AS582" s="4" t="e">
        <f>VLOOKUP($N582,[2]Cultures!$B$4:$M$283,MATCH(AS$1,[2]Cultures!$B$3:$M$3,0),FALSE)</f>
        <v>#N/A</v>
      </c>
      <c r="AT582" s="4"/>
      <c r="AU582" s="4">
        <f>IF(ISNUMBER(SEARCH(N582&amp;";",Calculations!$Q$19)),VLOOKUP(Skills!N582,Calculations!$Q$2:$T$16,4,FALSE),0)</f>
        <v>0</v>
      </c>
      <c r="AV582" s="4">
        <f>IF(ISNUMBER(SEARCH(N582&amp;";",Calculations!$Q$18)),1,0)</f>
        <v>0</v>
      </c>
      <c r="AW582" s="4">
        <f>IF($AV$547=1,1,IF($AV$577=1,1,AV582))</f>
        <v>0</v>
      </c>
      <c r="AX582" s="4">
        <f>VLOOKUP($N582,$N582:$CH582,MATCH('Character Sheet'!$BJ$3,Skills!$N$1:$CH$1,0),FALSE)</f>
        <v>0</v>
      </c>
    </row>
    <row r="583" spans="2:50" x14ac:dyDescent="0.25">
      <c r="B583" s="4" t="e">
        <f t="shared" si="287"/>
        <v>#N/A</v>
      </c>
      <c r="E583" s="4"/>
      <c r="F583" s="4">
        <f t="shared" ca="1" si="298"/>
        <v>0</v>
      </c>
      <c r="G583" s="4"/>
      <c r="H583" s="4" t="e">
        <f t="shared" si="296"/>
        <v>#N/A</v>
      </c>
      <c r="I583" s="4" t="e">
        <f>IF($J$548=1,1,IF($J$578=1,1,0))</f>
        <v>#N/A</v>
      </c>
      <c r="J583" s="4">
        <f t="shared" si="299"/>
        <v>0</v>
      </c>
      <c r="K583" s="4" t="e">
        <f>IF(ISNUMBER(SEARCH("Category",N583)),#REF!,AI583)</f>
        <v>#N/A</v>
      </c>
      <c r="M583" t="str">
        <f>N583</f>
        <v>Surface Vehicle Technics</v>
      </c>
      <c r="N583" s="3" t="str">
        <f>'Character Sheet'!DDB40</f>
        <v>Surface Vehicle Technics</v>
      </c>
      <c r="O583" s="4" t="s">
        <v>783</v>
      </c>
      <c r="P583" s="4" t="s">
        <v>801</v>
      </c>
      <c r="Q583" s="4" t="e">
        <f t="shared" si="290"/>
        <v>#N/A</v>
      </c>
      <c r="R583" s="4">
        <f>IF(ISNUMBER(SEARCH("Category",N583)),"- -",IF(ISNUMBER(SEARCH("Skills",N583)),"- -",'Level-up'!C601))</f>
        <v>0</v>
      </c>
      <c r="S583" s="4" t="e">
        <f t="shared" si="300"/>
        <v>#N/A</v>
      </c>
      <c r="T583" s="4" t="e">
        <f t="shared" si="301"/>
        <v>#N/A</v>
      </c>
      <c r="U583" s="4">
        <f t="shared" ca="1" si="295"/>
        <v>5</v>
      </c>
      <c r="V583" s="4">
        <f>IF(ISNUMBER(SEARCH("Category",N583)),"- -",IF(ISNUMBER(SEARCH("Skills",N583)),"- -",IF(AU583&gt;0,AU583,IF($AU$577&gt;0,$AU$577,$AU$547))))</f>
        <v>0</v>
      </c>
      <c r="W583" s="4">
        <f t="shared" si="289"/>
        <v>0</v>
      </c>
      <c r="X583" s="4">
        <f t="shared" si="288"/>
        <v>0</v>
      </c>
      <c r="Y583" s="4">
        <f t="shared" si="302"/>
        <v>0</v>
      </c>
      <c r="Z583" s="4">
        <f t="shared" si="303"/>
        <v>0</v>
      </c>
      <c r="AA583" s="4">
        <f t="shared" si="304"/>
        <v>0</v>
      </c>
      <c r="AB583" s="4">
        <f t="shared" si="305"/>
        <v>0</v>
      </c>
      <c r="AC583" s="8"/>
      <c r="AD583" s="4"/>
      <c r="AE583" s="4"/>
      <c r="AF583" s="4" t="e">
        <f t="shared" si="280"/>
        <v>#N/A</v>
      </c>
      <c r="AG583" s="4"/>
      <c r="AH583" s="4">
        <f>IFERROR(VLOOKUP(M583,Calculations!$AC$2:$AD$251,2,FALSE),0)</f>
        <v>0</v>
      </c>
      <c r="AI583" s="4" t="e">
        <f>VLOOKUP(N583,$N$2:$AS$620,MATCH('Character Creation'!$Z$12,Skills!$N$1:$AS$1,0),FALSE)</f>
        <v>#N/A</v>
      </c>
      <c r="AJ583" s="4" t="e">
        <f>VLOOKUP($N583,[2]Cultures!$B$4:$M$283,MATCH(AJ$1,[2]Cultures!$B$3:$M$3,0),FALSE)</f>
        <v>#N/A</v>
      </c>
      <c r="AK583" s="4" t="e">
        <f>VLOOKUP($N583,[2]Cultures!$B$4:$M$283,MATCH(AK$1,[2]Cultures!$B$3:$M$3,0),FALSE)</f>
        <v>#N/A</v>
      </c>
      <c r="AL583" s="4" t="e">
        <f>VLOOKUP($N583,[2]Cultures!$B$4:$M$283,MATCH(AL$1,[2]Cultures!$B$3:$M$3,0),FALSE)</f>
        <v>#N/A</v>
      </c>
      <c r="AM583" s="4" t="e">
        <f>VLOOKUP($N583,[2]Cultures!$B$4:$M$283,MATCH(AM$1,[2]Cultures!$B$3:$M$3,0),FALSE)</f>
        <v>#N/A</v>
      </c>
      <c r="AN583" s="4" t="e">
        <f>VLOOKUP($N583,[2]Cultures!$B$4:$M$283,MATCH(AN$1,[2]Cultures!$B$3:$M$3,0),FALSE)</f>
        <v>#N/A</v>
      </c>
      <c r="AO583" s="4" t="e">
        <f>VLOOKUP($N583,[2]Cultures!$B$4:$M$283,MATCH(AO$1,[2]Cultures!$B$3:$M$3,0),FALSE)</f>
        <v>#N/A</v>
      </c>
      <c r="AP583" s="4" t="e">
        <f>VLOOKUP($N583,[2]Cultures!$B$4:$M$283,MATCH(AP$1,[2]Cultures!$B$3:$M$3,0),FALSE)</f>
        <v>#N/A</v>
      </c>
      <c r="AQ583" s="4" t="e">
        <f>VLOOKUP($N583,[2]Cultures!$B$4:$M$283,MATCH(AQ$1,[2]Cultures!$B$3:$M$3,0),FALSE)</f>
        <v>#N/A</v>
      </c>
      <c r="AR583" s="4" t="e">
        <f>VLOOKUP($N583,[2]Cultures!$B$4:$M$283,MATCH(AR$1,[2]Cultures!$B$3:$M$3,0),FALSE)</f>
        <v>#N/A</v>
      </c>
      <c r="AS583" s="4" t="e">
        <f>VLOOKUP($N583,[2]Cultures!$B$4:$M$283,MATCH(AS$1,[2]Cultures!$B$3:$M$3,0),FALSE)</f>
        <v>#N/A</v>
      </c>
      <c r="AT583" s="4"/>
      <c r="AU583" s="4">
        <f>IF(ISNUMBER(SEARCH(N583&amp;";",Calculations!$Q$19)),VLOOKUP(Skills!N583,Calculations!$Q$2:$T$16,4,FALSE),0)</f>
        <v>0</v>
      </c>
      <c r="AV583" s="4">
        <f>IF(ISNUMBER(SEARCH(N583&amp;";",Calculations!$Q$18)),1,0)</f>
        <v>0</v>
      </c>
      <c r="AW583" s="4">
        <f>IF($AV$547=1,1,IF($AV$577=1,1,AV583))</f>
        <v>0</v>
      </c>
      <c r="AX583" s="4">
        <f>VLOOKUP($N583,$N583:$CH583,MATCH('Character Sheet'!$BJ$3,Skills!$N$1:$CH$1,0),FALSE)</f>
        <v>0</v>
      </c>
    </row>
    <row r="584" spans="2:50" x14ac:dyDescent="0.25">
      <c r="B584" s="4" t="e">
        <f t="shared" si="287"/>
        <v>#N/A</v>
      </c>
      <c r="E584" s="4"/>
      <c r="F584" s="4">
        <f t="shared" ca="1" si="298"/>
        <v>0</v>
      </c>
      <c r="G584" s="4"/>
      <c r="H584" s="4" t="e">
        <f t="shared" si="296"/>
        <v>#N/A</v>
      </c>
      <c r="I584" s="4" t="e">
        <f>IF($J$548=1,1,IF($J$585=1,1,0))</f>
        <v>#N/A</v>
      </c>
      <c r="J584" s="4">
        <f t="shared" si="299"/>
        <v>0</v>
      </c>
      <c r="K584" s="4" t="e">
        <f t="shared" si="297"/>
        <v>#N/A</v>
      </c>
      <c r="N584" s="3" t="s">
        <v>748</v>
      </c>
      <c r="O584" s="6" t="s">
        <v>782</v>
      </c>
      <c r="P584" s="6" t="s">
        <v>782</v>
      </c>
      <c r="Q584" s="4" t="str">
        <f t="shared" si="290"/>
        <v>- -</v>
      </c>
      <c r="R584" s="4" t="str">
        <f>IF(ISNUMBER(SEARCH("Category",N584)),"- -",IF(ISNUMBER(SEARCH("Skills",N584)),"- -",'Level-up'!C608))</f>
        <v>- -</v>
      </c>
      <c r="S584" s="4" t="str">
        <f t="shared" si="300"/>
        <v>- -</v>
      </c>
      <c r="T584" s="4" t="str">
        <f t="shared" si="301"/>
        <v>- -</v>
      </c>
      <c r="U584" s="4" t="str">
        <f t="shared" ca="1" si="295"/>
        <v>- -</v>
      </c>
      <c r="V584" s="4" t="str">
        <f>IF(ISNUMBER(SEARCH("Category",N584)),"- -",IF(ISNUMBER(SEARCH("Skills",N584)),"- -",IF(AU584&gt;0,AU584,IF(#REF!&gt;0,#REF!,$AU$547))))</f>
        <v>- -</v>
      </c>
      <c r="W584" s="4" t="str">
        <f t="shared" si="289"/>
        <v>- -</v>
      </c>
      <c r="X584" s="4" t="str">
        <f t="shared" si="288"/>
        <v>- -</v>
      </c>
      <c r="Y584" s="4" t="str">
        <f t="shared" si="302"/>
        <v>- -</v>
      </c>
      <c r="Z584" s="4" t="str">
        <f t="shared" si="303"/>
        <v>- -</v>
      </c>
      <c r="AA584" s="4" t="str">
        <f t="shared" si="304"/>
        <v>- -</v>
      </c>
      <c r="AB584" s="4" t="str">
        <f t="shared" si="305"/>
        <v>- -</v>
      </c>
      <c r="AC584" s="8"/>
      <c r="AD584" s="4"/>
      <c r="AE584" s="4"/>
      <c r="AF584" s="4" t="str">
        <f t="shared" ref="AF584:AF620" si="306">IF(ISNUMBER(SEARCH("Skills",N584)),"- -",IF(ISNUMBER(SEARCH("category",N584)),"- -",SUM(T584:Y584)+SUM(AA584:AE584)&amp;IF(AA584=Z584,"","/"&amp;SUM(T584:AE584))))</f>
        <v>- -</v>
      </c>
      <c r="AG584" s="4"/>
      <c r="AH584" s="4">
        <f>IFERROR(VLOOKUP(M584,Calculations!$AC$2:$AD$251,2,FALSE),0)</f>
        <v>0</v>
      </c>
      <c r="AI584" s="4" t="e">
        <f>VLOOKUP(N584,$N$2:$AS$620,MATCH('Character Creation'!$Z$12,Skills!$N$1:$AS$1,0),FALSE)</f>
        <v>#N/A</v>
      </c>
      <c r="AJ584" s="4" t="e">
        <f>VLOOKUP($N584,[2]Cultures!$B$4:$M$283,MATCH(AJ$1,[2]Cultures!$B$3:$M$3,0),FALSE)</f>
        <v>#N/A</v>
      </c>
      <c r="AK584" s="4" t="e">
        <f>VLOOKUP($N584,[2]Cultures!$B$4:$M$283,MATCH(AK$1,[2]Cultures!$B$3:$M$3,0),FALSE)</f>
        <v>#N/A</v>
      </c>
      <c r="AL584" s="4" t="e">
        <f>VLOOKUP($N584,[2]Cultures!$B$4:$M$283,MATCH(AL$1,[2]Cultures!$B$3:$M$3,0),FALSE)</f>
        <v>#N/A</v>
      </c>
      <c r="AM584" s="4" t="e">
        <f>VLOOKUP($N584,[2]Cultures!$B$4:$M$283,MATCH(AM$1,[2]Cultures!$B$3:$M$3,0),FALSE)</f>
        <v>#N/A</v>
      </c>
      <c r="AN584" s="4" t="e">
        <f>VLOOKUP($N584,[2]Cultures!$B$4:$M$283,MATCH(AN$1,[2]Cultures!$B$3:$M$3,0),FALSE)</f>
        <v>#N/A</v>
      </c>
      <c r="AO584" s="4" t="e">
        <f>VLOOKUP($N584,[2]Cultures!$B$4:$M$283,MATCH(AO$1,[2]Cultures!$B$3:$M$3,0),FALSE)</f>
        <v>#N/A</v>
      </c>
      <c r="AP584" s="4" t="e">
        <f>VLOOKUP($N584,[2]Cultures!$B$4:$M$283,MATCH(AP$1,[2]Cultures!$B$3:$M$3,0),FALSE)</f>
        <v>#N/A</v>
      </c>
      <c r="AQ584" s="4" t="e">
        <f>VLOOKUP($N584,[2]Cultures!$B$4:$M$283,MATCH(AQ$1,[2]Cultures!$B$3:$M$3,0),FALSE)</f>
        <v>#N/A</v>
      </c>
      <c r="AR584" s="4" t="e">
        <f>VLOOKUP($N584,[2]Cultures!$B$4:$M$283,MATCH(AR$1,[2]Cultures!$B$3:$M$3,0),FALSE)</f>
        <v>#N/A</v>
      </c>
      <c r="AS584" s="4" t="e">
        <f>VLOOKUP($N584,[2]Cultures!$B$4:$M$283,MATCH(AS$1,[2]Cultures!$B$3:$M$3,0),FALSE)</f>
        <v>#N/A</v>
      </c>
      <c r="AT584" s="4"/>
      <c r="AU584" s="4">
        <f>IF(ISNUMBER(SEARCH(N584&amp;";",Calculations!$Q$19)),VLOOKUP(Skills!N584,Calculations!$Q$2:$T$16,4,FALSE),0)</f>
        <v>0</v>
      </c>
      <c r="AV584" s="4">
        <f>IF(ISNUMBER(SEARCH(N584&amp;";",Calculations!$Q$18)),1,0)</f>
        <v>0</v>
      </c>
      <c r="AW584" s="4"/>
      <c r="AX584" s="4">
        <f>VLOOKUP($N584,$N584:$CH584,MATCH('Character Sheet'!$BJ$3,Skills!$N$1:$CH$1,0),FALSE)</f>
        <v>0</v>
      </c>
    </row>
    <row r="585" spans="2:50" x14ac:dyDescent="0.25">
      <c r="B585" s="4" t="e">
        <f t="shared" si="287"/>
        <v>#N/A</v>
      </c>
      <c r="E585" s="4"/>
      <c r="F585" s="4">
        <f t="shared" ca="1" si="298"/>
        <v>0</v>
      </c>
      <c r="G585" s="4"/>
      <c r="H585" s="4" t="e">
        <f t="shared" si="296"/>
        <v>#N/A</v>
      </c>
      <c r="I585" s="4">
        <v>0</v>
      </c>
      <c r="J585" s="4" t="e">
        <f t="shared" si="299"/>
        <v>#N/A</v>
      </c>
      <c r="K585" s="4" t="e">
        <f t="shared" si="297"/>
        <v>#N/A</v>
      </c>
      <c r="N585" s="3" t="s">
        <v>658</v>
      </c>
      <c r="O585" s="6" t="s">
        <v>782</v>
      </c>
      <c r="P585" s="6" t="s">
        <v>782</v>
      </c>
      <c r="Q585" s="4" t="str">
        <f t="shared" si="290"/>
        <v>- -</v>
      </c>
      <c r="R585" s="4" t="str">
        <f>IF(ISNUMBER(SEARCH("Category",N585)),"- -",IF(ISNUMBER(SEARCH("Skills",N585)),"- -",'Level-up'!C609))</f>
        <v>- -</v>
      </c>
      <c r="S585" s="4" t="str">
        <f t="shared" si="300"/>
        <v>- -</v>
      </c>
      <c r="T585" s="4" t="str">
        <f t="shared" si="301"/>
        <v>- -</v>
      </c>
      <c r="U585" s="4" t="str">
        <f t="shared" ca="1" si="295"/>
        <v>- -</v>
      </c>
      <c r="V585" s="4" t="str">
        <f>IF(ISNUMBER(SEARCH("Category",N585)),"- -",IF(ISNUMBER(SEARCH("Skills",N585)),"- -",IF(AU585&gt;0,AU585,IF(#REF!&gt;0,#REF!,$AU$547))))</f>
        <v>- -</v>
      </c>
      <c r="W585" s="4" t="str">
        <f t="shared" si="289"/>
        <v>- -</v>
      </c>
      <c r="X585" s="4" t="str">
        <f t="shared" si="288"/>
        <v>- -</v>
      </c>
      <c r="Y585" s="4" t="str">
        <f t="shared" si="302"/>
        <v>- -</v>
      </c>
      <c r="Z585" s="4" t="str">
        <f t="shared" si="303"/>
        <v>- -</v>
      </c>
      <c r="AA585" s="4" t="str">
        <f t="shared" si="304"/>
        <v>- -</v>
      </c>
      <c r="AB585" s="4" t="str">
        <f t="shared" si="305"/>
        <v>- -</v>
      </c>
      <c r="AC585" s="8"/>
      <c r="AD585" s="4"/>
      <c r="AE585" s="4"/>
      <c r="AF585" s="4" t="str">
        <f t="shared" si="306"/>
        <v>- -</v>
      </c>
      <c r="AG585" s="4"/>
      <c r="AH585" s="4">
        <f>IFERROR(VLOOKUP(M585,Calculations!$AC$2:$AD$251,2,FALSE),0)</f>
        <v>0</v>
      </c>
      <c r="AI585" s="4" t="e">
        <f>VLOOKUP(N585,$N$2:$AS$620,MATCH('Character Creation'!$Z$12,Skills!$N$1:$AS$1,0),FALSE)</f>
        <v>#N/A</v>
      </c>
      <c r="AJ585" s="4" t="e">
        <f>VLOOKUP($N585,[2]Cultures!$B$4:$M$283,MATCH(AJ$1,[2]Cultures!$B$3:$M$3,0),FALSE)</f>
        <v>#N/A</v>
      </c>
      <c r="AK585" s="4" t="e">
        <f>VLOOKUP($N585,[2]Cultures!$B$4:$M$283,MATCH(AK$1,[2]Cultures!$B$3:$M$3,0),FALSE)</f>
        <v>#N/A</v>
      </c>
      <c r="AL585" s="4" t="e">
        <f>VLOOKUP($N585,[2]Cultures!$B$4:$M$283,MATCH(AL$1,[2]Cultures!$B$3:$M$3,0),FALSE)</f>
        <v>#N/A</v>
      </c>
      <c r="AM585" s="4" t="e">
        <f>VLOOKUP($N585,[2]Cultures!$B$4:$M$283,MATCH(AM$1,[2]Cultures!$B$3:$M$3,0),FALSE)</f>
        <v>#N/A</v>
      </c>
      <c r="AN585" s="4" t="e">
        <f>VLOOKUP($N585,[2]Cultures!$B$4:$M$283,MATCH(AN$1,[2]Cultures!$B$3:$M$3,0),FALSE)</f>
        <v>#N/A</v>
      </c>
      <c r="AO585" s="4" t="e">
        <f>VLOOKUP($N585,[2]Cultures!$B$4:$M$283,MATCH(AO$1,[2]Cultures!$B$3:$M$3,0),FALSE)</f>
        <v>#N/A</v>
      </c>
      <c r="AP585" s="4" t="e">
        <f>VLOOKUP($N585,[2]Cultures!$B$4:$M$283,MATCH(AP$1,[2]Cultures!$B$3:$M$3,0),FALSE)</f>
        <v>#N/A</v>
      </c>
      <c r="AQ585" s="4" t="e">
        <f>VLOOKUP($N585,[2]Cultures!$B$4:$M$283,MATCH(AQ$1,[2]Cultures!$B$3:$M$3,0),FALSE)</f>
        <v>#N/A</v>
      </c>
      <c r="AR585" s="4" t="e">
        <f>VLOOKUP($N585,[2]Cultures!$B$4:$M$283,MATCH(AR$1,[2]Cultures!$B$3:$M$3,0),FALSE)</f>
        <v>#N/A</v>
      </c>
      <c r="AS585" s="4" t="e">
        <f>VLOOKUP($N585,[2]Cultures!$B$4:$M$283,MATCH(AS$1,[2]Cultures!$B$3:$M$3,0),FALSE)</f>
        <v>#N/A</v>
      </c>
      <c r="AT585" s="4"/>
      <c r="AU585" s="4">
        <f>IF(ISNUMBER(SEARCH(N585&amp;";",Calculations!$Q$19)),VLOOKUP(Skills!N585,Calculations!$Q$2:$T$16,4,FALSE),0)</f>
        <v>0</v>
      </c>
      <c r="AV585" s="4">
        <f>IF(ISNUMBER(SEARCH(N585&amp;";",Calculations!$Q$18)),1,0)</f>
        <v>0</v>
      </c>
      <c r="AW585" s="4"/>
      <c r="AX585" s="4">
        <f>VLOOKUP($N585,$N585:$CH585,MATCH('Character Sheet'!$BJ$3,Skills!$N$1:$CH$1,0),FALSE)</f>
        <v>0</v>
      </c>
    </row>
    <row r="586" spans="2:50" x14ac:dyDescent="0.25">
      <c r="B586" s="4" t="e">
        <f t="shared" ca="1" si="287"/>
        <v>#N/A</v>
      </c>
      <c r="E586" s="4"/>
      <c r="F586" s="4">
        <f t="shared" ca="1" si="298"/>
        <v>0</v>
      </c>
      <c r="G586" s="4"/>
      <c r="H586" s="4" t="e">
        <f t="shared" si="296"/>
        <v>#N/A</v>
      </c>
      <c r="I586" s="4" t="e">
        <f>IF($J$548=1,1,IF($J$585=1,1,0))</f>
        <v>#N/A</v>
      </c>
      <c r="J586" s="4">
        <f t="shared" si="299"/>
        <v>0</v>
      </c>
      <c r="K586" s="4" t="e">
        <f t="shared" ca="1" si="297"/>
        <v>#N/A</v>
      </c>
      <c r="M586" t="str">
        <f>N586</f>
        <v>Explosive Technics</v>
      </c>
      <c r="N586" s="3" t="str">
        <f>'Character Sheet'!DDB51</f>
        <v>Explosive Technics</v>
      </c>
      <c r="O586" s="4" t="s">
        <v>783</v>
      </c>
      <c r="P586" s="4" t="s">
        <v>801</v>
      </c>
      <c r="Q586" s="4" t="e">
        <f t="shared" ca="1" si="290"/>
        <v>#N/A</v>
      </c>
      <c r="R586" s="4">
        <f>IF(ISNUMBER(SEARCH("Category",N586)),"- -",IF(ISNUMBER(SEARCH("Skills",N586)),"- -",'Level-up'!C610))</f>
        <v>0</v>
      </c>
      <c r="S586" s="4" t="e">
        <f t="shared" ca="1" si="300"/>
        <v>#N/A</v>
      </c>
      <c r="T586" s="4" t="e">
        <f t="shared" ca="1" si="301"/>
        <v>#N/A</v>
      </c>
      <c r="U586" s="4">
        <f t="shared" ca="1" si="295"/>
        <v>5</v>
      </c>
      <c r="V586" s="4">
        <f t="shared" ref="V586:V592" si="307">IF(ISNUMBER(SEARCH("Category",N586)),"- -",IF(ISNUMBER(SEARCH("Skills",N586)),"- -",IF(AU586&gt;0,AU586,IF($AU$584&gt;0,$AU$584,$AU$547))))</f>
        <v>0</v>
      </c>
      <c r="W586" s="4">
        <f t="shared" si="289"/>
        <v>0</v>
      </c>
      <c r="X586" s="4">
        <f t="shared" si="288"/>
        <v>0</v>
      </c>
      <c r="Y586" s="4">
        <f t="shared" si="302"/>
        <v>0</v>
      </c>
      <c r="Z586" s="4">
        <f t="shared" si="303"/>
        <v>0</v>
      </c>
      <c r="AA586" s="4">
        <f t="shared" si="304"/>
        <v>0</v>
      </c>
      <c r="AB586" s="4">
        <f t="shared" si="305"/>
        <v>0</v>
      </c>
      <c r="AC586" s="8"/>
      <c r="AD586" s="4"/>
      <c r="AE586" s="4"/>
      <c r="AF586" s="4" t="e">
        <f t="shared" ca="1" si="306"/>
        <v>#N/A</v>
      </c>
      <c r="AG586" s="4"/>
      <c r="AH586" s="4">
        <f>IFERROR(VLOOKUP(M586,Calculations!$AC$2:$AD$251,2,FALSE),0)</f>
        <v>0</v>
      </c>
      <c r="AI586" s="4" t="e">
        <f ca="1">VLOOKUP(N586,$N$2:$AS$620,MATCH('Character Creation'!$Z$12,Skills!$N$1:$AS$1,0),FALSE)</f>
        <v>#N/A</v>
      </c>
      <c r="AJ586" s="4" t="e">
        <f>VLOOKUP($N586,[2]Cultures!$B$4:$M$283,MATCH(AJ$1,[2]Cultures!$B$3:$M$3,0),FALSE)</f>
        <v>#N/A</v>
      </c>
      <c r="AK586" s="4" t="e">
        <f>VLOOKUP($N586,[2]Cultures!$B$4:$M$283,MATCH(AK$1,[2]Cultures!$B$3:$M$3,0),FALSE)</f>
        <v>#N/A</v>
      </c>
      <c r="AL586" s="4" t="e">
        <f>VLOOKUP($N586,[2]Cultures!$B$4:$M$283,MATCH(AL$1,[2]Cultures!$B$3:$M$3,0),FALSE)</f>
        <v>#N/A</v>
      </c>
      <c r="AM586" s="4" t="e">
        <f>VLOOKUP($N586,[2]Cultures!$B$4:$M$283,MATCH(AM$1,[2]Cultures!$B$3:$M$3,0),FALSE)</f>
        <v>#N/A</v>
      </c>
      <c r="AN586" s="4" t="e">
        <f>VLOOKUP($N586,[2]Cultures!$B$4:$M$283,MATCH(AN$1,[2]Cultures!$B$3:$M$3,0),FALSE)</f>
        <v>#N/A</v>
      </c>
      <c r="AO586" s="4" t="e">
        <f>VLOOKUP($N586,[2]Cultures!$B$4:$M$283,MATCH(AO$1,[2]Cultures!$B$3:$M$3,0),FALSE)</f>
        <v>#N/A</v>
      </c>
      <c r="AP586" s="4" t="e">
        <f>VLOOKUP($N586,[2]Cultures!$B$4:$M$283,MATCH(AP$1,[2]Cultures!$B$3:$M$3,0),FALSE)</f>
        <v>#N/A</v>
      </c>
      <c r="AQ586" s="4" t="e">
        <f>VLOOKUP($N586,[2]Cultures!$B$4:$M$283,MATCH(AQ$1,[2]Cultures!$B$3:$M$3,0),FALSE)</f>
        <v>#N/A</v>
      </c>
      <c r="AR586" s="4" t="e">
        <f>VLOOKUP($N586,[2]Cultures!$B$4:$M$283,MATCH(AR$1,[2]Cultures!$B$3:$M$3,0),FALSE)</f>
        <v>#N/A</v>
      </c>
      <c r="AS586" s="4" t="e">
        <f>VLOOKUP($N586,[2]Cultures!$B$4:$M$283,MATCH(AS$1,[2]Cultures!$B$3:$M$3,0),FALSE)</f>
        <v>#N/A</v>
      </c>
      <c r="AT586" s="4"/>
      <c r="AU586" s="4">
        <f>IF(ISNUMBER(SEARCH(N586&amp;";",Calculations!$Q$19)),VLOOKUP(Skills!N586,Calculations!$Q$2:$T$16,4,FALSE),0)</f>
        <v>0</v>
      </c>
      <c r="AV586" s="4">
        <f>IF(ISNUMBER(SEARCH(N586&amp;";",Calculations!$Q$18)),1,0)</f>
        <v>0</v>
      </c>
      <c r="AW586" s="4">
        <f>IF($AV$547=1,1,IF($AV$584=1,1,AV586))</f>
        <v>0</v>
      </c>
      <c r="AX586" s="4">
        <f>VLOOKUP($N586,$N586:$CH586,MATCH('Character Sheet'!$BJ$3,Skills!$N$1:$CH$1,0),FALSE)</f>
        <v>0</v>
      </c>
    </row>
    <row r="587" spans="2:50" x14ac:dyDescent="0.25">
      <c r="B587" s="4" t="e">
        <f t="shared" si="287"/>
        <v>#N/A</v>
      </c>
      <c r="E587" s="4"/>
      <c r="F587" s="4">
        <f t="shared" ca="1" si="298"/>
        <v>0</v>
      </c>
      <c r="G587" s="4"/>
      <c r="H587" s="4" t="e">
        <f t="shared" si="296"/>
        <v>#N/A</v>
      </c>
      <c r="I587" s="4" t="e">
        <f>IF($J$548=1,1,IF($J$585=1,1,0))</f>
        <v>#N/A</v>
      </c>
      <c r="J587" s="4">
        <f t="shared" si="299"/>
        <v>0</v>
      </c>
      <c r="K587" s="4" t="e">
        <f t="shared" si="297"/>
        <v>#N/A</v>
      </c>
      <c r="M587" t="str">
        <f>N587</f>
        <v>Mounted Projectile Weapon Technics</v>
      </c>
      <c r="N587" s="3" t="str">
        <f>'Character Sheet'!DDB52</f>
        <v>Mounted Projectile Weapon Technics</v>
      </c>
      <c r="O587" s="4" t="s">
        <v>783</v>
      </c>
      <c r="P587" s="4" t="s">
        <v>801</v>
      </c>
      <c r="Q587" s="4" t="e">
        <f t="shared" si="290"/>
        <v>#N/A</v>
      </c>
      <c r="R587" s="4">
        <f>IF(ISNUMBER(SEARCH("Category",N587)),"- -",IF(ISNUMBER(SEARCH("Skills",N587)),"- -",'Level-up'!C611))</f>
        <v>0</v>
      </c>
      <c r="S587" s="4" t="e">
        <f t="shared" si="300"/>
        <v>#N/A</v>
      </c>
      <c r="T587" s="4" t="e">
        <f t="shared" si="301"/>
        <v>#N/A</v>
      </c>
      <c r="U587" s="4">
        <f t="shared" ca="1" si="295"/>
        <v>5</v>
      </c>
      <c r="V587" s="4">
        <f t="shared" si="307"/>
        <v>0</v>
      </c>
      <c r="W587" s="4">
        <f t="shared" si="289"/>
        <v>0</v>
      </c>
      <c r="X587" s="4">
        <f t="shared" si="288"/>
        <v>0</v>
      </c>
      <c r="Y587" s="4">
        <f t="shared" si="302"/>
        <v>0</v>
      </c>
      <c r="Z587" s="4">
        <f t="shared" si="303"/>
        <v>0</v>
      </c>
      <c r="AA587" s="4">
        <f t="shared" si="304"/>
        <v>0</v>
      </c>
      <c r="AB587" s="4">
        <f t="shared" si="305"/>
        <v>0</v>
      </c>
      <c r="AC587" s="8"/>
      <c r="AD587" s="4"/>
      <c r="AE587" s="4"/>
      <c r="AF587" s="4" t="e">
        <f t="shared" si="306"/>
        <v>#N/A</v>
      </c>
      <c r="AG587" s="4"/>
      <c r="AH587" s="4">
        <f>IFERROR(VLOOKUP(M587,Calculations!$AC$2:$AD$251,2,FALSE),0)</f>
        <v>0</v>
      </c>
      <c r="AI587" s="4" t="e">
        <f>VLOOKUP(N587,$N$2:$AS$620,MATCH('Character Creation'!$Z$12,Skills!$N$1:$AS$1,0),FALSE)</f>
        <v>#N/A</v>
      </c>
      <c r="AJ587" s="4" t="e">
        <f>VLOOKUP($N587,[2]Cultures!$B$4:$M$283,MATCH(AJ$1,[2]Cultures!$B$3:$M$3,0),FALSE)</f>
        <v>#N/A</v>
      </c>
      <c r="AK587" s="4" t="e">
        <f>VLOOKUP($N587,[2]Cultures!$B$4:$M$283,MATCH(AK$1,[2]Cultures!$B$3:$M$3,0),FALSE)</f>
        <v>#N/A</v>
      </c>
      <c r="AL587" s="4" t="e">
        <f>VLOOKUP($N587,[2]Cultures!$B$4:$M$283,MATCH(AL$1,[2]Cultures!$B$3:$M$3,0),FALSE)</f>
        <v>#N/A</v>
      </c>
      <c r="AM587" s="4" t="e">
        <f>VLOOKUP($N587,[2]Cultures!$B$4:$M$283,MATCH(AM$1,[2]Cultures!$B$3:$M$3,0),FALSE)</f>
        <v>#N/A</v>
      </c>
      <c r="AN587" s="4" t="e">
        <f>VLOOKUP($N587,[2]Cultures!$B$4:$M$283,MATCH(AN$1,[2]Cultures!$B$3:$M$3,0),FALSE)</f>
        <v>#N/A</v>
      </c>
      <c r="AO587" s="4" t="e">
        <f>VLOOKUP($N587,[2]Cultures!$B$4:$M$283,MATCH(AO$1,[2]Cultures!$B$3:$M$3,0),FALSE)</f>
        <v>#N/A</v>
      </c>
      <c r="AP587" s="4" t="e">
        <f>VLOOKUP($N587,[2]Cultures!$B$4:$M$283,MATCH(AP$1,[2]Cultures!$B$3:$M$3,0),FALSE)</f>
        <v>#N/A</v>
      </c>
      <c r="AQ587" s="4" t="e">
        <f>VLOOKUP($N587,[2]Cultures!$B$4:$M$283,MATCH(AQ$1,[2]Cultures!$B$3:$M$3,0),FALSE)</f>
        <v>#N/A</v>
      </c>
      <c r="AR587" s="4" t="e">
        <f>VLOOKUP($N587,[2]Cultures!$B$4:$M$283,MATCH(AR$1,[2]Cultures!$B$3:$M$3,0),FALSE)</f>
        <v>#N/A</v>
      </c>
      <c r="AS587" s="4" t="e">
        <f>VLOOKUP($N587,[2]Cultures!$B$4:$M$283,MATCH(AS$1,[2]Cultures!$B$3:$M$3,0),FALSE)</f>
        <v>#N/A</v>
      </c>
      <c r="AT587" s="4"/>
      <c r="AU587" s="4">
        <f>IF(ISNUMBER(SEARCH(N587&amp;";",Calculations!$Q$19)),VLOOKUP(Skills!N587,Calculations!$Q$2:$T$16,4,FALSE),0)</f>
        <v>0</v>
      </c>
      <c r="AV587" s="4">
        <f>IF(ISNUMBER(SEARCH(N587&amp;";",Calculations!$Q$18)),1,0)</f>
        <v>0</v>
      </c>
      <c r="AW587" s="4">
        <f>IF($AV$547=1,1,IF($AV$584=1,1,AV587))</f>
        <v>0</v>
      </c>
      <c r="AX587" s="4">
        <f>VLOOKUP($N587,$N587:$CH587,MATCH('Character Sheet'!$BJ$3,Skills!$N$1:$CH$1,0),FALSE)</f>
        <v>0</v>
      </c>
    </row>
    <row r="588" spans="2:50" x14ac:dyDescent="0.25">
      <c r="B588" s="4" t="e">
        <f t="shared" si="287"/>
        <v>#N/A</v>
      </c>
      <c r="E588" s="4"/>
      <c r="F588" s="4">
        <f t="shared" ca="1" si="298"/>
        <v>0</v>
      </c>
      <c r="G588" s="4"/>
      <c r="H588" s="4" t="e">
        <f t="shared" si="296"/>
        <v>#N/A</v>
      </c>
      <c r="I588" s="4" t="e">
        <f>IF($J$548=1,1,IF($J$585=1,1,0))</f>
        <v>#N/A</v>
      </c>
      <c r="J588" s="4">
        <f t="shared" si="299"/>
        <v>0</v>
      </c>
      <c r="K588" s="4" t="e">
        <f t="shared" si="297"/>
        <v>#N/A</v>
      </c>
      <c r="M588" t="str">
        <f>N588</f>
        <v>Projectile Weapon Technics</v>
      </c>
      <c r="N588" s="3" t="str">
        <f>'Character Sheet'!DDB53</f>
        <v>Projectile Weapon Technics</v>
      </c>
      <c r="O588" s="4" t="s">
        <v>783</v>
      </c>
      <c r="P588" s="4" t="s">
        <v>801</v>
      </c>
      <c r="Q588" s="4" t="e">
        <f t="shared" si="290"/>
        <v>#N/A</v>
      </c>
      <c r="R588" s="4">
        <f>IF(ISNUMBER(SEARCH("Category",N588)),"- -",IF(ISNUMBER(SEARCH("Skills",N588)),"- -",'Level-up'!C612))</f>
        <v>0</v>
      </c>
      <c r="S588" s="4" t="e">
        <f t="shared" si="300"/>
        <v>#N/A</v>
      </c>
      <c r="T588" s="4" t="e">
        <f t="shared" si="301"/>
        <v>#N/A</v>
      </c>
      <c r="U588" s="4">
        <f t="shared" ca="1" si="295"/>
        <v>5</v>
      </c>
      <c r="V588" s="4">
        <f t="shared" si="307"/>
        <v>0</v>
      </c>
      <c r="W588" s="4">
        <f t="shared" si="289"/>
        <v>0</v>
      </c>
      <c r="X588" s="4">
        <f t="shared" si="288"/>
        <v>0</v>
      </c>
      <c r="Y588" s="4">
        <f t="shared" si="302"/>
        <v>0</v>
      </c>
      <c r="Z588" s="4">
        <f t="shared" si="303"/>
        <v>0</v>
      </c>
      <c r="AA588" s="4">
        <f t="shared" si="304"/>
        <v>0</v>
      </c>
      <c r="AB588" s="4">
        <f t="shared" si="305"/>
        <v>0</v>
      </c>
      <c r="AC588" s="8"/>
      <c r="AD588" s="4"/>
      <c r="AE588" s="4"/>
      <c r="AF588" s="4" t="e">
        <f t="shared" si="306"/>
        <v>#N/A</v>
      </c>
      <c r="AG588" s="4"/>
      <c r="AH588" s="4">
        <f>IFERROR(VLOOKUP(M588,Calculations!$AC$2:$AD$251,2,FALSE),0)</f>
        <v>0</v>
      </c>
      <c r="AI588" s="4" t="e">
        <f>VLOOKUP(N588,$N$2:$AS$620,MATCH('Character Creation'!$Z$12,Skills!$N$1:$AS$1,0),FALSE)</f>
        <v>#N/A</v>
      </c>
      <c r="AJ588" s="4" t="e">
        <f>VLOOKUP($N588,[2]Cultures!$B$4:$M$283,MATCH(AJ$1,[2]Cultures!$B$3:$M$3,0),FALSE)</f>
        <v>#N/A</v>
      </c>
      <c r="AK588" s="4" t="e">
        <f>VLOOKUP($N588,[2]Cultures!$B$4:$M$283,MATCH(AK$1,[2]Cultures!$B$3:$M$3,0),FALSE)</f>
        <v>#N/A</v>
      </c>
      <c r="AL588" s="4" t="e">
        <f>VLOOKUP($N588,[2]Cultures!$B$4:$M$283,MATCH(AL$1,[2]Cultures!$B$3:$M$3,0),FALSE)</f>
        <v>#N/A</v>
      </c>
      <c r="AM588" s="4" t="e">
        <f>VLOOKUP($N588,[2]Cultures!$B$4:$M$283,MATCH(AM$1,[2]Cultures!$B$3:$M$3,0),FALSE)</f>
        <v>#N/A</v>
      </c>
      <c r="AN588" s="4" t="e">
        <f>VLOOKUP($N588,[2]Cultures!$B$4:$M$283,MATCH(AN$1,[2]Cultures!$B$3:$M$3,0),FALSE)</f>
        <v>#N/A</v>
      </c>
      <c r="AO588" s="4" t="e">
        <f>VLOOKUP($N588,[2]Cultures!$B$4:$M$283,MATCH(AO$1,[2]Cultures!$B$3:$M$3,0),FALSE)</f>
        <v>#N/A</v>
      </c>
      <c r="AP588" s="4" t="e">
        <f>VLOOKUP($N588,[2]Cultures!$B$4:$M$283,MATCH(AP$1,[2]Cultures!$B$3:$M$3,0),FALSE)</f>
        <v>#N/A</v>
      </c>
      <c r="AQ588" s="4" t="e">
        <f>VLOOKUP($N588,[2]Cultures!$B$4:$M$283,MATCH(AQ$1,[2]Cultures!$B$3:$M$3,0),FALSE)</f>
        <v>#N/A</v>
      </c>
      <c r="AR588" s="4" t="e">
        <f>VLOOKUP($N588,[2]Cultures!$B$4:$M$283,MATCH(AR$1,[2]Cultures!$B$3:$M$3,0),FALSE)</f>
        <v>#N/A</v>
      </c>
      <c r="AS588" s="4" t="e">
        <f>VLOOKUP($N588,[2]Cultures!$B$4:$M$283,MATCH(AS$1,[2]Cultures!$B$3:$M$3,0),FALSE)</f>
        <v>#N/A</v>
      </c>
      <c r="AT588" s="4"/>
      <c r="AU588" s="4">
        <f>IF(ISNUMBER(SEARCH(N588&amp;";",Calculations!$Q$19)),VLOOKUP(Skills!N588,Calculations!$Q$2:$T$16,4,FALSE),0)</f>
        <v>0</v>
      </c>
      <c r="AV588" s="4">
        <f>IF(ISNUMBER(SEARCH(N588&amp;";",Calculations!$Q$18)),1,0)</f>
        <v>0</v>
      </c>
      <c r="AW588" s="4">
        <f>IF($AV$547=1,1,IF($AV$584=1,1,AV588))</f>
        <v>0</v>
      </c>
      <c r="AX588" s="4">
        <f>VLOOKUP($N588,$N588:$CH588,MATCH('Character Sheet'!$BJ$3,Skills!$N$1:$CH$1,0),FALSE)</f>
        <v>0</v>
      </c>
    </row>
    <row r="589" spans="2:50" x14ac:dyDescent="0.25">
      <c r="B589" s="4" t="e">
        <f t="shared" si="287"/>
        <v>#N/A</v>
      </c>
      <c r="E589" s="4"/>
      <c r="F589" s="4">
        <f t="shared" ca="1" si="298"/>
        <v>0</v>
      </c>
      <c r="G589" s="4"/>
      <c r="H589" s="4" t="e">
        <f t="shared" si="296"/>
        <v>#N/A</v>
      </c>
      <c r="I589" s="4">
        <f>IF($J$118=1,1,IF($J$590=1,1,IF($J$592=1,1,IF($J$601=1,1,IF($J$614=1,1,0)))))</f>
        <v>1</v>
      </c>
      <c r="J589" s="4">
        <f t="shared" si="299"/>
        <v>0</v>
      </c>
      <c r="K589" s="4" t="e">
        <f t="shared" si="297"/>
        <v>#N/A</v>
      </c>
      <c r="N589" s="3" t="s">
        <v>749</v>
      </c>
      <c r="O589" s="6" t="s">
        <v>782</v>
      </c>
      <c r="P589" s="6" t="s">
        <v>782</v>
      </c>
      <c r="Q589" s="4" t="str">
        <f t="shared" si="290"/>
        <v>- -</v>
      </c>
      <c r="R589" s="4" t="str">
        <f>IF(ISNUMBER(SEARCH("Category",N589)),"- -",IF(ISNUMBER(SEARCH("Skills",N589)),"- -",'Level-up'!C613))</f>
        <v>- -</v>
      </c>
      <c r="S589" s="4" t="str">
        <f t="shared" si="300"/>
        <v>- -</v>
      </c>
      <c r="T589" s="4" t="str">
        <f t="shared" si="301"/>
        <v>- -</v>
      </c>
      <c r="U589" s="4" t="str">
        <f t="shared" ca="1" si="295"/>
        <v>- -</v>
      </c>
      <c r="V589" s="4" t="str">
        <f t="shared" si="307"/>
        <v>- -</v>
      </c>
      <c r="W589" s="4" t="str">
        <f t="shared" si="289"/>
        <v>- -</v>
      </c>
      <c r="X589" s="4" t="str">
        <f t="shared" si="288"/>
        <v>- -</v>
      </c>
      <c r="Y589" s="4" t="str">
        <f t="shared" si="302"/>
        <v>- -</v>
      </c>
      <c r="Z589" s="4" t="str">
        <f t="shared" si="303"/>
        <v>- -</v>
      </c>
      <c r="AA589" s="4" t="str">
        <f t="shared" si="304"/>
        <v>- -</v>
      </c>
      <c r="AB589" s="4" t="str">
        <f t="shared" si="305"/>
        <v>- -</v>
      </c>
      <c r="AC589" s="8"/>
      <c r="AD589" s="4"/>
      <c r="AE589" s="4"/>
      <c r="AF589" s="4" t="str">
        <f t="shared" si="306"/>
        <v>- -</v>
      </c>
      <c r="AG589" s="4"/>
      <c r="AH589" s="4">
        <f>IFERROR(VLOOKUP(M589,Calculations!$AC$2:$AD$251,2,FALSE),0)</f>
        <v>0</v>
      </c>
      <c r="AI589" s="4" t="e">
        <f>VLOOKUP(N589,$N$2:$AS$620,MATCH('Character Creation'!$Z$12,Skills!$N$1:$AS$1,0),FALSE)</f>
        <v>#N/A</v>
      </c>
      <c r="AJ589" s="4" t="e">
        <f>VLOOKUP($N589,[2]Cultures!$B$4:$M$283,MATCH(AJ$1,[2]Cultures!$B$3:$M$3,0),FALSE)</f>
        <v>#N/A</v>
      </c>
      <c r="AK589" s="4" t="e">
        <f>VLOOKUP($N589,[2]Cultures!$B$4:$M$283,MATCH(AK$1,[2]Cultures!$B$3:$M$3,0),FALSE)</f>
        <v>#N/A</v>
      </c>
      <c r="AL589" s="4" t="e">
        <f>VLOOKUP($N589,[2]Cultures!$B$4:$M$283,MATCH(AL$1,[2]Cultures!$B$3:$M$3,0),FALSE)</f>
        <v>#N/A</v>
      </c>
      <c r="AM589" s="4" t="e">
        <f>VLOOKUP($N589,[2]Cultures!$B$4:$M$283,MATCH(AM$1,[2]Cultures!$B$3:$M$3,0),FALSE)</f>
        <v>#N/A</v>
      </c>
      <c r="AN589" s="4" t="e">
        <f>VLOOKUP($N589,[2]Cultures!$B$4:$M$283,MATCH(AN$1,[2]Cultures!$B$3:$M$3,0),FALSE)</f>
        <v>#N/A</v>
      </c>
      <c r="AO589" s="4" t="e">
        <f>VLOOKUP($N589,[2]Cultures!$B$4:$M$283,MATCH(AO$1,[2]Cultures!$B$3:$M$3,0),FALSE)</f>
        <v>#N/A</v>
      </c>
      <c r="AP589" s="4" t="e">
        <f>VLOOKUP($N589,[2]Cultures!$B$4:$M$283,MATCH(AP$1,[2]Cultures!$B$3:$M$3,0),FALSE)</f>
        <v>#N/A</v>
      </c>
      <c r="AQ589" s="4" t="e">
        <f>VLOOKUP($N589,[2]Cultures!$B$4:$M$283,MATCH(AQ$1,[2]Cultures!$B$3:$M$3,0),FALSE)</f>
        <v>#N/A</v>
      </c>
      <c r="AR589" s="4" t="e">
        <f>VLOOKUP($N589,[2]Cultures!$B$4:$M$283,MATCH(AR$1,[2]Cultures!$B$3:$M$3,0),FALSE)</f>
        <v>#N/A</v>
      </c>
      <c r="AS589" s="4" t="e">
        <f>VLOOKUP($N589,[2]Cultures!$B$4:$M$283,MATCH(AS$1,[2]Cultures!$B$3:$M$3,0),FALSE)</f>
        <v>#N/A</v>
      </c>
      <c r="AT589" s="4"/>
      <c r="AU589" s="4">
        <f>IF(ISNUMBER(SEARCH(N589&amp;";",Calculations!$Q$19)),VLOOKUP(Skills!N589,Calculations!$Q$2:$T$16,4,FALSE),0)</f>
        <v>0</v>
      </c>
      <c r="AV589" s="4">
        <f>IF(ISNUMBER(SEARCH(N589&amp;";",Calculations!$Q$18)),1,0)</f>
        <v>0</v>
      </c>
      <c r="AW589" s="4"/>
      <c r="AX589" s="4">
        <f>VLOOKUP($N589,$N589:$CH589,MATCH('Character Sheet'!$BJ$3,Skills!$N$1:$CH$1,0),FALSE)</f>
        <v>0</v>
      </c>
    </row>
    <row r="590" spans="2:50" x14ac:dyDescent="0.25">
      <c r="B590" s="4" t="e">
        <f t="shared" si="287"/>
        <v>#N/A</v>
      </c>
      <c r="E590" s="4"/>
      <c r="F590" s="4">
        <f t="shared" ca="1" si="298"/>
        <v>0</v>
      </c>
      <c r="G590" s="4"/>
      <c r="H590" s="4" t="e">
        <f t="shared" si="296"/>
        <v>#N/A</v>
      </c>
      <c r="I590" s="4">
        <v>0</v>
      </c>
      <c r="J590" s="4" t="e">
        <f t="shared" si="299"/>
        <v>#N/A</v>
      </c>
      <c r="K590" s="4" t="e">
        <f t="shared" si="297"/>
        <v>#N/A</v>
      </c>
      <c r="N590" s="3" t="s">
        <v>750</v>
      </c>
      <c r="O590" s="6" t="s">
        <v>782</v>
      </c>
      <c r="P590" s="6" t="s">
        <v>782</v>
      </c>
      <c r="Q590" s="4" t="str">
        <f t="shared" si="290"/>
        <v>- -</v>
      </c>
      <c r="R590" s="4" t="str">
        <f>IF(ISNUMBER(SEARCH("Category",N590)),"- -",IF(ISNUMBER(SEARCH("Skills",N590)),"- -",'Level-up'!C614))</f>
        <v>- -</v>
      </c>
      <c r="S590" s="4" t="str">
        <f t="shared" si="300"/>
        <v>- -</v>
      </c>
      <c r="T590" s="4" t="str">
        <f t="shared" si="301"/>
        <v>- -</v>
      </c>
      <c r="U590" s="4" t="str">
        <f t="shared" ca="1" si="295"/>
        <v>- -</v>
      </c>
      <c r="V590" s="4" t="str">
        <f t="shared" si="307"/>
        <v>- -</v>
      </c>
      <c r="W590" s="4" t="str">
        <f t="shared" si="289"/>
        <v>- -</v>
      </c>
      <c r="X590" s="4" t="str">
        <f t="shared" si="288"/>
        <v>- -</v>
      </c>
      <c r="Y590" s="4" t="str">
        <f t="shared" si="302"/>
        <v>- -</v>
      </c>
      <c r="Z590" s="4" t="str">
        <f t="shared" si="303"/>
        <v>- -</v>
      </c>
      <c r="AA590" s="4" t="str">
        <f t="shared" si="304"/>
        <v>- -</v>
      </c>
      <c r="AB590" s="4" t="str">
        <f t="shared" si="305"/>
        <v>- -</v>
      </c>
      <c r="AC590" s="8"/>
      <c r="AD590" s="4"/>
      <c r="AE590" s="4"/>
      <c r="AF590" s="4" t="str">
        <f t="shared" si="306"/>
        <v>- -</v>
      </c>
      <c r="AG590" s="4"/>
      <c r="AH590" s="4">
        <f>IFERROR(VLOOKUP(M590,Calculations!$AC$2:$AD$251,2,FALSE),0)</f>
        <v>0</v>
      </c>
      <c r="AI590" s="4" t="e">
        <f>VLOOKUP(N590,$N$2:$AS$620,MATCH('Character Creation'!$Z$12,Skills!$N$1:$AS$1,0),FALSE)</f>
        <v>#N/A</v>
      </c>
      <c r="AJ590" s="4" t="e">
        <f>VLOOKUP($N590,[2]Cultures!$B$4:$M$283,MATCH(AJ$1,[2]Cultures!$B$3:$M$3,0),FALSE)</f>
        <v>#N/A</v>
      </c>
      <c r="AK590" s="4" t="e">
        <f>VLOOKUP($N590,[2]Cultures!$B$4:$M$283,MATCH(AK$1,[2]Cultures!$B$3:$M$3,0),FALSE)</f>
        <v>#N/A</v>
      </c>
      <c r="AL590" s="4" t="e">
        <f>VLOOKUP($N590,[2]Cultures!$B$4:$M$283,MATCH(AL$1,[2]Cultures!$B$3:$M$3,0),FALSE)</f>
        <v>#N/A</v>
      </c>
      <c r="AM590" s="4" t="e">
        <f>VLOOKUP($N590,[2]Cultures!$B$4:$M$283,MATCH(AM$1,[2]Cultures!$B$3:$M$3,0),FALSE)</f>
        <v>#N/A</v>
      </c>
      <c r="AN590" s="4" t="e">
        <f>VLOOKUP($N590,[2]Cultures!$B$4:$M$283,MATCH(AN$1,[2]Cultures!$B$3:$M$3,0),FALSE)</f>
        <v>#N/A</v>
      </c>
      <c r="AO590" s="4" t="e">
        <f>VLOOKUP($N590,[2]Cultures!$B$4:$M$283,MATCH(AO$1,[2]Cultures!$B$3:$M$3,0),FALSE)</f>
        <v>#N/A</v>
      </c>
      <c r="AP590" s="4" t="e">
        <f>VLOOKUP($N590,[2]Cultures!$B$4:$M$283,MATCH(AP$1,[2]Cultures!$B$3:$M$3,0),FALSE)</f>
        <v>#N/A</v>
      </c>
      <c r="AQ590" s="4" t="e">
        <f>VLOOKUP($N590,[2]Cultures!$B$4:$M$283,MATCH(AQ$1,[2]Cultures!$B$3:$M$3,0),FALSE)</f>
        <v>#N/A</v>
      </c>
      <c r="AR590" s="4" t="e">
        <f>VLOOKUP($N590,[2]Cultures!$B$4:$M$283,MATCH(AR$1,[2]Cultures!$B$3:$M$3,0),FALSE)</f>
        <v>#N/A</v>
      </c>
      <c r="AS590" s="4" t="e">
        <f>VLOOKUP($N590,[2]Cultures!$B$4:$M$283,MATCH(AS$1,[2]Cultures!$B$3:$M$3,0),FALSE)</f>
        <v>#N/A</v>
      </c>
      <c r="AT590" s="4"/>
      <c r="AU590" s="4">
        <f>IF(ISNUMBER(SEARCH(N590&amp;";",Calculations!$Q$19)),VLOOKUP(Skills!N590,Calculations!$Q$2:$T$16,4,FALSE),0)</f>
        <v>0</v>
      </c>
      <c r="AV590" s="4">
        <f>IF(ISNUMBER(SEARCH(N590&amp;";",Calculations!$Q$18)),1,0)</f>
        <v>0</v>
      </c>
      <c r="AW590" s="4"/>
      <c r="AX590" s="4">
        <f>VLOOKUP($N590,$N590:$CH590,MATCH('Character Sheet'!$BJ$3,Skills!$N$1:$CH$1,0),FALSE)</f>
        <v>0</v>
      </c>
    </row>
    <row r="591" spans="2:50" x14ac:dyDescent="0.25">
      <c r="B591" s="4" t="e">
        <f t="shared" si="287"/>
        <v>#N/A</v>
      </c>
      <c r="E591" s="4"/>
      <c r="F591" s="4">
        <f t="shared" ca="1" si="298"/>
        <v>0</v>
      </c>
      <c r="G591" s="4"/>
      <c r="H591" s="4" t="e">
        <f t="shared" si="296"/>
        <v>#N/A</v>
      </c>
      <c r="I591" s="4">
        <f>IF($J$118=1,1,IF($J$590=1,1,IF($J$592=1,1,0)))</f>
        <v>1</v>
      </c>
      <c r="J591" s="4">
        <f t="shared" si="299"/>
        <v>0</v>
      </c>
      <c r="K591" s="4" t="e">
        <f t="shared" si="297"/>
        <v>#N/A</v>
      </c>
      <c r="N591" s="3" t="s">
        <v>751</v>
      </c>
      <c r="O591" s="6" t="s">
        <v>782</v>
      </c>
      <c r="P591" s="6" t="s">
        <v>782</v>
      </c>
      <c r="Q591" s="4" t="str">
        <f t="shared" si="290"/>
        <v>- -</v>
      </c>
      <c r="R591" s="4" t="str">
        <f>IF(ISNUMBER(SEARCH("Category",N591)),"- -",IF(ISNUMBER(SEARCH("Skills",N591)),"- -",'Level-up'!C615))</f>
        <v>- -</v>
      </c>
      <c r="S591" s="4" t="str">
        <f t="shared" si="300"/>
        <v>- -</v>
      </c>
      <c r="T591" s="4" t="str">
        <f t="shared" si="301"/>
        <v>- -</v>
      </c>
      <c r="U591" s="4" t="str">
        <f t="shared" ca="1" si="295"/>
        <v>- -</v>
      </c>
      <c r="V591" s="4" t="str">
        <f t="shared" si="307"/>
        <v>- -</v>
      </c>
      <c r="W591" s="4" t="str">
        <f t="shared" si="289"/>
        <v>- -</v>
      </c>
      <c r="X591" s="4" t="str">
        <f t="shared" si="288"/>
        <v>- -</v>
      </c>
      <c r="Y591" s="4" t="str">
        <f t="shared" si="302"/>
        <v>- -</v>
      </c>
      <c r="Z591" s="4" t="str">
        <f t="shared" si="303"/>
        <v>- -</v>
      </c>
      <c r="AA591" s="4" t="str">
        <f t="shared" si="304"/>
        <v>- -</v>
      </c>
      <c r="AB591" s="4" t="str">
        <f t="shared" si="305"/>
        <v>- -</v>
      </c>
      <c r="AC591" s="8"/>
      <c r="AD591" s="4"/>
      <c r="AE591" s="4"/>
      <c r="AF591" s="4" t="str">
        <f t="shared" si="306"/>
        <v>- -</v>
      </c>
      <c r="AG591" s="4"/>
      <c r="AH591" s="4">
        <f>IFERROR(VLOOKUP(M591,Calculations!$AC$2:$AD$251,2,FALSE),0)</f>
        <v>0</v>
      </c>
      <c r="AI591" s="4" t="e">
        <f>VLOOKUP(N591,$N$2:$AS$620,MATCH('Character Creation'!$Z$12,Skills!$N$1:$AS$1,0),FALSE)</f>
        <v>#N/A</v>
      </c>
      <c r="AJ591" s="4" t="e">
        <f>VLOOKUP($N591,[2]Cultures!$B$4:$M$283,MATCH(AJ$1,[2]Cultures!$B$3:$M$3,0),FALSE)</f>
        <v>#N/A</v>
      </c>
      <c r="AK591" s="4" t="e">
        <f>VLOOKUP($N591,[2]Cultures!$B$4:$M$283,MATCH(AK$1,[2]Cultures!$B$3:$M$3,0),FALSE)</f>
        <v>#N/A</v>
      </c>
      <c r="AL591" s="4" t="e">
        <f>VLOOKUP($N591,[2]Cultures!$B$4:$M$283,MATCH(AL$1,[2]Cultures!$B$3:$M$3,0),FALSE)</f>
        <v>#N/A</v>
      </c>
      <c r="AM591" s="4" t="e">
        <f>VLOOKUP($N591,[2]Cultures!$B$4:$M$283,MATCH(AM$1,[2]Cultures!$B$3:$M$3,0),FALSE)</f>
        <v>#N/A</v>
      </c>
      <c r="AN591" s="4" t="e">
        <f>VLOOKUP($N591,[2]Cultures!$B$4:$M$283,MATCH(AN$1,[2]Cultures!$B$3:$M$3,0),FALSE)</f>
        <v>#N/A</v>
      </c>
      <c r="AO591" s="4" t="e">
        <f>VLOOKUP($N591,[2]Cultures!$B$4:$M$283,MATCH(AO$1,[2]Cultures!$B$3:$M$3,0),FALSE)</f>
        <v>#N/A</v>
      </c>
      <c r="AP591" s="4" t="e">
        <f>VLOOKUP($N591,[2]Cultures!$B$4:$M$283,MATCH(AP$1,[2]Cultures!$B$3:$M$3,0),FALSE)</f>
        <v>#N/A</v>
      </c>
      <c r="AQ591" s="4" t="e">
        <f>VLOOKUP($N591,[2]Cultures!$B$4:$M$283,MATCH(AQ$1,[2]Cultures!$B$3:$M$3,0),FALSE)</f>
        <v>#N/A</v>
      </c>
      <c r="AR591" s="4" t="e">
        <f>VLOOKUP($N591,[2]Cultures!$B$4:$M$283,MATCH(AR$1,[2]Cultures!$B$3:$M$3,0),FALSE)</f>
        <v>#N/A</v>
      </c>
      <c r="AS591" s="4" t="e">
        <f>VLOOKUP($N591,[2]Cultures!$B$4:$M$283,MATCH(AS$1,[2]Cultures!$B$3:$M$3,0),FALSE)</f>
        <v>#N/A</v>
      </c>
      <c r="AT591" s="4"/>
      <c r="AU591" s="4">
        <f>IF(ISNUMBER(SEARCH(N591&amp;";",Calculations!$Q$19)),VLOOKUP(Skills!N591,Calculations!$Q$2:$T$16,4,FALSE),0)</f>
        <v>0</v>
      </c>
      <c r="AV591" s="4">
        <f>IF(ISNUMBER(SEARCH(N591&amp;";",Calculations!$Q$18)),1,0)</f>
        <v>0</v>
      </c>
      <c r="AW591" s="4"/>
      <c r="AX591" s="4">
        <f>VLOOKUP($N591,$N591:$CH591,MATCH('Character Sheet'!$BJ$3,Skills!$N$1:$CH$1,0),FALSE)</f>
        <v>0</v>
      </c>
    </row>
    <row r="592" spans="2:50" x14ac:dyDescent="0.25">
      <c r="B592" s="4" t="e">
        <f t="shared" si="287"/>
        <v>#N/A</v>
      </c>
      <c r="E592" s="4"/>
      <c r="F592" s="4">
        <f t="shared" ca="1" si="298"/>
        <v>0</v>
      </c>
      <c r="G592" s="4"/>
      <c r="H592" s="4" t="e">
        <f t="shared" si="296"/>
        <v>#N/A</v>
      </c>
      <c r="I592" s="4">
        <v>0</v>
      </c>
      <c r="J592" s="4" t="e">
        <f t="shared" si="299"/>
        <v>#N/A</v>
      </c>
      <c r="K592" s="4" t="e">
        <f t="shared" si="297"/>
        <v>#N/A</v>
      </c>
      <c r="N592" s="3" t="s">
        <v>752</v>
      </c>
      <c r="O592" s="6" t="s">
        <v>782</v>
      </c>
      <c r="P592" s="6" t="s">
        <v>782</v>
      </c>
      <c r="Q592" s="4" t="str">
        <f t="shared" si="290"/>
        <v>- -</v>
      </c>
      <c r="R592" s="4" t="str">
        <f>IF(ISNUMBER(SEARCH("Category",N592)),"- -",IF(ISNUMBER(SEARCH("Skills",N592)),"- -",'Level-up'!C616))</f>
        <v>- -</v>
      </c>
      <c r="S592" s="4" t="str">
        <f t="shared" si="300"/>
        <v>- -</v>
      </c>
      <c r="T592" s="4" t="str">
        <f t="shared" si="301"/>
        <v>- -</v>
      </c>
      <c r="U592" s="4" t="str">
        <f t="shared" ca="1" si="295"/>
        <v>- -</v>
      </c>
      <c r="V592" s="4" t="str">
        <f t="shared" si="307"/>
        <v>- -</v>
      </c>
      <c r="W592" s="4" t="str">
        <f t="shared" si="289"/>
        <v>- -</v>
      </c>
      <c r="X592" s="4" t="str">
        <f t="shared" si="288"/>
        <v>- -</v>
      </c>
      <c r="Y592" s="4" t="str">
        <f t="shared" si="302"/>
        <v>- -</v>
      </c>
      <c r="Z592" s="4" t="str">
        <f t="shared" si="303"/>
        <v>- -</v>
      </c>
      <c r="AA592" s="4" t="str">
        <f t="shared" si="304"/>
        <v>- -</v>
      </c>
      <c r="AB592" s="4" t="str">
        <f t="shared" si="305"/>
        <v>- -</v>
      </c>
      <c r="AC592" s="8"/>
      <c r="AD592" s="4"/>
      <c r="AE592" s="4"/>
      <c r="AF592" s="4" t="str">
        <f t="shared" si="306"/>
        <v>- -</v>
      </c>
      <c r="AG592" s="4"/>
      <c r="AH592" s="4">
        <f>IFERROR(VLOOKUP(M592,Calculations!$AC$2:$AD$251,2,FALSE),0)</f>
        <v>0</v>
      </c>
      <c r="AI592" s="4" t="e">
        <f>VLOOKUP(N592,$N$2:$AS$620,MATCH('Character Creation'!$Z$12,Skills!$N$1:$AS$1,0),FALSE)</f>
        <v>#N/A</v>
      </c>
      <c r="AJ592" s="4" t="e">
        <f>VLOOKUP($N592,[2]Cultures!$B$4:$M$283,MATCH(AJ$1,[2]Cultures!$B$3:$M$3,0),FALSE)</f>
        <v>#N/A</v>
      </c>
      <c r="AK592" s="4" t="e">
        <f>VLOOKUP($N592,[2]Cultures!$B$4:$M$283,MATCH(AK$1,[2]Cultures!$B$3:$M$3,0),FALSE)</f>
        <v>#N/A</v>
      </c>
      <c r="AL592" s="4" t="e">
        <f>VLOOKUP($N592,[2]Cultures!$B$4:$M$283,MATCH(AL$1,[2]Cultures!$B$3:$M$3,0),FALSE)</f>
        <v>#N/A</v>
      </c>
      <c r="AM592" s="4" t="e">
        <f>VLOOKUP($N592,[2]Cultures!$B$4:$M$283,MATCH(AM$1,[2]Cultures!$B$3:$M$3,0),FALSE)</f>
        <v>#N/A</v>
      </c>
      <c r="AN592" s="4" t="e">
        <f>VLOOKUP($N592,[2]Cultures!$B$4:$M$283,MATCH(AN$1,[2]Cultures!$B$3:$M$3,0),FALSE)</f>
        <v>#N/A</v>
      </c>
      <c r="AO592" s="4" t="e">
        <f>VLOOKUP($N592,[2]Cultures!$B$4:$M$283,MATCH(AO$1,[2]Cultures!$B$3:$M$3,0),FALSE)</f>
        <v>#N/A</v>
      </c>
      <c r="AP592" s="4" t="e">
        <f>VLOOKUP($N592,[2]Cultures!$B$4:$M$283,MATCH(AP$1,[2]Cultures!$B$3:$M$3,0),FALSE)</f>
        <v>#N/A</v>
      </c>
      <c r="AQ592" s="4" t="e">
        <f>VLOOKUP($N592,[2]Cultures!$B$4:$M$283,MATCH(AQ$1,[2]Cultures!$B$3:$M$3,0),FALSE)</f>
        <v>#N/A</v>
      </c>
      <c r="AR592" s="4" t="e">
        <f>VLOOKUP($N592,[2]Cultures!$B$4:$M$283,MATCH(AR$1,[2]Cultures!$B$3:$M$3,0),FALSE)</f>
        <v>#N/A</v>
      </c>
      <c r="AS592" s="4" t="e">
        <f>VLOOKUP($N592,[2]Cultures!$B$4:$M$283,MATCH(AS$1,[2]Cultures!$B$3:$M$3,0),FALSE)</f>
        <v>#N/A</v>
      </c>
      <c r="AT592" s="4"/>
      <c r="AU592" s="4">
        <f>IF(ISNUMBER(SEARCH(N592&amp;";",Calculations!$Q$19)),VLOOKUP(Skills!N592,Calculations!$Q$2:$T$16,4,FALSE),0)</f>
        <v>0</v>
      </c>
      <c r="AV592" s="4">
        <f>IF(ISNUMBER(SEARCH(N592&amp;";",Calculations!$Q$18)),1,0)</f>
        <v>0</v>
      </c>
      <c r="AW592" s="4"/>
      <c r="AX592" s="4">
        <f>VLOOKUP($N592,$N592:$CH592,MATCH('Character Sheet'!$BJ$3,Skills!$N$1:$CH$1,0),FALSE)</f>
        <v>0</v>
      </c>
    </row>
    <row r="593" spans="2:50" x14ac:dyDescent="0.25">
      <c r="B593" s="4" t="e">
        <f t="shared" si="287"/>
        <v>#N/A</v>
      </c>
      <c r="E593" s="4"/>
      <c r="F593" s="4">
        <f t="shared" ca="1" si="298"/>
        <v>0</v>
      </c>
      <c r="G593" s="4"/>
      <c r="H593" s="4" t="e">
        <f t="shared" si="296"/>
        <v>#N/A</v>
      </c>
      <c r="I593" s="4">
        <f t="shared" ref="I593:I599" si="308">IF($J$118=1,1,IF($J$590=1,1,IF($J$592=1,1,0)))</f>
        <v>1</v>
      </c>
      <c r="J593" s="4">
        <f t="shared" si="299"/>
        <v>0</v>
      </c>
      <c r="K593" s="4" t="e">
        <f t="shared" si="297"/>
        <v>#N/A</v>
      </c>
      <c r="M593" t="str">
        <f>"Administration, "&amp;N593</f>
        <v>Administration, Accounting</v>
      </c>
      <c r="N593" s="3" t="str">
        <f>'Character Sheet'!DGR5</f>
        <v>Accounting</v>
      </c>
      <c r="O593" s="4" t="s">
        <v>1996</v>
      </c>
      <c r="P593" s="4" t="s">
        <v>792</v>
      </c>
      <c r="Q593" s="4" t="e">
        <f t="shared" si="290"/>
        <v>#N/A</v>
      </c>
      <c r="R593" s="4">
        <f>IF(ISNUMBER(SEARCH("Category",N593)),"- -",IF(ISNUMBER(SEARCH("Skills",N593)),"- -",'Level-up'!C617))</f>
        <v>0</v>
      </c>
      <c r="S593" s="4" t="e">
        <f t="shared" si="300"/>
        <v>#N/A</v>
      </c>
      <c r="T593" s="4" t="e">
        <f t="shared" si="301"/>
        <v>#N/A</v>
      </c>
      <c r="U593" s="4">
        <f t="shared" ca="1" si="295"/>
        <v>8</v>
      </c>
      <c r="V593" s="4">
        <f t="shared" ref="V593:V601" si="309">IF(ISNUMBER(SEARCH("Category",N593)),"- -",IF(ISNUMBER(SEARCH("Skills",N593)),"- -",IF(AU593&gt;0,AU593,IF($AU$591&gt;0,$AU$591,$AU$589))))</f>
        <v>0</v>
      </c>
      <c r="W593" s="4">
        <f t="shared" si="289"/>
        <v>0</v>
      </c>
      <c r="X593" s="4">
        <f t="shared" si="288"/>
        <v>0</v>
      </c>
      <c r="Y593" s="4">
        <f t="shared" si="302"/>
        <v>0</v>
      </c>
      <c r="Z593" s="4">
        <f t="shared" si="303"/>
        <v>0</v>
      </c>
      <c r="AA593" s="4">
        <f t="shared" si="304"/>
        <v>0</v>
      </c>
      <c r="AB593" s="4">
        <f t="shared" si="305"/>
        <v>0</v>
      </c>
      <c r="AC593" s="8"/>
      <c r="AD593" s="4"/>
      <c r="AE593" s="4"/>
      <c r="AF593" s="4" t="e">
        <f t="shared" si="306"/>
        <v>#N/A</v>
      </c>
      <c r="AG593" s="4"/>
      <c r="AH593" s="4">
        <f>IFERROR(VLOOKUP(M593,Calculations!$AC$2:$AD$251,2,FALSE),0)</f>
        <v>0</v>
      </c>
      <c r="AI593" s="4" t="e">
        <f>VLOOKUP(N593,$N$2:$AS$620,MATCH('Character Creation'!$Z$12,Skills!$N$1:$AS$1,0),FALSE)</f>
        <v>#N/A</v>
      </c>
      <c r="AJ593" s="4" t="e">
        <f>VLOOKUP($N593,[2]Cultures!$B$4:$M$283,MATCH(AJ$1,[2]Cultures!$B$3:$M$3,0),FALSE)</f>
        <v>#N/A</v>
      </c>
      <c r="AK593" s="4" t="e">
        <f>VLOOKUP($N593,[2]Cultures!$B$4:$M$283,MATCH(AK$1,[2]Cultures!$B$3:$M$3,0),FALSE)</f>
        <v>#N/A</v>
      </c>
      <c r="AL593" s="4" t="e">
        <f>VLOOKUP($N593,[2]Cultures!$B$4:$M$283,MATCH(AL$1,[2]Cultures!$B$3:$M$3,0),FALSE)</f>
        <v>#N/A</v>
      </c>
      <c r="AM593" s="4" t="e">
        <f>VLOOKUP($N593,[2]Cultures!$B$4:$M$283,MATCH(AM$1,[2]Cultures!$B$3:$M$3,0),FALSE)</f>
        <v>#N/A</v>
      </c>
      <c r="AN593" s="4" t="e">
        <f>VLOOKUP($N593,[2]Cultures!$B$4:$M$283,MATCH(AN$1,[2]Cultures!$B$3:$M$3,0),FALSE)</f>
        <v>#N/A</v>
      </c>
      <c r="AO593" s="4" t="e">
        <f>VLOOKUP($N593,[2]Cultures!$B$4:$M$283,MATCH(AO$1,[2]Cultures!$B$3:$M$3,0),FALSE)</f>
        <v>#N/A</v>
      </c>
      <c r="AP593" s="4" t="e">
        <f>VLOOKUP($N593,[2]Cultures!$B$4:$M$283,MATCH(AP$1,[2]Cultures!$B$3:$M$3,0),FALSE)</f>
        <v>#N/A</v>
      </c>
      <c r="AQ593" s="4" t="e">
        <f>VLOOKUP($N593,[2]Cultures!$B$4:$M$283,MATCH(AQ$1,[2]Cultures!$B$3:$M$3,0),FALSE)</f>
        <v>#N/A</v>
      </c>
      <c r="AR593" s="4" t="e">
        <f>VLOOKUP($N593,[2]Cultures!$B$4:$M$283,MATCH(AR$1,[2]Cultures!$B$3:$M$3,0),FALSE)</f>
        <v>#N/A</v>
      </c>
      <c r="AS593" s="4" t="e">
        <f>VLOOKUP($N593,[2]Cultures!$B$4:$M$283,MATCH(AS$1,[2]Cultures!$B$3:$M$3,0),FALSE)</f>
        <v>#N/A</v>
      </c>
      <c r="AT593" s="4"/>
      <c r="AU593" s="4">
        <f>IF(ISNUMBER(SEARCH(N593&amp;";",Calculations!$Q$19)),VLOOKUP(Skills!N593,Calculations!$Q$2:$T$16,4,FALSE),0)</f>
        <v>0</v>
      </c>
      <c r="AV593" s="4">
        <f>IF(ISNUMBER(SEARCH(N593&amp;";",Calculations!$Q$18)),1,0)</f>
        <v>0</v>
      </c>
      <c r="AW593" s="4">
        <f t="shared" ref="AW593:AW599" si="310">IF($AV$589=1,1,IF($AV$591=1,1,AV593))</f>
        <v>0</v>
      </c>
      <c r="AX593" s="4">
        <f>VLOOKUP($N593,$N593:$CH593,MATCH('Character Sheet'!$BJ$3,Skills!$N$1:$CH$1,0),FALSE)</f>
        <v>0</v>
      </c>
    </row>
    <row r="594" spans="2:50" x14ac:dyDescent="0.25">
      <c r="B594" s="4" t="e">
        <f t="shared" si="287"/>
        <v>#N/A</v>
      </c>
      <c r="E594" s="4"/>
      <c r="F594" s="4">
        <f t="shared" ca="1" si="298"/>
        <v>0</v>
      </c>
      <c r="G594" s="4"/>
      <c r="H594" s="4" t="e">
        <f t="shared" si="296"/>
        <v>#N/A</v>
      </c>
      <c r="I594" s="4">
        <f t="shared" si="308"/>
        <v>1</v>
      </c>
      <c r="J594" s="4">
        <f t="shared" si="299"/>
        <v>0</v>
      </c>
      <c r="K594" s="4" t="e">
        <f t="shared" si="297"/>
        <v>#N/A</v>
      </c>
      <c r="M594" t="str">
        <f t="shared" ref="M594:M599" si="311">"Administration, "&amp;N594</f>
        <v>Administration, Administrator</v>
      </c>
      <c r="N594" s="3" t="str">
        <f>'Character Sheet'!DGR6</f>
        <v>Administrator</v>
      </c>
      <c r="O594" s="4" t="s">
        <v>1996</v>
      </c>
      <c r="P594" s="4" t="s">
        <v>792</v>
      </c>
      <c r="Q594" s="4" t="e">
        <f t="shared" si="290"/>
        <v>#N/A</v>
      </c>
      <c r="R594" s="4">
        <f>IF(ISNUMBER(SEARCH("Category",N594)),"- -",IF(ISNUMBER(SEARCH("Skills",N594)),"- -",'Level-up'!C618))</f>
        <v>0</v>
      </c>
      <c r="S594" s="4" t="e">
        <f t="shared" si="300"/>
        <v>#N/A</v>
      </c>
      <c r="T594" s="4" t="e">
        <f t="shared" si="301"/>
        <v>#N/A</v>
      </c>
      <c r="U594" s="4">
        <f t="shared" ca="1" si="295"/>
        <v>8</v>
      </c>
      <c r="V594" s="4">
        <f t="shared" si="309"/>
        <v>0</v>
      </c>
      <c r="W594" s="4">
        <f t="shared" si="289"/>
        <v>0</v>
      </c>
      <c r="X594" s="4">
        <f t="shared" si="288"/>
        <v>0</v>
      </c>
      <c r="Y594" s="4">
        <f t="shared" si="302"/>
        <v>0</v>
      </c>
      <c r="Z594" s="4">
        <f t="shared" si="303"/>
        <v>0</v>
      </c>
      <c r="AA594" s="4">
        <f t="shared" si="304"/>
        <v>0</v>
      </c>
      <c r="AB594" s="4">
        <f t="shared" si="305"/>
        <v>0</v>
      </c>
      <c r="AC594" s="8"/>
      <c r="AD594" s="4"/>
      <c r="AE594" s="4"/>
      <c r="AF594" s="4" t="e">
        <f t="shared" si="306"/>
        <v>#N/A</v>
      </c>
      <c r="AG594" s="4"/>
      <c r="AH594" s="4">
        <f>IFERROR(VLOOKUP(M594,Calculations!$AC$2:$AD$251,2,FALSE),0)</f>
        <v>0</v>
      </c>
      <c r="AI594" s="4" t="e">
        <f>VLOOKUP(N594,$N$2:$AS$620,MATCH('Character Creation'!$Z$12,Skills!$N$1:$AS$1,0),FALSE)</f>
        <v>#N/A</v>
      </c>
      <c r="AJ594" s="4" t="e">
        <f>VLOOKUP($N594,[2]Cultures!$B$4:$M$283,MATCH(AJ$1,[2]Cultures!$B$3:$M$3,0),FALSE)</f>
        <v>#N/A</v>
      </c>
      <c r="AK594" s="4" t="e">
        <f>VLOOKUP($N594,[2]Cultures!$B$4:$M$283,MATCH(AK$1,[2]Cultures!$B$3:$M$3,0),FALSE)</f>
        <v>#N/A</v>
      </c>
      <c r="AL594" s="4" t="e">
        <f>VLOOKUP($N594,[2]Cultures!$B$4:$M$283,MATCH(AL$1,[2]Cultures!$B$3:$M$3,0),FALSE)</f>
        <v>#N/A</v>
      </c>
      <c r="AM594" s="4" t="e">
        <f>VLOOKUP($N594,[2]Cultures!$B$4:$M$283,MATCH(AM$1,[2]Cultures!$B$3:$M$3,0),FALSE)</f>
        <v>#N/A</v>
      </c>
      <c r="AN594" s="4" t="e">
        <f>VLOOKUP($N594,[2]Cultures!$B$4:$M$283,MATCH(AN$1,[2]Cultures!$B$3:$M$3,0),FALSE)</f>
        <v>#N/A</v>
      </c>
      <c r="AO594" s="4" t="e">
        <f>VLOOKUP($N594,[2]Cultures!$B$4:$M$283,MATCH(AO$1,[2]Cultures!$B$3:$M$3,0),FALSE)</f>
        <v>#N/A</v>
      </c>
      <c r="AP594" s="4" t="e">
        <f>VLOOKUP($N594,[2]Cultures!$B$4:$M$283,MATCH(AP$1,[2]Cultures!$B$3:$M$3,0),FALSE)</f>
        <v>#N/A</v>
      </c>
      <c r="AQ594" s="4" t="e">
        <f>VLOOKUP($N594,[2]Cultures!$B$4:$M$283,MATCH(AQ$1,[2]Cultures!$B$3:$M$3,0),FALSE)</f>
        <v>#N/A</v>
      </c>
      <c r="AR594" s="4" t="e">
        <f>VLOOKUP($N594,[2]Cultures!$B$4:$M$283,MATCH(AR$1,[2]Cultures!$B$3:$M$3,0),FALSE)</f>
        <v>#N/A</v>
      </c>
      <c r="AS594" s="4" t="e">
        <f>VLOOKUP($N594,[2]Cultures!$B$4:$M$283,MATCH(AS$1,[2]Cultures!$B$3:$M$3,0),FALSE)</f>
        <v>#N/A</v>
      </c>
      <c r="AT594" s="4"/>
      <c r="AU594" s="4">
        <f>IF(ISNUMBER(SEARCH(N594&amp;";",Calculations!$Q$19)),VLOOKUP(Skills!N594,Calculations!$Q$2:$T$16,4,FALSE),0)</f>
        <v>0</v>
      </c>
      <c r="AV594" s="4">
        <f>IF(ISNUMBER(SEARCH(N594&amp;";",Calculations!$Q$18)),1,0)</f>
        <v>0</v>
      </c>
      <c r="AW594" s="4">
        <f t="shared" si="310"/>
        <v>0</v>
      </c>
      <c r="AX594" s="4">
        <f>VLOOKUP($N594,$N594:$CH594,MATCH('Character Sheet'!$BJ$3,Skills!$N$1:$CH$1,0),FALSE)</f>
        <v>0</v>
      </c>
    </row>
    <row r="595" spans="2:50" x14ac:dyDescent="0.25">
      <c r="B595" s="4" t="e">
        <f t="shared" si="287"/>
        <v>#N/A</v>
      </c>
      <c r="E595" s="4"/>
      <c r="F595" s="4">
        <f t="shared" ca="1" si="298"/>
        <v>0</v>
      </c>
      <c r="G595" s="4"/>
      <c r="H595" s="4" t="e">
        <f t="shared" si="296"/>
        <v>#N/A</v>
      </c>
      <c r="I595" s="4">
        <f t="shared" si="308"/>
        <v>1</v>
      </c>
      <c r="J595" s="4">
        <f t="shared" si="299"/>
        <v>0</v>
      </c>
      <c r="K595" s="4" t="e">
        <f t="shared" si="297"/>
        <v>#N/A</v>
      </c>
      <c r="M595" t="str">
        <f t="shared" si="311"/>
        <v>Administration, Booking</v>
      </c>
      <c r="N595" s="3" t="str">
        <f>'Character Sheet'!DGR7</f>
        <v>Booking</v>
      </c>
      <c r="O595" s="4" t="s">
        <v>1996</v>
      </c>
      <c r="P595" s="4" t="s">
        <v>792</v>
      </c>
      <c r="Q595" s="4" t="e">
        <f t="shared" si="290"/>
        <v>#N/A</v>
      </c>
      <c r="R595" s="4">
        <f>IF(ISNUMBER(SEARCH("Category",N595)),"- -",IF(ISNUMBER(SEARCH("Skills",N595)),"- -",'Level-up'!C619))</f>
        <v>0</v>
      </c>
      <c r="S595" s="4" t="e">
        <f t="shared" si="300"/>
        <v>#N/A</v>
      </c>
      <c r="T595" s="4" t="e">
        <f t="shared" si="301"/>
        <v>#N/A</v>
      </c>
      <c r="U595" s="4">
        <f t="shared" ca="1" si="295"/>
        <v>8</v>
      </c>
      <c r="V595" s="4">
        <f t="shared" si="309"/>
        <v>0</v>
      </c>
      <c r="W595" s="4">
        <f t="shared" si="289"/>
        <v>0</v>
      </c>
      <c r="X595" s="4">
        <f t="shared" si="288"/>
        <v>0</v>
      </c>
      <c r="Y595" s="4">
        <f t="shared" si="302"/>
        <v>0</v>
      </c>
      <c r="Z595" s="4">
        <f t="shared" si="303"/>
        <v>0</v>
      </c>
      <c r="AA595" s="4">
        <f t="shared" si="304"/>
        <v>0</v>
      </c>
      <c r="AB595" s="4">
        <f t="shared" si="305"/>
        <v>0</v>
      </c>
      <c r="AC595" s="8"/>
      <c r="AD595" s="4"/>
      <c r="AE595" s="4"/>
      <c r="AF595" s="4" t="e">
        <f t="shared" si="306"/>
        <v>#N/A</v>
      </c>
      <c r="AG595" s="4"/>
      <c r="AH595" s="4">
        <f>IFERROR(VLOOKUP(M595,Calculations!$AC$2:$AD$251,2,FALSE),0)</f>
        <v>0</v>
      </c>
      <c r="AI595" s="4" t="e">
        <f>VLOOKUP(N595,$N$2:$AS$620,MATCH('Character Creation'!$Z$12,Skills!$N$1:$AS$1,0),FALSE)</f>
        <v>#N/A</v>
      </c>
      <c r="AJ595" s="4" t="e">
        <f>VLOOKUP($N595,[2]Cultures!$B$4:$M$283,MATCH(AJ$1,[2]Cultures!$B$3:$M$3,0),FALSE)</f>
        <v>#N/A</v>
      </c>
      <c r="AK595" s="4" t="e">
        <f>VLOOKUP($N595,[2]Cultures!$B$4:$M$283,MATCH(AK$1,[2]Cultures!$B$3:$M$3,0),FALSE)</f>
        <v>#N/A</v>
      </c>
      <c r="AL595" s="4" t="e">
        <f>VLOOKUP($N595,[2]Cultures!$B$4:$M$283,MATCH(AL$1,[2]Cultures!$B$3:$M$3,0),FALSE)</f>
        <v>#N/A</v>
      </c>
      <c r="AM595" s="4" t="e">
        <f>VLOOKUP($N595,[2]Cultures!$B$4:$M$283,MATCH(AM$1,[2]Cultures!$B$3:$M$3,0),FALSE)</f>
        <v>#N/A</v>
      </c>
      <c r="AN595" s="4" t="e">
        <f>VLOOKUP($N595,[2]Cultures!$B$4:$M$283,MATCH(AN$1,[2]Cultures!$B$3:$M$3,0),FALSE)</f>
        <v>#N/A</v>
      </c>
      <c r="AO595" s="4" t="e">
        <f>VLOOKUP($N595,[2]Cultures!$B$4:$M$283,MATCH(AO$1,[2]Cultures!$B$3:$M$3,0),FALSE)</f>
        <v>#N/A</v>
      </c>
      <c r="AP595" s="4" t="e">
        <f>VLOOKUP($N595,[2]Cultures!$B$4:$M$283,MATCH(AP$1,[2]Cultures!$B$3:$M$3,0),FALSE)</f>
        <v>#N/A</v>
      </c>
      <c r="AQ595" s="4" t="e">
        <f>VLOOKUP($N595,[2]Cultures!$B$4:$M$283,MATCH(AQ$1,[2]Cultures!$B$3:$M$3,0),FALSE)</f>
        <v>#N/A</v>
      </c>
      <c r="AR595" s="4" t="e">
        <f>VLOOKUP($N595,[2]Cultures!$B$4:$M$283,MATCH(AR$1,[2]Cultures!$B$3:$M$3,0),FALSE)</f>
        <v>#N/A</v>
      </c>
      <c r="AS595" s="4" t="e">
        <f>VLOOKUP($N595,[2]Cultures!$B$4:$M$283,MATCH(AS$1,[2]Cultures!$B$3:$M$3,0),FALSE)</f>
        <v>#N/A</v>
      </c>
      <c r="AT595" s="4"/>
      <c r="AU595" s="4">
        <f>IF(ISNUMBER(SEARCH(N595&amp;";",Calculations!$Q$19)),VLOOKUP(Skills!N595,Calculations!$Q$2:$T$16,4,FALSE),0)</f>
        <v>0</v>
      </c>
      <c r="AV595" s="4">
        <f>IF(ISNUMBER(SEARCH(N595&amp;";",Calculations!$Q$18)),1,0)</f>
        <v>0</v>
      </c>
      <c r="AW595" s="4">
        <f t="shared" si="310"/>
        <v>0</v>
      </c>
      <c r="AX595" s="4">
        <f>VLOOKUP($N595,$N595:$CH595,MATCH('Character Sheet'!$BJ$3,Skills!$N$1:$CH$1,0),FALSE)</f>
        <v>0</v>
      </c>
    </row>
    <row r="596" spans="2:50" x14ac:dyDescent="0.25">
      <c r="B596" s="4" t="e">
        <f t="shared" ca="1" si="287"/>
        <v>#N/A</v>
      </c>
      <c r="E596" s="4"/>
      <c r="F596" s="4">
        <f t="shared" ca="1" si="298"/>
        <v>0</v>
      </c>
      <c r="G596" s="4"/>
      <c r="H596" s="4" t="e">
        <f t="shared" si="296"/>
        <v>#N/A</v>
      </c>
      <c r="I596" s="4">
        <f t="shared" si="308"/>
        <v>1</v>
      </c>
      <c r="J596" s="4">
        <f t="shared" si="299"/>
        <v>0</v>
      </c>
      <c r="K596" s="4" t="e">
        <f t="shared" ca="1" si="297"/>
        <v>#N/A</v>
      </c>
      <c r="M596" t="str">
        <f t="shared" si="311"/>
        <v>Administration, Librarian</v>
      </c>
      <c r="N596" s="3" t="str">
        <f>'Character Sheet'!DGR8</f>
        <v>Librarian</v>
      </c>
      <c r="O596" s="4" t="s">
        <v>1996</v>
      </c>
      <c r="P596" s="4" t="s">
        <v>792</v>
      </c>
      <c r="Q596" s="4" t="e">
        <f t="shared" ca="1" si="290"/>
        <v>#N/A</v>
      </c>
      <c r="R596" s="4">
        <f>IF(ISNUMBER(SEARCH("Category",N596)),"- -",IF(ISNUMBER(SEARCH("Skills",N596)),"- -",'Level-up'!C620))</f>
        <v>0</v>
      </c>
      <c r="S596" s="4" t="e">
        <f t="shared" ca="1" si="300"/>
        <v>#N/A</v>
      </c>
      <c r="T596" s="4" t="e">
        <f t="shared" ca="1" si="301"/>
        <v>#N/A</v>
      </c>
      <c r="U596" s="4">
        <f t="shared" ca="1" si="295"/>
        <v>8</v>
      </c>
      <c r="V596" s="4">
        <f t="shared" si="309"/>
        <v>0</v>
      </c>
      <c r="W596" s="4">
        <f t="shared" si="289"/>
        <v>0</v>
      </c>
      <c r="X596" s="4">
        <f t="shared" si="288"/>
        <v>0</v>
      </c>
      <c r="Y596" s="4">
        <f t="shared" si="302"/>
        <v>0</v>
      </c>
      <c r="Z596" s="4">
        <f t="shared" si="303"/>
        <v>0</v>
      </c>
      <c r="AA596" s="4">
        <f t="shared" si="304"/>
        <v>0</v>
      </c>
      <c r="AB596" s="4">
        <f t="shared" si="305"/>
        <v>0</v>
      </c>
      <c r="AC596" s="8"/>
      <c r="AD596" s="4"/>
      <c r="AE596" s="4"/>
      <c r="AF596" s="4" t="e">
        <f t="shared" ca="1" si="306"/>
        <v>#N/A</v>
      </c>
      <c r="AG596" s="4"/>
      <c r="AH596" s="4">
        <f>IFERROR(VLOOKUP(M596,Calculations!$AC$2:$AD$251,2,FALSE),0)</f>
        <v>0</v>
      </c>
      <c r="AI596" s="4" t="e">
        <f ca="1">VLOOKUP(N596,$N$2:$AS$620,MATCH('Character Creation'!$Z$12,Skills!$N$1:$AS$1,0),FALSE)</f>
        <v>#N/A</v>
      </c>
      <c r="AJ596" s="4" t="e">
        <f>VLOOKUP($N596,[2]Cultures!$B$4:$M$283,MATCH(AJ$1,[2]Cultures!$B$3:$M$3,0),FALSE)</f>
        <v>#N/A</v>
      </c>
      <c r="AK596" s="4" t="e">
        <f>VLOOKUP($N596,[2]Cultures!$B$4:$M$283,MATCH(AK$1,[2]Cultures!$B$3:$M$3,0),FALSE)</f>
        <v>#N/A</v>
      </c>
      <c r="AL596" s="4" t="e">
        <f>VLOOKUP($N596,[2]Cultures!$B$4:$M$283,MATCH(AL$1,[2]Cultures!$B$3:$M$3,0),FALSE)</f>
        <v>#N/A</v>
      </c>
      <c r="AM596" s="4" t="e">
        <f>VLOOKUP($N596,[2]Cultures!$B$4:$M$283,MATCH(AM$1,[2]Cultures!$B$3:$M$3,0),FALSE)</f>
        <v>#N/A</v>
      </c>
      <c r="AN596" s="4" t="e">
        <f>VLOOKUP($N596,[2]Cultures!$B$4:$M$283,MATCH(AN$1,[2]Cultures!$B$3:$M$3,0),FALSE)</f>
        <v>#N/A</v>
      </c>
      <c r="AO596" s="4" t="e">
        <f>VLOOKUP($N596,[2]Cultures!$B$4:$M$283,MATCH(AO$1,[2]Cultures!$B$3:$M$3,0),FALSE)</f>
        <v>#N/A</v>
      </c>
      <c r="AP596" s="4" t="e">
        <f>VLOOKUP($N596,[2]Cultures!$B$4:$M$283,MATCH(AP$1,[2]Cultures!$B$3:$M$3,0),FALSE)</f>
        <v>#N/A</v>
      </c>
      <c r="AQ596" s="4" t="e">
        <f>VLOOKUP($N596,[2]Cultures!$B$4:$M$283,MATCH(AQ$1,[2]Cultures!$B$3:$M$3,0),FALSE)</f>
        <v>#N/A</v>
      </c>
      <c r="AR596" s="4" t="e">
        <f>VLOOKUP($N596,[2]Cultures!$B$4:$M$283,MATCH(AR$1,[2]Cultures!$B$3:$M$3,0),FALSE)</f>
        <v>#N/A</v>
      </c>
      <c r="AS596" s="4" t="e">
        <f>VLOOKUP($N596,[2]Cultures!$B$4:$M$283,MATCH(AS$1,[2]Cultures!$B$3:$M$3,0),FALSE)</f>
        <v>#N/A</v>
      </c>
      <c r="AT596" s="4"/>
      <c r="AU596" s="4">
        <f>IF(ISNUMBER(SEARCH(N596&amp;";",Calculations!$Q$19)),VLOOKUP(Skills!N596,Calculations!$Q$2:$T$16,4,FALSE),0)</f>
        <v>0</v>
      </c>
      <c r="AV596" s="4">
        <f>IF(ISNUMBER(SEARCH(N596&amp;";",Calculations!$Q$18)),1,0)</f>
        <v>0</v>
      </c>
      <c r="AW596" s="4">
        <f t="shared" si="310"/>
        <v>0</v>
      </c>
      <c r="AX596" s="4">
        <f>VLOOKUP($N596,$N596:$CH596,MATCH('Character Sheet'!$BJ$3,Skills!$N$1:$CH$1,0),FALSE)</f>
        <v>0</v>
      </c>
    </row>
    <row r="597" spans="2:50" x14ac:dyDescent="0.25">
      <c r="B597" s="4" t="e">
        <f t="shared" ca="1" si="287"/>
        <v>#N/A</v>
      </c>
      <c r="E597" s="4"/>
      <c r="F597" s="4">
        <f t="shared" ca="1" si="298"/>
        <v>0</v>
      </c>
      <c r="G597" s="4"/>
      <c r="H597" s="4" t="e">
        <f t="shared" si="296"/>
        <v>#N/A</v>
      </c>
      <c r="I597" s="4">
        <f t="shared" si="308"/>
        <v>1</v>
      </c>
      <c r="J597" s="4">
        <f t="shared" si="299"/>
        <v>0</v>
      </c>
      <c r="K597" s="4" t="e">
        <f t="shared" ca="1" si="297"/>
        <v>#N/A</v>
      </c>
      <c r="M597" t="str">
        <f t="shared" si="311"/>
        <v>Administration, Corporate Management</v>
      </c>
      <c r="N597" s="3" t="str">
        <f>'Character Sheet'!DGR9</f>
        <v>Corporate Management</v>
      </c>
      <c r="O597" s="4" t="s">
        <v>1996</v>
      </c>
      <c r="P597" s="4" t="s">
        <v>792</v>
      </c>
      <c r="Q597" s="4" t="e">
        <f t="shared" ca="1" si="290"/>
        <v>#N/A</v>
      </c>
      <c r="R597" s="4">
        <f>IF(ISNUMBER(SEARCH("Category",N597)),"- -",IF(ISNUMBER(SEARCH("Skills",N597)),"- -",'Level-up'!C621))</f>
        <v>0</v>
      </c>
      <c r="S597" s="4" t="e">
        <f t="shared" ca="1" si="300"/>
        <v>#N/A</v>
      </c>
      <c r="T597" s="4" t="e">
        <f t="shared" ca="1" si="301"/>
        <v>#N/A</v>
      </c>
      <c r="U597" s="4">
        <f t="shared" ca="1" si="295"/>
        <v>8</v>
      </c>
      <c r="V597" s="4">
        <f t="shared" si="309"/>
        <v>0</v>
      </c>
      <c r="W597" s="4">
        <f t="shared" si="289"/>
        <v>0</v>
      </c>
      <c r="X597" s="4">
        <f t="shared" si="288"/>
        <v>0</v>
      </c>
      <c r="Y597" s="4">
        <f t="shared" si="302"/>
        <v>0</v>
      </c>
      <c r="Z597" s="4">
        <f t="shared" si="303"/>
        <v>0</v>
      </c>
      <c r="AA597" s="4">
        <f t="shared" si="304"/>
        <v>0</v>
      </c>
      <c r="AB597" s="4">
        <f t="shared" si="305"/>
        <v>0</v>
      </c>
      <c r="AC597" s="8"/>
      <c r="AD597" s="4"/>
      <c r="AE597" s="4"/>
      <c r="AF597" s="4" t="e">
        <f t="shared" ca="1" si="306"/>
        <v>#N/A</v>
      </c>
      <c r="AG597" s="4"/>
      <c r="AH597" s="4">
        <f>IFERROR(VLOOKUP(M597,Calculations!$AC$2:$AD$251,2,FALSE),0)</f>
        <v>0</v>
      </c>
      <c r="AI597" s="4" t="e">
        <f ca="1">VLOOKUP(N597,$N$2:$AS$620,MATCH('Character Creation'!$Z$12,Skills!$N$1:$AS$1,0),FALSE)</f>
        <v>#N/A</v>
      </c>
      <c r="AJ597" s="4" t="e">
        <f>VLOOKUP($N597,[2]Cultures!$B$4:$M$283,MATCH(AJ$1,[2]Cultures!$B$3:$M$3,0),FALSE)</f>
        <v>#N/A</v>
      </c>
      <c r="AK597" s="4" t="e">
        <f>VLOOKUP($N597,[2]Cultures!$B$4:$M$283,MATCH(AK$1,[2]Cultures!$B$3:$M$3,0),FALSE)</f>
        <v>#N/A</v>
      </c>
      <c r="AL597" s="4" t="e">
        <f>VLOOKUP($N597,[2]Cultures!$B$4:$M$283,MATCH(AL$1,[2]Cultures!$B$3:$M$3,0),FALSE)</f>
        <v>#N/A</v>
      </c>
      <c r="AM597" s="4" t="e">
        <f>VLOOKUP($N597,[2]Cultures!$B$4:$M$283,MATCH(AM$1,[2]Cultures!$B$3:$M$3,0),FALSE)</f>
        <v>#N/A</v>
      </c>
      <c r="AN597" s="4" t="e">
        <f>VLOOKUP($N597,[2]Cultures!$B$4:$M$283,MATCH(AN$1,[2]Cultures!$B$3:$M$3,0),FALSE)</f>
        <v>#N/A</v>
      </c>
      <c r="AO597" s="4" t="e">
        <f>VLOOKUP($N597,[2]Cultures!$B$4:$M$283,MATCH(AO$1,[2]Cultures!$B$3:$M$3,0),FALSE)</f>
        <v>#N/A</v>
      </c>
      <c r="AP597" s="4" t="e">
        <f>VLOOKUP($N597,[2]Cultures!$B$4:$M$283,MATCH(AP$1,[2]Cultures!$B$3:$M$3,0),FALSE)</f>
        <v>#N/A</v>
      </c>
      <c r="AQ597" s="4" t="e">
        <f>VLOOKUP($N597,[2]Cultures!$B$4:$M$283,MATCH(AQ$1,[2]Cultures!$B$3:$M$3,0),FALSE)</f>
        <v>#N/A</v>
      </c>
      <c r="AR597" s="4" t="e">
        <f>VLOOKUP($N597,[2]Cultures!$B$4:$M$283,MATCH(AR$1,[2]Cultures!$B$3:$M$3,0),FALSE)</f>
        <v>#N/A</v>
      </c>
      <c r="AS597" s="4" t="e">
        <f>VLOOKUP($N597,[2]Cultures!$B$4:$M$283,MATCH(AS$1,[2]Cultures!$B$3:$M$3,0),FALSE)</f>
        <v>#N/A</v>
      </c>
      <c r="AT597" s="4"/>
      <c r="AU597" s="4">
        <f>IF(ISNUMBER(SEARCH(N597&amp;";",Calculations!$Q$19)),VLOOKUP(Skills!N597,Calculations!$Q$2:$T$16,4,FALSE),0)</f>
        <v>0</v>
      </c>
      <c r="AV597" s="4">
        <f>IF(ISNUMBER(SEARCH(N597&amp;";",Calculations!$Q$18)),1,0)</f>
        <v>0</v>
      </c>
      <c r="AW597" s="4">
        <f t="shared" si="310"/>
        <v>0</v>
      </c>
      <c r="AX597" s="4">
        <f>VLOOKUP($N597,$N597:$CH597,MATCH('Character Sheet'!$BJ$3,Skills!$N$1:$CH$1,0),FALSE)</f>
        <v>0</v>
      </c>
    </row>
    <row r="598" spans="2:50" x14ac:dyDescent="0.25">
      <c r="B598" s="4" t="e">
        <f t="shared" si="287"/>
        <v>#N/A</v>
      </c>
      <c r="E598" s="4"/>
      <c r="F598" s="4">
        <f t="shared" ca="1" si="298"/>
        <v>0</v>
      </c>
      <c r="G598" s="4"/>
      <c r="H598" s="4" t="e">
        <f t="shared" si="296"/>
        <v>#N/A</v>
      </c>
      <c r="I598" s="4">
        <f t="shared" si="308"/>
        <v>1</v>
      </c>
      <c r="J598" s="4">
        <f t="shared" si="299"/>
        <v>0</v>
      </c>
      <c r="K598" s="4" t="e">
        <f t="shared" si="297"/>
        <v>#N/A</v>
      </c>
      <c r="M598" t="str">
        <f t="shared" si="311"/>
        <v>Administration, Officer</v>
      </c>
      <c r="N598" s="3" t="str">
        <f>'Character Sheet'!DGR10</f>
        <v>Officer</v>
      </c>
      <c r="O598" s="4" t="s">
        <v>1996</v>
      </c>
      <c r="P598" s="4" t="s">
        <v>792</v>
      </c>
      <c r="Q598" s="4" t="e">
        <f t="shared" si="290"/>
        <v>#N/A</v>
      </c>
      <c r="R598" s="4">
        <f>IF(ISNUMBER(SEARCH("Category",N598)),"- -",IF(ISNUMBER(SEARCH("Skills",N598)),"- -",'Level-up'!C622))</f>
        <v>0</v>
      </c>
      <c r="S598" s="4" t="e">
        <f t="shared" si="300"/>
        <v>#N/A</v>
      </c>
      <c r="T598" s="4" t="e">
        <f t="shared" si="301"/>
        <v>#N/A</v>
      </c>
      <c r="U598" s="4">
        <f t="shared" ca="1" si="295"/>
        <v>8</v>
      </c>
      <c r="V598" s="4">
        <f t="shared" si="309"/>
        <v>0</v>
      </c>
      <c r="W598" s="4">
        <f t="shared" si="289"/>
        <v>0</v>
      </c>
      <c r="X598" s="4">
        <f t="shared" si="288"/>
        <v>0</v>
      </c>
      <c r="Y598" s="4">
        <f t="shared" si="302"/>
        <v>0</v>
      </c>
      <c r="Z598" s="4">
        <f t="shared" si="303"/>
        <v>0</v>
      </c>
      <c r="AA598" s="4">
        <f t="shared" si="304"/>
        <v>0</v>
      </c>
      <c r="AB598" s="4">
        <f t="shared" si="305"/>
        <v>0</v>
      </c>
      <c r="AC598" s="8"/>
      <c r="AD598" s="4"/>
      <c r="AE598" s="4"/>
      <c r="AF598" s="4" t="e">
        <f t="shared" si="306"/>
        <v>#N/A</v>
      </c>
      <c r="AG598" s="4"/>
      <c r="AH598" s="4">
        <f>IFERROR(VLOOKUP(M598,Calculations!$AC$2:$AD$251,2,FALSE),0)</f>
        <v>0</v>
      </c>
      <c r="AI598" s="4" t="e">
        <f>VLOOKUP(N598,$N$2:$AS$620,MATCH('Character Creation'!$Z$12,Skills!$N$1:$AS$1,0),FALSE)</f>
        <v>#N/A</v>
      </c>
      <c r="AJ598" s="4" t="e">
        <f>VLOOKUP($N598,[2]Cultures!$B$4:$M$283,MATCH(AJ$1,[2]Cultures!$B$3:$M$3,0),FALSE)</f>
        <v>#N/A</v>
      </c>
      <c r="AK598" s="4" t="e">
        <f>VLOOKUP($N598,[2]Cultures!$B$4:$M$283,MATCH(AK$1,[2]Cultures!$B$3:$M$3,0),FALSE)</f>
        <v>#N/A</v>
      </c>
      <c r="AL598" s="4" t="e">
        <f>VLOOKUP($N598,[2]Cultures!$B$4:$M$283,MATCH(AL$1,[2]Cultures!$B$3:$M$3,0),FALSE)</f>
        <v>#N/A</v>
      </c>
      <c r="AM598" s="4" t="e">
        <f>VLOOKUP($N598,[2]Cultures!$B$4:$M$283,MATCH(AM$1,[2]Cultures!$B$3:$M$3,0),FALSE)</f>
        <v>#N/A</v>
      </c>
      <c r="AN598" s="4" t="e">
        <f>VLOOKUP($N598,[2]Cultures!$B$4:$M$283,MATCH(AN$1,[2]Cultures!$B$3:$M$3,0),FALSE)</f>
        <v>#N/A</v>
      </c>
      <c r="AO598" s="4" t="e">
        <f>VLOOKUP($N598,[2]Cultures!$B$4:$M$283,MATCH(AO$1,[2]Cultures!$B$3:$M$3,0),FALSE)</f>
        <v>#N/A</v>
      </c>
      <c r="AP598" s="4" t="e">
        <f>VLOOKUP($N598,[2]Cultures!$B$4:$M$283,MATCH(AP$1,[2]Cultures!$B$3:$M$3,0),FALSE)</f>
        <v>#N/A</v>
      </c>
      <c r="AQ598" s="4" t="e">
        <f>VLOOKUP($N598,[2]Cultures!$B$4:$M$283,MATCH(AQ$1,[2]Cultures!$B$3:$M$3,0),FALSE)</f>
        <v>#N/A</v>
      </c>
      <c r="AR598" s="4" t="e">
        <f>VLOOKUP($N598,[2]Cultures!$B$4:$M$283,MATCH(AR$1,[2]Cultures!$B$3:$M$3,0),FALSE)</f>
        <v>#N/A</v>
      </c>
      <c r="AS598" s="4" t="e">
        <f>VLOOKUP($N598,[2]Cultures!$B$4:$M$283,MATCH(AS$1,[2]Cultures!$B$3:$M$3,0),FALSE)</f>
        <v>#N/A</v>
      </c>
      <c r="AT598" s="4"/>
      <c r="AU598" s="4">
        <f>IF(ISNUMBER(SEARCH(N598&amp;";",Calculations!$Q$19)),VLOOKUP(Skills!N598,Calculations!$Q$2:$T$16,4,FALSE),0)</f>
        <v>0</v>
      </c>
      <c r="AV598" s="4">
        <f>IF(ISNUMBER(SEARCH(N598&amp;";",Calculations!$Q$18)),1,0)</f>
        <v>0</v>
      </c>
      <c r="AW598" s="4">
        <f t="shared" si="310"/>
        <v>0</v>
      </c>
      <c r="AX598" s="4">
        <f>VLOOKUP($N598,$N598:$CH598,MATCH('Character Sheet'!$BJ$3,Skills!$N$1:$CH$1,0),FALSE)</f>
        <v>0</v>
      </c>
    </row>
    <row r="599" spans="2:50" x14ac:dyDescent="0.25">
      <c r="B599" s="4" t="e">
        <f t="shared" si="287"/>
        <v>#N/A</v>
      </c>
      <c r="E599" s="4"/>
      <c r="F599" s="4">
        <f t="shared" ca="1" si="298"/>
        <v>0</v>
      </c>
      <c r="G599" s="4"/>
      <c r="H599" s="4" t="e">
        <f t="shared" si="296"/>
        <v>#N/A</v>
      </c>
      <c r="I599" s="4">
        <f t="shared" si="308"/>
        <v>1</v>
      </c>
      <c r="J599" s="4">
        <f t="shared" si="299"/>
        <v>0</v>
      </c>
      <c r="K599" s="4" t="e">
        <f t="shared" si="297"/>
        <v>#N/A</v>
      </c>
      <c r="M599" t="str">
        <f t="shared" si="311"/>
        <v>Administration, Critic</v>
      </c>
      <c r="N599" s="3" t="str">
        <f>'Character Sheet'!DGR11</f>
        <v>Critic</v>
      </c>
      <c r="O599" s="4" t="s">
        <v>1996</v>
      </c>
      <c r="P599" s="4" t="s">
        <v>792</v>
      </c>
      <c r="Q599" s="4" t="e">
        <f t="shared" si="290"/>
        <v>#N/A</v>
      </c>
      <c r="R599" s="4">
        <f>IF(ISNUMBER(SEARCH("Category",N599)),"- -",IF(ISNUMBER(SEARCH("Skills",N599)),"- -",'Level-up'!C623))</f>
        <v>0</v>
      </c>
      <c r="S599" s="4" t="e">
        <f t="shared" si="300"/>
        <v>#N/A</v>
      </c>
      <c r="T599" s="4" t="e">
        <f t="shared" si="301"/>
        <v>#N/A</v>
      </c>
      <c r="U599" s="4">
        <f t="shared" ca="1" si="295"/>
        <v>8</v>
      </c>
      <c r="V599" s="4">
        <f t="shared" si="309"/>
        <v>0</v>
      </c>
      <c r="W599" s="4">
        <f t="shared" si="289"/>
        <v>0</v>
      </c>
      <c r="X599" s="4">
        <f t="shared" si="288"/>
        <v>0</v>
      </c>
      <c r="Y599" s="4">
        <f t="shared" si="302"/>
        <v>0</v>
      </c>
      <c r="Z599" s="4">
        <f t="shared" si="303"/>
        <v>0</v>
      </c>
      <c r="AA599" s="4">
        <f t="shared" si="304"/>
        <v>0</v>
      </c>
      <c r="AB599" s="4">
        <f t="shared" si="305"/>
        <v>0</v>
      </c>
      <c r="AC599" s="8"/>
      <c r="AD599" s="4"/>
      <c r="AE599" s="4"/>
      <c r="AF599" s="4" t="e">
        <f t="shared" si="306"/>
        <v>#N/A</v>
      </c>
      <c r="AG599" s="4"/>
      <c r="AH599" s="4">
        <f>IFERROR(VLOOKUP(M599,Calculations!$AC$2:$AD$251,2,FALSE),0)</f>
        <v>0</v>
      </c>
      <c r="AI599" s="4" t="e">
        <f>VLOOKUP(N599,$N$2:$AS$620,MATCH('Character Creation'!$Z$12,Skills!$N$1:$AS$1,0),FALSE)</f>
        <v>#N/A</v>
      </c>
      <c r="AJ599" s="4" t="e">
        <f>VLOOKUP($N599,[2]Cultures!$B$4:$M$283,MATCH(AJ$1,[2]Cultures!$B$3:$M$3,0),FALSE)</f>
        <v>#N/A</v>
      </c>
      <c r="AK599" s="4" t="e">
        <f>VLOOKUP($N599,[2]Cultures!$B$4:$M$283,MATCH(AK$1,[2]Cultures!$B$3:$M$3,0),FALSE)</f>
        <v>#N/A</v>
      </c>
      <c r="AL599" s="4" t="e">
        <f>VLOOKUP($N599,[2]Cultures!$B$4:$M$283,MATCH(AL$1,[2]Cultures!$B$3:$M$3,0),FALSE)</f>
        <v>#N/A</v>
      </c>
      <c r="AM599" s="4" t="e">
        <f>VLOOKUP($N599,[2]Cultures!$B$4:$M$283,MATCH(AM$1,[2]Cultures!$B$3:$M$3,0),FALSE)</f>
        <v>#N/A</v>
      </c>
      <c r="AN599" s="4" t="e">
        <f>VLOOKUP($N599,[2]Cultures!$B$4:$M$283,MATCH(AN$1,[2]Cultures!$B$3:$M$3,0),FALSE)</f>
        <v>#N/A</v>
      </c>
      <c r="AO599" s="4" t="e">
        <f>VLOOKUP($N599,[2]Cultures!$B$4:$M$283,MATCH(AO$1,[2]Cultures!$B$3:$M$3,0),FALSE)</f>
        <v>#N/A</v>
      </c>
      <c r="AP599" s="4" t="e">
        <f>VLOOKUP($N599,[2]Cultures!$B$4:$M$283,MATCH(AP$1,[2]Cultures!$B$3:$M$3,0),FALSE)</f>
        <v>#N/A</v>
      </c>
      <c r="AQ599" s="4" t="e">
        <f>VLOOKUP($N599,[2]Cultures!$B$4:$M$283,MATCH(AQ$1,[2]Cultures!$B$3:$M$3,0),FALSE)</f>
        <v>#N/A</v>
      </c>
      <c r="AR599" s="4" t="e">
        <f>VLOOKUP($N599,[2]Cultures!$B$4:$M$283,MATCH(AR$1,[2]Cultures!$B$3:$M$3,0),FALSE)</f>
        <v>#N/A</v>
      </c>
      <c r="AS599" s="4" t="e">
        <f>VLOOKUP($N599,[2]Cultures!$B$4:$M$283,MATCH(AS$1,[2]Cultures!$B$3:$M$3,0),FALSE)</f>
        <v>#N/A</v>
      </c>
      <c r="AT599" s="4"/>
      <c r="AU599" s="4">
        <f>IF(ISNUMBER(SEARCH(N599&amp;";",Calculations!$Q$19)),VLOOKUP(Skills!N599,Calculations!$Q$2:$T$16,4,FALSE),0)</f>
        <v>0</v>
      </c>
      <c r="AV599" s="4">
        <f>IF(ISNUMBER(SEARCH(N599&amp;";",Calculations!$Q$18)),1,0)</f>
        <v>0</v>
      </c>
      <c r="AW599" s="4">
        <f t="shared" si="310"/>
        <v>0</v>
      </c>
      <c r="AX599" s="4">
        <f>VLOOKUP($N599,$N599:$CH599,MATCH('Character Sheet'!$BJ$3,Skills!$N$1:$CH$1,0),FALSE)</f>
        <v>0</v>
      </c>
    </row>
    <row r="600" spans="2:50" x14ac:dyDescent="0.25">
      <c r="B600" s="4" t="e">
        <f t="shared" si="287"/>
        <v>#N/A</v>
      </c>
      <c r="E600" s="4"/>
      <c r="F600" s="4">
        <f t="shared" ca="1" si="298"/>
        <v>0</v>
      </c>
      <c r="G600" s="4"/>
      <c r="H600" s="4" t="e">
        <f t="shared" si="296"/>
        <v>#N/A</v>
      </c>
      <c r="I600" s="4">
        <f>IF($J$118=1,1,IF($J$590=1,1,IF($J$601=1,1,0)))</f>
        <v>1</v>
      </c>
      <c r="J600" s="4">
        <f t="shared" si="299"/>
        <v>0</v>
      </c>
      <c r="K600" s="4" t="e">
        <f t="shared" si="297"/>
        <v>#N/A</v>
      </c>
      <c r="N600" s="3" t="s">
        <v>753</v>
      </c>
      <c r="O600" s="6" t="s">
        <v>782</v>
      </c>
      <c r="P600" s="6" t="s">
        <v>782</v>
      </c>
      <c r="Q600" s="4" t="str">
        <f t="shared" si="290"/>
        <v>- -</v>
      </c>
      <c r="R600" s="4" t="str">
        <f>IF(ISNUMBER(SEARCH("Category",N600)),"- -",IF(ISNUMBER(SEARCH("Skills",N600)),"- -",'Level-up'!C624))</f>
        <v>- -</v>
      </c>
      <c r="S600" s="4" t="str">
        <f t="shared" si="300"/>
        <v>- -</v>
      </c>
      <c r="T600" s="4" t="str">
        <f t="shared" si="301"/>
        <v>- -</v>
      </c>
      <c r="U600" s="4" t="str">
        <f t="shared" ca="1" si="295"/>
        <v>- -</v>
      </c>
      <c r="V600" s="4" t="str">
        <f t="shared" si="309"/>
        <v>- -</v>
      </c>
      <c r="W600" s="4" t="str">
        <f t="shared" si="289"/>
        <v>- -</v>
      </c>
      <c r="X600" s="4" t="str">
        <f t="shared" si="288"/>
        <v>- -</v>
      </c>
      <c r="Y600" s="4" t="str">
        <f t="shared" si="302"/>
        <v>- -</v>
      </c>
      <c r="Z600" s="4" t="str">
        <f t="shared" si="303"/>
        <v>- -</v>
      </c>
      <c r="AA600" s="4" t="str">
        <f t="shared" si="304"/>
        <v>- -</v>
      </c>
      <c r="AB600" s="4" t="str">
        <f t="shared" si="305"/>
        <v>- -</v>
      </c>
      <c r="AC600" s="8"/>
      <c r="AD600" s="4"/>
      <c r="AE600" s="4"/>
      <c r="AF600" s="4" t="str">
        <f t="shared" si="306"/>
        <v>- -</v>
      </c>
      <c r="AG600" s="4"/>
      <c r="AH600" s="4">
        <f>IFERROR(VLOOKUP(M600,Calculations!$AC$2:$AD$251,2,FALSE),0)</f>
        <v>0</v>
      </c>
      <c r="AI600" s="4" t="e">
        <f>VLOOKUP(N600,$N$2:$AS$620,MATCH('Character Creation'!$Z$12,Skills!$N$1:$AS$1,0),FALSE)</f>
        <v>#N/A</v>
      </c>
      <c r="AJ600" s="4" t="e">
        <f>VLOOKUP($N600,[2]Cultures!$B$4:$M$283,MATCH(AJ$1,[2]Cultures!$B$3:$M$3,0),FALSE)</f>
        <v>#N/A</v>
      </c>
      <c r="AK600" s="4" t="e">
        <f>VLOOKUP($N600,[2]Cultures!$B$4:$M$283,MATCH(AK$1,[2]Cultures!$B$3:$M$3,0),FALSE)</f>
        <v>#N/A</v>
      </c>
      <c r="AL600" s="4" t="e">
        <f>VLOOKUP($N600,[2]Cultures!$B$4:$M$283,MATCH(AL$1,[2]Cultures!$B$3:$M$3,0),FALSE)</f>
        <v>#N/A</v>
      </c>
      <c r="AM600" s="4" t="e">
        <f>VLOOKUP($N600,[2]Cultures!$B$4:$M$283,MATCH(AM$1,[2]Cultures!$B$3:$M$3,0),FALSE)</f>
        <v>#N/A</v>
      </c>
      <c r="AN600" s="4" t="e">
        <f>VLOOKUP($N600,[2]Cultures!$B$4:$M$283,MATCH(AN$1,[2]Cultures!$B$3:$M$3,0),FALSE)</f>
        <v>#N/A</v>
      </c>
      <c r="AO600" s="4" t="e">
        <f>VLOOKUP($N600,[2]Cultures!$B$4:$M$283,MATCH(AO$1,[2]Cultures!$B$3:$M$3,0),FALSE)</f>
        <v>#N/A</v>
      </c>
      <c r="AP600" s="4" t="e">
        <f>VLOOKUP($N600,[2]Cultures!$B$4:$M$283,MATCH(AP$1,[2]Cultures!$B$3:$M$3,0),FALSE)</f>
        <v>#N/A</v>
      </c>
      <c r="AQ600" s="4" t="e">
        <f>VLOOKUP($N600,[2]Cultures!$B$4:$M$283,MATCH(AQ$1,[2]Cultures!$B$3:$M$3,0),FALSE)</f>
        <v>#N/A</v>
      </c>
      <c r="AR600" s="4" t="e">
        <f>VLOOKUP($N600,[2]Cultures!$B$4:$M$283,MATCH(AR$1,[2]Cultures!$B$3:$M$3,0),FALSE)</f>
        <v>#N/A</v>
      </c>
      <c r="AS600" s="4" t="e">
        <f>VLOOKUP($N600,[2]Cultures!$B$4:$M$283,MATCH(AS$1,[2]Cultures!$B$3:$M$3,0),FALSE)</f>
        <v>#N/A</v>
      </c>
      <c r="AT600" s="4"/>
      <c r="AU600" s="4">
        <f>IF(ISNUMBER(SEARCH(N600&amp;";",Calculations!$Q$19)),VLOOKUP(Skills!N600,Calculations!$Q$2:$T$16,4,FALSE),0)</f>
        <v>0</v>
      </c>
      <c r="AV600" s="4">
        <f>IF(ISNUMBER(SEARCH(N600&amp;";",Calculations!$Q$18)),1,0)</f>
        <v>0</v>
      </c>
      <c r="AW600" s="4"/>
      <c r="AX600" s="4">
        <f>VLOOKUP($N600,$N600:$CH600,MATCH('Character Sheet'!$BJ$3,Skills!$N$1:$CH$1,0),FALSE)</f>
        <v>0</v>
      </c>
    </row>
    <row r="601" spans="2:50" x14ac:dyDescent="0.25">
      <c r="B601" s="4" t="e">
        <f t="shared" si="287"/>
        <v>#N/A</v>
      </c>
      <c r="E601" s="4"/>
      <c r="F601" s="4">
        <f t="shared" ca="1" si="298"/>
        <v>0</v>
      </c>
      <c r="G601" s="4"/>
      <c r="H601" s="4" t="e">
        <f t="shared" si="296"/>
        <v>#N/A</v>
      </c>
      <c r="I601" s="4">
        <v>0</v>
      </c>
      <c r="J601" s="4" t="e">
        <f t="shared" si="299"/>
        <v>#N/A</v>
      </c>
      <c r="K601" s="4" t="e">
        <f t="shared" si="297"/>
        <v>#N/A</v>
      </c>
      <c r="N601" s="3" t="s">
        <v>754</v>
      </c>
      <c r="O601" s="6" t="s">
        <v>782</v>
      </c>
      <c r="P601" s="6" t="s">
        <v>782</v>
      </c>
      <c r="Q601" s="4" t="str">
        <f t="shared" si="290"/>
        <v>- -</v>
      </c>
      <c r="R601" s="4" t="str">
        <f>IF(ISNUMBER(SEARCH("Category",N601)),"- -",IF(ISNUMBER(SEARCH("Skills",N601)),"- -",'Level-up'!C625))</f>
        <v>- -</v>
      </c>
      <c r="S601" s="4" t="str">
        <f t="shared" si="300"/>
        <v>- -</v>
      </c>
      <c r="T601" s="4" t="str">
        <f t="shared" si="301"/>
        <v>- -</v>
      </c>
      <c r="U601" s="4" t="str">
        <f t="shared" ca="1" si="295"/>
        <v>- -</v>
      </c>
      <c r="V601" s="4" t="str">
        <f t="shared" si="309"/>
        <v>- -</v>
      </c>
      <c r="W601" s="4" t="str">
        <f t="shared" si="289"/>
        <v>- -</v>
      </c>
      <c r="X601" s="4" t="str">
        <f t="shared" si="288"/>
        <v>- -</v>
      </c>
      <c r="Y601" s="4" t="str">
        <f t="shared" si="302"/>
        <v>- -</v>
      </c>
      <c r="Z601" s="4" t="str">
        <f t="shared" si="303"/>
        <v>- -</v>
      </c>
      <c r="AA601" s="4" t="str">
        <f t="shared" si="304"/>
        <v>- -</v>
      </c>
      <c r="AB601" s="4" t="str">
        <f t="shared" si="305"/>
        <v>- -</v>
      </c>
      <c r="AC601" s="8"/>
      <c r="AD601" s="4"/>
      <c r="AE601" s="4"/>
      <c r="AF601" s="4" t="str">
        <f t="shared" si="306"/>
        <v>- -</v>
      </c>
      <c r="AG601" s="4"/>
      <c r="AH601" s="4">
        <f>IFERROR(VLOOKUP(M601,Calculations!$AC$2:$AD$251,2,FALSE),0)</f>
        <v>0</v>
      </c>
      <c r="AI601" s="4" t="e">
        <f>VLOOKUP(N601,$N$2:$AS$620,MATCH('Character Creation'!$Z$12,Skills!$N$1:$AS$1,0),FALSE)</f>
        <v>#N/A</v>
      </c>
      <c r="AJ601" s="4" t="e">
        <f>VLOOKUP($N601,[2]Cultures!$B$4:$M$283,MATCH(AJ$1,[2]Cultures!$B$3:$M$3,0),FALSE)</f>
        <v>#N/A</v>
      </c>
      <c r="AK601" s="4" t="e">
        <f>VLOOKUP($N601,[2]Cultures!$B$4:$M$283,MATCH(AK$1,[2]Cultures!$B$3:$M$3,0),FALSE)</f>
        <v>#N/A</v>
      </c>
      <c r="AL601" s="4" t="e">
        <f>VLOOKUP($N601,[2]Cultures!$B$4:$M$283,MATCH(AL$1,[2]Cultures!$B$3:$M$3,0),FALSE)</f>
        <v>#N/A</v>
      </c>
      <c r="AM601" s="4" t="e">
        <f>VLOOKUP($N601,[2]Cultures!$B$4:$M$283,MATCH(AM$1,[2]Cultures!$B$3:$M$3,0),FALSE)</f>
        <v>#N/A</v>
      </c>
      <c r="AN601" s="4" t="e">
        <f>VLOOKUP($N601,[2]Cultures!$B$4:$M$283,MATCH(AN$1,[2]Cultures!$B$3:$M$3,0),FALSE)</f>
        <v>#N/A</v>
      </c>
      <c r="AO601" s="4" t="e">
        <f>VLOOKUP($N601,[2]Cultures!$B$4:$M$283,MATCH(AO$1,[2]Cultures!$B$3:$M$3,0),FALSE)</f>
        <v>#N/A</v>
      </c>
      <c r="AP601" s="4" t="e">
        <f>VLOOKUP($N601,[2]Cultures!$B$4:$M$283,MATCH(AP$1,[2]Cultures!$B$3:$M$3,0),FALSE)</f>
        <v>#N/A</v>
      </c>
      <c r="AQ601" s="4" t="e">
        <f>VLOOKUP($N601,[2]Cultures!$B$4:$M$283,MATCH(AQ$1,[2]Cultures!$B$3:$M$3,0),FALSE)</f>
        <v>#N/A</v>
      </c>
      <c r="AR601" s="4" t="e">
        <f>VLOOKUP($N601,[2]Cultures!$B$4:$M$283,MATCH(AR$1,[2]Cultures!$B$3:$M$3,0),FALSE)</f>
        <v>#N/A</v>
      </c>
      <c r="AS601" s="4" t="e">
        <f>VLOOKUP($N601,[2]Cultures!$B$4:$M$283,MATCH(AS$1,[2]Cultures!$B$3:$M$3,0),FALSE)</f>
        <v>#N/A</v>
      </c>
      <c r="AT601" s="4"/>
      <c r="AU601" s="4">
        <f>IF(ISNUMBER(SEARCH(N601&amp;";",Calculations!$Q$19)),VLOOKUP(Skills!N601,Calculations!$Q$2:$T$16,4,FALSE),0)</f>
        <v>0</v>
      </c>
      <c r="AV601" s="4">
        <f>IF(ISNUMBER(SEARCH(N601&amp;";",Calculations!$Q$18)),1,0)</f>
        <v>0</v>
      </c>
      <c r="AW601" s="4"/>
      <c r="AX601" s="4">
        <f>VLOOKUP($N601,$N601:$CH601,MATCH('Character Sheet'!$BJ$3,Skills!$N$1:$CH$1,0),FALSE)</f>
        <v>0</v>
      </c>
    </row>
    <row r="602" spans="2:50" x14ac:dyDescent="0.25">
      <c r="B602" s="4" t="e">
        <f t="shared" ref="B602:B620" ca="1" si="312">IF(A602="Y",B601+1,IF(A602="N",B601,IF(S602="- -",B601,IF(S602&gt;0,B601+1,B601))))</f>
        <v>#N/A</v>
      </c>
      <c r="E602" s="4"/>
      <c r="F602" s="4">
        <f t="shared" ca="1" si="298"/>
        <v>0</v>
      </c>
      <c r="G602" s="4"/>
      <c r="H602" s="4" t="e">
        <f t="shared" si="296"/>
        <v>#N/A</v>
      </c>
      <c r="I602" s="4">
        <f t="shared" ref="I602:I612" si="313">IF($J$118=1,1,IF($J$590=1,1,IF($J$601=1,1,0)))</f>
        <v>1</v>
      </c>
      <c r="J602" s="4">
        <f t="shared" si="299"/>
        <v>0</v>
      </c>
      <c r="K602" s="4" t="e">
        <f t="shared" ca="1" si="297"/>
        <v>#N/A</v>
      </c>
      <c r="M602" t="str">
        <f>"Service, "&amp;N602</f>
        <v>Service, Attendant</v>
      </c>
      <c r="N602" s="3" t="str">
        <f>'Character Sheet'!DGR15</f>
        <v>Attendant</v>
      </c>
      <c r="O602" s="4" t="s">
        <v>1996</v>
      </c>
      <c r="P602" s="4" t="s">
        <v>781</v>
      </c>
      <c r="Q602" s="4" t="e">
        <f t="shared" ca="1" si="290"/>
        <v>#N/A</v>
      </c>
      <c r="R602" s="4">
        <f>IF(ISNUMBER(SEARCH("Category",N602)),"- -",IF(ISNUMBER(SEARCH("Skills",N602)),"- -",'Level-up'!C626))</f>
        <v>0</v>
      </c>
      <c r="S602" s="4" t="e">
        <f t="shared" ca="1" si="300"/>
        <v>#N/A</v>
      </c>
      <c r="T602" s="4" t="e">
        <f t="shared" ca="1" si="301"/>
        <v>#N/A</v>
      </c>
      <c r="U602" s="4">
        <f t="shared" ca="1" si="295"/>
        <v>2</v>
      </c>
      <c r="V602" s="4">
        <f t="shared" ref="V602:V614" si="314">IF(ISNUMBER(SEARCH("Category",N602)),"- -",IF(ISNUMBER(SEARCH("Skills",N602)),"- -",IF(AU602&gt;0,AU602,IF($AU$600&gt;0,$AU$600,$AU$589))))</f>
        <v>0</v>
      </c>
      <c r="W602" s="4">
        <f t="shared" si="289"/>
        <v>0</v>
      </c>
      <c r="X602" s="4">
        <f t="shared" si="288"/>
        <v>0</v>
      </c>
      <c r="Y602" s="4">
        <f t="shared" si="302"/>
        <v>0</v>
      </c>
      <c r="Z602" s="4">
        <f t="shared" si="303"/>
        <v>0</v>
      </c>
      <c r="AA602" s="4">
        <f t="shared" si="304"/>
        <v>0</v>
      </c>
      <c r="AB602" s="4">
        <f t="shared" si="305"/>
        <v>0</v>
      </c>
      <c r="AC602" s="8"/>
      <c r="AD602" s="4"/>
      <c r="AE602" s="4"/>
      <c r="AF602" s="4" t="e">
        <f t="shared" ca="1" si="306"/>
        <v>#N/A</v>
      </c>
      <c r="AG602" s="4"/>
      <c r="AH602" s="4">
        <f>IFERROR(VLOOKUP(M602,Calculations!$AC$2:$AD$251,2,FALSE),0)</f>
        <v>0</v>
      </c>
      <c r="AI602" s="4" t="e">
        <f ca="1">VLOOKUP(N602,$N$2:$AS$620,MATCH('Character Creation'!$Z$12,Skills!$N$1:$AS$1,0),FALSE)</f>
        <v>#N/A</v>
      </c>
      <c r="AJ602" s="4" t="e">
        <f>VLOOKUP($N602,[2]Cultures!$B$4:$M$283,MATCH(AJ$1,[2]Cultures!$B$3:$M$3,0),FALSE)</f>
        <v>#N/A</v>
      </c>
      <c r="AK602" s="4" t="e">
        <f>VLOOKUP($N602,[2]Cultures!$B$4:$M$283,MATCH(AK$1,[2]Cultures!$B$3:$M$3,0),FALSE)</f>
        <v>#N/A</v>
      </c>
      <c r="AL602" s="4" t="e">
        <f>VLOOKUP($N602,[2]Cultures!$B$4:$M$283,MATCH(AL$1,[2]Cultures!$B$3:$M$3,0),FALSE)</f>
        <v>#N/A</v>
      </c>
      <c r="AM602" s="4" t="e">
        <f>VLOOKUP($N602,[2]Cultures!$B$4:$M$283,MATCH(AM$1,[2]Cultures!$B$3:$M$3,0),FALSE)</f>
        <v>#N/A</v>
      </c>
      <c r="AN602" s="4" t="e">
        <f>VLOOKUP($N602,[2]Cultures!$B$4:$M$283,MATCH(AN$1,[2]Cultures!$B$3:$M$3,0),FALSE)</f>
        <v>#N/A</v>
      </c>
      <c r="AO602" s="4" t="e">
        <f>VLOOKUP($N602,[2]Cultures!$B$4:$M$283,MATCH(AO$1,[2]Cultures!$B$3:$M$3,0),FALSE)</f>
        <v>#N/A</v>
      </c>
      <c r="AP602" s="4" t="e">
        <f>VLOOKUP($N602,[2]Cultures!$B$4:$M$283,MATCH(AP$1,[2]Cultures!$B$3:$M$3,0),FALSE)</f>
        <v>#N/A</v>
      </c>
      <c r="AQ602" s="4" t="e">
        <f>VLOOKUP($N602,[2]Cultures!$B$4:$M$283,MATCH(AQ$1,[2]Cultures!$B$3:$M$3,0),FALSE)</f>
        <v>#N/A</v>
      </c>
      <c r="AR602" s="4" t="e">
        <f>VLOOKUP($N602,[2]Cultures!$B$4:$M$283,MATCH(AR$1,[2]Cultures!$B$3:$M$3,0),FALSE)</f>
        <v>#N/A</v>
      </c>
      <c r="AS602" s="4" t="e">
        <f>VLOOKUP($N602,[2]Cultures!$B$4:$M$283,MATCH(AS$1,[2]Cultures!$B$3:$M$3,0),FALSE)</f>
        <v>#N/A</v>
      </c>
      <c r="AT602" s="4"/>
      <c r="AU602" s="4">
        <f>IF(ISNUMBER(SEARCH(N602&amp;";",Calculations!$Q$19)),VLOOKUP(Skills!N602,Calculations!$Q$2:$T$16,4,FALSE),0)</f>
        <v>0</v>
      </c>
      <c r="AV602" s="4">
        <f>IF(ISNUMBER(SEARCH(N602&amp;";",Calculations!$Q$18)),1,0)</f>
        <v>0</v>
      </c>
      <c r="AW602" s="4">
        <f t="shared" ref="AW602:AW612" si="315">IF($AV$589=1,1,IF($AV$600=1,1,AV602))</f>
        <v>0</v>
      </c>
      <c r="AX602" s="4">
        <f>VLOOKUP($N602,$N602:$CH602,MATCH('Character Sheet'!$BJ$3,Skills!$N$1:$CH$1,0),FALSE)</f>
        <v>0</v>
      </c>
    </row>
    <row r="603" spans="2:50" x14ac:dyDescent="0.25">
      <c r="B603" s="4" t="e">
        <f t="shared" si="312"/>
        <v>#N/A</v>
      </c>
      <c r="E603" s="4"/>
      <c r="F603" s="4">
        <f t="shared" ca="1" si="298"/>
        <v>0</v>
      </c>
      <c r="G603" s="4"/>
      <c r="H603" s="4" t="e">
        <f t="shared" si="296"/>
        <v>#N/A</v>
      </c>
      <c r="I603" s="4">
        <f t="shared" si="313"/>
        <v>1</v>
      </c>
      <c r="J603" s="4">
        <f t="shared" si="299"/>
        <v>0</v>
      </c>
      <c r="K603" s="4" t="e">
        <f t="shared" si="297"/>
        <v>#N/A</v>
      </c>
      <c r="M603" t="str">
        <f t="shared" ref="M603:M612" si="316">"Service, "&amp;N603</f>
        <v>Service, Coachman</v>
      </c>
      <c r="N603" s="3" t="str">
        <f>'Character Sheet'!DGR16</f>
        <v>Coachman</v>
      </c>
      <c r="O603" s="4" t="s">
        <v>1996</v>
      </c>
      <c r="P603" s="4" t="s">
        <v>781</v>
      </c>
      <c r="Q603" s="4" t="e">
        <f t="shared" si="290"/>
        <v>#N/A</v>
      </c>
      <c r="R603" s="4">
        <f>IF(ISNUMBER(SEARCH("Category",N603)),"- -",IF(ISNUMBER(SEARCH("Skills",N603)),"- -",'Level-up'!C627))</f>
        <v>0</v>
      </c>
      <c r="S603" s="4" t="e">
        <f t="shared" si="300"/>
        <v>#N/A</v>
      </c>
      <c r="T603" s="4" t="e">
        <f t="shared" si="301"/>
        <v>#N/A</v>
      </c>
      <c r="U603" s="4">
        <f t="shared" ca="1" si="295"/>
        <v>2</v>
      </c>
      <c r="V603" s="4">
        <f t="shared" si="314"/>
        <v>0</v>
      </c>
      <c r="W603" s="4">
        <f t="shared" si="289"/>
        <v>0</v>
      </c>
      <c r="X603" s="4">
        <f t="shared" si="288"/>
        <v>0</v>
      </c>
      <c r="Y603" s="4">
        <f t="shared" si="302"/>
        <v>0</v>
      </c>
      <c r="Z603" s="4">
        <f t="shared" si="303"/>
        <v>0</v>
      </c>
      <c r="AA603" s="4">
        <f t="shared" si="304"/>
        <v>0</v>
      </c>
      <c r="AB603" s="4">
        <f t="shared" si="305"/>
        <v>0</v>
      </c>
      <c r="AC603" s="8"/>
      <c r="AD603" s="4"/>
      <c r="AE603" s="4"/>
      <c r="AF603" s="4" t="e">
        <f t="shared" si="306"/>
        <v>#N/A</v>
      </c>
      <c r="AG603" s="4"/>
      <c r="AH603" s="4">
        <f>IFERROR(VLOOKUP(M603,Calculations!$AC$2:$AD$251,2,FALSE),0)</f>
        <v>0</v>
      </c>
      <c r="AI603" s="4" t="e">
        <f>VLOOKUP(N603,$N$2:$AS$620,MATCH('Character Creation'!$Z$12,Skills!$N$1:$AS$1,0),FALSE)</f>
        <v>#N/A</v>
      </c>
      <c r="AJ603" s="4" t="e">
        <f>VLOOKUP($N603,[2]Cultures!$B$4:$M$283,MATCH(AJ$1,[2]Cultures!$B$3:$M$3,0),FALSE)</f>
        <v>#N/A</v>
      </c>
      <c r="AK603" s="4" t="e">
        <f>VLOOKUP($N603,[2]Cultures!$B$4:$M$283,MATCH(AK$1,[2]Cultures!$B$3:$M$3,0),FALSE)</f>
        <v>#N/A</v>
      </c>
      <c r="AL603" s="4" t="e">
        <f>VLOOKUP($N603,[2]Cultures!$B$4:$M$283,MATCH(AL$1,[2]Cultures!$B$3:$M$3,0),FALSE)</f>
        <v>#N/A</v>
      </c>
      <c r="AM603" s="4" t="e">
        <f>VLOOKUP($N603,[2]Cultures!$B$4:$M$283,MATCH(AM$1,[2]Cultures!$B$3:$M$3,0),FALSE)</f>
        <v>#N/A</v>
      </c>
      <c r="AN603" s="4" t="e">
        <f>VLOOKUP($N603,[2]Cultures!$B$4:$M$283,MATCH(AN$1,[2]Cultures!$B$3:$M$3,0),FALSE)</f>
        <v>#N/A</v>
      </c>
      <c r="AO603" s="4" t="e">
        <f>VLOOKUP($N603,[2]Cultures!$B$4:$M$283,MATCH(AO$1,[2]Cultures!$B$3:$M$3,0),FALSE)</f>
        <v>#N/A</v>
      </c>
      <c r="AP603" s="4" t="e">
        <f>VLOOKUP($N603,[2]Cultures!$B$4:$M$283,MATCH(AP$1,[2]Cultures!$B$3:$M$3,0),FALSE)</f>
        <v>#N/A</v>
      </c>
      <c r="AQ603" s="4" t="e">
        <f>VLOOKUP($N603,[2]Cultures!$B$4:$M$283,MATCH(AQ$1,[2]Cultures!$B$3:$M$3,0),FALSE)</f>
        <v>#N/A</v>
      </c>
      <c r="AR603" s="4" t="e">
        <f>VLOOKUP($N603,[2]Cultures!$B$4:$M$283,MATCH(AR$1,[2]Cultures!$B$3:$M$3,0),FALSE)</f>
        <v>#N/A</v>
      </c>
      <c r="AS603" s="4" t="e">
        <f>VLOOKUP($N603,[2]Cultures!$B$4:$M$283,MATCH(AS$1,[2]Cultures!$B$3:$M$3,0),FALSE)</f>
        <v>#N/A</v>
      </c>
      <c r="AT603" s="4"/>
      <c r="AU603" s="4">
        <f>IF(ISNUMBER(SEARCH(N603&amp;";",Calculations!$Q$19)),VLOOKUP(Skills!N603,Calculations!$Q$2:$T$16,4,FALSE),0)</f>
        <v>0</v>
      </c>
      <c r="AV603" s="4">
        <f>IF(ISNUMBER(SEARCH(N603&amp;";",Calculations!$Q$18)),1,0)</f>
        <v>0</v>
      </c>
      <c r="AW603" s="4">
        <f t="shared" si="315"/>
        <v>0</v>
      </c>
      <c r="AX603" s="4">
        <f>VLOOKUP($N603,$N603:$CH603,MATCH('Character Sheet'!$BJ$3,Skills!$N$1:$CH$1,0),FALSE)</f>
        <v>0</v>
      </c>
    </row>
    <row r="604" spans="2:50" x14ac:dyDescent="0.25">
      <c r="B604" s="4" t="e">
        <f t="shared" si="312"/>
        <v>#N/A</v>
      </c>
      <c r="E604" s="4"/>
      <c r="F604" s="4">
        <f t="shared" ca="1" si="298"/>
        <v>0</v>
      </c>
      <c r="G604" s="4"/>
      <c r="H604" s="4" t="e">
        <f t="shared" si="296"/>
        <v>#N/A</v>
      </c>
      <c r="I604" s="4">
        <f t="shared" si="313"/>
        <v>1</v>
      </c>
      <c r="J604" s="4">
        <f t="shared" si="299"/>
        <v>0</v>
      </c>
      <c r="K604" s="4" t="e">
        <f t="shared" si="297"/>
        <v>#N/A</v>
      </c>
      <c r="M604" t="str">
        <f t="shared" si="316"/>
        <v>Service, Lawyer</v>
      </c>
      <c r="N604" s="3" t="str">
        <f>'Character Sheet'!DGR17</f>
        <v>Lawyer</v>
      </c>
      <c r="O604" s="4" t="s">
        <v>1996</v>
      </c>
      <c r="P604" s="4" t="s">
        <v>781</v>
      </c>
      <c r="Q604" s="4" t="e">
        <f t="shared" si="290"/>
        <v>#N/A</v>
      </c>
      <c r="R604" s="4">
        <f>IF(ISNUMBER(SEARCH("Category",N604)),"- -",IF(ISNUMBER(SEARCH("Skills",N604)),"- -",'Level-up'!C628))</f>
        <v>0</v>
      </c>
      <c r="S604" s="4" t="e">
        <f t="shared" si="300"/>
        <v>#N/A</v>
      </c>
      <c r="T604" s="4" t="e">
        <f t="shared" si="301"/>
        <v>#N/A</v>
      </c>
      <c r="U604" s="4">
        <f t="shared" ca="1" si="295"/>
        <v>2</v>
      </c>
      <c r="V604" s="4">
        <f t="shared" si="314"/>
        <v>0</v>
      </c>
      <c r="W604" s="4">
        <f t="shared" si="289"/>
        <v>0</v>
      </c>
      <c r="X604" s="4">
        <f t="shared" ref="X604:X620" si="317">IF(ISNUMBER(SEARCH("Category",N604)),"- -",IF(ISNUMBER(SEARCH("Skills",N604)),"- -",0))</f>
        <v>0</v>
      </c>
      <c r="Y604" s="4">
        <f t="shared" si="302"/>
        <v>0</v>
      </c>
      <c r="Z604" s="4">
        <f t="shared" si="303"/>
        <v>0</v>
      </c>
      <c r="AA604" s="4">
        <f t="shared" si="304"/>
        <v>0</v>
      </c>
      <c r="AB604" s="4">
        <f t="shared" si="305"/>
        <v>0</v>
      </c>
      <c r="AC604" s="8"/>
      <c r="AD604" s="4"/>
      <c r="AE604" s="4"/>
      <c r="AF604" s="4" t="e">
        <f t="shared" si="306"/>
        <v>#N/A</v>
      </c>
      <c r="AG604" s="4"/>
      <c r="AH604" s="4">
        <f>IFERROR(VLOOKUP(M604,Calculations!$AC$2:$AD$251,2,FALSE),0)</f>
        <v>0</v>
      </c>
      <c r="AI604" s="4" t="e">
        <f>VLOOKUP(N604,$N$2:$AS$620,MATCH('Character Creation'!$Z$12,Skills!$N$1:$AS$1,0),FALSE)</f>
        <v>#N/A</v>
      </c>
      <c r="AJ604" s="4" t="e">
        <f>VLOOKUP($N604,[2]Cultures!$B$4:$M$283,MATCH(AJ$1,[2]Cultures!$B$3:$M$3,0),FALSE)</f>
        <v>#N/A</v>
      </c>
      <c r="AK604" s="4" t="e">
        <f>VLOOKUP($N604,[2]Cultures!$B$4:$M$283,MATCH(AK$1,[2]Cultures!$B$3:$M$3,0),FALSE)</f>
        <v>#N/A</v>
      </c>
      <c r="AL604" s="4" t="e">
        <f>VLOOKUP($N604,[2]Cultures!$B$4:$M$283,MATCH(AL$1,[2]Cultures!$B$3:$M$3,0),FALSE)</f>
        <v>#N/A</v>
      </c>
      <c r="AM604" s="4" t="e">
        <f>VLOOKUP($N604,[2]Cultures!$B$4:$M$283,MATCH(AM$1,[2]Cultures!$B$3:$M$3,0),FALSE)</f>
        <v>#N/A</v>
      </c>
      <c r="AN604" s="4" t="e">
        <f>VLOOKUP($N604,[2]Cultures!$B$4:$M$283,MATCH(AN$1,[2]Cultures!$B$3:$M$3,0),FALSE)</f>
        <v>#N/A</v>
      </c>
      <c r="AO604" s="4" t="e">
        <f>VLOOKUP($N604,[2]Cultures!$B$4:$M$283,MATCH(AO$1,[2]Cultures!$B$3:$M$3,0),FALSE)</f>
        <v>#N/A</v>
      </c>
      <c r="AP604" s="4" t="e">
        <f>VLOOKUP($N604,[2]Cultures!$B$4:$M$283,MATCH(AP$1,[2]Cultures!$B$3:$M$3,0),FALSE)</f>
        <v>#N/A</v>
      </c>
      <c r="AQ604" s="4" t="e">
        <f>VLOOKUP($N604,[2]Cultures!$B$4:$M$283,MATCH(AQ$1,[2]Cultures!$B$3:$M$3,0),FALSE)</f>
        <v>#N/A</v>
      </c>
      <c r="AR604" s="4" t="e">
        <f>VLOOKUP($N604,[2]Cultures!$B$4:$M$283,MATCH(AR$1,[2]Cultures!$B$3:$M$3,0),FALSE)</f>
        <v>#N/A</v>
      </c>
      <c r="AS604" s="4" t="e">
        <f>VLOOKUP($N604,[2]Cultures!$B$4:$M$283,MATCH(AS$1,[2]Cultures!$B$3:$M$3,0),FALSE)</f>
        <v>#N/A</v>
      </c>
      <c r="AT604" s="4"/>
      <c r="AU604" s="4">
        <f>IF(ISNUMBER(SEARCH(N604&amp;";",Calculations!$Q$19)),VLOOKUP(Skills!N604,Calculations!$Q$2:$T$16,4,FALSE),0)</f>
        <v>0</v>
      </c>
      <c r="AV604" s="4">
        <f>IF(ISNUMBER(SEARCH(N604&amp;";",Calculations!$Q$18)),1,0)</f>
        <v>0</v>
      </c>
      <c r="AW604" s="4">
        <f t="shared" si="315"/>
        <v>0</v>
      </c>
      <c r="AX604" s="4">
        <f>VLOOKUP($N604,$N604:$CH604,MATCH('Character Sheet'!$BJ$3,Skills!$N$1:$CH$1,0),FALSE)</f>
        <v>0</v>
      </c>
    </row>
    <row r="605" spans="2:50" x14ac:dyDescent="0.25">
      <c r="B605" s="4" t="e">
        <f t="shared" si="312"/>
        <v>#N/A</v>
      </c>
      <c r="E605" s="4"/>
      <c r="F605" s="4">
        <f t="shared" ca="1" si="298"/>
        <v>0</v>
      </c>
      <c r="G605" s="4"/>
      <c r="H605" s="4" t="e">
        <f t="shared" si="296"/>
        <v>#N/A</v>
      </c>
      <c r="I605" s="4">
        <f t="shared" si="313"/>
        <v>1</v>
      </c>
      <c r="J605" s="4">
        <f t="shared" si="299"/>
        <v>0</v>
      </c>
      <c r="K605" s="4" t="e">
        <f t="shared" si="297"/>
        <v>#N/A</v>
      </c>
      <c r="M605" t="str">
        <f t="shared" si="316"/>
        <v>Service, Preacher</v>
      </c>
      <c r="N605" s="3" t="str">
        <f>'Character Sheet'!DGR18</f>
        <v>Preacher</v>
      </c>
      <c r="O605" s="4" t="s">
        <v>1996</v>
      </c>
      <c r="P605" s="4" t="s">
        <v>781</v>
      </c>
      <c r="Q605" s="4" t="e">
        <f t="shared" si="290"/>
        <v>#N/A</v>
      </c>
      <c r="R605" s="4">
        <f>IF(ISNUMBER(SEARCH("Category",N605)),"- -",IF(ISNUMBER(SEARCH("Skills",N605)),"- -",'Level-up'!C629))</f>
        <v>0</v>
      </c>
      <c r="S605" s="4" t="e">
        <f t="shared" si="300"/>
        <v>#N/A</v>
      </c>
      <c r="T605" s="4" t="e">
        <f t="shared" si="301"/>
        <v>#N/A</v>
      </c>
      <c r="U605" s="4">
        <f t="shared" ca="1" si="295"/>
        <v>2</v>
      </c>
      <c r="V605" s="4">
        <f t="shared" si="314"/>
        <v>0</v>
      </c>
      <c r="W605" s="4">
        <f t="shared" si="289"/>
        <v>0</v>
      </c>
      <c r="X605" s="4">
        <f t="shared" si="317"/>
        <v>0</v>
      </c>
      <c r="Y605" s="4">
        <f t="shared" si="302"/>
        <v>0</v>
      </c>
      <c r="Z605" s="4">
        <f t="shared" si="303"/>
        <v>0</v>
      </c>
      <c r="AA605" s="4">
        <f t="shared" si="304"/>
        <v>0</v>
      </c>
      <c r="AB605" s="4">
        <f t="shared" si="305"/>
        <v>0</v>
      </c>
      <c r="AC605" s="8"/>
      <c r="AD605" s="4"/>
      <c r="AE605" s="4"/>
      <c r="AF605" s="4" t="e">
        <f t="shared" si="306"/>
        <v>#N/A</v>
      </c>
      <c r="AG605" s="4"/>
      <c r="AH605" s="4">
        <f>IFERROR(VLOOKUP(M605,Calculations!$AC$2:$AD$251,2,FALSE),0)</f>
        <v>0</v>
      </c>
      <c r="AI605" s="4" t="e">
        <f>VLOOKUP(N605,$N$2:$AS$620,MATCH('Character Creation'!$Z$12,Skills!$N$1:$AS$1,0),FALSE)</f>
        <v>#N/A</v>
      </c>
      <c r="AJ605" s="4" t="e">
        <f>VLOOKUP($N605,[2]Cultures!$B$4:$M$283,MATCH(AJ$1,[2]Cultures!$B$3:$M$3,0),FALSE)</f>
        <v>#N/A</v>
      </c>
      <c r="AK605" s="4" t="e">
        <f>VLOOKUP($N605,[2]Cultures!$B$4:$M$283,MATCH(AK$1,[2]Cultures!$B$3:$M$3,0),FALSE)</f>
        <v>#N/A</v>
      </c>
      <c r="AL605" s="4" t="e">
        <f>VLOOKUP($N605,[2]Cultures!$B$4:$M$283,MATCH(AL$1,[2]Cultures!$B$3:$M$3,0),FALSE)</f>
        <v>#N/A</v>
      </c>
      <c r="AM605" s="4" t="e">
        <f>VLOOKUP($N605,[2]Cultures!$B$4:$M$283,MATCH(AM$1,[2]Cultures!$B$3:$M$3,0),FALSE)</f>
        <v>#N/A</v>
      </c>
      <c r="AN605" s="4" t="e">
        <f>VLOOKUP($N605,[2]Cultures!$B$4:$M$283,MATCH(AN$1,[2]Cultures!$B$3:$M$3,0),FALSE)</f>
        <v>#N/A</v>
      </c>
      <c r="AO605" s="4" t="e">
        <f>VLOOKUP($N605,[2]Cultures!$B$4:$M$283,MATCH(AO$1,[2]Cultures!$B$3:$M$3,0),FALSE)</f>
        <v>#N/A</v>
      </c>
      <c r="AP605" s="4" t="e">
        <f>VLOOKUP($N605,[2]Cultures!$B$4:$M$283,MATCH(AP$1,[2]Cultures!$B$3:$M$3,0),FALSE)</f>
        <v>#N/A</v>
      </c>
      <c r="AQ605" s="4" t="e">
        <f>VLOOKUP($N605,[2]Cultures!$B$4:$M$283,MATCH(AQ$1,[2]Cultures!$B$3:$M$3,0),FALSE)</f>
        <v>#N/A</v>
      </c>
      <c r="AR605" s="4" t="e">
        <f>VLOOKUP($N605,[2]Cultures!$B$4:$M$283,MATCH(AR$1,[2]Cultures!$B$3:$M$3,0),FALSE)</f>
        <v>#N/A</v>
      </c>
      <c r="AS605" s="4" t="e">
        <f>VLOOKUP($N605,[2]Cultures!$B$4:$M$283,MATCH(AS$1,[2]Cultures!$B$3:$M$3,0),FALSE)</f>
        <v>#N/A</v>
      </c>
      <c r="AT605" s="4"/>
      <c r="AU605" s="4">
        <f>IF(ISNUMBER(SEARCH(N605&amp;";",Calculations!$Q$19)),VLOOKUP(Skills!N605,Calculations!$Q$2:$T$16,4,FALSE),0)</f>
        <v>0</v>
      </c>
      <c r="AV605" s="4">
        <f>IF(ISNUMBER(SEARCH(N605&amp;";",Calculations!$Q$18)),1,0)</f>
        <v>0</v>
      </c>
      <c r="AW605" s="4">
        <f t="shared" si="315"/>
        <v>0</v>
      </c>
      <c r="AX605" s="4">
        <f>VLOOKUP($N605,$N605:$CH605,MATCH('Character Sheet'!$BJ$3,Skills!$N$1:$CH$1,0),FALSE)</f>
        <v>0</v>
      </c>
    </row>
    <row r="606" spans="2:50" x14ac:dyDescent="0.25">
      <c r="B606" s="4" t="e">
        <f t="shared" si="312"/>
        <v>#N/A</v>
      </c>
      <c r="E606" s="4"/>
      <c r="F606" s="4">
        <f t="shared" ca="1" si="298"/>
        <v>0</v>
      </c>
      <c r="G606" s="4"/>
      <c r="H606" s="4" t="e">
        <f t="shared" si="296"/>
        <v>#N/A</v>
      </c>
      <c r="I606" s="4">
        <f t="shared" si="313"/>
        <v>1</v>
      </c>
      <c r="J606" s="4">
        <f t="shared" si="299"/>
        <v>0</v>
      </c>
      <c r="K606" s="4" t="e">
        <f t="shared" si="297"/>
        <v>#N/A</v>
      </c>
      <c r="M606" t="str">
        <f t="shared" si="316"/>
        <v>Service, Child Care</v>
      </c>
      <c r="N606" s="3" t="str">
        <f>'Character Sheet'!DGR19</f>
        <v>Child Care</v>
      </c>
      <c r="O606" s="4" t="s">
        <v>1996</v>
      </c>
      <c r="P606" s="4" t="s">
        <v>781</v>
      </c>
      <c r="Q606" s="4" t="e">
        <f t="shared" si="290"/>
        <v>#N/A</v>
      </c>
      <c r="R606" s="4">
        <f>IF(ISNUMBER(SEARCH("Category",N606)),"- -",IF(ISNUMBER(SEARCH("Skills",N606)),"- -",'Level-up'!C630))</f>
        <v>0</v>
      </c>
      <c r="S606" s="4" t="e">
        <f t="shared" si="300"/>
        <v>#N/A</v>
      </c>
      <c r="T606" s="4" t="e">
        <f t="shared" si="301"/>
        <v>#N/A</v>
      </c>
      <c r="U606" s="4">
        <f t="shared" ca="1" si="295"/>
        <v>2</v>
      </c>
      <c r="V606" s="4">
        <f t="shared" si="314"/>
        <v>0</v>
      </c>
      <c r="W606" s="4">
        <f t="shared" si="289"/>
        <v>0</v>
      </c>
      <c r="X606" s="4">
        <f t="shared" si="317"/>
        <v>0</v>
      </c>
      <c r="Y606" s="4">
        <f t="shared" si="302"/>
        <v>0</v>
      </c>
      <c r="Z606" s="4">
        <f t="shared" si="303"/>
        <v>0</v>
      </c>
      <c r="AA606" s="4">
        <f t="shared" si="304"/>
        <v>0</v>
      </c>
      <c r="AB606" s="4">
        <f t="shared" si="305"/>
        <v>0</v>
      </c>
      <c r="AC606" s="8"/>
      <c r="AD606" s="4"/>
      <c r="AE606" s="4"/>
      <c r="AF606" s="4" t="e">
        <f t="shared" si="306"/>
        <v>#N/A</v>
      </c>
      <c r="AG606" s="4"/>
      <c r="AH606" s="4">
        <f>IFERROR(VLOOKUP(M606,Calculations!$AC$2:$AD$251,2,FALSE),0)</f>
        <v>0</v>
      </c>
      <c r="AI606" s="4" t="e">
        <f>VLOOKUP(N606,$N$2:$AS$620,MATCH('Character Creation'!$Z$12,Skills!$N$1:$AS$1,0),FALSE)</f>
        <v>#N/A</v>
      </c>
      <c r="AJ606" s="4" t="e">
        <f>VLOOKUP($N606,[2]Cultures!$B$4:$M$283,MATCH(AJ$1,[2]Cultures!$B$3:$M$3,0),FALSE)</f>
        <v>#N/A</v>
      </c>
      <c r="AK606" s="4" t="e">
        <f>VLOOKUP($N606,[2]Cultures!$B$4:$M$283,MATCH(AK$1,[2]Cultures!$B$3:$M$3,0),FALSE)</f>
        <v>#N/A</v>
      </c>
      <c r="AL606" s="4" t="e">
        <f>VLOOKUP($N606,[2]Cultures!$B$4:$M$283,MATCH(AL$1,[2]Cultures!$B$3:$M$3,0),FALSE)</f>
        <v>#N/A</v>
      </c>
      <c r="AM606" s="4" t="e">
        <f>VLOOKUP($N606,[2]Cultures!$B$4:$M$283,MATCH(AM$1,[2]Cultures!$B$3:$M$3,0),FALSE)</f>
        <v>#N/A</v>
      </c>
      <c r="AN606" s="4" t="e">
        <f>VLOOKUP($N606,[2]Cultures!$B$4:$M$283,MATCH(AN$1,[2]Cultures!$B$3:$M$3,0),FALSE)</f>
        <v>#N/A</v>
      </c>
      <c r="AO606" s="4" t="e">
        <f>VLOOKUP($N606,[2]Cultures!$B$4:$M$283,MATCH(AO$1,[2]Cultures!$B$3:$M$3,0),FALSE)</f>
        <v>#N/A</v>
      </c>
      <c r="AP606" s="4" t="e">
        <f>VLOOKUP($N606,[2]Cultures!$B$4:$M$283,MATCH(AP$1,[2]Cultures!$B$3:$M$3,0),FALSE)</f>
        <v>#N/A</v>
      </c>
      <c r="AQ606" s="4" t="e">
        <f>VLOOKUP($N606,[2]Cultures!$B$4:$M$283,MATCH(AQ$1,[2]Cultures!$B$3:$M$3,0),FALSE)</f>
        <v>#N/A</v>
      </c>
      <c r="AR606" s="4" t="e">
        <f>VLOOKUP($N606,[2]Cultures!$B$4:$M$283,MATCH(AR$1,[2]Cultures!$B$3:$M$3,0),FALSE)</f>
        <v>#N/A</v>
      </c>
      <c r="AS606" s="4" t="e">
        <f>VLOOKUP($N606,[2]Cultures!$B$4:$M$283,MATCH(AS$1,[2]Cultures!$B$3:$M$3,0),FALSE)</f>
        <v>#N/A</v>
      </c>
      <c r="AT606" s="4"/>
      <c r="AU606" s="4">
        <f>IF(ISNUMBER(SEARCH(N606&amp;";",Calculations!$Q$19)),VLOOKUP(Skills!N606,Calculations!$Q$2:$T$16,4,FALSE),0)</f>
        <v>0</v>
      </c>
      <c r="AV606" s="4">
        <f>IF(ISNUMBER(SEARCH(N606&amp;";",Calculations!$Q$18)),1,0)</f>
        <v>0</v>
      </c>
      <c r="AW606" s="4">
        <f t="shared" si="315"/>
        <v>0</v>
      </c>
      <c r="AX606" s="4">
        <f>VLOOKUP($N606,$N606:$CH606,MATCH('Character Sheet'!$BJ$3,Skills!$N$1:$CH$1,0),FALSE)</f>
        <v>0</v>
      </c>
    </row>
    <row r="607" spans="2:50" x14ac:dyDescent="0.25">
      <c r="B607" s="4" t="e">
        <f t="shared" ca="1" si="312"/>
        <v>#N/A</v>
      </c>
      <c r="E607" s="4"/>
      <c r="F607" s="4">
        <f t="shared" ca="1" si="298"/>
        <v>0</v>
      </c>
      <c r="G607" s="4"/>
      <c r="H607" s="4" t="e">
        <f t="shared" si="296"/>
        <v>#N/A</v>
      </c>
      <c r="I607" s="4">
        <f t="shared" si="313"/>
        <v>1</v>
      </c>
      <c r="J607" s="4">
        <f t="shared" si="299"/>
        <v>0</v>
      </c>
      <c r="K607" s="4" t="e">
        <f t="shared" ca="1" si="297"/>
        <v>#N/A</v>
      </c>
      <c r="M607" t="str">
        <f t="shared" si="316"/>
        <v>Service, Innkeeping</v>
      </c>
      <c r="N607" s="3" t="str">
        <f>'Character Sheet'!DGR20</f>
        <v>Innkeeping</v>
      </c>
      <c r="O607" s="4" t="s">
        <v>1996</v>
      </c>
      <c r="P607" s="4" t="s">
        <v>781</v>
      </c>
      <c r="Q607" s="4" t="e">
        <f t="shared" ref="Q607:Q620" ca="1" si="318">IF(ISNUMBER(SEARCH("Category",N607)),"- -",IF(ISNUMBER(SEARCH("Skills",N607)),"- -",AH607+AI607))</f>
        <v>#N/A</v>
      </c>
      <c r="R607" s="4">
        <f>IF(ISNUMBER(SEARCH("Category",N607)),"- -",IF(ISNUMBER(SEARCH("Skills",N607)),"- -",'Level-up'!C631))</f>
        <v>0</v>
      </c>
      <c r="S607" s="4" t="e">
        <f t="shared" ca="1" si="300"/>
        <v>#N/A</v>
      </c>
      <c r="T607" s="4" t="e">
        <f t="shared" ca="1" si="301"/>
        <v>#N/A</v>
      </c>
      <c r="U607" s="4">
        <f t="shared" ca="1" si="295"/>
        <v>2</v>
      </c>
      <c r="V607" s="4">
        <f t="shared" si="314"/>
        <v>0</v>
      </c>
      <c r="W607" s="4">
        <f t="shared" si="289"/>
        <v>0</v>
      </c>
      <c r="X607" s="4">
        <f t="shared" si="317"/>
        <v>0</v>
      </c>
      <c r="Y607" s="4">
        <f t="shared" si="302"/>
        <v>0</v>
      </c>
      <c r="Z607" s="4">
        <f t="shared" si="303"/>
        <v>0</v>
      </c>
      <c r="AA607" s="4">
        <f t="shared" si="304"/>
        <v>0</v>
      </c>
      <c r="AB607" s="4">
        <f t="shared" si="305"/>
        <v>0</v>
      </c>
      <c r="AC607" s="8"/>
      <c r="AD607" s="4"/>
      <c r="AE607" s="4"/>
      <c r="AF607" s="4" t="e">
        <f t="shared" ca="1" si="306"/>
        <v>#N/A</v>
      </c>
      <c r="AG607" s="4"/>
      <c r="AH607" s="4">
        <f>IFERROR(VLOOKUP(M607,Calculations!$AC$2:$AD$251,2,FALSE),0)</f>
        <v>0</v>
      </c>
      <c r="AI607" s="4" t="e">
        <f ca="1">VLOOKUP(N607,$N$2:$AS$620,MATCH('Character Creation'!$Z$12,Skills!$N$1:$AS$1,0),FALSE)</f>
        <v>#N/A</v>
      </c>
      <c r="AJ607" s="4" t="e">
        <f>VLOOKUP($N607,[2]Cultures!$B$4:$M$283,MATCH(AJ$1,[2]Cultures!$B$3:$M$3,0),FALSE)</f>
        <v>#N/A</v>
      </c>
      <c r="AK607" s="4" t="e">
        <f>VLOOKUP($N607,[2]Cultures!$B$4:$M$283,MATCH(AK$1,[2]Cultures!$B$3:$M$3,0),FALSE)</f>
        <v>#N/A</v>
      </c>
      <c r="AL607" s="4" t="e">
        <f>VLOOKUP($N607,[2]Cultures!$B$4:$M$283,MATCH(AL$1,[2]Cultures!$B$3:$M$3,0),FALSE)</f>
        <v>#N/A</v>
      </c>
      <c r="AM607" s="4" t="e">
        <f>VLOOKUP($N607,[2]Cultures!$B$4:$M$283,MATCH(AM$1,[2]Cultures!$B$3:$M$3,0),FALSE)</f>
        <v>#N/A</v>
      </c>
      <c r="AN607" s="4" t="e">
        <f>VLOOKUP($N607,[2]Cultures!$B$4:$M$283,MATCH(AN$1,[2]Cultures!$B$3:$M$3,0),FALSE)</f>
        <v>#N/A</v>
      </c>
      <c r="AO607" s="4" t="e">
        <f>VLOOKUP($N607,[2]Cultures!$B$4:$M$283,MATCH(AO$1,[2]Cultures!$B$3:$M$3,0),FALSE)</f>
        <v>#N/A</v>
      </c>
      <c r="AP607" s="4" t="e">
        <f>VLOOKUP($N607,[2]Cultures!$B$4:$M$283,MATCH(AP$1,[2]Cultures!$B$3:$M$3,0),FALSE)</f>
        <v>#N/A</v>
      </c>
      <c r="AQ607" s="4" t="e">
        <f>VLOOKUP($N607,[2]Cultures!$B$4:$M$283,MATCH(AQ$1,[2]Cultures!$B$3:$M$3,0),FALSE)</f>
        <v>#N/A</v>
      </c>
      <c r="AR607" s="4" t="e">
        <f>VLOOKUP($N607,[2]Cultures!$B$4:$M$283,MATCH(AR$1,[2]Cultures!$B$3:$M$3,0),FALSE)</f>
        <v>#N/A</v>
      </c>
      <c r="AS607" s="4" t="e">
        <f>VLOOKUP($N607,[2]Cultures!$B$4:$M$283,MATCH(AS$1,[2]Cultures!$B$3:$M$3,0),FALSE)</f>
        <v>#N/A</v>
      </c>
      <c r="AT607" s="4"/>
      <c r="AU607" s="4">
        <f>IF(ISNUMBER(SEARCH(N607&amp;";",Calculations!$Q$19)),VLOOKUP(Skills!N607,Calculations!$Q$2:$T$16,4,FALSE),0)</f>
        <v>0</v>
      </c>
      <c r="AV607" s="4">
        <f>IF(ISNUMBER(SEARCH(N607&amp;";",Calculations!$Q$18)),1,0)</f>
        <v>0</v>
      </c>
      <c r="AW607" s="4">
        <f t="shared" si="315"/>
        <v>0</v>
      </c>
      <c r="AX607" s="4">
        <f>VLOOKUP($N607,$N607:$CH607,MATCH('Character Sheet'!$BJ$3,Skills!$N$1:$CH$1,0),FALSE)</f>
        <v>0</v>
      </c>
    </row>
    <row r="608" spans="2:50" x14ac:dyDescent="0.25">
      <c r="B608" s="4" t="e">
        <f t="shared" ca="1" si="312"/>
        <v>#N/A</v>
      </c>
      <c r="E608" s="4"/>
      <c r="F608" s="4">
        <f t="shared" ca="1" si="298"/>
        <v>0</v>
      </c>
      <c r="G608" s="4"/>
      <c r="H608" s="4" t="e">
        <f t="shared" si="296"/>
        <v>#N/A</v>
      </c>
      <c r="I608" s="4">
        <f t="shared" si="313"/>
        <v>1</v>
      </c>
      <c r="J608" s="4">
        <f t="shared" si="299"/>
        <v>0</v>
      </c>
      <c r="K608" s="4" t="e">
        <f t="shared" ca="1" si="297"/>
        <v>#N/A</v>
      </c>
      <c r="M608" t="str">
        <f t="shared" si="316"/>
        <v>Service, Counselor</v>
      </c>
      <c r="N608" s="3" t="str">
        <f>'Character Sheet'!DGR21</f>
        <v>Counselor</v>
      </c>
      <c r="O608" s="4" t="s">
        <v>1996</v>
      </c>
      <c r="P608" s="4" t="s">
        <v>781</v>
      </c>
      <c r="Q608" s="4" t="e">
        <f t="shared" ca="1" si="318"/>
        <v>#N/A</v>
      </c>
      <c r="R608" s="4">
        <f>IF(ISNUMBER(SEARCH("Category",N608)),"- -",IF(ISNUMBER(SEARCH("Skills",N608)),"- -",'Level-up'!C632))</f>
        <v>0</v>
      </c>
      <c r="S608" s="4" t="e">
        <f t="shared" ca="1" si="300"/>
        <v>#N/A</v>
      </c>
      <c r="T608" s="4" t="e">
        <f t="shared" ca="1" si="301"/>
        <v>#N/A</v>
      </c>
      <c r="U608" s="4">
        <f t="shared" ca="1" si="295"/>
        <v>2</v>
      </c>
      <c r="V608" s="4">
        <f t="shared" si="314"/>
        <v>0</v>
      </c>
      <c r="W608" s="4">
        <f t="shared" si="289"/>
        <v>0</v>
      </c>
      <c r="X608" s="4">
        <f t="shared" si="317"/>
        <v>0</v>
      </c>
      <c r="Y608" s="4">
        <f t="shared" si="302"/>
        <v>0</v>
      </c>
      <c r="Z608" s="4">
        <f t="shared" si="303"/>
        <v>0</v>
      </c>
      <c r="AA608" s="4">
        <f t="shared" si="304"/>
        <v>0</v>
      </c>
      <c r="AB608" s="4">
        <f t="shared" si="305"/>
        <v>0</v>
      </c>
      <c r="AC608" s="8"/>
      <c r="AD608" s="4"/>
      <c r="AE608" s="4"/>
      <c r="AF608" s="4" t="e">
        <f t="shared" ca="1" si="306"/>
        <v>#N/A</v>
      </c>
      <c r="AG608" s="4"/>
      <c r="AH608" s="4">
        <f>IFERROR(VLOOKUP(M608,Calculations!$AC$2:$AD$251,2,FALSE),0)</f>
        <v>0</v>
      </c>
      <c r="AI608" s="4" t="e">
        <f ca="1">VLOOKUP(N608,$N$2:$AS$620,MATCH('Character Creation'!$Z$12,Skills!$N$1:$AS$1,0),FALSE)</f>
        <v>#N/A</v>
      </c>
      <c r="AJ608" s="4" t="e">
        <f>VLOOKUP($N608,[2]Cultures!$B$4:$M$283,MATCH(AJ$1,[2]Cultures!$B$3:$M$3,0),FALSE)</f>
        <v>#N/A</v>
      </c>
      <c r="AK608" s="4" t="e">
        <f>VLOOKUP($N608,[2]Cultures!$B$4:$M$283,MATCH(AK$1,[2]Cultures!$B$3:$M$3,0),FALSE)</f>
        <v>#N/A</v>
      </c>
      <c r="AL608" s="4" t="e">
        <f>VLOOKUP($N608,[2]Cultures!$B$4:$M$283,MATCH(AL$1,[2]Cultures!$B$3:$M$3,0),FALSE)</f>
        <v>#N/A</v>
      </c>
      <c r="AM608" s="4" t="e">
        <f>VLOOKUP($N608,[2]Cultures!$B$4:$M$283,MATCH(AM$1,[2]Cultures!$B$3:$M$3,0),FALSE)</f>
        <v>#N/A</v>
      </c>
      <c r="AN608" s="4" t="e">
        <f>VLOOKUP($N608,[2]Cultures!$B$4:$M$283,MATCH(AN$1,[2]Cultures!$B$3:$M$3,0),FALSE)</f>
        <v>#N/A</v>
      </c>
      <c r="AO608" s="4" t="e">
        <f>VLOOKUP($N608,[2]Cultures!$B$4:$M$283,MATCH(AO$1,[2]Cultures!$B$3:$M$3,0),FALSE)</f>
        <v>#N/A</v>
      </c>
      <c r="AP608" s="4" t="e">
        <f>VLOOKUP($N608,[2]Cultures!$B$4:$M$283,MATCH(AP$1,[2]Cultures!$B$3:$M$3,0),FALSE)</f>
        <v>#N/A</v>
      </c>
      <c r="AQ608" s="4" t="e">
        <f>VLOOKUP($N608,[2]Cultures!$B$4:$M$283,MATCH(AQ$1,[2]Cultures!$B$3:$M$3,0),FALSE)</f>
        <v>#N/A</v>
      </c>
      <c r="AR608" s="4" t="e">
        <f>VLOOKUP($N608,[2]Cultures!$B$4:$M$283,MATCH(AR$1,[2]Cultures!$B$3:$M$3,0),FALSE)</f>
        <v>#N/A</v>
      </c>
      <c r="AS608" s="4" t="e">
        <f>VLOOKUP($N608,[2]Cultures!$B$4:$M$283,MATCH(AS$1,[2]Cultures!$B$3:$M$3,0),FALSE)</f>
        <v>#N/A</v>
      </c>
      <c r="AT608" s="4"/>
      <c r="AU608" s="4">
        <f>IF(ISNUMBER(SEARCH(N608&amp;";",Calculations!$Q$19)),VLOOKUP(Skills!N608,Calculations!$Q$2:$T$16,4,FALSE),0)</f>
        <v>0</v>
      </c>
      <c r="AV608" s="4">
        <f>IF(ISNUMBER(SEARCH(N608&amp;";",Calculations!$Q$18)),1,0)</f>
        <v>0</v>
      </c>
      <c r="AW608" s="4">
        <f t="shared" si="315"/>
        <v>0</v>
      </c>
      <c r="AX608" s="4">
        <f>VLOOKUP($N608,$N608:$CH608,MATCH('Character Sheet'!$BJ$3,Skills!$N$1:$CH$1,0),FALSE)</f>
        <v>0</v>
      </c>
    </row>
    <row r="609" spans="2:50" x14ac:dyDescent="0.25">
      <c r="B609" s="4" t="e">
        <f t="shared" si="312"/>
        <v>#N/A</v>
      </c>
      <c r="E609" s="4"/>
      <c r="F609" s="4">
        <f t="shared" ca="1" si="298"/>
        <v>0</v>
      </c>
      <c r="G609" s="4"/>
      <c r="H609" s="4" t="e">
        <f t="shared" si="296"/>
        <v>#N/A</v>
      </c>
      <c r="I609" s="4">
        <f t="shared" si="313"/>
        <v>1</v>
      </c>
      <c r="J609" s="4">
        <f t="shared" si="299"/>
        <v>0</v>
      </c>
      <c r="K609" s="4" t="e">
        <f t="shared" si="297"/>
        <v>#N/A</v>
      </c>
      <c r="M609" t="str">
        <f t="shared" si="316"/>
        <v>Service, Guide</v>
      </c>
      <c r="N609" s="3" t="str">
        <f>'Character Sheet'!DGR22</f>
        <v>Guide</v>
      </c>
      <c r="O609" s="4" t="s">
        <v>1996</v>
      </c>
      <c r="P609" s="4" t="s">
        <v>781</v>
      </c>
      <c r="Q609" s="4" t="e">
        <f t="shared" si="318"/>
        <v>#N/A</v>
      </c>
      <c r="R609" s="4">
        <f>IF(ISNUMBER(SEARCH("Category",N609)),"- -",IF(ISNUMBER(SEARCH("Skills",N609)),"- -",'Level-up'!C633))</f>
        <v>0</v>
      </c>
      <c r="S609" s="4" t="e">
        <f t="shared" si="300"/>
        <v>#N/A</v>
      </c>
      <c r="T609" s="4" t="e">
        <f t="shared" si="301"/>
        <v>#N/A</v>
      </c>
      <c r="U609" s="4">
        <f t="shared" ca="1" si="295"/>
        <v>2</v>
      </c>
      <c r="V609" s="4">
        <f t="shared" si="314"/>
        <v>0</v>
      </c>
      <c r="W609" s="4">
        <f t="shared" si="289"/>
        <v>0</v>
      </c>
      <c r="X609" s="4">
        <f t="shared" si="317"/>
        <v>0</v>
      </c>
      <c r="Y609" s="4">
        <f t="shared" si="302"/>
        <v>0</v>
      </c>
      <c r="Z609" s="4">
        <f t="shared" si="303"/>
        <v>0</v>
      </c>
      <c r="AA609" s="4">
        <f t="shared" si="304"/>
        <v>0</v>
      </c>
      <c r="AB609" s="4">
        <f t="shared" si="305"/>
        <v>0</v>
      </c>
      <c r="AC609" s="8"/>
      <c r="AD609" s="4"/>
      <c r="AE609" s="4"/>
      <c r="AF609" s="4" t="e">
        <f t="shared" si="306"/>
        <v>#N/A</v>
      </c>
      <c r="AG609" s="4"/>
      <c r="AH609" s="4">
        <f>IFERROR(VLOOKUP(M609,Calculations!$AC$2:$AD$251,2,FALSE),0)</f>
        <v>0</v>
      </c>
      <c r="AI609" s="4" t="e">
        <f>VLOOKUP(N609,$N$2:$AS$620,MATCH('Character Creation'!$Z$12,Skills!$N$1:$AS$1,0),FALSE)</f>
        <v>#N/A</v>
      </c>
      <c r="AJ609" s="4" t="e">
        <f>VLOOKUP($N609,[2]Cultures!$B$4:$M$283,MATCH(AJ$1,[2]Cultures!$B$3:$M$3,0),FALSE)</f>
        <v>#N/A</v>
      </c>
      <c r="AK609" s="4" t="e">
        <f>VLOOKUP($N609,[2]Cultures!$B$4:$M$283,MATCH(AK$1,[2]Cultures!$B$3:$M$3,0),FALSE)</f>
        <v>#N/A</v>
      </c>
      <c r="AL609" s="4" t="e">
        <f>VLOOKUP($N609,[2]Cultures!$B$4:$M$283,MATCH(AL$1,[2]Cultures!$B$3:$M$3,0),FALSE)</f>
        <v>#N/A</v>
      </c>
      <c r="AM609" s="4" t="e">
        <f>VLOOKUP($N609,[2]Cultures!$B$4:$M$283,MATCH(AM$1,[2]Cultures!$B$3:$M$3,0),FALSE)</f>
        <v>#N/A</v>
      </c>
      <c r="AN609" s="4" t="e">
        <f>VLOOKUP($N609,[2]Cultures!$B$4:$M$283,MATCH(AN$1,[2]Cultures!$B$3:$M$3,0),FALSE)</f>
        <v>#N/A</v>
      </c>
      <c r="AO609" s="4" t="e">
        <f>VLOOKUP($N609,[2]Cultures!$B$4:$M$283,MATCH(AO$1,[2]Cultures!$B$3:$M$3,0),FALSE)</f>
        <v>#N/A</v>
      </c>
      <c r="AP609" s="4" t="e">
        <f>VLOOKUP($N609,[2]Cultures!$B$4:$M$283,MATCH(AP$1,[2]Cultures!$B$3:$M$3,0),FALSE)</f>
        <v>#N/A</v>
      </c>
      <c r="AQ609" s="4" t="e">
        <f>VLOOKUP($N609,[2]Cultures!$B$4:$M$283,MATCH(AQ$1,[2]Cultures!$B$3:$M$3,0),FALSE)</f>
        <v>#N/A</v>
      </c>
      <c r="AR609" s="4" t="e">
        <f>VLOOKUP($N609,[2]Cultures!$B$4:$M$283,MATCH(AR$1,[2]Cultures!$B$3:$M$3,0),FALSE)</f>
        <v>#N/A</v>
      </c>
      <c r="AS609" s="4" t="e">
        <f>VLOOKUP($N609,[2]Cultures!$B$4:$M$283,MATCH(AS$1,[2]Cultures!$B$3:$M$3,0),FALSE)</f>
        <v>#N/A</v>
      </c>
      <c r="AT609" s="4"/>
      <c r="AU609" s="4">
        <f>IF(ISNUMBER(SEARCH(N609&amp;";",Calculations!$Q$19)),VLOOKUP(Skills!N609,Calculations!$Q$2:$T$16,4,FALSE),0)</f>
        <v>0</v>
      </c>
      <c r="AV609" s="4">
        <f>IF(ISNUMBER(SEARCH(N609&amp;";",Calculations!$Q$18)),1,0)</f>
        <v>0</v>
      </c>
      <c r="AW609" s="4">
        <f t="shared" si="315"/>
        <v>0</v>
      </c>
      <c r="AX609" s="4">
        <f>VLOOKUP($N609,$N609:$CH609,MATCH('Character Sheet'!$BJ$3,Skills!$N$1:$CH$1,0),FALSE)</f>
        <v>0</v>
      </c>
    </row>
    <row r="610" spans="2:50" x14ac:dyDescent="0.25">
      <c r="B610" s="4" t="e">
        <f t="shared" ca="1" si="312"/>
        <v>#N/A</v>
      </c>
      <c r="E610" s="4"/>
      <c r="F610" s="4">
        <f t="shared" ca="1" si="298"/>
        <v>0</v>
      </c>
      <c r="G610" s="4"/>
      <c r="H610" s="4" t="e">
        <f t="shared" si="296"/>
        <v>#N/A</v>
      </c>
      <c r="I610" s="4">
        <f t="shared" si="313"/>
        <v>1</v>
      </c>
      <c r="J610" s="4">
        <f t="shared" si="299"/>
        <v>0</v>
      </c>
      <c r="K610" s="4" t="e">
        <f t="shared" ca="1" si="297"/>
        <v>#N/A</v>
      </c>
      <c r="M610" t="str">
        <f t="shared" si="316"/>
        <v>Service, Messenger</v>
      </c>
      <c r="N610" s="3" t="str">
        <f>'Character Sheet'!DGR23</f>
        <v>Messenger</v>
      </c>
      <c r="O610" s="4" t="s">
        <v>1996</v>
      </c>
      <c r="P610" s="4" t="s">
        <v>781</v>
      </c>
      <c r="Q610" s="4" t="e">
        <f t="shared" ca="1" si="318"/>
        <v>#N/A</v>
      </c>
      <c r="R610" s="4">
        <f>IF(ISNUMBER(SEARCH("Category",N610)),"- -",IF(ISNUMBER(SEARCH("Skills",N610)),"- -",'Level-up'!C634))</f>
        <v>0</v>
      </c>
      <c r="S610" s="4" t="e">
        <f t="shared" ca="1" si="300"/>
        <v>#N/A</v>
      </c>
      <c r="T610" s="4" t="e">
        <f t="shared" ca="1" si="301"/>
        <v>#N/A</v>
      </c>
      <c r="U610" s="4">
        <f t="shared" ca="1" si="295"/>
        <v>2</v>
      </c>
      <c r="V610" s="4">
        <f t="shared" si="314"/>
        <v>0</v>
      </c>
      <c r="W610" s="4">
        <f t="shared" si="289"/>
        <v>0</v>
      </c>
      <c r="X610" s="4">
        <f t="shared" si="317"/>
        <v>0</v>
      </c>
      <c r="Y610" s="4">
        <f t="shared" si="302"/>
        <v>0</v>
      </c>
      <c r="Z610" s="4">
        <f t="shared" si="303"/>
        <v>0</v>
      </c>
      <c r="AA610" s="4">
        <f t="shared" si="304"/>
        <v>0</v>
      </c>
      <c r="AB610" s="4">
        <f t="shared" si="305"/>
        <v>0</v>
      </c>
      <c r="AC610" s="8"/>
      <c r="AD610" s="4"/>
      <c r="AE610" s="4"/>
      <c r="AF610" s="4" t="e">
        <f t="shared" ca="1" si="306"/>
        <v>#N/A</v>
      </c>
      <c r="AG610" s="4"/>
      <c r="AH610" s="4">
        <f>IFERROR(VLOOKUP(M610,Calculations!$AC$2:$AD$251,2,FALSE),0)</f>
        <v>0</v>
      </c>
      <c r="AI610" s="4" t="e">
        <f ca="1">VLOOKUP(N610,$N$2:$AS$620,MATCH('Character Creation'!$Z$12,Skills!$N$1:$AS$1,0),FALSE)</f>
        <v>#N/A</v>
      </c>
      <c r="AJ610" s="4" t="e">
        <f>VLOOKUP($N610,[2]Cultures!$B$4:$M$283,MATCH(AJ$1,[2]Cultures!$B$3:$M$3,0),FALSE)</f>
        <v>#N/A</v>
      </c>
      <c r="AK610" s="4" t="e">
        <f>VLOOKUP($N610,[2]Cultures!$B$4:$M$283,MATCH(AK$1,[2]Cultures!$B$3:$M$3,0),FALSE)</f>
        <v>#N/A</v>
      </c>
      <c r="AL610" s="4" t="e">
        <f>VLOOKUP($N610,[2]Cultures!$B$4:$M$283,MATCH(AL$1,[2]Cultures!$B$3:$M$3,0),FALSE)</f>
        <v>#N/A</v>
      </c>
      <c r="AM610" s="4" t="e">
        <f>VLOOKUP($N610,[2]Cultures!$B$4:$M$283,MATCH(AM$1,[2]Cultures!$B$3:$M$3,0),FALSE)</f>
        <v>#N/A</v>
      </c>
      <c r="AN610" s="4" t="e">
        <f>VLOOKUP($N610,[2]Cultures!$B$4:$M$283,MATCH(AN$1,[2]Cultures!$B$3:$M$3,0),FALSE)</f>
        <v>#N/A</v>
      </c>
      <c r="AO610" s="4" t="e">
        <f>VLOOKUP($N610,[2]Cultures!$B$4:$M$283,MATCH(AO$1,[2]Cultures!$B$3:$M$3,0),FALSE)</f>
        <v>#N/A</v>
      </c>
      <c r="AP610" s="4" t="e">
        <f>VLOOKUP($N610,[2]Cultures!$B$4:$M$283,MATCH(AP$1,[2]Cultures!$B$3:$M$3,0),FALSE)</f>
        <v>#N/A</v>
      </c>
      <c r="AQ610" s="4" t="e">
        <f>VLOOKUP($N610,[2]Cultures!$B$4:$M$283,MATCH(AQ$1,[2]Cultures!$B$3:$M$3,0),FALSE)</f>
        <v>#N/A</v>
      </c>
      <c r="AR610" s="4" t="e">
        <f>VLOOKUP($N610,[2]Cultures!$B$4:$M$283,MATCH(AR$1,[2]Cultures!$B$3:$M$3,0),FALSE)</f>
        <v>#N/A</v>
      </c>
      <c r="AS610" s="4" t="e">
        <f>VLOOKUP($N610,[2]Cultures!$B$4:$M$283,MATCH(AS$1,[2]Cultures!$B$3:$M$3,0),FALSE)</f>
        <v>#N/A</v>
      </c>
      <c r="AT610" s="4"/>
      <c r="AU610" s="4">
        <f>IF(ISNUMBER(SEARCH(N610&amp;";",Calculations!$Q$19)),VLOOKUP(Skills!N610,Calculations!$Q$2:$T$16,4,FALSE),0)</f>
        <v>0</v>
      </c>
      <c r="AV610" s="4">
        <f>IF(ISNUMBER(SEARCH(N610&amp;";",Calculations!$Q$18)),1,0)</f>
        <v>0</v>
      </c>
      <c r="AW610" s="4">
        <f t="shared" si="315"/>
        <v>0</v>
      </c>
      <c r="AX610" s="4">
        <f>VLOOKUP($N610,$N610:$CH610,MATCH('Character Sheet'!$BJ$3,Skills!$N$1:$CH$1,0),FALSE)</f>
        <v>0</v>
      </c>
    </row>
    <row r="611" spans="2:50" x14ac:dyDescent="0.25">
      <c r="B611" s="4" t="e">
        <f t="shared" si="312"/>
        <v>#N/A</v>
      </c>
      <c r="E611" s="4"/>
      <c r="F611" s="4">
        <f t="shared" ca="1" si="298"/>
        <v>0</v>
      </c>
      <c r="G611" s="4"/>
      <c r="H611" s="4" t="e">
        <f t="shared" si="296"/>
        <v>#N/A</v>
      </c>
      <c r="I611" s="4">
        <f t="shared" si="313"/>
        <v>1</v>
      </c>
      <c r="J611" s="4">
        <f t="shared" si="299"/>
        <v>0</v>
      </c>
      <c r="K611" s="4" t="e">
        <f t="shared" si="297"/>
        <v>#N/A</v>
      </c>
      <c r="M611" t="str">
        <f t="shared" si="316"/>
        <v>Service, Sales Clerk</v>
      </c>
      <c r="N611" s="3" t="str">
        <f>'Character Sheet'!DGR24</f>
        <v>Sales Clerk</v>
      </c>
      <c r="O611" s="4" t="s">
        <v>1996</v>
      </c>
      <c r="P611" s="4" t="s">
        <v>781</v>
      </c>
      <c r="Q611" s="4" t="e">
        <f t="shared" si="318"/>
        <v>#N/A</v>
      </c>
      <c r="R611" s="4">
        <f>IF(ISNUMBER(SEARCH("Category",N611)),"- -",IF(ISNUMBER(SEARCH("Skills",N611)),"- -",'Level-up'!C635))</f>
        <v>0</v>
      </c>
      <c r="S611" s="4" t="e">
        <f t="shared" si="300"/>
        <v>#N/A</v>
      </c>
      <c r="T611" s="4" t="e">
        <f t="shared" si="301"/>
        <v>#N/A</v>
      </c>
      <c r="U611" s="4">
        <f t="shared" ca="1" si="295"/>
        <v>2</v>
      </c>
      <c r="V611" s="4">
        <f t="shared" si="314"/>
        <v>0</v>
      </c>
      <c r="W611" s="4">
        <f t="shared" si="289"/>
        <v>0</v>
      </c>
      <c r="X611" s="4">
        <f t="shared" si="317"/>
        <v>0</v>
      </c>
      <c r="Y611" s="4">
        <f t="shared" si="302"/>
        <v>0</v>
      </c>
      <c r="Z611" s="4">
        <f t="shared" si="303"/>
        <v>0</v>
      </c>
      <c r="AA611" s="4">
        <f t="shared" si="304"/>
        <v>0</v>
      </c>
      <c r="AB611" s="4">
        <f t="shared" si="305"/>
        <v>0</v>
      </c>
      <c r="AC611" s="8"/>
      <c r="AD611" s="4"/>
      <c r="AE611" s="4"/>
      <c r="AF611" s="4" t="e">
        <f t="shared" si="306"/>
        <v>#N/A</v>
      </c>
      <c r="AG611" s="4"/>
      <c r="AH611" s="4">
        <f>IFERROR(VLOOKUP(M611,Calculations!$AC$2:$AD$251,2,FALSE),0)</f>
        <v>0</v>
      </c>
      <c r="AI611" s="4" t="e">
        <f>VLOOKUP(N611,$N$2:$AS$620,MATCH('Character Creation'!$Z$12,Skills!$N$1:$AS$1,0),FALSE)</f>
        <v>#N/A</v>
      </c>
      <c r="AJ611" s="4" t="e">
        <f>VLOOKUP($N611,[2]Cultures!$B$4:$M$283,MATCH(AJ$1,[2]Cultures!$B$3:$M$3,0),FALSE)</f>
        <v>#N/A</v>
      </c>
      <c r="AK611" s="4" t="e">
        <f>VLOOKUP($N611,[2]Cultures!$B$4:$M$283,MATCH(AK$1,[2]Cultures!$B$3:$M$3,0),FALSE)</f>
        <v>#N/A</v>
      </c>
      <c r="AL611" s="4" t="e">
        <f>VLOOKUP($N611,[2]Cultures!$B$4:$M$283,MATCH(AL$1,[2]Cultures!$B$3:$M$3,0),FALSE)</f>
        <v>#N/A</v>
      </c>
      <c r="AM611" s="4" t="e">
        <f>VLOOKUP($N611,[2]Cultures!$B$4:$M$283,MATCH(AM$1,[2]Cultures!$B$3:$M$3,0),FALSE)</f>
        <v>#N/A</v>
      </c>
      <c r="AN611" s="4" t="e">
        <f>VLOOKUP($N611,[2]Cultures!$B$4:$M$283,MATCH(AN$1,[2]Cultures!$B$3:$M$3,0),FALSE)</f>
        <v>#N/A</v>
      </c>
      <c r="AO611" s="4" t="e">
        <f>VLOOKUP($N611,[2]Cultures!$B$4:$M$283,MATCH(AO$1,[2]Cultures!$B$3:$M$3,0),FALSE)</f>
        <v>#N/A</v>
      </c>
      <c r="AP611" s="4" t="e">
        <f>VLOOKUP($N611,[2]Cultures!$B$4:$M$283,MATCH(AP$1,[2]Cultures!$B$3:$M$3,0),FALSE)</f>
        <v>#N/A</v>
      </c>
      <c r="AQ611" s="4" t="e">
        <f>VLOOKUP($N611,[2]Cultures!$B$4:$M$283,MATCH(AQ$1,[2]Cultures!$B$3:$M$3,0),FALSE)</f>
        <v>#N/A</v>
      </c>
      <c r="AR611" s="4" t="e">
        <f>VLOOKUP($N611,[2]Cultures!$B$4:$M$283,MATCH(AR$1,[2]Cultures!$B$3:$M$3,0),FALSE)</f>
        <v>#N/A</v>
      </c>
      <c r="AS611" s="4" t="e">
        <f>VLOOKUP($N611,[2]Cultures!$B$4:$M$283,MATCH(AS$1,[2]Cultures!$B$3:$M$3,0),FALSE)</f>
        <v>#N/A</v>
      </c>
      <c r="AT611" s="4"/>
      <c r="AU611" s="4">
        <f>IF(ISNUMBER(SEARCH(N611&amp;";",Calculations!$Q$19)),VLOOKUP(Skills!N611,Calculations!$Q$2:$T$16,4,FALSE),0)</f>
        <v>0</v>
      </c>
      <c r="AV611" s="4">
        <f>IF(ISNUMBER(SEARCH(N611&amp;";",Calculations!$Q$18)),1,0)</f>
        <v>0</v>
      </c>
      <c r="AW611" s="4">
        <f t="shared" si="315"/>
        <v>0</v>
      </c>
      <c r="AX611" s="4">
        <f>VLOOKUP($N611,$N611:$CH611,MATCH('Character Sheet'!$BJ$3,Skills!$N$1:$CH$1,0),FALSE)</f>
        <v>0</v>
      </c>
    </row>
    <row r="612" spans="2:50" x14ac:dyDescent="0.25">
      <c r="B612" s="4" t="e">
        <f t="shared" si="312"/>
        <v>#N/A</v>
      </c>
      <c r="E612" s="4"/>
      <c r="F612" s="4">
        <f t="shared" ca="1" si="298"/>
        <v>0</v>
      </c>
      <c r="G612" s="4"/>
      <c r="H612" s="4" t="e">
        <f t="shared" si="296"/>
        <v>#N/A</v>
      </c>
      <c r="I612" s="4">
        <f t="shared" si="313"/>
        <v>1</v>
      </c>
      <c r="J612" s="4">
        <f t="shared" si="299"/>
        <v>0</v>
      </c>
      <c r="K612" s="4" t="e">
        <f t="shared" si="297"/>
        <v>#N/A</v>
      </c>
      <c r="M612" t="str">
        <f t="shared" si="316"/>
        <v>Service, Valet</v>
      </c>
      <c r="N612" s="3" t="str">
        <f>'Character Sheet'!DGR25</f>
        <v>Valet</v>
      </c>
      <c r="O612" s="4" t="s">
        <v>1996</v>
      </c>
      <c r="P612" s="4" t="s">
        <v>781</v>
      </c>
      <c r="Q612" s="4" t="e">
        <f t="shared" si="318"/>
        <v>#N/A</v>
      </c>
      <c r="R612" s="4">
        <f>IF(ISNUMBER(SEARCH("Category",N612)),"- -",IF(ISNUMBER(SEARCH("Skills",N612)),"- -",'Level-up'!C636))</f>
        <v>0</v>
      </c>
      <c r="S612" s="4" t="e">
        <f t="shared" si="300"/>
        <v>#N/A</v>
      </c>
      <c r="T612" s="4" t="e">
        <f t="shared" si="301"/>
        <v>#N/A</v>
      </c>
      <c r="U612" s="4">
        <f t="shared" ca="1" si="295"/>
        <v>2</v>
      </c>
      <c r="V612" s="4">
        <f t="shared" si="314"/>
        <v>0</v>
      </c>
      <c r="W612" s="4">
        <f t="shared" ref="W612:W620" si="319">IF(ISNUMBER(SEARCH("Category",N612)),"- -",IF(ISNUMBER(SEARCH("Skills",N612)),"- -",IF(AW612=1,MIN(S612,30),0)))</f>
        <v>0</v>
      </c>
      <c r="X612" s="4">
        <f t="shared" si="317"/>
        <v>0</v>
      </c>
      <c r="Y612" s="4">
        <f t="shared" si="302"/>
        <v>0</v>
      </c>
      <c r="Z612" s="4">
        <f t="shared" si="303"/>
        <v>0</v>
      </c>
      <c r="AA612" s="4">
        <f t="shared" si="304"/>
        <v>0</v>
      </c>
      <c r="AB612" s="4">
        <f t="shared" si="305"/>
        <v>0</v>
      </c>
      <c r="AC612" s="8"/>
      <c r="AD612" s="4"/>
      <c r="AE612" s="4"/>
      <c r="AF612" s="4" t="e">
        <f t="shared" si="306"/>
        <v>#N/A</v>
      </c>
      <c r="AG612" s="4"/>
      <c r="AH612" s="4">
        <f>IFERROR(VLOOKUP(M612,Calculations!$AC$2:$AD$251,2,FALSE),0)</f>
        <v>0</v>
      </c>
      <c r="AI612" s="4" t="e">
        <f>VLOOKUP(N612,$N$2:$AS$620,MATCH('Character Creation'!$Z$12,Skills!$N$1:$AS$1,0),FALSE)</f>
        <v>#N/A</v>
      </c>
      <c r="AJ612" s="4" t="e">
        <f>VLOOKUP($N612,[2]Cultures!$B$4:$M$283,MATCH(AJ$1,[2]Cultures!$B$3:$M$3,0),FALSE)</f>
        <v>#N/A</v>
      </c>
      <c r="AK612" s="4" t="e">
        <f>VLOOKUP($N612,[2]Cultures!$B$4:$M$283,MATCH(AK$1,[2]Cultures!$B$3:$M$3,0),FALSE)</f>
        <v>#N/A</v>
      </c>
      <c r="AL612" s="4" t="e">
        <f>VLOOKUP($N612,[2]Cultures!$B$4:$M$283,MATCH(AL$1,[2]Cultures!$B$3:$M$3,0),FALSE)</f>
        <v>#N/A</v>
      </c>
      <c r="AM612" s="4" t="e">
        <f>VLOOKUP($N612,[2]Cultures!$B$4:$M$283,MATCH(AM$1,[2]Cultures!$B$3:$M$3,0),FALSE)</f>
        <v>#N/A</v>
      </c>
      <c r="AN612" s="4" t="e">
        <f>VLOOKUP($N612,[2]Cultures!$B$4:$M$283,MATCH(AN$1,[2]Cultures!$B$3:$M$3,0),FALSE)</f>
        <v>#N/A</v>
      </c>
      <c r="AO612" s="4" t="e">
        <f>VLOOKUP($N612,[2]Cultures!$B$4:$M$283,MATCH(AO$1,[2]Cultures!$B$3:$M$3,0),FALSE)</f>
        <v>#N/A</v>
      </c>
      <c r="AP612" s="4" t="e">
        <f>VLOOKUP($N612,[2]Cultures!$B$4:$M$283,MATCH(AP$1,[2]Cultures!$B$3:$M$3,0),FALSE)</f>
        <v>#N/A</v>
      </c>
      <c r="AQ612" s="4" t="e">
        <f>VLOOKUP($N612,[2]Cultures!$B$4:$M$283,MATCH(AQ$1,[2]Cultures!$B$3:$M$3,0),FALSE)</f>
        <v>#N/A</v>
      </c>
      <c r="AR612" s="4" t="e">
        <f>VLOOKUP($N612,[2]Cultures!$B$4:$M$283,MATCH(AR$1,[2]Cultures!$B$3:$M$3,0),FALSE)</f>
        <v>#N/A</v>
      </c>
      <c r="AS612" s="4" t="e">
        <f>VLOOKUP($N612,[2]Cultures!$B$4:$M$283,MATCH(AS$1,[2]Cultures!$B$3:$M$3,0),FALSE)</f>
        <v>#N/A</v>
      </c>
      <c r="AT612" s="4"/>
      <c r="AU612" s="4">
        <f>IF(ISNUMBER(SEARCH(N612&amp;";",Calculations!$Q$19)),VLOOKUP(Skills!N612,Calculations!$Q$2:$T$16,4,FALSE),0)</f>
        <v>0</v>
      </c>
      <c r="AV612" s="4">
        <f>IF(ISNUMBER(SEARCH(N612&amp;";",Calculations!$Q$18)),1,0)</f>
        <v>0</v>
      </c>
      <c r="AW612" s="4">
        <f t="shared" si="315"/>
        <v>0</v>
      </c>
      <c r="AX612" s="4">
        <f>VLOOKUP($N612,$N612:$CH612,MATCH('Character Sheet'!$BJ$3,Skills!$N$1:$CH$1,0),FALSE)</f>
        <v>0</v>
      </c>
    </row>
    <row r="613" spans="2:50" x14ac:dyDescent="0.25">
      <c r="B613" s="4" t="e">
        <f t="shared" si="312"/>
        <v>#N/A</v>
      </c>
      <c r="E613" s="4"/>
      <c r="F613" s="4">
        <f t="shared" ca="1" si="298"/>
        <v>0</v>
      </c>
      <c r="G613" s="4"/>
      <c r="H613" s="4" t="e">
        <f t="shared" si="296"/>
        <v>#N/A</v>
      </c>
      <c r="I613" s="4">
        <f>IF($J$118=1,1,IF($J$590=1,1,IF($J$614=1,1,0)))</f>
        <v>1</v>
      </c>
      <c r="J613" s="4">
        <f t="shared" si="299"/>
        <v>0</v>
      </c>
      <c r="K613" s="4" t="e">
        <f t="shared" si="297"/>
        <v>#N/A</v>
      </c>
      <c r="N613" s="3" t="s">
        <v>755</v>
      </c>
      <c r="O613" s="6" t="s">
        <v>782</v>
      </c>
      <c r="P613" s="6" t="s">
        <v>782</v>
      </c>
      <c r="Q613" s="4" t="str">
        <f t="shared" si="318"/>
        <v>- -</v>
      </c>
      <c r="R613" s="4" t="str">
        <f>IF(ISNUMBER(SEARCH("Category",N613)),"- -",IF(ISNUMBER(SEARCH("Skills",N613)),"- -",'Level-up'!C637))</f>
        <v>- -</v>
      </c>
      <c r="S613" s="4" t="str">
        <f t="shared" si="300"/>
        <v>- -</v>
      </c>
      <c r="T613" s="4" t="str">
        <f t="shared" si="301"/>
        <v>- -</v>
      </c>
      <c r="U613" s="4" t="str">
        <f t="shared" ca="1" si="295"/>
        <v>- -</v>
      </c>
      <c r="V613" s="4" t="str">
        <f t="shared" si="314"/>
        <v>- -</v>
      </c>
      <c r="W613" s="4" t="str">
        <f t="shared" si="319"/>
        <v>- -</v>
      </c>
      <c r="X613" s="4" t="str">
        <f t="shared" si="317"/>
        <v>- -</v>
      </c>
      <c r="Y613" s="4" t="str">
        <f t="shared" si="302"/>
        <v>- -</v>
      </c>
      <c r="Z613" s="4" t="str">
        <f t="shared" si="303"/>
        <v>- -</v>
      </c>
      <c r="AA613" s="4" t="str">
        <f t="shared" si="304"/>
        <v>- -</v>
      </c>
      <c r="AB613" s="4" t="str">
        <f t="shared" si="305"/>
        <v>- -</v>
      </c>
      <c r="AC613" s="8"/>
      <c r="AD613" s="4"/>
      <c r="AE613" s="4"/>
      <c r="AF613" s="4" t="str">
        <f t="shared" si="306"/>
        <v>- -</v>
      </c>
      <c r="AG613" s="4"/>
      <c r="AH613" s="4">
        <f>IFERROR(VLOOKUP(M613,Calculations!$AC$2:$AD$251,2,FALSE),0)</f>
        <v>0</v>
      </c>
      <c r="AI613" s="4" t="e">
        <f>VLOOKUP(N613,$N$2:$AS$620,MATCH('Character Creation'!$Z$12,Skills!$N$1:$AS$1,0),FALSE)</f>
        <v>#N/A</v>
      </c>
      <c r="AJ613" s="4" t="e">
        <f>VLOOKUP($N613,[2]Cultures!$B$4:$M$283,MATCH(AJ$1,[2]Cultures!$B$3:$M$3,0),FALSE)</f>
        <v>#N/A</v>
      </c>
      <c r="AK613" s="4" t="e">
        <f>VLOOKUP($N613,[2]Cultures!$B$4:$M$283,MATCH(AK$1,[2]Cultures!$B$3:$M$3,0),FALSE)</f>
        <v>#N/A</v>
      </c>
      <c r="AL613" s="4" t="e">
        <f>VLOOKUP($N613,[2]Cultures!$B$4:$M$283,MATCH(AL$1,[2]Cultures!$B$3:$M$3,0),FALSE)</f>
        <v>#N/A</v>
      </c>
      <c r="AM613" s="4" t="e">
        <f>VLOOKUP($N613,[2]Cultures!$B$4:$M$283,MATCH(AM$1,[2]Cultures!$B$3:$M$3,0),FALSE)</f>
        <v>#N/A</v>
      </c>
      <c r="AN613" s="4" t="e">
        <f>VLOOKUP($N613,[2]Cultures!$B$4:$M$283,MATCH(AN$1,[2]Cultures!$B$3:$M$3,0),FALSE)</f>
        <v>#N/A</v>
      </c>
      <c r="AO613" s="4" t="e">
        <f>VLOOKUP($N613,[2]Cultures!$B$4:$M$283,MATCH(AO$1,[2]Cultures!$B$3:$M$3,0),FALSE)</f>
        <v>#N/A</v>
      </c>
      <c r="AP613" s="4" t="e">
        <f>VLOOKUP($N613,[2]Cultures!$B$4:$M$283,MATCH(AP$1,[2]Cultures!$B$3:$M$3,0),FALSE)</f>
        <v>#N/A</v>
      </c>
      <c r="AQ613" s="4" t="e">
        <f>VLOOKUP($N613,[2]Cultures!$B$4:$M$283,MATCH(AQ$1,[2]Cultures!$B$3:$M$3,0),FALSE)</f>
        <v>#N/A</v>
      </c>
      <c r="AR613" s="4" t="e">
        <f>VLOOKUP($N613,[2]Cultures!$B$4:$M$283,MATCH(AR$1,[2]Cultures!$B$3:$M$3,0),FALSE)</f>
        <v>#N/A</v>
      </c>
      <c r="AS613" s="4" t="e">
        <f>VLOOKUP($N613,[2]Cultures!$B$4:$M$283,MATCH(AS$1,[2]Cultures!$B$3:$M$3,0),FALSE)</f>
        <v>#N/A</v>
      </c>
      <c r="AT613" s="4"/>
      <c r="AU613" s="4">
        <f>IF(ISNUMBER(SEARCH(N613&amp;";",Calculations!$Q$19)),VLOOKUP(Skills!N613,Calculations!$Q$2:$T$16,4,FALSE),0)</f>
        <v>0</v>
      </c>
      <c r="AV613" s="4">
        <f>IF(ISNUMBER(SEARCH(N613&amp;";",Calculations!$Q$18)),1,0)</f>
        <v>0</v>
      </c>
      <c r="AW613" s="4"/>
      <c r="AX613" s="4">
        <f>VLOOKUP($N613,$N613:$CH613,MATCH('Character Sheet'!$BJ$3,Skills!$N$1:$CH$1,0),FALSE)</f>
        <v>0</v>
      </c>
    </row>
    <row r="614" spans="2:50" x14ac:dyDescent="0.25">
      <c r="B614" s="4" t="e">
        <f t="shared" si="312"/>
        <v>#N/A</v>
      </c>
      <c r="E614" s="4"/>
      <c r="F614" s="4">
        <f t="shared" ca="1" si="298"/>
        <v>0</v>
      </c>
      <c r="G614" s="4"/>
      <c r="H614" s="4" t="e">
        <f t="shared" si="296"/>
        <v>#N/A</v>
      </c>
      <c r="I614" s="4">
        <v>0</v>
      </c>
      <c r="J614" s="4" t="e">
        <f t="shared" si="299"/>
        <v>#N/A</v>
      </c>
      <c r="K614" s="4" t="e">
        <f t="shared" si="297"/>
        <v>#N/A</v>
      </c>
      <c r="N614" s="3" t="s">
        <v>756</v>
      </c>
      <c r="O614" s="6" t="s">
        <v>782</v>
      </c>
      <c r="P614" s="6" t="s">
        <v>782</v>
      </c>
      <c r="Q614" s="4" t="str">
        <f t="shared" si="318"/>
        <v>- -</v>
      </c>
      <c r="R614" s="4" t="str">
        <f>IF(ISNUMBER(SEARCH("Category",N614)),"- -",IF(ISNUMBER(SEARCH("Skills",N614)),"- -",'Level-up'!C638))</f>
        <v>- -</v>
      </c>
      <c r="S614" s="4" t="str">
        <f t="shared" si="300"/>
        <v>- -</v>
      </c>
      <c r="T614" s="4" t="str">
        <f t="shared" si="301"/>
        <v>- -</v>
      </c>
      <c r="U614" s="4" t="str">
        <f t="shared" ca="1" si="295"/>
        <v>- -</v>
      </c>
      <c r="V614" s="4" t="str">
        <f t="shared" si="314"/>
        <v>- -</v>
      </c>
      <c r="W614" s="4" t="str">
        <f t="shared" si="319"/>
        <v>- -</v>
      </c>
      <c r="X614" s="4" t="str">
        <f t="shared" si="317"/>
        <v>- -</v>
      </c>
      <c r="Y614" s="4" t="str">
        <f t="shared" si="302"/>
        <v>- -</v>
      </c>
      <c r="Z614" s="4" t="str">
        <f t="shared" si="303"/>
        <v>- -</v>
      </c>
      <c r="AA614" s="4" t="str">
        <f t="shared" si="304"/>
        <v>- -</v>
      </c>
      <c r="AB614" s="4" t="str">
        <f t="shared" si="305"/>
        <v>- -</v>
      </c>
      <c r="AC614" s="8"/>
      <c r="AD614" s="4"/>
      <c r="AE614" s="4"/>
      <c r="AF614" s="4" t="str">
        <f t="shared" si="306"/>
        <v>- -</v>
      </c>
      <c r="AG614" s="4"/>
      <c r="AH614" s="4">
        <f>IFERROR(VLOOKUP(M614,Calculations!$AC$2:$AD$251,2,FALSE),0)</f>
        <v>0</v>
      </c>
      <c r="AI614" s="4" t="e">
        <f>VLOOKUP(N614,$N$2:$AS$620,MATCH('Character Creation'!$Z$12,Skills!$N$1:$AS$1,0),FALSE)</f>
        <v>#N/A</v>
      </c>
      <c r="AJ614" s="4" t="e">
        <f>VLOOKUP($N614,[2]Cultures!$B$4:$M$283,MATCH(AJ$1,[2]Cultures!$B$3:$M$3,0),FALSE)</f>
        <v>#N/A</v>
      </c>
      <c r="AK614" s="4" t="e">
        <f>VLOOKUP($N614,[2]Cultures!$B$4:$M$283,MATCH(AK$1,[2]Cultures!$B$3:$M$3,0),FALSE)</f>
        <v>#N/A</v>
      </c>
      <c r="AL614" s="4" t="e">
        <f>VLOOKUP($N614,[2]Cultures!$B$4:$M$283,MATCH(AL$1,[2]Cultures!$B$3:$M$3,0),FALSE)</f>
        <v>#N/A</v>
      </c>
      <c r="AM614" s="4" t="e">
        <f>VLOOKUP($N614,[2]Cultures!$B$4:$M$283,MATCH(AM$1,[2]Cultures!$B$3:$M$3,0),FALSE)</f>
        <v>#N/A</v>
      </c>
      <c r="AN614" s="4" t="e">
        <f>VLOOKUP($N614,[2]Cultures!$B$4:$M$283,MATCH(AN$1,[2]Cultures!$B$3:$M$3,0),FALSE)</f>
        <v>#N/A</v>
      </c>
      <c r="AO614" s="4" t="e">
        <f>VLOOKUP($N614,[2]Cultures!$B$4:$M$283,MATCH(AO$1,[2]Cultures!$B$3:$M$3,0),FALSE)</f>
        <v>#N/A</v>
      </c>
      <c r="AP614" s="4" t="e">
        <f>VLOOKUP($N614,[2]Cultures!$B$4:$M$283,MATCH(AP$1,[2]Cultures!$B$3:$M$3,0),FALSE)</f>
        <v>#N/A</v>
      </c>
      <c r="AQ614" s="4" t="e">
        <f>VLOOKUP($N614,[2]Cultures!$B$4:$M$283,MATCH(AQ$1,[2]Cultures!$B$3:$M$3,0),FALSE)</f>
        <v>#N/A</v>
      </c>
      <c r="AR614" s="4" t="e">
        <f>VLOOKUP($N614,[2]Cultures!$B$4:$M$283,MATCH(AR$1,[2]Cultures!$B$3:$M$3,0),FALSE)</f>
        <v>#N/A</v>
      </c>
      <c r="AS614" s="4" t="e">
        <f>VLOOKUP($N614,[2]Cultures!$B$4:$M$283,MATCH(AS$1,[2]Cultures!$B$3:$M$3,0),FALSE)</f>
        <v>#N/A</v>
      </c>
      <c r="AT614" s="4"/>
      <c r="AU614" s="4">
        <f>IF(ISNUMBER(SEARCH(N614&amp;";",Calculations!$Q$19)),VLOOKUP(Skills!N614,Calculations!$Q$2:$T$16,4,FALSE),0)</f>
        <v>0</v>
      </c>
      <c r="AV614" s="4">
        <f>IF(ISNUMBER(SEARCH(N614&amp;";",Calculations!$Q$18)),1,0)</f>
        <v>0</v>
      </c>
      <c r="AW614" s="4"/>
      <c r="AX614" s="4">
        <f>VLOOKUP($N614,$N614:$CH614,MATCH('Character Sheet'!$BJ$3,Skills!$N$1:$CH$1,0),FALSE)</f>
        <v>0</v>
      </c>
    </row>
    <row r="615" spans="2:50" x14ac:dyDescent="0.25">
      <c r="B615" s="4" t="e">
        <f t="shared" si="312"/>
        <v>#N/A</v>
      </c>
      <c r="E615" s="4"/>
      <c r="F615" s="4">
        <f t="shared" ca="1" si="298"/>
        <v>0</v>
      </c>
      <c r="G615" s="4"/>
      <c r="H615" s="4" t="e">
        <f t="shared" si="296"/>
        <v>#N/A</v>
      </c>
      <c r="I615" s="4">
        <f t="shared" ref="I615:I620" si="320">IF($J$118=1,1,IF($J$590=1,1,IF($J$614=1,1,0)))</f>
        <v>1</v>
      </c>
      <c r="J615" s="4">
        <f t="shared" si="299"/>
        <v>0</v>
      </c>
      <c r="K615" s="4" t="e">
        <f t="shared" si="297"/>
        <v>#N/A</v>
      </c>
      <c r="M615" t="str">
        <f t="shared" ref="M615:M620" si="321">"Trade, "&amp;N615</f>
        <v>Trade, Woodcutter</v>
      </c>
      <c r="N615" s="3" t="str">
        <f>'Character Sheet'!DGR29</f>
        <v>Woodcutter</v>
      </c>
      <c r="O615" s="4" t="s">
        <v>1996</v>
      </c>
      <c r="P615" s="4" t="s">
        <v>794</v>
      </c>
      <c r="Q615" s="4" t="e">
        <f t="shared" si="318"/>
        <v>#N/A</v>
      </c>
      <c r="R615" s="4">
        <f>IF(ISNUMBER(SEARCH("Category",N615)),"- -",IF(ISNUMBER(SEARCH("Skills",N615)),"- -",'Level-up'!C639))</f>
        <v>0</v>
      </c>
      <c r="S615" s="4" t="e">
        <f t="shared" si="300"/>
        <v>#N/A</v>
      </c>
      <c r="T615" s="4" t="e">
        <f t="shared" si="301"/>
        <v>#N/A</v>
      </c>
      <c r="U615" s="4">
        <f t="shared" ca="1" si="295"/>
        <v>7</v>
      </c>
      <c r="V615" s="4">
        <f t="shared" ref="V615:V620" si="322">IF(ISNUMBER(SEARCH("Category",N615)),"- -",IF(ISNUMBER(SEARCH("Skills",N615)),"- -",IF(AU615&gt;0,AU615,IF($AU$613&gt;0,$AU$613,$AU$589))))</f>
        <v>0</v>
      </c>
      <c r="W615" s="4">
        <f t="shared" si="319"/>
        <v>0</v>
      </c>
      <c r="X615" s="4">
        <f t="shared" si="317"/>
        <v>0</v>
      </c>
      <c r="Y615" s="4">
        <f t="shared" si="302"/>
        <v>0</v>
      </c>
      <c r="Z615" s="4">
        <f t="shared" si="303"/>
        <v>0</v>
      </c>
      <c r="AA615" s="4">
        <f t="shared" si="304"/>
        <v>0</v>
      </c>
      <c r="AB615" s="4">
        <f t="shared" si="305"/>
        <v>0</v>
      </c>
      <c r="AC615" s="8"/>
      <c r="AD615" s="4"/>
      <c r="AE615" s="4"/>
      <c r="AF615" s="4" t="e">
        <f t="shared" si="306"/>
        <v>#N/A</v>
      </c>
      <c r="AG615" s="4"/>
      <c r="AH615" s="4">
        <f>IFERROR(VLOOKUP(M615,Calculations!$AC$2:$AD$251,2,FALSE),0)</f>
        <v>0</v>
      </c>
      <c r="AI615" s="4" t="e">
        <f>VLOOKUP(N615,$N$2:$AS$620,MATCH('Character Creation'!$Z$12,Skills!$N$1:$AS$1,0),FALSE)</f>
        <v>#N/A</v>
      </c>
      <c r="AJ615" s="4" t="e">
        <f>VLOOKUP($N615,[2]Cultures!$B$4:$M$283,MATCH(AJ$1,[2]Cultures!$B$3:$M$3,0),FALSE)</f>
        <v>#N/A</v>
      </c>
      <c r="AK615" s="4" t="e">
        <f>VLOOKUP($N615,[2]Cultures!$B$4:$M$283,MATCH(AK$1,[2]Cultures!$B$3:$M$3,0),FALSE)</f>
        <v>#N/A</v>
      </c>
      <c r="AL615" s="4" t="e">
        <f>VLOOKUP($N615,[2]Cultures!$B$4:$M$283,MATCH(AL$1,[2]Cultures!$B$3:$M$3,0),FALSE)</f>
        <v>#N/A</v>
      </c>
      <c r="AM615" s="4" t="e">
        <f>VLOOKUP($N615,[2]Cultures!$B$4:$M$283,MATCH(AM$1,[2]Cultures!$B$3:$M$3,0),FALSE)</f>
        <v>#N/A</v>
      </c>
      <c r="AN615" s="4" t="e">
        <f>VLOOKUP($N615,[2]Cultures!$B$4:$M$283,MATCH(AN$1,[2]Cultures!$B$3:$M$3,0),FALSE)</f>
        <v>#N/A</v>
      </c>
      <c r="AO615" s="4" t="e">
        <f>VLOOKUP($N615,[2]Cultures!$B$4:$M$283,MATCH(AO$1,[2]Cultures!$B$3:$M$3,0),FALSE)</f>
        <v>#N/A</v>
      </c>
      <c r="AP615" s="4" t="e">
        <f>VLOOKUP($N615,[2]Cultures!$B$4:$M$283,MATCH(AP$1,[2]Cultures!$B$3:$M$3,0),FALSE)</f>
        <v>#N/A</v>
      </c>
      <c r="AQ615" s="4" t="e">
        <f>VLOOKUP($N615,[2]Cultures!$B$4:$M$283,MATCH(AQ$1,[2]Cultures!$B$3:$M$3,0),FALSE)</f>
        <v>#N/A</v>
      </c>
      <c r="AR615" s="4" t="e">
        <f>VLOOKUP($N615,[2]Cultures!$B$4:$M$283,MATCH(AR$1,[2]Cultures!$B$3:$M$3,0),FALSE)</f>
        <v>#N/A</v>
      </c>
      <c r="AS615" s="4" t="e">
        <f>VLOOKUP($N615,[2]Cultures!$B$4:$M$283,MATCH(AS$1,[2]Cultures!$B$3:$M$3,0),FALSE)</f>
        <v>#N/A</v>
      </c>
      <c r="AT615" s="4"/>
      <c r="AU615" s="4">
        <f>IF(ISNUMBER(SEARCH(N615&amp;";",Calculations!$Q$19)),VLOOKUP(Skills!N615,Calculations!$Q$2:$T$16,4,FALSE),0)</f>
        <v>0</v>
      </c>
      <c r="AV615" s="4">
        <f>IF(ISNUMBER(SEARCH(N615&amp;";",Calculations!$Q$18)),1,0)</f>
        <v>0</v>
      </c>
      <c r="AW615" s="4">
        <f t="shared" ref="AW615:AW620" si="323">IF($AV$589=1,1,IF($AV$613=1,1,AV615))</f>
        <v>0</v>
      </c>
      <c r="AX615" s="4">
        <f>VLOOKUP($N615,$N615:$CH615,MATCH('Character Sheet'!$BJ$3,Skills!$N$1:$CH$1,0),FALSE)</f>
        <v>0</v>
      </c>
    </row>
    <row r="616" spans="2:50" x14ac:dyDescent="0.25">
      <c r="B616" s="4" t="e">
        <f t="shared" si="312"/>
        <v>#N/A</v>
      </c>
      <c r="E616" s="4"/>
      <c r="F616" s="4">
        <f t="shared" ca="1" si="298"/>
        <v>0</v>
      </c>
      <c r="G616" s="4"/>
      <c r="H616" s="4" t="e">
        <f t="shared" si="296"/>
        <v>#N/A</v>
      </c>
      <c r="I616" s="4">
        <f t="shared" si="320"/>
        <v>1</v>
      </c>
      <c r="J616" s="4">
        <f t="shared" si="299"/>
        <v>0</v>
      </c>
      <c r="K616" s="4" t="e">
        <f t="shared" si="297"/>
        <v>#N/A</v>
      </c>
      <c r="M616" t="str">
        <f t="shared" si="321"/>
        <v>Trade, Sailor</v>
      </c>
      <c r="N616" s="3" t="str">
        <f>'Character Sheet'!DGR30</f>
        <v>Sailor</v>
      </c>
      <c r="O616" s="4" t="s">
        <v>1996</v>
      </c>
      <c r="P616" s="4" t="s">
        <v>794</v>
      </c>
      <c r="Q616" s="4" t="e">
        <f t="shared" si="318"/>
        <v>#N/A</v>
      </c>
      <c r="R616" s="4">
        <f>IF(ISNUMBER(SEARCH("Category",N616)),"- -",IF(ISNUMBER(SEARCH("Skills",N616)),"- -",'Level-up'!C640))</f>
        <v>0</v>
      </c>
      <c r="S616" s="4" t="e">
        <f t="shared" si="300"/>
        <v>#N/A</v>
      </c>
      <c r="T616" s="4" t="e">
        <f t="shared" si="301"/>
        <v>#N/A</v>
      </c>
      <c r="U616" s="4">
        <f t="shared" ca="1" si="295"/>
        <v>7</v>
      </c>
      <c r="V616" s="4">
        <f t="shared" si="322"/>
        <v>0</v>
      </c>
      <c r="W616" s="4">
        <f t="shared" si="319"/>
        <v>0</v>
      </c>
      <c r="X616" s="4">
        <f t="shared" si="317"/>
        <v>0</v>
      </c>
      <c r="Y616" s="4">
        <f t="shared" si="302"/>
        <v>0</v>
      </c>
      <c r="Z616" s="4">
        <f t="shared" si="303"/>
        <v>0</v>
      </c>
      <c r="AA616" s="4">
        <f t="shared" si="304"/>
        <v>0</v>
      </c>
      <c r="AB616" s="4">
        <f t="shared" si="305"/>
        <v>0</v>
      </c>
      <c r="AC616" s="8"/>
      <c r="AD616" s="4"/>
      <c r="AE616" s="4"/>
      <c r="AF616" s="4" t="e">
        <f t="shared" si="306"/>
        <v>#N/A</v>
      </c>
      <c r="AG616" s="4"/>
      <c r="AH616" s="4">
        <f>IFERROR(VLOOKUP(M616,Calculations!$AC$2:$AD$251,2,FALSE),0)</f>
        <v>0</v>
      </c>
      <c r="AI616" s="4" t="e">
        <f>VLOOKUP(N616,$N$2:$AS$620,MATCH('Character Creation'!$Z$12,Skills!$N$1:$AS$1,0),FALSE)</f>
        <v>#N/A</v>
      </c>
      <c r="AJ616" s="4" t="e">
        <f>VLOOKUP($N616,[2]Cultures!$B$4:$M$283,MATCH(AJ$1,[2]Cultures!$B$3:$M$3,0),FALSE)</f>
        <v>#N/A</v>
      </c>
      <c r="AK616" s="4" t="e">
        <f>VLOOKUP($N616,[2]Cultures!$B$4:$M$283,MATCH(AK$1,[2]Cultures!$B$3:$M$3,0),FALSE)</f>
        <v>#N/A</v>
      </c>
      <c r="AL616" s="4" t="e">
        <f>VLOOKUP($N616,[2]Cultures!$B$4:$M$283,MATCH(AL$1,[2]Cultures!$B$3:$M$3,0),FALSE)</f>
        <v>#N/A</v>
      </c>
      <c r="AM616" s="4" t="e">
        <f>VLOOKUP($N616,[2]Cultures!$B$4:$M$283,MATCH(AM$1,[2]Cultures!$B$3:$M$3,0),FALSE)</f>
        <v>#N/A</v>
      </c>
      <c r="AN616" s="4" t="e">
        <f>VLOOKUP($N616,[2]Cultures!$B$4:$M$283,MATCH(AN$1,[2]Cultures!$B$3:$M$3,0),FALSE)</f>
        <v>#N/A</v>
      </c>
      <c r="AO616" s="4" t="e">
        <f>VLOOKUP($N616,[2]Cultures!$B$4:$M$283,MATCH(AO$1,[2]Cultures!$B$3:$M$3,0),FALSE)</f>
        <v>#N/A</v>
      </c>
      <c r="AP616" s="4" t="e">
        <f>VLOOKUP($N616,[2]Cultures!$B$4:$M$283,MATCH(AP$1,[2]Cultures!$B$3:$M$3,0),FALSE)</f>
        <v>#N/A</v>
      </c>
      <c r="AQ616" s="4" t="e">
        <f>VLOOKUP($N616,[2]Cultures!$B$4:$M$283,MATCH(AQ$1,[2]Cultures!$B$3:$M$3,0),FALSE)</f>
        <v>#N/A</v>
      </c>
      <c r="AR616" s="4" t="e">
        <f>VLOOKUP($N616,[2]Cultures!$B$4:$M$283,MATCH(AR$1,[2]Cultures!$B$3:$M$3,0),FALSE)</f>
        <v>#N/A</v>
      </c>
      <c r="AS616" s="4" t="e">
        <f>VLOOKUP($N616,[2]Cultures!$B$4:$M$283,MATCH(AS$1,[2]Cultures!$B$3:$M$3,0),FALSE)</f>
        <v>#N/A</v>
      </c>
      <c r="AT616" s="4"/>
      <c r="AU616" s="4">
        <f>IF(ISNUMBER(SEARCH(N616&amp;";",Calculations!$Q$19)),VLOOKUP(Skills!N616,Calculations!$Q$2:$T$16,4,FALSE),0)</f>
        <v>0</v>
      </c>
      <c r="AV616" s="4">
        <f>IF(ISNUMBER(SEARCH(N616&amp;";",Calculations!$Q$18)),1,0)</f>
        <v>0</v>
      </c>
      <c r="AW616" s="4">
        <f t="shared" si="323"/>
        <v>0</v>
      </c>
      <c r="AX616" s="4">
        <f>VLOOKUP($N616,$N616:$CH616,MATCH('Character Sheet'!$BJ$3,Skills!$N$1:$CH$1,0),FALSE)</f>
        <v>0</v>
      </c>
    </row>
    <row r="617" spans="2:50" x14ac:dyDescent="0.25">
      <c r="B617" s="4" t="e">
        <f t="shared" si="312"/>
        <v>#N/A</v>
      </c>
      <c r="E617" s="4"/>
      <c r="F617" s="4">
        <f t="shared" ca="1" si="298"/>
        <v>0</v>
      </c>
      <c r="G617" s="4"/>
      <c r="H617" s="4" t="e">
        <f t="shared" si="296"/>
        <v>#N/A</v>
      </c>
      <c r="I617" s="4">
        <f t="shared" si="320"/>
        <v>1</v>
      </c>
      <c r="J617" s="4">
        <f t="shared" si="299"/>
        <v>0</v>
      </c>
      <c r="K617" s="4" t="e">
        <f t="shared" si="297"/>
        <v>#N/A</v>
      </c>
      <c r="M617" t="str">
        <f t="shared" si="321"/>
        <v>Trade, Scribe</v>
      </c>
      <c r="N617" s="3" t="str">
        <f>'Character Sheet'!DGR31</f>
        <v>Scribe</v>
      </c>
      <c r="O617" s="4" t="s">
        <v>1996</v>
      </c>
      <c r="P617" s="4" t="s">
        <v>794</v>
      </c>
      <c r="Q617" s="4" t="e">
        <f t="shared" si="318"/>
        <v>#N/A</v>
      </c>
      <c r="R617" s="4">
        <f>IF(ISNUMBER(SEARCH("Category",N617)),"- -",IF(ISNUMBER(SEARCH("Skills",N617)),"- -",'Level-up'!C641))</f>
        <v>0</v>
      </c>
      <c r="S617" s="4" t="e">
        <f t="shared" si="300"/>
        <v>#N/A</v>
      </c>
      <c r="T617" s="4" t="e">
        <f t="shared" si="301"/>
        <v>#N/A</v>
      </c>
      <c r="U617" s="4">
        <f t="shared" ca="1" si="295"/>
        <v>7</v>
      </c>
      <c r="V617" s="4">
        <f t="shared" si="322"/>
        <v>0</v>
      </c>
      <c r="W617" s="4">
        <f t="shared" si="319"/>
        <v>0</v>
      </c>
      <c r="X617" s="4">
        <f t="shared" si="317"/>
        <v>0</v>
      </c>
      <c r="Y617" s="4">
        <f t="shared" si="302"/>
        <v>0</v>
      </c>
      <c r="Z617" s="4">
        <f t="shared" si="303"/>
        <v>0</v>
      </c>
      <c r="AA617" s="4">
        <f t="shared" si="304"/>
        <v>0</v>
      </c>
      <c r="AB617" s="4">
        <f t="shared" si="305"/>
        <v>0</v>
      </c>
      <c r="AC617" s="8"/>
      <c r="AD617" s="4"/>
      <c r="AE617" s="4"/>
      <c r="AF617" s="4" t="e">
        <f t="shared" si="306"/>
        <v>#N/A</v>
      </c>
      <c r="AG617" s="4"/>
      <c r="AH617" s="4">
        <f>IFERROR(VLOOKUP(M617,Calculations!$AC$2:$AD$251,2,FALSE),0)</f>
        <v>0</v>
      </c>
      <c r="AI617" s="4" t="e">
        <f>VLOOKUP(N617,$N$2:$AS$620,MATCH('Character Creation'!$Z$12,Skills!$N$1:$AS$1,0),FALSE)</f>
        <v>#N/A</v>
      </c>
      <c r="AJ617" s="4" t="e">
        <f>VLOOKUP($N617,[2]Cultures!$B$4:$M$283,MATCH(AJ$1,[2]Cultures!$B$3:$M$3,0),FALSE)</f>
        <v>#N/A</v>
      </c>
      <c r="AK617" s="4" t="e">
        <f>VLOOKUP($N617,[2]Cultures!$B$4:$M$283,MATCH(AK$1,[2]Cultures!$B$3:$M$3,0),FALSE)</f>
        <v>#N/A</v>
      </c>
      <c r="AL617" s="4" t="e">
        <f>VLOOKUP($N617,[2]Cultures!$B$4:$M$283,MATCH(AL$1,[2]Cultures!$B$3:$M$3,0),FALSE)</f>
        <v>#N/A</v>
      </c>
      <c r="AM617" s="4" t="e">
        <f>VLOOKUP($N617,[2]Cultures!$B$4:$M$283,MATCH(AM$1,[2]Cultures!$B$3:$M$3,0),FALSE)</f>
        <v>#N/A</v>
      </c>
      <c r="AN617" s="4" t="e">
        <f>VLOOKUP($N617,[2]Cultures!$B$4:$M$283,MATCH(AN$1,[2]Cultures!$B$3:$M$3,0),FALSE)</f>
        <v>#N/A</v>
      </c>
      <c r="AO617" s="4" t="e">
        <f>VLOOKUP($N617,[2]Cultures!$B$4:$M$283,MATCH(AO$1,[2]Cultures!$B$3:$M$3,0),FALSE)</f>
        <v>#N/A</v>
      </c>
      <c r="AP617" s="4" t="e">
        <f>VLOOKUP($N617,[2]Cultures!$B$4:$M$283,MATCH(AP$1,[2]Cultures!$B$3:$M$3,0),FALSE)</f>
        <v>#N/A</v>
      </c>
      <c r="AQ617" s="4" t="e">
        <f>VLOOKUP($N617,[2]Cultures!$B$4:$M$283,MATCH(AQ$1,[2]Cultures!$B$3:$M$3,0),FALSE)</f>
        <v>#N/A</v>
      </c>
      <c r="AR617" s="4" t="e">
        <f>VLOOKUP($N617,[2]Cultures!$B$4:$M$283,MATCH(AR$1,[2]Cultures!$B$3:$M$3,0),FALSE)</f>
        <v>#N/A</v>
      </c>
      <c r="AS617" s="4" t="e">
        <f>VLOOKUP($N617,[2]Cultures!$B$4:$M$283,MATCH(AS$1,[2]Cultures!$B$3:$M$3,0),FALSE)</f>
        <v>#N/A</v>
      </c>
      <c r="AT617" s="4"/>
      <c r="AU617" s="4">
        <f>IF(ISNUMBER(SEARCH(N617&amp;";",Calculations!$Q$19)),VLOOKUP(Skills!N617,Calculations!$Q$2:$T$16,4,FALSE),0)</f>
        <v>0</v>
      </c>
      <c r="AV617" s="4">
        <f>IF(ISNUMBER(SEARCH(N617&amp;";",Calculations!$Q$18)),1,0)</f>
        <v>0</v>
      </c>
      <c r="AW617" s="4">
        <f t="shared" si="323"/>
        <v>0</v>
      </c>
      <c r="AX617" s="4">
        <f>VLOOKUP($N617,$N617:$CH617,MATCH('Character Sheet'!$BJ$3,Skills!$N$1:$CH$1,0),FALSE)</f>
        <v>0</v>
      </c>
    </row>
    <row r="618" spans="2:50" x14ac:dyDescent="0.25">
      <c r="B618" s="4" t="e">
        <f t="shared" ca="1" si="312"/>
        <v>#N/A</v>
      </c>
      <c r="E618" s="4"/>
      <c r="F618" s="4">
        <f t="shared" ca="1" si="298"/>
        <v>0</v>
      </c>
      <c r="G618" s="4"/>
      <c r="H618" s="4" t="e">
        <f t="shared" si="296"/>
        <v>#N/A</v>
      </c>
      <c r="I618" s="4">
        <f t="shared" si="320"/>
        <v>1</v>
      </c>
      <c r="J618" s="4">
        <f t="shared" si="299"/>
        <v>0</v>
      </c>
      <c r="K618" s="4" t="e">
        <f t="shared" ca="1" si="297"/>
        <v>#N/A</v>
      </c>
      <c r="M618" t="str">
        <f t="shared" si="321"/>
        <v>Trade, Soldier</v>
      </c>
      <c r="N618" s="3" t="str">
        <f>'Character Sheet'!DGR32</f>
        <v>Soldier</v>
      </c>
      <c r="O618" s="4" t="s">
        <v>1996</v>
      </c>
      <c r="P618" s="4" t="s">
        <v>794</v>
      </c>
      <c r="Q618" s="4" t="e">
        <f t="shared" ca="1" si="318"/>
        <v>#N/A</v>
      </c>
      <c r="R618" s="4">
        <f>IF(ISNUMBER(SEARCH("Category",N618)),"- -",IF(ISNUMBER(SEARCH("Skills",N618)),"- -",'Level-up'!C642))</f>
        <v>0</v>
      </c>
      <c r="S618" s="4" t="e">
        <f t="shared" ca="1" si="300"/>
        <v>#N/A</v>
      </c>
      <c r="T618" s="4" t="e">
        <f t="shared" ca="1" si="301"/>
        <v>#N/A</v>
      </c>
      <c r="U618" s="4">
        <f t="shared" ca="1" si="295"/>
        <v>7</v>
      </c>
      <c r="V618" s="4">
        <f t="shared" si="322"/>
        <v>0</v>
      </c>
      <c r="W618" s="4">
        <f t="shared" si="319"/>
        <v>0</v>
      </c>
      <c r="X618" s="4">
        <f t="shared" si="317"/>
        <v>0</v>
      </c>
      <c r="Y618" s="4">
        <f t="shared" si="302"/>
        <v>0</v>
      </c>
      <c r="Z618" s="4">
        <f t="shared" si="303"/>
        <v>0</v>
      </c>
      <c r="AA618" s="4">
        <f t="shared" si="304"/>
        <v>0</v>
      </c>
      <c r="AB618" s="4">
        <f t="shared" si="305"/>
        <v>0</v>
      </c>
      <c r="AC618" s="8"/>
      <c r="AD618" s="4"/>
      <c r="AE618" s="4"/>
      <c r="AF618" s="4" t="e">
        <f t="shared" ca="1" si="306"/>
        <v>#N/A</v>
      </c>
      <c r="AG618" s="4"/>
      <c r="AH618" s="4">
        <f>IFERROR(VLOOKUP(M618,Calculations!$AC$2:$AD$251,2,FALSE),0)</f>
        <v>0</v>
      </c>
      <c r="AI618" s="4" t="e">
        <f ca="1">VLOOKUP(N618,$N$2:$AS$620,MATCH('Character Creation'!$Z$12,Skills!$N$1:$AS$1,0),FALSE)</f>
        <v>#N/A</v>
      </c>
      <c r="AJ618" s="4" t="e">
        <f>VLOOKUP($N618,[2]Cultures!$B$4:$M$283,MATCH(AJ$1,[2]Cultures!$B$3:$M$3,0),FALSE)</f>
        <v>#N/A</v>
      </c>
      <c r="AK618" s="4" t="e">
        <f>VLOOKUP($N618,[2]Cultures!$B$4:$M$283,MATCH(AK$1,[2]Cultures!$B$3:$M$3,0),FALSE)</f>
        <v>#N/A</v>
      </c>
      <c r="AL618" s="4" t="e">
        <f>VLOOKUP($N618,[2]Cultures!$B$4:$M$283,MATCH(AL$1,[2]Cultures!$B$3:$M$3,0),FALSE)</f>
        <v>#N/A</v>
      </c>
      <c r="AM618" s="4" t="e">
        <f>VLOOKUP($N618,[2]Cultures!$B$4:$M$283,MATCH(AM$1,[2]Cultures!$B$3:$M$3,0),FALSE)</f>
        <v>#N/A</v>
      </c>
      <c r="AN618" s="4" t="e">
        <f>VLOOKUP($N618,[2]Cultures!$B$4:$M$283,MATCH(AN$1,[2]Cultures!$B$3:$M$3,0),FALSE)</f>
        <v>#N/A</v>
      </c>
      <c r="AO618" s="4" t="e">
        <f>VLOOKUP($N618,[2]Cultures!$B$4:$M$283,MATCH(AO$1,[2]Cultures!$B$3:$M$3,0),FALSE)</f>
        <v>#N/A</v>
      </c>
      <c r="AP618" s="4" t="e">
        <f>VLOOKUP($N618,[2]Cultures!$B$4:$M$283,MATCH(AP$1,[2]Cultures!$B$3:$M$3,0),FALSE)</f>
        <v>#N/A</v>
      </c>
      <c r="AQ618" s="4" t="e">
        <f>VLOOKUP($N618,[2]Cultures!$B$4:$M$283,MATCH(AQ$1,[2]Cultures!$B$3:$M$3,0),FALSE)</f>
        <v>#N/A</v>
      </c>
      <c r="AR618" s="4" t="e">
        <f>VLOOKUP($N618,[2]Cultures!$B$4:$M$283,MATCH(AR$1,[2]Cultures!$B$3:$M$3,0),FALSE)</f>
        <v>#N/A</v>
      </c>
      <c r="AS618" s="4" t="e">
        <f>VLOOKUP($N618,[2]Cultures!$B$4:$M$283,MATCH(AS$1,[2]Cultures!$B$3:$M$3,0),FALSE)</f>
        <v>#N/A</v>
      </c>
      <c r="AT618" s="4"/>
      <c r="AU618" s="4">
        <f>IF(ISNUMBER(SEARCH(N618&amp;";",Calculations!$Q$19)),VLOOKUP(Skills!N618,Calculations!$Q$2:$T$16,4,FALSE),0)</f>
        <v>0</v>
      </c>
      <c r="AV618" s="4">
        <f>IF(ISNUMBER(SEARCH(N618&amp;";",Calculations!$Q$18)),1,0)</f>
        <v>0</v>
      </c>
      <c r="AW618" s="4">
        <f t="shared" si="323"/>
        <v>0</v>
      </c>
      <c r="AX618" s="4">
        <f>VLOOKUP($N618,$N618:$CH618,MATCH('Character Sheet'!$BJ$3,Skills!$N$1:$CH$1,0),FALSE)</f>
        <v>0</v>
      </c>
    </row>
    <row r="619" spans="2:50" x14ac:dyDescent="0.25">
      <c r="B619" s="4" t="e">
        <f t="shared" ca="1" si="312"/>
        <v>#N/A</v>
      </c>
      <c r="E619" s="4"/>
      <c r="F619" s="4">
        <f t="shared" ca="1" si="298"/>
        <v>0</v>
      </c>
      <c r="G619" s="4"/>
      <c r="H619" s="4" t="e">
        <f t="shared" si="296"/>
        <v>#N/A</v>
      </c>
      <c r="I619" s="4">
        <f t="shared" si="320"/>
        <v>1</v>
      </c>
      <c r="J619" s="4">
        <f t="shared" si="299"/>
        <v>0</v>
      </c>
      <c r="K619" s="4" t="e">
        <f t="shared" ca="1" si="297"/>
        <v>#N/A</v>
      </c>
      <c r="M619" t="str">
        <f t="shared" si="321"/>
        <v>Trade, Commercial Art</v>
      </c>
      <c r="N619" s="3" t="str">
        <f>'Character Sheet'!DGR33</f>
        <v>Commercial Art</v>
      </c>
      <c r="O619" s="4" t="s">
        <v>1996</v>
      </c>
      <c r="P619" s="4" t="s">
        <v>794</v>
      </c>
      <c r="Q619" s="4" t="e">
        <f t="shared" ca="1" si="318"/>
        <v>#N/A</v>
      </c>
      <c r="R619" s="4">
        <f>IF(ISNUMBER(SEARCH("Category",N619)),"- -",IF(ISNUMBER(SEARCH("Skills",N619)),"- -",'Level-up'!C643))</f>
        <v>0</v>
      </c>
      <c r="S619" s="4" t="e">
        <f t="shared" ca="1" si="300"/>
        <v>#N/A</v>
      </c>
      <c r="T619" s="4" t="e">
        <f t="shared" ca="1" si="301"/>
        <v>#N/A</v>
      </c>
      <c r="U619" s="4">
        <f t="shared" ca="1" si="295"/>
        <v>7</v>
      </c>
      <c r="V619" s="4">
        <f t="shared" si="322"/>
        <v>0</v>
      </c>
      <c r="W619" s="4">
        <f t="shared" si="319"/>
        <v>0</v>
      </c>
      <c r="X619" s="4">
        <f t="shared" si="317"/>
        <v>0</v>
      </c>
      <c r="Y619" s="4">
        <f t="shared" si="302"/>
        <v>0</v>
      </c>
      <c r="Z619" s="4">
        <f t="shared" si="303"/>
        <v>0</v>
      </c>
      <c r="AA619" s="4">
        <f t="shared" si="304"/>
        <v>0</v>
      </c>
      <c r="AB619" s="4">
        <f t="shared" si="305"/>
        <v>0</v>
      </c>
      <c r="AC619" s="8"/>
      <c r="AD619" s="4"/>
      <c r="AE619" s="4"/>
      <c r="AF619" s="4" t="e">
        <f t="shared" ca="1" si="306"/>
        <v>#N/A</v>
      </c>
      <c r="AG619" s="4"/>
      <c r="AH619" s="4">
        <f>IFERROR(VLOOKUP(M619,Calculations!$AC$2:$AD$251,2,FALSE),0)</f>
        <v>0</v>
      </c>
      <c r="AI619" s="4" t="e">
        <f ca="1">VLOOKUP(N619,$N$2:$AS$620,MATCH('Character Creation'!$Z$12,Skills!$N$1:$AS$1,0),FALSE)</f>
        <v>#N/A</v>
      </c>
      <c r="AJ619" s="4" t="e">
        <f>VLOOKUP($N619,[2]Cultures!$B$4:$M$283,MATCH(AJ$1,[2]Cultures!$B$3:$M$3,0),FALSE)</f>
        <v>#N/A</v>
      </c>
      <c r="AK619" s="4" t="e">
        <f>VLOOKUP($N619,[2]Cultures!$B$4:$M$283,MATCH(AK$1,[2]Cultures!$B$3:$M$3,0),FALSE)</f>
        <v>#N/A</v>
      </c>
      <c r="AL619" s="4" t="e">
        <f>VLOOKUP($N619,[2]Cultures!$B$4:$M$283,MATCH(AL$1,[2]Cultures!$B$3:$M$3,0),FALSE)</f>
        <v>#N/A</v>
      </c>
      <c r="AM619" s="4" t="e">
        <f>VLOOKUP($N619,[2]Cultures!$B$4:$M$283,MATCH(AM$1,[2]Cultures!$B$3:$M$3,0),FALSE)</f>
        <v>#N/A</v>
      </c>
      <c r="AN619" s="4" t="e">
        <f>VLOOKUP($N619,[2]Cultures!$B$4:$M$283,MATCH(AN$1,[2]Cultures!$B$3:$M$3,0),FALSE)</f>
        <v>#N/A</v>
      </c>
      <c r="AO619" s="4" t="e">
        <f>VLOOKUP($N619,[2]Cultures!$B$4:$M$283,MATCH(AO$1,[2]Cultures!$B$3:$M$3,0),FALSE)</f>
        <v>#N/A</v>
      </c>
      <c r="AP619" s="4" t="e">
        <f>VLOOKUP($N619,[2]Cultures!$B$4:$M$283,MATCH(AP$1,[2]Cultures!$B$3:$M$3,0),FALSE)</f>
        <v>#N/A</v>
      </c>
      <c r="AQ619" s="4" t="e">
        <f>VLOOKUP($N619,[2]Cultures!$B$4:$M$283,MATCH(AQ$1,[2]Cultures!$B$3:$M$3,0),FALSE)</f>
        <v>#N/A</v>
      </c>
      <c r="AR619" s="4" t="e">
        <f>VLOOKUP($N619,[2]Cultures!$B$4:$M$283,MATCH(AR$1,[2]Cultures!$B$3:$M$3,0),FALSE)</f>
        <v>#N/A</v>
      </c>
      <c r="AS619" s="4" t="e">
        <f>VLOOKUP($N619,[2]Cultures!$B$4:$M$283,MATCH(AS$1,[2]Cultures!$B$3:$M$3,0),FALSE)</f>
        <v>#N/A</v>
      </c>
      <c r="AT619" s="4"/>
      <c r="AU619" s="4">
        <f>IF(ISNUMBER(SEARCH(N619&amp;";",Calculations!$Q$19)),VLOOKUP(Skills!N619,Calculations!$Q$2:$T$16,4,FALSE),0)</f>
        <v>0</v>
      </c>
      <c r="AV619" s="4">
        <f>IF(ISNUMBER(SEARCH(N619&amp;";",Calculations!$Q$18)),1,0)</f>
        <v>0</v>
      </c>
      <c r="AW619" s="4">
        <f t="shared" si="323"/>
        <v>0</v>
      </c>
      <c r="AX619" s="4">
        <f>VLOOKUP($N619,$N619:$CH619,MATCH('Character Sheet'!$BJ$3,Skills!$N$1:$CH$1,0),FALSE)</f>
        <v>0</v>
      </c>
    </row>
    <row r="620" spans="2:50" x14ac:dyDescent="0.25">
      <c r="B620" s="4" t="e">
        <f t="shared" ca="1" si="312"/>
        <v>#N/A</v>
      </c>
      <c r="E620" s="4"/>
      <c r="F620" s="4">
        <f t="shared" ca="1" si="298"/>
        <v>0</v>
      </c>
      <c r="G620" s="4"/>
      <c r="H620" s="4" t="e">
        <f t="shared" si="296"/>
        <v>#N/A</v>
      </c>
      <c r="I620" s="4">
        <f t="shared" si="320"/>
        <v>1</v>
      </c>
      <c r="J620" s="4">
        <f t="shared" si="299"/>
        <v>0</v>
      </c>
      <c r="K620" s="4">
        <f t="shared" si="297"/>
        <v>0</v>
      </c>
      <c r="M620" t="str">
        <f t="shared" si="321"/>
        <v>Trade, Taxidermist</v>
      </c>
      <c r="N620" s="3" t="str">
        <f>'Character Sheet'!DGR34</f>
        <v>Taxidermist</v>
      </c>
      <c r="O620" s="4" t="s">
        <v>1996</v>
      </c>
      <c r="P620" s="4" t="s">
        <v>794</v>
      </c>
      <c r="Q620" s="4">
        <f t="shared" si="318"/>
        <v>0</v>
      </c>
      <c r="R620" s="4">
        <f>IF(ISNUMBER(SEARCH("Category",N620)),"- -",IF(ISNUMBER(SEARCH("Skills",N620)),"- -",'Level-up'!C644))</f>
        <v>0</v>
      </c>
      <c r="S620" s="4">
        <f t="shared" si="300"/>
        <v>0</v>
      </c>
      <c r="T620" s="4">
        <f t="shared" si="301"/>
        <v>-25</v>
      </c>
      <c r="U620" s="4">
        <f t="shared" ca="1" si="295"/>
        <v>7</v>
      </c>
      <c r="V620" s="4">
        <f t="shared" si="322"/>
        <v>0</v>
      </c>
      <c r="W620" s="4">
        <f t="shared" si="319"/>
        <v>0</v>
      </c>
      <c r="X620" s="4">
        <f t="shared" si="317"/>
        <v>0</v>
      </c>
      <c r="Y620" s="4">
        <f t="shared" si="302"/>
        <v>0</v>
      </c>
      <c r="Z620" s="4">
        <f t="shared" si="303"/>
        <v>0</v>
      </c>
      <c r="AA620" s="4">
        <f t="shared" si="304"/>
        <v>0</v>
      </c>
      <c r="AB620" s="4">
        <f t="shared" si="305"/>
        <v>0</v>
      </c>
      <c r="AC620" s="8"/>
      <c r="AD620" s="4"/>
      <c r="AE620" s="4"/>
      <c r="AF620" s="4" t="str">
        <f t="shared" ca="1" si="306"/>
        <v>-18</v>
      </c>
      <c r="AG620" s="4"/>
      <c r="AH620" s="4">
        <f>IFERROR(VLOOKUP(M620,Calculations!$AC$2:$AD$251,2,FALSE),0)</f>
        <v>0</v>
      </c>
      <c r="AI620" s="4">
        <f>VLOOKUP(N620,$N$2:$AS$620,MATCH('Character Creation'!$Z$12,Skills!$N$1:$AS$1,0),FALSE)</f>
        <v>0</v>
      </c>
      <c r="AJ620" s="4">
        <f>VLOOKUP($N620,[2]Cultures!$B$4:$M$283,MATCH(AJ$1,[2]Cultures!$B$3:$M$3,0),FALSE)</f>
        <v>0</v>
      </c>
      <c r="AK620" s="4">
        <f>VLOOKUP($N620,[2]Cultures!$B$4:$M$283,MATCH(AK$1,[2]Cultures!$B$3:$M$3,0),FALSE)</f>
        <v>0</v>
      </c>
      <c r="AL620" s="4">
        <f>VLOOKUP($N620,[2]Cultures!$B$4:$M$283,MATCH(AL$1,[2]Cultures!$B$3:$M$3,0),FALSE)</f>
        <v>0</v>
      </c>
      <c r="AM620" s="4">
        <f>VLOOKUP($N620,[2]Cultures!$B$4:$M$283,MATCH(AM$1,[2]Cultures!$B$3:$M$3,0),FALSE)</f>
        <v>0</v>
      </c>
      <c r="AN620" s="4">
        <f>VLOOKUP($N620,[2]Cultures!$B$4:$M$283,MATCH(AN$1,[2]Cultures!$B$3:$M$3,0),FALSE)</f>
        <v>0</v>
      </c>
      <c r="AO620" s="4">
        <f>VLOOKUP($N620,[2]Cultures!$B$4:$M$283,MATCH(AO$1,[2]Cultures!$B$3:$M$3,0),FALSE)</f>
        <v>0</v>
      </c>
      <c r="AP620" s="4">
        <f>VLOOKUP($N620,[2]Cultures!$B$4:$M$283,MATCH(AP$1,[2]Cultures!$B$3:$M$3,0),FALSE)</f>
        <v>0</v>
      </c>
      <c r="AQ620" s="4">
        <f>VLOOKUP($N620,[2]Cultures!$B$4:$M$283,MATCH(AQ$1,[2]Cultures!$B$3:$M$3,0),FALSE)</f>
        <v>0</v>
      </c>
      <c r="AR620" s="4">
        <f>VLOOKUP($N620,[2]Cultures!$B$4:$M$283,MATCH(AR$1,[2]Cultures!$B$3:$M$3,0),FALSE)</f>
        <v>0</v>
      </c>
      <c r="AS620" s="4">
        <f>VLOOKUP($N620,[2]Cultures!$B$4:$M$283,MATCH(AS$1,[2]Cultures!$B$3:$M$3,0),FALSE)</f>
        <v>0</v>
      </c>
      <c r="AT620" s="4"/>
      <c r="AU620" s="4">
        <f>IF(ISNUMBER(SEARCH(N620&amp;";",Calculations!$Q$19)),VLOOKUP(Skills!N620,Calculations!$Q$2:$T$16,4,FALSE),0)</f>
        <v>0</v>
      </c>
      <c r="AV620" s="4">
        <f>IF(ISNUMBER(SEARCH(N620&amp;";",Calculations!$Q$18)),1,0)</f>
        <v>0</v>
      </c>
      <c r="AW620" s="4">
        <f t="shared" si="323"/>
        <v>0</v>
      </c>
      <c r="AX620" s="4">
        <f>VLOOKUP($N620,$N620:$CH620,MATCH('Character Sheet'!$BJ$3,Skills!$N$1:$CH$1,0),FALSE)</f>
        <v>0</v>
      </c>
    </row>
    <row r="621" spans="2:50" x14ac:dyDescent="0.25">
      <c r="N621" s="3"/>
    </row>
    <row r="622" spans="2:50" x14ac:dyDescent="0.25">
      <c r="N622" s="3"/>
    </row>
    <row r="623" spans="2:50" x14ac:dyDescent="0.25">
      <c r="N623" s="3"/>
    </row>
    <row r="624" spans="2:50" x14ac:dyDescent="0.25">
      <c r="N624" s="3"/>
    </row>
    <row r="625" spans="14:14" x14ac:dyDescent="0.25">
      <c r="N625" s="3"/>
    </row>
    <row r="626" spans="14:14" x14ac:dyDescent="0.25">
      <c r="N626" s="3"/>
    </row>
    <row r="627" spans="14:14" x14ac:dyDescent="0.25">
      <c r="N627" s="3"/>
    </row>
    <row r="628" spans="14:14" x14ac:dyDescent="0.25">
      <c r="N628" s="3"/>
    </row>
  </sheetData>
  <mergeCells count="1">
    <mergeCell ref="AV1:AX1"/>
  </mergeCells>
  <conditionalFormatting sqref="N2:N166 N171:N231 N250:N628 N233:N248">
    <cfRule type="expression" dxfId="30" priority="14" stopIfTrue="1">
      <formula>NOT(ISERROR(SEARCH("Category",N2)))</formula>
    </cfRule>
  </conditionalFormatting>
  <conditionalFormatting sqref="N169">
    <cfRule type="expression" dxfId="29" priority="18" stopIfTrue="1">
      <formula>NOT(ISERROR(SEARCH("Category",N169)))</formula>
    </cfRule>
  </conditionalFormatting>
  <conditionalFormatting sqref="N167">
    <cfRule type="expression" dxfId="28" priority="20" stopIfTrue="1">
      <formula>NOT(ISERROR(SEARCH("Category",N167)))</formula>
    </cfRule>
  </conditionalFormatting>
  <conditionalFormatting sqref="N168">
    <cfRule type="expression" dxfId="27" priority="22" stopIfTrue="1">
      <formula>NOT(ISERROR(SEARCH("Category",N168)))</formula>
    </cfRule>
  </conditionalFormatting>
  <conditionalFormatting sqref="N2:N166 N171:N231 N250:N628 N233:N248">
    <cfRule type="expression" dxfId="26" priority="13" stopIfTrue="1">
      <formula>NOT(ISERROR(SEARCH("Skills",N2)))</formula>
    </cfRule>
  </conditionalFormatting>
  <conditionalFormatting sqref="N169">
    <cfRule type="expression" dxfId="25" priority="17" stopIfTrue="1">
      <formula>NOT(ISERROR(SEARCH("Skills",N169)))</formula>
    </cfRule>
  </conditionalFormatting>
  <conditionalFormatting sqref="N167">
    <cfRule type="expression" dxfId="24" priority="19" stopIfTrue="1">
      <formula>NOT(ISERROR(SEARCH("Skills",N167)))</formula>
    </cfRule>
  </conditionalFormatting>
  <conditionalFormatting sqref="N168">
    <cfRule type="expression" dxfId="23" priority="21" stopIfTrue="1">
      <formula>NOT(ISERROR(SEARCH("Skills",N168)))</formula>
    </cfRule>
  </conditionalFormatting>
  <conditionalFormatting sqref="N249">
    <cfRule type="expression" dxfId="22" priority="10" stopIfTrue="1">
      <formula>NOT(ISERROR(SEARCH("Category",N249)))</formula>
    </cfRule>
  </conditionalFormatting>
  <conditionalFormatting sqref="N249">
    <cfRule type="expression" dxfId="21" priority="9" stopIfTrue="1">
      <formula>NOT(ISERROR(SEARCH("Skills",N249)))</formula>
    </cfRule>
  </conditionalFormatting>
  <conditionalFormatting sqref="N170">
    <cfRule type="expression" dxfId="20" priority="6" stopIfTrue="1">
      <formula>NOT(ISERROR(SEARCH("Category",N170)))</formula>
    </cfRule>
  </conditionalFormatting>
  <conditionalFormatting sqref="N170">
    <cfRule type="expression" dxfId="19" priority="5" stopIfTrue="1">
      <formula>NOT(ISERROR(SEARCH("Skills",N170)))</formula>
    </cfRule>
  </conditionalFormatting>
  <conditionalFormatting sqref="N232">
    <cfRule type="expression" dxfId="18" priority="2" stopIfTrue="1">
      <formula>NOT(ISERROR(SEARCH("Category",N232)))</formula>
    </cfRule>
  </conditionalFormatting>
  <conditionalFormatting sqref="N232">
    <cfRule type="expression" dxfId="17" priority="1" stopIfTrue="1">
      <formula>NOT(ISERROR(SEARCH("Skills",N232)))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651EB-1DF4-4746-AA6C-546E20DE4161}">
  <dimension ref="A1:AL285"/>
  <sheetViews>
    <sheetView workbookViewId="0">
      <pane xSplit="2" ySplit="1" topLeftCell="C2" activePane="bottomRight" state="frozen"/>
      <selection pane="topRight" activeCell="D1" sqref="D1"/>
      <selection pane="bottomLeft" activeCell="A4" sqref="A4"/>
      <selection pane="bottomRight" activeCell="A3" sqref="A3"/>
    </sheetView>
  </sheetViews>
  <sheetFormatPr defaultColWidth="0.85546875" defaultRowHeight="15" x14ac:dyDescent="0.25"/>
  <cols>
    <col min="1" max="1" width="33.85546875" bestFit="1" customWidth="1"/>
    <col min="2" max="2" width="5.85546875" style="59" customWidth="1"/>
    <col min="3" max="38" width="5.85546875" customWidth="1"/>
  </cols>
  <sheetData>
    <row r="1" spans="1:38" ht="129.75" thickBot="1" x14ac:dyDescent="0.3">
      <c r="B1" s="127" t="s">
        <v>1992</v>
      </c>
      <c r="C1" s="12" t="s">
        <v>1981</v>
      </c>
      <c r="D1" s="12" t="s">
        <v>1982</v>
      </c>
      <c r="E1" s="12" t="s">
        <v>1983</v>
      </c>
      <c r="F1" s="12" t="s">
        <v>2037</v>
      </c>
      <c r="G1" s="12" t="s">
        <v>1984</v>
      </c>
      <c r="H1" s="12" t="s">
        <v>578</v>
      </c>
      <c r="I1" s="12" t="s">
        <v>2038</v>
      </c>
      <c r="J1" s="12" t="s">
        <v>565</v>
      </c>
      <c r="K1" s="12" t="s">
        <v>2091</v>
      </c>
      <c r="L1" s="12" t="s">
        <v>2039</v>
      </c>
      <c r="M1" s="12" t="s">
        <v>2028</v>
      </c>
      <c r="N1" s="12" t="s">
        <v>1953</v>
      </c>
      <c r="O1" s="12" t="s">
        <v>1954</v>
      </c>
      <c r="P1" s="12" t="s">
        <v>2029</v>
      </c>
      <c r="Q1" s="12" t="s">
        <v>1956</v>
      </c>
      <c r="R1" s="12" t="s">
        <v>1957</v>
      </c>
      <c r="S1" s="12" t="s">
        <v>1958</v>
      </c>
      <c r="T1" s="12" t="s">
        <v>1966</v>
      </c>
      <c r="U1" s="12" t="s">
        <v>1967</v>
      </c>
      <c r="V1" s="12" t="s">
        <v>1960</v>
      </c>
      <c r="W1" s="12" t="s">
        <v>1959</v>
      </c>
      <c r="X1" s="12" t="s">
        <v>1968</v>
      </c>
      <c r="Y1" s="12" t="s">
        <v>1969</v>
      </c>
      <c r="Z1" s="12" t="s">
        <v>1963</v>
      </c>
      <c r="AA1" s="12" t="s">
        <v>1965</v>
      </c>
      <c r="AB1" s="12" t="s">
        <v>1970</v>
      </c>
      <c r="AC1" s="12" t="s">
        <v>1971</v>
      </c>
      <c r="AD1" s="12" t="s">
        <v>1961</v>
      </c>
      <c r="AE1" s="12" t="s">
        <v>1962</v>
      </c>
      <c r="AF1" s="12" t="s">
        <v>1972</v>
      </c>
      <c r="AG1" s="12" t="s">
        <v>1974</v>
      </c>
      <c r="AH1" s="12" t="s">
        <v>1976</v>
      </c>
      <c r="AI1" s="12" t="s">
        <v>3479</v>
      </c>
      <c r="AJ1" s="12" t="s">
        <v>1980</v>
      </c>
      <c r="AK1" s="12" t="s">
        <v>1978</v>
      </c>
      <c r="AL1" s="12" t="s">
        <v>1979</v>
      </c>
    </row>
    <row r="2" spans="1:38" s="59" customFormat="1" ht="16.5" thickTop="1" thickBot="1" x14ac:dyDescent="0.3">
      <c r="A2" s="63" t="s">
        <v>145</v>
      </c>
      <c r="B2" s="126" t="e">
        <f>VLOOKUP(A2,$A$2:$AL$285,MATCH('Character Sheet'!$BJ$3,$A$1:$AL$1,0),FALSE)</f>
        <v>#REF!</v>
      </c>
      <c r="C2" s="125" t="e">
        <f>#REF!</f>
        <v>#REF!</v>
      </c>
      <c r="D2" s="125" t="e">
        <f>#REF!</f>
        <v>#REF!</v>
      </c>
      <c r="E2" s="125" t="e">
        <f>#REF!</f>
        <v>#REF!</v>
      </c>
      <c r="F2" s="125" t="e">
        <f>#REF!</f>
        <v>#REF!</v>
      </c>
      <c r="G2" s="125" t="e">
        <f>#REF!</f>
        <v>#REF!</v>
      </c>
      <c r="H2" s="125" t="e">
        <f>#REF!</f>
        <v>#REF!</v>
      </c>
      <c r="I2" s="125" t="e">
        <f>#REF!</f>
        <v>#REF!</v>
      </c>
      <c r="J2" s="125" t="e">
        <f>#REF!</f>
        <v>#REF!</v>
      </c>
      <c r="K2" s="125" t="e">
        <f>#REF!</f>
        <v>#REF!</v>
      </c>
      <c r="L2" s="125" t="e">
        <f>#REF!</f>
        <v>#REF!</v>
      </c>
      <c r="M2" s="125" t="e">
        <f>#REF!</f>
        <v>#REF!</v>
      </c>
      <c r="N2" s="125" t="e">
        <f>#REF!</f>
        <v>#REF!</v>
      </c>
      <c r="O2" s="125" t="e">
        <f>#REF!</f>
        <v>#REF!</v>
      </c>
      <c r="P2" s="125" t="e">
        <f>#REF!</f>
        <v>#REF!</v>
      </c>
      <c r="Q2" s="125" t="e">
        <f>#REF!</f>
        <v>#REF!</v>
      </c>
      <c r="R2" s="125" t="e">
        <f>#REF!</f>
        <v>#REF!</v>
      </c>
      <c r="S2" s="125" t="e">
        <f>#REF!</f>
        <v>#REF!</v>
      </c>
      <c r="T2" s="125" t="e">
        <f>#REF!</f>
        <v>#REF!</v>
      </c>
      <c r="U2" s="125" t="e">
        <f>#REF!</f>
        <v>#REF!</v>
      </c>
      <c r="V2" s="125" t="e">
        <f>#REF!</f>
        <v>#REF!</v>
      </c>
      <c r="W2" s="125" t="e">
        <f>#REF!</f>
        <v>#REF!</v>
      </c>
      <c r="X2" s="125" t="e">
        <f>#REF!</f>
        <v>#REF!</v>
      </c>
      <c r="Y2" s="125" t="e">
        <f>#REF!</f>
        <v>#REF!</v>
      </c>
      <c r="Z2" s="125" t="e">
        <f>#REF!</f>
        <v>#REF!</v>
      </c>
      <c r="AA2" s="125" t="e">
        <f>#REF!</f>
        <v>#REF!</v>
      </c>
      <c r="AB2" s="125" t="e">
        <f>#REF!</f>
        <v>#REF!</v>
      </c>
      <c r="AC2" s="125" t="e">
        <f>#REF!</f>
        <v>#REF!</v>
      </c>
      <c r="AD2" s="125" t="e">
        <f>#REF!</f>
        <v>#REF!</v>
      </c>
      <c r="AE2" s="125" t="e">
        <f>#REF!</f>
        <v>#REF!</v>
      </c>
      <c r="AF2" s="125" t="e">
        <f>#REF!</f>
        <v>#REF!</v>
      </c>
      <c r="AG2" s="125" t="e">
        <f>#REF!</f>
        <v>#REF!</v>
      </c>
      <c r="AH2" s="125" t="e">
        <f>#REF!</f>
        <v>#REF!</v>
      </c>
      <c r="AI2" s="125" t="e">
        <f>#REF!</f>
        <v>#REF!</v>
      </c>
      <c r="AJ2" s="125" t="e">
        <f>#REF!</f>
        <v>#REF!</v>
      </c>
      <c r="AK2" s="125" t="e">
        <f>#REF!</f>
        <v>#REF!</v>
      </c>
      <c r="AL2" s="125" t="e">
        <f>#REF!</f>
        <v>#REF!</v>
      </c>
    </row>
    <row r="3" spans="1:38" ht="15.75" thickTop="1" x14ac:dyDescent="0.25">
      <c r="A3" s="64" t="s">
        <v>2049</v>
      </c>
      <c r="B3" s="126" t="e">
        <f>VLOOKUP(A3,$A$2:$AL$285,MATCH('Character Sheet'!$BJ$3,$A$1:$AL$1,0),FALSE)</f>
        <v>#REF!</v>
      </c>
      <c r="C3" s="6" t="e">
        <f>#REF!</f>
        <v>#REF!</v>
      </c>
      <c r="D3" s="6" t="e">
        <f>#REF!</f>
        <v>#REF!</v>
      </c>
      <c r="E3" s="6" t="e">
        <f>#REF!</f>
        <v>#REF!</v>
      </c>
      <c r="F3" s="6" t="e">
        <f>#REF!</f>
        <v>#REF!</v>
      </c>
      <c r="G3" s="6" t="e">
        <f>#REF!</f>
        <v>#REF!</v>
      </c>
      <c r="H3" s="6" t="e">
        <f>#REF!</f>
        <v>#REF!</v>
      </c>
      <c r="I3" s="6" t="e">
        <f>#REF!</f>
        <v>#REF!</v>
      </c>
      <c r="J3" s="6" t="e">
        <f>#REF!</f>
        <v>#REF!</v>
      </c>
      <c r="K3" s="6" t="e">
        <f>#REF!</f>
        <v>#REF!</v>
      </c>
      <c r="L3" s="6" t="e">
        <f>#REF!</f>
        <v>#REF!</v>
      </c>
      <c r="M3" s="6" t="e">
        <f>#REF!</f>
        <v>#REF!</v>
      </c>
      <c r="N3" s="6" t="e">
        <f>#REF!</f>
        <v>#REF!</v>
      </c>
      <c r="O3" s="6" t="e">
        <f>#REF!</f>
        <v>#REF!</v>
      </c>
      <c r="P3" s="6" t="e">
        <f>#REF!</f>
        <v>#REF!</v>
      </c>
      <c r="Q3" s="6" t="e">
        <f>#REF!</f>
        <v>#REF!</v>
      </c>
      <c r="R3" s="6" t="e">
        <f>#REF!</f>
        <v>#REF!</v>
      </c>
      <c r="S3" s="6" t="e">
        <f>#REF!</f>
        <v>#REF!</v>
      </c>
      <c r="T3" s="6" t="e">
        <f>#REF!</f>
        <v>#REF!</v>
      </c>
      <c r="U3" s="6" t="e">
        <f>#REF!</f>
        <v>#REF!</v>
      </c>
      <c r="V3" s="6" t="e">
        <f>#REF!</f>
        <v>#REF!</v>
      </c>
      <c r="W3" s="6" t="e">
        <f>#REF!</f>
        <v>#REF!</v>
      </c>
      <c r="X3" s="6" t="e">
        <f>#REF!</f>
        <v>#REF!</v>
      </c>
      <c r="Y3" s="6" t="e">
        <f>#REF!</f>
        <v>#REF!</v>
      </c>
      <c r="Z3" s="6" t="e">
        <f>#REF!</f>
        <v>#REF!</v>
      </c>
      <c r="AA3" s="6" t="e">
        <f>#REF!</f>
        <v>#REF!</v>
      </c>
      <c r="AB3" s="6" t="e">
        <f>#REF!</f>
        <v>#REF!</v>
      </c>
      <c r="AC3" s="6" t="e">
        <f>#REF!</f>
        <v>#REF!</v>
      </c>
      <c r="AD3" s="6" t="e">
        <f>#REF!</f>
        <v>#REF!</v>
      </c>
      <c r="AE3" s="6" t="e">
        <f>#REF!</f>
        <v>#REF!</v>
      </c>
      <c r="AF3" s="6" t="e">
        <f>#REF!</f>
        <v>#REF!</v>
      </c>
      <c r="AG3" s="6" t="e">
        <f>#REF!</f>
        <v>#REF!</v>
      </c>
      <c r="AH3" s="6" t="e">
        <f>#REF!</f>
        <v>#REF!</v>
      </c>
      <c r="AI3" s="6" t="e">
        <f>#REF!</f>
        <v>#REF!</v>
      </c>
      <c r="AJ3" s="6" t="e">
        <f>#REF!</f>
        <v>#REF!</v>
      </c>
      <c r="AK3" s="6" t="e">
        <f>#REF!</f>
        <v>#REF!</v>
      </c>
      <c r="AL3" s="6" t="e">
        <f>#REF!</f>
        <v>#REF!</v>
      </c>
    </row>
    <row r="4" spans="1:38" x14ac:dyDescent="0.25">
      <c r="A4" s="64" t="s">
        <v>2050</v>
      </c>
      <c r="B4" s="126" t="e">
        <f>VLOOKUP(A4,$A$2:$AL$285,MATCH('Character Sheet'!$BJ$3,$A$1:$AL$1,0),FALSE)</f>
        <v>#REF!</v>
      </c>
      <c r="C4" s="6" t="e">
        <f>#REF!</f>
        <v>#REF!</v>
      </c>
      <c r="D4" s="6" t="e">
        <f>#REF!</f>
        <v>#REF!</v>
      </c>
      <c r="E4" s="6" t="e">
        <f>#REF!</f>
        <v>#REF!</v>
      </c>
      <c r="F4" s="6" t="e">
        <f>#REF!</f>
        <v>#REF!</v>
      </c>
      <c r="G4" s="6" t="e">
        <f>#REF!</f>
        <v>#REF!</v>
      </c>
      <c r="H4" s="6" t="e">
        <f>#REF!</f>
        <v>#REF!</v>
      </c>
      <c r="I4" s="6" t="e">
        <f>#REF!</f>
        <v>#REF!</v>
      </c>
      <c r="J4" s="6" t="e">
        <f>#REF!</f>
        <v>#REF!</v>
      </c>
      <c r="K4" s="6" t="e">
        <f>#REF!</f>
        <v>#REF!</v>
      </c>
      <c r="L4" s="6" t="e">
        <f>#REF!</f>
        <v>#REF!</v>
      </c>
      <c r="M4" s="6" t="e">
        <f>#REF!</f>
        <v>#REF!</v>
      </c>
      <c r="N4" s="6" t="e">
        <f>#REF!</f>
        <v>#REF!</v>
      </c>
      <c r="O4" s="6" t="e">
        <f>#REF!</f>
        <v>#REF!</v>
      </c>
      <c r="P4" s="6" t="e">
        <f>#REF!</f>
        <v>#REF!</v>
      </c>
      <c r="Q4" s="6" t="e">
        <f>#REF!</f>
        <v>#REF!</v>
      </c>
      <c r="R4" s="6" t="e">
        <f>#REF!</f>
        <v>#REF!</v>
      </c>
      <c r="S4" s="6" t="e">
        <f>#REF!</f>
        <v>#REF!</v>
      </c>
      <c r="T4" s="6" t="e">
        <f>#REF!</f>
        <v>#REF!</v>
      </c>
      <c r="U4" s="6" t="e">
        <f>#REF!</f>
        <v>#REF!</v>
      </c>
      <c r="V4" s="6" t="e">
        <f>#REF!</f>
        <v>#REF!</v>
      </c>
      <c r="W4" s="6" t="e">
        <f>#REF!</f>
        <v>#REF!</v>
      </c>
      <c r="X4" s="6" t="e">
        <f>#REF!</f>
        <v>#REF!</v>
      </c>
      <c r="Y4" s="6" t="e">
        <f>#REF!</f>
        <v>#REF!</v>
      </c>
      <c r="Z4" s="6" t="e">
        <f>#REF!</f>
        <v>#REF!</v>
      </c>
      <c r="AA4" s="6" t="e">
        <f>#REF!</f>
        <v>#REF!</v>
      </c>
      <c r="AB4" s="6" t="e">
        <f>#REF!</f>
        <v>#REF!</v>
      </c>
      <c r="AC4" s="6" t="e">
        <f>#REF!</f>
        <v>#REF!</v>
      </c>
      <c r="AD4" s="6" t="e">
        <f>#REF!</f>
        <v>#REF!</v>
      </c>
      <c r="AE4" s="6" t="e">
        <f>#REF!</f>
        <v>#REF!</v>
      </c>
      <c r="AF4" s="6" t="e">
        <f>#REF!</f>
        <v>#REF!</v>
      </c>
      <c r="AG4" s="6" t="e">
        <f>#REF!</f>
        <v>#REF!</v>
      </c>
      <c r="AH4" s="6" t="e">
        <f>#REF!</f>
        <v>#REF!</v>
      </c>
      <c r="AI4" s="6" t="e">
        <f>#REF!</f>
        <v>#REF!</v>
      </c>
      <c r="AJ4" s="6" t="e">
        <f>#REF!</f>
        <v>#REF!</v>
      </c>
      <c r="AK4" s="6" t="e">
        <f>#REF!</f>
        <v>#REF!</v>
      </c>
      <c r="AL4" s="6" t="e">
        <f>#REF!</f>
        <v>#REF!</v>
      </c>
    </row>
    <row r="5" spans="1:38" x14ac:dyDescent="0.25">
      <c r="A5" s="64" t="s">
        <v>2088</v>
      </c>
      <c r="B5" s="126" t="e">
        <f>VLOOKUP(A5,$A$2:$AL$285,MATCH('Character Sheet'!$BJ$3,$A$1:$AL$1,0),FALSE)</f>
        <v>#REF!</v>
      </c>
      <c r="C5" s="6" t="e">
        <f>#REF!</f>
        <v>#REF!</v>
      </c>
      <c r="D5" s="6" t="e">
        <f>#REF!</f>
        <v>#REF!</v>
      </c>
      <c r="E5" s="6" t="e">
        <f>#REF!</f>
        <v>#REF!</v>
      </c>
      <c r="F5" s="6" t="e">
        <f>#REF!</f>
        <v>#REF!</v>
      </c>
      <c r="G5" s="6" t="e">
        <f>#REF!</f>
        <v>#REF!</v>
      </c>
      <c r="H5" s="6" t="e">
        <f>#REF!</f>
        <v>#REF!</v>
      </c>
      <c r="I5" s="6" t="e">
        <f>#REF!</f>
        <v>#REF!</v>
      </c>
      <c r="J5" s="6" t="e">
        <f>#REF!</f>
        <v>#REF!</v>
      </c>
      <c r="K5" s="6" t="e">
        <f>#REF!</f>
        <v>#REF!</v>
      </c>
      <c r="L5" s="6" t="e">
        <f>#REF!</f>
        <v>#REF!</v>
      </c>
      <c r="M5" s="6" t="e">
        <f>#REF!</f>
        <v>#REF!</v>
      </c>
      <c r="N5" s="6" t="e">
        <f>#REF!</f>
        <v>#REF!</v>
      </c>
      <c r="O5" s="6" t="e">
        <f>#REF!</f>
        <v>#REF!</v>
      </c>
      <c r="P5" s="6" t="e">
        <f>#REF!</f>
        <v>#REF!</v>
      </c>
      <c r="Q5" s="6" t="e">
        <f>#REF!</f>
        <v>#REF!</v>
      </c>
      <c r="R5" s="6" t="e">
        <f>#REF!</f>
        <v>#REF!</v>
      </c>
      <c r="S5" s="6" t="e">
        <f>#REF!</f>
        <v>#REF!</v>
      </c>
      <c r="T5" s="6" t="e">
        <f>#REF!</f>
        <v>#REF!</v>
      </c>
      <c r="U5" s="6" t="e">
        <f>#REF!</f>
        <v>#REF!</v>
      </c>
      <c r="V5" s="6" t="e">
        <f>#REF!</f>
        <v>#REF!</v>
      </c>
      <c r="W5" s="6" t="e">
        <f>#REF!</f>
        <v>#REF!</v>
      </c>
      <c r="X5" s="6" t="e">
        <f>#REF!</f>
        <v>#REF!</v>
      </c>
      <c r="Y5" s="6" t="e">
        <f>#REF!</f>
        <v>#REF!</v>
      </c>
      <c r="Z5" s="6" t="e">
        <f>#REF!</f>
        <v>#REF!</v>
      </c>
      <c r="AA5" s="6" t="e">
        <f>#REF!</f>
        <v>#REF!</v>
      </c>
      <c r="AB5" s="6" t="e">
        <f>#REF!</f>
        <v>#REF!</v>
      </c>
      <c r="AC5" s="6" t="e">
        <f>#REF!</f>
        <v>#REF!</v>
      </c>
      <c r="AD5" s="6" t="e">
        <f>#REF!</f>
        <v>#REF!</v>
      </c>
      <c r="AE5" s="6" t="e">
        <f>#REF!</f>
        <v>#REF!</v>
      </c>
      <c r="AF5" s="6" t="e">
        <f>#REF!</f>
        <v>#REF!</v>
      </c>
      <c r="AG5" s="6" t="e">
        <f>#REF!</f>
        <v>#REF!</v>
      </c>
      <c r="AH5" s="6" t="e">
        <f>#REF!</f>
        <v>#REF!</v>
      </c>
      <c r="AI5" s="6" t="e">
        <f>#REF!</f>
        <v>#REF!</v>
      </c>
      <c r="AJ5" s="6" t="e">
        <f>#REF!</f>
        <v>#REF!</v>
      </c>
      <c r="AK5" s="6" t="e">
        <f>#REF!</f>
        <v>#REF!</v>
      </c>
      <c r="AL5" s="6" t="e">
        <f>#REF!</f>
        <v>#REF!</v>
      </c>
    </row>
    <row r="6" spans="1:38" ht="15.75" thickBot="1" x14ac:dyDescent="0.3">
      <c r="A6" s="64" t="s">
        <v>2089</v>
      </c>
      <c r="B6" s="126" t="e">
        <f>VLOOKUP(A6,$A$2:$AL$285,MATCH('Character Sheet'!$BJ$3,$A$1:$AL$1,0),FALSE)</f>
        <v>#REF!</v>
      </c>
      <c r="C6" s="6" t="e">
        <f>#REF!</f>
        <v>#REF!</v>
      </c>
      <c r="D6" s="6" t="e">
        <f>#REF!</f>
        <v>#REF!</v>
      </c>
      <c r="E6" s="6" t="e">
        <f>#REF!</f>
        <v>#REF!</v>
      </c>
      <c r="F6" s="6" t="e">
        <f>#REF!</f>
        <v>#REF!</v>
      </c>
      <c r="G6" s="6" t="e">
        <f>#REF!</f>
        <v>#REF!</v>
      </c>
      <c r="H6" s="6" t="e">
        <f>#REF!</f>
        <v>#REF!</v>
      </c>
      <c r="I6" s="6" t="e">
        <f>#REF!</f>
        <v>#REF!</v>
      </c>
      <c r="J6" s="6" t="e">
        <f>#REF!</f>
        <v>#REF!</v>
      </c>
      <c r="K6" s="6" t="e">
        <f>#REF!</f>
        <v>#REF!</v>
      </c>
      <c r="L6" s="6" t="e">
        <f>#REF!</f>
        <v>#REF!</v>
      </c>
      <c r="M6" s="6" t="e">
        <f>#REF!</f>
        <v>#REF!</v>
      </c>
      <c r="N6" s="6" t="e">
        <f>#REF!</f>
        <v>#REF!</v>
      </c>
      <c r="O6" s="6" t="e">
        <f>#REF!</f>
        <v>#REF!</v>
      </c>
      <c r="P6" s="6" t="e">
        <f>#REF!</f>
        <v>#REF!</v>
      </c>
      <c r="Q6" s="6" t="e">
        <f>#REF!</f>
        <v>#REF!</v>
      </c>
      <c r="R6" s="6" t="e">
        <f>#REF!</f>
        <v>#REF!</v>
      </c>
      <c r="S6" s="6" t="e">
        <f>#REF!</f>
        <v>#REF!</v>
      </c>
      <c r="T6" s="6" t="e">
        <f>#REF!</f>
        <v>#REF!</v>
      </c>
      <c r="U6" s="6" t="e">
        <f>#REF!</f>
        <v>#REF!</v>
      </c>
      <c r="V6" s="6" t="e">
        <f>#REF!</f>
        <v>#REF!</v>
      </c>
      <c r="W6" s="6" t="e">
        <f>#REF!</f>
        <v>#REF!</v>
      </c>
      <c r="X6" s="6" t="e">
        <f>#REF!</f>
        <v>#REF!</v>
      </c>
      <c r="Y6" s="6" t="e">
        <f>#REF!</f>
        <v>#REF!</v>
      </c>
      <c r="Z6" s="6" t="e">
        <f>#REF!</f>
        <v>#REF!</v>
      </c>
      <c r="AA6" s="6" t="e">
        <f>#REF!</f>
        <v>#REF!</v>
      </c>
      <c r="AB6" s="6" t="e">
        <f>#REF!</f>
        <v>#REF!</v>
      </c>
      <c r="AC6" s="6" t="e">
        <f>#REF!</f>
        <v>#REF!</v>
      </c>
      <c r="AD6" s="6" t="e">
        <f>#REF!</f>
        <v>#REF!</v>
      </c>
      <c r="AE6" s="6" t="e">
        <f>#REF!</f>
        <v>#REF!</v>
      </c>
      <c r="AF6" s="6" t="e">
        <f>#REF!</f>
        <v>#REF!</v>
      </c>
      <c r="AG6" s="6" t="e">
        <f>#REF!</f>
        <v>#REF!</v>
      </c>
      <c r="AH6" s="6" t="e">
        <f>#REF!</f>
        <v>#REF!</v>
      </c>
      <c r="AI6" s="6" t="e">
        <f>#REF!</f>
        <v>#REF!</v>
      </c>
      <c r="AJ6" s="6" t="e">
        <f>#REF!</f>
        <v>#REF!</v>
      </c>
      <c r="AK6" s="6" t="e">
        <f>#REF!</f>
        <v>#REF!</v>
      </c>
      <c r="AL6" s="6" t="e">
        <f>#REF!</f>
        <v>#REF!</v>
      </c>
    </row>
    <row r="7" spans="1:38" s="59" customFormat="1" ht="16.5" thickTop="1" thickBot="1" x14ac:dyDescent="0.3">
      <c r="A7" s="63" t="s">
        <v>155</v>
      </c>
      <c r="B7" s="126" t="e">
        <f>VLOOKUP(A7,$A$2:$AL$285,MATCH('Character Sheet'!$BJ$3,$A$1:$AL$1,0),FALSE)</f>
        <v>#REF!</v>
      </c>
      <c r="C7" s="125" t="e">
        <f>#REF!</f>
        <v>#REF!</v>
      </c>
      <c r="D7" s="125" t="e">
        <f>#REF!</f>
        <v>#REF!</v>
      </c>
      <c r="E7" s="125" t="e">
        <f>#REF!</f>
        <v>#REF!</v>
      </c>
      <c r="F7" s="125" t="e">
        <f>#REF!</f>
        <v>#REF!</v>
      </c>
      <c r="G7" s="125" t="e">
        <f>#REF!</f>
        <v>#REF!</v>
      </c>
      <c r="H7" s="125" t="e">
        <f>#REF!</f>
        <v>#REF!</v>
      </c>
      <c r="I7" s="125" t="e">
        <f>#REF!</f>
        <v>#REF!</v>
      </c>
      <c r="J7" s="125" t="e">
        <f>#REF!</f>
        <v>#REF!</v>
      </c>
      <c r="K7" s="125" t="e">
        <f>#REF!</f>
        <v>#REF!</v>
      </c>
      <c r="L7" s="125" t="e">
        <f>#REF!</f>
        <v>#REF!</v>
      </c>
      <c r="M7" s="125" t="e">
        <f>#REF!</f>
        <v>#REF!</v>
      </c>
      <c r="N7" s="125" t="e">
        <f>#REF!</f>
        <v>#REF!</v>
      </c>
      <c r="O7" s="125" t="e">
        <f>#REF!</f>
        <v>#REF!</v>
      </c>
      <c r="P7" s="125" t="e">
        <f>#REF!</f>
        <v>#REF!</v>
      </c>
      <c r="Q7" s="125" t="e">
        <f>#REF!</f>
        <v>#REF!</v>
      </c>
      <c r="R7" s="125" t="e">
        <f>#REF!</f>
        <v>#REF!</v>
      </c>
      <c r="S7" s="125" t="e">
        <f>#REF!</f>
        <v>#REF!</v>
      </c>
      <c r="T7" s="125" t="e">
        <f>#REF!</f>
        <v>#REF!</v>
      </c>
      <c r="U7" s="125" t="e">
        <f>#REF!</f>
        <v>#REF!</v>
      </c>
      <c r="V7" s="125" t="e">
        <f>#REF!</f>
        <v>#REF!</v>
      </c>
      <c r="W7" s="125" t="e">
        <f>#REF!</f>
        <v>#REF!</v>
      </c>
      <c r="X7" s="125" t="e">
        <f>#REF!</f>
        <v>#REF!</v>
      </c>
      <c r="Y7" s="125" t="e">
        <f>#REF!</f>
        <v>#REF!</v>
      </c>
      <c r="Z7" s="125" t="e">
        <f>#REF!</f>
        <v>#REF!</v>
      </c>
      <c r="AA7" s="125" t="e">
        <f>#REF!</f>
        <v>#REF!</v>
      </c>
      <c r="AB7" s="125" t="e">
        <f>#REF!</f>
        <v>#REF!</v>
      </c>
      <c r="AC7" s="125" t="e">
        <f>#REF!</f>
        <v>#REF!</v>
      </c>
      <c r="AD7" s="125" t="e">
        <f>#REF!</f>
        <v>#REF!</v>
      </c>
      <c r="AE7" s="125" t="e">
        <f>#REF!</f>
        <v>#REF!</v>
      </c>
      <c r="AF7" s="125" t="e">
        <f>#REF!</f>
        <v>#REF!</v>
      </c>
      <c r="AG7" s="125" t="e">
        <f>#REF!</f>
        <v>#REF!</v>
      </c>
      <c r="AH7" s="125" t="e">
        <f>#REF!</f>
        <v>#REF!</v>
      </c>
      <c r="AI7" s="125" t="e">
        <f>#REF!</f>
        <v>#REF!</v>
      </c>
      <c r="AJ7" s="125" t="e">
        <f>#REF!</f>
        <v>#REF!</v>
      </c>
      <c r="AK7" s="125" t="e">
        <f>#REF!</f>
        <v>#REF!</v>
      </c>
      <c r="AL7" s="125" t="e">
        <f>#REF!</f>
        <v>#REF!</v>
      </c>
    </row>
    <row r="8" spans="1:38" ht="15.75" thickTop="1" x14ac:dyDescent="0.25">
      <c r="A8" s="64" t="s">
        <v>77</v>
      </c>
      <c r="B8" s="126" t="e">
        <f>VLOOKUP(A8,$A$2:$AL$285,MATCH('Character Sheet'!$BJ$3,$A$1:$AL$1,0),FALSE)</f>
        <v>#REF!</v>
      </c>
      <c r="C8" s="6" t="e">
        <f>#REF!</f>
        <v>#REF!</v>
      </c>
      <c r="D8" s="6" t="e">
        <f>#REF!</f>
        <v>#REF!</v>
      </c>
      <c r="E8" s="6" t="e">
        <f>#REF!</f>
        <v>#REF!</v>
      </c>
      <c r="F8" s="6" t="e">
        <f>#REF!</f>
        <v>#REF!</v>
      </c>
      <c r="G8" s="6" t="e">
        <f>#REF!</f>
        <v>#REF!</v>
      </c>
      <c r="H8" s="6" t="e">
        <f>#REF!</f>
        <v>#REF!</v>
      </c>
      <c r="I8" s="6" t="e">
        <f>#REF!</f>
        <v>#REF!</v>
      </c>
      <c r="J8" s="6" t="e">
        <f>#REF!</f>
        <v>#REF!</v>
      </c>
      <c r="K8" s="6" t="e">
        <f>#REF!</f>
        <v>#REF!</v>
      </c>
      <c r="L8" s="6" t="e">
        <f>#REF!</f>
        <v>#REF!</v>
      </c>
      <c r="M8" s="6" t="e">
        <f>#REF!</f>
        <v>#REF!</v>
      </c>
      <c r="N8" s="6" t="e">
        <f>#REF!</f>
        <v>#REF!</v>
      </c>
      <c r="O8" s="6" t="e">
        <f>#REF!</f>
        <v>#REF!</v>
      </c>
      <c r="P8" s="6" t="e">
        <f>#REF!</f>
        <v>#REF!</v>
      </c>
      <c r="Q8" s="6" t="e">
        <f>#REF!</f>
        <v>#REF!</v>
      </c>
      <c r="R8" s="6" t="e">
        <f>#REF!</f>
        <v>#REF!</v>
      </c>
      <c r="S8" s="6" t="e">
        <f>#REF!</f>
        <v>#REF!</v>
      </c>
      <c r="T8" s="6" t="e">
        <f>#REF!</f>
        <v>#REF!</v>
      </c>
      <c r="U8" s="6" t="e">
        <f>#REF!</f>
        <v>#REF!</v>
      </c>
      <c r="V8" s="6" t="e">
        <f>#REF!</f>
        <v>#REF!</v>
      </c>
      <c r="W8" s="6" t="e">
        <f>#REF!</f>
        <v>#REF!</v>
      </c>
      <c r="X8" s="6" t="e">
        <f>#REF!</f>
        <v>#REF!</v>
      </c>
      <c r="Y8" s="6" t="e">
        <f>#REF!</f>
        <v>#REF!</v>
      </c>
      <c r="Z8" s="6" t="e">
        <f>#REF!</f>
        <v>#REF!</v>
      </c>
      <c r="AA8" s="6" t="e">
        <f>#REF!</f>
        <v>#REF!</v>
      </c>
      <c r="AB8" s="6" t="e">
        <f>#REF!</f>
        <v>#REF!</v>
      </c>
      <c r="AC8" s="6" t="e">
        <f>#REF!</f>
        <v>#REF!</v>
      </c>
      <c r="AD8" s="6" t="e">
        <f>#REF!</f>
        <v>#REF!</v>
      </c>
      <c r="AE8" s="6" t="e">
        <f>#REF!</f>
        <v>#REF!</v>
      </c>
      <c r="AF8" s="6" t="e">
        <f>#REF!</f>
        <v>#REF!</v>
      </c>
      <c r="AG8" s="6" t="e">
        <f>#REF!</f>
        <v>#REF!</v>
      </c>
      <c r="AH8" s="6" t="e">
        <f>#REF!</f>
        <v>#REF!</v>
      </c>
      <c r="AI8" s="6" t="e">
        <f>#REF!</f>
        <v>#REF!</v>
      </c>
      <c r="AJ8" s="6" t="e">
        <f>#REF!</f>
        <v>#REF!</v>
      </c>
      <c r="AK8" s="6" t="e">
        <f>#REF!</f>
        <v>#REF!</v>
      </c>
      <c r="AL8" s="6" t="e">
        <f>#REF!</f>
        <v>#REF!</v>
      </c>
    </row>
    <row r="9" spans="1:38" ht="15.75" thickBot="1" x14ac:dyDescent="0.3">
      <c r="A9" s="64" t="s">
        <v>157</v>
      </c>
      <c r="B9" s="126" t="e">
        <f>VLOOKUP(A9,$A$2:$AL$285,MATCH('Character Sheet'!$BJ$3,$A$1:$AL$1,0),FALSE)</f>
        <v>#REF!</v>
      </c>
      <c r="C9" s="6" t="e">
        <f>#REF!</f>
        <v>#REF!</v>
      </c>
      <c r="D9" s="6" t="e">
        <f>#REF!</f>
        <v>#REF!</v>
      </c>
      <c r="E9" s="6" t="e">
        <f>#REF!</f>
        <v>#REF!</v>
      </c>
      <c r="F9" s="6" t="e">
        <f>#REF!</f>
        <v>#REF!</v>
      </c>
      <c r="G9" s="6" t="e">
        <f>#REF!</f>
        <v>#REF!</v>
      </c>
      <c r="H9" s="6" t="e">
        <f>#REF!</f>
        <v>#REF!</v>
      </c>
      <c r="I9" s="6" t="e">
        <f>#REF!</f>
        <v>#REF!</v>
      </c>
      <c r="J9" s="6" t="e">
        <f>#REF!</f>
        <v>#REF!</v>
      </c>
      <c r="K9" s="6" t="e">
        <f>#REF!</f>
        <v>#REF!</v>
      </c>
      <c r="L9" s="6" t="e">
        <f>#REF!</f>
        <v>#REF!</v>
      </c>
      <c r="M9" s="6" t="e">
        <f>#REF!</f>
        <v>#REF!</v>
      </c>
      <c r="N9" s="6" t="e">
        <f>#REF!</f>
        <v>#REF!</v>
      </c>
      <c r="O9" s="6" t="e">
        <f>#REF!</f>
        <v>#REF!</v>
      </c>
      <c r="P9" s="6" t="e">
        <f>#REF!</f>
        <v>#REF!</v>
      </c>
      <c r="Q9" s="6" t="e">
        <f>#REF!</f>
        <v>#REF!</v>
      </c>
      <c r="R9" s="6" t="e">
        <f>#REF!</f>
        <v>#REF!</v>
      </c>
      <c r="S9" s="6" t="e">
        <f>#REF!</f>
        <v>#REF!</v>
      </c>
      <c r="T9" s="6" t="e">
        <f>#REF!</f>
        <v>#REF!</v>
      </c>
      <c r="U9" s="6" t="e">
        <f>#REF!</f>
        <v>#REF!</v>
      </c>
      <c r="V9" s="6" t="e">
        <f>#REF!</f>
        <v>#REF!</v>
      </c>
      <c r="W9" s="6" t="e">
        <f>#REF!</f>
        <v>#REF!</v>
      </c>
      <c r="X9" s="6" t="e">
        <f>#REF!</f>
        <v>#REF!</v>
      </c>
      <c r="Y9" s="6" t="e">
        <f>#REF!</f>
        <v>#REF!</v>
      </c>
      <c r="Z9" s="6" t="e">
        <f>#REF!</f>
        <v>#REF!</v>
      </c>
      <c r="AA9" s="6" t="e">
        <f>#REF!</f>
        <v>#REF!</v>
      </c>
      <c r="AB9" s="6" t="e">
        <f>#REF!</f>
        <v>#REF!</v>
      </c>
      <c r="AC9" s="6" t="e">
        <f>#REF!</f>
        <v>#REF!</v>
      </c>
      <c r="AD9" s="6" t="e">
        <f>#REF!</f>
        <v>#REF!</v>
      </c>
      <c r="AE9" s="6" t="e">
        <f>#REF!</f>
        <v>#REF!</v>
      </c>
      <c r="AF9" s="6" t="e">
        <f>#REF!</f>
        <v>#REF!</v>
      </c>
      <c r="AG9" s="6" t="e">
        <f>#REF!</f>
        <v>#REF!</v>
      </c>
      <c r="AH9" s="6" t="e">
        <f>#REF!</f>
        <v>#REF!</v>
      </c>
      <c r="AI9" s="6" t="e">
        <f>#REF!</f>
        <v>#REF!</v>
      </c>
      <c r="AJ9" s="6" t="e">
        <f>#REF!</f>
        <v>#REF!</v>
      </c>
      <c r="AK9" s="6" t="e">
        <f>#REF!</f>
        <v>#REF!</v>
      </c>
      <c r="AL9" s="6" t="e">
        <f>#REF!</f>
        <v>#REF!</v>
      </c>
    </row>
    <row r="10" spans="1:38" s="59" customFormat="1" ht="16.5" thickTop="1" thickBot="1" x14ac:dyDescent="0.3">
      <c r="A10" s="63" t="s">
        <v>158</v>
      </c>
      <c r="B10" s="126" t="e">
        <f>VLOOKUP(A10,$A$2:$AL$285,MATCH('Character Sheet'!$BJ$3,$A$1:$AL$1,0),FALSE)</f>
        <v>#REF!</v>
      </c>
      <c r="C10" s="125" t="e">
        <f>#REF!</f>
        <v>#REF!</v>
      </c>
      <c r="D10" s="125" t="e">
        <f>#REF!</f>
        <v>#REF!</v>
      </c>
      <c r="E10" s="125" t="e">
        <f>#REF!</f>
        <v>#REF!</v>
      </c>
      <c r="F10" s="125" t="e">
        <f>#REF!</f>
        <v>#REF!</v>
      </c>
      <c r="G10" s="125" t="e">
        <f>#REF!</f>
        <v>#REF!</v>
      </c>
      <c r="H10" s="125" t="e">
        <f>#REF!</f>
        <v>#REF!</v>
      </c>
      <c r="I10" s="125" t="e">
        <f>#REF!</f>
        <v>#REF!</v>
      </c>
      <c r="J10" s="125" t="e">
        <f>#REF!</f>
        <v>#REF!</v>
      </c>
      <c r="K10" s="125" t="e">
        <f>#REF!</f>
        <v>#REF!</v>
      </c>
      <c r="L10" s="125" t="e">
        <f>#REF!</f>
        <v>#REF!</v>
      </c>
      <c r="M10" s="125" t="e">
        <f>#REF!</f>
        <v>#REF!</v>
      </c>
      <c r="N10" s="125" t="e">
        <f>#REF!</f>
        <v>#REF!</v>
      </c>
      <c r="O10" s="125" t="e">
        <f>#REF!</f>
        <v>#REF!</v>
      </c>
      <c r="P10" s="125" t="e">
        <f>#REF!</f>
        <v>#REF!</v>
      </c>
      <c r="Q10" s="125" t="e">
        <f>#REF!</f>
        <v>#REF!</v>
      </c>
      <c r="R10" s="125" t="e">
        <f>#REF!</f>
        <v>#REF!</v>
      </c>
      <c r="S10" s="125" t="e">
        <f>#REF!</f>
        <v>#REF!</v>
      </c>
      <c r="T10" s="125" t="e">
        <f>#REF!</f>
        <v>#REF!</v>
      </c>
      <c r="U10" s="125" t="e">
        <f>#REF!</f>
        <v>#REF!</v>
      </c>
      <c r="V10" s="125" t="e">
        <f>#REF!</f>
        <v>#REF!</v>
      </c>
      <c r="W10" s="125" t="e">
        <f>#REF!</f>
        <v>#REF!</v>
      </c>
      <c r="X10" s="125" t="e">
        <f>#REF!</f>
        <v>#REF!</v>
      </c>
      <c r="Y10" s="125" t="e">
        <f>#REF!</f>
        <v>#REF!</v>
      </c>
      <c r="Z10" s="125" t="e">
        <f>#REF!</f>
        <v>#REF!</v>
      </c>
      <c r="AA10" s="125" t="e">
        <f>#REF!</f>
        <v>#REF!</v>
      </c>
      <c r="AB10" s="125" t="e">
        <f>#REF!</f>
        <v>#REF!</v>
      </c>
      <c r="AC10" s="125" t="e">
        <f>#REF!</f>
        <v>#REF!</v>
      </c>
      <c r="AD10" s="125" t="e">
        <f>#REF!</f>
        <v>#REF!</v>
      </c>
      <c r="AE10" s="125" t="e">
        <f>#REF!</f>
        <v>#REF!</v>
      </c>
      <c r="AF10" s="125" t="e">
        <f>#REF!</f>
        <v>#REF!</v>
      </c>
      <c r="AG10" s="125" t="e">
        <f>#REF!</f>
        <v>#REF!</v>
      </c>
      <c r="AH10" s="125" t="e">
        <f>#REF!</f>
        <v>#REF!</v>
      </c>
      <c r="AI10" s="125" t="e">
        <f>#REF!</f>
        <v>#REF!</v>
      </c>
      <c r="AJ10" s="125" t="e">
        <f>#REF!</f>
        <v>#REF!</v>
      </c>
      <c r="AK10" s="125" t="e">
        <f>#REF!</f>
        <v>#REF!</v>
      </c>
      <c r="AL10" s="125" t="e">
        <f>#REF!</f>
        <v>#REF!</v>
      </c>
    </row>
    <row r="11" spans="1:38" ht="15.75" thickTop="1" x14ac:dyDescent="0.25">
      <c r="A11" s="64" t="s">
        <v>160</v>
      </c>
      <c r="B11" s="126" t="e">
        <f>VLOOKUP(A11,$A$2:$AL$285,MATCH('Character Sheet'!$BJ$3,$A$1:$AL$1,0),FALSE)</f>
        <v>#REF!</v>
      </c>
      <c r="C11" s="6" t="e">
        <f>#REF!</f>
        <v>#REF!</v>
      </c>
      <c r="D11" s="6" t="e">
        <f>#REF!</f>
        <v>#REF!</v>
      </c>
      <c r="E11" s="6" t="e">
        <f>#REF!</f>
        <v>#REF!</v>
      </c>
      <c r="F11" s="6" t="e">
        <f>#REF!</f>
        <v>#REF!</v>
      </c>
      <c r="G11" s="6" t="e">
        <f>#REF!</f>
        <v>#REF!</v>
      </c>
      <c r="H11" s="6" t="e">
        <f>#REF!</f>
        <v>#REF!</v>
      </c>
      <c r="I11" s="6" t="e">
        <f>#REF!</f>
        <v>#REF!</v>
      </c>
      <c r="J11" s="6" t="e">
        <f>#REF!</f>
        <v>#REF!</v>
      </c>
      <c r="K11" s="6" t="e">
        <f>#REF!</f>
        <v>#REF!</v>
      </c>
      <c r="L11" s="6" t="e">
        <f>#REF!</f>
        <v>#REF!</v>
      </c>
      <c r="M11" s="6" t="e">
        <f>#REF!</f>
        <v>#REF!</v>
      </c>
      <c r="N11" s="6" t="e">
        <f>#REF!</f>
        <v>#REF!</v>
      </c>
      <c r="O11" s="6" t="e">
        <f>#REF!</f>
        <v>#REF!</v>
      </c>
      <c r="P11" s="6" t="e">
        <f>#REF!</f>
        <v>#REF!</v>
      </c>
      <c r="Q11" s="6" t="e">
        <f>#REF!</f>
        <v>#REF!</v>
      </c>
      <c r="R11" s="6" t="e">
        <f>#REF!</f>
        <v>#REF!</v>
      </c>
      <c r="S11" s="6" t="e">
        <f>#REF!</f>
        <v>#REF!</v>
      </c>
      <c r="T11" s="6" t="e">
        <f>#REF!</f>
        <v>#REF!</v>
      </c>
      <c r="U11" s="6" t="e">
        <f>#REF!</f>
        <v>#REF!</v>
      </c>
      <c r="V11" s="6" t="e">
        <f>#REF!</f>
        <v>#REF!</v>
      </c>
      <c r="W11" s="6" t="e">
        <f>#REF!</f>
        <v>#REF!</v>
      </c>
      <c r="X11" s="6" t="e">
        <f>#REF!</f>
        <v>#REF!</v>
      </c>
      <c r="Y11" s="6" t="e">
        <f>#REF!</f>
        <v>#REF!</v>
      </c>
      <c r="Z11" s="6" t="e">
        <f>#REF!</f>
        <v>#REF!</v>
      </c>
      <c r="AA11" s="6" t="e">
        <f>#REF!</f>
        <v>#REF!</v>
      </c>
      <c r="AB11" s="6" t="e">
        <f>#REF!</f>
        <v>#REF!</v>
      </c>
      <c r="AC11" s="6" t="e">
        <f>#REF!</f>
        <v>#REF!</v>
      </c>
      <c r="AD11" s="6" t="e">
        <f>#REF!</f>
        <v>#REF!</v>
      </c>
      <c r="AE11" s="6" t="e">
        <f>#REF!</f>
        <v>#REF!</v>
      </c>
      <c r="AF11" s="6" t="e">
        <f>#REF!</f>
        <v>#REF!</v>
      </c>
      <c r="AG11" s="6" t="e">
        <f>#REF!</f>
        <v>#REF!</v>
      </c>
      <c r="AH11" s="6" t="e">
        <f>#REF!</f>
        <v>#REF!</v>
      </c>
      <c r="AI11" s="6" t="e">
        <f>#REF!</f>
        <v>#REF!</v>
      </c>
      <c r="AJ11" s="6" t="e">
        <f>#REF!</f>
        <v>#REF!</v>
      </c>
      <c r="AK11" s="6" t="e">
        <f>#REF!</f>
        <v>#REF!</v>
      </c>
      <c r="AL11" s="6" t="e">
        <f>#REF!</f>
        <v>#REF!</v>
      </c>
    </row>
    <row r="12" spans="1:38" x14ac:dyDescent="0.25">
      <c r="A12" s="64" t="s">
        <v>161</v>
      </c>
      <c r="B12" s="126" t="e">
        <f>VLOOKUP(A12,$A$2:$AL$285,MATCH('Character Sheet'!$BJ$3,$A$1:$AL$1,0),FALSE)</f>
        <v>#REF!</v>
      </c>
      <c r="C12" s="6" t="e">
        <f>#REF!</f>
        <v>#REF!</v>
      </c>
      <c r="D12" s="6" t="e">
        <f>#REF!</f>
        <v>#REF!</v>
      </c>
      <c r="E12" s="6" t="e">
        <f>#REF!</f>
        <v>#REF!</v>
      </c>
      <c r="F12" s="6" t="e">
        <f>#REF!</f>
        <v>#REF!</v>
      </c>
      <c r="G12" s="6" t="e">
        <f>#REF!</f>
        <v>#REF!</v>
      </c>
      <c r="H12" s="6" t="e">
        <f>#REF!</f>
        <v>#REF!</v>
      </c>
      <c r="I12" s="6" t="e">
        <f>#REF!</f>
        <v>#REF!</v>
      </c>
      <c r="J12" s="6" t="e">
        <f>#REF!</f>
        <v>#REF!</v>
      </c>
      <c r="K12" s="6" t="e">
        <f>#REF!</f>
        <v>#REF!</v>
      </c>
      <c r="L12" s="6" t="e">
        <f>#REF!</f>
        <v>#REF!</v>
      </c>
      <c r="M12" s="6" t="e">
        <f>#REF!</f>
        <v>#REF!</v>
      </c>
      <c r="N12" s="6" t="e">
        <f>#REF!</f>
        <v>#REF!</v>
      </c>
      <c r="O12" s="6" t="e">
        <f>#REF!</f>
        <v>#REF!</v>
      </c>
      <c r="P12" s="6" t="e">
        <f>#REF!</f>
        <v>#REF!</v>
      </c>
      <c r="Q12" s="6" t="e">
        <f>#REF!</f>
        <v>#REF!</v>
      </c>
      <c r="R12" s="6" t="e">
        <f>#REF!</f>
        <v>#REF!</v>
      </c>
      <c r="S12" s="6" t="e">
        <f>#REF!</f>
        <v>#REF!</v>
      </c>
      <c r="T12" s="6" t="e">
        <f>#REF!</f>
        <v>#REF!</v>
      </c>
      <c r="U12" s="6" t="e">
        <f>#REF!</f>
        <v>#REF!</v>
      </c>
      <c r="V12" s="6" t="e">
        <f>#REF!</f>
        <v>#REF!</v>
      </c>
      <c r="W12" s="6" t="e">
        <f>#REF!</f>
        <v>#REF!</v>
      </c>
      <c r="X12" s="6" t="e">
        <f>#REF!</f>
        <v>#REF!</v>
      </c>
      <c r="Y12" s="6" t="e">
        <f>#REF!</f>
        <v>#REF!</v>
      </c>
      <c r="Z12" s="6" t="e">
        <f>#REF!</f>
        <v>#REF!</v>
      </c>
      <c r="AA12" s="6" t="e">
        <f>#REF!</f>
        <v>#REF!</v>
      </c>
      <c r="AB12" s="6" t="e">
        <f>#REF!</f>
        <v>#REF!</v>
      </c>
      <c r="AC12" s="6" t="e">
        <f>#REF!</f>
        <v>#REF!</v>
      </c>
      <c r="AD12" s="6" t="e">
        <f>#REF!</f>
        <v>#REF!</v>
      </c>
      <c r="AE12" s="6" t="e">
        <f>#REF!</f>
        <v>#REF!</v>
      </c>
      <c r="AF12" s="6" t="e">
        <f>#REF!</f>
        <v>#REF!</v>
      </c>
      <c r="AG12" s="6" t="e">
        <f>#REF!</f>
        <v>#REF!</v>
      </c>
      <c r="AH12" s="6" t="e">
        <f>#REF!</f>
        <v>#REF!</v>
      </c>
      <c r="AI12" s="6" t="e">
        <f>#REF!</f>
        <v>#REF!</v>
      </c>
      <c r="AJ12" s="6" t="e">
        <f>#REF!</f>
        <v>#REF!</v>
      </c>
      <c r="AK12" s="6" t="e">
        <f>#REF!</f>
        <v>#REF!</v>
      </c>
      <c r="AL12" s="6" t="e">
        <f>#REF!</f>
        <v>#REF!</v>
      </c>
    </row>
    <row r="13" spans="1:38" x14ac:dyDescent="0.25">
      <c r="A13" s="64" t="s">
        <v>162</v>
      </c>
      <c r="B13" s="126" t="e">
        <f>VLOOKUP(A13,$A$2:$AL$285,MATCH('Character Sheet'!$BJ$3,$A$1:$AL$1,0),FALSE)</f>
        <v>#REF!</v>
      </c>
      <c r="C13" s="6" t="e">
        <f>#REF!</f>
        <v>#REF!</v>
      </c>
      <c r="D13" s="6" t="e">
        <f>#REF!</f>
        <v>#REF!</v>
      </c>
      <c r="E13" s="6" t="e">
        <f>#REF!</f>
        <v>#REF!</v>
      </c>
      <c r="F13" s="6" t="e">
        <f>#REF!</f>
        <v>#REF!</v>
      </c>
      <c r="G13" s="6" t="e">
        <f>#REF!</f>
        <v>#REF!</v>
      </c>
      <c r="H13" s="6" t="e">
        <f>#REF!</f>
        <v>#REF!</v>
      </c>
      <c r="I13" s="6" t="e">
        <f>#REF!</f>
        <v>#REF!</v>
      </c>
      <c r="J13" s="6" t="e">
        <f>#REF!</f>
        <v>#REF!</v>
      </c>
      <c r="K13" s="6" t="e">
        <f>#REF!</f>
        <v>#REF!</v>
      </c>
      <c r="L13" s="6" t="e">
        <f>#REF!</f>
        <v>#REF!</v>
      </c>
      <c r="M13" s="6" t="e">
        <f>#REF!</f>
        <v>#REF!</v>
      </c>
      <c r="N13" s="6" t="e">
        <f>#REF!</f>
        <v>#REF!</v>
      </c>
      <c r="O13" s="6" t="e">
        <f>#REF!</f>
        <v>#REF!</v>
      </c>
      <c r="P13" s="6" t="e">
        <f>#REF!</f>
        <v>#REF!</v>
      </c>
      <c r="Q13" s="6" t="e">
        <f>#REF!</f>
        <v>#REF!</v>
      </c>
      <c r="R13" s="6" t="e">
        <f>#REF!</f>
        <v>#REF!</v>
      </c>
      <c r="S13" s="6" t="e">
        <f>#REF!</f>
        <v>#REF!</v>
      </c>
      <c r="T13" s="6" t="e">
        <f>#REF!</f>
        <v>#REF!</v>
      </c>
      <c r="U13" s="6" t="e">
        <f>#REF!</f>
        <v>#REF!</v>
      </c>
      <c r="V13" s="6" t="e">
        <f>#REF!</f>
        <v>#REF!</v>
      </c>
      <c r="W13" s="6" t="e">
        <f>#REF!</f>
        <v>#REF!</v>
      </c>
      <c r="X13" s="6" t="e">
        <f>#REF!</f>
        <v>#REF!</v>
      </c>
      <c r="Y13" s="6" t="e">
        <f>#REF!</f>
        <v>#REF!</v>
      </c>
      <c r="Z13" s="6" t="e">
        <f>#REF!</f>
        <v>#REF!</v>
      </c>
      <c r="AA13" s="6" t="e">
        <f>#REF!</f>
        <v>#REF!</v>
      </c>
      <c r="AB13" s="6" t="e">
        <f>#REF!</f>
        <v>#REF!</v>
      </c>
      <c r="AC13" s="6" t="e">
        <f>#REF!</f>
        <v>#REF!</v>
      </c>
      <c r="AD13" s="6" t="e">
        <f>#REF!</f>
        <v>#REF!</v>
      </c>
      <c r="AE13" s="6" t="e">
        <f>#REF!</f>
        <v>#REF!</v>
      </c>
      <c r="AF13" s="6" t="e">
        <f>#REF!</f>
        <v>#REF!</v>
      </c>
      <c r="AG13" s="6" t="e">
        <f>#REF!</f>
        <v>#REF!</v>
      </c>
      <c r="AH13" s="6" t="e">
        <f>#REF!</f>
        <v>#REF!</v>
      </c>
      <c r="AI13" s="6" t="e">
        <f>#REF!</f>
        <v>#REF!</v>
      </c>
      <c r="AJ13" s="6" t="e">
        <f>#REF!</f>
        <v>#REF!</v>
      </c>
      <c r="AK13" s="6" t="e">
        <f>#REF!</f>
        <v>#REF!</v>
      </c>
      <c r="AL13" s="6" t="e">
        <f>#REF!</f>
        <v>#REF!</v>
      </c>
    </row>
    <row r="14" spans="1:38" x14ac:dyDescent="0.25">
      <c r="A14" s="64" t="s">
        <v>163</v>
      </c>
      <c r="B14" s="126" t="e">
        <f>VLOOKUP(A14,$A$2:$AL$285,MATCH('Character Sheet'!$BJ$3,$A$1:$AL$1,0),FALSE)</f>
        <v>#REF!</v>
      </c>
      <c r="C14" s="6" t="e">
        <f>#REF!</f>
        <v>#REF!</v>
      </c>
      <c r="D14" s="6" t="e">
        <f>#REF!</f>
        <v>#REF!</v>
      </c>
      <c r="E14" s="6" t="e">
        <f>#REF!</f>
        <v>#REF!</v>
      </c>
      <c r="F14" s="6" t="e">
        <f>#REF!</f>
        <v>#REF!</v>
      </c>
      <c r="G14" s="6" t="e">
        <f>#REF!</f>
        <v>#REF!</v>
      </c>
      <c r="H14" s="6" t="e">
        <f>#REF!</f>
        <v>#REF!</v>
      </c>
      <c r="I14" s="6" t="e">
        <f>#REF!</f>
        <v>#REF!</v>
      </c>
      <c r="J14" s="6" t="e">
        <f>#REF!</f>
        <v>#REF!</v>
      </c>
      <c r="K14" s="6" t="e">
        <f>#REF!</f>
        <v>#REF!</v>
      </c>
      <c r="L14" s="6" t="e">
        <f>#REF!</f>
        <v>#REF!</v>
      </c>
      <c r="M14" s="6" t="e">
        <f>#REF!</f>
        <v>#REF!</v>
      </c>
      <c r="N14" s="6" t="e">
        <f>#REF!</f>
        <v>#REF!</v>
      </c>
      <c r="O14" s="6" t="e">
        <f>#REF!</f>
        <v>#REF!</v>
      </c>
      <c r="P14" s="6" t="e">
        <f>#REF!</f>
        <v>#REF!</v>
      </c>
      <c r="Q14" s="6" t="e">
        <f>#REF!</f>
        <v>#REF!</v>
      </c>
      <c r="R14" s="6" t="e">
        <f>#REF!</f>
        <v>#REF!</v>
      </c>
      <c r="S14" s="6" t="e">
        <f>#REF!</f>
        <v>#REF!</v>
      </c>
      <c r="T14" s="6" t="e">
        <f>#REF!</f>
        <v>#REF!</v>
      </c>
      <c r="U14" s="6" t="e">
        <f>#REF!</f>
        <v>#REF!</v>
      </c>
      <c r="V14" s="6" t="e">
        <f>#REF!</f>
        <v>#REF!</v>
      </c>
      <c r="W14" s="6" t="e">
        <f>#REF!</f>
        <v>#REF!</v>
      </c>
      <c r="X14" s="6" t="e">
        <f>#REF!</f>
        <v>#REF!</v>
      </c>
      <c r="Y14" s="6" t="e">
        <f>#REF!</f>
        <v>#REF!</v>
      </c>
      <c r="Z14" s="6" t="e">
        <f>#REF!</f>
        <v>#REF!</v>
      </c>
      <c r="AA14" s="6" t="e">
        <f>#REF!</f>
        <v>#REF!</v>
      </c>
      <c r="AB14" s="6" t="e">
        <f>#REF!</f>
        <v>#REF!</v>
      </c>
      <c r="AC14" s="6" t="e">
        <f>#REF!</f>
        <v>#REF!</v>
      </c>
      <c r="AD14" s="6" t="e">
        <f>#REF!</f>
        <v>#REF!</v>
      </c>
      <c r="AE14" s="6" t="e">
        <f>#REF!</f>
        <v>#REF!</v>
      </c>
      <c r="AF14" s="6" t="e">
        <f>#REF!</f>
        <v>#REF!</v>
      </c>
      <c r="AG14" s="6" t="e">
        <f>#REF!</f>
        <v>#REF!</v>
      </c>
      <c r="AH14" s="6" t="e">
        <f>#REF!</f>
        <v>#REF!</v>
      </c>
      <c r="AI14" s="6" t="e">
        <f>#REF!</f>
        <v>#REF!</v>
      </c>
      <c r="AJ14" s="6" t="e">
        <f>#REF!</f>
        <v>#REF!</v>
      </c>
      <c r="AK14" s="6" t="e">
        <f>#REF!</f>
        <v>#REF!</v>
      </c>
      <c r="AL14" s="6" t="e">
        <f>#REF!</f>
        <v>#REF!</v>
      </c>
    </row>
    <row r="15" spans="1:38" ht="15.75" thickBot="1" x14ac:dyDescent="0.3">
      <c r="A15" s="64" t="s">
        <v>164</v>
      </c>
      <c r="B15" s="126" t="e">
        <f>VLOOKUP(A15,$A$2:$AL$285,MATCH('Character Sheet'!$BJ$3,$A$1:$AL$1,0),FALSE)</f>
        <v>#REF!</v>
      </c>
      <c r="C15" s="6" t="e">
        <f>#REF!</f>
        <v>#REF!</v>
      </c>
      <c r="D15" s="6" t="e">
        <f>#REF!</f>
        <v>#REF!</v>
      </c>
      <c r="E15" s="6" t="e">
        <f>#REF!</f>
        <v>#REF!</v>
      </c>
      <c r="F15" s="6" t="e">
        <f>#REF!</f>
        <v>#REF!</v>
      </c>
      <c r="G15" s="6" t="e">
        <f>#REF!</f>
        <v>#REF!</v>
      </c>
      <c r="H15" s="6" t="e">
        <f>#REF!</f>
        <v>#REF!</v>
      </c>
      <c r="I15" s="6" t="e">
        <f>#REF!</f>
        <v>#REF!</v>
      </c>
      <c r="J15" s="6" t="e">
        <f>#REF!</f>
        <v>#REF!</v>
      </c>
      <c r="K15" s="6" t="e">
        <f>#REF!</f>
        <v>#REF!</v>
      </c>
      <c r="L15" s="6" t="e">
        <f>#REF!</f>
        <v>#REF!</v>
      </c>
      <c r="M15" s="6" t="e">
        <f>#REF!</f>
        <v>#REF!</v>
      </c>
      <c r="N15" s="6" t="e">
        <f>#REF!</f>
        <v>#REF!</v>
      </c>
      <c r="O15" s="6" t="e">
        <f>#REF!</f>
        <v>#REF!</v>
      </c>
      <c r="P15" s="6" t="e">
        <f>#REF!</f>
        <v>#REF!</v>
      </c>
      <c r="Q15" s="6" t="e">
        <f>#REF!</f>
        <v>#REF!</v>
      </c>
      <c r="R15" s="6" t="e">
        <f>#REF!</f>
        <v>#REF!</v>
      </c>
      <c r="S15" s="6" t="e">
        <f>#REF!</f>
        <v>#REF!</v>
      </c>
      <c r="T15" s="6" t="e">
        <f>#REF!</f>
        <v>#REF!</v>
      </c>
      <c r="U15" s="6" t="e">
        <f>#REF!</f>
        <v>#REF!</v>
      </c>
      <c r="V15" s="6" t="e">
        <f>#REF!</f>
        <v>#REF!</v>
      </c>
      <c r="W15" s="6" t="e">
        <f>#REF!</f>
        <v>#REF!</v>
      </c>
      <c r="X15" s="6" t="e">
        <f>#REF!</f>
        <v>#REF!</v>
      </c>
      <c r="Y15" s="6" t="e">
        <f>#REF!</f>
        <v>#REF!</v>
      </c>
      <c r="Z15" s="6" t="e">
        <f>#REF!</f>
        <v>#REF!</v>
      </c>
      <c r="AA15" s="6" t="e">
        <f>#REF!</f>
        <v>#REF!</v>
      </c>
      <c r="AB15" s="6" t="e">
        <f>#REF!</f>
        <v>#REF!</v>
      </c>
      <c r="AC15" s="6" t="e">
        <f>#REF!</f>
        <v>#REF!</v>
      </c>
      <c r="AD15" s="6" t="e">
        <f>#REF!</f>
        <v>#REF!</v>
      </c>
      <c r="AE15" s="6" t="e">
        <f>#REF!</f>
        <v>#REF!</v>
      </c>
      <c r="AF15" s="6" t="e">
        <f>#REF!</f>
        <v>#REF!</v>
      </c>
      <c r="AG15" s="6" t="e">
        <f>#REF!</f>
        <v>#REF!</v>
      </c>
      <c r="AH15" s="6" t="e">
        <f>#REF!</f>
        <v>#REF!</v>
      </c>
      <c r="AI15" s="6" t="e">
        <f>#REF!</f>
        <v>#REF!</v>
      </c>
      <c r="AJ15" s="6" t="e">
        <f>#REF!</f>
        <v>#REF!</v>
      </c>
      <c r="AK15" s="6" t="e">
        <f>#REF!</f>
        <v>#REF!</v>
      </c>
      <c r="AL15" s="6" t="e">
        <f>#REF!</f>
        <v>#REF!</v>
      </c>
    </row>
    <row r="16" spans="1:38" ht="16.5" thickTop="1" thickBot="1" x14ac:dyDescent="0.3">
      <c r="A16" s="63" t="s">
        <v>165</v>
      </c>
      <c r="B16" s="126" t="e">
        <f>VLOOKUP(A16,$A$2:$AL$285,MATCH('Character Sheet'!$BJ$3,$A$1:$AL$1,0),FALSE)</f>
        <v>#REF!</v>
      </c>
      <c r="C16" s="6" t="e">
        <f>#REF!</f>
        <v>#REF!</v>
      </c>
      <c r="D16" s="6" t="e">
        <f>#REF!</f>
        <v>#REF!</v>
      </c>
      <c r="E16" s="6" t="e">
        <f>#REF!</f>
        <v>#REF!</v>
      </c>
      <c r="F16" s="6" t="e">
        <f>#REF!</f>
        <v>#REF!</v>
      </c>
      <c r="G16" s="6" t="e">
        <f>#REF!</f>
        <v>#REF!</v>
      </c>
      <c r="H16" s="6" t="e">
        <f>#REF!</f>
        <v>#REF!</v>
      </c>
      <c r="I16" s="6" t="e">
        <f>#REF!</f>
        <v>#REF!</v>
      </c>
      <c r="J16" s="6" t="e">
        <f>#REF!</f>
        <v>#REF!</v>
      </c>
      <c r="K16" s="6" t="e">
        <f>#REF!</f>
        <v>#REF!</v>
      </c>
      <c r="L16" s="6" t="e">
        <f>#REF!</f>
        <v>#REF!</v>
      </c>
      <c r="M16" s="6" t="e">
        <f>#REF!</f>
        <v>#REF!</v>
      </c>
      <c r="N16" s="6" t="e">
        <f>#REF!</f>
        <v>#REF!</v>
      </c>
      <c r="O16" s="6" t="e">
        <f>#REF!</f>
        <v>#REF!</v>
      </c>
      <c r="P16" s="6" t="e">
        <f>#REF!</f>
        <v>#REF!</v>
      </c>
      <c r="Q16" s="6" t="e">
        <f>#REF!</f>
        <v>#REF!</v>
      </c>
      <c r="R16" s="6" t="e">
        <f>#REF!</f>
        <v>#REF!</v>
      </c>
      <c r="S16" s="6" t="e">
        <f>#REF!</f>
        <v>#REF!</v>
      </c>
      <c r="T16" s="6" t="e">
        <f>#REF!</f>
        <v>#REF!</v>
      </c>
      <c r="U16" s="6" t="e">
        <f>#REF!</f>
        <v>#REF!</v>
      </c>
      <c r="V16" s="6" t="e">
        <f>#REF!</f>
        <v>#REF!</v>
      </c>
      <c r="W16" s="6" t="e">
        <f>#REF!</f>
        <v>#REF!</v>
      </c>
      <c r="X16" s="6" t="e">
        <f>#REF!</f>
        <v>#REF!</v>
      </c>
      <c r="Y16" s="6" t="e">
        <f>#REF!</f>
        <v>#REF!</v>
      </c>
      <c r="Z16" s="6" t="e">
        <f>#REF!</f>
        <v>#REF!</v>
      </c>
      <c r="AA16" s="6" t="e">
        <f>#REF!</f>
        <v>#REF!</v>
      </c>
      <c r="AB16" s="6" t="e">
        <f>#REF!</f>
        <v>#REF!</v>
      </c>
      <c r="AC16" s="6" t="e">
        <f>#REF!</f>
        <v>#REF!</v>
      </c>
      <c r="AD16" s="6" t="e">
        <f>#REF!</f>
        <v>#REF!</v>
      </c>
      <c r="AE16" s="6" t="e">
        <f>#REF!</f>
        <v>#REF!</v>
      </c>
      <c r="AF16" s="6" t="e">
        <f>#REF!</f>
        <v>#REF!</v>
      </c>
      <c r="AG16" s="6" t="e">
        <f>#REF!</f>
        <v>#REF!</v>
      </c>
      <c r="AH16" s="6" t="e">
        <f>#REF!</f>
        <v>#REF!</v>
      </c>
      <c r="AI16" s="6" t="e">
        <f>#REF!</f>
        <v>#REF!</v>
      </c>
      <c r="AJ16" s="6" t="e">
        <f>#REF!</f>
        <v>#REF!</v>
      </c>
      <c r="AK16" s="6" t="e">
        <f>#REF!</f>
        <v>#REF!</v>
      </c>
      <c r="AL16" s="6" t="e">
        <f>#REF!</f>
        <v>#REF!</v>
      </c>
    </row>
    <row r="17" spans="1:38" ht="15.75" thickTop="1" x14ac:dyDescent="0.25">
      <c r="A17" s="64" t="s">
        <v>166</v>
      </c>
      <c r="B17" s="126" t="e">
        <f>VLOOKUP(A17,$A$2:$AL$285,MATCH('Character Sheet'!$BJ$3,$A$1:$AL$1,0),FALSE)</f>
        <v>#REF!</v>
      </c>
      <c r="C17" s="6" t="e">
        <f>#REF!</f>
        <v>#REF!</v>
      </c>
      <c r="D17" s="6" t="e">
        <f>#REF!</f>
        <v>#REF!</v>
      </c>
      <c r="E17" s="6" t="e">
        <f>#REF!</f>
        <v>#REF!</v>
      </c>
      <c r="F17" s="6" t="e">
        <f>#REF!</f>
        <v>#REF!</v>
      </c>
      <c r="G17" s="6" t="e">
        <f>#REF!</f>
        <v>#REF!</v>
      </c>
      <c r="H17" s="6" t="e">
        <f>#REF!</f>
        <v>#REF!</v>
      </c>
      <c r="I17" s="6" t="e">
        <f>#REF!</f>
        <v>#REF!</v>
      </c>
      <c r="J17" s="6" t="e">
        <f>#REF!</f>
        <v>#REF!</v>
      </c>
      <c r="K17" s="6" t="e">
        <f>#REF!</f>
        <v>#REF!</v>
      </c>
      <c r="L17" s="6" t="e">
        <f>#REF!</f>
        <v>#REF!</v>
      </c>
      <c r="M17" s="6" t="e">
        <f>#REF!</f>
        <v>#REF!</v>
      </c>
      <c r="N17" s="6" t="e">
        <f>#REF!</f>
        <v>#REF!</v>
      </c>
      <c r="O17" s="6" t="e">
        <f>#REF!</f>
        <v>#REF!</v>
      </c>
      <c r="P17" s="6" t="e">
        <f>#REF!</f>
        <v>#REF!</v>
      </c>
      <c r="Q17" s="6" t="e">
        <f>#REF!</f>
        <v>#REF!</v>
      </c>
      <c r="R17" s="6" t="e">
        <f>#REF!</f>
        <v>#REF!</v>
      </c>
      <c r="S17" s="6" t="e">
        <f>#REF!</f>
        <v>#REF!</v>
      </c>
      <c r="T17" s="6" t="e">
        <f>#REF!</f>
        <v>#REF!</v>
      </c>
      <c r="U17" s="6" t="e">
        <f>#REF!</f>
        <v>#REF!</v>
      </c>
      <c r="V17" s="6" t="e">
        <f>#REF!</f>
        <v>#REF!</v>
      </c>
      <c r="W17" s="6" t="e">
        <f>#REF!</f>
        <v>#REF!</v>
      </c>
      <c r="X17" s="6" t="e">
        <f>#REF!</f>
        <v>#REF!</v>
      </c>
      <c r="Y17" s="6" t="e">
        <f>#REF!</f>
        <v>#REF!</v>
      </c>
      <c r="Z17" s="6" t="e">
        <f>#REF!</f>
        <v>#REF!</v>
      </c>
      <c r="AA17" s="6" t="e">
        <f>#REF!</f>
        <v>#REF!</v>
      </c>
      <c r="AB17" s="6" t="e">
        <f>#REF!</f>
        <v>#REF!</v>
      </c>
      <c r="AC17" s="6" t="e">
        <f>#REF!</f>
        <v>#REF!</v>
      </c>
      <c r="AD17" s="6" t="e">
        <f>#REF!</f>
        <v>#REF!</v>
      </c>
      <c r="AE17" s="6" t="e">
        <f>#REF!</f>
        <v>#REF!</v>
      </c>
      <c r="AF17" s="6" t="e">
        <f>#REF!</f>
        <v>#REF!</v>
      </c>
      <c r="AG17" s="6" t="e">
        <f>#REF!</f>
        <v>#REF!</v>
      </c>
      <c r="AH17" s="6" t="e">
        <f>#REF!</f>
        <v>#REF!</v>
      </c>
      <c r="AI17" s="6" t="e">
        <f>#REF!</f>
        <v>#REF!</v>
      </c>
      <c r="AJ17" s="6" t="e">
        <f>#REF!</f>
        <v>#REF!</v>
      </c>
      <c r="AK17" s="6" t="e">
        <f>#REF!</f>
        <v>#REF!</v>
      </c>
      <c r="AL17" s="6" t="e">
        <f>#REF!</f>
        <v>#REF!</v>
      </c>
    </row>
    <row r="18" spans="1:38" x14ac:dyDescent="0.25">
      <c r="A18" s="64" t="s">
        <v>167</v>
      </c>
      <c r="B18" s="126" t="e">
        <f>VLOOKUP(A18,$A$2:$AL$285,MATCH('Character Sheet'!$BJ$3,$A$1:$AL$1,0),FALSE)</f>
        <v>#REF!</v>
      </c>
      <c r="C18" s="6" t="e">
        <f>#REF!</f>
        <v>#REF!</v>
      </c>
      <c r="D18" s="6" t="e">
        <f>#REF!</f>
        <v>#REF!</v>
      </c>
      <c r="E18" s="6" t="e">
        <f>#REF!</f>
        <v>#REF!</v>
      </c>
      <c r="F18" s="6" t="e">
        <f>#REF!</f>
        <v>#REF!</v>
      </c>
      <c r="G18" s="6" t="e">
        <f>#REF!</f>
        <v>#REF!</v>
      </c>
      <c r="H18" s="6" t="e">
        <f>#REF!</f>
        <v>#REF!</v>
      </c>
      <c r="I18" s="6" t="e">
        <f>#REF!</f>
        <v>#REF!</v>
      </c>
      <c r="J18" s="6" t="e">
        <f>#REF!</f>
        <v>#REF!</v>
      </c>
      <c r="K18" s="6" t="e">
        <f>#REF!</f>
        <v>#REF!</v>
      </c>
      <c r="L18" s="6" t="e">
        <f>#REF!</f>
        <v>#REF!</v>
      </c>
      <c r="M18" s="6" t="e">
        <f>#REF!</f>
        <v>#REF!</v>
      </c>
      <c r="N18" s="6" t="e">
        <f>#REF!</f>
        <v>#REF!</v>
      </c>
      <c r="O18" s="6" t="e">
        <f>#REF!</f>
        <v>#REF!</v>
      </c>
      <c r="P18" s="6" t="e">
        <f>#REF!</f>
        <v>#REF!</v>
      </c>
      <c r="Q18" s="6" t="e">
        <f>#REF!</f>
        <v>#REF!</v>
      </c>
      <c r="R18" s="6" t="e">
        <f>#REF!</f>
        <v>#REF!</v>
      </c>
      <c r="S18" s="6" t="e">
        <f>#REF!</f>
        <v>#REF!</v>
      </c>
      <c r="T18" s="6" t="e">
        <f>#REF!</f>
        <v>#REF!</v>
      </c>
      <c r="U18" s="6" t="e">
        <f>#REF!</f>
        <v>#REF!</v>
      </c>
      <c r="V18" s="6" t="e">
        <f>#REF!</f>
        <v>#REF!</v>
      </c>
      <c r="W18" s="6" t="e">
        <f>#REF!</f>
        <v>#REF!</v>
      </c>
      <c r="X18" s="6" t="e">
        <f>#REF!</f>
        <v>#REF!</v>
      </c>
      <c r="Y18" s="6" t="e">
        <f>#REF!</f>
        <v>#REF!</v>
      </c>
      <c r="Z18" s="6" t="e">
        <f>#REF!</f>
        <v>#REF!</v>
      </c>
      <c r="AA18" s="6" t="e">
        <f>#REF!</f>
        <v>#REF!</v>
      </c>
      <c r="AB18" s="6" t="e">
        <f>#REF!</f>
        <v>#REF!</v>
      </c>
      <c r="AC18" s="6" t="e">
        <f>#REF!</f>
        <v>#REF!</v>
      </c>
      <c r="AD18" s="6" t="e">
        <f>#REF!</f>
        <v>#REF!</v>
      </c>
      <c r="AE18" s="6" t="e">
        <f>#REF!</f>
        <v>#REF!</v>
      </c>
      <c r="AF18" s="6" t="e">
        <f>#REF!</f>
        <v>#REF!</v>
      </c>
      <c r="AG18" s="6" t="e">
        <f>#REF!</f>
        <v>#REF!</v>
      </c>
      <c r="AH18" s="6" t="e">
        <f>#REF!</f>
        <v>#REF!</v>
      </c>
      <c r="AI18" s="6" t="e">
        <f>#REF!</f>
        <v>#REF!</v>
      </c>
      <c r="AJ18" s="6" t="e">
        <f>#REF!</f>
        <v>#REF!</v>
      </c>
      <c r="AK18" s="6" t="e">
        <f>#REF!</f>
        <v>#REF!</v>
      </c>
      <c r="AL18" s="6" t="e">
        <f>#REF!</f>
        <v>#REF!</v>
      </c>
    </row>
    <row r="19" spans="1:38" x14ac:dyDescent="0.25">
      <c r="A19" s="64" t="s">
        <v>168</v>
      </c>
      <c r="B19" s="126" t="e">
        <f>VLOOKUP(A19,$A$2:$AL$285,MATCH('Character Sheet'!$BJ$3,$A$1:$AL$1,0),FALSE)</f>
        <v>#REF!</v>
      </c>
      <c r="C19" s="6" t="e">
        <f>#REF!</f>
        <v>#REF!</v>
      </c>
      <c r="D19" s="6" t="e">
        <f>#REF!</f>
        <v>#REF!</v>
      </c>
      <c r="E19" s="6" t="e">
        <f>#REF!</f>
        <v>#REF!</v>
      </c>
      <c r="F19" s="6" t="e">
        <f>#REF!</f>
        <v>#REF!</v>
      </c>
      <c r="G19" s="6" t="e">
        <f>#REF!</f>
        <v>#REF!</v>
      </c>
      <c r="H19" s="6" t="e">
        <f>#REF!</f>
        <v>#REF!</v>
      </c>
      <c r="I19" s="6" t="e">
        <f>#REF!</f>
        <v>#REF!</v>
      </c>
      <c r="J19" s="6" t="e">
        <f>#REF!</f>
        <v>#REF!</v>
      </c>
      <c r="K19" s="6" t="e">
        <f>#REF!</f>
        <v>#REF!</v>
      </c>
      <c r="L19" s="6" t="e">
        <f>#REF!</f>
        <v>#REF!</v>
      </c>
      <c r="M19" s="6" t="e">
        <f>#REF!</f>
        <v>#REF!</v>
      </c>
      <c r="N19" s="6" t="e">
        <f>#REF!</f>
        <v>#REF!</v>
      </c>
      <c r="O19" s="6" t="e">
        <f>#REF!</f>
        <v>#REF!</v>
      </c>
      <c r="P19" s="6" t="e">
        <f>#REF!</f>
        <v>#REF!</v>
      </c>
      <c r="Q19" s="6" t="e">
        <f>#REF!</f>
        <v>#REF!</v>
      </c>
      <c r="R19" s="6" t="e">
        <f>#REF!</f>
        <v>#REF!</v>
      </c>
      <c r="S19" s="6" t="e">
        <f>#REF!</f>
        <v>#REF!</v>
      </c>
      <c r="T19" s="6" t="e">
        <f>#REF!</f>
        <v>#REF!</v>
      </c>
      <c r="U19" s="6" t="e">
        <f>#REF!</f>
        <v>#REF!</v>
      </c>
      <c r="V19" s="6" t="e">
        <f>#REF!</f>
        <v>#REF!</v>
      </c>
      <c r="W19" s="6" t="e">
        <f>#REF!</f>
        <v>#REF!</v>
      </c>
      <c r="X19" s="6" t="e">
        <f>#REF!</f>
        <v>#REF!</v>
      </c>
      <c r="Y19" s="6" t="e">
        <f>#REF!</f>
        <v>#REF!</v>
      </c>
      <c r="Z19" s="6" t="e">
        <f>#REF!</f>
        <v>#REF!</v>
      </c>
      <c r="AA19" s="6" t="e">
        <f>#REF!</f>
        <v>#REF!</v>
      </c>
      <c r="AB19" s="6" t="e">
        <f>#REF!</f>
        <v>#REF!</v>
      </c>
      <c r="AC19" s="6" t="e">
        <f>#REF!</f>
        <v>#REF!</v>
      </c>
      <c r="AD19" s="6" t="e">
        <f>#REF!</f>
        <v>#REF!</v>
      </c>
      <c r="AE19" s="6" t="e">
        <f>#REF!</f>
        <v>#REF!</v>
      </c>
      <c r="AF19" s="6" t="e">
        <f>#REF!</f>
        <v>#REF!</v>
      </c>
      <c r="AG19" s="6" t="e">
        <f>#REF!</f>
        <v>#REF!</v>
      </c>
      <c r="AH19" s="6" t="e">
        <f>#REF!</f>
        <v>#REF!</v>
      </c>
      <c r="AI19" s="6" t="e">
        <f>#REF!</f>
        <v>#REF!</v>
      </c>
      <c r="AJ19" s="6" t="e">
        <f>#REF!</f>
        <v>#REF!</v>
      </c>
      <c r="AK19" s="6" t="e">
        <f>#REF!</f>
        <v>#REF!</v>
      </c>
      <c r="AL19" s="6" t="e">
        <f>#REF!</f>
        <v>#REF!</v>
      </c>
    </row>
    <row r="20" spans="1:38" x14ac:dyDescent="0.25">
      <c r="A20" s="64" t="s">
        <v>169</v>
      </c>
      <c r="B20" s="126" t="e">
        <f>VLOOKUP(A20,$A$2:$AL$285,MATCH('Character Sheet'!$BJ$3,$A$1:$AL$1,0),FALSE)</f>
        <v>#REF!</v>
      </c>
      <c r="C20" s="6" t="e">
        <f>#REF!</f>
        <v>#REF!</v>
      </c>
      <c r="D20" s="6" t="e">
        <f>#REF!</f>
        <v>#REF!</v>
      </c>
      <c r="E20" s="6" t="e">
        <f>#REF!</f>
        <v>#REF!</v>
      </c>
      <c r="F20" s="6" t="e">
        <f>#REF!</f>
        <v>#REF!</v>
      </c>
      <c r="G20" s="6" t="e">
        <f>#REF!</f>
        <v>#REF!</v>
      </c>
      <c r="H20" s="6" t="e">
        <f>#REF!</f>
        <v>#REF!</v>
      </c>
      <c r="I20" s="6" t="e">
        <f>#REF!</f>
        <v>#REF!</v>
      </c>
      <c r="J20" s="6" t="e">
        <f>#REF!</f>
        <v>#REF!</v>
      </c>
      <c r="K20" s="6" t="e">
        <f>#REF!</f>
        <v>#REF!</v>
      </c>
      <c r="L20" s="6" t="e">
        <f>#REF!</f>
        <v>#REF!</v>
      </c>
      <c r="M20" s="6" t="e">
        <f>#REF!</f>
        <v>#REF!</v>
      </c>
      <c r="N20" s="6" t="e">
        <f>#REF!</f>
        <v>#REF!</v>
      </c>
      <c r="O20" s="6" t="e">
        <f>#REF!</f>
        <v>#REF!</v>
      </c>
      <c r="P20" s="6" t="e">
        <f>#REF!</f>
        <v>#REF!</v>
      </c>
      <c r="Q20" s="6" t="e">
        <f>#REF!</f>
        <v>#REF!</v>
      </c>
      <c r="R20" s="6" t="e">
        <f>#REF!</f>
        <v>#REF!</v>
      </c>
      <c r="S20" s="6" t="e">
        <f>#REF!</f>
        <v>#REF!</v>
      </c>
      <c r="T20" s="6" t="e">
        <f>#REF!</f>
        <v>#REF!</v>
      </c>
      <c r="U20" s="6" t="e">
        <f>#REF!</f>
        <v>#REF!</v>
      </c>
      <c r="V20" s="6" t="e">
        <f>#REF!</f>
        <v>#REF!</v>
      </c>
      <c r="W20" s="6" t="e">
        <f>#REF!</f>
        <v>#REF!</v>
      </c>
      <c r="X20" s="6" t="e">
        <f>#REF!</f>
        <v>#REF!</v>
      </c>
      <c r="Y20" s="6" t="e">
        <f>#REF!</f>
        <v>#REF!</v>
      </c>
      <c r="Z20" s="6" t="e">
        <f>#REF!</f>
        <v>#REF!</v>
      </c>
      <c r="AA20" s="6" t="e">
        <f>#REF!</f>
        <v>#REF!</v>
      </c>
      <c r="AB20" s="6" t="e">
        <f>#REF!</f>
        <v>#REF!</v>
      </c>
      <c r="AC20" s="6" t="e">
        <f>#REF!</f>
        <v>#REF!</v>
      </c>
      <c r="AD20" s="6" t="e">
        <f>#REF!</f>
        <v>#REF!</v>
      </c>
      <c r="AE20" s="6" t="e">
        <f>#REF!</f>
        <v>#REF!</v>
      </c>
      <c r="AF20" s="6" t="e">
        <f>#REF!</f>
        <v>#REF!</v>
      </c>
      <c r="AG20" s="6" t="e">
        <f>#REF!</f>
        <v>#REF!</v>
      </c>
      <c r="AH20" s="6" t="e">
        <f>#REF!</f>
        <v>#REF!</v>
      </c>
      <c r="AI20" s="6" t="e">
        <f>#REF!</f>
        <v>#REF!</v>
      </c>
      <c r="AJ20" s="6" t="e">
        <f>#REF!</f>
        <v>#REF!</v>
      </c>
      <c r="AK20" s="6" t="e">
        <f>#REF!</f>
        <v>#REF!</v>
      </c>
      <c r="AL20" s="6" t="e">
        <f>#REF!</f>
        <v>#REF!</v>
      </c>
    </row>
    <row r="21" spans="1:38" ht="15.75" thickBot="1" x14ac:dyDescent="0.3">
      <c r="A21" s="64" t="s">
        <v>2051</v>
      </c>
      <c r="B21" s="126" t="e">
        <f>VLOOKUP(A21,$A$2:$AL$285,MATCH('Character Sheet'!$BJ$3,$A$1:$AL$1,0),FALSE)</f>
        <v>#REF!</v>
      </c>
      <c r="C21" s="6" t="e">
        <f>#REF!</f>
        <v>#REF!</v>
      </c>
      <c r="D21" s="6" t="e">
        <f>#REF!</f>
        <v>#REF!</v>
      </c>
      <c r="E21" s="6" t="e">
        <f>#REF!</f>
        <v>#REF!</v>
      </c>
      <c r="F21" s="6" t="e">
        <f>#REF!</f>
        <v>#REF!</v>
      </c>
      <c r="G21" s="6" t="e">
        <f>#REF!</f>
        <v>#REF!</v>
      </c>
      <c r="H21" s="6" t="e">
        <f>#REF!</f>
        <v>#REF!</v>
      </c>
      <c r="I21" s="6" t="e">
        <f>#REF!</f>
        <v>#REF!</v>
      </c>
      <c r="J21" s="6" t="e">
        <f>#REF!</f>
        <v>#REF!</v>
      </c>
      <c r="K21" s="6" t="e">
        <f>#REF!</f>
        <v>#REF!</v>
      </c>
      <c r="L21" s="6" t="e">
        <f>#REF!</f>
        <v>#REF!</v>
      </c>
      <c r="M21" s="6" t="e">
        <f>#REF!</f>
        <v>#REF!</v>
      </c>
      <c r="N21" s="6" t="e">
        <f>#REF!</f>
        <v>#REF!</v>
      </c>
      <c r="O21" s="6" t="e">
        <f>#REF!</f>
        <v>#REF!</v>
      </c>
      <c r="P21" s="6" t="e">
        <f>#REF!</f>
        <v>#REF!</v>
      </c>
      <c r="Q21" s="6" t="e">
        <f>#REF!</f>
        <v>#REF!</v>
      </c>
      <c r="R21" s="6" t="e">
        <f>#REF!</f>
        <v>#REF!</v>
      </c>
      <c r="S21" s="6" t="e">
        <f>#REF!</f>
        <v>#REF!</v>
      </c>
      <c r="T21" s="6" t="e">
        <f>#REF!</f>
        <v>#REF!</v>
      </c>
      <c r="U21" s="6" t="e">
        <f>#REF!</f>
        <v>#REF!</v>
      </c>
      <c r="V21" s="6" t="e">
        <f>#REF!</f>
        <v>#REF!</v>
      </c>
      <c r="W21" s="6" t="e">
        <f>#REF!</f>
        <v>#REF!</v>
      </c>
      <c r="X21" s="6" t="e">
        <f>#REF!</f>
        <v>#REF!</v>
      </c>
      <c r="Y21" s="6" t="e">
        <f>#REF!</f>
        <v>#REF!</v>
      </c>
      <c r="Z21" s="6" t="e">
        <f>#REF!</f>
        <v>#REF!</v>
      </c>
      <c r="AA21" s="6" t="e">
        <f>#REF!</f>
        <v>#REF!</v>
      </c>
      <c r="AB21" s="6" t="e">
        <f>#REF!</f>
        <v>#REF!</v>
      </c>
      <c r="AC21" s="6" t="e">
        <f>#REF!</f>
        <v>#REF!</v>
      </c>
      <c r="AD21" s="6" t="e">
        <f>#REF!</f>
        <v>#REF!</v>
      </c>
      <c r="AE21" s="6" t="e">
        <f>#REF!</f>
        <v>#REF!</v>
      </c>
      <c r="AF21" s="6" t="e">
        <f>#REF!</f>
        <v>#REF!</v>
      </c>
      <c r="AG21" s="6" t="e">
        <f>#REF!</f>
        <v>#REF!</v>
      </c>
      <c r="AH21" s="6" t="e">
        <f>#REF!</f>
        <v>#REF!</v>
      </c>
      <c r="AI21" s="6" t="e">
        <f>#REF!</f>
        <v>#REF!</v>
      </c>
      <c r="AJ21" s="6" t="e">
        <f>#REF!</f>
        <v>#REF!</v>
      </c>
      <c r="AK21" s="6" t="e">
        <f>#REF!</f>
        <v>#REF!</v>
      </c>
      <c r="AL21" s="6" t="e">
        <f>#REF!</f>
        <v>#REF!</v>
      </c>
    </row>
    <row r="22" spans="1:38" ht="16.5" thickTop="1" thickBot="1" x14ac:dyDescent="0.3">
      <c r="A22" s="63" t="s">
        <v>172</v>
      </c>
      <c r="B22" s="126" t="e">
        <f>VLOOKUP(A22,$A$2:$AL$285,MATCH('Character Sheet'!$BJ$3,$A$1:$AL$1,0),FALSE)</f>
        <v>#REF!</v>
      </c>
      <c r="C22" s="6" t="e">
        <f>#REF!</f>
        <v>#REF!</v>
      </c>
      <c r="D22" s="6" t="e">
        <f>#REF!</f>
        <v>#REF!</v>
      </c>
      <c r="E22" s="6" t="e">
        <f>#REF!</f>
        <v>#REF!</v>
      </c>
      <c r="F22" s="6" t="e">
        <f>#REF!</f>
        <v>#REF!</v>
      </c>
      <c r="G22" s="6" t="e">
        <f>#REF!</f>
        <v>#REF!</v>
      </c>
      <c r="H22" s="6" t="e">
        <f>#REF!</f>
        <v>#REF!</v>
      </c>
      <c r="I22" s="6" t="e">
        <f>#REF!</f>
        <v>#REF!</v>
      </c>
      <c r="J22" s="6" t="e">
        <f>#REF!</f>
        <v>#REF!</v>
      </c>
      <c r="K22" s="6" t="e">
        <f>#REF!</f>
        <v>#REF!</v>
      </c>
      <c r="L22" s="6" t="e">
        <f>#REF!</f>
        <v>#REF!</v>
      </c>
      <c r="M22" s="6" t="e">
        <f>#REF!</f>
        <v>#REF!</v>
      </c>
      <c r="N22" s="6" t="e">
        <f>#REF!</f>
        <v>#REF!</v>
      </c>
      <c r="O22" s="6" t="e">
        <f>#REF!</f>
        <v>#REF!</v>
      </c>
      <c r="P22" s="6" t="e">
        <f>#REF!</f>
        <v>#REF!</v>
      </c>
      <c r="Q22" s="6" t="e">
        <f>#REF!</f>
        <v>#REF!</v>
      </c>
      <c r="R22" s="6" t="e">
        <f>#REF!</f>
        <v>#REF!</v>
      </c>
      <c r="S22" s="6" t="e">
        <f>#REF!</f>
        <v>#REF!</v>
      </c>
      <c r="T22" s="6" t="e">
        <f>#REF!</f>
        <v>#REF!</v>
      </c>
      <c r="U22" s="6" t="e">
        <f>#REF!</f>
        <v>#REF!</v>
      </c>
      <c r="V22" s="6" t="e">
        <f>#REF!</f>
        <v>#REF!</v>
      </c>
      <c r="W22" s="6" t="e">
        <f>#REF!</f>
        <v>#REF!</v>
      </c>
      <c r="X22" s="6" t="e">
        <f>#REF!</f>
        <v>#REF!</v>
      </c>
      <c r="Y22" s="6" t="e">
        <f>#REF!</f>
        <v>#REF!</v>
      </c>
      <c r="Z22" s="6" t="e">
        <f>#REF!</f>
        <v>#REF!</v>
      </c>
      <c r="AA22" s="6" t="e">
        <f>#REF!</f>
        <v>#REF!</v>
      </c>
      <c r="AB22" s="6" t="e">
        <f>#REF!</f>
        <v>#REF!</v>
      </c>
      <c r="AC22" s="6" t="e">
        <f>#REF!</f>
        <v>#REF!</v>
      </c>
      <c r="AD22" s="6" t="e">
        <f>#REF!</f>
        <v>#REF!</v>
      </c>
      <c r="AE22" s="6" t="e">
        <f>#REF!</f>
        <v>#REF!</v>
      </c>
      <c r="AF22" s="6" t="e">
        <f>#REF!</f>
        <v>#REF!</v>
      </c>
      <c r="AG22" s="6" t="e">
        <f>#REF!</f>
        <v>#REF!</v>
      </c>
      <c r="AH22" s="6" t="e">
        <f>#REF!</f>
        <v>#REF!</v>
      </c>
      <c r="AI22" s="6" t="e">
        <f>#REF!</f>
        <v>#REF!</v>
      </c>
      <c r="AJ22" s="6" t="e">
        <f>#REF!</f>
        <v>#REF!</v>
      </c>
      <c r="AK22" s="6" t="e">
        <f>#REF!</f>
        <v>#REF!</v>
      </c>
      <c r="AL22" s="6" t="e">
        <f>#REF!</f>
        <v>#REF!</v>
      </c>
    </row>
    <row r="23" spans="1:38" ht="15.75" thickTop="1" x14ac:dyDescent="0.25">
      <c r="A23" s="64" t="s">
        <v>174</v>
      </c>
      <c r="B23" s="126" t="e">
        <f>VLOOKUP(A23,$A$2:$AL$285,MATCH('Character Sheet'!$BJ$3,$A$1:$AL$1,0),FALSE)</f>
        <v>#REF!</v>
      </c>
      <c r="C23" s="6" t="e">
        <f>#REF!</f>
        <v>#REF!</v>
      </c>
      <c r="D23" s="6" t="e">
        <f>#REF!</f>
        <v>#REF!</v>
      </c>
      <c r="E23" s="6" t="e">
        <f>#REF!</f>
        <v>#REF!</v>
      </c>
      <c r="F23" s="6" t="e">
        <f>#REF!</f>
        <v>#REF!</v>
      </c>
      <c r="G23" s="6" t="e">
        <f>#REF!</f>
        <v>#REF!</v>
      </c>
      <c r="H23" s="6" t="e">
        <f>#REF!</f>
        <v>#REF!</v>
      </c>
      <c r="I23" s="6" t="e">
        <f>#REF!</f>
        <v>#REF!</v>
      </c>
      <c r="J23" s="6" t="e">
        <f>#REF!</f>
        <v>#REF!</v>
      </c>
      <c r="K23" s="6" t="e">
        <f>#REF!</f>
        <v>#REF!</v>
      </c>
      <c r="L23" s="6" t="e">
        <f>#REF!</f>
        <v>#REF!</v>
      </c>
      <c r="M23" s="6" t="e">
        <f>#REF!</f>
        <v>#REF!</v>
      </c>
      <c r="N23" s="6" t="e">
        <f>#REF!</f>
        <v>#REF!</v>
      </c>
      <c r="O23" s="6" t="e">
        <f>#REF!</f>
        <v>#REF!</v>
      </c>
      <c r="P23" s="6" t="e">
        <f>#REF!</f>
        <v>#REF!</v>
      </c>
      <c r="Q23" s="6" t="e">
        <f>#REF!</f>
        <v>#REF!</v>
      </c>
      <c r="R23" s="6" t="e">
        <f>#REF!</f>
        <v>#REF!</v>
      </c>
      <c r="S23" s="6" t="e">
        <f>#REF!</f>
        <v>#REF!</v>
      </c>
      <c r="T23" s="6" t="e">
        <f>#REF!</f>
        <v>#REF!</v>
      </c>
      <c r="U23" s="6" t="e">
        <f>#REF!</f>
        <v>#REF!</v>
      </c>
      <c r="V23" s="6" t="e">
        <f>#REF!</f>
        <v>#REF!</v>
      </c>
      <c r="W23" s="6" t="e">
        <f>#REF!</f>
        <v>#REF!</v>
      </c>
      <c r="X23" s="6" t="e">
        <f>#REF!</f>
        <v>#REF!</v>
      </c>
      <c r="Y23" s="6" t="e">
        <f>#REF!</f>
        <v>#REF!</v>
      </c>
      <c r="Z23" s="6" t="e">
        <f>#REF!</f>
        <v>#REF!</v>
      </c>
      <c r="AA23" s="6" t="e">
        <f>#REF!</f>
        <v>#REF!</v>
      </c>
      <c r="AB23" s="6" t="e">
        <f>#REF!</f>
        <v>#REF!</v>
      </c>
      <c r="AC23" s="6" t="e">
        <f>#REF!</f>
        <v>#REF!</v>
      </c>
      <c r="AD23" s="6" t="e">
        <f>#REF!</f>
        <v>#REF!</v>
      </c>
      <c r="AE23" s="6" t="e">
        <f>#REF!</f>
        <v>#REF!</v>
      </c>
      <c r="AF23" s="6" t="e">
        <f>#REF!</f>
        <v>#REF!</v>
      </c>
      <c r="AG23" s="6" t="e">
        <f>#REF!</f>
        <v>#REF!</v>
      </c>
      <c r="AH23" s="6" t="e">
        <f>#REF!</f>
        <v>#REF!</v>
      </c>
      <c r="AI23" s="6" t="e">
        <f>#REF!</f>
        <v>#REF!</v>
      </c>
      <c r="AJ23" s="6" t="e">
        <f>#REF!</f>
        <v>#REF!</v>
      </c>
      <c r="AK23" s="6" t="e">
        <f>#REF!</f>
        <v>#REF!</v>
      </c>
      <c r="AL23" s="6" t="e">
        <f>#REF!</f>
        <v>#REF!</v>
      </c>
    </row>
    <row r="24" spans="1:38" x14ac:dyDescent="0.25">
      <c r="A24" s="64" t="s">
        <v>175</v>
      </c>
      <c r="B24" s="126" t="e">
        <f>VLOOKUP(A24,$A$2:$AL$285,MATCH('Character Sheet'!$BJ$3,$A$1:$AL$1,0),FALSE)</f>
        <v>#REF!</v>
      </c>
      <c r="C24" s="6" t="e">
        <f>#REF!</f>
        <v>#REF!</v>
      </c>
      <c r="D24" s="6" t="e">
        <f>#REF!</f>
        <v>#REF!</v>
      </c>
      <c r="E24" s="6" t="e">
        <f>#REF!</f>
        <v>#REF!</v>
      </c>
      <c r="F24" s="6" t="e">
        <f>#REF!</f>
        <v>#REF!</v>
      </c>
      <c r="G24" s="6" t="e">
        <f>#REF!</f>
        <v>#REF!</v>
      </c>
      <c r="H24" s="6" t="e">
        <f>#REF!</f>
        <v>#REF!</v>
      </c>
      <c r="I24" s="6" t="e">
        <f>#REF!</f>
        <v>#REF!</v>
      </c>
      <c r="J24" s="6" t="e">
        <f>#REF!</f>
        <v>#REF!</v>
      </c>
      <c r="K24" s="6" t="e">
        <f>#REF!</f>
        <v>#REF!</v>
      </c>
      <c r="L24" s="6" t="e">
        <f>#REF!</f>
        <v>#REF!</v>
      </c>
      <c r="M24" s="6" t="e">
        <f>#REF!</f>
        <v>#REF!</v>
      </c>
      <c r="N24" s="6" t="e">
        <f>#REF!</f>
        <v>#REF!</v>
      </c>
      <c r="O24" s="6" t="e">
        <f>#REF!</f>
        <v>#REF!</v>
      </c>
      <c r="P24" s="6" t="e">
        <f>#REF!</f>
        <v>#REF!</v>
      </c>
      <c r="Q24" s="6" t="e">
        <f>#REF!</f>
        <v>#REF!</v>
      </c>
      <c r="R24" s="6" t="e">
        <f>#REF!</f>
        <v>#REF!</v>
      </c>
      <c r="S24" s="6" t="e">
        <f>#REF!</f>
        <v>#REF!</v>
      </c>
      <c r="T24" s="6" t="e">
        <f>#REF!</f>
        <v>#REF!</v>
      </c>
      <c r="U24" s="6" t="e">
        <f>#REF!</f>
        <v>#REF!</v>
      </c>
      <c r="V24" s="6" t="e">
        <f>#REF!</f>
        <v>#REF!</v>
      </c>
      <c r="W24" s="6" t="e">
        <f>#REF!</f>
        <v>#REF!</v>
      </c>
      <c r="X24" s="6" t="e">
        <f>#REF!</f>
        <v>#REF!</v>
      </c>
      <c r="Y24" s="6" t="e">
        <f>#REF!</f>
        <v>#REF!</v>
      </c>
      <c r="Z24" s="6" t="e">
        <f>#REF!</f>
        <v>#REF!</v>
      </c>
      <c r="AA24" s="6" t="e">
        <f>#REF!</f>
        <v>#REF!</v>
      </c>
      <c r="AB24" s="6" t="e">
        <f>#REF!</f>
        <v>#REF!</v>
      </c>
      <c r="AC24" s="6" t="e">
        <f>#REF!</f>
        <v>#REF!</v>
      </c>
      <c r="AD24" s="6" t="e">
        <f>#REF!</f>
        <v>#REF!</v>
      </c>
      <c r="AE24" s="6" t="e">
        <f>#REF!</f>
        <v>#REF!</v>
      </c>
      <c r="AF24" s="6" t="e">
        <f>#REF!</f>
        <v>#REF!</v>
      </c>
      <c r="AG24" s="6" t="e">
        <f>#REF!</f>
        <v>#REF!</v>
      </c>
      <c r="AH24" s="6" t="e">
        <f>#REF!</f>
        <v>#REF!</v>
      </c>
      <c r="AI24" s="6" t="e">
        <f>#REF!</f>
        <v>#REF!</v>
      </c>
      <c r="AJ24" s="6" t="e">
        <f>#REF!</f>
        <v>#REF!</v>
      </c>
      <c r="AK24" s="6" t="e">
        <f>#REF!</f>
        <v>#REF!</v>
      </c>
      <c r="AL24" s="6" t="e">
        <f>#REF!</f>
        <v>#REF!</v>
      </c>
    </row>
    <row r="25" spans="1:38" x14ac:dyDescent="0.25">
      <c r="A25" s="64" t="s">
        <v>176</v>
      </c>
      <c r="B25" s="126" t="e">
        <f>VLOOKUP(A25,$A$2:$AL$285,MATCH('Character Sheet'!$BJ$3,$A$1:$AL$1,0),FALSE)</f>
        <v>#REF!</v>
      </c>
      <c r="C25" s="6" t="e">
        <f>#REF!</f>
        <v>#REF!</v>
      </c>
      <c r="D25" s="6" t="e">
        <f>#REF!</f>
        <v>#REF!</v>
      </c>
      <c r="E25" s="6" t="e">
        <f>#REF!</f>
        <v>#REF!</v>
      </c>
      <c r="F25" s="6" t="e">
        <f>#REF!</f>
        <v>#REF!</v>
      </c>
      <c r="G25" s="6" t="e">
        <f>#REF!</f>
        <v>#REF!</v>
      </c>
      <c r="H25" s="6" t="e">
        <f>#REF!</f>
        <v>#REF!</v>
      </c>
      <c r="I25" s="6" t="e">
        <f>#REF!</f>
        <v>#REF!</v>
      </c>
      <c r="J25" s="6" t="e">
        <f>#REF!</f>
        <v>#REF!</v>
      </c>
      <c r="K25" s="6" t="e">
        <f>#REF!</f>
        <v>#REF!</v>
      </c>
      <c r="L25" s="6" t="e">
        <f>#REF!</f>
        <v>#REF!</v>
      </c>
      <c r="M25" s="6" t="e">
        <f>#REF!</f>
        <v>#REF!</v>
      </c>
      <c r="N25" s="6" t="e">
        <f>#REF!</f>
        <v>#REF!</v>
      </c>
      <c r="O25" s="6" t="e">
        <f>#REF!</f>
        <v>#REF!</v>
      </c>
      <c r="P25" s="6" t="e">
        <f>#REF!</f>
        <v>#REF!</v>
      </c>
      <c r="Q25" s="6" t="e">
        <f>#REF!</f>
        <v>#REF!</v>
      </c>
      <c r="R25" s="6" t="e">
        <f>#REF!</f>
        <v>#REF!</v>
      </c>
      <c r="S25" s="6" t="e">
        <f>#REF!</f>
        <v>#REF!</v>
      </c>
      <c r="T25" s="6" t="e">
        <f>#REF!</f>
        <v>#REF!</v>
      </c>
      <c r="U25" s="6" t="e">
        <f>#REF!</f>
        <v>#REF!</v>
      </c>
      <c r="V25" s="6" t="e">
        <f>#REF!</f>
        <v>#REF!</v>
      </c>
      <c r="W25" s="6" t="e">
        <f>#REF!</f>
        <v>#REF!</v>
      </c>
      <c r="X25" s="6" t="e">
        <f>#REF!</f>
        <v>#REF!</v>
      </c>
      <c r="Y25" s="6" t="e">
        <f>#REF!</f>
        <v>#REF!</v>
      </c>
      <c r="Z25" s="6" t="e">
        <f>#REF!</f>
        <v>#REF!</v>
      </c>
      <c r="AA25" s="6" t="e">
        <f>#REF!</f>
        <v>#REF!</v>
      </c>
      <c r="AB25" s="6" t="e">
        <f>#REF!</f>
        <v>#REF!</v>
      </c>
      <c r="AC25" s="6" t="e">
        <f>#REF!</f>
        <v>#REF!</v>
      </c>
      <c r="AD25" s="6" t="e">
        <f>#REF!</f>
        <v>#REF!</v>
      </c>
      <c r="AE25" s="6" t="e">
        <f>#REF!</f>
        <v>#REF!</v>
      </c>
      <c r="AF25" s="6" t="e">
        <f>#REF!</f>
        <v>#REF!</v>
      </c>
      <c r="AG25" s="6" t="e">
        <f>#REF!</f>
        <v>#REF!</v>
      </c>
      <c r="AH25" s="6" t="e">
        <f>#REF!</f>
        <v>#REF!</v>
      </c>
      <c r="AI25" s="6" t="e">
        <f>#REF!</f>
        <v>#REF!</v>
      </c>
      <c r="AJ25" s="6" t="e">
        <f>#REF!</f>
        <v>#REF!</v>
      </c>
      <c r="AK25" s="6" t="e">
        <f>#REF!</f>
        <v>#REF!</v>
      </c>
      <c r="AL25" s="6" t="e">
        <f>#REF!</f>
        <v>#REF!</v>
      </c>
    </row>
    <row r="26" spans="1:38" ht="15.75" thickBot="1" x14ac:dyDescent="0.3">
      <c r="A26" s="64" t="s">
        <v>2052</v>
      </c>
      <c r="B26" s="126" t="e">
        <f>VLOOKUP(A26,$A$2:$AL$285,MATCH('Character Sheet'!$BJ$3,$A$1:$AL$1,0),FALSE)</f>
        <v>#REF!</v>
      </c>
      <c r="C26" s="6" t="e">
        <f>#REF!</f>
        <v>#REF!</v>
      </c>
      <c r="D26" s="6" t="e">
        <f>#REF!</f>
        <v>#REF!</v>
      </c>
      <c r="E26" s="6" t="e">
        <f>#REF!</f>
        <v>#REF!</v>
      </c>
      <c r="F26" s="6" t="e">
        <f>#REF!</f>
        <v>#REF!</v>
      </c>
      <c r="G26" s="6" t="e">
        <f>#REF!</f>
        <v>#REF!</v>
      </c>
      <c r="H26" s="6" t="e">
        <f>#REF!</f>
        <v>#REF!</v>
      </c>
      <c r="I26" s="6" t="e">
        <f>#REF!</f>
        <v>#REF!</v>
      </c>
      <c r="J26" s="6" t="e">
        <f>#REF!</f>
        <v>#REF!</v>
      </c>
      <c r="K26" s="6" t="e">
        <f>#REF!</f>
        <v>#REF!</v>
      </c>
      <c r="L26" s="6" t="e">
        <f>#REF!</f>
        <v>#REF!</v>
      </c>
      <c r="M26" s="6" t="e">
        <f>#REF!</f>
        <v>#REF!</v>
      </c>
      <c r="N26" s="6" t="e">
        <f>#REF!</f>
        <v>#REF!</v>
      </c>
      <c r="O26" s="6" t="e">
        <f>#REF!</f>
        <v>#REF!</v>
      </c>
      <c r="P26" s="6" t="e">
        <f>#REF!</f>
        <v>#REF!</v>
      </c>
      <c r="Q26" s="6" t="e">
        <f>#REF!</f>
        <v>#REF!</v>
      </c>
      <c r="R26" s="6" t="e">
        <f>#REF!</f>
        <v>#REF!</v>
      </c>
      <c r="S26" s="6" t="e">
        <f>#REF!</f>
        <v>#REF!</v>
      </c>
      <c r="T26" s="6" t="e">
        <f>#REF!</f>
        <v>#REF!</v>
      </c>
      <c r="U26" s="6" t="e">
        <f>#REF!</f>
        <v>#REF!</v>
      </c>
      <c r="V26" s="6" t="e">
        <f>#REF!</f>
        <v>#REF!</v>
      </c>
      <c r="W26" s="6" t="e">
        <f>#REF!</f>
        <v>#REF!</v>
      </c>
      <c r="X26" s="6" t="e">
        <f>#REF!</f>
        <v>#REF!</v>
      </c>
      <c r="Y26" s="6" t="e">
        <f>#REF!</f>
        <v>#REF!</v>
      </c>
      <c r="Z26" s="6" t="e">
        <f>#REF!</f>
        <v>#REF!</v>
      </c>
      <c r="AA26" s="6" t="e">
        <f>#REF!</f>
        <v>#REF!</v>
      </c>
      <c r="AB26" s="6" t="e">
        <f>#REF!</f>
        <v>#REF!</v>
      </c>
      <c r="AC26" s="6" t="e">
        <f>#REF!</f>
        <v>#REF!</v>
      </c>
      <c r="AD26" s="6" t="e">
        <f>#REF!</f>
        <v>#REF!</v>
      </c>
      <c r="AE26" s="6" t="e">
        <f>#REF!</f>
        <v>#REF!</v>
      </c>
      <c r="AF26" s="6" t="e">
        <f>#REF!</f>
        <v>#REF!</v>
      </c>
      <c r="AG26" s="6" t="e">
        <f>#REF!</f>
        <v>#REF!</v>
      </c>
      <c r="AH26" s="6" t="e">
        <f>#REF!</f>
        <v>#REF!</v>
      </c>
      <c r="AI26" s="6" t="e">
        <f>#REF!</f>
        <v>#REF!</v>
      </c>
      <c r="AJ26" s="6" t="e">
        <f>#REF!</f>
        <v>#REF!</v>
      </c>
      <c r="AK26" s="6" t="e">
        <f>#REF!</f>
        <v>#REF!</v>
      </c>
      <c r="AL26" s="6" t="e">
        <f>#REF!</f>
        <v>#REF!</v>
      </c>
    </row>
    <row r="27" spans="1:38" ht="16.5" thickTop="1" thickBot="1" x14ac:dyDescent="0.3">
      <c r="A27" s="63" t="s">
        <v>181</v>
      </c>
      <c r="B27" s="126" t="e">
        <f>VLOOKUP(A27,$A$2:$AL$285,MATCH('Character Sheet'!$BJ$3,$A$1:$AL$1,0),FALSE)</f>
        <v>#REF!</v>
      </c>
      <c r="C27" s="6" t="e">
        <f>#REF!</f>
        <v>#REF!</v>
      </c>
      <c r="D27" s="6" t="e">
        <f>#REF!</f>
        <v>#REF!</v>
      </c>
      <c r="E27" s="6" t="e">
        <f>#REF!</f>
        <v>#REF!</v>
      </c>
      <c r="F27" s="6" t="e">
        <f>#REF!</f>
        <v>#REF!</v>
      </c>
      <c r="G27" s="6" t="e">
        <f>#REF!</f>
        <v>#REF!</v>
      </c>
      <c r="H27" s="6" t="e">
        <f>#REF!</f>
        <v>#REF!</v>
      </c>
      <c r="I27" s="6" t="e">
        <f>#REF!</f>
        <v>#REF!</v>
      </c>
      <c r="J27" s="6" t="e">
        <f>#REF!</f>
        <v>#REF!</v>
      </c>
      <c r="K27" s="6" t="e">
        <f>#REF!</f>
        <v>#REF!</v>
      </c>
      <c r="L27" s="6" t="e">
        <f>#REF!</f>
        <v>#REF!</v>
      </c>
      <c r="M27" s="6" t="e">
        <f>#REF!</f>
        <v>#REF!</v>
      </c>
      <c r="N27" s="6" t="e">
        <f>#REF!</f>
        <v>#REF!</v>
      </c>
      <c r="O27" s="6" t="e">
        <f>#REF!</f>
        <v>#REF!</v>
      </c>
      <c r="P27" s="6" t="e">
        <f>#REF!</f>
        <v>#REF!</v>
      </c>
      <c r="Q27" s="6" t="e">
        <f>#REF!</f>
        <v>#REF!</v>
      </c>
      <c r="R27" s="6" t="e">
        <f>#REF!</f>
        <v>#REF!</v>
      </c>
      <c r="S27" s="6" t="e">
        <f>#REF!</f>
        <v>#REF!</v>
      </c>
      <c r="T27" s="6" t="e">
        <f>#REF!</f>
        <v>#REF!</v>
      </c>
      <c r="U27" s="6" t="e">
        <f>#REF!</f>
        <v>#REF!</v>
      </c>
      <c r="V27" s="6" t="e">
        <f>#REF!</f>
        <v>#REF!</v>
      </c>
      <c r="W27" s="6" t="e">
        <f>#REF!</f>
        <v>#REF!</v>
      </c>
      <c r="X27" s="6" t="e">
        <f>#REF!</f>
        <v>#REF!</v>
      </c>
      <c r="Y27" s="6" t="e">
        <f>#REF!</f>
        <v>#REF!</v>
      </c>
      <c r="Z27" s="6" t="e">
        <f>#REF!</f>
        <v>#REF!</v>
      </c>
      <c r="AA27" s="6" t="e">
        <f>#REF!</f>
        <v>#REF!</v>
      </c>
      <c r="AB27" s="6" t="e">
        <f>#REF!</f>
        <v>#REF!</v>
      </c>
      <c r="AC27" s="6" t="e">
        <f>#REF!</f>
        <v>#REF!</v>
      </c>
      <c r="AD27" s="6" t="e">
        <f>#REF!</f>
        <v>#REF!</v>
      </c>
      <c r="AE27" s="6" t="e">
        <f>#REF!</f>
        <v>#REF!</v>
      </c>
      <c r="AF27" s="6" t="e">
        <f>#REF!</f>
        <v>#REF!</v>
      </c>
      <c r="AG27" s="6" t="e">
        <f>#REF!</f>
        <v>#REF!</v>
      </c>
      <c r="AH27" s="6" t="e">
        <f>#REF!</f>
        <v>#REF!</v>
      </c>
      <c r="AI27" s="6" t="e">
        <f>#REF!</f>
        <v>#REF!</v>
      </c>
      <c r="AJ27" s="6" t="e">
        <f>#REF!</f>
        <v>#REF!</v>
      </c>
      <c r="AK27" s="6" t="e">
        <f>#REF!</f>
        <v>#REF!</v>
      </c>
      <c r="AL27" s="6" t="e">
        <f>#REF!</f>
        <v>#REF!</v>
      </c>
    </row>
    <row r="28" spans="1:38" ht="15.75" thickTop="1" x14ac:dyDescent="0.25">
      <c r="A28" s="64" t="s">
        <v>183</v>
      </c>
      <c r="B28" s="126" t="e">
        <f>VLOOKUP(A28,$A$2:$AL$285,MATCH('Character Sheet'!$BJ$3,$A$1:$AL$1,0),FALSE)</f>
        <v>#REF!</v>
      </c>
      <c r="C28" s="6" t="e">
        <f>#REF!</f>
        <v>#REF!</v>
      </c>
      <c r="D28" s="6" t="e">
        <f>#REF!</f>
        <v>#REF!</v>
      </c>
      <c r="E28" s="6" t="e">
        <f>#REF!</f>
        <v>#REF!</v>
      </c>
      <c r="F28" s="6" t="e">
        <f>#REF!</f>
        <v>#REF!</v>
      </c>
      <c r="G28" s="6" t="e">
        <f>#REF!</f>
        <v>#REF!</v>
      </c>
      <c r="H28" s="6" t="e">
        <f>#REF!</f>
        <v>#REF!</v>
      </c>
      <c r="I28" s="6" t="e">
        <f>#REF!</f>
        <v>#REF!</v>
      </c>
      <c r="J28" s="6" t="e">
        <f>#REF!</f>
        <v>#REF!</v>
      </c>
      <c r="K28" s="6" t="e">
        <f>#REF!</f>
        <v>#REF!</v>
      </c>
      <c r="L28" s="6" t="e">
        <f>#REF!</f>
        <v>#REF!</v>
      </c>
      <c r="M28" s="6" t="e">
        <f>#REF!</f>
        <v>#REF!</v>
      </c>
      <c r="N28" s="6" t="e">
        <f>#REF!</f>
        <v>#REF!</v>
      </c>
      <c r="O28" s="6" t="e">
        <f>#REF!</f>
        <v>#REF!</v>
      </c>
      <c r="P28" s="6" t="e">
        <f>#REF!</f>
        <v>#REF!</v>
      </c>
      <c r="Q28" s="6" t="e">
        <f>#REF!</f>
        <v>#REF!</v>
      </c>
      <c r="R28" s="6" t="e">
        <f>#REF!</f>
        <v>#REF!</v>
      </c>
      <c r="S28" s="6" t="e">
        <f>#REF!</f>
        <v>#REF!</v>
      </c>
      <c r="T28" s="6" t="e">
        <f>#REF!</f>
        <v>#REF!</v>
      </c>
      <c r="U28" s="6" t="e">
        <f>#REF!</f>
        <v>#REF!</v>
      </c>
      <c r="V28" s="6" t="e">
        <f>#REF!</f>
        <v>#REF!</v>
      </c>
      <c r="W28" s="6" t="e">
        <f>#REF!</f>
        <v>#REF!</v>
      </c>
      <c r="X28" s="6" t="e">
        <f>#REF!</f>
        <v>#REF!</v>
      </c>
      <c r="Y28" s="6" t="e">
        <f>#REF!</f>
        <v>#REF!</v>
      </c>
      <c r="Z28" s="6" t="e">
        <f>#REF!</f>
        <v>#REF!</v>
      </c>
      <c r="AA28" s="6" t="e">
        <f>#REF!</f>
        <v>#REF!</v>
      </c>
      <c r="AB28" s="6" t="e">
        <f>#REF!</f>
        <v>#REF!</v>
      </c>
      <c r="AC28" s="6" t="e">
        <f>#REF!</f>
        <v>#REF!</v>
      </c>
      <c r="AD28" s="6" t="e">
        <f>#REF!</f>
        <v>#REF!</v>
      </c>
      <c r="AE28" s="6" t="e">
        <f>#REF!</f>
        <v>#REF!</v>
      </c>
      <c r="AF28" s="6" t="e">
        <f>#REF!</f>
        <v>#REF!</v>
      </c>
      <c r="AG28" s="6" t="e">
        <f>#REF!</f>
        <v>#REF!</v>
      </c>
      <c r="AH28" s="6" t="e">
        <f>#REF!</f>
        <v>#REF!</v>
      </c>
      <c r="AI28" s="6" t="e">
        <f>#REF!</f>
        <v>#REF!</v>
      </c>
      <c r="AJ28" s="6" t="e">
        <f>#REF!</f>
        <v>#REF!</v>
      </c>
      <c r="AK28" s="6" t="e">
        <f>#REF!</f>
        <v>#REF!</v>
      </c>
      <c r="AL28" s="6" t="e">
        <f>#REF!</f>
        <v>#REF!</v>
      </c>
    </row>
    <row r="29" spans="1:38" x14ac:dyDescent="0.25">
      <c r="A29" s="64" t="s">
        <v>184</v>
      </c>
      <c r="B29" s="126" t="e">
        <f>VLOOKUP(A29,$A$2:$AL$285,MATCH('Character Sheet'!$BJ$3,$A$1:$AL$1,0),FALSE)</f>
        <v>#REF!</v>
      </c>
      <c r="C29" s="6" t="e">
        <f>#REF!</f>
        <v>#REF!</v>
      </c>
      <c r="D29" s="6" t="e">
        <f>#REF!</f>
        <v>#REF!</v>
      </c>
      <c r="E29" s="6" t="e">
        <f>#REF!</f>
        <v>#REF!</v>
      </c>
      <c r="F29" s="6" t="e">
        <f>#REF!</f>
        <v>#REF!</v>
      </c>
      <c r="G29" s="6" t="e">
        <f>#REF!</f>
        <v>#REF!</v>
      </c>
      <c r="H29" s="6" t="e">
        <f>#REF!</f>
        <v>#REF!</v>
      </c>
      <c r="I29" s="6" t="e">
        <f>#REF!</f>
        <v>#REF!</v>
      </c>
      <c r="J29" s="6" t="e">
        <f>#REF!</f>
        <v>#REF!</v>
      </c>
      <c r="K29" s="6" t="e">
        <f>#REF!</f>
        <v>#REF!</v>
      </c>
      <c r="L29" s="6" t="e">
        <f>#REF!</f>
        <v>#REF!</v>
      </c>
      <c r="M29" s="6" t="e">
        <f>#REF!</f>
        <v>#REF!</v>
      </c>
      <c r="N29" s="6" t="e">
        <f>#REF!</f>
        <v>#REF!</v>
      </c>
      <c r="O29" s="6" t="e">
        <f>#REF!</f>
        <v>#REF!</v>
      </c>
      <c r="P29" s="6" t="e">
        <f>#REF!</f>
        <v>#REF!</v>
      </c>
      <c r="Q29" s="6" t="e">
        <f>#REF!</f>
        <v>#REF!</v>
      </c>
      <c r="R29" s="6" t="e">
        <f>#REF!</f>
        <v>#REF!</v>
      </c>
      <c r="S29" s="6" t="e">
        <f>#REF!</f>
        <v>#REF!</v>
      </c>
      <c r="T29" s="6" t="e">
        <f>#REF!</f>
        <v>#REF!</v>
      </c>
      <c r="U29" s="6" t="e">
        <f>#REF!</f>
        <v>#REF!</v>
      </c>
      <c r="V29" s="6" t="e">
        <f>#REF!</f>
        <v>#REF!</v>
      </c>
      <c r="W29" s="6" t="e">
        <f>#REF!</f>
        <v>#REF!</v>
      </c>
      <c r="X29" s="6" t="e">
        <f>#REF!</f>
        <v>#REF!</v>
      </c>
      <c r="Y29" s="6" t="e">
        <f>#REF!</f>
        <v>#REF!</v>
      </c>
      <c r="Z29" s="6" t="e">
        <f>#REF!</f>
        <v>#REF!</v>
      </c>
      <c r="AA29" s="6" t="e">
        <f>#REF!</f>
        <v>#REF!</v>
      </c>
      <c r="AB29" s="6" t="e">
        <f>#REF!</f>
        <v>#REF!</v>
      </c>
      <c r="AC29" s="6" t="e">
        <f>#REF!</f>
        <v>#REF!</v>
      </c>
      <c r="AD29" s="6" t="e">
        <f>#REF!</f>
        <v>#REF!</v>
      </c>
      <c r="AE29" s="6" t="e">
        <f>#REF!</f>
        <v>#REF!</v>
      </c>
      <c r="AF29" s="6" t="e">
        <f>#REF!</f>
        <v>#REF!</v>
      </c>
      <c r="AG29" s="6" t="e">
        <f>#REF!</f>
        <v>#REF!</v>
      </c>
      <c r="AH29" s="6" t="e">
        <f>#REF!</f>
        <v>#REF!</v>
      </c>
      <c r="AI29" s="6" t="e">
        <f>#REF!</f>
        <v>#REF!</v>
      </c>
      <c r="AJ29" s="6" t="e">
        <f>#REF!</f>
        <v>#REF!</v>
      </c>
      <c r="AK29" s="6" t="e">
        <f>#REF!</f>
        <v>#REF!</v>
      </c>
      <c r="AL29" s="6" t="e">
        <f>#REF!</f>
        <v>#REF!</v>
      </c>
    </row>
    <row r="30" spans="1:38" x14ac:dyDescent="0.25">
      <c r="A30" s="64" t="s">
        <v>185</v>
      </c>
      <c r="B30" s="126" t="e">
        <f>VLOOKUP(A30,$A$2:$AL$285,MATCH('Character Sheet'!$BJ$3,$A$1:$AL$1,0),FALSE)</f>
        <v>#REF!</v>
      </c>
      <c r="C30" s="6" t="e">
        <f>#REF!</f>
        <v>#REF!</v>
      </c>
      <c r="D30" s="6" t="e">
        <f>#REF!</f>
        <v>#REF!</v>
      </c>
      <c r="E30" s="6" t="e">
        <f>#REF!</f>
        <v>#REF!</v>
      </c>
      <c r="F30" s="6" t="e">
        <f>#REF!</f>
        <v>#REF!</v>
      </c>
      <c r="G30" s="6" t="e">
        <f>#REF!</f>
        <v>#REF!</v>
      </c>
      <c r="H30" s="6" t="e">
        <f>#REF!</f>
        <v>#REF!</v>
      </c>
      <c r="I30" s="6" t="e">
        <f>#REF!</f>
        <v>#REF!</v>
      </c>
      <c r="J30" s="6" t="e">
        <f>#REF!</f>
        <v>#REF!</v>
      </c>
      <c r="K30" s="6" t="e">
        <f>#REF!</f>
        <v>#REF!</v>
      </c>
      <c r="L30" s="6" t="e">
        <f>#REF!</f>
        <v>#REF!</v>
      </c>
      <c r="M30" s="6" t="e">
        <f>#REF!</f>
        <v>#REF!</v>
      </c>
      <c r="N30" s="6" t="e">
        <f>#REF!</f>
        <v>#REF!</v>
      </c>
      <c r="O30" s="6" t="e">
        <f>#REF!</f>
        <v>#REF!</v>
      </c>
      <c r="P30" s="6" t="e">
        <f>#REF!</f>
        <v>#REF!</v>
      </c>
      <c r="Q30" s="6" t="e">
        <f>#REF!</f>
        <v>#REF!</v>
      </c>
      <c r="R30" s="6" t="e">
        <f>#REF!</f>
        <v>#REF!</v>
      </c>
      <c r="S30" s="6" t="e">
        <f>#REF!</f>
        <v>#REF!</v>
      </c>
      <c r="T30" s="6" t="e">
        <f>#REF!</f>
        <v>#REF!</v>
      </c>
      <c r="U30" s="6" t="e">
        <f>#REF!</f>
        <v>#REF!</v>
      </c>
      <c r="V30" s="6" t="e">
        <f>#REF!</f>
        <v>#REF!</v>
      </c>
      <c r="W30" s="6" t="e">
        <f>#REF!</f>
        <v>#REF!</v>
      </c>
      <c r="X30" s="6" t="e">
        <f>#REF!</f>
        <v>#REF!</v>
      </c>
      <c r="Y30" s="6" t="e">
        <f>#REF!</f>
        <v>#REF!</v>
      </c>
      <c r="Z30" s="6" t="e">
        <f>#REF!</f>
        <v>#REF!</v>
      </c>
      <c r="AA30" s="6" t="e">
        <f>#REF!</f>
        <v>#REF!</v>
      </c>
      <c r="AB30" s="6" t="e">
        <f>#REF!</f>
        <v>#REF!</v>
      </c>
      <c r="AC30" s="6" t="e">
        <f>#REF!</f>
        <v>#REF!</v>
      </c>
      <c r="AD30" s="6" t="e">
        <f>#REF!</f>
        <v>#REF!</v>
      </c>
      <c r="AE30" s="6" t="e">
        <f>#REF!</f>
        <v>#REF!</v>
      </c>
      <c r="AF30" s="6" t="e">
        <f>#REF!</f>
        <v>#REF!</v>
      </c>
      <c r="AG30" s="6" t="e">
        <f>#REF!</f>
        <v>#REF!</v>
      </c>
      <c r="AH30" s="6" t="e">
        <f>#REF!</f>
        <v>#REF!</v>
      </c>
      <c r="AI30" s="6" t="e">
        <f>#REF!</f>
        <v>#REF!</v>
      </c>
      <c r="AJ30" s="6" t="e">
        <f>#REF!</f>
        <v>#REF!</v>
      </c>
      <c r="AK30" s="6" t="e">
        <f>#REF!</f>
        <v>#REF!</v>
      </c>
      <c r="AL30" s="6" t="e">
        <f>#REF!</f>
        <v>#REF!</v>
      </c>
    </row>
    <row r="31" spans="1:38" x14ac:dyDescent="0.25">
      <c r="A31" s="64" t="s">
        <v>186</v>
      </c>
      <c r="B31" s="126" t="e">
        <f>VLOOKUP(A31,$A$2:$AL$285,MATCH('Character Sheet'!$BJ$3,$A$1:$AL$1,0),FALSE)</f>
        <v>#REF!</v>
      </c>
      <c r="C31" s="6" t="e">
        <f>#REF!</f>
        <v>#REF!</v>
      </c>
      <c r="D31" s="6" t="e">
        <f>#REF!</f>
        <v>#REF!</v>
      </c>
      <c r="E31" s="6" t="e">
        <f>#REF!</f>
        <v>#REF!</v>
      </c>
      <c r="F31" s="6" t="e">
        <f>#REF!</f>
        <v>#REF!</v>
      </c>
      <c r="G31" s="6" t="e">
        <f>#REF!</f>
        <v>#REF!</v>
      </c>
      <c r="H31" s="6" t="e">
        <f>#REF!</f>
        <v>#REF!</v>
      </c>
      <c r="I31" s="6" t="e">
        <f>#REF!</f>
        <v>#REF!</v>
      </c>
      <c r="J31" s="6" t="e">
        <f>#REF!</f>
        <v>#REF!</v>
      </c>
      <c r="K31" s="6" t="e">
        <f>#REF!</f>
        <v>#REF!</v>
      </c>
      <c r="L31" s="6" t="e">
        <f>#REF!</f>
        <v>#REF!</v>
      </c>
      <c r="M31" s="6" t="e">
        <f>#REF!</f>
        <v>#REF!</v>
      </c>
      <c r="N31" s="6" t="e">
        <f>#REF!</f>
        <v>#REF!</v>
      </c>
      <c r="O31" s="6" t="e">
        <f>#REF!</f>
        <v>#REF!</v>
      </c>
      <c r="P31" s="6" t="e">
        <f>#REF!</f>
        <v>#REF!</v>
      </c>
      <c r="Q31" s="6" t="e">
        <f>#REF!</f>
        <v>#REF!</v>
      </c>
      <c r="R31" s="6" t="e">
        <f>#REF!</f>
        <v>#REF!</v>
      </c>
      <c r="S31" s="6" t="e">
        <f>#REF!</f>
        <v>#REF!</v>
      </c>
      <c r="T31" s="6" t="e">
        <f>#REF!</f>
        <v>#REF!</v>
      </c>
      <c r="U31" s="6" t="e">
        <f>#REF!</f>
        <v>#REF!</v>
      </c>
      <c r="V31" s="6" t="e">
        <f>#REF!</f>
        <v>#REF!</v>
      </c>
      <c r="W31" s="6" t="e">
        <f>#REF!</f>
        <v>#REF!</v>
      </c>
      <c r="X31" s="6" t="e">
        <f>#REF!</f>
        <v>#REF!</v>
      </c>
      <c r="Y31" s="6" t="e">
        <f>#REF!</f>
        <v>#REF!</v>
      </c>
      <c r="Z31" s="6" t="e">
        <f>#REF!</f>
        <v>#REF!</v>
      </c>
      <c r="AA31" s="6" t="e">
        <f>#REF!</f>
        <v>#REF!</v>
      </c>
      <c r="AB31" s="6" t="e">
        <f>#REF!</f>
        <v>#REF!</v>
      </c>
      <c r="AC31" s="6" t="e">
        <f>#REF!</f>
        <v>#REF!</v>
      </c>
      <c r="AD31" s="6" t="e">
        <f>#REF!</f>
        <v>#REF!</v>
      </c>
      <c r="AE31" s="6" t="e">
        <f>#REF!</f>
        <v>#REF!</v>
      </c>
      <c r="AF31" s="6" t="e">
        <f>#REF!</f>
        <v>#REF!</v>
      </c>
      <c r="AG31" s="6" t="e">
        <f>#REF!</f>
        <v>#REF!</v>
      </c>
      <c r="AH31" s="6" t="e">
        <f>#REF!</f>
        <v>#REF!</v>
      </c>
      <c r="AI31" s="6" t="e">
        <f>#REF!</f>
        <v>#REF!</v>
      </c>
      <c r="AJ31" s="6" t="e">
        <f>#REF!</f>
        <v>#REF!</v>
      </c>
      <c r="AK31" s="6" t="e">
        <f>#REF!</f>
        <v>#REF!</v>
      </c>
      <c r="AL31" s="6" t="e">
        <f>#REF!</f>
        <v>#REF!</v>
      </c>
    </row>
    <row r="32" spans="1:38" ht="15.75" thickBot="1" x14ac:dyDescent="0.3">
      <c r="A32" s="64" t="s">
        <v>187</v>
      </c>
      <c r="B32" s="126" t="e">
        <f>VLOOKUP(A32,$A$2:$AL$285,MATCH('Character Sheet'!$BJ$3,$A$1:$AL$1,0),FALSE)</f>
        <v>#REF!</v>
      </c>
      <c r="C32" s="6" t="e">
        <f>#REF!</f>
        <v>#REF!</v>
      </c>
      <c r="D32" s="6" t="e">
        <f>#REF!</f>
        <v>#REF!</v>
      </c>
      <c r="E32" s="6" t="e">
        <f>#REF!</f>
        <v>#REF!</v>
      </c>
      <c r="F32" s="6" t="e">
        <f>#REF!</f>
        <v>#REF!</v>
      </c>
      <c r="G32" s="6" t="e">
        <f>#REF!</f>
        <v>#REF!</v>
      </c>
      <c r="H32" s="6" t="e">
        <f>#REF!</f>
        <v>#REF!</v>
      </c>
      <c r="I32" s="6" t="e">
        <f>#REF!</f>
        <v>#REF!</v>
      </c>
      <c r="J32" s="6" t="e">
        <f>#REF!</f>
        <v>#REF!</v>
      </c>
      <c r="K32" s="6" t="e">
        <f>#REF!</f>
        <v>#REF!</v>
      </c>
      <c r="L32" s="6" t="e">
        <f>#REF!</f>
        <v>#REF!</v>
      </c>
      <c r="M32" s="6" t="e">
        <f>#REF!</f>
        <v>#REF!</v>
      </c>
      <c r="N32" s="6" t="e">
        <f>#REF!</f>
        <v>#REF!</v>
      </c>
      <c r="O32" s="6" t="e">
        <f>#REF!</f>
        <v>#REF!</v>
      </c>
      <c r="P32" s="6" t="e">
        <f>#REF!</f>
        <v>#REF!</v>
      </c>
      <c r="Q32" s="6" t="e">
        <f>#REF!</f>
        <v>#REF!</v>
      </c>
      <c r="R32" s="6" t="e">
        <f>#REF!</f>
        <v>#REF!</v>
      </c>
      <c r="S32" s="6" t="e">
        <f>#REF!</f>
        <v>#REF!</v>
      </c>
      <c r="T32" s="6" t="e">
        <f>#REF!</f>
        <v>#REF!</v>
      </c>
      <c r="U32" s="6" t="e">
        <f>#REF!</f>
        <v>#REF!</v>
      </c>
      <c r="V32" s="6" t="e">
        <f>#REF!</f>
        <v>#REF!</v>
      </c>
      <c r="W32" s="6" t="e">
        <f>#REF!</f>
        <v>#REF!</v>
      </c>
      <c r="X32" s="6" t="e">
        <f>#REF!</f>
        <v>#REF!</v>
      </c>
      <c r="Y32" s="6" t="e">
        <f>#REF!</f>
        <v>#REF!</v>
      </c>
      <c r="Z32" s="6" t="e">
        <f>#REF!</f>
        <v>#REF!</v>
      </c>
      <c r="AA32" s="6" t="e">
        <f>#REF!</f>
        <v>#REF!</v>
      </c>
      <c r="AB32" s="6" t="e">
        <f>#REF!</f>
        <v>#REF!</v>
      </c>
      <c r="AC32" s="6" t="e">
        <f>#REF!</f>
        <v>#REF!</v>
      </c>
      <c r="AD32" s="6" t="e">
        <f>#REF!</f>
        <v>#REF!</v>
      </c>
      <c r="AE32" s="6" t="e">
        <f>#REF!</f>
        <v>#REF!</v>
      </c>
      <c r="AF32" s="6" t="e">
        <f>#REF!</f>
        <v>#REF!</v>
      </c>
      <c r="AG32" s="6" t="e">
        <f>#REF!</f>
        <v>#REF!</v>
      </c>
      <c r="AH32" s="6" t="e">
        <f>#REF!</f>
        <v>#REF!</v>
      </c>
      <c r="AI32" s="6" t="e">
        <f>#REF!</f>
        <v>#REF!</v>
      </c>
      <c r="AJ32" s="6" t="e">
        <f>#REF!</f>
        <v>#REF!</v>
      </c>
      <c r="AK32" s="6" t="e">
        <f>#REF!</f>
        <v>#REF!</v>
      </c>
      <c r="AL32" s="6" t="e">
        <f>#REF!</f>
        <v>#REF!</v>
      </c>
    </row>
    <row r="33" spans="1:38" ht="16.5" thickTop="1" thickBot="1" x14ac:dyDescent="0.3">
      <c r="A33" s="63" t="s">
        <v>188</v>
      </c>
      <c r="B33" s="126" t="e">
        <f>VLOOKUP(A33,$A$2:$AL$285,MATCH('Character Sheet'!$BJ$3,$A$1:$AL$1,0),FALSE)</f>
        <v>#REF!</v>
      </c>
      <c r="C33" s="6" t="e">
        <f>#REF!</f>
        <v>#REF!</v>
      </c>
      <c r="D33" s="6" t="e">
        <f>#REF!</f>
        <v>#REF!</v>
      </c>
      <c r="E33" s="6" t="e">
        <f>#REF!</f>
        <v>#REF!</v>
      </c>
      <c r="F33" s="6" t="e">
        <f>#REF!</f>
        <v>#REF!</v>
      </c>
      <c r="G33" s="6" t="e">
        <f>#REF!</f>
        <v>#REF!</v>
      </c>
      <c r="H33" s="6" t="e">
        <f>#REF!</f>
        <v>#REF!</v>
      </c>
      <c r="I33" s="6" t="e">
        <f>#REF!</f>
        <v>#REF!</v>
      </c>
      <c r="J33" s="6" t="e">
        <f>#REF!</f>
        <v>#REF!</v>
      </c>
      <c r="K33" s="6" t="e">
        <f>#REF!</f>
        <v>#REF!</v>
      </c>
      <c r="L33" s="6" t="e">
        <f>#REF!</f>
        <v>#REF!</v>
      </c>
      <c r="M33" s="6" t="e">
        <f>#REF!</f>
        <v>#REF!</v>
      </c>
      <c r="N33" s="6" t="e">
        <f>#REF!</f>
        <v>#REF!</v>
      </c>
      <c r="O33" s="6" t="e">
        <f>#REF!</f>
        <v>#REF!</v>
      </c>
      <c r="P33" s="6" t="e">
        <f>#REF!</f>
        <v>#REF!</v>
      </c>
      <c r="Q33" s="6" t="e">
        <f>#REF!</f>
        <v>#REF!</v>
      </c>
      <c r="R33" s="6" t="e">
        <f>#REF!</f>
        <v>#REF!</v>
      </c>
      <c r="S33" s="6" t="e">
        <f>#REF!</f>
        <v>#REF!</v>
      </c>
      <c r="T33" s="6" t="e">
        <f>#REF!</f>
        <v>#REF!</v>
      </c>
      <c r="U33" s="6" t="e">
        <f>#REF!</f>
        <v>#REF!</v>
      </c>
      <c r="V33" s="6" t="e">
        <f>#REF!</f>
        <v>#REF!</v>
      </c>
      <c r="W33" s="6" t="e">
        <f>#REF!</f>
        <v>#REF!</v>
      </c>
      <c r="X33" s="6" t="e">
        <f>#REF!</f>
        <v>#REF!</v>
      </c>
      <c r="Y33" s="6" t="e">
        <f>#REF!</f>
        <v>#REF!</v>
      </c>
      <c r="Z33" s="6" t="e">
        <f>#REF!</f>
        <v>#REF!</v>
      </c>
      <c r="AA33" s="6" t="e">
        <f>#REF!</f>
        <v>#REF!</v>
      </c>
      <c r="AB33" s="6" t="e">
        <f>#REF!</f>
        <v>#REF!</v>
      </c>
      <c r="AC33" s="6" t="e">
        <f>#REF!</f>
        <v>#REF!</v>
      </c>
      <c r="AD33" s="6" t="e">
        <f>#REF!</f>
        <v>#REF!</v>
      </c>
      <c r="AE33" s="6" t="e">
        <f>#REF!</f>
        <v>#REF!</v>
      </c>
      <c r="AF33" s="6" t="e">
        <f>#REF!</f>
        <v>#REF!</v>
      </c>
      <c r="AG33" s="6" t="e">
        <f>#REF!</f>
        <v>#REF!</v>
      </c>
      <c r="AH33" s="6" t="e">
        <f>#REF!</f>
        <v>#REF!</v>
      </c>
      <c r="AI33" s="6" t="e">
        <f>#REF!</f>
        <v>#REF!</v>
      </c>
      <c r="AJ33" s="6" t="e">
        <f>#REF!</f>
        <v>#REF!</v>
      </c>
      <c r="AK33" s="6" t="e">
        <f>#REF!</f>
        <v>#REF!</v>
      </c>
      <c r="AL33" s="6" t="e">
        <f>#REF!</f>
        <v>#REF!</v>
      </c>
    </row>
    <row r="34" spans="1:38" ht="15.75" thickTop="1" x14ac:dyDescent="0.25">
      <c r="A34" s="64" t="s">
        <v>2053</v>
      </c>
      <c r="B34" s="126" t="e">
        <f>VLOOKUP(A34,$A$2:$AL$285,MATCH('Character Sheet'!$BJ$3,$A$1:$AL$1,0),FALSE)</f>
        <v>#REF!</v>
      </c>
      <c r="C34" s="6" t="e">
        <f>#REF!</f>
        <v>#REF!</v>
      </c>
      <c r="D34" s="6" t="e">
        <f>#REF!</f>
        <v>#REF!</v>
      </c>
      <c r="E34" s="6" t="e">
        <f>#REF!</f>
        <v>#REF!</v>
      </c>
      <c r="F34" s="6" t="e">
        <f>#REF!</f>
        <v>#REF!</v>
      </c>
      <c r="G34" s="6" t="e">
        <f>#REF!</f>
        <v>#REF!</v>
      </c>
      <c r="H34" s="6" t="e">
        <f>#REF!</f>
        <v>#REF!</v>
      </c>
      <c r="I34" s="6" t="e">
        <f>#REF!</f>
        <v>#REF!</v>
      </c>
      <c r="J34" s="6" t="e">
        <f>#REF!</f>
        <v>#REF!</v>
      </c>
      <c r="K34" s="6" t="e">
        <f>#REF!</f>
        <v>#REF!</v>
      </c>
      <c r="L34" s="6" t="e">
        <f>#REF!</f>
        <v>#REF!</v>
      </c>
      <c r="M34" s="6" t="e">
        <f>#REF!</f>
        <v>#REF!</v>
      </c>
      <c r="N34" s="6" t="e">
        <f>#REF!</f>
        <v>#REF!</v>
      </c>
      <c r="O34" s="6" t="e">
        <f>#REF!</f>
        <v>#REF!</v>
      </c>
      <c r="P34" s="6" t="e">
        <f>#REF!</f>
        <v>#REF!</v>
      </c>
      <c r="Q34" s="6" t="e">
        <f>#REF!</f>
        <v>#REF!</v>
      </c>
      <c r="R34" s="6" t="e">
        <f>#REF!</f>
        <v>#REF!</v>
      </c>
      <c r="S34" s="6" t="e">
        <f>#REF!</f>
        <v>#REF!</v>
      </c>
      <c r="T34" s="6" t="e">
        <f>#REF!</f>
        <v>#REF!</v>
      </c>
      <c r="U34" s="6" t="e">
        <f>#REF!</f>
        <v>#REF!</v>
      </c>
      <c r="V34" s="6" t="e">
        <f>#REF!</f>
        <v>#REF!</v>
      </c>
      <c r="W34" s="6" t="e">
        <f>#REF!</f>
        <v>#REF!</v>
      </c>
      <c r="X34" s="6" t="e">
        <f>#REF!</f>
        <v>#REF!</v>
      </c>
      <c r="Y34" s="6" t="e">
        <f>#REF!</f>
        <v>#REF!</v>
      </c>
      <c r="Z34" s="6" t="e">
        <f>#REF!</f>
        <v>#REF!</v>
      </c>
      <c r="AA34" s="6" t="e">
        <f>#REF!</f>
        <v>#REF!</v>
      </c>
      <c r="AB34" s="6" t="e">
        <f>#REF!</f>
        <v>#REF!</v>
      </c>
      <c r="AC34" s="6" t="e">
        <f>#REF!</f>
        <v>#REF!</v>
      </c>
      <c r="AD34" s="6" t="e">
        <f>#REF!</f>
        <v>#REF!</v>
      </c>
      <c r="AE34" s="6" t="e">
        <f>#REF!</f>
        <v>#REF!</v>
      </c>
      <c r="AF34" s="6" t="e">
        <f>#REF!</f>
        <v>#REF!</v>
      </c>
      <c r="AG34" s="6" t="e">
        <f>#REF!</f>
        <v>#REF!</v>
      </c>
      <c r="AH34" s="6" t="e">
        <f>#REF!</f>
        <v>#REF!</v>
      </c>
      <c r="AI34" s="6" t="e">
        <f>#REF!</f>
        <v>#REF!</v>
      </c>
      <c r="AJ34" s="6" t="e">
        <f>#REF!</f>
        <v>#REF!</v>
      </c>
      <c r="AK34" s="6" t="e">
        <f>#REF!</f>
        <v>#REF!</v>
      </c>
      <c r="AL34" s="6" t="e">
        <f>#REF!</f>
        <v>#REF!</v>
      </c>
    </row>
    <row r="35" spans="1:38" x14ac:dyDescent="0.25">
      <c r="A35" s="64" t="s">
        <v>2054</v>
      </c>
      <c r="B35" s="126" t="e">
        <f>VLOOKUP(A35,$A$2:$AL$285,MATCH('Character Sheet'!$BJ$3,$A$1:$AL$1,0),FALSE)</f>
        <v>#REF!</v>
      </c>
      <c r="C35" s="6" t="e">
        <f>#REF!</f>
        <v>#REF!</v>
      </c>
      <c r="D35" s="6" t="e">
        <f>#REF!</f>
        <v>#REF!</v>
      </c>
      <c r="E35" s="6" t="e">
        <f>#REF!</f>
        <v>#REF!</v>
      </c>
      <c r="F35" s="6" t="e">
        <f>#REF!</f>
        <v>#REF!</v>
      </c>
      <c r="G35" s="6" t="e">
        <f>#REF!</f>
        <v>#REF!</v>
      </c>
      <c r="H35" s="6" t="e">
        <f>#REF!</f>
        <v>#REF!</v>
      </c>
      <c r="I35" s="6" t="e">
        <f>#REF!</f>
        <v>#REF!</v>
      </c>
      <c r="J35" s="6" t="e">
        <f>#REF!</f>
        <v>#REF!</v>
      </c>
      <c r="K35" s="6" t="e">
        <f>#REF!</f>
        <v>#REF!</v>
      </c>
      <c r="L35" s="6" t="e">
        <f>#REF!</f>
        <v>#REF!</v>
      </c>
      <c r="M35" s="6" t="e">
        <f>#REF!</f>
        <v>#REF!</v>
      </c>
      <c r="N35" s="6" t="e">
        <f>#REF!</f>
        <v>#REF!</v>
      </c>
      <c r="O35" s="6" t="e">
        <f>#REF!</f>
        <v>#REF!</v>
      </c>
      <c r="P35" s="6" t="e">
        <f>#REF!</f>
        <v>#REF!</v>
      </c>
      <c r="Q35" s="6" t="e">
        <f>#REF!</f>
        <v>#REF!</v>
      </c>
      <c r="R35" s="6" t="e">
        <f>#REF!</f>
        <v>#REF!</v>
      </c>
      <c r="S35" s="6" t="e">
        <f>#REF!</f>
        <v>#REF!</v>
      </c>
      <c r="T35" s="6" t="e">
        <f>#REF!</f>
        <v>#REF!</v>
      </c>
      <c r="U35" s="6" t="e">
        <f>#REF!</f>
        <v>#REF!</v>
      </c>
      <c r="V35" s="6" t="e">
        <f>#REF!</f>
        <v>#REF!</v>
      </c>
      <c r="W35" s="6" t="e">
        <f>#REF!</f>
        <v>#REF!</v>
      </c>
      <c r="X35" s="6" t="e">
        <f>#REF!</f>
        <v>#REF!</v>
      </c>
      <c r="Y35" s="6" t="e">
        <f>#REF!</f>
        <v>#REF!</v>
      </c>
      <c r="Z35" s="6" t="e">
        <f>#REF!</f>
        <v>#REF!</v>
      </c>
      <c r="AA35" s="6" t="e">
        <f>#REF!</f>
        <v>#REF!</v>
      </c>
      <c r="AB35" s="6" t="e">
        <f>#REF!</f>
        <v>#REF!</v>
      </c>
      <c r="AC35" s="6" t="e">
        <f>#REF!</f>
        <v>#REF!</v>
      </c>
      <c r="AD35" s="6" t="e">
        <f>#REF!</f>
        <v>#REF!</v>
      </c>
      <c r="AE35" s="6" t="e">
        <f>#REF!</f>
        <v>#REF!</v>
      </c>
      <c r="AF35" s="6" t="e">
        <f>#REF!</f>
        <v>#REF!</v>
      </c>
      <c r="AG35" s="6" t="e">
        <f>#REF!</f>
        <v>#REF!</v>
      </c>
      <c r="AH35" s="6" t="e">
        <f>#REF!</f>
        <v>#REF!</v>
      </c>
      <c r="AI35" s="6" t="e">
        <f>#REF!</f>
        <v>#REF!</v>
      </c>
      <c r="AJ35" s="6" t="e">
        <f>#REF!</f>
        <v>#REF!</v>
      </c>
      <c r="AK35" s="6" t="e">
        <f>#REF!</f>
        <v>#REF!</v>
      </c>
      <c r="AL35" s="6" t="e">
        <f>#REF!</f>
        <v>#REF!</v>
      </c>
    </row>
    <row r="36" spans="1:38" x14ac:dyDescent="0.25">
      <c r="A36" s="64" t="s">
        <v>2055</v>
      </c>
      <c r="B36" s="126" t="e">
        <f>VLOOKUP(A36,$A$2:$AL$285,MATCH('Character Sheet'!$BJ$3,$A$1:$AL$1,0),FALSE)</f>
        <v>#REF!</v>
      </c>
      <c r="C36" s="6" t="e">
        <f>#REF!</f>
        <v>#REF!</v>
      </c>
      <c r="D36" s="6" t="e">
        <f>#REF!</f>
        <v>#REF!</v>
      </c>
      <c r="E36" s="6" t="e">
        <f>#REF!</f>
        <v>#REF!</v>
      </c>
      <c r="F36" s="6" t="e">
        <f>#REF!</f>
        <v>#REF!</v>
      </c>
      <c r="G36" s="6" t="e">
        <f>#REF!</f>
        <v>#REF!</v>
      </c>
      <c r="H36" s="6" t="e">
        <f>#REF!</f>
        <v>#REF!</v>
      </c>
      <c r="I36" s="6" t="e">
        <f>#REF!</f>
        <v>#REF!</v>
      </c>
      <c r="J36" s="6" t="e">
        <f>#REF!</f>
        <v>#REF!</v>
      </c>
      <c r="K36" s="6" t="e">
        <f>#REF!</f>
        <v>#REF!</v>
      </c>
      <c r="L36" s="6" t="e">
        <f>#REF!</f>
        <v>#REF!</v>
      </c>
      <c r="M36" s="6" t="e">
        <f>#REF!</f>
        <v>#REF!</v>
      </c>
      <c r="N36" s="6" t="e">
        <f>#REF!</f>
        <v>#REF!</v>
      </c>
      <c r="O36" s="6" t="e">
        <f>#REF!</f>
        <v>#REF!</v>
      </c>
      <c r="P36" s="6" t="e">
        <f>#REF!</f>
        <v>#REF!</v>
      </c>
      <c r="Q36" s="6" t="e">
        <f>#REF!</f>
        <v>#REF!</v>
      </c>
      <c r="R36" s="6" t="e">
        <f>#REF!</f>
        <v>#REF!</v>
      </c>
      <c r="S36" s="6" t="e">
        <f>#REF!</f>
        <v>#REF!</v>
      </c>
      <c r="T36" s="6" t="e">
        <f>#REF!</f>
        <v>#REF!</v>
      </c>
      <c r="U36" s="6" t="e">
        <f>#REF!</f>
        <v>#REF!</v>
      </c>
      <c r="V36" s="6" t="e">
        <f>#REF!</f>
        <v>#REF!</v>
      </c>
      <c r="W36" s="6" t="e">
        <f>#REF!</f>
        <v>#REF!</v>
      </c>
      <c r="X36" s="6" t="e">
        <f>#REF!</f>
        <v>#REF!</v>
      </c>
      <c r="Y36" s="6" t="e">
        <f>#REF!</f>
        <v>#REF!</v>
      </c>
      <c r="Z36" s="6" t="e">
        <f>#REF!</f>
        <v>#REF!</v>
      </c>
      <c r="AA36" s="6" t="e">
        <f>#REF!</f>
        <v>#REF!</v>
      </c>
      <c r="AB36" s="6" t="e">
        <f>#REF!</f>
        <v>#REF!</v>
      </c>
      <c r="AC36" s="6" t="e">
        <f>#REF!</f>
        <v>#REF!</v>
      </c>
      <c r="AD36" s="6" t="e">
        <f>#REF!</f>
        <v>#REF!</v>
      </c>
      <c r="AE36" s="6" t="e">
        <f>#REF!</f>
        <v>#REF!</v>
      </c>
      <c r="AF36" s="6" t="e">
        <f>#REF!</f>
        <v>#REF!</v>
      </c>
      <c r="AG36" s="6" t="e">
        <f>#REF!</f>
        <v>#REF!</v>
      </c>
      <c r="AH36" s="6" t="e">
        <f>#REF!</f>
        <v>#REF!</v>
      </c>
      <c r="AI36" s="6" t="e">
        <f>#REF!</f>
        <v>#REF!</v>
      </c>
      <c r="AJ36" s="6" t="e">
        <f>#REF!</f>
        <v>#REF!</v>
      </c>
      <c r="AK36" s="6" t="e">
        <f>#REF!</f>
        <v>#REF!</v>
      </c>
      <c r="AL36" s="6" t="e">
        <f>#REF!</f>
        <v>#REF!</v>
      </c>
    </row>
    <row r="37" spans="1:38" ht="15.75" thickBot="1" x14ac:dyDescent="0.3">
      <c r="A37" s="64" t="s">
        <v>2056</v>
      </c>
      <c r="B37" s="126" t="e">
        <f>VLOOKUP(A37,$A$2:$AL$285,MATCH('Character Sheet'!$BJ$3,$A$1:$AL$1,0),FALSE)</f>
        <v>#REF!</v>
      </c>
      <c r="C37" s="6" t="e">
        <f>#REF!</f>
        <v>#REF!</v>
      </c>
      <c r="D37" s="6" t="e">
        <f>#REF!</f>
        <v>#REF!</v>
      </c>
      <c r="E37" s="6" t="e">
        <f>#REF!</f>
        <v>#REF!</v>
      </c>
      <c r="F37" s="6" t="e">
        <f>#REF!</f>
        <v>#REF!</v>
      </c>
      <c r="G37" s="6" t="e">
        <f>#REF!</f>
        <v>#REF!</v>
      </c>
      <c r="H37" s="6" t="e">
        <f>#REF!</f>
        <v>#REF!</v>
      </c>
      <c r="I37" s="6" t="e">
        <f>#REF!</f>
        <v>#REF!</v>
      </c>
      <c r="J37" s="6" t="e">
        <f>#REF!</f>
        <v>#REF!</v>
      </c>
      <c r="K37" s="6" t="e">
        <f>#REF!</f>
        <v>#REF!</v>
      </c>
      <c r="L37" s="6" t="e">
        <f>#REF!</f>
        <v>#REF!</v>
      </c>
      <c r="M37" s="6" t="e">
        <f>#REF!</f>
        <v>#REF!</v>
      </c>
      <c r="N37" s="6" t="e">
        <f>#REF!</f>
        <v>#REF!</v>
      </c>
      <c r="O37" s="6" t="e">
        <f>#REF!</f>
        <v>#REF!</v>
      </c>
      <c r="P37" s="6" t="e">
        <f>#REF!</f>
        <v>#REF!</v>
      </c>
      <c r="Q37" s="6" t="e">
        <f>#REF!</f>
        <v>#REF!</v>
      </c>
      <c r="R37" s="6" t="e">
        <f>#REF!</f>
        <v>#REF!</v>
      </c>
      <c r="S37" s="6" t="e">
        <f>#REF!</f>
        <v>#REF!</v>
      </c>
      <c r="T37" s="6" t="e">
        <f>#REF!</f>
        <v>#REF!</v>
      </c>
      <c r="U37" s="6" t="e">
        <f>#REF!</f>
        <v>#REF!</v>
      </c>
      <c r="V37" s="6" t="e">
        <f>#REF!</f>
        <v>#REF!</v>
      </c>
      <c r="W37" s="6" t="e">
        <f>#REF!</f>
        <v>#REF!</v>
      </c>
      <c r="X37" s="6" t="e">
        <f>#REF!</f>
        <v>#REF!</v>
      </c>
      <c r="Y37" s="6" t="e">
        <f>#REF!</f>
        <v>#REF!</v>
      </c>
      <c r="Z37" s="6" t="e">
        <f>#REF!</f>
        <v>#REF!</v>
      </c>
      <c r="AA37" s="6" t="e">
        <f>#REF!</f>
        <v>#REF!</v>
      </c>
      <c r="AB37" s="6" t="e">
        <f>#REF!</f>
        <v>#REF!</v>
      </c>
      <c r="AC37" s="6" t="e">
        <f>#REF!</f>
        <v>#REF!</v>
      </c>
      <c r="AD37" s="6" t="e">
        <f>#REF!</f>
        <v>#REF!</v>
      </c>
      <c r="AE37" s="6" t="e">
        <f>#REF!</f>
        <v>#REF!</v>
      </c>
      <c r="AF37" s="6" t="e">
        <f>#REF!</f>
        <v>#REF!</v>
      </c>
      <c r="AG37" s="6" t="e">
        <f>#REF!</f>
        <v>#REF!</v>
      </c>
      <c r="AH37" s="6" t="e">
        <f>#REF!</f>
        <v>#REF!</v>
      </c>
      <c r="AI37" s="6" t="e">
        <f>#REF!</f>
        <v>#REF!</v>
      </c>
      <c r="AJ37" s="6" t="e">
        <f>#REF!</f>
        <v>#REF!</v>
      </c>
      <c r="AK37" s="6" t="e">
        <f>#REF!</f>
        <v>#REF!</v>
      </c>
      <c r="AL37" s="6" t="e">
        <f>#REF!</f>
        <v>#REF!</v>
      </c>
    </row>
    <row r="38" spans="1:38" ht="16.5" thickTop="1" thickBot="1" x14ac:dyDescent="0.3">
      <c r="A38" s="63" t="s">
        <v>217</v>
      </c>
      <c r="B38" s="126" t="e">
        <f>VLOOKUP(A38,$A$2:$AL$285,MATCH('Character Sheet'!$BJ$3,$A$1:$AL$1,0),FALSE)</f>
        <v>#REF!</v>
      </c>
      <c r="C38" s="6" t="e">
        <f>#REF!</f>
        <v>#REF!</v>
      </c>
      <c r="D38" s="6" t="e">
        <f>#REF!</f>
        <v>#REF!</v>
      </c>
      <c r="E38" s="6" t="e">
        <f>#REF!</f>
        <v>#REF!</v>
      </c>
      <c r="F38" s="6" t="e">
        <f>#REF!</f>
        <v>#REF!</v>
      </c>
      <c r="G38" s="6" t="e">
        <f>#REF!</f>
        <v>#REF!</v>
      </c>
      <c r="H38" s="6" t="e">
        <f>#REF!</f>
        <v>#REF!</v>
      </c>
      <c r="I38" s="6" t="e">
        <f>#REF!</f>
        <v>#REF!</v>
      </c>
      <c r="J38" s="6" t="e">
        <f>#REF!</f>
        <v>#REF!</v>
      </c>
      <c r="K38" s="6" t="e">
        <f>#REF!</f>
        <v>#REF!</v>
      </c>
      <c r="L38" s="6" t="e">
        <f>#REF!</f>
        <v>#REF!</v>
      </c>
      <c r="M38" s="6" t="e">
        <f>#REF!</f>
        <v>#REF!</v>
      </c>
      <c r="N38" s="6" t="e">
        <f>#REF!</f>
        <v>#REF!</v>
      </c>
      <c r="O38" s="6" t="e">
        <f>#REF!</f>
        <v>#REF!</v>
      </c>
      <c r="P38" s="6" t="e">
        <f>#REF!</f>
        <v>#REF!</v>
      </c>
      <c r="Q38" s="6" t="e">
        <f>#REF!</f>
        <v>#REF!</v>
      </c>
      <c r="R38" s="6" t="e">
        <f>#REF!</f>
        <v>#REF!</v>
      </c>
      <c r="S38" s="6" t="e">
        <f>#REF!</f>
        <v>#REF!</v>
      </c>
      <c r="T38" s="6" t="e">
        <f>#REF!</f>
        <v>#REF!</v>
      </c>
      <c r="U38" s="6" t="e">
        <f>#REF!</f>
        <v>#REF!</v>
      </c>
      <c r="V38" s="6" t="e">
        <f>#REF!</f>
        <v>#REF!</v>
      </c>
      <c r="W38" s="6" t="e">
        <f>#REF!</f>
        <v>#REF!</v>
      </c>
      <c r="X38" s="6" t="e">
        <f>#REF!</f>
        <v>#REF!</v>
      </c>
      <c r="Y38" s="6" t="e">
        <f>#REF!</f>
        <v>#REF!</v>
      </c>
      <c r="Z38" s="6" t="e">
        <f>#REF!</f>
        <v>#REF!</v>
      </c>
      <c r="AA38" s="6" t="e">
        <f>#REF!</f>
        <v>#REF!</v>
      </c>
      <c r="AB38" s="6" t="e">
        <f>#REF!</f>
        <v>#REF!</v>
      </c>
      <c r="AC38" s="6" t="e">
        <f>#REF!</f>
        <v>#REF!</v>
      </c>
      <c r="AD38" s="6" t="e">
        <f>#REF!</f>
        <v>#REF!</v>
      </c>
      <c r="AE38" s="6" t="e">
        <f>#REF!</f>
        <v>#REF!</v>
      </c>
      <c r="AF38" s="6" t="e">
        <f>#REF!</f>
        <v>#REF!</v>
      </c>
      <c r="AG38" s="6" t="e">
        <f>#REF!</f>
        <v>#REF!</v>
      </c>
      <c r="AH38" s="6" t="e">
        <f>#REF!</f>
        <v>#REF!</v>
      </c>
      <c r="AI38" s="6" t="e">
        <f>#REF!</f>
        <v>#REF!</v>
      </c>
      <c r="AJ38" s="6" t="e">
        <f>#REF!</f>
        <v>#REF!</v>
      </c>
      <c r="AK38" s="6" t="e">
        <f>#REF!</f>
        <v>#REF!</v>
      </c>
      <c r="AL38" s="6" t="e">
        <f>#REF!</f>
        <v>#REF!</v>
      </c>
    </row>
    <row r="39" spans="1:38" ht="15.75" thickTop="1" x14ac:dyDescent="0.25">
      <c r="A39" s="65" t="s">
        <v>219</v>
      </c>
      <c r="B39" s="126" t="e">
        <f>VLOOKUP(A39,$A$2:$AL$285,MATCH('Character Sheet'!$BJ$3,$A$1:$AL$1,0),FALSE)</f>
        <v>#REF!</v>
      </c>
      <c r="C39" s="6" t="e">
        <f>#REF!</f>
        <v>#REF!</v>
      </c>
      <c r="D39" s="6" t="e">
        <f>#REF!</f>
        <v>#REF!</v>
      </c>
      <c r="E39" s="6" t="e">
        <f>#REF!</f>
        <v>#REF!</v>
      </c>
      <c r="F39" s="6" t="e">
        <f>#REF!</f>
        <v>#REF!</v>
      </c>
      <c r="G39" s="6" t="e">
        <f>#REF!</f>
        <v>#REF!</v>
      </c>
      <c r="H39" s="6" t="e">
        <f>#REF!</f>
        <v>#REF!</v>
      </c>
      <c r="I39" s="6" t="e">
        <f>#REF!</f>
        <v>#REF!</v>
      </c>
      <c r="J39" s="6" t="e">
        <f>#REF!</f>
        <v>#REF!</v>
      </c>
      <c r="K39" s="6" t="e">
        <f>#REF!</f>
        <v>#REF!</v>
      </c>
      <c r="L39" s="6" t="e">
        <f>#REF!</f>
        <v>#REF!</v>
      </c>
      <c r="M39" s="6" t="e">
        <f>#REF!</f>
        <v>#REF!</v>
      </c>
      <c r="N39" s="6" t="e">
        <f>#REF!</f>
        <v>#REF!</v>
      </c>
      <c r="O39" s="6" t="e">
        <f>#REF!</f>
        <v>#REF!</v>
      </c>
      <c r="P39" s="6" t="e">
        <f>#REF!</f>
        <v>#REF!</v>
      </c>
      <c r="Q39" s="6" t="e">
        <f>#REF!</f>
        <v>#REF!</v>
      </c>
      <c r="R39" s="6" t="e">
        <f>#REF!</f>
        <v>#REF!</v>
      </c>
      <c r="S39" s="6" t="e">
        <f>#REF!</f>
        <v>#REF!</v>
      </c>
      <c r="T39" s="6" t="e">
        <f>#REF!</f>
        <v>#REF!</v>
      </c>
      <c r="U39" s="6" t="e">
        <f>#REF!</f>
        <v>#REF!</v>
      </c>
      <c r="V39" s="6" t="e">
        <f>#REF!</f>
        <v>#REF!</v>
      </c>
      <c r="W39" s="6" t="e">
        <f>#REF!</f>
        <v>#REF!</v>
      </c>
      <c r="X39" s="6" t="e">
        <f>#REF!</f>
        <v>#REF!</v>
      </c>
      <c r="Y39" s="6" t="e">
        <f>#REF!</f>
        <v>#REF!</v>
      </c>
      <c r="Z39" s="6" t="e">
        <f>#REF!</f>
        <v>#REF!</v>
      </c>
      <c r="AA39" s="6" t="e">
        <f>#REF!</f>
        <v>#REF!</v>
      </c>
      <c r="AB39" s="6" t="e">
        <f>#REF!</f>
        <v>#REF!</v>
      </c>
      <c r="AC39" s="6" t="e">
        <f>#REF!</f>
        <v>#REF!</v>
      </c>
      <c r="AD39" s="6" t="e">
        <f>#REF!</f>
        <v>#REF!</v>
      </c>
      <c r="AE39" s="6" t="e">
        <f>#REF!</f>
        <v>#REF!</v>
      </c>
      <c r="AF39" s="6" t="e">
        <f>#REF!</f>
        <v>#REF!</v>
      </c>
      <c r="AG39" s="6" t="e">
        <f>#REF!</f>
        <v>#REF!</v>
      </c>
      <c r="AH39" s="6" t="e">
        <f>#REF!</f>
        <v>#REF!</v>
      </c>
      <c r="AI39" s="6" t="e">
        <f>#REF!</f>
        <v>#REF!</v>
      </c>
      <c r="AJ39" s="6" t="e">
        <f>#REF!</f>
        <v>#REF!</v>
      </c>
      <c r="AK39" s="6" t="e">
        <f>#REF!</f>
        <v>#REF!</v>
      </c>
      <c r="AL39" s="6" t="e">
        <f>#REF!</f>
        <v>#REF!</v>
      </c>
    </row>
    <row r="40" spans="1:38" x14ac:dyDescent="0.25">
      <c r="A40" s="65" t="s">
        <v>220</v>
      </c>
      <c r="B40" s="126" t="e">
        <f>VLOOKUP(A40,$A$2:$AL$285,MATCH('Character Sheet'!$BJ$3,$A$1:$AL$1,0),FALSE)</f>
        <v>#REF!</v>
      </c>
      <c r="C40" s="6" t="e">
        <f>#REF!</f>
        <v>#REF!</v>
      </c>
      <c r="D40" s="6" t="e">
        <f>#REF!</f>
        <v>#REF!</v>
      </c>
      <c r="E40" s="6" t="e">
        <f>#REF!</f>
        <v>#REF!</v>
      </c>
      <c r="F40" s="6" t="e">
        <f>#REF!</f>
        <v>#REF!</v>
      </c>
      <c r="G40" s="6" t="e">
        <f>#REF!</f>
        <v>#REF!</v>
      </c>
      <c r="H40" s="6" t="e">
        <f>#REF!</f>
        <v>#REF!</v>
      </c>
      <c r="I40" s="6" t="e">
        <f>#REF!</f>
        <v>#REF!</v>
      </c>
      <c r="J40" s="6" t="e">
        <f>#REF!</f>
        <v>#REF!</v>
      </c>
      <c r="K40" s="6" t="e">
        <f>#REF!</f>
        <v>#REF!</v>
      </c>
      <c r="L40" s="6" t="e">
        <f>#REF!</f>
        <v>#REF!</v>
      </c>
      <c r="M40" s="6" t="e">
        <f>#REF!</f>
        <v>#REF!</v>
      </c>
      <c r="N40" s="6" t="e">
        <f>#REF!</f>
        <v>#REF!</v>
      </c>
      <c r="O40" s="6" t="e">
        <f>#REF!</f>
        <v>#REF!</v>
      </c>
      <c r="P40" s="6" t="e">
        <f>#REF!</f>
        <v>#REF!</v>
      </c>
      <c r="Q40" s="6" t="e">
        <f>#REF!</f>
        <v>#REF!</v>
      </c>
      <c r="R40" s="6" t="e">
        <f>#REF!</f>
        <v>#REF!</v>
      </c>
      <c r="S40" s="6" t="e">
        <f>#REF!</f>
        <v>#REF!</v>
      </c>
      <c r="T40" s="6" t="e">
        <f>#REF!</f>
        <v>#REF!</v>
      </c>
      <c r="U40" s="6" t="e">
        <f>#REF!</f>
        <v>#REF!</v>
      </c>
      <c r="V40" s="6" t="e">
        <f>#REF!</f>
        <v>#REF!</v>
      </c>
      <c r="W40" s="6" t="e">
        <f>#REF!</f>
        <v>#REF!</v>
      </c>
      <c r="X40" s="6" t="e">
        <f>#REF!</f>
        <v>#REF!</v>
      </c>
      <c r="Y40" s="6" t="e">
        <f>#REF!</f>
        <v>#REF!</v>
      </c>
      <c r="Z40" s="6" t="e">
        <f>#REF!</f>
        <v>#REF!</v>
      </c>
      <c r="AA40" s="6" t="e">
        <f>#REF!</f>
        <v>#REF!</v>
      </c>
      <c r="AB40" s="6" t="e">
        <f>#REF!</f>
        <v>#REF!</v>
      </c>
      <c r="AC40" s="6" t="e">
        <f>#REF!</f>
        <v>#REF!</v>
      </c>
      <c r="AD40" s="6" t="e">
        <f>#REF!</f>
        <v>#REF!</v>
      </c>
      <c r="AE40" s="6" t="e">
        <f>#REF!</f>
        <v>#REF!</v>
      </c>
      <c r="AF40" s="6" t="e">
        <f>#REF!</f>
        <v>#REF!</v>
      </c>
      <c r="AG40" s="6" t="e">
        <f>#REF!</f>
        <v>#REF!</v>
      </c>
      <c r="AH40" s="6" t="e">
        <f>#REF!</f>
        <v>#REF!</v>
      </c>
      <c r="AI40" s="6" t="e">
        <f>#REF!</f>
        <v>#REF!</v>
      </c>
      <c r="AJ40" s="6" t="e">
        <f>#REF!</f>
        <v>#REF!</v>
      </c>
      <c r="AK40" s="6" t="e">
        <f>#REF!</f>
        <v>#REF!</v>
      </c>
      <c r="AL40" s="6" t="e">
        <f>#REF!</f>
        <v>#REF!</v>
      </c>
    </row>
    <row r="41" spans="1:38" x14ac:dyDescent="0.25">
      <c r="A41" s="65" t="s">
        <v>221</v>
      </c>
      <c r="B41" s="126" t="e">
        <f>VLOOKUP(A41,$A$2:$AL$285,MATCH('Character Sheet'!$BJ$3,$A$1:$AL$1,0),FALSE)</f>
        <v>#REF!</v>
      </c>
      <c r="C41" s="6" t="e">
        <f>#REF!</f>
        <v>#REF!</v>
      </c>
      <c r="D41" s="6" t="e">
        <f>#REF!</f>
        <v>#REF!</v>
      </c>
      <c r="E41" s="6" t="e">
        <f>#REF!</f>
        <v>#REF!</v>
      </c>
      <c r="F41" s="6" t="e">
        <f>#REF!</f>
        <v>#REF!</v>
      </c>
      <c r="G41" s="6" t="e">
        <f>#REF!</f>
        <v>#REF!</v>
      </c>
      <c r="H41" s="6" t="e">
        <f>#REF!</f>
        <v>#REF!</v>
      </c>
      <c r="I41" s="6" t="e">
        <f>#REF!</f>
        <v>#REF!</v>
      </c>
      <c r="J41" s="6" t="e">
        <f>#REF!</f>
        <v>#REF!</v>
      </c>
      <c r="K41" s="6" t="e">
        <f>#REF!</f>
        <v>#REF!</v>
      </c>
      <c r="L41" s="6" t="e">
        <f>#REF!</f>
        <v>#REF!</v>
      </c>
      <c r="M41" s="6" t="e">
        <f>#REF!</f>
        <v>#REF!</v>
      </c>
      <c r="N41" s="6" t="e">
        <f>#REF!</f>
        <v>#REF!</v>
      </c>
      <c r="O41" s="6" t="e">
        <f>#REF!</f>
        <v>#REF!</v>
      </c>
      <c r="P41" s="6" t="e">
        <f>#REF!</f>
        <v>#REF!</v>
      </c>
      <c r="Q41" s="6" t="e">
        <f>#REF!</f>
        <v>#REF!</v>
      </c>
      <c r="R41" s="6" t="e">
        <f>#REF!</f>
        <v>#REF!</v>
      </c>
      <c r="S41" s="6" t="e">
        <f>#REF!</f>
        <v>#REF!</v>
      </c>
      <c r="T41" s="6" t="e">
        <f>#REF!</f>
        <v>#REF!</v>
      </c>
      <c r="U41" s="6" t="e">
        <f>#REF!</f>
        <v>#REF!</v>
      </c>
      <c r="V41" s="6" t="e">
        <f>#REF!</f>
        <v>#REF!</v>
      </c>
      <c r="W41" s="6" t="e">
        <f>#REF!</f>
        <v>#REF!</v>
      </c>
      <c r="X41" s="6" t="e">
        <f>#REF!</f>
        <v>#REF!</v>
      </c>
      <c r="Y41" s="6" t="e">
        <f>#REF!</f>
        <v>#REF!</v>
      </c>
      <c r="Z41" s="6" t="e">
        <f>#REF!</f>
        <v>#REF!</v>
      </c>
      <c r="AA41" s="6" t="e">
        <f>#REF!</f>
        <v>#REF!</v>
      </c>
      <c r="AB41" s="6" t="e">
        <f>#REF!</f>
        <v>#REF!</v>
      </c>
      <c r="AC41" s="6" t="e">
        <f>#REF!</f>
        <v>#REF!</v>
      </c>
      <c r="AD41" s="6" t="e">
        <f>#REF!</f>
        <v>#REF!</v>
      </c>
      <c r="AE41" s="6" t="e">
        <f>#REF!</f>
        <v>#REF!</v>
      </c>
      <c r="AF41" s="6" t="e">
        <f>#REF!</f>
        <v>#REF!</v>
      </c>
      <c r="AG41" s="6" t="e">
        <f>#REF!</f>
        <v>#REF!</v>
      </c>
      <c r="AH41" s="6" t="e">
        <f>#REF!</f>
        <v>#REF!</v>
      </c>
      <c r="AI41" s="6" t="e">
        <f>#REF!</f>
        <v>#REF!</v>
      </c>
      <c r="AJ41" s="6" t="e">
        <f>#REF!</f>
        <v>#REF!</v>
      </c>
      <c r="AK41" s="6" t="e">
        <f>#REF!</f>
        <v>#REF!</v>
      </c>
      <c r="AL41" s="6" t="e">
        <f>#REF!</f>
        <v>#REF!</v>
      </c>
    </row>
    <row r="42" spans="1:38" x14ac:dyDescent="0.25">
      <c r="A42" s="65" t="s">
        <v>222</v>
      </c>
      <c r="B42" s="126" t="e">
        <f>VLOOKUP(A42,$A$2:$AL$285,MATCH('Character Sheet'!$BJ$3,$A$1:$AL$1,0),FALSE)</f>
        <v>#REF!</v>
      </c>
      <c r="C42" s="6" t="e">
        <f>#REF!</f>
        <v>#REF!</v>
      </c>
      <c r="D42" s="6" t="e">
        <f>#REF!</f>
        <v>#REF!</v>
      </c>
      <c r="E42" s="6" t="e">
        <f>#REF!</f>
        <v>#REF!</v>
      </c>
      <c r="F42" s="6" t="e">
        <f>#REF!</f>
        <v>#REF!</v>
      </c>
      <c r="G42" s="6" t="e">
        <f>#REF!</f>
        <v>#REF!</v>
      </c>
      <c r="H42" s="6" t="e">
        <f>#REF!</f>
        <v>#REF!</v>
      </c>
      <c r="I42" s="6" t="e">
        <f>#REF!</f>
        <v>#REF!</v>
      </c>
      <c r="J42" s="6" t="e">
        <f>#REF!</f>
        <v>#REF!</v>
      </c>
      <c r="K42" s="6" t="e">
        <f>#REF!</f>
        <v>#REF!</v>
      </c>
      <c r="L42" s="6" t="e">
        <f>#REF!</f>
        <v>#REF!</v>
      </c>
      <c r="M42" s="6" t="e">
        <f>#REF!</f>
        <v>#REF!</v>
      </c>
      <c r="N42" s="6" t="e">
        <f>#REF!</f>
        <v>#REF!</v>
      </c>
      <c r="O42" s="6" t="e">
        <f>#REF!</f>
        <v>#REF!</v>
      </c>
      <c r="P42" s="6" t="e">
        <f>#REF!</f>
        <v>#REF!</v>
      </c>
      <c r="Q42" s="6" t="e">
        <f>#REF!</f>
        <v>#REF!</v>
      </c>
      <c r="R42" s="6" t="e">
        <f>#REF!</f>
        <v>#REF!</v>
      </c>
      <c r="S42" s="6" t="e">
        <f>#REF!</f>
        <v>#REF!</v>
      </c>
      <c r="T42" s="6" t="e">
        <f>#REF!</f>
        <v>#REF!</v>
      </c>
      <c r="U42" s="6" t="e">
        <f>#REF!</f>
        <v>#REF!</v>
      </c>
      <c r="V42" s="6" t="e">
        <f>#REF!</f>
        <v>#REF!</v>
      </c>
      <c r="W42" s="6" t="e">
        <f>#REF!</f>
        <v>#REF!</v>
      </c>
      <c r="X42" s="6" t="e">
        <f>#REF!</f>
        <v>#REF!</v>
      </c>
      <c r="Y42" s="6" t="e">
        <f>#REF!</f>
        <v>#REF!</v>
      </c>
      <c r="Z42" s="6" t="e">
        <f>#REF!</f>
        <v>#REF!</v>
      </c>
      <c r="AA42" s="6" t="e">
        <f>#REF!</f>
        <v>#REF!</v>
      </c>
      <c r="AB42" s="6" t="e">
        <f>#REF!</f>
        <v>#REF!</v>
      </c>
      <c r="AC42" s="6" t="e">
        <f>#REF!</f>
        <v>#REF!</v>
      </c>
      <c r="AD42" s="6" t="e">
        <f>#REF!</f>
        <v>#REF!</v>
      </c>
      <c r="AE42" s="6" t="e">
        <f>#REF!</f>
        <v>#REF!</v>
      </c>
      <c r="AF42" s="6" t="e">
        <f>#REF!</f>
        <v>#REF!</v>
      </c>
      <c r="AG42" s="6" t="e">
        <f>#REF!</f>
        <v>#REF!</v>
      </c>
      <c r="AH42" s="6" t="e">
        <f>#REF!</f>
        <v>#REF!</v>
      </c>
      <c r="AI42" s="6" t="e">
        <f>#REF!</f>
        <v>#REF!</v>
      </c>
      <c r="AJ42" s="6" t="e">
        <f>#REF!</f>
        <v>#REF!</v>
      </c>
      <c r="AK42" s="6" t="e">
        <f>#REF!</f>
        <v>#REF!</v>
      </c>
      <c r="AL42" s="6" t="e">
        <f>#REF!</f>
        <v>#REF!</v>
      </c>
    </row>
    <row r="43" spans="1:38" x14ac:dyDescent="0.25">
      <c r="A43" s="65" t="s">
        <v>223</v>
      </c>
      <c r="B43" s="126" t="e">
        <f>VLOOKUP(A43,$A$2:$AL$285,MATCH('Character Sheet'!$BJ$3,$A$1:$AL$1,0),FALSE)</f>
        <v>#REF!</v>
      </c>
      <c r="C43" s="6" t="e">
        <f>#REF!</f>
        <v>#REF!</v>
      </c>
      <c r="D43" s="6" t="e">
        <f>#REF!</f>
        <v>#REF!</v>
      </c>
      <c r="E43" s="6" t="e">
        <f>#REF!</f>
        <v>#REF!</v>
      </c>
      <c r="F43" s="6" t="e">
        <f>#REF!</f>
        <v>#REF!</v>
      </c>
      <c r="G43" s="6" t="e">
        <f>#REF!</f>
        <v>#REF!</v>
      </c>
      <c r="H43" s="6" t="e">
        <f>#REF!</f>
        <v>#REF!</v>
      </c>
      <c r="I43" s="6" t="e">
        <f>#REF!</f>
        <v>#REF!</v>
      </c>
      <c r="J43" s="6" t="e">
        <f>#REF!</f>
        <v>#REF!</v>
      </c>
      <c r="K43" s="6" t="e">
        <f>#REF!</f>
        <v>#REF!</v>
      </c>
      <c r="L43" s="6" t="e">
        <f>#REF!</f>
        <v>#REF!</v>
      </c>
      <c r="M43" s="6" t="e">
        <f>#REF!</f>
        <v>#REF!</v>
      </c>
      <c r="N43" s="6" t="e">
        <f>#REF!</f>
        <v>#REF!</v>
      </c>
      <c r="O43" s="6" t="e">
        <f>#REF!</f>
        <v>#REF!</v>
      </c>
      <c r="P43" s="6" t="e">
        <f>#REF!</f>
        <v>#REF!</v>
      </c>
      <c r="Q43" s="6" t="e">
        <f>#REF!</f>
        <v>#REF!</v>
      </c>
      <c r="R43" s="6" t="e">
        <f>#REF!</f>
        <v>#REF!</v>
      </c>
      <c r="S43" s="6" t="e">
        <f>#REF!</f>
        <v>#REF!</v>
      </c>
      <c r="T43" s="6" t="e">
        <f>#REF!</f>
        <v>#REF!</v>
      </c>
      <c r="U43" s="6" t="e">
        <f>#REF!</f>
        <v>#REF!</v>
      </c>
      <c r="V43" s="6" t="e">
        <f>#REF!</f>
        <v>#REF!</v>
      </c>
      <c r="W43" s="6" t="e">
        <f>#REF!</f>
        <v>#REF!</v>
      </c>
      <c r="X43" s="6" t="e">
        <f>#REF!</f>
        <v>#REF!</v>
      </c>
      <c r="Y43" s="6" t="e">
        <f>#REF!</f>
        <v>#REF!</v>
      </c>
      <c r="Z43" s="6" t="e">
        <f>#REF!</f>
        <v>#REF!</v>
      </c>
      <c r="AA43" s="6" t="e">
        <f>#REF!</f>
        <v>#REF!</v>
      </c>
      <c r="AB43" s="6" t="e">
        <f>#REF!</f>
        <v>#REF!</v>
      </c>
      <c r="AC43" s="6" t="e">
        <f>#REF!</f>
        <v>#REF!</v>
      </c>
      <c r="AD43" s="6" t="e">
        <f>#REF!</f>
        <v>#REF!</v>
      </c>
      <c r="AE43" s="6" t="e">
        <f>#REF!</f>
        <v>#REF!</v>
      </c>
      <c r="AF43" s="6" t="e">
        <f>#REF!</f>
        <v>#REF!</v>
      </c>
      <c r="AG43" s="6" t="e">
        <f>#REF!</f>
        <v>#REF!</v>
      </c>
      <c r="AH43" s="6" t="e">
        <f>#REF!</f>
        <v>#REF!</v>
      </c>
      <c r="AI43" s="6" t="e">
        <f>#REF!</f>
        <v>#REF!</v>
      </c>
      <c r="AJ43" s="6" t="e">
        <f>#REF!</f>
        <v>#REF!</v>
      </c>
      <c r="AK43" s="6" t="e">
        <f>#REF!</f>
        <v>#REF!</v>
      </c>
      <c r="AL43" s="6" t="e">
        <f>#REF!</f>
        <v>#REF!</v>
      </c>
    </row>
    <row r="44" spans="1:38" x14ac:dyDescent="0.25">
      <c r="A44" s="65" t="s">
        <v>224</v>
      </c>
      <c r="B44" s="126" t="e">
        <f>VLOOKUP(A44,$A$2:$AL$285,MATCH('Character Sheet'!$BJ$3,$A$1:$AL$1,0),FALSE)</f>
        <v>#REF!</v>
      </c>
      <c r="C44" s="6" t="e">
        <f>#REF!</f>
        <v>#REF!</v>
      </c>
      <c r="D44" s="6" t="e">
        <f>#REF!</f>
        <v>#REF!</v>
      </c>
      <c r="E44" s="6" t="e">
        <f>#REF!</f>
        <v>#REF!</v>
      </c>
      <c r="F44" s="6" t="e">
        <f>#REF!</f>
        <v>#REF!</v>
      </c>
      <c r="G44" s="6" t="e">
        <f>#REF!</f>
        <v>#REF!</v>
      </c>
      <c r="H44" s="6" t="e">
        <f>#REF!</f>
        <v>#REF!</v>
      </c>
      <c r="I44" s="6" t="e">
        <f>#REF!</f>
        <v>#REF!</v>
      </c>
      <c r="J44" s="6" t="e">
        <f>#REF!</f>
        <v>#REF!</v>
      </c>
      <c r="K44" s="6" t="e">
        <f>#REF!</f>
        <v>#REF!</v>
      </c>
      <c r="L44" s="6" t="e">
        <f>#REF!</f>
        <v>#REF!</v>
      </c>
      <c r="M44" s="6" t="e">
        <f>#REF!</f>
        <v>#REF!</v>
      </c>
      <c r="N44" s="6" t="e">
        <f>#REF!</f>
        <v>#REF!</v>
      </c>
      <c r="O44" s="6" t="e">
        <f>#REF!</f>
        <v>#REF!</v>
      </c>
      <c r="P44" s="6" t="e">
        <f>#REF!</f>
        <v>#REF!</v>
      </c>
      <c r="Q44" s="6" t="e">
        <f>#REF!</f>
        <v>#REF!</v>
      </c>
      <c r="R44" s="6" t="e">
        <f>#REF!</f>
        <v>#REF!</v>
      </c>
      <c r="S44" s="6" t="e">
        <f>#REF!</f>
        <v>#REF!</v>
      </c>
      <c r="T44" s="6" t="e">
        <f>#REF!</f>
        <v>#REF!</v>
      </c>
      <c r="U44" s="6" t="e">
        <f>#REF!</f>
        <v>#REF!</v>
      </c>
      <c r="V44" s="6" t="e">
        <f>#REF!</f>
        <v>#REF!</v>
      </c>
      <c r="W44" s="6" t="e">
        <f>#REF!</f>
        <v>#REF!</v>
      </c>
      <c r="X44" s="6" t="e">
        <f>#REF!</f>
        <v>#REF!</v>
      </c>
      <c r="Y44" s="6" t="e">
        <f>#REF!</f>
        <v>#REF!</v>
      </c>
      <c r="Z44" s="6" t="e">
        <f>#REF!</f>
        <v>#REF!</v>
      </c>
      <c r="AA44" s="6" t="e">
        <f>#REF!</f>
        <v>#REF!</v>
      </c>
      <c r="AB44" s="6" t="e">
        <f>#REF!</f>
        <v>#REF!</v>
      </c>
      <c r="AC44" s="6" t="e">
        <f>#REF!</f>
        <v>#REF!</v>
      </c>
      <c r="AD44" s="6" t="e">
        <f>#REF!</f>
        <v>#REF!</v>
      </c>
      <c r="AE44" s="6" t="e">
        <f>#REF!</f>
        <v>#REF!</v>
      </c>
      <c r="AF44" s="6" t="e">
        <f>#REF!</f>
        <v>#REF!</v>
      </c>
      <c r="AG44" s="6" t="e">
        <f>#REF!</f>
        <v>#REF!</v>
      </c>
      <c r="AH44" s="6" t="e">
        <f>#REF!</f>
        <v>#REF!</v>
      </c>
      <c r="AI44" s="6" t="e">
        <f>#REF!</f>
        <v>#REF!</v>
      </c>
      <c r="AJ44" s="6" t="e">
        <f>#REF!</f>
        <v>#REF!</v>
      </c>
      <c r="AK44" s="6" t="e">
        <f>#REF!</f>
        <v>#REF!</v>
      </c>
      <c r="AL44" s="6" t="e">
        <f>#REF!</f>
        <v>#REF!</v>
      </c>
    </row>
    <row r="45" spans="1:38" ht="15.75" thickBot="1" x14ac:dyDescent="0.3">
      <c r="A45" s="65" t="s">
        <v>225</v>
      </c>
      <c r="B45" s="126" t="e">
        <f>VLOOKUP(A45,$A$2:$AL$285,MATCH('Character Sheet'!$BJ$3,$A$1:$AL$1,0),FALSE)</f>
        <v>#REF!</v>
      </c>
      <c r="C45" s="6" t="e">
        <f>#REF!</f>
        <v>#REF!</v>
      </c>
      <c r="D45" s="6" t="e">
        <f>#REF!</f>
        <v>#REF!</v>
      </c>
      <c r="E45" s="6" t="e">
        <f>#REF!</f>
        <v>#REF!</v>
      </c>
      <c r="F45" s="6" t="e">
        <f>#REF!</f>
        <v>#REF!</v>
      </c>
      <c r="G45" s="6" t="e">
        <f>#REF!</f>
        <v>#REF!</v>
      </c>
      <c r="H45" s="6" t="e">
        <f>#REF!</f>
        <v>#REF!</v>
      </c>
      <c r="I45" s="6" t="e">
        <f>#REF!</f>
        <v>#REF!</v>
      </c>
      <c r="J45" s="6" t="e">
        <f>#REF!</f>
        <v>#REF!</v>
      </c>
      <c r="K45" s="6" t="e">
        <f>#REF!</f>
        <v>#REF!</v>
      </c>
      <c r="L45" s="6" t="e">
        <f>#REF!</f>
        <v>#REF!</v>
      </c>
      <c r="M45" s="6" t="e">
        <f>#REF!</f>
        <v>#REF!</v>
      </c>
      <c r="N45" s="6" t="e">
        <f>#REF!</f>
        <v>#REF!</v>
      </c>
      <c r="O45" s="6" t="e">
        <f>#REF!</f>
        <v>#REF!</v>
      </c>
      <c r="P45" s="6" t="e">
        <f>#REF!</f>
        <v>#REF!</v>
      </c>
      <c r="Q45" s="6" t="e">
        <f>#REF!</f>
        <v>#REF!</v>
      </c>
      <c r="R45" s="6" t="e">
        <f>#REF!</f>
        <v>#REF!</v>
      </c>
      <c r="S45" s="6" t="e">
        <f>#REF!</f>
        <v>#REF!</v>
      </c>
      <c r="T45" s="6" t="e">
        <f>#REF!</f>
        <v>#REF!</v>
      </c>
      <c r="U45" s="6" t="e">
        <f>#REF!</f>
        <v>#REF!</v>
      </c>
      <c r="V45" s="6" t="e">
        <f>#REF!</f>
        <v>#REF!</v>
      </c>
      <c r="W45" s="6" t="e">
        <f>#REF!</f>
        <v>#REF!</v>
      </c>
      <c r="X45" s="6" t="e">
        <f>#REF!</f>
        <v>#REF!</v>
      </c>
      <c r="Y45" s="6" t="e">
        <f>#REF!</f>
        <v>#REF!</v>
      </c>
      <c r="Z45" s="6" t="e">
        <f>#REF!</f>
        <v>#REF!</v>
      </c>
      <c r="AA45" s="6" t="e">
        <f>#REF!</f>
        <v>#REF!</v>
      </c>
      <c r="AB45" s="6" t="e">
        <f>#REF!</f>
        <v>#REF!</v>
      </c>
      <c r="AC45" s="6" t="e">
        <f>#REF!</f>
        <v>#REF!</v>
      </c>
      <c r="AD45" s="6" t="e">
        <f>#REF!</f>
        <v>#REF!</v>
      </c>
      <c r="AE45" s="6" t="e">
        <f>#REF!</f>
        <v>#REF!</v>
      </c>
      <c r="AF45" s="6" t="e">
        <f>#REF!</f>
        <v>#REF!</v>
      </c>
      <c r="AG45" s="6" t="e">
        <f>#REF!</f>
        <v>#REF!</v>
      </c>
      <c r="AH45" s="6" t="e">
        <f>#REF!</f>
        <v>#REF!</v>
      </c>
      <c r="AI45" s="6" t="e">
        <f>#REF!</f>
        <v>#REF!</v>
      </c>
      <c r="AJ45" s="6" t="e">
        <f>#REF!</f>
        <v>#REF!</v>
      </c>
      <c r="AK45" s="6" t="e">
        <f>#REF!</f>
        <v>#REF!</v>
      </c>
      <c r="AL45" s="6" t="e">
        <f>#REF!</f>
        <v>#REF!</v>
      </c>
    </row>
    <row r="46" spans="1:38" ht="16.5" thickTop="1" thickBot="1" x14ac:dyDescent="0.3">
      <c r="A46" s="63" t="s">
        <v>226</v>
      </c>
      <c r="B46" s="126" t="e">
        <f>VLOOKUP(A46,$A$2:$AL$285,MATCH('Character Sheet'!$BJ$3,$A$1:$AL$1,0),FALSE)</f>
        <v>#REF!</v>
      </c>
      <c r="C46" s="6" t="e">
        <f>#REF!</f>
        <v>#REF!</v>
      </c>
      <c r="D46" s="6" t="e">
        <f>#REF!</f>
        <v>#REF!</v>
      </c>
      <c r="E46" s="6" t="e">
        <f>#REF!</f>
        <v>#REF!</v>
      </c>
      <c r="F46" s="6" t="e">
        <f>#REF!</f>
        <v>#REF!</v>
      </c>
      <c r="G46" s="6" t="e">
        <f>#REF!</f>
        <v>#REF!</v>
      </c>
      <c r="H46" s="6" t="e">
        <f>#REF!</f>
        <v>#REF!</v>
      </c>
      <c r="I46" s="6" t="e">
        <f>#REF!</f>
        <v>#REF!</v>
      </c>
      <c r="J46" s="6" t="e">
        <f>#REF!</f>
        <v>#REF!</v>
      </c>
      <c r="K46" s="6" t="e">
        <f>#REF!</f>
        <v>#REF!</v>
      </c>
      <c r="L46" s="6" t="e">
        <f>#REF!</f>
        <v>#REF!</v>
      </c>
      <c r="M46" s="6" t="e">
        <f>#REF!</f>
        <v>#REF!</v>
      </c>
      <c r="N46" s="6" t="e">
        <f>#REF!</f>
        <v>#REF!</v>
      </c>
      <c r="O46" s="6" t="e">
        <f>#REF!</f>
        <v>#REF!</v>
      </c>
      <c r="P46" s="6" t="e">
        <f>#REF!</f>
        <v>#REF!</v>
      </c>
      <c r="Q46" s="6" t="e">
        <f>#REF!</f>
        <v>#REF!</v>
      </c>
      <c r="R46" s="6" t="e">
        <f>#REF!</f>
        <v>#REF!</v>
      </c>
      <c r="S46" s="6" t="e">
        <f>#REF!</f>
        <v>#REF!</v>
      </c>
      <c r="T46" s="6" t="e">
        <f>#REF!</f>
        <v>#REF!</v>
      </c>
      <c r="U46" s="6" t="e">
        <f>#REF!</f>
        <v>#REF!</v>
      </c>
      <c r="V46" s="6" t="e">
        <f>#REF!</f>
        <v>#REF!</v>
      </c>
      <c r="W46" s="6" t="e">
        <f>#REF!</f>
        <v>#REF!</v>
      </c>
      <c r="X46" s="6" t="e">
        <f>#REF!</f>
        <v>#REF!</v>
      </c>
      <c r="Y46" s="6" t="e">
        <f>#REF!</f>
        <v>#REF!</v>
      </c>
      <c r="Z46" s="6" t="e">
        <f>#REF!</f>
        <v>#REF!</v>
      </c>
      <c r="AA46" s="6" t="e">
        <f>#REF!</f>
        <v>#REF!</v>
      </c>
      <c r="AB46" s="6" t="e">
        <f>#REF!</f>
        <v>#REF!</v>
      </c>
      <c r="AC46" s="6" t="e">
        <f>#REF!</f>
        <v>#REF!</v>
      </c>
      <c r="AD46" s="6" t="e">
        <f>#REF!</f>
        <v>#REF!</v>
      </c>
      <c r="AE46" s="6" t="e">
        <f>#REF!</f>
        <v>#REF!</v>
      </c>
      <c r="AF46" s="6" t="e">
        <f>#REF!</f>
        <v>#REF!</v>
      </c>
      <c r="AG46" s="6" t="e">
        <f>#REF!</f>
        <v>#REF!</v>
      </c>
      <c r="AH46" s="6" t="e">
        <f>#REF!</f>
        <v>#REF!</v>
      </c>
      <c r="AI46" s="6" t="e">
        <f>#REF!</f>
        <v>#REF!</v>
      </c>
      <c r="AJ46" s="6" t="e">
        <f>#REF!</f>
        <v>#REF!</v>
      </c>
      <c r="AK46" s="6" t="e">
        <f>#REF!</f>
        <v>#REF!</v>
      </c>
      <c r="AL46" s="6" t="e">
        <f>#REF!</f>
        <v>#REF!</v>
      </c>
    </row>
    <row r="47" spans="1:38" ht="15.75" thickTop="1" x14ac:dyDescent="0.25">
      <c r="A47" s="3" t="s">
        <v>242</v>
      </c>
      <c r="B47" s="126" t="e">
        <f>VLOOKUP(A47,$A$2:$AL$285,MATCH('Character Sheet'!$BJ$3,$A$1:$AL$1,0),FALSE)</f>
        <v>#REF!</v>
      </c>
      <c r="C47" s="6" t="e">
        <f>#REF!</f>
        <v>#REF!</v>
      </c>
      <c r="D47" s="6" t="e">
        <f>#REF!</f>
        <v>#REF!</v>
      </c>
      <c r="E47" s="6" t="e">
        <f>#REF!</f>
        <v>#REF!</v>
      </c>
      <c r="F47" s="6" t="e">
        <f>#REF!</f>
        <v>#REF!</v>
      </c>
      <c r="G47" s="6" t="e">
        <f>#REF!</f>
        <v>#REF!</v>
      </c>
      <c r="H47" s="6" t="e">
        <f>#REF!</f>
        <v>#REF!</v>
      </c>
      <c r="I47" s="6" t="e">
        <f>#REF!</f>
        <v>#REF!</v>
      </c>
      <c r="J47" s="6" t="e">
        <f>#REF!</f>
        <v>#REF!</v>
      </c>
      <c r="K47" s="6" t="e">
        <f>#REF!</f>
        <v>#REF!</v>
      </c>
      <c r="L47" s="6" t="e">
        <f>#REF!</f>
        <v>#REF!</v>
      </c>
      <c r="M47" s="6" t="e">
        <f>#REF!</f>
        <v>#REF!</v>
      </c>
      <c r="N47" s="6" t="e">
        <f>#REF!</f>
        <v>#REF!</v>
      </c>
      <c r="O47" s="6" t="e">
        <f>#REF!</f>
        <v>#REF!</v>
      </c>
      <c r="P47" s="6" t="e">
        <f>#REF!</f>
        <v>#REF!</v>
      </c>
      <c r="Q47" s="6" t="e">
        <f>#REF!</f>
        <v>#REF!</v>
      </c>
      <c r="R47" s="6" t="e">
        <f>#REF!</f>
        <v>#REF!</v>
      </c>
      <c r="S47" s="6" t="e">
        <f>#REF!</f>
        <v>#REF!</v>
      </c>
      <c r="T47" s="6" t="e">
        <f>#REF!</f>
        <v>#REF!</v>
      </c>
      <c r="U47" s="6" t="e">
        <f>#REF!</f>
        <v>#REF!</v>
      </c>
      <c r="V47" s="6" t="e">
        <f>#REF!</f>
        <v>#REF!</v>
      </c>
      <c r="W47" s="6" t="e">
        <f>#REF!</f>
        <v>#REF!</v>
      </c>
      <c r="X47" s="6" t="e">
        <f>#REF!</f>
        <v>#REF!</v>
      </c>
      <c r="Y47" s="6" t="e">
        <f>#REF!</f>
        <v>#REF!</v>
      </c>
      <c r="Z47" s="6" t="e">
        <f>#REF!</f>
        <v>#REF!</v>
      </c>
      <c r="AA47" s="6" t="e">
        <f>#REF!</f>
        <v>#REF!</v>
      </c>
      <c r="AB47" s="6" t="e">
        <f>#REF!</f>
        <v>#REF!</v>
      </c>
      <c r="AC47" s="6" t="e">
        <f>#REF!</f>
        <v>#REF!</v>
      </c>
      <c r="AD47" s="6" t="e">
        <f>#REF!</f>
        <v>#REF!</v>
      </c>
      <c r="AE47" s="6" t="e">
        <f>#REF!</f>
        <v>#REF!</v>
      </c>
      <c r="AF47" s="6" t="e">
        <f>#REF!</f>
        <v>#REF!</v>
      </c>
      <c r="AG47" s="6" t="e">
        <f>#REF!</f>
        <v>#REF!</v>
      </c>
      <c r="AH47" s="6" t="e">
        <f>#REF!</f>
        <v>#REF!</v>
      </c>
      <c r="AI47" s="6" t="e">
        <f>#REF!</f>
        <v>#REF!</v>
      </c>
      <c r="AJ47" s="6" t="e">
        <f>#REF!</f>
        <v>#REF!</v>
      </c>
      <c r="AK47" s="6" t="e">
        <f>#REF!</f>
        <v>#REF!</v>
      </c>
      <c r="AL47" s="6" t="e">
        <f>#REF!</f>
        <v>#REF!</v>
      </c>
    </row>
    <row r="48" spans="1:38" x14ac:dyDescent="0.25">
      <c r="A48" s="3" t="s">
        <v>599</v>
      </c>
      <c r="B48" s="126" t="e">
        <f>VLOOKUP(A48,$A$2:$AL$285,MATCH('Character Sheet'!$BJ$3,$A$1:$AL$1,0),FALSE)</f>
        <v>#REF!</v>
      </c>
      <c r="C48" s="6" t="e">
        <f>#REF!</f>
        <v>#REF!</v>
      </c>
      <c r="D48" s="6" t="e">
        <f>#REF!</f>
        <v>#REF!</v>
      </c>
      <c r="E48" s="6" t="e">
        <f>#REF!</f>
        <v>#REF!</v>
      </c>
      <c r="F48" s="6" t="e">
        <f>#REF!</f>
        <v>#REF!</v>
      </c>
      <c r="G48" s="6" t="e">
        <f>#REF!</f>
        <v>#REF!</v>
      </c>
      <c r="H48" s="6" t="e">
        <f>#REF!</f>
        <v>#REF!</v>
      </c>
      <c r="I48" s="6" t="e">
        <f>#REF!</f>
        <v>#REF!</v>
      </c>
      <c r="J48" s="6" t="e">
        <f>#REF!</f>
        <v>#REF!</v>
      </c>
      <c r="K48" s="6" t="e">
        <f>#REF!</f>
        <v>#REF!</v>
      </c>
      <c r="L48" s="6" t="e">
        <f>#REF!</f>
        <v>#REF!</v>
      </c>
      <c r="M48" s="6" t="e">
        <f>#REF!</f>
        <v>#REF!</v>
      </c>
      <c r="N48" s="6" t="e">
        <f>#REF!</f>
        <v>#REF!</v>
      </c>
      <c r="O48" s="6" t="e">
        <f>#REF!</f>
        <v>#REF!</v>
      </c>
      <c r="P48" s="6" t="e">
        <f>#REF!</f>
        <v>#REF!</v>
      </c>
      <c r="Q48" s="6" t="e">
        <f>#REF!</f>
        <v>#REF!</v>
      </c>
      <c r="R48" s="6" t="e">
        <f>#REF!</f>
        <v>#REF!</v>
      </c>
      <c r="S48" s="6" t="e">
        <f>#REF!</f>
        <v>#REF!</v>
      </c>
      <c r="T48" s="6" t="e">
        <f>#REF!</f>
        <v>#REF!</v>
      </c>
      <c r="U48" s="6" t="e">
        <f>#REF!</f>
        <v>#REF!</v>
      </c>
      <c r="V48" s="6" t="e">
        <f>#REF!</f>
        <v>#REF!</v>
      </c>
      <c r="W48" s="6" t="e">
        <f>#REF!</f>
        <v>#REF!</v>
      </c>
      <c r="X48" s="6" t="e">
        <f>#REF!</f>
        <v>#REF!</v>
      </c>
      <c r="Y48" s="6" t="e">
        <f>#REF!</f>
        <v>#REF!</v>
      </c>
      <c r="Z48" s="6" t="e">
        <f>#REF!</f>
        <v>#REF!</v>
      </c>
      <c r="AA48" s="6" t="e">
        <f>#REF!</f>
        <v>#REF!</v>
      </c>
      <c r="AB48" s="6" t="e">
        <f>#REF!</f>
        <v>#REF!</v>
      </c>
      <c r="AC48" s="6" t="e">
        <f>#REF!</f>
        <v>#REF!</v>
      </c>
      <c r="AD48" s="6" t="e">
        <f>#REF!</f>
        <v>#REF!</v>
      </c>
      <c r="AE48" s="6" t="e">
        <f>#REF!</f>
        <v>#REF!</v>
      </c>
      <c r="AF48" s="6" t="e">
        <f>#REF!</f>
        <v>#REF!</v>
      </c>
      <c r="AG48" s="6" t="e">
        <f>#REF!</f>
        <v>#REF!</v>
      </c>
      <c r="AH48" s="6" t="e">
        <f>#REF!</f>
        <v>#REF!</v>
      </c>
      <c r="AI48" s="6" t="e">
        <f>#REF!</f>
        <v>#REF!</v>
      </c>
      <c r="AJ48" s="6" t="e">
        <f>#REF!</f>
        <v>#REF!</v>
      </c>
      <c r="AK48" s="6" t="e">
        <f>#REF!</f>
        <v>#REF!</v>
      </c>
      <c r="AL48" s="6" t="e">
        <f>#REF!</f>
        <v>#REF!</v>
      </c>
    </row>
    <row r="49" spans="1:38" x14ac:dyDescent="0.25">
      <c r="A49" s="3" t="s">
        <v>243</v>
      </c>
      <c r="B49" s="126" t="e">
        <f>VLOOKUP(A49,$A$2:$AL$285,MATCH('Character Sheet'!$BJ$3,$A$1:$AL$1,0),FALSE)</f>
        <v>#REF!</v>
      </c>
      <c r="C49" s="6" t="e">
        <f>#REF!</f>
        <v>#REF!</v>
      </c>
      <c r="D49" s="6" t="e">
        <f>#REF!</f>
        <v>#REF!</v>
      </c>
      <c r="E49" s="6" t="e">
        <f>#REF!</f>
        <v>#REF!</v>
      </c>
      <c r="F49" s="6" t="e">
        <f>#REF!</f>
        <v>#REF!</v>
      </c>
      <c r="G49" s="6" t="e">
        <f>#REF!</f>
        <v>#REF!</v>
      </c>
      <c r="H49" s="6" t="e">
        <f>#REF!</f>
        <v>#REF!</v>
      </c>
      <c r="I49" s="6" t="e">
        <f>#REF!</f>
        <v>#REF!</v>
      </c>
      <c r="J49" s="6" t="e">
        <f>#REF!</f>
        <v>#REF!</v>
      </c>
      <c r="K49" s="6" t="e">
        <f>#REF!</f>
        <v>#REF!</v>
      </c>
      <c r="L49" s="6" t="e">
        <f>#REF!</f>
        <v>#REF!</v>
      </c>
      <c r="M49" s="6" t="e">
        <f>#REF!</f>
        <v>#REF!</v>
      </c>
      <c r="N49" s="6" t="e">
        <f>#REF!</f>
        <v>#REF!</v>
      </c>
      <c r="O49" s="6" t="e">
        <f>#REF!</f>
        <v>#REF!</v>
      </c>
      <c r="P49" s="6" t="e">
        <f>#REF!</f>
        <v>#REF!</v>
      </c>
      <c r="Q49" s="6" t="e">
        <f>#REF!</f>
        <v>#REF!</v>
      </c>
      <c r="R49" s="6" t="e">
        <f>#REF!</f>
        <v>#REF!</v>
      </c>
      <c r="S49" s="6" t="e">
        <f>#REF!</f>
        <v>#REF!</v>
      </c>
      <c r="T49" s="6" t="e">
        <f>#REF!</f>
        <v>#REF!</v>
      </c>
      <c r="U49" s="6" t="e">
        <f>#REF!</f>
        <v>#REF!</v>
      </c>
      <c r="V49" s="6" t="e">
        <f>#REF!</f>
        <v>#REF!</v>
      </c>
      <c r="W49" s="6" t="e">
        <f>#REF!</f>
        <v>#REF!</v>
      </c>
      <c r="X49" s="6" t="e">
        <f>#REF!</f>
        <v>#REF!</v>
      </c>
      <c r="Y49" s="6" t="e">
        <f>#REF!</f>
        <v>#REF!</v>
      </c>
      <c r="Z49" s="6" t="e">
        <f>#REF!</f>
        <v>#REF!</v>
      </c>
      <c r="AA49" s="6" t="e">
        <f>#REF!</f>
        <v>#REF!</v>
      </c>
      <c r="AB49" s="6" t="e">
        <f>#REF!</f>
        <v>#REF!</v>
      </c>
      <c r="AC49" s="6" t="e">
        <f>#REF!</f>
        <v>#REF!</v>
      </c>
      <c r="AD49" s="6" t="e">
        <f>#REF!</f>
        <v>#REF!</v>
      </c>
      <c r="AE49" s="6" t="e">
        <f>#REF!</f>
        <v>#REF!</v>
      </c>
      <c r="AF49" s="6" t="e">
        <f>#REF!</f>
        <v>#REF!</v>
      </c>
      <c r="AG49" s="6" t="e">
        <f>#REF!</f>
        <v>#REF!</v>
      </c>
      <c r="AH49" s="6" t="e">
        <f>#REF!</f>
        <v>#REF!</v>
      </c>
      <c r="AI49" s="6" t="e">
        <f>#REF!</f>
        <v>#REF!</v>
      </c>
      <c r="AJ49" s="6" t="e">
        <f>#REF!</f>
        <v>#REF!</v>
      </c>
      <c r="AK49" s="6" t="e">
        <f>#REF!</f>
        <v>#REF!</v>
      </c>
      <c r="AL49" s="6" t="e">
        <f>#REF!</f>
        <v>#REF!</v>
      </c>
    </row>
    <row r="50" spans="1:38" x14ac:dyDescent="0.25">
      <c r="A50" s="3" t="s">
        <v>597</v>
      </c>
      <c r="B50" s="126" t="e">
        <f>VLOOKUP(A50,$A$2:$AL$285,MATCH('Character Sheet'!$BJ$3,$A$1:$AL$1,0),FALSE)</f>
        <v>#REF!</v>
      </c>
      <c r="C50" s="6" t="e">
        <f>#REF!</f>
        <v>#REF!</v>
      </c>
      <c r="D50" s="6" t="e">
        <f>#REF!</f>
        <v>#REF!</v>
      </c>
      <c r="E50" s="6" t="e">
        <f>#REF!</f>
        <v>#REF!</v>
      </c>
      <c r="F50" s="6" t="e">
        <f>#REF!</f>
        <v>#REF!</v>
      </c>
      <c r="G50" s="6" t="e">
        <f>#REF!</f>
        <v>#REF!</v>
      </c>
      <c r="H50" s="6" t="e">
        <f>#REF!</f>
        <v>#REF!</v>
      </c>
      <c r="I50" s="6" t="e">
        <f>#REF!</f>
        <v>#REF!</v>
      </c>
      <c r="J50" s="6" t="e">
        <f>#REF!</f>
        <v>#REF!</v>
      </c>
      <c r="K50" s="6" t="e">
        <f>#REF!</f>
        <v>#REF!</v>
      </c>
      <c r="L50" s="6" t="e">
        <f>#REF!</f>
        <v>#REF!</v>
      </c>
      <c r="M50" s="6" t="e">
        <f>#REF!</f>
        <v>#REF!</v>
      </c>
      <c r="N50" s="6" t="e">
        <f>#REF!</f>
        <v>#REF!</v>
      </c>
      <c r="O50" s="6" t="e">
        <f>#REF!</f>
        <v>#REF!</v>
      </c>
      <c r="P50" s="6" t="e">
        <f>#REF!</f>
        <v>#REF!</v>
      </c>
      <c r="Q50" s="6" t="e">
        <f>#REF!</f>
        <v>#REF!</v>
      </c>
      <c r="R50" s="6" t="e">
        <f>#REF!</f>
        <v>#REF!</v>
      </c>
      <c r="S50" s="6" t="e">
        <f>#REF!</f>
        <v>#REF!</v>
      </c>
      <c r="T50" s="6" t="e">
        <f>#REF!</f>
        <v>#REF!</v>
      </c>
      <c r="U50" s="6" t="e">
        <f>#REF!</f>
        <v>#REF!</v>
      </c>
      <c r="V50" s="6" t="e">
        <f>#REF!</f>
        <v>#REF!</v>
      </c>
      <c r="W50" s="6" t="e">
        <f>#REF!</f>
        <v>#REF!</v>
      </c>
      <c r="X50" s="6" t="e">
        <f>#REF!</f>
        <v>#REF!</v>
      </c>
      <c r="Y50" s="6" t="e">
        <f>#REF!</f>
        <v>#REF!</v>
      </c>
      <c r="Z50" s="6" t="e">
        <f>#REF!</f>
        <v>#REF!</v>
      </c>
      <c r="AA50" s="6" t="e">
        <f>#REF!</f>
        <v>#REF!</v>
      </c>
      <c r="AB50" s="6" t="e">
        <f>#REF!</f>
        <v>#REF!</v>
      </c>
      <c r="AC50" s="6" t="e">
        <f>#REF!</f>
        <v>#REF!</v>
      </c>
      <c r="AD50" s="6" t="e">
        <f>#REF!</f>
        <v>#REF!</v>
      </c>
      <c r="AE50" s="6" t="e">
        <f>#REF!</f>
        <v>#REF!</v>
      </c>
      <c r="AF50" s="6" t="e">
        <f>#REF!</f>
        <v>#REF!</v>
      </c>
      <c r="AG50" s="6" t="e">
        <f>#REF!</f>
        <v>#REF!</v>
      </c>
      <c r="AH50" s="6" t="e">
        <f>#REF!</f>
        <v>#REF!</v>
      </c>
      <c r="AI50" s="6" t="e">
        <f>#REF!</f>
        <v>#REF!</v>
      </c>
      <c r="AJ50" s="6" t="e">
        <f>#REF!</f>
        <v>#REF!</v>
      </c>
      <c r="AK50" s="6" t="e">
        <f>#REF!</f>
        <v>#REF!</v>
      </c>
      <c r="AL50" s="6" t="e">
        <f>#REF!</f>
        <v>#REF!</v>
      </c>
    </row>
    <row r="51" spans="1:38" x14ac:dyDescent="0.25">
      <c r="A51" s="3" t="s">
        <v>598</v>
      </c>
      <c r="B51" s="126" t="e">
        <f>VLOOKUP(A51,$A$2:$AL$285,MATCH('Character Sheet'!$BJ$3,$A$1:$AL$1,0),FALSE)</f>
        <v>#REF!</v>
      </c>
      <c r="C51" s="6" t="e">
        <f>#REF!</f>
        <v>#REF!</v>
      </c>
      <c r="D51" s="6" t="e">
        <f>#REF!</f>
        <v>#REF!</v>
      </c>
      <c r="E51" s="6" t="e">
        <f>#REF!</f>
        <v>#REF!</v>
      </c>
      <c r="F51" s="6" t="e">
        <f>#REF!</f>
        <v>#REF!</v>
      </c>
      <c r="G51" s="6" t="e">
        <f>#REF!</f>
        <v>#REF!</v>
      </c>
      <c r="H51" s="6" t="e">
        <f>#REF!</f>
        <v>#REF!</v>
      </c>
      <c r="I51" s="6" t="e">
        <f>#REF!</f>
        <v>#REF!</v>
      </c>
      <c r="J51" s="6" t="e">
        <f>#REF!</f>
        <v>#REF!</v>
      </c>
      <c r="K51" s="6" t="e">
        <f>#REF!</f>
        <v>#REF!</v>
      </c>
      <c r="L51" s="6" t="e">
        <f>#REF!</f>
        <v>#REF!</v>
      </c>
      <c r="M51" s="6" t="e">
        <f>#REF!</f>
        <v>#REF!</v>
      </c>
      <c r="N51" s="6" t="e">
        <f>#REF!</f>
        <v>#REF!</v>
      </c>
      <c r="O51" s="6" t="e">
        <f>#REF!</f>
        <v>#REF!</v>
      </c>
      <c r="P51" s="6" t="e">
        <f>#REF!</f>
        <v>#REF!</v>
      </c>
      <c r="Q51" s="6" t="e">
        <f>#REF!</f>
        <v>#REF!</v>
      </c>
      <c r="R51" s="6" t="e">
        <f>#REF!</f>
        <v>#REF!</v>
      </c>
      <c r="S51" s="6" t="e">
        <f>#REF!</f>
        <v>#REF!</v>
      </c>
      <c r="T51" s="6" t="e">
        <f>#REF!</f>
        <v>#REF!</v>
      </c>
      <c r="U51" s="6" t="e">
        <f>#REF!</f>
        <v>#REF!</v>
      </c>
      <c r="V51" s="6" t="e">
        <f>#REF!</f>
        <v>#REF!</v>
      </c>
      <c r="W51" s="6" t="e">
        <f>#REF!</f>
        <v>#REF!</v>
      </c>
      <c r="X51" s="6" t="e">
        <f>#REF!</f>
        <v>#REF!</v>
      </c>
      <c r="Y51" s="6" t="e">
        <f>#REF!</f>
        <v>#REF!</v>
      </c>
      <c r="Z51" s="6" t="e">
        <f>#REF!</f>
        <v>#REF!</v>
      </c>
      <c r="AA51" s="6" t="e">
        <f>#REF!</f>
        <v>#REF!</v>
      </c>
      <c r="AB51" s="6" t="e">
        <f>#REF!</f>
        <v>#REF!</v>
      </c>
      <c r="AC51" s="6" t="e">
        <f>#REF!</f>
        <v>#REF!</v>
      </c>
      <c r="AD51" s="6" t="e">
        <f>#REF!</f>
        <v>#REF!</v>
      </c>
      <c r="AE51" s="6" t="e">
        <f>#REF!</f>
        <v>#REF!</v>
      </c>
      <c r="AF51" s="6" t="e">
        <f>#REF!</f>
        <v>#REF!</v>
      </c>
      <c r="AG51" s="6" t="e">
        <f>#REF!</f>
        <v>#REF!</v>
      </c>
      <c r="AH51" s="6" t="e">
        <f>#REF!</f>
        <v>#REF!</v>
      </c>
      <c r="AI51" s="6" t="e">
        <f>#REF!</f>
        <v>#REF!</v>
      </c>
      <c r="AJ51" s="6" t="e">
        <f>#REF!</f>
        <v>#REF!</v>
      </c>
      <c r="AK51" s="6" t="e">
        <f>#REF!</f>
        <v>#REF!</v>
      </c>
      <c r="AL51" s="6" t="e">
        <f>#REF!</f>
        <v>#REF!</v>
      </c>
    </row>
    <row r="52" spans="1:38" x14ac:dyDescent="0.25">
      <c r="A52" s="3" t="s">
        <v>228</v>
      </c>
      <c r="B52" s="126" t="e">
        <f>VLOOKUP(A52,$A$2:$AL$285,MATCH('Character Sheet'!$BJ$3,$A$1:$AL$1,0),FALSE)</f>
        <v>#REF!</v>
      </c>
      <c r="C52" s="6" t="e">
        <f>#REF!</f>
        <v>#REF!</v>
      </c>
      <c r="D52" s="6" t="e">
        <f>#REF!</f>
        <v>#REF!</v>
      </c>
      <c r="E52" s="6" t="e">
        <f>#REF!</f>
        <v>#REF!</v>
      </c>
      <c r="F52" s="6" t="e">
        <f>#REF!</f>
        <v>#REF!</v>
      </c>
      <c r="G52" s="6" t="e">
        <f>#REF!</f>
        <v>#REF!</v>
      </c>
      <c r="H52" s="6" t="e">
        <f>#REF!</f>
        <v>#REF!</v>
      </c>
      <c r="I52" s="6" t="e">
        <f>#REF!</f>
        <v>#REF!</v>
      </c>
      <c r="J52" s="6" t="e">
        <f>#REF!</f>
        <v>#REF!</v>
      </c>
      <c r="K52" s="6" t="e">
        <f>#REF!</f>
        <v>#REF!</v>
      </c>
      <c r="L52" s="6" t="e">
        <f>#REF!</f>
        <v>#REF!</v>
      </c>
      <c r="M52" s="6" t="e">
        <f>#REF!</f>
        <v>#REF!</v>
      </c>
      <c r="N52" s="6" t="e">
        <f>#REF!</f>
        <v>#REF!</v>
      </c>
      <c r="O52" s="6" t="e">
        <f>#REF!</f>
        <v>#REF!</v>
      </c>
      <c r="P52" s="6" t="e">
        <f>#REF!</f>
        <v>#REF!</v>
      </c>
      <c r="Q52" s="6" t="e">
        <f>#REF!</f>
        <v>#REF!</v>
      </c>
      <c r="R52" s="6" t="e">
        <f>#REF!</f>
        <v>#REF!</v>
      </c>
      <c r="S52" s="6" t="e">
        <f>#REF!</f>
        <v>#REF!</v>
      </c>
      <c r="T52" s="6" t="e">
        <f>#REF!</f>
        <v>#REF!</v>
      </c>
      <c r="U52" s="6" t="e">
        <f>#REF!</f>
        <v>#REF!</v>
      </c>
      <c r="V52" s="6" t="e">
        <f>#REF!</f>
        <v>#REF!</v>
      </c>
      <c r="W52" s="6" t="e">
        <f>#REF!</f>
        <v>#REF!</v>
      </c>
      <c r="X52" s="6" t="e">
        <f>#REF!</f>
        <v>#REF!</v>
      </c>
      <c r="Y52" s="6" t="e">
        <f>#REF!</f>
        <v>#REF!</v>
      </c>
      <c r="Z52" s="6" t="e">
        <f>#REF!</f>
        <v>#REF!</v>
      </c>
      <c r="AA52" s="6" t="e">
        <f>#REF!</f>
        <v>#REF!</v>
      </c>
      <c r="AB52" s="6" t="e">
        <f>#REF!</f>
        <v>#REF!</v>
      </c>
      <c r="AC52" s="6" t="e">
        <f>#REF!</f>
        <v>#REF!</v>
      </c>
      <c r="AD52" s="6" t="e">
        <f>#REF!</f>
        <v>#REF!</v>
      </c>
      <c r="AE52" s="6" t="e">
        <f>#REF!</f>
        <v>#REF!</v>
      </c>
      <c r="AF52" s="6" t="e">
        <f>#REF!</f>
        <v>#REF!</v>
      </c>
      <c r="AG52" s="6" t="e">
        <f>#REF!</f>
        <v>#REF!</v>
      </c>
      <c r="AH52" s="6" t="e">
        <f>#REF!</f>
        <v>#REF!</v>
      </c>
      <c r="AI52" s="6" t="e">
        <f>#REF!</f>
        <v>#REF!</v>
      </c>
      <c r="AJ52" s="6" t="e">
        <f>#REF!</f>
        <v>#REF!</v>
      </c>
      <c r="AK52" s="6" t="e">
        <f>#REF!</f>
        <v>#REF!</v>
      </c>
      <c r="AL52" s="6" t="e">
        <f>#REF!</f>
        <v>#REF!</v>
      </c>
    </row>
    <row r="53" spans="1:38" x14ac:dyDescent="0.25">
      <c r="A53" s="3" t="s">
        <v>586</v>
      </c>
      <c r="B53" s="126" t="e">
        <f>VLOOKUP(A53,$A$2:$AL$285,MATCH('Character Sheet'!$BJ$3,$A$1:$AL$1,0),FALSE)</f>
        <v>#REF!</v>
      </c>
      <c r="C53" s="6" t="e">
        <f>#REF!</f>
        <v>#REF!</v>
      </c>
      <c r="D53" s="6" t="e">
        <f>#REF!</f>
        <v>#REF!</v>
      </c>
      <c r="E53" s="6" t="e">
        <f>#REF!</f>
        <v>#REF!</v>
      </c>
      <c r="F53" s="6" t="e">
        <f>#REF!</f>
        <v>#REF!</v>
      </c>
      <c r="G53" s="6" t="e">
        <f>#REF!</f>
        <v>#REF!</v>
      </c>
      <c r="H53" s="6" t="e">
        <f>#REF!</f>
        <v>#REF!</v>
      </c>
      <c r="I53" s="6" t="e">
        <f>#REF!</f>
        <v>#REF!</v>
      </c>
      <c r="J53" s="6" t="e">
        <f>#REF!</f>
        <v>#REF!</v>
      </c>
      <c r="K53" s="6" t="e">
        <f>#REF!</f>
        <v>#REF!</v>
      </c>
      <c r="L53" s="6" t="e">
        <f>#REF!</f>
        <v>#REF!</v>
      </c>
      <c r="M53" s="6" t="e">
        <f>#REF!</f>
        <v>#REF!</v>
      </c>
      <c r="N53" s="6" t="e">
        <f>#REF!</f>
        <v>#REF!</v>
      </c>
      <c r="O53" s="6" t="e">
        <f>#REF!</f>
        <v>#REF!</v>
      </c>
      <c r="P53" s="6" t="e">
        <f>#REF!</f>
        <v>#REF!</v>
      </c>
      <c r="Q53" s="6" t="e">
        <f>#REF!</f>
        <v>#REF!</v>
      </c>
      <c r="R53" s="6" t="e">
        <f>#REF!</f>
        <v>#REF!</v>
      </c>
      <c r="S53" s="6" t="e">
        <f>#REF!</f>
        <v>#REF!</v>
      </c>
      <c r="T53" s="6" t="e">
        <f>#REF!</f>
        <v>#REF!</v>
      </c>
      <c r="U53" s="6" t="e">
        <f>#REF!</f>
        <v>#REF!</v>
      </c>
      <c r="V53" s="6" t="e">
        <f>#REF!</f>
        <v>#REF!</v>
      </c>
      <c r="W53" s="6" t="e">
        <f>#REF!</f>
        <v>#REF!</v>
      </c>
      <c r="X53" s="6" t="e">
        <f>#REF!</f>
        <v>#REF!</v>
      </c>
      <c r="Y53" s="6" t="e">
        <f>#REF!</f>
        <v>#REF!</v>
      </c>
      <c r="Z53" s="6" t="e">
        <f>#REF!</f>
        <v>#REF!</v>
      </c>
      <c r="AA53" s="6" t="e">
        <f>#REF!</f>
        <v>#REF!</v>
      </c>
      <c r="AB53" s="6" t="e">
        <f>#REF!</f>
        <v>#REF!</v>
      </c>
      <c r="AC53" s="6" t="e">
        <f>#REF!</f>
        <v>#REF!</v>
      </c>
      <c r="AD53" s="6" t="e">
        <f>#REF!</f>
        <v>#REF!</v>
      </c>
      <c r="AE53" s="6" t="e">
        <f>#REF!</f>
        <v>#REF!</v>
      </c>
      <c r="AF53" s="6" t="e">
        <f>#REF!</f>
        <v>#REF!</v>
      </c>
      <c r="AG53" s="6" t="e">
        <f>#REF!</f>
        <v>#REF!</v>
      </c>
      <c r="AH53" s="6" t="e">
        <f>#REF!</f>
        <v>#REF!</v>
      </c>
      <c r="AI53" s="6" t="e">
        <f>#REF!</f>
        <v>#REF!</v>
      </c>
      <c r="AJ53" s="6" t="e">
        <f>#REF!</f>
        <v>#REF!</v>
      </c>
      <c r="AK53" s="6" t="e">
        <f>#REF!</f>
        <v>#REF!</v>
      </c>
      <c r="AL53" s="6" t="e">
        <f>#REF!</f>
        <v>#REF!</v>
      </c>
    </row>
    <row r="54" spans="1:38" x14ac:dyDescent="0.25">
      <c r="A54" s="3" t="s">
        <v>244</v>
      </c>
      <c r="B54" s="126" t="e">
        <f>VLOOKUP(A54,$A$2:$AL$285,MATCH('Character Sheet'!$BJ$3,$A$1:$AL$1,0),FALSE)</f>
        <v>#REF!</v>
      </c>
      <c r="C54" s="6" t="e">
        <f>#REF!</f>
        <v>#REF!</v>
      </c>
      <c r="D54" s="6" t="e">
        <f>#REF!</f>
        <v>#REF!</v>
      </c>
      <c r="E54" s="6" t="e">
        <f>#REF!</f>
        <v>#REF!</v>
      </c>
      <c r="F54" s="6" t="e">
        <f>#REF!</f>
        <v>#REF!</v>
      </c>
      <c r="G54" s="6" t="e">
        <f>#REF!</f>
        <v>#REF!</v>
      </c>
      <c r="H54" s="6" t="e">
        <f>#REF!</f>
        <v>#REF!</v>
      </c>
      <c r="I54" s="6" t="e">
        <f>#REF!</f>
        <v>#REF!</v>
      </c>
      <c r="J54" s="6" t="e">
        <f>#REF!</f>
        <v>#REF!</v>
      </c>
      <c r="K54" s="6" t="e">
        <f>#REF!</f>
        <v>#REF!</v>
      </c>
      <c r="L54" s="6" t="e">
        <f>#REF!</f>
        <v>#REF!</v>
      </c>
      <c r="M54" s="6" t="e">
        <f>#REF!</f>
        <v>#REF!</v>
      </c>
      <c r="N54" s="6" t="e">
        <f>#REF!</f>
        <v>#REF!</v>
      </c>
      <c r="O54" s="6" t="e">
        <f>#REF!</f>
        <v>#REF!</v>
      </c>
      <c r="P54" s="6" t="e">
        <f>#REF!</f>
        <v>#REF!</v>
      </c>
      <c r="Q54" s="6" t="e">
        <f>#REF!</f>
        <v>#REF!</v>
      </c>
      <c r="R54" s="6" t="e">
        <f>#REF!</f>
        <v>#REF!</v>
      </c>
      <c r="S54" s="6" t="e">
        <f>#REF!</f>
        <v>#REF!</v>
      </c>
      <c r="T54" s="6" t="e">
        <f>#REF!</f>
        <v>#REF!</v>
      </c>
      <c r="U54" s="6" t="e">
        <f>#REF!</f>
        <v>#REF!</v>
      </c>
      <c r="V54" s="6" t="e">
        <f>#REF!</f>
        <v>#REF!</v>
      </c>
      <c r="W54" s="6" t="e">
        <f>#REF!</f>
        <v>#REF!</v>
      </c>
      <c r="X54" s="6" t="e">
        <f>#REF!</f>
        <v>#REF!</v>
      </c>
      <c r="Y54" s="6" t="e">
        <f>#REF!</f>
        <v>#REF!</v>
      </c>
      <c r="Z54" s="6" t="e">
        <f>#REF!</f>
        <v>#REF!</v>
      </c>
      <c r="AA54" s="6" t="e">
        <f>#REF!</f>
        <v>#REF!</v>
      </c>
      <c r="AB54" s="6" t="e">
        <f>#REF!</f>
        <v>#REF!</v>
      </c>
      <c r="AC54" s="6" t="e">
        <f>#REF!</f>
        <v>#REF!</v>
      </c>
      <c r="AD54" s="6" t="e">
        <f>#REF!</f>
        <v>#REF!</v>
      </c>
      <c r="AE54" s="6" t="e">
        <f>#REF!</f>
        <v>#REF!</v>
      </c>
      <c r="AF54" s="6" t="e">
        <f>#REF!</f>
        <v>#REF!</v>
      </c>
      <c r="AG54" s="6" t="e">
        <f>#REF!</f>
        <v>#REF!</v>
      </c>
      <c r="AH54" s="6" t="e">
        <f>#REF!</f>
        <v>#REF!</v>
      </c>
      <c r="AI54" s="6" t="e">
        <f>#REF!</f>
        <v>#REF!</v>
      </c>
      <c r="AJ54" s="6" t="e">
        <f>#REF!</f>
        <v>#REF!</v>
      </c>
      <c r="AK54" s="6" t="e">
        <f>#REF!</f>
        <v>#REF!</v>
      </c>
      <c r="AL54" s="6" t="e">
        <f>#REF!</f>
        <v>#REF!</v>
      </c>
    </row>
    <row r="55" spans="1:38" x14ac:dyDescent="0.25">
      <c r="A55" s="3" t="s">
        <v>229</v>
      </c>
      <c r="B55" s="126" t="e">
        <f>VLOOKUP(A55,$A$2:$AL$285,MATCH('Character Sheet'!$BJ$3,$A$1:$AL$1,0),FALSE)</f>
        <v>#REF!</v>
      </c>
      <c r="C55" s="6" t="e">
        <f>#REF!</f>
        <v>#REF!</v>
      </c>
      <c r="D55" s="6" t="e">
        <f>#REF!</f>
        <v>#REF!</v>
      </c>
      <c r="E55" s="6" t="e">
        <f>#REF!</f>
        <v>#REF!</v>
      </c>
      <c r="F55" s="6" t="e">
        <f>#REF!</f>
        <v>#REF!</v>
      </c>
      <c r="G55" s="6" t="e">
        <f>#REF!</f>
        <v>#REF!</v>
      </c>
      <c r="H55" s="6" t="e">
        <f>#REF!</f>
        <v>#REF!</v>
      </c>
      <c r="I55" s="6" t="e">
        <f>#REF!</f>
        <v>#REF!</v>
      </c>
      <c r="J55" s="6" t="e">
        <f>#REF!</f>
        <v>#REF!</v>
      </c>
      <c r="K55" s="6" t="e">
        <f>#REF!</f>
        <v>#REF!</v>
      </c>
      <c r="L55" s="6" t="e">
        <f>#REF!</f>
        <v>#REF!</v>
      </c>
      <c r="M55" s="6" t="e">
        <f>#REF!</f>
        <v>#REF!</v>
      </c>
      <c r="N55" s="6" t="e">
        <f>#REF!</f>
        <v>#REF!</v>
      </c>
      <c r="O55" s="6" t="e">
        <f>#REF!</f>
        <v>#REF!</v>
      </c>
      <c r="P55" s="6" t="e">
        <f>#REF!</f>
        <v>#REF!</v>
      </c>
      <c r="Q55" s="6" t="e">
        <f>#REF!</f>
        <v>#REF!</v>
      </c>
      <c r="R55" s="6" t="e">
        <f>#REF!</f>
        <v>#REF!</v>
      </c>
      <c r="S55" s="6" t="e">
        <f>#REF!</f>
        <v>#REF!</v>
      </c>
      <c r="T55" s="6" t="e">
        <f>#REF!</f>
        <v>#REF!</v>
      </c>
      <c r="U55" s="6" t="e">
        <f>#REF!</f>
        <v>#REF!</v>
      </c>
      <c r="V55" s="6" t="e">
        <f>#REF!</f>
        <v>#REF!</v>
      </c>
      <c r="W55" s="6" t="e">
        <f>#REF!</f>
        <v>#REF!</v>
      </c>
      <c r="X55" s="6" t="e">
        <f>#REF!</f>
        <v>#REF!</v>
      </c>
      <c r="Y55" s="6" t="e">
        <f>#REF!</f>
        <v>#REF!</v>
      </c>
      <c r="Z55" s="6" t="e">
        <f>#REF!</f>
        <v>#REF!</v>
      </c>
      <c r="AA55" s="6" t="e">
        <f>#REF!</f>
        <v>#REF!</v>
      </c>
      <c r="AB55" s="6" t="e">
        <f>#REF!</f>
        <v>#REF!</v>
      </c>
      <c r="AC55" s="6" t="e">
        <f>#REF!</f>
        <v>#REF!</v>
      </c>
      <c r="AD55" s="6" t="e">
        <f>#REF!</f>
        <v>#REF!</v>
      </c>
      <c r="AE55" s="6" t="e">
        <f>#REF!</f>
        <v>#REF!</v>
      </c>
      <c r="AF55" s="6" t="e">
        <f>#REF!</f>
        <v>#REF!</v>
      </c>
      <c r="AG55" s="6" t="e">
        <f>#REF!</f>
        <v>#REF!</v>
      </c>
      <c r="AH55" s="6" t="e">
        <f>#REF!</f>
        <v>#REF!</v>
      </c>
      <c r="AI55" s="6" t="e">
        <f>#REF!</f>
        <v>#REF!</v>
      </c>
      <c r="AJ55" s="6" t="e">
        <f>#REF!</f>
        <v>#REF!</v>
      </c>
      <c r="AK55" s="6" t="e">
        <f>#REF!</f>
        <v>#REF!</v>
      </c>
      <c r="AL55" s="6" t="e">
        <f>#REF!</f>
        <v>#REF!</v>
      </c>
    </row>
    <row r="56" spans="1:38" x14ac:dyDescent="0.25">
      <c r="A56" s="3" t="s">
        <v>230</v>
      </c>
      <c r="B56" s="126" t="e">
        <f>VLOOKUP(A56,$A$2:$AL$285,MATCH('Character Sheet'!$BJ$3,$A$1:$AL$1,0),FALSE)</f>
        <v>#REF!</v>
      </c>
      <c r="C56" s="6" t="e">
        <f>#REF!</f>
        <v>#REF!</v>
      </c>
      <c r="D56" s="6" t="e">
        <f>#REF!</f>
        <v>#REF!</v>
      </c>
      <c r="E56" s="6" t="e">
        <f>#REF!</f>
        <v>#REF!</v>
      </c>
      <c r="F56" s="6" t="e">
        <f>#REF!</f>
        <v>#REF!</v>
      </c>
      <c r="G56" s="6" t="e">
        <f>#REF!</f>
        <v>#REF!</v>
      </c>
      <c r="H56" s="6" t="e">
        <f>#REF!</f>
        <v>#REF!</v>
      </c>
      <c r="I56" s="6" t="e">
        <f>#REF!</f>
        <v>#REF!</v>
      </c>
      <c r="J56" s="6" t="e">
        <f>#REF!</f>
        <v>#REF!</v>
      </c>
      <c r="K56" s="6" t="e">
        <f>#REF!</f>
        <v>#REF!</v>
      </c>
      <c r="L56" s="6" t="e">
        <f>#REF!</f>
        <v>#REF!</v>
      </c>
      <c r="M56" s="6" t="e">
        <f>#REF!</f>
        <v>#REF!</v>
      </c>
      <c r="N56" s="6" t="e">
        <f>#REF!</f>
        <v>#REF!</v>
      </c>
      <c r="O56" s="6" t="e">
        <f>#REF!</f>
        <v>#REF!</v>
      </c>
      <c r="P56" s="6" t="e">
        <f>#REF!</f>
        <v>#REF!</v>
      </c>
      <c r="Q56" s="6" t="e">
        <f>#REF!</f>
        <v>#REF!</v>
      </c>
      <c r="R56" s="6" t="e">
        <f>#REF!</f>
        <v>#REF!</v>
      </c>
      <c r="S56" s="6" t="e">
        <f>#REF!</f>
        <v>#REF!</v>
      </c>
      <c r="T56" s="6" t="e">
        <f>#REF!</f>
        <v>#REF!</v>
      </c>
      <c r="U56" s="6" t="e">
        <f>#REF!</f>
        <v>#REF!</v>
      </c>
      <c r="V56" s="6" t="e">
        <f>#REF!</f>
        <v>#REF!</v>
      </c>
      <c r="W56" s="6" t="e">
        <f>#REF!</f>
        <v>#REF!</v>
      </c>
      <c r="X56" s="6" t="e">
        <f>#REF!</f>
        <v>#REF!</v>
      </c>
      <c r="Y56" s="6" t="e">
        <f>#REF!</f>
        <v>#REF!</v>
      </c>
      <c r="Z56" s="6" t="e">
        <f>#REF!</f>
        <v>#REF!</v>
      </c>
      <c r="AA56" s="6" t="e">
        <f>#REF!</f>
        <v>#REF!</v>
      </c>
      <c r="AB56" s="6" t="e">
        <f>#REF!</f>
        <v>#REF!</v>
      </c>
      <c r="AC56" s="6" t="e">
        <f>#REF!</f>
        <v>#REF!</v>
      </c>
      <c r="AD56" s="6" t="e">
        <f>#REF!</f>
        <v>#REF!</v>
      </c>
      <c r="AE56" s="6" t="e">
        <f>#REF!</f>
        <v>#REF!</v>
      </c>
      <c r="AF56" s="6" t="e">
        <f>#REF!</f>
        <v>#REF!</v>
      </c>
      <c r="AG56" s="6" t="e">
        <f>#REF!</f>
        <v>#REF!</v>
      </c>
      <c r="AH56" s="6" t="e">
        <f>#REF!</f>
        <v>#REF!</v>
      </c>
      <c r="AI56" s="6" t="e">
        <f>#REF!</f>
        <v>#REF!</v>
      </c>
      <c r="AJ56" s="6" t="e">
        <f>#REF!</f>
        <v>#REF!</v>
      </c>
      <c r="AK56" s="6" t="e">
        <f>#REF!</f>
        <v>#REF!</v>
      </c>
      <c r="AL56" s="6" t="e">
        <f>#REF!</f>
        <v>#REF!</v>
      </c>
    </row>
    <row r="57" spans="1:38" x14ac:dyDescent="0.25">
      <c r="A57" s="3" t="s">
        <v>231</v>
      </c>
      <c r="B57" s="126" t="e">
        <f>VLOOKUP(A57,$A$2:$AL$285,MATCH('Character Sheet'!$BJ$3,$A$1:$AL$1,0),FALSE)</f>
        <v>#REF!</v>
      </c>
      <c r="C57" s="6" t="e">
        <f>#REF!</f>
        <v>#REF!</v>
      </c>
      <c r="D57" s="6" t="e">
        <f>#REF!</f>
        <v>#REF!</v>
      </c>
      <c r="E57" s="6" t="e">
        <f>#REF!</f>
        <v>#REF!</v>
      </c>
      <c r="F57" s="6" t="e">
        <f>#REF!</f>
        <v>#REF!</v>
      </c>
      <c r="G57" s="6" t="e">
        <f>#REF!</f>
        <v>#REF!</v>
      </c>
      <c r="H57" s="6" t="e">
        <f>#REF!</f>
        <v>#REF!</v>
      </c>
      <c r="I57" s="6" t="e">
        <f>#REF!</f>
        <v>#REF!</v>
      </c>
      <c r="J57" s="6" t="e">
        <f>#REF!</f>
        <v>#REF!</v>
      </c>
      <c r="K57" s="6" t="e">
        <f>#REF!</f>
        <v>#REF!</v>
      </c>
      <c r="L57" s="6" t="e">
        <f>#REF!</f>
        <v>#REF!</v>
      </c>
      <c r="M57" s="6" t="e">
        <f>#REF!</f>
        <v>#REF!</v>
      </c>
      <c r="N57" s="6" t="e">
        <f>#REF!</f>
        <v>#REF!</v>
      </c>
      <c r="O57" s="6" t="e">
        <f>#REF!</f>
        <v>#REF!</v>
      </c>
      <c r="P57" s="6" t="e">
        <f>#REF!</f>
        <v>#REF!</v>
      </c>
      <c r="Q57" s="6" t="e">
        <f>#REF!</f>
        <v>#REF!</v>
      </c>
      <c r="R57" s="6" t="e">
        <f>#REF!</f>
        <v>#REF!</v>
      </c>
      <c r="S57" s="6" t="e">
        <f>#REF!</f>
        <v>#REF!</v>
      </c>
      <c r="T57" s="6" t="e">
        <f>#REF!</f>
        <v>#REF!</v>
      </c>
      <c r="U57" s="6" t="e">
        <f>#REF!</f>
        <v>#REF!</v>
      </c>
      <c r="V57" s="6" t="e">
        <f>#REF!</f>
        <v>#REF!</v>
      </c>
      <c r="W57" s="6" t="e">
        <f>#REF!</f>
        <v>#REF!</v>
      </c>
      <c r="X57" s="6" t="e">
        <f>#REF!</f>
        <v>#REF!</v>
      </c>
      <c r="Y57" s="6" t="e">
        <f>#REF!</f>
        <v>#REF!</v>
      </c>
      <c r="Z57" s="6" t="e">
        <f>#REF!</f>
        <v>#REF!</v>
      </c>
      <c r="AA57" s="6" t="e">
        <f>#REF!</f>
        <v>#REF!</v>
      </c>
      <c r="AB57" s="6" t="e">
        <f>#REF!</f>
        <v>#REF!</v>
      </c>
      <c r="AC57" s="6" t="e">
        <f>#REF!</f>
        <v>#REF!</v>
      </c>
      <c r="AD57" s="6" t="e">
        <f>#REF!</f>
        <v>#REF!</v>
      </c>
      <c r="AE57" s="6" t="e">
        <f>#REF!</f>
        <v>#REF!</v>
      </c>
      <c r="AF57" s="6" t="e">
        <f>#REF!</f>
        <v>#REF!</v>
      </c>
      <c r="AG57" s="6" t="e">
        <f>#REF!</f>
        <v>#REF!</v>
      </c>
      <c r="AH57" s="6" t="e">
        <f>#REF!</f>
        <v>#REF!</v>
      </c>
      <c r="AI57" s="6" t="e">
        <f>#REF!</f>
        <v>#REF!</v>
      </c>
      <c r="AJ57" s="6" t="e">
        <f>#REF!</f>
        <v>#REF!</v>
      </c>
      <c r="AK57" s="6" t="e">
        <f>#REF!</f>
        <v>#REF!</v>
      </c>
      <c r="AL57" s="6" t="e">
        <f>#REF!</f>
        <v>#REF!</v>
      </c>
    </row>
    <row r="58" spans="1:38" x14ac:dyDescent="0.25">
      <c r="A58" s="3" t="s">
        <v>232</v>
      </c>
      <c r="B58" s="126" t="e">
        <f>VLOOKUP(A58,$A$2:$AL$285,MATCH('Character Sheet'!$BJ$3,$A$1:$AL$1,0),FALSE)</f>
        <v>#REF!</v>
      </c>
      <c r="C58" s="6" t="e">
        <f>#REF!</f>
        <v>#REF!</v>
      </c>
      <c r="D58" s="6" t="e">
        <f>#REF!</f>
        <v>#REF!</v>
      </c>
      <c r="E58" s="6" t="e">
        <f>#REF!</f>
        <v>#REF!</v>
      </c>
      <c r="F58" s="6" t="e">
        <f>#REF!</f>
        <v>#REF!</v>
      </c>
      <c r="G58" s="6" t="e">
        <f>#REF!</f>
        <v>#REF!</v>
      </c>
      <c r="H58" s="6" t="e">
        <f>#REF!</f>
        <v>#REF!</v>
      </c>
      <c r="I58" s="6" t="e">
        <f>#REF!</f>
        <v>#REF!</v>
      </c>
      <c r="J58" s="6" t="e">
        <f>#REF!</f>
        <v>#REF!</v>
      </c>
      <c r="K58" s="6" t="e">
        <f>#REF!</f>
        <v>#REF!</v>
      </c>
      <c r="L58" s="6" t="e">
        <f>#REF!</f>
        <v>#REF!</v>
      </c>
      <c r="M58" s="6" t="e">
        <f>#REF!</f>
        <v>#REF!</v>
      </c>
      <c r="N58" s="6" t="e">
        <f>#REF!</f>
        <v>#REF!</v>
      </c>
      <c r="O58" s="6" t="e">
        <f>#REF!</f>
        <v>#REF!</v>
      </c>
      <c r="P58" s="6" t="e">
        <f>#REF!</f>
        <v>#REF!</v>
      </c>
      <c r="Q58" s="6" t="e">
        <f>#REF!</f>
        <v>#REF!</v>
      </c>
      <c r="R58" s="6" t="e">
        <f>#REF!</f>
        <v>#REF!</v>
      </c>
      <c r="S58" s="6" t="e">
        <f>#REF!</f>
        <v>#REF!</v>
      </c>
      <c r="T58" s="6" t="e">
        <f>#REF!</f>
        <v>#REF!</v>
      </c>
      <c r="U58" s="6" t="e">
        <f>#REF!</f>
        <v>#REF!</v>
      </c>
      <c r="V58" s="6" t="e">
        <f>#REF!</f>
        <v>#REF!</v>
      </c>
      <c r="W58" s="6" t="e">
        <f>#REF!</f>
        <v>#REF!</v>
      </c>
      <c r="X58" s="6" t="e">
        <f>#REF!</f>
        <v>#REF!</v>
      </c>
      <c r="Y58" s="6" t="e">
        <f>#REF!</f>
        <v>#REF!</v>
      </c>
      <c r="Z58" s="6" t="e">
        <f>#REF!</f>
        <v>#REF!</v>
      </c>
      <c r="AA58" s="6" t="e">
        <f>#REF!</f>
        <v>#REF!</v>
      </c>
      <c r="AB58" s="6" t="e">
        <f>#REF!</f>
        <v>#REF!</v>
      </c>
      <c r="AC58" s="6" t="e">
        <f>#REF!</f>
        <v>#REF!</v>
      </c>
      <c r="AD58" s="6" t="e">
        <f>#REF!</f>
        <v>#REF!</v>
      </c>
      <c r="AE58" s="6" t="e">
        <f>#REF!</f>
        <v>#REF!</v>
      </c>
      <c r="AF58" s="6" t="e">
        <f>#REF!</f>
        <v>#REF!</v>
      </c>
      <c r="AG58" s="6" t="e">
        <f>#REF!</f>
        <v>#REF!</v>
      </c>
      <c r="AH58" s="6" t="e">
        <f>#REF!</f>
        <v>#REF!</v>
      </c>
      <c r="AI58" s="6" t="e">
        <f>#REF!</f>
        <v>#REF!</v>
      </c>
      <c r="AJ58" s="6" t="e">
        <f>#REF!</f>
        <v>#REF!</v>
      </c>
      <c r="AK58" s="6" t="e">
        <f>#REF!</f>
        <v>#REF!</v>
      </c>
      <c r="AL58" s="6" t="e">
        <f>#REF!</f>
        <v>#REF!</v>
      </c>
    </row>
    <row r="59" spans="1:38" x14ac:dyDescent="0.25">
      <c r="A59" s="3" t="s">
        <v>591</v>
      </c>
      <c r="B59" s="126" t="e">
        <f>VLOOKUP(A59,$A$2:$AL$285,MATCH('Character Sheet'!$BJ$3,$A$1:$AL$1,0),FALSE)</f>
        <v>#REF!</v>
      </c>
      <c r="C59" s="6" t="e">
        <f>#REF!</f>
        <v>#REF!</v>
      </c>
      <c r="D59" s="6" t="e">
        <f>#REF!</f>
        <v>#REF!</v>
      </c>
      <c r="E59" s="6" t="e">
        <f>#REF!</f>
        <v>#REF!</v>
      </c>
      <c r="F59" s="6" t="e">
        <f>#REF!</f>
        <v>#REF!</v>
      </c>
      <c r="G59" s="6" t="e">
        <f>#REF!</f>
        <v>#REF!</v>
      </c>
      <c r="H59" s="6" t="e">
        <f>#REF!</f>
        <v>#REF!</v>
      </c>
      <c r="I59" s="6" t="e">
        <f>#REF!</f>
        <v>#REF!</v>
      </c>
      <c r="J59" s="6" t="e">
        <f>#REF!</f>
        <v>#REF!</v>
      </c>
      <c r="K59" s="6" t="e">
        <f>#REF!</f>
        <v>#REF!</v>
      </c>
      <c r="L59" s="6" t="e">
        <f>#REF!</f>
        <v>#REF!</v>
      </c>
      <c r="M59" s="6" t="e">
        <f>#REF!</f>
        <v>#REF!</v>
      </c>
      <c r="N59" s="6" t="e">
        <f>#REF!</f>
        <v>#REF!</v>
      </c>
      <c r="O59" s="6" t="e">
        <f>#REF!</f>
        <v>#REF!</v>
      </c>
      <c r="P59" s="6" t="e">
        <f>#REF!</f>
        <v>#REF!</v>
      </c>
      <c r="Q59" s="6" t="e">
        <f>#REF!</f>
        <v>#REF!</v>
      </c>
      <c r="R59" s="6" t="e">
        <f>#REF!</f>
        <v>#REF!</v>
      </c>
      <c r="S59" s="6" t="e">
        <f>#REF!</f>
        <v>#REF!</v>
      </c>
      <c r="T59" s="6" t="e">
        <f>#REF!</f>
        <v>#REF!</v>
      </c>
      <c r="U59" s="6" t="e">
        <f>#REF!</f>
        <v>#REF!</v>
      </c>
      <c r="V59" s="6" t="e">
        <f>#REF!</f>
        <v>#REF!</v>
      </c>
      <c r="W59" s="6" t="e">
        <f>#REF!</f>
        <v>#REF!</v>
      </c>
      <c r="X59" s="6" t="e">
        <f>#REF!</f>
        <v>#REF!</v>
      </c>
      <c r="Y59" s="6" t="e">
        <f>#REF!</f>
        <v>#REF!</v>
      </c>
      <c r="Z59" s="6" t="e">
        <f>#REF!</f>
        <v>#REF!</v>
      </c>
      <c r="AA59" s="6" t="e">
        <f>#REF!</f>
        <v>#REF!</v>
      </c>
      <c r="AB59" s="6" t="e">
        <f>#REF!</f>
        <v>#REF!</v>
      </c>
      <c r="AC59" s="6" t="e">
        <f>#REF!</f>
        <v>#REF!</v>
      </c>
      <c r="AD59" s="6" t="e">
        <f>#REF!</f>
        <v>#REF!</v>
      </c>
      <c r="AE59" s="6" t="e">
        <f>#REF!</f>
        <v>#REF!</v>
      </c>
      <c r="AF59" s="6" t="e">
        <f>#REF!</f>
        <v>#REF!</v>
      </c>
      <c r="AG59" s="6" t="e">
        <f>#REF!</f>
        <v>#REF!</v>
      </c>
      <c r="AH59" s="6" t="e">
        <f>#REF!</f>
        <v>#REF!</v>
      </c>
      <c r="AI59" s="6" t="e">
        <f>#REF!</f>
        <v>#REF!</v>
      </c>
      <c r="AJ59" s="6" t="e">
        <f>#REF!</f>
        <v>#REF!</v>
      </c>
      <c r="AK59" s="6" t="e">
        <f>#REF!</f>
        <v>#REF!</v>
      </c>
      <c r="AL59" s="6" t="e">
        <f>#REF!</f>
        <v>#REF!</v>
      </c>
    </row>
    <row r="60" spans="1:38" x14ac:dyDescent="0.25">
      <c r="A60" s="3" t="s">
        <v>233</v>
      </c>
      <c r="B60" s="126" t="e">
        <f>VLOOKUP(A60,$A$2:$AL$285,MATCH('Character Sheet'!$BJ$3,$A$1:$AL$1,0),FALSE)</f>
        <v>#REF!</v>
      </c>
      <c r="C60" s="6" t="e">
        <f>#REF!</f>
        <v>#REF!</v>
      </c>
      <c r="D60" s="6" t="e">
        <f>#REF!</f>
        <v>#REF!</v>
      </c>
      <c r="E60" s="6" t="e">
        <f>#REF!</f>
        <v>#REF!</v>
      </c>
      <c r="F60" s="6" t="e">
        <f>#REF!</f>
        <v>#REF!</v>
      </c>
      <c r="G60" s="6" t="e">
        <f>#REF!</f>
        <v>#REF!</v>
      </c>
      <c r="H60" s="6" t="e">
        <f>#REF!</f>
        <v>#REF!</v>
      </c>
      <c r="I60" s="6" t="e">
        <f>#REF!</f>
        <v>#REF!</v>
      </c>
      <c r="J60" s="6" t="e">
        <f>#REF!</f>
        <v>#REF!</v>
      </c>
      <c r="K60" s="6" t="e">
        <f>#REF!</f>
        <v>#REF!</v>
      </c>
      <c r="L60" s="6" t="e">
        <f>#REF!</f>
        <v>#REF!</v>
      </c>
      <c r="M60" s="6" t="e">
        <f>#REF!</f>
        <v>#REF!</v>
      </c>
      <c r="N60" s="6" t="e">
        <f>#REF!</f>
        <v>#REF!</v>
      </c>
      <c r="O60" s="6" t="e">
        <f>#REF!</f>
        <v>#REF!</v>
      </c>
      <c r="P60" s="6" t="e">
        <f>#REF!</f>
        <v>#REF!</v>
      </c>
      <c r="Q60" s="6" t="e">
        <f>#REF!</f>
        <v>#REF!</v>
      </c>
      <c r="R60" s="6" t="e">
        <f>#REF!</f>
        <v>#REF!</v>
      </c>
      <c r="S60" s="6" t="e">
        <f>#REF!</f>
        <v>#REF!</v>
      </c>
      <c r="T60" s="6" t="e">
        <f>#REF!</f>
        <v>#REF!</v>
      </c>
      <c r="U60" s="6" t="e">
        <f>#REF!</f>
        <v>#REF!</v>
      </c>
      <c r="V60" s="6" t="e">
        <f>#REF!</f>
        <v>#REF!</v>
      </c>
      <c r="W60" s="6" t="e">
        <f>#REF!</f>
        <v>#REF!</v>
      </c>
      <c r="X60" s="6" t="e">
        <f>#REF!</f>
        <v>#REF!</v>
      </c>
      <c r="Y60" s="6" t="e">
        <f>#REF!</f>
        <v>#REF!</v>
      </c>
      <c r="Z60" s="6" t="e">
        <f>#REF!</f>
        <v>#REF!</v>
      </c>
      <c r="AA60" s="6" t="e">
        <f>#REF!</f>
        <v>#REF!</v>
      </c>
      <c r="AB60" s="6" t="e">
        <f>#REF!</f>
        <v>#REF!</v>
      </c>
      <c r="AC60" s="6" t="e">
        <f>#REF!</f>
        <v>#REF!</v>
      </c>
      <c r="AD60" s="6" t="e">
        <f>#REF!</f>
        <v>#REF!</v>
      </c>
      <c r="AE60" s="6" t="e">
        <f>#REF!</f>
        <v>#REF!</v>
      </c>
      <c r="AF60" s="6" t="e">
        <f>#REF!</f>
        <v>#REF!</v>
      </c>
      <c r="AG60" s="6" t="e">
        <f>#REF!</f>
        <v>#REF!</v>
      </c>
      <c r="AH60" s="6" t="e">
        <f>#REF!</f>
        <v>#REF!</v>
      </c>
      <c r="AI60" s="6" t="e">
        <f>#REF!</f>
        <v>#REF!</v>
      </c>
      <c r="AJ60" s="6" t="e">
        <f>#REF!</f>
        <v>#REF!</v>
      </c>
      <c r="AK60" s="6" t="e">
        <f>#REF!</f>
        <v>#REF!</v>
      </c>
      <c r="AL60" s="6" t="e">
        <f>#REF!</f>
        <v>#REF!</v>
      </c>
    </row>
    <row r="61" spans="1:38" x14ac:dyDescent="0.25">
      <c r="A61" s="3" t="s">
        <v>234</v>
      </c>
      <c r="B61" s="126" t="e">
        <f>VLOOKUP(A61,$A$2:$AL$285,MATCH('Character Sheet'!$BJ$3,$A$1:$AL$1,0),FALSE)</f>
        <v>#REF!</v>
      </c>
      <c r="C61" s="6" t="e">
        <f>#REF!</f>
        <v>#REF!</v>
      </c>
      <c r="D61" s="6" t="e">
        <f>#REF!</f>
        <v>#REF!</v>
      </c>
      <c r="E61" s="6" t="e">
        <f>#REF!</f>
        <v>#REF!</v>
      </c>
      <c r="F61" s="6" t="e">
        <f>#REF!</f>
        <v>#REF!</v>
      </c>
      <c r="G61" s="6" t="e">
        <f>#REF!</f>
        <v>#REF!</v>
      </c>
      <c r="H61" s="6" t="e">
        <f>#REF!</f>
        <v>#REF!</v>
      </c>
      <c r="I61" s="6" t="e">
        <f>#REF!</f>
        <v>#REF!</v>
      </c>
      <c r="J61" s="6" t="e">
        <f>#REF!</f>
        <v>#REF!</v>
      </c>
      <c r="K61" s="6" t="e">
        <f>#REF!</f>
        <v>#REF!</v>
      </c>
      <c r="L61" s="6" t="e">
        <f>#REF!</f>
        <v>#REF!</v>
      </c>
      <c r="M61" s="6" t="e">
        <f>#REF!</f>
        <v>#REF!</v>
      </c>
      <c r="N61" s="6" t="e">
        <f>#REF!</f>
        <v>#REF!</v>
      </c>
      <c r="O61" s="6" t="e">
        <f>#REF!</f>
        <v>#REF!</v>
      </c>
      <c r="P61" s="6" t="e">
        <f>#REF!</f>
        <v>#REF!</v>
      </c>
      <c r="Q61" s="6" t="e">
        <f>#REF!</f>
        <v>#REF!</v>
      </c>
      <c r="R61" s="6" t="e">
        <f>#REF!</f>
        <v>#REF!</v>
      </c>
      <c r="S61" s="6" t="e">
        <f>#REF!</f>
        <v>#REF!</v>
      </c>
      <c r="T61" s="6" t="e">
        <f>#REF!</f>
        <v>#REF!</v>
      </c>
      <c r="U61" s="6" t="e">
        <f>#REF!</f>
        <v>#REF!</v>
      </c>
      <c r="V61" s="6" t="e">
        <f>#REF!</f>
        <v>#REF!</v>
      </c>
      <c r="W61" s="6" t="e">
        <f>#REF!</f>
        <v>#REF!</v>
      </c>
      <c r="X61" s="6" t="e">
        <f>#REF!</f>
        <v>#REF!</v>
      </c>
      <c r="Y61" s="6" t="e">
        <f>#REF!</f>
        <v>#REF!</v>
      </c>
      <c r="Z61" s="6" t="e">
        <f>#REF!</f>
        <v>#REF!</v>
      </c>
      <c r="AA61" s="6" t="e">
        <f>#REF!</f>
        <v>#REF!</v>
      </c>
      <c r="AB61" s="6" t="e">
        <f>#REF!</f>
        <v>#REF!</v>
      </c>
      <c r="AC61" s="6" t="e">
        <f>#REF!</f>
        <v>#REF!</v>
      </c>
      <c r="AD61" s="6" t="e">
        <f>#REF!</f>
        <v>#REF!</v>
      </c>
      <c r="AE61" s="6" t="e">
        <f>#REF!</f>
        <v>#REF!</v>
      </c>
      <c r="AF61" s="6" t="e">
        <f>#REF!</f>
        <v>#REF!</v>
      </c>
      <c r="AG61" s="6" t="e">
        <f>#REF!</f>
        <v>#REF!</v>
      </c>
      <c r="AH61" s="6" t="e">
        <f>#REF!</f>
        <v>#REF!</v>
      </c>
      <c r="AI61" s="6" t="e">
        <f>#REF!</f>
        <v>#REF!</v>
      </c>
      <c r="AJ61" s="6" t="e">
        <f>#REF!</f>
        <v>#REF!</v>
      </c>
      <c r="AK61" s="6" t="e">
        <f>#REF!</f>
        <v>#REF!</v>
      </c>
      <c r="AL61" s="6" t="e">
        <f>#REF!</f>
        <v>#REF!</v>
      </c>
    </row>
    <row r="62" spans="1:38" x14ac:dyDescent="0.25">
      <c r="A62" s="3" t="s">
        <v>257</v>
      </c>
      <c r="B62" s="126" t="e">
        <f>VLOOKUP(A62,$A$2:$AL$285,MATCH('Character Sheet'!$BJ$3,$A$1:$AL$1,0),FALSE)</f>
        <v>#REF!</v>
      </c>
      <c r="C62" s="6" t="e">
        <f>#REF!</f>
        <v>#REF!</v>
      </c>
      <c r="D62" s="6" t="e">
        <f>#REF!</f>
        <v>#REF!</v>
      </c>
      <c r="E62" s="6" t="e">
        <f>#REF!</f>
        <v>#REF!</v>
      </c>
      <c r="F62" s="6" t="e">
        <f>#REF!</f>
        <v>#REF!</v>
      </c>
      <c r="G62" s="6" t="e">
        <f>#REF!</f>
        <v>#REF!</v>
      </c>
      <c r="H62" s="6" t="e">
        <f>#REF!</f>
        <v>#REF!</v>
      </c>
      <c r="I62" s="6" t="e">
        <f>#REF!</f>
        <v>#REF!</v>
      </c>
      <c r="J62" s="6" t="e">
        <f>#REF!</f>
        <v>#REF!</v>
      </c>
      <c r="K62" s="6" t="e">
        <f>#REF!</f>
        <v>#REF!</v>
      </c>
      <c r="L62" s="6" t="e">
        <f>#REF!</f>
        <v>#REF!</v>
      </c>
      <c r="M62" s="6" t="e">
        <f>#REF!</f>
        <v>#REF!</v>
      </c>
      <c r="N62" s="6" t="e">
        <f>#REF!</f>
        <v>#REF!</v>
      </c>
      <c r="O62" s="6" t="e">
        <f>#REF!</f>
        <v>#REF!</v>
      </c>
      <c r="P62" s="6" t="e">
        <f>#REF!</f>
        <v>#REF!</v>
      </c>
      <c r="Q62" s="6" t="e">
        <f>#REF!</f>
        <v>#REF!</v>
      </c>
      <c r="R62" s="6" t="e">
        <f>#REF!</f>
        <v>#REF!</v>
      </c>
      <c r="S62" s="6" t="e">
        <f>#REF!</f>
        <v>#REF!</v>
      </c>
      <c r="T62" s="6" t="e">
        <f>#REF!</f>
        <v>#REF!</v>
      </c>
      <c r="U62" s="6" t="e">
        <f>#REF!</f>
        <v>#REF!</v>
      </c>
      <c r="V62" s="6" t="e">
        <f>#REF!</f>
        <v>#REF!</v>
      </c>
      <c r="W62" s="6" t="e">
        <f>#REF!</f>
        <v>#REF!</v>
      </c>
      <c r="X62" s="6" t="e">
        <f>#REF!</f>
        <v>#REF!</v>
      </c>
      <c r="Y62" s="6" t="e">
        <f>#REF!</f>
        <v>#REF!</v>
      </c>
      <c r="Z62" s="6" t="e">
        <f>#REF!</f>
        <v>#REF!</v>
      </c>
      <c r="AA62" s="6" t="e">
        <f>#REF!</f>
        <v>#REF!</v>
      </c>
      <c r="AB62" s="6" t="e">
        <f>#REF!</f>
        <v>#REF!</v>
      </c>
      <c r="AC62" s="6" t="e">
        <f>#REF!</f>
        <v>#REF!</v>
      </c>
      <c r="AD62" s="6" t="e">
        <f>#REF!</f>
        <v>#REF!</v>
      </c>
      <c r="AE62" s="6" t="e">
        <f>#REF!</f>
        <v>#REF!</v>
      </c>
      <c r="AF62" s="6" t="e">
        <f>#REF!</f>
        <v>#REF!</v>
      </c>
      <c r="AG62" s="6" t="e">
        <f>#REF!</f>
        <v>#REF!</v>
      </c>
      <c r="AH62" s="6" t="e">
        <f>#REF!</f>
        <v>#REF!</v>
      </c>
      <c r="AI62" s="6" t="e">
        <f>#REF!</f>
        <v>#REF!</v>
      </c>
      <c r="AJ62" s="6" t="e">
        <f>#REF!</f>
        <v>#REF!</v>
      </c>
      <c r="AK62" s="6" t="e">
        <f>#REF!</f>
        <v>#REF!</v>
      </c>
      <c r="AL62" s="6" t="e">
        <f>#REF!</f>
        <v>#REF!</v>
      </c>
    </row>
    <row r="63" spans="1:38" x14ac:dyDescent="0.25">
      <c r="A63" s="3" t="s">
        <v>235</v>
      </c>
      <c r="B63" s="126" t="e">
        <f>VLOOKUP(A63,$A$2:$AL$285,MATCH('Character Sheet'!$BJ$3,$A$1:$AL$1,0),FALSE)</f>
        <v>#REF!</v>
      </c>
      <c r="C63" s="6" t="e">
        <f>#REF!</f>
        <v>#REF!</v>
      </c>
      <c r="D63" s="6" t="e">
        <f>#REF!</f>
        <v>#REF!</v>
      </c>
      <c r="E63" s="6" t="e">
        <f>#REF!</f>
        <v>#REF!</v>
      </c>
      <c r="F63" s="6" t="e">
        <f>#REF!</f>
        <v>#REF!</v>
      </c>
      <c r="G63" s="6" t="e">
        <f>#REF!</f>
        <v>#REF!</v>
      </c>
      <c r="H63" s="6" t="e">
        <f>#REF!</f>
        <v>#REF!</v>
      </c>
      <c r="I63" s="6" t="e">
        <f>#REF!</f>
        <v>#REF!</v>
      </c>
      <c r="J63" s="6" t="e">
        <f>#REF!</f>
        <v>#REF!</v>
      </c>
      <c r="K63" s="6" t="e">
        <f>#REF!</f>
        <v>#REF!</v>
      </c>
      <c r="L63" s="6" t="e">
        <f>#REF!</f>
        <v>#REF!</v>
      </c>
      <c r="M63" s="6" t="e">
        <f>#REF!</f>
        <v>#REF!</v>
      </c>
      <c r="N63" s="6" t="e">
        <f>#REF!</f>
        <v>#REF!</v>
      </c>
      <c r="O63" s="6" t="e">
        <f>#REF!</f>
        <v>#REF!</v>
      </c>
      <c r="P63" s="6" t="e">
        <f>#REF!</f>
        <v>#REF!</v>
      </c>
      <c r="Q63" s="6" t="e">
        <f>#REF!</f>
        <v>#REF!</v>
      </c>
      <c r="R63" s="6" t="e">
        <f>#REF!</f>
        <v>#REF!</v>
      </c>
      <c r="S63" s="6" t="e">
        <f>#REF!</f>
        <v>#REF!</v>
      </c>
      <c r="T63" s="6" t="e">
        <f>#REF!</f>
        <v>#REF!</v>
      </c>
      <c r="U63" s="6" t="e">
        <f>#REF!</f>
        <v>#REF!</v>
      </c>
      <c r="V63" s="6" t="e">
        <f>#REF!</f>
        <v>#REF!</v>
      </c>
      <c r="W63" s="6" t="e">
        <f>#REF!</f>
        <v>#REF!</v>
      </c>
      <c r="X63" s="6" t="e">
        <f>#REF!</f>
        <v>#REF!</v>
      </c>
      <c r="Y63" s="6" t="e">
        <f>#REF!</f>
        <v>#REF!</v>
      </c>
      <c r="Z63" s="6" t="e">
        <f>#REF!</f>
        <v>#REF!</v>
      </c>
      <c r="AA63" s="6" t="e">
        <f>#REF!</f>
        <v>#REF!</v>
      </c>
      <c r="AB63" s="6" t="e">
        <f>#REF!</f>
        <v>#REF!</v>
      </c>
      <c r="AC63" s="6" t="e">
        <f>#REF!</f>
        <v>#REF!</v>
      </c>
      <c r="AD63" s="6" t="e">
        <f>#REF!</f>
        <v>#REF!</v>
      </c>
      <c r="AE63" s="6" t="e">
        <f>#REF!</f>
        <v>#REF!</v>
      </c>
      <c r="AF63" s="6" t="e">
        <f>#REF!</f>
        <v>#REF!</v>
      </c>
      <c r="AG63" s="6" t="e">
        <f>#REF!</f>
        <v>#REF!</v>
      </c>
      <c r="AH63" s="6" t="e">
        <f>#REF!</f>
        <v>#REF!</v>
      </c>
      <c r="AI63" s="6" t="e">
        <f>#REF!</f>
        <v>#REF!</v>
      </c>
      <c r="AJ63" s="6" t="e">
        <f>#REF!</f>
        <v>#REF!</v>
      </c>
      <c r="AK63" s="6" t="e">
        <f>#REF!</f>
        <v>#REF!</v>
      </c>
      <c r="AL63" s="6" t="e">
        <f>#REF!</f>
        <v>#REF!</v>
      </c>
    </row>
    <row r="64" spans="1:38" x14ac:dyDescent="0.25">
      <c r="A64" s="3" t="s">
        <v>236</v>
      </c>
      <c r="B64" s="126" t="e">
        <f>VLOOKUP(A64,$A$2:$AL$285,MATCH('Character Sheet'!$BJ$3,$A$1:$AL$1,0),FALSE)</f>
        <v>#REF!</v>
      </c>
      <c r="C64" s="6" t="e">
        <f>#REF!</f>
        <v>#REF!</v>
      </c>
      <c r="D64" s="6" t="e">
        <f>#REF!</f>
        <v>#REF!</v>
      </c>
      <c r="E64" s="6" t="e">
        <f>#REF!</f>
        <v>#REF!</v>
      </c>
      <c r="F64" s="6" t="e">
        <f>#REF!</f>
        <v>#REF!</v>
      </c>
      <c r="G64" s="6" t="e">
        <f>#REF!</f>
        <v>#REF!</v>
      </c>
      <c r="H64" s="6" t="e">
        <f>#REF!</f>
        <v>#REF!</v>
      </c>
      <c r="I64" s="6" t="e">
        <f>#REF!</f>
        <v>#REF!</v>
      </c>
      <c r="J64" s="6" t="e">
        <f>#REF!</f>
        <v>#REF!</v>
      </c>
      <c r="K64" s="6" t="e">
        <f>#REF!</f>
        <v>#REF!</v>
      </c>
      <c r="L64" s="6" t="e">
        <f>#REF!</f>
        <v>#REF!</v>
      </c>
      <c r="M64" s="6" t="e">
        <f>#REF!</f>
        <v>#REF!</v>
      </c>
      <c r="N64" s="6" t="e">
        <f>#REF!</f>
        <v>#REF!</v>
      </c>
      <c r="O64" s="6" t="e">
        <f>#REF!</f>
        <v>#REF!</v>
      </c>
      <c r="P64" s="6" t="e">
        <f>#REF!</f>
        <v>#REF!</v>
      </c>
      <c r="Q64" s="6" t="e">
        <f>#REF!</f>
        <v>#REF!</v>
      </c>
      <c r="R64" s="6" t="e">
        <f>#REF!</f>
        <v>#REF!</v>
      </c>
      <c r="S64" s="6" t="e">
        <f>#REF!</f>
        <v>#REF!</v>
      </c>
      <c r="T64" s="6" t="e">
        <f>#REF!</f>
        <v>#REF!</v>
      </c>
      <c r="U64" s="6" t="e">
        <f>#REF!</f>
        <v>#REF!</v>
      </c>
      <c r="V64" s="6" t="e">
        <f>#REF!</f>
        <v>#REF!</v>
      </c>
      <c r="W64" s="6" t="e">
        <f>#REF!</f>
        <v>#REF!</v>
      </c>
      <c r="X64" s="6" t="e">
        <f>#REF!</f>
        <v>#REF!</v>
      </c>
      <c r="Y64" s="6" t="e">
        <f>#REF!</f>
        <v>#REF!</v>
      </c>
      <c r="Z64" s="6" t="e">
        <f>#REF!</f>
        <v>#REF!</v>
      </c>
      <c r="AA64" s="6" t="e">
        <f>#REF!</f>
        <v>#REF!</v>
      </c>
      <c r="AB64" s="6" t="e">
        <f>#REF!</f>
        <v>#REF!</v>
      </c>
      <c r="AC64" s="6" t="e">
        <f>#REF!</f>
        <v>#REF!</v>
      </c>
      <c r="AD64" s="6" t="e">
        <f>#REF!</f>
        <v>#REF!</v>
      </c>
      <c r="AE64" s="6" t="e">
        <f>#REF!</f>
        <v>#REF!</v>
      </c>
      <c r="AF64" s="6" t="e">
        <f>#REF!</f>
        <v>#REF!</v>
      </c>
      <c r="AG64" s="6" t="e">
        <f>#REF!</f>
        <v>#REF!</v>
      </c>
      <c r="AH64" s="6" t="e">
        <f>#REF!</f>
        <v>#REF!</v>
      </c>
      <c r="AI64" s="6" t="e">
        <f>#REF!</f>
        <v>#REF!</v>
      </c>
      <c r="AJ64" s="6" t="e">
        <f>#REF!</f>
        <v>#REF!</v>
      </c>
      <c r="AK64" s="6" t="e">
        <f>#REF!</f>
        <v>#REF!</v>
      </c>
      <c r="AL64" s="6" t="e">
        <f>#REF!</f>
        <v>#REF!</v>
      </c>
    </row>
    <row r="65" spans="1:38" x14ac:dyDescent="0.25">
      <c r="A65" s="3" t="s">
        <v>596</v>
      </c>
      <c r="B65" s="126" t="e">
        <f>VLOOKUP(A65,$A$2:$AL$285,MATCH('Character Sheet'!$BJ$3,$A$1:$AL$1,0),FALSE)</f>
        <v>#REF!</v>
      </c>
      <c r="C65" s="6" t="e">
        <f>#REF!</f>
        <v>#REF!</v>
      </c>
      <c r="D65" s="6" t="e">
        <f>#REF!</f>
        <v>#REF!</v>
      </c>
      <c r="E65" s="6" t="e">
        <f>#REF!</f>
        <v>#REF!</v>
      </c>
      <c r="F65" s="6" t="e">
        <f>#REF!</f>
        <v>#REF!</v>
      </c>
      <c r="G65" s="6" t="e">
        <f>#REF!</f>
        <v>#REF!</v>
      </c>
      <c r="H65" s="6" t="e">
        <f>#REF!</f>
        <v>#REF!</v>
      </c>
      <c r="I65" s="6" t="e">
        <f>#REF!</f>
        <v>#REF!</v>
      </c>
      <c r="J65" s="6" t="e">
        <f>#REF!</f>
        <v>#REF!</v>
      </c>
      <c r="K65" s="6" t="e">
        <f>#REF!</f>
        <v>#REF!</v>
      </c>
      <c r="L65" s="6" t="e">
        <f>#REF!</f>
        <v>#REF!</v>
      </c>
      <c r="M65" s="6" t="e">
        <f>#REF!</f>
        <v>#REF!</v>
      </c>
      <c r="N65" s="6" t="e">
        <f>#REF!</f>
        <v>#REF!</v>
      </c>
      <c r="O65" s="6" t="e">
        <f>#REF!</f>
        <v>#REF!</v>
      </c>
      <c r="P65" s="6" t="e">
        <f>#REF!</f>
        <v>#REF!</v>
      </c>
      <c r="Q65" s="6" t="e">
        <f>#REF!</f>
        <v>#REF!</v>
      </c>
      <c r="R65" s="6" t="e">
        <f>#REF!</f>
        <v>#REF!</v>
      </c>
      <c r="S65" s="6" t="e">
        <f>#REF!</f>
        <v>#REF!</v>
      </c>
      <c r="T65" s="6" t="e">
        <f>#REF!</f>
        <v>#REF!</v>
      </c>
      <c r="U65" s="6" t="e">
        <f>#REF!</f>
        <v>#REF!</v>
      </c>
      <c r="V65" s="6" t="e">
        <f>#REF!</f>
        <v>#REF!</v>
      </c>
      <c r="W65" s="6" t="e">
        <f>#REF!</f>
        <v>#REF!</v>
      </c>
      <c r="X65" s="6" t="e">
        <f>#REF!</f>
        <v>#REF!</v>
      </c>
      <c r="Y65" s="6" t="e">
        <f>#REF!</f>
        <v>#REF!</v>
      </c>
      <c r="Z65" s="6" t="e">
        <f>#REF!</f>
        <v>#REF!</v>
      </c>
      <c r="AA65" s="6" t="e">
        <f>#REF!</f>
        <v>#REF!</v>
      </c>
      <c r="AB65" s="6" t="e">
        <f>#REF!</f>
        <v>#REF!</v>
      </c>
      <c r="AC65" s="6" t="e">
        <f>#REF!</f>
        <v>#REF!</v>
      </c>
      <c r="AD65" s="6" t="e">
        <f>#REF!</f>
        <v>#REF!</v>
      </c>
      <c r="AE65" s="6" t="e">
        <f>#REF!</f>
        <v>#REF!</v>
      </c>
      <c r="AF65" s="6" t="e">
        <f>#REF!</f>
        <v>#REF!</v>
      </c>
      <c r="AG65" s="6" t="e">
        <f>#REF!</f>
        <v>#REF!</v>
      </c>
      <c r="AH65" s="6" t="e">
        <f>#REF!</f>
        <v>#REF!</v>
      </c>
      <c r="AI65" s="6" t="e">
        <f>#REF!</f>
        <v>#REF!</v>
      </c>
      <c r="AJ65" s="6" t="e">
        <f>#REF!</f>
        <v>#REF!</v>
      </c>
      <c r="AK65" s="6" t="e">
        <f>#REF!</f>
        <v>#REF!</v>
      </c>
      <c r="AL65" s="6" t="e">
        <f>#REF!</f>
        <v>#REF!</v>
      </c>
    </row>
    <row r="66" spans="1:38" x14ac:dyDescent="0.25">
      <c r="A66" s="3" t="s">
        <v>245</v>
      </c>
      <c r="B66" s="126" t="e">
        <f>VLOOKUP(A66,$A$2:$AL$285,MATCH('Character Sheet'!$BJ$3,$A$1:$AL$1,0),FALSE)</f>
        <v>#REF!</v>
      </c>
      <c r="C66" s="6" t="e">
        <f>#REF!</f>
        <v>#REF!</v>
      </c>
      <c r="D66" s="6" t="e">
        <f>#REF!</f>
        <v>#REF!</v>
      </c>
      <c r="E66" s="6" t="e">
        <f>#REF!</f>
        <v>#REF!</v>
      </c>
      <c r="F66" s="6" t="e">
        <f>#REF!</f>
        <v>#REF!</v>
      </c>
      <c r="G66" s="6" t="e">
        <f>#REF!</f>
        <v>#REF!</v>
      </c>
      <c r="H66" s="6" t="e">
        <f>#REF!</f>
        <v>#REF!</v>
      </c>
      <c r="I66" s="6" t="e">
        <f>#REF!</f>
        <v>#REF!</v>
      </c>
      <c r="J66" s="6" t="e">
        <f>#REF!</f>
        <v>#REF!</v>
      </c>
      <c r="K66" s="6" t="e">
        <f>#REF!</f>
        <v>#REF!</v>
      </c>
      <c r="L66" s="6" t="e">
        <f>#REF!</f>
        <v>#REF!</v>
      </c>
      <c r="M66" s="6" t="e">
        <f>#REF!</f>
        <v>#REF!</v>
      </c>
      <c r="N66" s="6" t="e">
        <f>#REF!</f>
        <v>#REF!</v>
      </c>
      <c r="O66" s="6" t="e">
        <f>#REF!</f>
        <v>#REF!</v>
      </c>
      <c r="P66" s="6" t="e">
        <f>#REF!</f>
        <v>#REF!</v>
      </c>
      <c r="Q66" s="6" t="e">
        <f>#REF!</f>
        <v>#REF!</v>
      </c>
      <c r="R66" s="6" t="e">
        <f>#REF!</f>
        <v>#REF!</v>
      </c>
      <c r="S66" s="6" t="e">
        <f>#REF!</f>
        <v>#REF!</v>
      </c>
      <c r="T66" s="6" t="e">
        <f>#REF!</f>
        <v>#REF!</v>
      </c>
      <c r="U66" s="6" t="e">
        <f>#REF!</f>
        <v>#REF!</v>
      </c>
      <c r="V66" s="6" t="e">
        <f>#REF!</f>
        <v>#REF!</v>
      </c>
      <c r="W66" s="6" t="e">
        <f>#REF!</f>
        <v>#REF!</v>
      </c>
      <c r="X66" s="6" t="e">
        <f>#REF!</f>
        <v>#REF!</v>
      </c>
      <c r="Y66" s="6" t="e">
        <f>#REF!</f>
        <v>#REF!</v>
      </c>
      <c r="Z66" s="6" t="e">
        <f>#REF!</f>
        <v>#REF!</v>
      </c>
      <c r="AA66" s="6" t="e">
        <f>#REF!</f>
        <v>#REF!</v>
      </c>
      <c r="AB66" s="6" t="e">
        <f>#REF!</f>
        <v>#REF!</v>
      </c>
      <c r="AC66" s="6" t="e">
        <f>#REF!</f>
        <v>#REF!</v>
      </c>
      <c r="AD66" s="6" t="e">
        <f>#REF!</f>
        <v>#REF!</v>
      </c>
      <c r="AE66" s="6" t="e">
        <f>#REF!</f>
        <v>#REF!</v>
      </c>
      <c r="AF66" s="6" t="e">
        <f>#REF!</f>
        <v>#REF!</v>
      </c>
      <c r="AG66" s="6" t="e">
        <f>#REF!</f>
        <v>#REF!</v>
      </c>
      <c r="AH66" s="6" t="e">
        <f>#REF!</f>
        <v>#REF!</v>
      </c>
      <c r="AI66" s="6" t="e">
        <f>#REF!</f>
        <v>#REF!</v>
      </c>
      <c r="AJ66" s="6" t="e">
        <f>#REF!</f>
        <v>#REF!</v>
      </c>
      <c r="AK66" s="6" t="e">
        <f>#REF!</f>
        <v>#REF!</v>
      </c>
      <c r="AL66" s="6" t="e">
        <f>#REF!</f>
        <v>#REF!</v>
      </c>
    </row>
    <row r="67" spans="1:38" x14ac:dyDescent="0.25">
      <c r="A67" s="3" t="s">
        <v>237</v>
      </c>
      <c r="B67" s="126" t="e">
        <f>VLOOKUP(A67,$A$2:$AL$285,MATCH('Character Sheet'!$BJ$3,$A$1:$AL$1,0),FALSE)</f>
        <v>#REF!</v>
      </c>
      <c r="C67" s="6" t="e">
        <f>#REF!</f>
        <v>#REF!</v>
      </c>
      <c r="D67" s="6" t="e">
        <f>#REF!</f>
        <v>#REF!</v>
      </c>
      <c r="E67" s="6" t="e">
        <f>#REF!</f>
        <v>#REF!</v>
      </c>
      <c r="F67" s="6" t="e">
        <f>#REF!</f>
        <v>#REF!</v>
      </c>
      <c r="G67" s="6" t="e">
        <f>#REF!</f>
        <v>#REF!</v>
      </c>
      <c r="H67" s="6" t="e">
        <f>#REF!</f>
        <v>#REF!</v>
      </c>
      <c r="I67" s="6" t="e">
        <f>#REF!</f>
        <v>#REF!</v>
      </c>
      <c r="J67" s="6" t="e">
        <f>#REF!</f>
        <v>#REF!</v>
      </c>
      <c r="K67" s="6" t="e">
        <f>#REF!</f>
        <v>#REF!</v>
      </c>
      <c r="L67" s="6" t="e">
        <f>#REF!</f>
        <v>#REF!</v>
      </c>
      <c r="M67" s="6" t="e">
        <f>#REF!</f>
        <v>#REF!</v>
      </c>
      <c r="N67" s="6" t="e">
        <f>#REF!</f>
        <v>#REF!</v>
      </c>
      <c r="O67" s="6" t="e">
        <f>#REF!</f>
        <v>#REF!</v>
      </c>
      <c r="P67" s="6" t="e">
        <f>#REF!</f>
        <v>#REF!</v>
      </c>
      <c r="Q67" s="6" t="e">
        <f>#REF!</f>
        <v>#REF!</v>
      </c>
      <c r="R67" s="6" t="e">
        <f>#REF!</f>
        <v>#REF!</v>
      </c>
      <c r="S67" s="6" t="e">
        <f>#REF!</f>
        <v>#REF!</v>
      </c>
      <c r="T67" s="6" t="e">
        <f>#REF!</f>
        <v>#REF!</v>
      </c>
      <c r="U67" s="6" t="e">
        <f>#REF!</f>
        <v>#REF!</v>
      </c>
      <c r="V67" s="6" t="e">
        <f>#REF!</f>
        <v>#REF!</v>
      </c>
      <c r="W67" s="6" t="e">
        <f>#REF!</f>
        <v>#REF!</v>
      </c>
      <c r="X67" s="6" t="e">
        <f>#REF!</f>
        <v>#REF!</v>
      </c>
      <c r="Y67" s="6" t="e">
        <f>#REF!</f>
        <v>#REF!</v>
      </c>
      <c r="Z67" s="6" t="e">
        <f>#REF!</f>
        <v>#REF!</v>
      </c>
      <c r="AA67" s="6" t="e">
        <f>#REF!</f>
        <v>#REF!</v>
      </c>
      <c r="AB67" s="6" t="e">
        <f>#REF!</f>
        <v>#REF!</v>
      </c>
      <c r="AC67" s="6" t="e">
        <f>#REF!</f>
        <v>#REF!</v>
      </c>
      <c r="AD67" s="6" t="e">
        <f>#REF!</f>
        <v>#REF!</v>
      </c>
      <c r="AE67" s="6" t="e">
        <f>#REF!</f>
        <v>#REF!</v>
      </c>
      <c r="AF67" s="6" t="e">
        <f>#REF!</f>
        <v>#REF!</v>
      </c>
      <c r="AG67" s="6" t="e">
        <f>#REF!</f>
        <v>#REF!</v>
      </c>
      <c r="AH67" s="6" t="e">
        <f>#REF!</f>
        <v>#REF!</v>
      </c>
      <c r="AI67" s="6" t="e">
        <f>#REF!</f>
        <v>#REF!</v>
      </c>
      <c r="AJ67" s="6" t="e">
        <f>#REF!</f>
        <v>#REF!</v>
      </c>
      <c r="AK67" s="6" t="e">
        <f>#REF!</f>
        <v>#REF!</v>
      </c>
      <c r="AL67" s="6" t="e">
        <f>#REF!</f>
        <v>#REF!</v>
      </c>
    </row>
    <row r="68" spans="1:38" x14ac:dyDescent="0.25">
      <c r="A68" s="3" t="s">
        <v>592</v>
      </c>
      <c r="B68" s="126" t="e">
        <f>VLOOKUP(A68,$A$2:$AL$285,MATCH('Character Sheet'!$BJ$3,$A$1:$AL$1,0),FALSE)</f>
        <v>#REF!</v>
      </c>
      <c r="C68" s="6" t="e">
        <f>#REF!</f>
        <v>#REF!</v>
      </c>
      <c r="D68" s="6" t="e">
        <f>#REF!</f>
        <v>#REF!</v>
      </c>
      <c r="E68" s="6" t="e">
        <f>#REF!</f>
        <v>#REF!</v>
      </c>
      <c r="F68" s="6" t="e">
        <f>#REF!</f>
        <v>#REF!</v>
      </c>
      <c r="G68" s="6" t="e">
        <f>#REF!</f>
        <v>#REF!</v>
      </c>
      <c r="H68" s="6" t="e">
        <f>#REF!</f>
        <v>#REF!</v>
      </c>
      <c r="I68" s="6" t="e">
        <f>#REF!</f>
        <v>#REF!</v>
      </c>
      <c r="J68" s="6" t="e">
        <f>#REF!</f>
        <v>#REF!</v>
      </c>
      <c r="K68" s="6" t="e">
        <f>#REF!</f>
        <v>#REF!</v>
      </c>
      <c r="L68" s="6" t="e">
        <f>#REF!</f>
        <v>#REF!</v>
      </c>
      <c r="M68" s="6" t="e">
        <f>#REF!</f>
        <v>#REF!</v>
      </c>
      <c r="N68" s="6" t="e">
        <f>#REF!</f>
        <v>#REF!</v>
      </c>
      <c r="O68" s="6" t="e">
        <f>#REF!</f>
        <v>#REF!</v>
      </c>
      <c r="P68" s="6" t="e">
        <f>#REF!</f>
        <v>#REF!</v>
      </c>
      <c r="Q68" s="6" t="e">
        <f>#REF!</f>
        <v>#REF!</v>
      </c>
      <c r="R68" s="6" t="e">
        <f>#REF!</f>
        <v>#REF!</v>
      </c>
      <c r="S68" s="6" t="e">
        <f>#REF!</f>
        <v>#REF!</v>
      </c>
      <c r="T68" s="6" t="e">
        <f>#REF!</f>
        <v>#REF!</v>
      </c>
      <c r="U68" s="6" t="e">
        <f>#REF!</f>
        <v>#REF!</v>
      </c>
      <c r="V68" s="6" t="e">
        <f>#REF!</f>
        <v>#REF!</v>
      </c>
      <c r="W68" s="6" t="e">
        <f>#REF!</f>
        <v>#REF!</v>
      </c>
      <c r="X68" s="6" t="e">
        <f>#REF!</f>
        <v>#REF!</v>
      </c>
      <c r="Y68" s="6" t="e">
        <f>#REF!</f>
        <v>#REF!</v>
      </c>
      <c r="Z68" s="6" t="e">
        <f>#REF!</f>
        <v>#REF!</v>
      </c>
      <c r="AA68" s="6" t="e">
        <f>#REF!</f>
        <v>#REF!</v>
      </c>
      <c r="AB68" s="6" t="e">
        <f>#REF!</f>
        <v>#REF!</v>
      </c>
      <c r="AC68" s="6" t="e">
        <f>#REF!</f>
        <v>#REF!</v>
      </c>
      <c r="AD68" s="6" t="e">
        <f>#REF!</f>
        <v>#REF!</v>
      </c>
      <c r="AE68" s="6" t="e">
        <f>#REF!</f>
        <v>#REF!</v>
      </c>
      <c r="AF68" s="6" t="e">
        <f>#REF!</f>
        <v>#REF!</v>
      </c>
      <c r="AG68" s="6" t="e">
        <f>#REF!</f>
        <v>#REF!</v>
      </c>
      <c r="AH68" s="6" t="e">
        <f>#REF!</f>
        <v>#REF!</v>
      </c>
      <c r="AI68" s="6" t="e">
        <f>#REF!</f>
        <v>#REF!</v>
      </c>
      <c r="AJ68" s="6" t="e">
        <f>#REF!</f>
        <v>#REF!</v>
      </c>
      <c r="AK68" s="6" t="e">
        <f>#REF!</f>
        <v>#REF!</v>
      </c>
      <c r="AL68" s="6" t="e">
        <f>#REF!</f>
        <v>#REF!</v>
      </c>
    </row>
    <row r="69" spans="1:38" x14ac:dyDescent="0.25">
      <c r="A69" s="3" t="s">
        <v>238</v>
      </c>
      <c r="B69" s="126" t="e">
        <f>VLOOKUP(A69,$A$2:$AL$285,MATCH('Character Sheet'!$BJ$3,$A$1:$AL$1,0),FALSE)</f>
        <v>#REF!</v>
      </c>
      <c r="C69" s="6" t="e">
        <f>#REF!</f>
        <v>#REF!</v>
      </c>
      <c r="D69" s="6" t="e">
        <f>#REF!</f>
        <v>#REF!</v>
      </c>
      <c r="E69" s="6" t="e">
        <f>#REF!</f>
        <v>#REF!</v>
      </c>
      <c r="F69" s="6" t="e">
        <f>#REF!</f>
        <v>#REF!</v>
      </c>
      <c r="G69" s="6" t="e">
        <f>#REF!</f>
        <v>#REF!</v>
      </c>
      <c r="H69" s="6" t="e">
        <f>#REF!</f>
        <v>#REF!</v>
      </c>
      <c r="I69" s="6" t="e">
        <f>#REF!</f>
        <v>#REF!</v>
      </c>
      <c r="J69" s="6" t="e">
        <f>#REF!</f>
        <v>#REF!</v>
      </c>
      <c r="K69" s="6" t="e">
        <f>#REF!</f>
        <v>#REF!</v>
      </c>
      <c r="L69" s="6" t="e">
        <f>#REF!</f>
        <v>#REF!</v>
      </c>
      <c r="M69" s="6" t="e">
        <f>#REF!</f>
        <v>#REF!</v>
      </c>
      <c r="N69" s="6" t="e">
        <f>#REF!</f>
        <v>#REF!</v>
      </c>
      <c r="O69" s="6" t="e">
        <f>#REF!</f>
        <v>#REF!</v>
      </c>
      <c r="P69" s="6" t="e">
        <f>#REF!</f>
        <v>#REF!</v>
      </c>
      <c r="Q69" s="6" t="e">
        <f>#REF!</f>
        <v>#REF!</v>
      </c>
      <c r="R69" s="6" t="e">
        <f>#REF!</f>
        <v>#REF!</v>
      </c>
      <c r="S69" s="6" t="e">
        <f>#REF!</f>
        <v>#REF!</v>
      </c>
      <c r="T69" s="6" t="e">
        <f>#REF!</f>
        <v>#REF!</v>
      </c>
      <c r="U69" s="6" t="e">
        <f>#REF!</f>
        <v>#REF!</v>
      </c>
      <c r="V69" s="6" t="e">
        <f>#REF!</f>
        <v>#REF!</v>
      </c>
      <c r="W69" s="6" t="e">
        <f>#REF!</f>
        <v>#REF!</v>
      </c>
      <c r="X69" s="6" t="e">
        <f>#REF!</f>
        <v>#REF!</v>
      </c>
      <c r="Y69" s="6" t="e">
        <f>#REF!</f>
        <v>#REF!</v>
      </c>
      <c r="Z69" s="6" t="e">
        <f>#REF!</f>
        <v>#REF!</v>
      </c>
      <c r="AA69" s="6" t="e">
        <f>#REF!</f>
        <v>#REF!</v>
      </c>
      <c r="AB69" s="6" t="e">
        <f>#REF!</f>
        <v>#REF!</v>
      </c>
      <c r="AC69" s="6" t="e">
        <f>#REF!</f>
        <v>#REF!</v>
      </c>
      <c r="AD69" s="6" t="e">
        <f>#REF!</f>
        <v>#REF!</v>
      </c>
      <c r="AE69" s="6" t="e">
        <f>#REF!</f>
        <v>#REF!</v>
      </c>
      <c r="AF69" s="6" t="e">
        <f>#REF!</f>
        <v>#REF!</v>
      </c>
      <c r="AG69" s="6" t="e">
        <f>#REF!</f>
        <v>#REF!</v>
      </c>
      <c r="AH69" s="6" t="e">
        <f>#REF!</f>
        <v>#REF!</v>
      </c>
      <c r="AI69" s="6" t="e">
        <f>#REF!</f>
        <v>#REF!</v>
      </c>
      <c r="AJ69" s="6" t="e">
        <f>#REF!</f>
        <v>#REF!</v>
      </c>
      <c r="AK69" s="6" t="e">
        <f>#REF!</f>
        <v>#REF!</v>
      </c>
      <c r="AL69" s="6" t="e">
        <f>#REF!</f>
        <v>#REF!</v>
      </c>
    </row>
    <row r="70" spans="1:38" x14ac:dyDescent="0.25">
      <c r="A70" s="3" t="s">
        <v>239</v>
      </c>
      <c r="B70" s="126" t="e">
        <f>VLOOKUP(A70,$A$2:$AL$285,MATCH('Character Sheet'!$BJ$3,$A$1:$AL$1,0),FALSE)</f>
        <v>#REF!</v>
      </c>
      <c r="C70" s="6" t="e">
        <f>#REF!</f>
        <v>#REF!</v>
      </c>
      <c r="D70" s="6" t="e">
        <f>#REF!</f>
        <v>#REF!</v>
      </c>
      <c r="E70" s="6" t="e">
        <f>#REF!</f>
        <v>#REF!</v>
      </c>
      <c r="F70" s="6" t="e">
        <f>#REF!</f>
        <v>#REF!</v>
      </c>
      <c r="G70" s="6" t="e">
        <f>#REF!</f>
        <v>#REF!</v>
      </c>
      <c r="H70" s="6" t="e">
        <f>#REF!</f>
        <v>#REF!</v>
      </c>
      <c r="I70" s="6" t="e">
        <f>#REF!</f>
        <v>#REF!</v>
      </c>
      <c r="J70" s="6" t="e">
        <f>#REF!</f>
        <v>#REF!</v>
      </c>
      <c r="K70" s="6" t="e">
        <f>#REF!</f>
        <v>#REF!</v>
      </c>
      <c r="L70" s="6" t="e">
        <f>#REF!</f>
        <v>#REF!</v>
      </c>
      <c r="M70" s="6" t="e">
        <f>#REF!</f>
        <v>#REF!</v>
      </c>
      <c r="N70" s="6" t="e">
        <f>#REF!</f>
        <v>#REF!</v>
      </c>
      <c r="O70" s="6" t="e">
        <f>#REF!</f>
        <v>#REF!</v>
      </c>
      <c r="P70" s="6" t="e">
        <f>#REF!</f>
        <v>#REF!</v>
      </c>
      <c r="Q70" s="6" t="e">
        <f>#REF!</f>
        <v>#REF!</v>
      </c>
      <c r="R70" s="6" t="e">
        <f>#REF!</f>
        <v>#REF!</v>
      </c>
      <c r="S70" s="6" t="e">
        <f>#REF!</f>
        <v>#REF!</v>
      </c>
      <c r="T70" s="6" t="e">
        <f>#REF!</f>
        <v>#REF!</v>
      </c>
      <c r="U70" s="6" t="e">
        <f>#REF!</f>
        <v>#REF!</v>
      </c>
      <c r="V70" s="6" t="e">
        <f>#REF!</f>
        <v>#REF!</v>
      </c>
      <c r="W70" s="6" t="e">
        <f>#REF!</f>
        <v>#REF!</v>
      </c>
      <c r="X70" s="6" t="e">
        <f>#REF!</f>
        <v>#REF!</v>
      </c>
      <c r="Y70" s="6" t="e">
        <f>#REF!</f>
        <v>#REF!</v>
      </c>
      <c r="Z70" s="6" t="e">
        <f>#REF!</f>
        <v>#REF!</v>
      </c>
      <c r="AA70" s="6" t="e">
        <f>#REF!</f>
        <v>#REF!</v>
      </c>
      <c r="AB70" s="6" t="e">
        <f>#REF!</f>
        <v>#REF!</v>
      </c>
      <c r="AC70" s="6" t="e">
        <f>#REF!</f>
        <v>#REF!</v>
      </c>
      <c r="AD70" s="6" t="e">
        <f>#REF!</f>
        <v>#REF!</v>
      </c>
      <c r="AE70" s="6" t="e">
        <f>#REF!</f>
        <v>#REF!</v>
      </c>
      <c r="AF70" s="6" t="e">
        <f>#REF!</f>
        <v>#REF!</v>
      </c>
      <c r="AG70" s="6" t="e">
        <f>#REF!</f>
        <v>#REF!</v>
      </c>
      <c r="AH70" s="6" t="e">
        <f>#REF!</f>
        <v>#REF!</v>
      </c>
      <c r="AI70" s="6" t="e">
        <f>#REF!</f>
        <v>#REF!</v>
      </c>
      <c r="AJ70" s="6" t="e">
        <f>#REF!</f>
        <v>#REF!</v>
      </c>
      <c r="AK70" s="6" t="e">
        <f>#REF!</f>
        <v>#REF!</v>
      </c>
      <c r="AL70" s="6" t="e">
        <f>#REF!</f>
        <v>#REF!</v>
      </c>
    </row>
    <row r="71" spans="1:38" x14ac:dyDescent="0.25">
      <c r="A71" s="3" t="s">
        <v>246</v>
      </c>
      <c r="B71" s="126" t="e">
        <f>VLOOKUP(A71,$A$2:$AL$285,MATCH('Character Sheet'!$BJ$3,$A$1:$AL$1,0),FALSE)</f>
        <v>#REF!</v>
      </c>
      <c r="C71" s="6" t="e">
        <f>#REF!</f>
        <v>#REF!</v>
      </c>
      <c r="D71" s="6" t="e">
        <f>#REF!</f>
        <v>#REF!</v>
      </c>
      <c r="E71" s="6" t="e">
        <f>#REF!</f>
        <v>#REF!</v>
      </c>
      <c r="F71" s="6" t="e">
        <f>#REF!</f>
        <v>#REF!</v>
      </c>
      <c r="G71" s="6" t="e">
        <f>#REF!</f>
        <v>#REF!</v>
      </c>
      <c r="H71" s="6" t="e">
        <f>#REF!</f>
        <v>#REF!</v>
      </c>
      <c r="I71" s="6" t="e">
        <f>#REF!</f>
        <v>#REF!</v>
      </c>
      <c r="J71" s="6" t="e">
        <f>#REF!</f>
        <v>#REF!</v>
      </c>
      <c r="K71" s="6" t="e">
        <f>#REF!</f>
        <v>#REF!</v>
      </c>
      <c r="L71" s="6" t="e">
        <f>#REF!</f>
        <v>#REF!</v>
      </c>
      <c r="M71" s="6" t="e">
        <f>#REF!</f>
        <v>#REF!</v>
      </c>
      <c r="N71" s="6" t="e">
        <f>#REF!</f>
        <v>#REF!</v>
      </c>
      <c r="O71" s="6" t="e">
        <f>#REF!</f>
        <v>#REF!</v>
      </c>
      <c r="P71" s="6" t="e">
        <f>#REF!</f>
        <v>#REF!</v>
      </c>
      <c r="Q71" s="6" t="e">
        <f>#REF!</f>
        <v>#REF!</v>
      </c>
      <c r="R71" s="6" t="e">
        <f>#REF!</f>
        <v>#REF!</v>
      </c>
      <c r="S71" s="6" t="e">
        <f>#REF!</f>
        <v>#REF!</v>
      </c>
      <c r="T71" s="6" t="e">
        <f>#REF!</f>
        <v>#REF!</v>
      </c>
      <c r="U71" s="6" t="e">
        <f>#REF!</f>
        <v>#REF!</v>
      </c>
      <c r="V71" s="6" t="e">
        <f>#REF!</f>
        <v>#REF!</v>
      </c>
      <c r="W71" s="6" t="e">
        <f>#REF!</f>
        <v>#REF!</v>
      </c>
      <c r="X71" s="6" t="e">
        <f>#REF!</f>
        <v>#REF!</v>
      </c>
      <c r="Y71" s="6" t="e">
        <f>#REF!</f>
        <v>#REF!</v>
      </c>
      <c r="Z71" s="6" t="e">
        <f>#REF!</f>
        <v>#REF!</v>
      </c>
      <c r="AA71" s="6" t="e">
        <f>#REF!</f>
        <v>#REF!</v>
      </c>
      <c r="AB71" s="6" t="e">
        <f>#REF!</f>
        <v>#REF!</v>
      </c>
      <c r="AC71" s="6" t="e">
        <f>#REF!</f>
        <v>#REF!</v>
      </c>
      <c r="AD71" s="6" t="e">
        <f>#REF!</f>
        <v>#REF!</v>
      </c>
      <c r="AE71" s="6" t="e">
        <f>#REF!</f>
        <v>#REF!</v>
      </c>
      <c r="AF71" s="6" t="e">
        <f>#REF!</f>
        <v>#REF!</v>
      </c>
      <c r="AG71" s="6" t="e">
        <f>#REF!</f>
        <v>#REF!</v>
      </c>
      <c r="AH71" s="6" t="e">
        <f>#REF!</f>
        <v>#REF!</v>
      </c>
      <c r="AI71" s="6" t="e">
        <f>#REF!</f>
        <v>#REF!</v>
      </c>
      <c r="AJ71" s="6" t="e">
        <f>#REF!</f>
        <v>#REF!</v>
      </c>
      <c r="AK71" s="6" t="e">
        <f>#REF!</f>
        <v>#REF!</v>
      </c>
      <c r="AL71" s="6" t="e">
        <f>#REF!</f>
        <v>#REF!</v>
      </c>
    </row>
    <row r="72" spans="1:38" x14ac:dyDescent="0.25">
      <c r="A72" s="3" t="s">
        <v>248</v>
      </c>
      <c r="B72" s="126" t="e">
        <f>VLOOKUP(A72,$A$2:$AL$285,MATCH('Character Sheet'!$BJ$3,$A$1:$AL$1,0),FALSE)</f>
        <v>#REF!</v>
      </c>
      <c r="C72" s="6" t="e">
        <f>#REF!</f>
        <v>#REF!</v>
      </c>
      <c r="D72" s="6" t="e">
        <f>#REF!</f>
        <v>#REF!</v>
      </c>
      <c r="E72" s="6" t="e">
        <f>#REF!</f>
        <v>#REF!</v>
      </c>
      <c r="F72" s="6" t="e">
        <f>#REF!</f>
        <v>#REF!</v>
      </c>
      <c r="G72" s="6" t="e">
        <f>#REF!</f>
        <v>#REF!</v>
      </c>
      <c r="H72" s="6" t="e">
        <f>#REF!</f>
        <v>#REF!</v>
      </c>
      <c r="I72" s="6" t="e">
        <f>#REF!</f>
        <v>#REF!</v>
      </c>
      <c r="J72" s="6" t="e">
        <f>#REF!</f>
        <v>#REF!</v>
      </c>
      <c r="K72" s="6" t="e">
        <f>#REF!</f>
        <v>#REF!</v>
      </c>
      <c r="L72" s="6" t="e">
        <f>#REF!</f>
        <v>#REF!</v>
      </c>
      <c r="M72" s="6" t="e">
        <f>#REF!</f>
        <v>#REF!</v>
      </c>
      <c r="N72" s="6" t="e">
        <f>#REF!</f>
        <v>#REF!</v>
      </c>
      <c r="O72" s="6" t="e">
        <f>#REF!</f>
        <v>#REF!</v>
      </c>
      <c r="P72" s="6" t="e">
        <f>#REF!</f>
        <v>#REF!</v>
      </c>
      <c r="Q72" s="6" t="e">
        <f>#REF!</f>
        <v>#REF!</v>
      </c>
      <c r="R72" s="6" t="e">
        <f>#REF!</f>
        <v>#REF!</v>
      </c>
      <c r="S72" s="6" t="e">
        <f>#REF!</f>
        <v>#REF!</v>
      </c>
      <c r="T72" s="6" t="e">
        <f>#REF!</f>
        <v>#REF!</v>
      </c>
      <c r="U72" s="6" t="e">
        <f>#REF!</f>
        <v>#REF!</v>
      </c>
      <c r="V72" s="6" t="e">
        <f>#REF!</f>
        <v>#REF!</v>
      </c>
      <c r="W72" s="6" t="e">
        <f>#REF!</f>
        <v>#REF!</v>
      </c>
      <c r="X72" s="6" t="e">
        <f>#REF!</f>
        <v>#REF!</v>
      </c>
      <c r="Y72" s="6" t="e">
        <f>#REF!</f>
        <v>#REF!</v>
      </c>
      <c r="Z72" s="6" t="e">
        <f>#REF!</f>
        <v>#REF!</v>
      </c>
      <c r="AA72" s="6" t="e">
        <f>#REF!</f>
        <v>#REF!</v>
      </c>
      <c r="AB72" s="6" t="e">
        <f>#REF!</f>
        <v>#REF!</v>
      </c>
      <c r="AC72" s="6" t="e">
        <f>#REF!</f>
        <v>#REF!</v>
      </c>
      <c r="AD72" s="6" t="e">
        <f>#REF!</f>
        <v>#REF!</v>
      </c>
      <c r="AE72" s="6" t="e">
        <f>#REF!</f>
        <v>#REF!</v>
      </c>
      <c r="AF72" s="6" t="e">
        <f>#REF!</f>
        <v>#REF!</v>
      </c>
      <c r="AG72" s="6" t="e">
        <f>#REF!</f>
        <v>#REF!</v>
      </c>
      <c r="AH72" s="6" t="e">
        <f>#REF!</f>
        <v>#REF!</v>
      </c>
      <c r="AI72" s="6" t="e">
        <f>#REF!</f>
        <v>#REF!</v>
      </c>
      <c r="AJ72" s="6" t="e">
        <f>#REF!</f>
        <v>#REF!</v>
      </c>
      <c r="AK72" s="6" t="e">
        <f>#REF!</f>
        <v>#REF!</v>
      </c>
      <c r="AL72" s="6" t="e">
        <f>#REF!</f>
        <v>#REF!</v>
      </c>
    </row>
    <row r="73" spans="1:38" x14ac:dyDescent="0.25">
      <c r="A73" s="3" t="s">
        <v>247</v>
      </c>
      <c r="B73" s="126" t="e">
        <f>VLOOKUP(A73,$A$2:$AL$285,MATCH('Character Sheet'!$BJ$3,$A$1:$AL$1,0),FALSE)</f>
        <v>#REF!</v>
      </c>
      <c r="C73" s="6" t="e">
        <f>#REF!</f>
        <v>#REF!</v>
      </c>
      <c r="D73" s="6" t="e">
        <f>#REF!</f>
        <v>#REF!</v>
      </c>
      <c r="E73" s="6" t="e">
        <f>#REF!</f>
        <v>#REF!</v>
      </c>
      <c r="F73" s="6" t="e">
        <f>#REF!</f>
        <v>#REF!</v>
      </c>
      <c r="G73" s="6" t="e">
        <f>#REF!</f>
        <v>#REF!</v>
      </c>
      <c r="H73" s="6" t="e">
        <f>#REF!</f>
        <v>#REF!</v>
      </c>
      <c r="I73" s="6" t="e">
        <f>#REF!</f>
        <v>#REF!</v>
      </c>
      <c r="J73" s="6" t="e">
        <f>#REF!</f>
        <v>#REF!</v>
      </c>
      <c r="K73" s="6" t="e">
        <f>#REF!</f>
        <v>#REF!</v>
      </c>
      <c r="L73" s="6" t="e">
        <f>#REF!</f>
        <v>#REF!</v>
      </c>
      <c r="M73" s="6" t="e">
        <f>#REF!</f>
        <v>#REF!</v>
      </c>
      <c r="N73" s="6" t="e">
        <f>#REF!</f>
        <v>#REF!</v>
      </c>
      <c r="O73" s="6" t="e">
        <f>#REF!</f>
        <v>#REF!</v>
      </c>
      <c r="P73" s="6" t="e">
        <f>#REF!</f>
        <v>#REF!</v>
      </c>
      <c r="Q73" s="6" t="e">
        <f>#REF!</f>
        <v>#REF!</v>
      </c>
      <c r="R73" s="6" t="e">
        <f>#REF!</f>
        <v>#REF!</v>
      </c>
      <c r="S73" s="6" t="e">
        <f>#REF!</f>
        <v>#REF!</v>
      </c>
      <c r="T73" s="6" t="e">
        <f>#REF!</f>
        <v>#REF!</v>
      </c>
      <c r="U73" s="6" t="e">
        <f>#REF!</f>
        <v>#REF!</v>
      </c>
      <c r="V73" s="6" t="e">
        <f>#REF!</f>
        <v>#REF!</v>
      </c>
      <c r="W73" s="6" t="e">
        <f>#REF!</f>
        <v>#REF!</v>
      </c>
      <c r="X73" s="6" t="e">
        <f>#REF!</f>
        <v>#REF!</v>
      </c>
      <c r="Y73" s="6" t="e">
        <f>#REF!</f>
        <v>#REF!</v>
      </c>
      <c r="Z73" s="6" t="e">
        <f>#REF!</f>
        <v>#REF!</v>
      </c>
      <c r="AA73" s="6" t="e">
        <f>#REF!</f>
        <v>#REF!</v>
      </c>
      <c r="AB73" s="6" t="e">
        <f>#REF!</f>
        <v>#REF!</v>
      </c>
      <c r="AC73" s="6" t="e">
        <f>#REF!</f>
        <v>#REF!</v>
      </c>
      <c r="AD73" s="6" t="e">
        <f>#REF!</f>
        <v>#REF!</v>
      </c>
      <c r="AE73" s="6" t="e">
        <f>#REF!</f>
        <v>#REF!</v>
      </c>
      <c r="AF73" s="6" t="e">
        <f>#REF!</f>
        <v>#REF!</v>
      </c>
      <c r="AG73" s="6" t="e">
        <f>#REF!</f>
        <v>#REF!</v>
      </c>
      <c r="AH73" s="6" t="e">
        <f>#REF!</f>
        <v>#REF!</v>
      </c>
      <c r="AI73" s="6" t="e">
        <f>#REF!</f>
        <v>#REF!</v>
      </c>
      <c r="AJ73" s="6" t="e">
        <f>#REF!</f>
        <v>#REF!</v>
      </c>
      <c r="AK73" s="6" t="e">
        <f>#REF!</f>
        <v>#REF!</v>
      </c>
      <c r="AL73" s="6" t="e">
        <f>#REF!</f>
        <v>#REF!</v>
      </c>
    </row>
    <row r="74" spans="1:38" x14ac:dyDescent="0.25">
      <c r="A74" s="3" t="s">
        <v>249</v>
      </c>
      <c r="B74" s="126" t="e">
        <f>VLOOKUP(A74,$A$2:$AL$285,MATCH('Character Sheet'!$BJ$3,$A$1:$AL$1,0),FALSE)</f>
        <v>#REF!</v>
      </c>
      <c r="C74" s="6" t="e">
        <f>#REF!</f>
        <v>#REF!</v>
      </c>
      <c r="D74" s="6" t="e">
        <f>#REF!</f>
        <v>#REF!</v>
      </c>
      <c r="E74" s="6" t="e">
        <f>#REF!</f>
        <v>#REF!</v>
      </c>
      <c r="F74" s="6" t="e">
        <f>#REF!</f>
        <v>#REF!</v>
      </c>
      <c r="G74" s="6" t="e">
        <f>#REF!</f>
        <v>#REF!</v>
      </c>
      <c r="H74" s="6" t="e">
        <f>#REF!</f>
        <v>#REF!</v>
      </c>
      <c r="I74" s="6" t="e">
        <f>#REF!</f>
        <v>#REF!</v>
      </c>
      <c r="J74" s="6" t="e">
        <f>#REF!</f>
        <v>#REF!</v>
      </c>
      <c r="K74" s="6" t="e">
        <f>#REF!</f>
        <v>#REF!</v>
      </c>
      <c r="L74" s="6" t="e">
        <f>#REF!</f>
        <v>#REF!</v>
      </c>
      <c r="M74" s="6" t="e">
        <f>#REF!</f>
        <v>#REF!</v>
      </c>
      <c r="N74" s="6" t="e">
        <f>#REF!</f>
        <v>#REF!</v>
      </c>
      <c r="O74" s="6" t="e">
        <f>#REF!</f>
        <v>#REF!</v>
      </c>
      <c r="P74" s="6" t="e">
        <f>#REF!</f>
        <v>#REF!</v>
      </c>
      <c r="Q74" s="6" t="e">
        <f>#REF!</f>
        <v>#REF!</v>
      </c>
      <c r="R74" s="6" t="e">
        <f>#REF!</f>
        <v>#REF!</v>
      </c>
      <c r="S74" s="6" t="e">
        <f>#REF!</f>
        <v>#REF!</v>
      </c>
      <c r="T74" s="6" t="e">
        <f>#REF!</f>
        <v>#REF!</v>
      </c>
      <c r="U74" s="6" t="e">
        <f>#REF!</f>
        <v>#REF!</v>
      </c>
      <c r="V74" s="6" t="e">
        <f>#REF!</f>
        <v>#REF!</v>
      </c>
      <c r="W74" s="6" t="e">
        <f>#REF!</f>
        <v>#REF!</v>
      </c>
      <c r="X74" s="6" t="e">
        <f>#REF!</f>
        <v>#REF!</v>
      </c>
      <c r="Y74" s="6" t="e">
        <f>#REF!</f>
        <v>#REF!</v>
      </c>
      <c r="Z74" s="6" t="e">
        <f>#REF!</f>
        <v>#REF!</v>
      </c>
      <c r="AA74" s="6" t="e">
        <f>#REF!</f>
        <v>#REF!</v>
      </c>
      <c r="AB74" s="6" t="e">
        <f>#REF!</f>
        <v>#REF!</v>
      </c>
      <c r="AC74" s="6" t="e">
        <f>#REF!</f>
        <v>#REF!</v>
      </c>
      <c r="AD74" s="6" t="e">
        <f>#REF!</f>
        <v>#REF!</v>
      </c>
      <c r="AE74" s="6" t="e">
        <f>#REF!</f>
        <v>#REF!</v>
      </c>
      <c r="AF74" s="6" t="e">
        <f>#REF!</f>
        <v>#REF!</v>
      </c>
      <c r="AG74" s="6" t="e">
        <f>#REF!</f>
        <v>#REF!</v>
      </c>
      <c r="AH74" s="6" t="e">
        <f>#REF!</f>
        <v>#REF!</v>
      </c>
      <c r="AI74" s="6" t="e">
        <f>#REF!</f>
        <v>#REF!</v>
      </c>
      <c r="AJ74" s="6" t="e">
        <f>#REF!</f>
        <v>#REF!</v>
      </c>
      <c r="AK74" s="6" t="e">
        <f>#REF!</f>
        <v>#REF!</v>
      </c>
      <c r="AL74" s="6" t="e">
        <f>#REF!</f>
        <v>#REF!</v>
      </c>
    </row>
    <row r="75" spans="1:38" x14ac:dyDescent="0.25">
      <c r="A75" s="3" t="s">
        <v>250</v>
      </c>
      <c r="B75" s="126" t="e">
        <f>VLOOKUP(A75,$A$2:$AL$285,MATCH('Character Sheet'!$BJ$3,$A$1:$AL$1,0),FALSE)</f>
        <v>#REF!</v>
      </c>
      <c r="C75" s="6" t="e">
        <f>#REF!</f>
        <v>#REF!</v>
      </c>
      <c r="D75" s="6" t="e">
        <f>#REF!</f>
        <v>#REF!</v>
      </c>
      <c r="E75" s="6" t="e">
        <f>#REF!</f>
        <v>#REF!</v>
      </c>
      <c r="F75" s="6" t="e">
        <f>#REF!</f>
        <v>#REF!</v>
      </c>
      <c r="G75" s="6" t="e">
        <f>#REF!</f>
        <v>#REF!</v>
      </c>
      <c r="H75" s="6" t="e">
        <f>#REF!</f>
        <v>#REF!</v>
      </c>
      <c r="I75" s="6" t="e">
        <f>#REF!</f>
        <v>#REF!</v>
      </c>
      <c r="J75" s="6" t="e">
        <f>#REF!</f>
        <v>#REF!</v>
      </c>
      <c r="K75" s="6" t="e">
        <f>#REF!</f>
        <v>#REF!</v>
      </c>
      <c r="L75" s="6" t="e">
        <f>#REF!</f>
        <v>#REF!</v>
      </c>
      <c r="M75" s="6" t="e">
        <f>#REF!</f>
        <v>#REF!</v>
      </c>
      <c r="N75" s="6" t="e">
        <f>#REF!</f>
        <v>#REF!</v>
      </c>
      <c r="O75" s="6" t="e">
        <f>#REF!</f>
        <v>#REF!</v>
      </c>
      <c r="P75" s="6" t="e">
        <f>#REF!</f>
        <v>#REF!</v>
      </c>
      <c r="Q75" s="6" t="e">
        <f>#REF!</f>
        <v>#REF!</v>
      </c>
      <c r="R75" s="6" t="e">
        <f>#REF!</f>
        <v>#REF!</v>
      </c>
      <c r="S75" s="6" t="e">
        <f>#REF!</f>
        <v>#REF!</v>
      </c>
      <c r="T75" s="6" t="e">
        <f>#REF!</f>
        <v>#REF!</v>
      </c>
      <c r="U75" s="6" t="e">
        <f>#REF!</f>
        <v>#REF!</v>
      </c>
      <c r="V75" s="6" t="e">
        <f>#REF!</f>
        <v>#REF!</v>
      </c>
      <c r="W75" s="6" t="e">
        <f>#REF!</f>
        <v>#REF!</v>
      </c>
      <c r="X75" s="6" t="e">
        <f>#REF!</f>
        <v>#REF!</v>
      </c>
      <c r="Y75" s="6" t="e">
        <f>#REF!</f>
        <v>#REF!</v>
      </c>
      <c r="Z75" s="6" t="e">
        <f>#REF!</f>
        <v>#REF!</v>
      </c>
      <c r="AA75" s="6" t="e">
        <f>#REF!</f>
        <v>#REF!</v>
      </c>
      <c r="AB75" s="6" t="e">
        <f>#REF!</f>
        <v>#REF!</v>
      </c>
      <c r="AC75" s="6" t="e">
        <f>#REF!</f>
        <v>#REF!</v>
      </c>
      <c r="AD75" s="6" t="e">
        <f>#REF!</f>
        <v>#REF!</v>
      </c>
      <c r="AE75" s="6" t="e">
        <f>#REF!</f>
        <v>#REF!</v>
      </c>
      <c r="AF75" s="6" t="e">
        <f>#REF!</f>
        <v>#REF!</v>
      </c>
      <c r="AG75" s="6" t="e">
        <f>#REF!</f>
        <v>#REF!</v>
      </c>
      <c r="AH75" s="6" t="e">
        <f>#REF!</f>
        <v>#REF!</v>
      </c>
      <c r="AI75" s="6" t="e">
        <f>#REF!</f>
        <v>#REF!</v>
      </c>
      <c r="AJ75" s="6" t="e">
        <f>#REF!</f>
        <v>#REF!</v>
      </c>
      <c r="AK75" s="6" t="e">
        <f>#REF!</f>
        <v>#REF!</v>
      </c>
      <c r="AL75" s="6" t="e">
        <f>#REF!</f>
        <v>#REF!</v>
      </c>
    </row>
    <row r="76" spans="1:38" x14ac:dyDescent="0.25">
      <c r="A76" s="3" t="s">
        <v>251</v>
      </c>
      <c r="B76" s="126" t="e">
        <f>VLOOKUP(A76,$A$2:$AL$285,MATCH('Character Sheet'!$BJ$3,$A$1:$AL$1,0),FALSE)</f>
        <v>#REF!</v>
      </c>
      <c r="C76" s="6" t="e">
        <f>#REF!</f>
        <v>#REF!</v>
      </c>
      <c r="D76" s="6" t="e">
        <f>#REF!</f>
        <v>#REF!</v>
      </c>
      <c r="E76" s="6" t="e">
        <f>#REF!</f>
        <v>#REF!</v>
      </c>
      <c r="F76" s="6" t="e">
        <f>#REF!</f>
        <v>#REF!</v>
      </c>
      <c r="G76" s="6" t="e">
        <f>#REF!</f>
        <v>#REF!</v>
      </c>
      <c r="H76" s="6" t="e">
        <f>#REF!</f>
        <v>#REF!</v>
      </c>
      <c r="I76" s="6" t="e">
        <f>#REF!</f>
        <v>#REF!</v>
      </c>
      <c r="J76" s="6" t="e">
        <f>#REF!</f>
        <v>#REF!</v>
      </c>
      <c r="K76" s="6" t="e">
        <f>#REF!</f>
        <v>#REF!</v>
      </c>
      <c r="L76" s="6" t="e">
        <f>#REF!</f>
        <v>#REF!</v>
      </c>
      <c r="M76" s="6" t="e">
        <f>#REF!</f>
        <v>#REF!</v>
      </c>
      <c r="N76" s="6" t="e">
        <f>#REF!</f>
        <v>#REF!</v>
      </c>
      <c r="O76" s="6" t="e">
        <f>#REF!</f>
        <v>#REF!</v>
      </c>
      <c r="P76" s="6" t="e">
        <f>#REF!</f>
        <v>#REF!</v>
      </c>
      <c r="Q76" s="6" t="e">
        <f>#REF!</f>
        <v>#REF!</v>
      </c>
      <c r="R76" s="6" t="e">
        <f>#REF!</f>
        <v>#REF!</v>
      </c>
      <c r="S76" s="6" t="e">
        <f>#REF!</f>
        <v>#REF!</v>
      </c>
      <c r="T76" s="6" t="e">
        <f>#REF!</f>
        <v>#REF!</v>
      </c>
      <c r="U76" s="6" t="e">
        <f>#REF!</f>
        <v>#REF!</v>
      </c>
      <c r="V76" s="6" t="e">
        <f>#REF!</f>
        <v>#REF!</v>
      </c>
      <c r="W76" s="6" t="e">
        <f>#REF!</f>
        <v>#REF!</v>
      </c>
      <c r="X76" s="6" t="e">
        <f>#REF!</f>
        <v>#REF!</v>
      </c>
      <c r="Y76" s="6" t="e">
        <f>#REF!</f>
        <v>#REF!</v>
      </c>
      <c r="Z76" s="6" t="e">
        <f>#REF!</f>
        <v>#REF!</v>
      </c>
      <c r="AA76" s="6" t="e">
        <f>#REF!</f>
        <v>#REF!</v>
      </c>
      <c r="AB76" s="6" t="e">
        <f>#REF!</f>
        <v>#REF!</v>
      </c>
      <c r="AC76" s="6" t="e">
        <f>#REF!</f>
        <v>#REF!</v>
      </c>
      <c r="AD76" s="6" t="e">
        <f>#REF!</f>
        <v>#REF!</v>
      </c>
      <c r="AE76" s="6" t="e">
        <f>#REF!</f>
        <v>#REF!</v>
      </c>
      <c r="AF76" s="6" t="e">
        <f>#REF!</f>
        <v>#REF!</v>
      </c>
      <c r="AG76" s="6" t="e">
        <f>#REF!</f>
        <v>#REF!</v>
      </c>
      <c r="AH76" s="6" t="e">
        <f>#REF!</f>
        <v>#REF!</v>
      </c>
      <c r="AI76" s="6" t="e">
        <f>#REF!</f>
        <v>#REF!</v>
      </c>
      <c r="AJ76" s="6" t="e">
        <f>#REF!</f>
        <v>#REF!</v>
      </c>
      <c r="AK76" s="6" t="e">
        <f>#REF!</f>
        <v>#REF!</v>
      </c>
      <c r="AL76" s="6" t="e">
        <f>#REF!</f>
        <v>#REF!</v>
      </c>
    </row>
    <row r="77" spans="1:38" x14ac:dyDescent="0.25">
      <c r="A77" s="3" t="s">
        <v>587</v>
      </c>
      <c r="B77" s="126" t="e">
        <f>VLOOKUP(A77,$A$2:$AL$285,MATCH('Character Sheet'!$BJ$3,$A$1:$AL$1,0),FALSE)</f>
        <v>#REF!</v>
      </c>
      <c r="C77" s="6" t="e">
        <f>#REF!</f>
        <v>#REF!</v>
      </c>
      <c r="D77" s="6" t="e">
        <f>#REF!</f>
        <v>#REF!</v>
      </c>
      <c r="E77" s="6" t="e">
        <f>#REF!</f>
        <v>#REF!</v>
      </c>
      <c r="F77" s="6" t="e">
        <f>#REF!</f>
        <v>#REF!</v>
      </c>
      <c r="G77" s="6" t="e">
        <f>#REF!</f>
        <v>#REF!</v>
      </c>
      <c r="H77" s="6" t="e">
        <f>#REF!</f>
        <v>#REF!</v>
      </c>
      <c r="I77" s="6" t="e">
        <f>#REF!</f>
        <v>#REF!</v>
      </c>
      <c r="J77" s="6" t="e">
        <f>#REF!</f>
        <v>#REF!</v>
      </c>
      <c r="K77" s="6" t="e">
        <f>#REF!</f>
        <v>#REF!</v>
      </c>
      <c r="L77" s="6" t="e">
        <f>#REF!</f>
        <v>#REF!</v>
      </c>
      <c r="M77" s="6" t="e">
        <f>#REF!</f>
        <v>#REF!</v>
      </c>
      <c r="N77" s="6" t="e">
        <f>#REF!</f>
        <v>#REF!</v>
      </c>
      <c r="O77" s="6" t="e">
        <f>#REF!</f>
        <v>#REF!</v>
      </c>
      <c r="P77" s="6" t="e">
        <f>#REF!</f>
        <v>#REF!</v>
      </c>
      <c r="Q77" s="6" t="e">
        <f>#REF!</f>
        <v>#REF!</v>
      </c>
      <c r="R77" s="6" t="e">
        <f>#REF!</f>
        <v>#REF!</v>
      </c>
      <c r="S77" s="6" t="e">
        <f>#REF!</f>
        <v>#REF!</v>
      </c>
      <c r="T77" s="6" t="e">
        <f>#REF!</f>
        <v>#REF!</v>
      </c>
      <c r="U77" s="6" t="e">
        <f>#REF!</f>
        <v>#REF!</v>
      </c>
      <c r="V77" s="6" t="e">
        <f>#REF!</f>
        <v>#REF!</v>
      </c>
      <c r="W77" s="6" t="e">
        <f>#REF!</f>
        <v>#REF!</v>
      </c>
      <c r="X77" s="6" t="e">
        <f>#REF!</f>
        <v>#REF!</v>
      </c>
      <c r="Y77" s="6" t="e">
        <f>#REF!</f>
        <v>#REF!</v>
      </c>
      <c r="Z77" s="6" t="e">
        <f>#REF!</f>
        <v>#REF!</v>
      </c>
      <c r="AA77" s="6" t="e">
        <f>#REF!</f>
        <v>#REF!</v>
      </c>
      <c r="AB77" s="6" t="e">
        <f>#REF!</f>
        <v>#REF!</v>
      </c>
      <c r="AC77" s="6" t="e">
        <f>#REF!</f>
        <v>#REF!</v>
      </c>
      <c r="AD77" s="6" t="e">
        <f>#REF!</f>
        <v>#REF!</v>
      </c>
      <c r="AE77" s="6" t="e">
        <f>#REF!</f>
        <v>#REF!</v>
      </c>
      <c r="AF77" s="6" t="e">
        <f>#REF!</f>
        <v>#REF!</v>
      </c>
      <c r="AG77" s="6" t="e">
        <f>#REF!</f>
        <v>#REF!</v>
      </c>
      <c r="AH77" s="6" t="e">
        <f>#REF!</f>
        <v>#REF!</v>
      </c>
      <c r="AI77" s="6" t="e">
        <f>#REF!</f>
        <v>#REF!</v>
      </c>
      <c r="AJ77" s="6" t="e">
        <f>#REF!</f>
        <v>#REF!</v>
      </c>
      <c r="AK77" s="6" t="e">
        <f>#REF!</f>
        <v>#REF!</v>
      </c>
      <c r="AL77" s="6" t="e">
        <f>#REF!</f>
        <v>#REF!</v>
      </c>
    </row>
    <row r="78" spans="1:38" x14ac:dyDescent="0.25">
      <c r="A78" s="3" t="s">
        <v>252</v>
      </c>
      <c r="B78" s="126" t="e">
        <f>VLOOKUP(A78,$A$2:$AL$285,MATCH('Character Sheet'!$BJ$3,$A$1:$AL$1,0),FALSE)</f>
        <v>#REF!</v>
      </c>
      <c r="C78" s="6" t="e">
        <f>#REF!</f>
        <v>#REF!</v>
      </c>
      <c r="D78" s="6" t="e">
        <f>#REF!</f>
        <v>#REF!</v>
      </c>
      <c r="E78" s="6" t="e">
        <f>#REF!</f>
        <v>#REF!</v>
      </c>
      <c r="F78" s="6" t="e">
        <f>#REF!</f>
        <v>#REF!</v>
      </c>
      <c r="G78" s="6" t="e">
        <f>#REF!</f>
        <v>#REF!</v>
      </c>
      <c r="H78" s="6" t="e">
        <f>#REF!</f>
        <v>#REF!</v>
      </c>
      <c r="I78" s="6" t="e">
        <f>#REF!</f>
        <v>#REF!</v>
      </c>
      <c r="J78" s="6" t="e">
        <f>#REF!</f>
        <v>#REF!</v>
      </c>
      <c r="K78" s="6" t="e">
        <f>#REF!</f>
        <v>#REF!</v>
      </c>
      <c r="L78" s="6" t="e">
        <f>#REF!</f>
        <v>#REF!</v>
      </c>
      <c r="M78" s="6" t="e">
        <f>#REF!</f>
        <v>#REF!</v>
      </c>
      <c r="N78" s="6" t="e">
        <f>#REF!</f>
        <v>#REF!</v>
      </c>
      <c r="O78" s="6" t="e">
        <f>#REF!</f>
        <v>#REF!</v>
      </c>
      <c r="P78" s="6" t="e">
        <f>#REF!</f>
        <v>#REF!</v>
      </c>
      <c r="Q78" s="6" t="e">
        <f>#REF!</f>
        <v>#REF!</v>
      </c>
      <c r="R78" s="6" t="e">
        <f>#REF!</f>
        <v>#REF!</v>
      </c>
      <c r="S78" s="6" t="e">
        <f>#REF!</f>
        <v>#REF!</v>
      </c>
      <c r="T78" s="6" t="e">
        <f>#REF!</f>
        <v>#REF!</v>
      </c>
      <c r="U78" s="6" t="e">
        <f>#REF!</f>
        <v>#REF!</v>
      </c>
      <c r="V78" s="6" t="e">
        <f>#REF!</f>
        <v>#REF!</v>
      </c>
      <c r="W78" s="6" t="e">
        <f>#REF!</f>
        <v>#REF!</v>
      </c>
      <c r="X78" s="6" t="e">
        <f>#REF!</f>
        <v>#REF!</v>
      </c>
      <c r="Y78" s="6" t="e">
        <f>#REF!</f>
        <v>#REF!</v>
      </c>
      <c r="Z78" s="6" t="e">
        <f>#REF!</f>
        <v>#REF!</v>
      </c>
      <c r="AA78" s="6" t="e">
        <f>#REF!</f>
        <v>#REF!</v>
      </c>
      <c r="AB78" s="6" t="e">
        <f>#REF!</f>
        <v>#REF!</v>
      </c>
      <c r="AC78" s="6" t="e">
        <f>#REF!</f>
        <v>#REF!</v>
      </c>
      <c r="AD78" s="6" t="e">
        <f>#REF!</f>
        <v>#REF!</v>
      </c>
      <c r="AE78" s="6" t="e">
        <f>#REF!</f>
        <v>#REF!</v>
      </c>
      <c r="AF78" s="6" t="e">
        <f>#REF!</f>
        <v>#REF!</v>
      </c>
      <c r="AG78" s="6" t="e">
        <f>#REF!</f>
        <v>#REF!</v>
      </c>
      <c r="AH78" s="6" t="e">
        <f>#REF!</f>
        <v>#REF!</v>
      </c>
      <c r="AI78" s="6" t="e">
        <f>#REF!</f>
        <v>#REF!</v>
      </c>
      <c r="AJ78" s="6" t="e">
        <f>#REF!</f>
        <v>#REF!</v>
      </c>
      <c r="AK78" s="6" t="e">
        <f>#REF!</f>
        <v>#REF!</v>
      </c>
      <c r="AL78" s="6" t="e">
        <f>#REF!</f>
        <v>#REF!</v>
      </c>
    </row>
    <row r="79" spans="1:38" x14ac:dyDescent="0.25">
      <c r="A79" s="3" t="s">
        <v>600</v>
      </c>
      <c r="B79" s="126" t="e">
        <f>VLOOKUP(A79,$A$2:$AL$285,MATCH('Character Sheet'!$BJ$3,$A$1:$AL$1,0),FALSE)</f>
        <v>#REF!</v>
      </c>
      <c r="C79" s="6" t="e">
        <f>#REF!</f>
        <v>#REF!</v>
      </c>
      <c r="D79" s="6" t="e">
        <f>#REF!</f>
        <v>#REF!</v>
      </c>
      <c r="E79" s="6" t="e">
        <f>#REF!</f>
        <v>#REF!</v>
      </c>
      <c r="F79" s="6" t="e">
        <f>#REF!</f>
        <v>#REF!</v>
      </c>
      <c r="G79" s="6" t="e">
        <f>#REF!</f>
        <v>#REF!</v>
      </c>
      <c r="H79" s="6" t="e">
        <f>#REF!</f>
        <v>#REF!</v>
      </c>
      <c r="I79" s="6" t="e">
        <f>#REF!</f>
        <v>#REF!</v>
      </c>
      <c r="J79" s="6" t="e">
        <f>#REF!</f>
        <v>#REF!</v>
      </c>
      <c r="K79" s="6" t="e">
        <f>#REF!</f>
        <v>#REF!</v>
      </c>
      <c r="L79" s="6" t="e">
        <f>#REF!</f>
        <v>#REF!</v>
      </c>
      <c r="M79" s="6" t="e">
        <f>#REF!</f>
        <v>#REF!</v>
      </c>
      <c r="N79" s="6" t="e">
        <f>#REF!</f>
        <v>#REF!</v>
      </c>
      <c r="O79" s="6" t="e">
        <f>#REF!</f>
        <v>#REF!</v>
      </c>
      <c r="P79" s="6" t="e">
        <f>#REF!</f>
        <v>#REF!</v>
      </c>
      <c r="Q79" s="6" t="e">
        <f>#REF!</f>
        <v>#REF!</v>
      </c>
      <c r="R79" s="6" t="e">
        <f>#REF!</f>
        <v>#REF!</v>
      </c>
      <c r="S79" s="6" t="e">
        <f>#REF!</f>
        <v>#REF!</v>
      </c>
      <c r="T79" s="6" t="e">
        <f>#REF!</f>
        <v>#REF!</v>
      </c>
      <c r="U79" s="6" t="e">
        <f>#REF!</f>
        <v>#REF!</v>
      </c>
      <c r="V79" s="6" t="e">
        <f>#REF!</f>
        <v>#REF!</v>
      </c>
      <c r="W79" s="6" t="e">
        <f>#REF!</f>
        <v>#REF!</v>
      </c>
      <c r="X79" s="6" t="e">
        <f>#REF!</f>
        <v>#REF!</v>
      </c>
      <c r="Y79" s="6" t="e">
        <f>#REF!</f>
        <v>#REF!</v>
      </c>
      <c r="Z79" s="6" t="e">
        <f>#REF!</f>
        <v>#REF!</v>
      </c>
      <c r="AA79" s="6" t="e">
        <f>#REF!</f>
        <v>#REF!</v>
      </c>
      <c r="AB79" s="6" t="e">
        <f>#REF!</f>
        <v>#REF!</v>
      </c>
      <c r="AC79" s="6" t="e">
        <f>#REF!</f>
        <v>#REF!</v>
      </c>
      <c r="AD79" s="6" t="e">
        <f>#REF!</f>
        <v>#REF!</v>
      </c>
      <c r="AE79" s="6" t="e">
        <f>#REF!</f>
        <v>#REF!</v>
      </c>
      <c r="AF79" s="6" t="e">
        <f>#REF!</f>
        <v>#REF!</v>
      </c>
      <c r="AG79" s="6" t="e">
        <f>#REF!</f>
        <v>#REF!</v>
      </c>
      <c r="AH79" s="6" t="e">
        <f>#REF!</f>
        <v>#REF!</v>
      </c>
      <c r="AI79" s="6" t="e">
        <f>#REF!</f>
        <v>#REF!</v>
      </c>
      <c r="AJ79" s="6" t="e">
        <f>#REF!</f>
        <v>#REF!</v>
      </c>
      <c r="AK79" s="6" t="e">
        <f>#REF!</f>
        <v>#REF!</v>
      </c>
      <c r="AL79" s="6" t="e">
        <f>#REF!</f>
        <v>#REF!</v>
      </c>
    </row>
    <row r="80" spans="1:38" x14ac:dyDescent="0.25">
      <c r="A80" s="3" t="s">
        <v>593</v>
      </c>
      <c r="B80" s="126" t="e">
        <f>VLOOKUP(A80,$A$2:$AL$285,MATCH('Character Sheet'!$BJ$3,$A$1:$AL$1,0),FALSE)</f>
        <v>#REF!</v>
      </c>
      <c r="C80" s="6" t="e">
        <f>#REF!</f>
        <v>#REF!</v>
      </c>
      <c r="D80" s="6" t="e">
        <f>#REF!</f>
        <v>#REF!</v>
      </c>
      <c r="E80" s="6" t="e">
        <f>#REF!</f>
        <v>#REF!</v>
      </c>
      <c r="F80" s="6" t="e">
        <f>#REF!</f>
        <v>#REF!</v>
      </c>
      <c r="G80" s="6" t="e">
        <f>#REF!</f>
        <v>#REF!</v>
      </c>
      <c r="H80" s="6" t="e">
        <f>#REF!</f>
        <v>#REF!</v>
      </c>
      <c r="I80" s="6" t="e">
        <f>#REF!</f>
        <v>#REF!</v>
      </c>
      <c r="J80" s="6" t="e">
        <f>#REF!</f>
        <v>#REF!</v>
      </c>
      <c r="K80" s="6" t="e">
        <f>#REF!</f>
        <v>#REF!</v>
      </c>
      <c r="L80" s="6" t="e">
        <f>#REF!</f>
        <v>#REF!</v>
      </c>
      <c r="M80" s="6" t="e">
        <f>#REF!</f>
        <v>#REF!</v>
      </c>
      <c r="N80" s="6" t="e">
        <f>#REF!</f>
        <v>#REF!</v>
      </c>
      <c r="O80" s="6" t="e">
        <f>#REF!</f>
        <v>#REF!</v>
      </c>
      <c r="P80" s="6" t="e">
        <f>#REF!</f>
        <v>#REF!</v>
      </c>
      <c r="Q80" s="6" t="e">
        <f>#REF!</f>
        <v>#REF!</v>
      </c>
      <c r="R80" s="6" t="e">
        <f>#REF!</f>
        <v>#REF!</v>
      </c>
      <c r="S80" s="6" t="e">
        <f>#REF!</f>
        <v>#REF!</v>
      </c>
      <c r="T80" s="6" t="e">
        <f>#REF!</f>
        <v>#REF!</v>
      </c>
      <c r="U80" s="6" t="e">
        <f>#REF!</f>
        <v>#REF!</v>
      </c>
      <c r="V80" s="6" t="e">
        <f>#REF!</f>
        <v>#REF!</v>
      </c>
      <c r="W80" s="6" t="e">
        <f>#REF!</f>
        <v>#REF!</v>
      </c>
      <c r="X80" s="6" t="e">
        <f>#REF!</f>
        <v>#REF!</v>
      </c>
      <c r="Y80" s="6" t="e">
        <f>#REF!</f>
        <v>#REF!</v>
      </c>
      <c r="Z80" s="6" t="e">
        <f>#REF!</f>
        <v>#REF!</v>
      </c>
      <c r="AA80" s="6" t="e">
        <f>#REF!</f>
        <v>#REF!</v>
      </c>
      <c r="AB80" s="6" t="e">
        <f>#REF!</f>
        <v>#REF!</v>
      </c>
      <c r="AC80" s="6" t="e">
        <f>#REF!</f>
        <v>#REF!</v>
      </c>
      <c r="AD80" s="6" t="e">
        <f>#REF!</f>
        <v>#REF!</v>
      </c>
      <c r="AE80" s="6" t="e">
        <f>#REF!</f>
        <v>#REF!</v>
      </c>
      <c r="AF80" s="6" t="e">
        <f>#REF!</f>
        <v>#REF!</v>
      </c>
      <c r="AG80" s="6" t="e">
        <f>#REF!</f>
        <v>#REF!</v>
      </c>
      <c r="AH80" s="6" t="e">
        <f>#REF!</f>
        <v>#REF!</v>
      </c>
      <c r="AI80" s="6" t="e">
        <f>#REF!</f>
        <v>#REF!</v>
      </c>
      <c r="AJ80" s="6" t="e">
        <f>#REF!</f>
        <v>#REF!</v>
      </c>
      <c r="AK80" s="6" t="e">
        <f>#REF!</f>
        <v>#REF!</v>
      </c>
      <c r="AL80" s="6" t="e">
        <f>#REF!</f>
        <v>#REF!</v>
      </c>
    </row>
    <row r="81" spans="1:38" x14ac:dyDescent="0.25">
      <c r="A81" s="3" t="s">
        <v>253</v>
      </c>
      <c r="B81" s="126" t="e">
        <f>VLOOKUP(A81,$A$2:$AL$285,MATCH('Character Sheet'!$BJ$3,$A$1:$AL$1,0),FALSE)</f>
        <v>#REF!</v>
      </c>
      <c r="C81" s="6" t="e">
        <f>#REF!</f>
        <v>#REF!</v>
      </c>
      <c r="D81" s="6" t="e">
        <f>#REF!</f>
        <v>#REF!</v>
      </c>
      <c r="E81" s="6" t="e">
        <f>#REF!</f>
        <v>#REF!</v>
      </c>
      <c r="F81" s="6" t="e">
        <f>#REF!</f>
        <v>#REF!</v>
      </c>
      <c r="G81" s="6" t="e">
        <f>#REF!</f>
        <v>#REF!</v>
      </c>
      <c r="H81" s="6" t="e">
        <f>#REF!</f>
        <v>#REF!</v>
      </c>
      <c r="I81" s="6" t="e">
        <f>#REF!</f>
        <v>#REF!</v>
      </c>
      <c r="J81" s="6" t="e">
        <f>#REF!</f>
        <v>#REF!</v>
      </c>
      <c r="K81" s="6" t="e">
        <f>#REF!</f>
        <v>#REF!</v>
      </c>
      <c r="L81" s="6" t="e">
        <f>#REF!</f>
        <v>#REF!</v>
      </c>
      <c r="M81" s="6" t="e">
        <f>#REF!</f>
        <v>#REF!</v>
      </c>
      <c r="N81" s="6" t="e">
        <f>#REF!</f>
        <v>#REF!</v>
      </c>
      <c r="O81" s="6" t="e">
        <f>#REF!</f>
        <v>#REF!</v>
      </c>
      <c r="P81" s="6" t="e">
        <f>#REF!</f>
        <v>#REF!</v>
      </c>
      <c r="Q81" s="6" t="e">
        <f>#REF!</f>
        <v>#REF!</v>
      </c>
      <c r="R81" s="6" t="e">
        <f>#REF!</f>
        <v>#REF!</v>
      </c>
      <c r="S81" s="6" t="e">
        <f>#REF!</f>
        <v>#REF!</v>
      </c>
      <c r="T81" s="6" t="e">
        <f>#REF!</f>
        <v>#REF!</v>
      </c>
      <c r="U81" s="6" t="e">
        <f>#REF!</f>
        <v>#REF!</v>
      </c>
      <c r="V81" s="6" t="e">
        <f>#REF!</f>
        <v>#REF!</v>
      </c>
      <c r="W81" s="6" t="e">
        <f>#REF!</f>
        <v>#REF!</v>
      </c>
      <c r="X81" s="6" t="e">
        <f>#REF!</f>
        <v>#REF!</v>
      </c>
      <c r="Y81" s="6" t="e">
        <f>#REF!</f>
        <v>#REF!</v>
      </c>
      <c r="Z81" s="6" t="e">
        <f>#REF!</f>
        <v>#REF!</v>
      </c>
      <c r="AA81" s="6" t="e">
        <f>#REF!</f>
        <v>#REF!</v>
      </c>
      <c r="AB81" s="6" t="e">
        <f>#REF!</f>
        <v>#REF!</v>
      </c>
      <c r="AC81" s="6" t="e">
        <f>#REF!</f>
        <v>#REF!</v>
      </c>
      <c r="AD81" s="6" t="e">
        <f>#REF!</f>
        <v>#REF!</v>
      </c>
      <c r="AE81" s="6" t="e">
        <f>#REF!</f>
        <v>#REF!</v>
      </c>
      <c r="AF81" s="6" t="e">
        <f>#REF!</f>
        <v>#REF!</v>
      </c>
      <c r="AG81" s="6" t="e">
        <f>#REF!</f>
        <v>#REF!</v>
      </c>
      <c r="AH81" s="6" t="e">
        <f>#REF!</f>
        <v>#REF!</v>
      </c>
      <c r="AI81" s="6" t="e">
        <f>#REF!</f>
        <v>#REF!</v>
      </c>
      <c r="AJ81" s="6" t="e">
        <f>#REF!</f>
        <v>#REF!</v>
      </c>
      <c r="AK81" s="6" t="e">
        <f>#REF!</f>
        <v>#REF!</v>
      </c>
      <c r="AL81" s="6" t="e">
        <f>#REF!</f>
        <v>#REF!</v>
      </c>
    </row>
    <row r="82" spans="1:38" x14ac:dyDescent="0.25">
      <c r="A82" s="3" t="s">
        <v>240</v>
      </c>
      <c r="B82" s="126" t="e">
        <f>VLOOKUP(A82,$A$2:$AL$285,MATCH('Character Sheet'!$BJ$3,$A$1:$AL$1,0),FALSE)</f>
        <v>#REF!</v>
      </c>
      <c r="C82" s="6" t="e">
        <f>#REF!</f>
        <v>#REF!</v>
      </c>
      <c r="D82" s="6" t="e">
        <f>#REF!</f>
        <v>#REF!</v>
      </c>
      <c r="E82" s="6" t="e">
        <f>#REF!</f>
        <v>#REF!</v>
      </c>
      <c r="F82" s="6" t="e">
        <f>#REF!</f>
        <v>#REF!</v>
      </c>
      <c r="G82" s="6" t="e">
        <f>#REF!</f>
        <v>#REF!</v>
      </c>
      <c r="H82" s="6" t="e">
        <f>#REF!</f>
        <v>#REF!</v>
      </c>
      <c r="I82" s="6" t="e">
        <f>#REF!</f>
        <v>#REF!</v>
      </c>
      <c r="J82" s="6" t="e">
        <f>#REF!</f>
        <v>#REF!</v>
      </c>
      <c r="K82" s="6" t="e">
        <f>#REF!</f>
        <v>#REF!</v>
      </c>
      <c r="L82" s="6" t="e">
        <f>#REF!</f>
        <v>#REF!</v>
      </c>
      <c r="M82" s="6" t="e">
        <f>#REF!</f>
        <v>#REF!</v>
      </c>
      <c r="N82" s="6" t="e">
        <f>#REF!</f>
        <v>#REF!</v>
      </c>
      <c r="O82" s="6" t="e">
        <f>#REF!</f>
        <v>#REF!</v>
      </c>
      <c r="P82" s="6" t="e">
        <f>#REF!</f>
        <v>#REF!</v>
      </c>
      <c r="Q82" s="6" t="e">
        <f>#REF!</f>
        <v>#REF!</v>
      </c>
      <c r="R82" s="6" t="e">
        <f>#REF!</f>
        <v>#REF!</v>
      </c>
      <c r="S82" s="6" t="e">
        <f>#REF!</f>
        <v>#REF!</v>
      </c>
      <c r="T82" s="6" t="e">
        <f>#REF!</f>
        <v>#REF!</v>
      </c>
      <c r="U82" s="6" t="e">
        <f>#REF!</f>
        <v>#REF!</v>
      </c>
      <c r="V82" s="6" t="e">
        <f>#REF!</f>
        <v>#REF!</v>
      </c>
      <c r="W82" s="6" t="e">
        <f>#REF!</f>
        <v>#REF!</v>
      </c>
      <c r="X82" s="6" t="e">
        <f>#REF!</f>
        <v>#REF!</v>
      </c>
      <c r="Y82" s="6" t="e">
        <f>#REF!</f>
        <v>#REF!</v>
      </c>
      <c r="Z82" s="6" t="e">
        <f>#REF!</f>
        <v>#REF!</v>
      </c>
      <c r="AA82" s="6" t="e">
        <f>#REF!</f>
        <v>#REF!</v>
      </c>
      <c r="AB82" s="6" t="e">
        <f>#REF!</f>
        <v>#REF!</v>
      </c>
      <c r="AC82" s="6" t="e">
        <f>#REF!</f>
        <v>#REF!</v>
      </c>
      <c r="AD82" s="6" t="e">
        <f>#REF!</f>
        <v>#REF!</v>
      </c>
      <c r="AE82" s="6" t="e">
        <f>#REF!</f>
        <v>#REF!</v>
      </c>
      <c r="AF82" s="6" t="e">
        <f>#REF!</f>
        <v>#REF!</v>
      </c>
      <c r="AG82" s="6" t="e">
        <f>#REF!</f>
        <v>#REF!</v>
      </c>
      <c r="AH82" s="6" t="e">
        <f>#REF!</f>
        <v>#REF!</v>
      </c>
      <c r="AI82" s="6" t="e">
        <f>#REF!</f>
        <v>#REF!</v>
      </c>
      <c r="AJ82" s="6" t="e">
        <f>#REF!</f>
        <v>#REF!</v>
      </c>
      <c r="AK82" s="6" t="e">
        <f>#REF!</f>
        <v>#REF!</v>
      </c>
      <c r="AL82" s="6" t="e">
        <f>#REF!</f>
        <v>#REF!</v>
      </c>
    </row>
    <row r="83" spans="1:38" x14ac:dyDescent="0.25">
      <c r="A83" s="3" t="s">
        <v>588</v>
      </c>
      <c r="B83" s="126" t="e">
        <f>VLOOKUP(A83,$A$2:$AL$285,MATCH('Character Sheet'!$BJ$3,$A$1:$AL$1,0),FALSE)</f>
        <v>#REF!</v>
      </c>
      <c r="C83" s="6" t="e">
        <f>#REF!</f>
        <v>#REF!</v>
      </c>
      <c r="D83" s="6" t="e">
        <f>#REF!</f>
        <v>#REF!</v>
      </c>
      <c r="E83" s="6" t="e">
        <f>#REF!</f>
        <v>#REF!</v>
      </c>
      <c r="F83" s="6" t="e">
        <f>#REF!</f>
        <v>#REF!</v>
      </c>
      <c r="G83" s="6" t="e">
        <f>#REF!</f>
        <v>#REF!</v>
      </c>
      <c r="H83" s="6" t="e">
        <f>#REF!</f>
        <v>#REF!</v>
      </c>
      <c r="I83" s="6" t="e">
        <f>#REF!</f>
        <v>#REF!</v>
      </c>
      <c r="J83" s="6" t="e">
        <f>#REF!</f>
        <v>#REF!</v>
      </c>
      <c r="K83" s="6" t="e">
        <f>#REF!</f>
        <v>#REF!</v>
      </c>
      <c r="L83" s="6" t="e">
        <f>#REF!</f>
        <v>#REF!</v>
      </c>
      <c r="M83" s="6" t="e">
        <f>#REF!</f>
        <v>#REF!</v>
      </c>
      <c r="N83" s="6" t="e">
        <f>#REF!</f>
        <v>#REF!</v>
      </c>
      <c r="O83" s="6" t="e">
        <f>#REF!</f>
        <v>#REF!</v>
      </c>
      <c r="P83" s="6" t="e">
        <f>#REF!</f>
        <v>#REF!</v>
      </c>
      <c r="Q83" s="6" t="e">
        <f>#REF!</f>
        <v>#REF!</v>
      </c>
      <c r="R83" s="6" t="e">
        <f>#REF!</f>
        <v>#REF!</v>
      </c>
      <c r="S83" s="6" t="e">
        <f>#REF!</f>
        <v>#REF!</v>
      </c>
      <c r="T83" s="6" t="e">
        <f>#REF!</f>
        <v>#REF!</v>
      </c>
      <c r="U83" s="6" t="e">
        <f>#REF!</f>
        <v>#REF!</v>
      </c>
      <c r="V83" s="6" t="e">
        <f>#REF!</f>
        <v>#REF!</v>
      </c>
      <c r="W83" s="6" t="e">
        <f>#REF!</f>
        <v>#REF!</v>
      </c>
      <c r="X83" s="6" t="e">
        <f>#REF!</f>
        <v>#REF!</v>
      </c>
      <c r="Y83" s="6" t="e">
        <f>#REF!</f>
        <v>#REF!</v>
      </c>
      <c r="Z83" s="6" t="e">
        <f>#REF!</f>
        <v>#REF!</v>
      </c>
      <c r="AA83" s="6" t="e">
        <f>#REF!</f>
        <v>#REF!</v>
      </c>
      <c r="AB83" s="6" t="e">
        <f>#REF!</f>
        <v>#REF!</v>
      </c>
      <c r="AC83" s="6" t="e">
        <f>#REF!</f>
        <v>#REF!</v>
      </c>
      <c r="AD83" s="6" t="e">
        <f>#REF!</f>
        <v>#REF!</v>
      </c>
      <c r="AE83" s="6" t="e">
        <f>#REF!</f>
        <v>#REF!</v>
      </c>
      <c r="AF83" s="6" t="e">
        <f>#REF!</f>
        <v>#REF!</v>
      </c>
      <c r="AG83" s="6" t="e">
        <f>#REF!</f>
        <v>#REF!</v>
      </c>
      <c r="AH83" s="6" t="e">
        <f>#REF!</f>
        <v>#REF!</v>
      </c>
      <c r="AI83" s="6" t="e">
        <f>#REF!</f>
        <v>#REF!</v>
      </c>
      <c r="AJ83" s="6" t="e">
        <f>#REF!</f>
        <v>#REF!</v>
      </c>
      <c r="AK83" s="6" t="e">
        <f>#REF!</f>
        <v>#REF!</v>
      </c>
      <c r="AL83" s="6" t="e">
        <f>#REF!</f>
        <v>#REF!</v>
      </c>
    </row>
    <row r="84" spans="1:38" x14ac:dyDescent="0.25">
      <c r="A84" s="3" t="s">
        <v>254</v>
      </c>
      <c r="B84" s="126" t="e">
        <f>VLOOKUP(A84,$A$2:$AL$285,MATCH('Character Sheet'!$BJ$3,$A$1:$AL$1,0),FALSE)</f>
        <v>#REF!</v>
      </c>
      <c r="C84" s="6" t="e">
        <f>#REF!</f>
        <v>#REF!</v>
      </c>
      <c r="D84" s="6" t="e">
        <f>#REF!</f>
        <v>#REF!</v>
      </c>
      <c r="E84" s="6" t="e">
        <f>#REF!</f>
        <v>#REF!</v>
      </c>
      <c r="F84" s="6" t="e">
        <f>#REF!</f>
        <v>#REF!</v>
      </c>
      <c r="G84" s="6" t="e">
        <f>#REF!</f>
        <v>#REF!</v>
      </c>
      <c r="H84" s="6" t="e">
        <f>#REF!</f>
        <v>#REF!</v>
      </c>
      <c r="I84" s="6" t="e">
        <f>#REF!</f>
        <v>#REF!</v>
      </c>
      <c r="J84" s="6" t="e">
        <f>#REF!</f>
        <v>#REF!</v>
      </c>
      <c r="K84" s="6" t="e">
        <f>#REF!</f>
        <v>#REF!</v>
      </c>
      <c r="L84" s="6" t="e">
        <f>#REF!</f>
        <v>#REF!</v>
      </c>
      <c r="M84" s="6" t="e">
        <f>#REF!</f>
        <v>#REF!</v>
      </c>
      <c r="N84" s="6" t="e">
        <f>#REF!</f>
        <v>#REF!</v>
      </c>
      <c r="O84" s="6" t="e">
        <f>#REF!</f>
        <v>#REF!</v>
      </c>
      <c r="P84" s="6" t="e">
        <f>#REF!</f>
        <v>#REF!</v>
      </c>
      <c r="Q84" s="6" t="e">
        <f>#REF!</f>
        <v>#REF!</v>
      </c>
      <c r="R84" s="6" t="e">
        <f>#REF!</f>
        <v>#REF!</v>
      </c>
      <c r="S84" s="6" t="e">
        <f>#REF!</f>
        <v>#REF!</v>
      </c>
      <c r="T84" s="6" t="e">
        <f>#REF!</f>
        <v>#REF!</v>
      </c>
      <c r="U84" s="6" t="e">
        <f>#REF!</f>
        <v>#REF!</v>
      </c>
      <c r="V84" s="6" t="e">
        <f>#REF!</f>
        <v>#REF!</v>
      </c>
      <c r="W84" s="6" t="e">
        <f>#REF!</f>
        <v>#REF!</v>
      </c>
      <c r="X84" s="6" t="e">
        <f>#REF!</f>
        <v>#REF!</v>
      </c>
      <c r="Y84" s="6" t="e">
        <f>#REF!</f>
        <v>#REF!</v>
      </c>
      <c r="Z84" s="6" t="e">
        <f>#REF!</f>
        <v>#REF!</v>
      </c>
      <c r="AA84" s="6" t="e">
        <f>#REF!</f>
        <v>#REF!</v>
      </c>
      <c r="AB84" s="6" t="e">
        <f>#REF!</f>
        <v>#REF!</v>
      </c>
      <c r="AC84" s="6" t="e">
        <f>#REF!</f>
        <v>#REF!</v>
      </c>
      <c r="AD84" s="6" t="e">
        <f>#REF!</f>
        <v>#REF!</v>
      </c>
      <c r="AE84" s="6" t="e">
        <f>#REF!</f>
        <v>#REF!</v>
      </c>
      <c r="AF84" s="6" t="e">
        <f>#REF!</f>
        <v>#REF!</v>
      </c>
      <c r="AG84" s="6" t="e">
        <f>#REF!</f>
        <v>#REF!</v>
      </c>
      <c r="AH84" s="6" t="e">
        <f>#REF!</f>
        <v>#REF!</v>
      </c>
      <c r="AI84" s="6" t="e">
        <f>#REF!</f>
        <v>#REF!</v>
      </c>
      <c r="AJ84" s="6" t="e">
        <f>#REF!</f>
        <v>#REF!</v>
      </c>
      <c r="AK84" s="6" t="e">
        <f>#REF!</f>
        <v>#REF!</v>
      </c>
      <c r="AL84" s="6" t="e">
        <f>#REF!</f>
        <v>#REF!</v>
      </c>
    </row>
    <row r="85" spans="1:38" x14ac:dyDescent="0.25">
      <c r="A85" s="3" t="s">
        <v>594</v>
      </c>
      <c r="B85" s="126" t="e">
        <f>VLOOKUP(A85,$A$2:$AL$285,MATCH('Character Sheet'!$BJ$3,$A$1:$AL$1,0),FALSE)</f>
        <v>#REF!</v>
      </c>
      <c r="C85" s="6" t="e">
        <f>#REF!</f>
        <v>#REF!</v>
      </c>
      <c r="D85" s="6" t="e">
        <f>#REF!</f>
        <v>#REF!</v>
      </c>
      <c r="E85" s="6" t="e">
        <f>#REF!</f>
        <v>#REF!</v>
      </c>
      <c r="F85" s="6" t="e">
        <f>#REF!</f>
        <v>#REF!</v>
      </c>
      <c r="G85" s="6" t="e">
        <f>#REF!</f>
        <v>#REF!</v>
      </c>
      <c r="H85" s="6" t="e">
        <f>#REF!</f>
        <v>#REF!</v>
      </c>
      <c r="I85" s="6" t="e">
        <f>#REF!</f>
        <v>#REF!</v>
      </c>
      <c r="J85" s="6" t="e">
        <f>#REF!</f>
        <v>#REF!</v>
      </c>
      <c r="K85" s="6" t="e">
        <f>#REF!</f>
        <v>#REF!</v>
      </c>
      <c r="L85" s="6" t="e">
        <f>#REF!</f>
        <v>#REF!</v>
      </c>
      <c r="M85" s="6" t="e">
        <f>#REF!</f>
        <v>#REF!</v>
      </c>
      <c r="N85" s="6" t="e">
        <f>#REF!</f>
        <v>#REF!</v>
      </c>
      <c r="O85" s="6" t="e">
        <f>#REF!</f>
        <v>#REF!</v>
      </c>
      <c r="P85" s="6" t="e">
        <f>#REF!</f>
        <v>#REF!</v>
      </c>
      <c r="Q85" s="6" t="e">
        <f>#REF!</f>
        <v>#REF!</v>
      </c>
      <c r="R85" s="6" t="e">
        <f>#REF!</f>
        <v>#REF!</v>
      </c>
      <c r="S85" s="6" t="e">
        <f>#REF!</f>
        <v>#REF!</v>
      </c>
      <c r="T85" s="6" t="e">
        <f>#REF!</f>
        <v>#REF!</v>
      </c>
      <c r="U85" s="6" t="e">
        <f>#REF!</f>
        <v>#REF!</v>
      </c>
      <c r="V85" s="6" t="e">
        <f>#REF!</f>
        <v>#REF!</v>
      </c>
      <c r="W85" s="6" t="e">
        <f>#REF!</f>
        <v>#REF!</v>
      </c>
      <c r="X85" s="6" t="e">
        <f>#REF!</f>
        <v>#REF!</v>
      </c>
      <c r="Y85" s="6" t="e">
        <f>#REF!</f>
        <v>#REF!</v>
      </c>
      <c r="Z85" s="6" t="e">
        <f>#REF!</f>
        <v>#REF!</v>
      </c>
      <c r="AA85" s="6" t="e">
        <f>#REF!</f>
        <v>#REF!</v>
      </c>
      <c r="AB85" s="6" t="e">
        <f>#REF!</f>
        <v>#REF!</v>
      </c>
      <c r="AC85" s="6" t="e">
        <f>#REF!</f>
        <v>#REF!</v>
      </c>
      <c r="AD85" s="6" t="e">
        <f>#REF!</f>
        <v>#REF!</v>
      </c>
      <c r="AE85" s="6" t="e">
        <f>#REF!</f>
        <v>#REF!</v>
      </c>
      <c r="AF85" s="6" t="e">
        <f>#REF!</f>
        <v>#REF!</v>
      </c>
      <c r="AG85" s="6" t="e">
        <f>#REF!</f>
        <v>#REF!</v>
      </c>
      <c r="AH85" s="6" t="e">
        <f>#REF!</f>
        <v>#REF!</v>
      </c>
      <c r="AI85" s="6" t="e">
        <f>#REF!</f>
        <v>#REF!</v>
      </c>
      <c r="AJ85" s="6" t="e">
        <f>#REF!</f>
        <v>#REF!</v>
      </c>
      <c r="AK85" s="6" t="e">
        <f>#REF!</f>
        <v>#REF!</v>
      </c>
      <c r="AL85" s="6" t="e">
        <f>#REF!</f>
        <v>#REF!</v>
      </c>
    </row>
    <row r="86" spans="1:38" x14ac:dyDescent="0.25">
      <c r="A86" s="3" t="s">
        <v>589</v>
      </c>
      <c r="B86" s="126" t="e">
        <f>VLOOKUP(A86,$A$2:$AL$285,MATCH('Character Sheet'!$BJ$3,$A$1:$AL$1,0),FALSE)</f>
        <v>#REF!</v>
      </c>
      <c r="C86" s="6" t="e">
        <f>#REF!</f>
        <v>#REF!</v>
      </c>
      <c r="D86" s="6" t="e">
        <f>#REF!</f>
        <v>#REF!</v>
      </c>
      <c r="E86" s="6" t="e">
        <f>#REF!</f>
        <v>#REF!</v>
      </c>
      <c r="F86" s="6" t="e">
        <f>#REF!</f>
        <v>#REF!</v>
      </c>
      <c r="G86" s="6" t="e">
        <f>#REF!</f>
        <v>#REF!</v>
      </c>
      <c r="H86" s="6" t="e">
        <f>#REF!</f>
        <v>#REF!</v>
      </c>
      <c r="I86" s="6" t="e">
        <f>#REF!</f>
        <v>#REF!</v>
      </c>
      <c r="J86" s="6" t="e">
        <f>#REF!</f>
        <v>#REF!</v>
      </c>
      <c r="K86" s="6" t="e">
        <f>#REF!</f>
        <v>#REF!</v>
      </c>
      <c r="L86" s="6" t="e">
        <f>#REF!</f>
        <v>#REF!</v>
      </c>
      <c r="M86" s="6" t="e">
        <f>#REF!</f>
        <v>#REF!</v>
      </c>
      <c r="N86" s="6" t="e">
        <f>#REF!</f>
        <v>#REF!</v>
      </c>
      <c r="O86" s="6" t="e">
        <f>#REF!</f>
        <v>#REF!</v>
      </c>
      <c r="P86" s="6" t="e">
        <f>#REF!</f>
        <v>#REF!</v>
      </c>
      <c r="Q86" s="6" t="e">
        <f>#REF!</f>
        <v>#REF!</v>
      </c>
      <c r="R86" s="6" t="e">
        <f>#REF!</f>
        <v>#REF!</v>
      </c>
      <c r="S86" s="6" t="e">
        <f>#REF!</f>
        <v>#REF!</v>
      </c>
      <c r="T86" s="6" t="e">
        <f>#REF!</f>
        <v>#REF!</v>
      </c>
      <c r="U86" s="6" t="e">
        <f>#REF!</f>
        <v>#REF!</v>
      </c>
      <c r="V86" s="6" t="e">
        <f>#REF!</f>
        <v>#REF!</v>
      </c>
      <c r="W86" s="6" t="e">
        <f>#REF!</f>
        <v>#REF!</v>
      </c>
      <c r="X86" s="6" t="e">
        <f>#REF!</f>
        <v>#REF!</v>
      </c>
      <c r="Y86" s="6" t="e">
        <f>#REF!</f>
        <v>#REF!</v>
      </c>
      <c r="Z86" s="6" t="e">
        <f>#REF!</f>
        <v>#REF!</v>
      </c>
      <c r="AA86" s="6" t="e">
        <f>#REF!</f>
        <v>#REF!</v>
      </c>
      <c r="AB86" s="6" t="e">
        <f>#REF!</f>
        <v>#REF!</v>
      </c>
      <c r="AC86" s="6" t="e">
        <f>#REF!</f>
        <v>#REF!</v>
      </c>
      <c r="AD86" s="6" t="e">
        <f>#REF!</f>
        <v>#REF!</v>
      </c>
      <c r="AE86" s="6" t="e">
        <f>#REF!</f>
        <v>#REF!</v>
      </c>
      <c r="AF86" s="6" t="e">
        <f>#REF!</f>
        <v>#REF!</v>
      </c>
      <c r="AG86" s="6" t="e">
        <f>#REF!</f>
        <v>#REF!</v>
      </c>
      <c r="AH86" s="6" t="e">
        <f>#REF!</f>
        <v>#REF!</v>
      </c>
      <c r="AI86" s="6" t="e">
        <f>#REF!</f>
        <v>#REF!</v>
      </c>
      <c r="AJ86" s="6" t="e">
        <f>#REF!</f>
        <v>#REF!</v>
      </c>
      <c r="AK86" s="6" t="e">
        <f>#REF!</f>
        <v>#REF!</v>
      </c>
      <c r="AL86" s="6" t="e">
        <f>#REF!</f>
        <v>#REF!</v>
      </c>
    </row>
    <row r="87" spans="1:38" x14ac:dyDescent="0.25">
      <c r="A87" s="3" t="s">
        <v>255</v>
      </c>
      <c r="B87" s="126" t="e">
        <f>VLOOKUP(A87,$A$2:$AL$285,MATCH('Character Sheet'!$BJ$3,$A$1:$AL$1,0),FALSE)</f>
        <v>#REF!</v>
      </c>
      <c r="C87" s="6" t="e">
        <f>#REF!</f>
        <v>#REF!</v>
      </c>
      <c r="D87" s="6" t="e">
        <f>#REF!</f>
        <v>#REF!</v>
      </c>
      <c r="E87" s="6" t="e">
        <f>#REF!</f>
        <v>#REF!</v>
      </c>
      <c r="F87" s="6" t="e">
        <f>#REF!</f>
        <v>#REF!</v>
      </c>
      <c r="G87" s="6" t="e">
        <f>#REF!</f>
        <v>#REF!</v>
      </c>
      <c r="H87" s="6" t="e">
        <f>#REF!</f>
        <v>#REF!</v>
      </c>
      <c r="I87" s="6" t="e">
        <f>#REF!</f>
        <v>#REF!</v>
      </c>
      <c r="J87" s="6" t="e">
        <f>#REF!</f>
        <v>#REF!</v>
      </c>
      <c r="K87" s="6" t="e">
        <f>#REF!</f>
        <v>#REF!</v>
      </c>
      <c r="L87" s="6" t="e">
        <f>#REF!</f>
        <v>#REF!</v>
      </c>
      <c r="M87" s="6" t="e">
        <f>#REF!</f>
        <v>#REF!</v>
      </c>
      <c r="N87" s="6" t="e">
        <f>#REF!</f>
        <v>#REF!</v>
      </c>
      <c r="O87" s="6" t="e">
        <f>#REF!</f>
        <v>#REF!</v>
      </c>
      <c r="P87" s="6" t="e">
        <f>#REF!</f>
        <v>#REF!</v>
      </c>
      <c r="Q87" s="6" t="e">
        <f>#REF!</f>
        <v>#REF!</v>
      </c>
      <c r="R87" s="6" t="e">
        <f>#REF!</f>
        <v>#REF!</v>
      </c>
      <c r="S87" s="6" t="e">
        <f>#REF!</f>
        <v>#REF!</v>
      </c>
      <c r="T87" s="6" t="e">
        <f>#REF!</f>
        <v>#REF!</v>
      </c>
      <c r="U87" s="6" t="e">
        <f>#REF!</f>
        <v>#REF!</v>
      </c>
      <c r="V87" s="6" t="e">
        <f>#REF!</f>
        <v>#REF!</v>
      </c>
      <c r="W87" s="6" t="e">
        <f>#REF!</f>
        <v>#REF!</v>
      </c>
      <c r="X87" s="6" t="e">
        <f>#REF!</f>
        <v>#REF!</v>
      </c>
      <c r="Y87" s="6" t="e">
        <f>#REF!</f>
        <v>#REF!</v>
      </c>
      <c r="Z87" s="6" t="e">
        <f>#REF!</f>
        <v>#REF!</v>
      </c>
      <c r="AA87" s="6" t="e">
        <f>#REF!</f>
        <v>#REF!</v>
      </c>
      <c r="AB87" s="6" t="e">
        <f>#REF!</f>
        <v>#REF!</v>
      </c>
      <c r="AC87" s="6" t="e">
        <f>#REF!</f>
        <v>#REF!</v>
      </c>
      <c r="AD87" s="6" t="e">
        <f>#REF!</f>
        <v>#REF!</v>
      </c>
      <c r="AE87" s="6" t="e">
        <f>#REF!</f>
        <v>#REF!</v>
      </c>
      <c r="AF87" s="6" t="e">
        <f>#REF!</f>
        <v>#REF!</v>
      </c>
      <c r="AG87" s="6" t="e">
        <f>#REF!</f>
        <v>#REF!</v>
      </c>
      <c r="AH87" s="6" t="e">
        <f>#REF!</f>
        <v>#REF!</v>
      </c>
      <c r="AI87" s="6" t="e">
        <f>#REF!</f>
        <v>#REF!</v>
      </c>
      <c r="AJ87" s="6" t="e">
        <f>#REF!</f>
        <v>#REF!</v>
      </c>
      <c r="AK87" s="6" t="e">
        <f>#REF!</f>
        <v>#REF!</v>
      </c>
      <c r="AL87" s="6" t="e">
        <f>#REF!</f>
        <v>#REF!</v>
      </c>
    </row>
    <row r="88" spans="1:38" x14ac:dyDescent="0.25">
      <c r="A88" s="3" t="s">
        <v>584</v>
      </c>
      <c r="B88" s="126" t="e">
        <f>VLOOKUP(A88,$A$2:$AL$285,MATCH('Character Sheet'!$BJ$3,$A$1:$AL$1,0),FALSE)</f>
        <v>#REF!</v>
      </c>
      <c r="C88" s="6" t="e">
        <f>#REF!</f>
        <v>#REF!</v>
      </c>
      <c r="D88" s="6" t="e">
        <f>#REF!</f>
        <v>#REF!</v>
      </c>
      <c r="E88" s="6" t="e">
        <f>#REF!</f>
        <v>#REF!</v>
      </c>
      <c r="F88" s="6" t="e">
        <f>#REF!</f>
        <v>#REF!</v>
      </c>
      <c r="G88" s="6" t="e">
        <f>#REF!</f>
        <v>#REF!</v>
      </c>
      <c r="H88" s="6" t="e">
        <f>#REF!</f>
        <v>#REF!</v>
      </c>
      <c r="I88" s="6" t="e">
        <f>#REF!</f>
        <v>#REF!</v>
      </c>
      <c r="J88" s="6" t="e">
        <f>#REF!</f>
        <v>#REF!</v>
      </c>
      <c r="K88" s="6" t="e">
        <f>#REF!</f>
        <v>#REF!</v>
      </c>
      <c r="L88" s="6" t="e">
        <f>#REF!</f>
        <v>#REF!</v>
      </c>
      <c r="M88" s="6" t="e">
        <f>#REF!</f>
        <v>#REF!</v>
      </c>
      <c r="N88" s="6" t="e">
        <f>#REF!</f>
        <v>#REF!</v>
      </c>
      <c r="O88" s="6" t="e">
        <f>#REF!</f>
        <v>#REF!</v>
      </c>
      <c r="P88" s="6" t="e">
        <f>#REF!</f>
        <v>#REF!</v>
      </c>
      <c r="Q88" s="6" t="e">
        <f>#REF!</f>
        <v>#REF!</v>
      </c>
      <c r="R88" s="6" t="e">
        <f>#REF!</f>
        <v>#REF!</v>
      </c>
      <c r="S88" s="6" t="e">
        <f>#REF!</f>
        <v>#REF!</v>
      </c>
      <c r="T88" s="6" t="e">
        <f>#REF!</f>
        <v>#REF!</v>
      </c>
      <c r="U88" s="6" t="e">
        <f>#REF!</f>
        <v>#REF!</v>
      </c>
      <c r="V88" s="6" t="e">
        <f>#REF!</f>
        <v>#REF!</v>
      </c>
      <c r="W88" s="6" t="e">
        <f>#REF!</f>
        <v>#REF!</v>
      </c>
      <c r="X88" s="6" t="e">
        <f>#REF!</f>
        <v>#REF!</v>
      </c>
      <c r="Y88" s="6" t="e">
        <f>#REF!</f>
        <v>#REF!</v>
      </c>
      <c r="Z88" s="6" t="e">
        <f>#REF!</f>
        <v>#REF!</v>
      </c>
      <c r="AA88" s="6" t="e">
        <f>#REF!</f>
        <v>#REF!</v>
      </c>
      <c r="AB88" s="6" t="e">
        <f>#REF!</f>
        <v>#REF!</v>
      </c>
      <c r="AC88" s="6" t="e">
        <f>#REF!</f>
        <v>#REF!</v>
      </c>
      <c r="AD88" s="6" t="e">
        <f>#REF!</f>
        <v>#REF!</v>
      </c>
      <c r="AE88" s="6" t="e">
        <f>#REF!</f>
        <v>#REF!</v>
      </c>
      <c r="AF88" s="6" t="e">
        <f>#REF!</f>
        <v>#REF!</v>
      </c>
      <c r="AG88" s="6" t="e">
        <f>#REF!</f>
        <v>#REF!</v>
      </c>
      <c r="AH88" s="6" t="e">
        <f>#REF!</f>
        <v>#REF!</v>
      </c>
      <c r="AI88" s="6" t="e">
        <f>#REF!</f>
        <v>#REF!</v>
      </c>
      <c r="AJ88" s="6" t="e">
        <f>#REF!</f>
        <v>#REF!</v>
      </c>
      <c r="AK88" s="6" t="e">
        <f>#REF!</f>
        <v>#REF!</v>
      </c>
      <c r="AL88" s="6" t="e">
        <f>#REF!</f>
        <v>#REF!</v>
      </c>
    </row>
    <row r="89" spans="1:38" x14ac:dyDescent="0.25">
      <c r="A89" s="3" t="s">
        <v>595</v>
      </c>
      <c r="B89" s="126" t="e">
        <f>VLOOKUP(A89,$A$2:$AL$285,MATCH('Character Sheet'!$BJ$3,$A$1:$AL$1,0),FALSE)</f>
        <v>#REF!</v>
      </c>
      <c r="C89" s="6" t="e">
        <f>#REF!</f>
        <v>#REF!</v>
      </c>
      <c r="D89" s="6" t="e">
        <f>#REF!</f>
        <v>#REF!</v>
      </c>
      <c r="E89" s="6" t="e">
        <f>#REF!</f>
        <v>#REF!</v>
      </c>
      <c r="F89" s="6" t="e">
        <f>#REF!</f>
        <v>#REF!</v>
      </c>
      <c r="G89" s="6" t="e">
        <f>#REF!</f>
        <v>#REF!</v>
      </c>
      <c r="H89" s="6" t="e">
        <f>#REF!</f>
        <v>#REF!</v>
      </c>
      <c r="I89" s="6" t="e">
        <f>#REF!</f>
        <v>#REF!</v>
      </c>
      <c r="J89" s="6" t="e">
        <f>#REF!</f>
        <v>#REF!</v>
      </c>
      <c r="K89" s="6" t="e">
        <f>#REF!</f>
        <v>#REF!</v>
      </c>
      <c r="L89" s="6" t="e">
        <f>#REF!</f>
        <v>#REF!</v>
      </c>
      <c r="M89" s="6" t="e">
        <f>#REF!</f>
        <v>#REF!</v>
      </c>
      <c r="N89" s="6" t="e">
        <f>#REF!</f>
        <v>#REF!</v>
      </c>
      <c r="O89" s="6" t="e">
        <f>#REF!</f>
        <v>#REF!</v>
      </c>
      <c r="P89" s="6" t="e">
        <f>#REF!</f>
        <v>#REF!</v>
      </c>
      <c r="Q89" s="6" t="e">
        <f>#REF!</f>
        <v>#REF!</v>
      </c>
      <c r="R89" s="6" t="e">
        <f>#REF!</f>
        <v>#REF!</v>
      </c>
      <c r="S89" s="6" t="e">
        <f>#REF!</f>
        <v>#REF!</v>
      </c>
      <c r="T89" s="6" t="e">
        <f>#REF!</f>
        <v>#REF!</v>
      </c>
      <c r="U89" s="6" t="e">
        <f>#REF!</f>
        <v>#REF!</v>
      </c>
      <c r="V89" s="6" t="e">
        <f>#REF!</f>
        <v>#REF!</v>
      </c>
      <c r="W89" s="6" t="e">
        <f>#REF!</f>
        <v>#REF!</v>
      </c>
      <c r="X89" s="6" t="e">
        <f>#REF!</f>
        <v>#REF!</v>
      </c>
      <c r="Y89" s="6" t="e">
        <f>#REF!</f>
        <v>#REF!</v>
      </c>
      <c r="Z89" s="6" t="e">
        <f>#REF!</f>
        <v>#REF!</v>
      </c>
      <c r="AA89" s="6" t="e">
        <f>#REF!</f>
        <v>#REF!</v>
      </c>
      <c r="AB89" s="6" t="e">
        <f>#REF!</f>
        <v>#REF!</v>
      </c>
      <c r="AC89" s="6" t="e">
        <f>#REF!</f>
        <v>#REF!</v>
      </c>
      <c r="AD89" s="6" t="e">
        <f>#REF!</f>
        <v>#REF!</v>
      </c>
      <c r="AE89" s="6" t="e">
        <f>#REF!</f>
        <v>#REF!</v>
      </c>
      <c r="AF89" s="6" t="e">
        <f>#REF!</f>
        <v>#REF!</v>
      </c>
      <c r="AG89" s="6" t="e">
        <f>#REF!</f>
        <v>#REF!</v>
      </c>
      <c r="AH89" s="6" t="e">
        <f>#REF!</f>
        <v>#REF!</v>
      </c>
      <c r="AI89" s="6" t="e">
        <f>#REF!</f>
        <v>#REF!</v>
      </c>
      <c r="AJ89" s="6" t="e">
        <f>#REF!</f>
        <v>#REF!</v>
      </c>
      <c r="AK89" s="6" t="e">
        <f>#REF!</f>
        <v>#REF!</v>
      </c>
      <c r="AL89" s="6" t="e">
        <f>#REF!</f>
        <v>#REF!</v>
      </c>
    </row>
    <row r="90" spans="1:38" x14ac:dyDescent="0.25">
      <c r="A90" s="3" t="s">
        <v>601</v>
      </c>
      <c r="B90" s="126" t="e">
        <f>VLOOKUP(A90,$A$2:$AL$285,MATCH('Character Sheet'!$BJ$3,$A$1:$AL$1,0),FALSE)</f>
        <v>#REF!</v>
      </c>
      <c r="C90" s="6" t="e">
        <f>#REF!</f>
        <v>#REF!</v>
      </c>
      <c r="D90" s="6" t="e">
        <f>#REF!</f>
        <v>#REF!</v>
      </c>
      <c r="E90" s="6" t="e">
        <f>#REF!</f>
        <v>#REF!</v>
      </c>
      <c r="F90" s="6" t="e">
        <f>#REF!</f>
        <v>#REF!</v>
      </c>
      <c r="G90" s="6" t="e">
        <f>#REF!</f>
        <v>#REF!</v>
      </c>
      <c r="H90" s="6" t="e">
        <f>#REF!</f>
        <v>#REF!</v>
      </c>
      <c r="I90" s="6" t="e">
        <f>#REF!</f>
        <v>#REF!</v>
      </c>
      <c r="J90" s="6" t="e">
        <f>#REF!</f>
        <v>#REF!</v>
      </c>
      <c r="K90" s="6" t="e">
        <f>#REF!</f>
        <v>#REF!</v>
      </c>
      <c r="L90" s="6" t="e">
        <f>#REF!</f>
        <v>#REF!</v>
      </c>
      <c r="M90" s="6" t="e">
        <f>#REF!</f>
        <v>#REF!</v>
      </c>
      <c r="N90" s="6" t="e">
        <f>#REF!</f>
        <v>#REF!</v>
      </c>
      <c r="O90" s="6" t="e">
        <f>#REF!</f>
        <v>#REF!</v>
      </c>
      <c r="P90" s="6" t="e">
        <f>#REF!</f>
        <v>#REF!</v>
      </c>
      <c r="Q90" s="6" t="e">
        <f>#REF!</f>
        <v>#REF!</v>
      </c>
      <c r="R90" s="6" t="e">
        <f>#REF!</f>
        <v>#REF!</v>
      </c>
      <c r="S90" s="6" t="e">
        <f>#REF!</f>
        <v>#REF!</v>
      </c>
      <c r="T90" s="6" t="e">
        <f>#REF!</f>
        <v>#REF!</v>
      </c>
      <c r="U90" s="6" t="e">
        <f>#REF!</f>
        <v>#REF!</v>
      </c>
      <c r="V90" s="6" t="e">
        <f>#REF!</f>
        <v>#REF!</v>
      </c>
      <c r="W90" s="6" t="e">
        <f>#REF!</f>
        <v>#REF!</v>
      </c>
      <c r="X90" s="6" t="e">
        <f>#REF!</f>
        <v>#REF!</v>
      </c>
      <c r="Y90" s="6" t="e">
        <f>#REF!</f>
        <v>#REF!</v>
      </c>
      <c r="Z90" s="6" t="e">
        <f>#REF!</f>
        <v>#REF!</v>
      </c>
      <c r="AA90" s="6" t="e">
        <f>#REF!</f>
        <v>#REF!</v>
      </c>
      <c r="AB90" s="6" t="e">
        <f>#REF!</f>
        <v>#REF!</v>
      </c>
      <c r="AC90" s="6" t="e">
        <f>#REF!</f>
        <v>#REF!</v>
      </c>
      <c r="AD90" s="6" t="e">
        <f>#REF!</f>
        <v>#REF!</v>
      </c>
      <c r="AE90" s="6" t="e">
        <f>#REF!</f>
        <v>#REF!</v>
      </c>
      <c r="AF90" s="6" t="e">
        <f>#REF!</f>
        <v>#REF!</v>
      </c>
      <c r="AG90" s="6" t="e">
        <f>#REF!</f>
        <v>#REF!</v>
      </c>
      <c r="AH90" s="6" t="e">
        <f>#REF!</f>
        <v>#REF!</v>
      </c>
      <c r="AI90" s="6" t="e">
        <f>#REF!</f>
        <v>#REF!</v>
      </c>
      <c r="AJ90" s="6" t="e">
        <f>#REF!</f>
        <v>#REF!</v>
      </c>
      <c r="AK90" s="6" t="e">
        <f>#REF!</f>
        <v>#REF!</v>
      </c>
      <c r="AL90" s="6" t="e">
        <f>#REF!</f>
        <v>#REF!</v>
      </c>
    </row>
    <row r="91" spans="1:38" x14ac:dyDescent="0.25">
      <c r="A91" s="3" t="s">
        <v>256</v>
      </c>
      <c r="B91" s="126" t="e">
        <f>VLOOKUP(A91,$A$2:$AL$285,MATCH('Character Sheet'!$BJ$3,$A$1:$AL$1,0),FALSE)</f>
        <v>#REF!</v>
      </c>
      <c r="C91" s="6" t="e">
        <f>#REF!</f>
        <v>#REF!</v>
      </c>
      <c r="D91" s="6" t="e">
        <f>#REF!</f>
        <v>#REF!</v>
      </c>
      <c r="E91" s="6" t="e">
        <f>#REF!</f>
        <v>#REF!</v>
      </c>
      <c r="F91" s="6" t="e">
        <f>#REF!</f>
        <v>#REF!</v>
      </c>
      <c r="G91" s="6" t="e">
        <f>#REF!</f>
        <v>#REF!</v>
      </c>
      <c r="H91" s="6" t="e">
        <f>#REF!</f>
        <v>#REF!</v>
      </c>
      <c r="I91" s="6" t="e">
        <f>#REF!</f>
        <v>#REF!</v>
      </c>
      <c r="J91" s="6" t="e">
        <f>#REF!</f>
        <v>#REF!</v>
      </c>
      <c r="K91" s="6" t="e">
        <f>#REF!</f>
        <v>#REF!</v>
      </c>
      <c r="L91" s="6" t="e">
        <f>#REF!</f>
        <v>#REF!</v>
      </c>
      <c r="M91" s="6" t="e">
        <f>#REF!</f>
        <v>#REF!</v>
      </c>
      <c r="N91" s="6" t="e">
        <f>#REF!</f>
        <v>#REF!</v>
      </c>
      <c r="O91" s="6" t="e">
        <f>#REF!</f>
        <v>#REF!</v>
      </c>
      <c r="P91" s="6" t="e">
        <f>#REF!</f>
        <v>#REF!</v>
      </c>
      <c r="Q91" s="6" t="e">
        <f>#REF!</f>
        <v>#REF!</v>
      </c>
      <c r="R91" s="6" t="e">
        <f>#REF!</f>
        <v>#REF!</v>
      </c>
      <c r="S91" s="6" t="e">
        <f>#REF!</f>
        <v>#REF!</v>
      </c>
      <c r="T91" s="6" t="e">
        <f>#REF!</f>
        <v>#REF!</v>
      </c>
      <c r="U91" s="6" t="e">
        <f>#REF!</f>
        <v>#REF!</v>
      </c>
      <c r="V91" s="6" t="e">
        <f>#REF!</f>
        <v>#REF!</v>
      </c>
      <c r="W91" s="6" t="e">
        <f>#REF!</f>
        <v>#REF!</v>
      </c>
      <c r="X91" s="6" t="e">
        <f>#REF!</f>
        <v>#REF!</v>
      </c>
      <c r="Y91" s="6" t="e">
        <f>#REF!</f>
        <v>#REF!</v>
      </c>
      <c r="Z91" s="6" t="e">
        <f>#REF!</f>
        <v>#REF!</v>
      </c>
      <c r="AA91" s="6" t="e">
        <f>#REF!</f>
        <v>#REF!</v>
      </c>
      <c r="AB91" s="6" t="e">
        <f>#REF!</f>
        <v>#REF!</v>
      </c>
      <c r="AC91" s="6" t="e">
        <f>#REF!</f>
        <v>#REF!</v>
      </c>
      <c r="AD91" s="6" t="e">
        <f>#REF!</f>
        <v>#REF!</v>
      </c>
      <c r="AE91" s="6" t="e">
        <f>#REF!</f>
        <v>#REF!</v>
      </c>
      <c r="AF91" s="6" t="e">
        <f>#REF!</f>
        <v>#REF!</v>
      </c>
      <c r="AG91" s="6" t="e">
        <f>#REF!</f>
        <v>#REF!</v>
      </c>
      <c r="AH91" s="6" t="e">
        <f>#REF!</f>
        <v>#REF!</v>
      </c>
      <c r="AI91" s="6" t="e">
        <f>#REF!</f>
        <v>#REF!</v>
      </c>
      <c r="AJ91" s="6" t="e">
        <f>#REF!</f>
        <v>#REF!</v>
      </c>
      <c r="AK91" s="6" t="e">
        <f>#REF!</f>
        <v>#REF!</v>
      </c>
      <c r="AL91" s="6" t="e">
        <f>#REF!</f>
        <v>#REF!</v>
      </c>
    </row>
    <row r="92" spans="1:38" ht="15.75" thickBot="1" x14ac:dyDescent="0.3">
      <c r="A92" s="3" t="s">
        <v>241</v>
      </c>
      <c r="B92" s="126" t="e">
        <f>VLOOKUP(A92,$A$2:$AL$285,MATCH('Character Sheet'!$BJ$3,$A$1:$AL$1,0),FALSE)</f>
        <v>#REF!</v>
      </c>
      <c r="C92" s="6" t="e">
        <f>#REF!</f>
        <v>#REF!</v>
      </c>
      <c r="D92" s="6" t="e">
        <f>#REF!</f>
        <v>#REF!</v>
      </c>
      <c r="E92" s="6" t="e">
        <f>#REF!</f>
        <v>#REF!</v>
      </c>
      <c r="F92" s="6" t="e">
        <f>#REF!</f>
        <v>#REF!</v>
      </c>
      <c r="G92" s="6" t="e">
        <f>#REF!</f>
        <v>#REF!</v>
      </c>
      <c r="H92" s="6" t="e">
        <f>#REF!</f>
        <v>#REF!</v>
      </c>
      <c r="I92" s="6" t="e">
        <f>#REF!</f>
        <v>#REF!</v>
      </c>
      <c r="J92" s="6" t="e">
        <f>#REF!</f>
        <v>#REF!</v>
      </c>
      <c r="K92" s="6" t="e">
        <f>#REF!</f>
        <v>#REF!</v>
      </c>
      <c r="L92" s="6" t="e">
        <f>#REF!</f>
        <v>#REF!</v>
      </c>
      <c r="M92" s="6" t="e">
        <f>#REF!</f>
        <v>#REF!</v>
      </c>
      <c r="N92" s="6" t="e">
        <f>#REF!</f>
        <v>#REF!</v>
      </c>
      <c r="O92" s="6" t="e">
        <f>#REF!</f>
        <v>#REF!</v>
      </c>
      <c r="P92" s="6" t="e">
        <f>#REF!</f>
        <v>#REF!</v>
      </c>
      <c r="Q92" s="6" t="e">
        <f>#REF!</f>
        <v>#REF!</v>
      </c>
      <c r="R92" s="6" t="e">
        <f>#REF!</f>
        <v>#REF!</v>
      </c>
      <c r="S92" s="6" t="e">
        <f>#REF!</f>
        <v>#REF!</v>
      </c>
      <c r="T92" s="6" t="e">
        <f>#REF!</f>
        <v>#REF!</v>
      </c>
      <c r="U92" s="6" t="e">
        <f>#REF!</f>
        <v>#REF!</v>
      </c>
      <c r="V92" s="6" t="e">
        <f>#REF!</f>
        <v>#REF!</v>
      </c>
      <c r="W92" s="6" t="e">
        <f>#REF!</f>
        <v>#REF!</v>
      </c>
      <c r="X92" s="6" t="e">
        <f>#REF!</f>
        <v>#REF!</v>
      </c>
      <c r="Y92" s="6" t="e">
        <f>#REF!</f>
        <v>#REF!</v>
      </c>
      <c r="Z92" s="6" t="e">
        <f>#REF!</f>
        <v>#REF!</v>
      </c>
      <c r="AA92" s="6" t="e">
        <f>#REF!</f>
        <v>#REF!</v>
      </c>
      <c r="AB92" s="6" t="e">
        <f>#REF!</f>
        <v>#REF!</v>
      </c>
      <c r="AC92" s="6" t="e">
        <f>#REF!</f>
        <v>#REF!</v>
      </c>
      <c r="AD92" s="6" t="e">
        <f>#REF!</f>
        <v>#REF!</v>
      </c>
      <c r="AE92" s="6" t="e">
        <f>#REF!</f>
        <v>#REF!</v>
      </c>
      <c r="AF92" s="6" t="e">
        <f>#REF!</f>
        <v>#REF!</v>
      </c>
      <c r="AG92" s="6" t="e">
        <f>#REF!</f>
        <v>#REF!</v>
      </c>
      <c r="AH92" s="6" t="e">
        <f>#REF!</f>
        <v>#REF!</v>
      </c>
      <c r="AI92" s="6" t="e">
        <f>#REF!</f>
        <v>#REF!</v>
      </c>
      <c r="AJ92" s="6" t="e">
        <f>#REF!</f>
        <v>#REF!</v>
      </c>
      <c r="AK92" s="6" t="e">
        <f>#REF!</f>
        <v>#REF!</v>
      </c>
      <c r="AL92" s="6" t="e">
        <f>#REF!</f>
        <v>#REF!</v>
      </c>
    </row>
    <row r="93" spans="1:38" ht="16.5" thickTop="1" thickBot="1" x14ac:dyDescent="0.3">
      <c r="A93" s="63" t="s">
        <v>258</v>
      </c>
      <c r="B93" s="126" t="e">
        <f>VLOOKUP(A93,$A$2:$AL$285,MATCH('Character Sheet'!$BJ$3,$A$1:$AL$1,0),FALSE)</f>
        <v>#REF!</v>
      </c>
      <c r="C93" s="6" t="e">
        <f>#REF!</f>
        <v>#REF!</v>
      </c>
      <c r="D93" s="6" t="e">
        <f>#REF!</f>
        <v>#REF!</v>
      </c>
      <c r="E93" s="6" t="e">
        <f>#REF!</f>
        <v>#REF!</v>
      </c>
      <c r="F93" s="6" t="e">
        <f>#REF!</f>
        <v>#REF!</v>
      </c>
      <c r="G93" s="6" t="e">
        <f>#REF!</f>
        <v>#REF!</v>
      </c>
      <c r="H93" s="6" t="e">
        <f>#REF!</f>
        <v>#REF!</v>
      </c>
      <c r="I93" s="6" t="e">
        <f>#REF!</f>
        <v>#REF!</v>
      </c>
      <c r="J93" s="6" t="e">
        <f>#REF!</f>
        <v>#REF!</v>
      </c>
      <c r="K93" s="6" t="e">
        <f>#REF!</f>
        <v>#REF!</v>
      </c>
      <c r="L93" s="6" t="e">
        <f>#REF!</f>
        <v>#REF!</v>
      </c>
      <c r="M93" s="6" t="e">
        <f>#REF!</f>
        <v>#REF!</v>
      </c>
      <c r="N93" s="6" t="e">
        <f>#REF!</f>
        <v>#REF!</v>
      </c>
      <c r="O93" s="6" t="e">
        <f>#REF!</f>
        <v>#REF!</v>
      </c>
      <c r="P93" s="6" t="e">
        <f>#REF!</f>
        <v>#REF!</v>
      </c>
      <c r="Q93" s="6" t="e">
        <f>#REF!</f>
        <v>#REF!</v>
      </c>
      <c r="R93" s="6" t="e">
        <f>#REF!</f>
        <v>#REF!</v>
      </c>
      <c r="S93" s="6" t="e">
        <f>#REF!</f>
        <v>#REF!</v>
      </c>
      <c r="T93" s="6" t="e">
        <f>#REF!</f>
        <v>#REF!</v>
      </c>
      <c r="U93" s="6" t="e">
        <f>#REF!</f>
        <v>#REF!</v>
      </c>
      <c r="V93" s="6" t="e">
        <f>#REF!</f>
        <v>#REF!</v>
      </c>
      <c r="W93" s="6" t="e">
        <f>#REF!</f>
        <v>#REF!</v>
      </c>
      <c r="X93" s="6" t="e">
        <f>#REF!</f>
        <v>#REF!</v>
      </c>
      <c r="Y93" s="6" t="e">
        <f>#REF!</f>
        <v>#REF!</v>
      </c>
      <c r="Z93" s="6" t="e">
        <f>#REF!</f>
        <v>#REF!</v>
      </c>
      <c r="AA93" s="6" t="e">
        <f>#REF!</f>
        <v>#REF!</v>
      </c>
      <c r="AB93" s="6" t="e">
        <f>#REF!</f>
        <v>#REF!</v>
      </c>
      <c r="AC93" s="6" t="e">
        <f>#REF!</f>
        <v>#REF!</v>
      </c>
      <c r="AD93" s="6" t="e">
        <f>#REF!</f>
        <v>#REF!</v>
      </c>
      <c r="AE93" s="6" t="e">
        <f>#REF!</f>
        <v>#REF!</v>
      </c>
      <c r="AF93" s="6" t="e">
        <f>#REF!</f>
        <v>#REF!</v>
      </c>
      <c r="AG93" s="6" t="e">
        <f>#REF!</f>
        <v>#REF!</v>
      </c>
      <c r="AH93" s="6" t="e">
        <f>#REF!</f>
        <v>#REF!</v>
      </c>
      <c r="AI93" s="6" t="e">
        <f>#REF!</f>
        <v>#REF!</v>
      </c>
      <c r="AJ93" s="6" t="e">
        <f>#REF!</f>
        <v>#REF!</v>
      </c>
      <c r="AK93" s="6" t="e">
        <f>#REF!</f>
        <v>#REF!</v>
      </c>
      <c r="AL93" s="6" t="e">
        <f>#REF!</f>
        <v>#REF!</v>
      </c>
    </row>
    <row r="94" spans="1:38" ht="15.75" thickTop="1" x14ac:dyDescent="0.25">
      <c r="A94" s="64" t="s">
        <v>259</v>
      </c>
      <c r="B94" s="126" t="e">
        <f>VLOOKUP(A94,$A$2:$AL$285,MATCH('Character Sheet'!$BJ$3,$A$1:$AL$1,0),FALSE)</f>
        <v>#REF!</v>
      </c>
      <c r="C94" s="6" t="e">
        <f>#REF!</f>
        <v>#REF!</v>
      </c>
      <c r="D94" s="6" t="e">
        <f>#REF!</f>
        <v>#REF!</v>
      </c>
      <c r="E94" s="6" t="e">
        <f>#REF!</f>
        <v>#REF!</v>
      </c>
      <c r="F94" s="6" t="e">
        <f>#REF!</f>
        <v>#REF!</v>
      </c>
      <c r="G94" s="6" t="e">
        <f>#REF!</f>
        <v>#REF!</v>
      </c>
      <c r="H94" s="6" t="e">
        <f>#REF!</f>
        <v>#REF!</v>
      </c>
      <c r="I94" s="6" t="e">
        <f>#REF!</f>
        <v>#REF!</v>
      </c>
      <c r="J94" s="6" t="e">
        <f>#REF!</f>
        <v>#REF!</v>
      </c>
      <c r="K94" s="6" t="e">
        <f>#REF!</f>
        <v>#REF!</v>
      </c>
      <c r="L94" s="6" t="e">
        <f>#REF!</f>
        <v>#REF!</v>
      </c>
      <c r="M94" s="6" t="e">
        <f>#REF!</f>
        <v>#REF!</v>
      </c>
      <c r="N94" s="6" t="e">
        <f>#REF!</f>
        <v>#REF!</v>
      </c>
      <c r="O94" s="6" t="e">
        <f>#REF!</f>
        <v>#REF!</v>
      </c>
      <c r="P94" s="6" t="e">
        <f>#REF!</f>
        <v>#REF!</v>
      </c>
      <c r="Q94" s="6" t="e">
        <f>#REF!</f>
        <v>#REF!</v>
      </c>
      <c r="R94" s="6" t="e">
        <f>#REF!</f>
        <v>#REF!</v>
      </c>
      <c r="S94" s="6" t="e">
        <f>#REF!</f>
        <v>#REF!</v>
      </c>
      <c r="T94" s="6" t="e">
        <f>#REF!</f>
        <v>#REF!</v>
      </c>
      <c r="U94" s="6" t="e">
        <f>#REF!</f>
        <v>#REF!</v>
      </c>
      <c r="V94" s="6" t="e">
        <f>#REF!</f>
        <v>#REF!</v>
      </c>
      <c r="W94" s="6" t="e">
        <f>#REF!</f>
        <v>#REF!</v>
      </c>
      <c r="X94" s="6" t="e">
        <f>#REF!</f>
        <v>#REF!</v>
      </c>
      <c r="Y94" s="6" t="e">
        <f>#REF!</f>
        <v>#REF!</v>
      </c>
      <c r="Z94" s="6" t="e">
        <f>#REF!</f>
        <v>#REF!</v>
      </c>
      <c r="AA94" s="6" t="e">
        <f>#REF!</f>
        <v>#REF!</v>
      </c>
      <c r="AB94" s="6" t="e">
        <f>#REF!</f>
        <v>#REF!</v>
      </c>
      <c r="AC94" s="6" t="e">
        <f>#REF!</f>
        <v>#REF!</v>
      </c>
      <c r="AD94" s="6" t="e">
        <f>#REF!</f>
        <v>#REF!</v>
      </c>
      <c r="AE94" s="6" t="e">
        <f>#REF!</f>
        <v>#REF!</v>
      </c>
      <c r="AF94" s="6" t="e">
        <f>#REF!</f>
        <v>#REF!</v>
      </c>
      <c r="AG94" s="6" t="e">
        <f>#REF!</f>
        <v>#REF!</v>
      </c>
      <c r="AH94" s="6" t="e">
        <f>#REF!</f>
        <v>#REF!</v>
      </c>
      <c r="AI94" s="6" t="e">
        <f>#REF!</f>
        <v>#REF!</v>
      </c>
      <c r="AJ94" s="6" t="e">
        <f>#REF!</f>
        <v>#REF!</v>
      </c>
      <c r="AK94" s="6" t="e">
        <f>#REF!</f>
        <v>#REF!</v>
      </c>
      <c r="AL94" s="6" t="e">
        <f>#REF!</f>
        <v>#REF!</v>
      </c>
    </row>
    <row r="95" spans="1:38" ht="15.75" thickBot="1" x14ac:dyDescent="0.3">
      <c r="A95" s="64" t="s">
        <v>2036</v>
      </c>
      <c r="B95" s="126" t="e">
        <f>VLOOKUP(A95,$A$2:$AL$285,MATCH('Character Sheet'!$BJ$3,$A$1:$AL$1,0),FALSE)</f>
        <v>#REF!</v>
      </c>
      <c r="C95" s="6" t="e">
        <f>#REF!</f>
        <v>#REF!</v>
      </c>
      <c r="D95" s="6" t="e">
        <f>#REF!</f>
        <v>#REF!</v>
      </c>
      <c r="E95" s="6" t="e">
        <f>#REF!</f>
        <v>#REF!</v>
      </c>
      <c r="F95" s="6" t="e">
        <f>#REF!</f>
        <v>#REF!</v>
      </c>
      <c r="G95" s="6" t="e">
        <f>#REF!</f>
        <v>#REF!</v>
      </c>
      <c r="H95" s="6" t="e">
        <f>#REF!</f>
        <v>#REF!</v>
      </c>
      <c r="I95" s="6" t="e">
        <f>#REF!</f>
        <v>#REF!</v>
      </c>
      <c r="J95" s="6" t="e">
        <f>#REF!</f>
        <v>#REF!</v>
      </c>
      <c r="K95" s="6" t="e">
        <f>#REF!</f>
        <v>#REF!</v>
      </c>
      <c r="L95" s="6" t="e">
        <f>#REF!</f>
        <v>#REF!</v>
      </c>
      <c r="M95" s="6" t="e">
        <f>#REF!</f>
        <v>#REF!</v>
      </c>
      <c r="N95" s="6" t="e">
        <f>#REF!</f>
        <v>#REF!</v>
      </c>
      <c r="O95" s="6" t="e">
        <f>#REF!</f>
        <v>#REF!</v>
      </c>
      <c r="P95" s="6" t="e">
        <f>#REF!</f>
        <v>#REF!</v>
      </c>
      <c r="Q95" s="6" t="e">
        <f>#REF!</f>
        <v>#REF!</v>
      </c>
      <c r="R95" s="6" t="e">
        <f>#REF!</f>
        <v>#REF!</v>
      </c>
      <c r="S95" s="6" t="e">
        <f>#REF!</f>
        <v>#REF!</v>
      </c>
      <c r="T95" s="6" t="e">
        <f>#REF!</f>
        <v>#REF!</v>
      </c>
      <c r="U95" s="6" t="e">
        <f>#REF!</f>
        <v>#REF!</v>
      </c>
      <c r="V95" s="6" t="e">
        <f>#REF!</f>
        <v>#REF!</v>
      </c>
      <c r="W95" s="6" t="e">
        <f>#REF!</f>
        <v>#REF!</v>
      </c>
      <c r="X95" s="6" t="e">
        <f>#REF!</f>
        <v>#REF!</v>
      </c>
      <c r="Y95" s="6" t="e">
        <f>#REF!</f>
        <v>#REF!</v>
      </c>
      <c r="Z95" s="6" t="e">
        <f>#REF!</f>
        <v>#REF!</v>
      </c>
      <c r="AA95" s="6" t="e">
        <f>#REF!</f>
        <v>#REF!</v>
      </c>
      <c r="AB95" s="6" t="e">
        <f>#REF!</f>
        <v>#REF!</v>
      </c>
      <c r="AC95" s="6" t="e">
        <f>#REF!</f>
        <v>#REF!</v>
      </c>
      <c r="AD95" s="6" t="e">
        <f>#REF!</f>
        <v>#REF!</v>
      </c>
      <c r="AE95" s="6" t="e">
        <f>#REF!</f>
        <v>#REF!</v>
      </c>
      <c r="AF95" s="6" t="e">
        <f>#REF!</f>
        <v>#REF!</v>
      </c>
      <c r="AG95" s="6" t="e">
        <f>#REF!</f>
        <v>#REF!</v>
      </c>
      <c r="AH95" s="6" t="e">
        <f>#REF!</f>
        <v>#REF!</v>
      </c>
      <c r="AI95" s="6" t="e">
        <f>#REF!</f>
        <v>#REF!</v>
      </c>
      <c r="AJ95" s="6" t="e">
        <f>#REF!</f>
        <v>#REF!</v>
      </c>
      <c r="AK95" s="6" t="e">
        <f>#REF!</f>
        <v>#REF!</v>
      </c>
      <c r="AL95" s="6" t="e">
        <f>#REF!</f>
        <v>#REF!</v>
      </c>
    </row>
    <row r="96" spans="1:38" ht="16.5" thickTop="1" thickBot="1" x14ac:dyDescent="0.3">
      <c r="A96" s="63" t="s">
        <v>260</v>
      </c>
      <c r="B96" s="126" t="e">
        <f>VLOOKUP(A96,$A$2:$AL$285,MATCH('Character Sheet'!$BJ$3,$A$1:$AL$1,0),FALSE)</f>
        <v>#REF!</v>
      </c>
      <c r="C96" s="6" t="e">
        <f>#REF!</f>
        <v>#REF!</v>
      </c>
      <c r="D96" s="6" t="e">
        <f>#REF!</f>
        <v>#REF!</v>
      </c>
      <c r="E96" s="6" t="e">
        <f>#REF!</f>
        <v>#REF!</v>
      </c>
      <c r="F96" s="6" t="e">
        <f>#REF!</f>
        <v>#REF!</v>
      </c>
      <c r="G96" s="6" t="e">
        <f>#REF!</f>
        <v>#REF!</v>
      </c>
      <c r="H96" s="6" t="e">
        <f>#REF!</f>
        <v>#REF!</v>
      </c>
      <c r="I96" s="6" t="e">
        <f>#REF!</f>
        <v>#REF!</v>
      </c>
      <c r="J96" s="6" t="e">
        <f>#REF!</f>
        <v>#REF!</v>
      </c>
      <c r="K96" s="6" t="e">
        <f>#REF!</f>
        <v>#REF!</v>
      </c>
      <c r="L96" s="6" t="e">
        <f>#REF!</f>
        <v>#REF!</v>
      </c>
      <c r="M96" s="6" t="e">
        <f>#REF!</f>
        <v>#REF!</v>
      </c>
      <c r="N96" s="6" t="e">
        <f>#REF!</f>
        <v>#REF!</v>
      </c>
      <c r="O96" s="6" t="e">
        <f>#REF!</f>
        <v>#REF!</v>
      </c>
      <c r="P96" s="6" t="e">
        <f>#REF!</f>
        <v>#REF!</v>
      </c>
      <c r="Q96" s="6" t="e">
        <f>#REF!</f>
        <v>#REF!</v>
      </c>
      <c r="R96" s="6" t="e">
        <f>#REF!</f>
        <v>#REF!</v>
      </c>
      <c r="S96" s="6" t="e">
        <f>#REF!</f>
        <v>#REF!</v>
      </c>
      <c r="T96" s="6" t="e">
        <f>#REF!</f>
        <v>#REF!</v>
      </c>
      <c r="U96" s="6" t="e">
        <f>#REF!</f>
        <v>#REF!</v>
      </c>
      <c r="V96" s="6" t="e">
        <f>#REF!</f>
        <v>#REF!</v>
      </c>
      <c r="W96" s="6" t="e">
        <f>#REF!</f>
        <v>#REF!</v>
      </c>
      <c r="X96" s="6" t="e">
        <f>#REF!</f>
        <v>#REF!</v>
      </c>
      <c r="Y96" s="6" t="e">
        <f>#REF!</f>
        <v>#REF!</v>
      </c>
      <c r="Z96" s="6" t="e">
        <f>#REF!</f>
        <v>#REF!</v>
      </c>
      <c r="AA96" s="6" t="e">
        <f>#REF!</f>
        <v>#REF!</v>
      </c>
      <c r="AB96" s="6" t="e">
        <f>#REF!</f>
        <v>#REF!</v>
      </c>
      <c r="AC96" s="6" t="e">
        <f>#REF!</f>
        <v>#REF!</v>
      </c>
      <c r="AD96" s="6" t="e">
        <f>#REF!</f>
        <v>#REF!</v>
      </c>
      <c r="AE96" s="6" t="e">
        <f>#REF!</f>
        <v>#REF!</v>
      </c>
      <c r="AF96" s="6" t="e">
        <f>#REF!</f>
        <v>#REF!</v>
      </c>
      <c r="AG96" s="6" t="e">
        <f>#REF!</f>
        <v>#REF!</v>
      </c>
      <c r="AH96" s="6" t="e">
        <f>#REF!</f>
        <v>#REF!</v>
      </c>
      <c r="AI96" s="6" t="e">
        <f>#REF!</f>
        <v>#REF!</v>
      </c>
      <c r="AJ96" s="6" t="e">
        <f>#REF!</f>
        <v>#REF!</v>
      </c>
      <c r="AK96" s="6" t="e">
        <f>#REF!</f>
        <v>#REF!</v>
      </c>
      <c r="AL96" s="6" t="e">
        <f>#REF!</f>
        <v>#REF!</v>
      </c>
    </row>
    <row r="97" spans="1:38" ht="15.75" thickTop="1" x14ac:dyDescent="0.25">
      <c r="A97" s="64" t="s">
        <v>262</v>
      </c>
      <c r="B97" s="126" t="e">
        <f>VLOOKUP(A97,$A$2:$AL$285,MATCH('Character Sheet'!$BJ$3,$A$1:$AL$1,0),FALSE)</f>
        <v>#REF!</v>
      </c>
      <c r="C97" s="6" t="e">
        <f>#REF!</f>
        <v>#REF!</v>
      </c>
      <c r="D97" s="6" t="e">
        <f>#REF!</f>
        <v>#REF!</v>
      </c>
      <c r="E97" s="6" t="e">
        <f>#REF!</f>
        <v>#REF!</v>
      </c>
      <c r="F97" s="6" t="e">
        <f>#REF!</f>
        <v>#REF!</v>
      </c>
      <c r="G97" s="6" t="e">
        <f>#REF!</f>
        <v>#REF!</v>
      </c>
      <c r="H97" s="6" t="e">
        <f>#REF!</f>
        <v>#REF!</v>
      </c>
      <c r="I97" s="6" t="e">
        <f>#REF!</f>
        <v>#REF!</v>
      </c>
      <c r="J97" s="6" t="e">
        <f>#REF!</f>
        <v>#REF!</v>
      </c>
      <c r="K97" s="6" t="e">
        <f>#REF!</f>
        <v>#REF!</v>
      </c>
      <c r="L97" s="6" t="e">
        <f>#REF!</f>
        <v>#REF!</v>
      </c>
      <c r="M97" s="6" t="e">
        <f>#REF!</f>
        <v>#REF!</v>
      </c>
      <c r="N97" s="6" t="e">
        <f>#REF!</f>
        <v>#REF!</v>
      </c>
      <c r="O97" s="6" t="e">
        <f>#REF!</f>
        <v>#REF!</v>
      </c>
      <c r="P97" s="6" t="e">
        <f>#REF!</f>
        <v>#REF!</v>
      </c>
      <c r="Q97" s="6" t="e">
        <f>#REF!</f>
        <v>#REF!</v>
      </c>
      <c r="R97" s="6" t="e">
        <f>#REF!</f>
        <v>#REF!</v>
      </c>
      <c r="S97" s="6" t="e">
        <f>#REF!</f>
        <v>#REF!</v>
      </c>
      <c r="T97" s="6" t="e">
        <f>#REF!</f>
        <v>#REF!</v>
      </c>
      <c r="U97" s="6" t="e">
        <f>#REF!</f>
        <v>#REF!</v>
      </c>
      <c r="V97" s="6" t="e">
        <f>#REF!</f>
        <v>#REF!</v>
      </c>
      <c r="W97" s="6" t="e">
        <f>#REF!</f>
        <v>#REF!</v>
      </c>
      <c r="X97" s="6" t="e">
        <f>#REF!</f>
        <v>#REF!</v>
      </c>
      <c r="Y97" s="6" t="e">
        <f>#REF!</f>
        <v>#REF!</v>
      </c>
      <c r="Z97" s="6" t="e">
        <f>#REF!</f>
        <v>#REF!</v>
      </c>
      <c r="AA97" s="6" t="e">
        <f>#REF!</f>
        <v>#REF!</v>
      </c>
      <c r="AB97" s="6" t="e">
        <f>#REF!</f>
        <v>#REF!</v>
      </c>
      <c r="AC97" s="6" t="e">
        <f>#REF!</f>
        <v>#REF!</v>
      </c>
      <c r="AD97" s="6" t="e">
        <f>#REF!</f>
        <v>#REF!</v>
      </c>
      <c r="AE97" s="6" t="e">
        <f>#REF!</f>
        <v>#REF!</v>
      </c>
      <c r="AF97" s="6" t="e">
        <f>#REF!</f>
        <v>#REF!</v>
      </c>
      <c r="AG97" s="6" t="e">
        <f>#REF!</f>
        <v>#REF!</v>
      </c>
      <c r="AH97" s="6" t="e">
        <f>#REF!</f>
        <v>#REF!</v>
      </c>
      <c r="AI97" s="6" t="e">
        <f>#REF!</f>
        <v>#REF!</v>
      </c>
      <c r="AJ97" s="6" t="e">
        <f>#REF!</f>
        <v>#REF!</v>
      </c>
      <c r="AK97" s="6" t="e">
        <f>#REF!</f>
        <v>#REF!</v>
      </c>
      <c r="AL97" s="6" t="e">
        <f>#REF!</f>
        <v>#REF!</v>
      </c>
    </row>
    <row r="98" spans="1:38" x14ac:dyDescent="0.25">
      <c r="A98" s="64" t="s">
        <v>263</v>
      </c>
      <c r="B98" s="126" t="e">
        <f>VLOOKUP(A98,$A$2:$AL$285,MATCH('Character Sheet'!$BJ$3,$A$1:$AL$1,0),FALSE)</f>
        <v>#REF!</v>
      </c>
      <c r="C98" s="6" t="e">
        <f>#REF!</f>
        <v>#REF!</v>
      </c>
      <c r="D98" s="6" t="e">
        <f>#REF!</f>
        <v>#REF!</v>
      </c>
      <c r="E98" s="6" t="e">
        <f>#REF!</f>
        <v>#REF!</v>
      </c>
      <c r="F98" s="6" t="e">
        <f>#REF!</f>
        <v>#REF!</v>
      </c>
      <c r="G98" s="6" t="e">
        <f>#REF!</f>
        <v>#REF!</v>
      </c>
      <c r="H98" s="6" t="e">
        <f>#REF!</f>
        <v>#REF!</v>
      </c>
      <c r="I98" s="6" t="e">
        <f>#REF!</f>
        <v>#REF!</v>
      </c>
      <c r="J98" s="6" t="e">
        <f>#REF!</f>
        <v>#REF!</v>
      </c>
      <c r="K98" s="6" t="e">
        <f>#REF!</f>
        <v>#REF!</v>
      </c>
      <c r="L98" s="6" t="e">
        <f>#REF!</f>
        <v>#REF!</v>
      </c>
      <c r="M98" s="6" t="e">
        <f>#REF!</f>
        <v>#REF!</v>
      </c>
      <c r="N98" s="6" t="e">
        <f>#REF!</f>
        <v>#REF!</v>
      </c>
      <c r="O98" s="6" t="e">
        <f>#REF!</f>
        <v>#REF!</v>
      </c>
      <c r="P98" s="6" t="e">
        <f>#REF!</f>
        <v>#REF!</v>
      </c>
      <c r="Q98" s="6" t="e">
        <f>#REF!</f>
        <v>#REF!</v>
      </c>
      <c r="R98" s="6" t="e">
        <f>#REF!</f>
        <v>#REF!</v>
      </c>
      <c r="S98" s="6" t="e">
        <f>#REF!</f>
        <v>#REF!</v>
      </c>
      <c r="T98" s="6" t="e">
        <f>#REF!</f>
        <v>#REF!</v>
      </c>
      <c r="U98" s="6" t="e">
        <f>#REF!</f>
        <v>#REF!</v>
      </c>
      <c r="V98" s="6" t="e">
        <f>#REF!</f>
        <v>#REF!</v>
      </c>
      <c r="W98" s="6" t="e">
        <f>#REF!</f>
        <v>#REF!</v>
      </c>
      <c r="X98" s="6" t="e">
        <f>#REF!</f>
        <v>#REF!</v>
      </c>
      <c r="Y98" s="6" t="e">
        <f>#REF!</f>
        <v>#REF!</v>
      </c>
      <c r="Z98" s="6" t="e">
        <f>#REF!</f>
        <v>#REF!</v>
      </c>
      <c r="AA98" s="6" t="e">
        <f>#REF!</f>
        <v>#REF!</v>
      </c>
      <c r="AB98" s="6" t="e">
        <f>#REF!</f>
        <v>#REF!</v>
      </c>
      <c r="AC98" s="6" t="e">
        <f>#REF!</f>
        <v>#REF!</v>
      </c>
      <c r="AD98" s="6" t="e">
        <f>#REF!</f>
        <v>#REF!</v>
      </c>
      <c r="AE98" s="6" t="e">
        <f>#REF!</f>
        <v>#REF!</v>
      </c>
      <c r="AF98" s="6" t="e">
        <f>#REF!</f>
        <v>#REF!</v>
      </c>
      <c r="AG98" s="6" t="e">
        <f>#REF!</f>
        <v>#REF!</v>
      </c>
      <c r="AH98" s="6" t="e">
        <f>#REF!</f>
        <v>#REF!</v>
      </c>
      <c r="AI98" s="6" t="e">
        <f>#REF!</f>
        <v>#REF!</v>
      </c>
      <c r="AJ98" s="6" t="e">
        <f>#REF!</f>
        <v>#REF!</v>
      </c>
      <c r="AK98" s="6" t="e">
        <f>#REF!</f>
        <v>#REF!</v>
      </c>
      <c r="AL98" s="6" t="e">
        <f>#REF!</f>
        <v>#REF!</v>
      </c>
    </row>
    <row r="99" spans="1:38" x14ac:dyDescent="0.25">
      <c r="A99" s="64" t="s">
        <v>264</v>
      </c>
      <c r="B99" s="126" t="e">
        <f>VLOOKUP(A99,$A$2:$AL$285,MATCH('Character Sheet'!$BJ$3,$A$1:$AL$1,0),FALSE)</f>
        <v>#REF!</v>
      </c>
      <c r="C99" s="6" t="e">
        <f>#REF!</f>
        <v>#REF!</v>
      </c>
      <c r="D99" s="6" t="e">
        <f>#REF!</f>
        <v>#REF!</v>
      </c>
      <c r="E99" s="6" t="e">
        <f>#REF!</f>
        <v>#REF!</v>
      </c>
      <c r="F99" s="6" t="e">
        <f>#REF!</f>
        <v>#REF!</v>
      </c>
      <c r="G99" s="6" t="e">
        <f>#REF!</f>
        <v>#REF!</v>
      </c>
      <c r="H99" s="6" t="e">
        <f>#REF!</f>
        <v>#REF!</v>
      </c>
      <c r="I99" s="6" t="e">
        <f>#REF!</f>
        <v>#REF!</v>
      </c>
      <c r="J99" s="6" t="e">
        <f>#REF!</f>
        <v>#REF!</v>
      </c>
      <c r="K99" s="6" t="e">
        <f>#REF!</f>
        <v>#REF!</v>
      </c>
      <c r="L99" s="6" t="e">
        <f>#REF!</f>
        <v>#REF!</v>
      </c>
      <c r="M99" s="6" t="e">
        <f>#REF!</f>
        <v>#REF!</v>
      </c>
      <c r="N99" s="6" t="e">
        <f>#REF!</f>
        <v>#REF!</v>
      </c>
      <c r="O99" s="6" t="e">
        <f>#REF!</f>
        <v>#REF!</v>
      </c>
      <c r="P99" s="6" t="e">
        <f>#REF!</f>
        <v>#REF!</v>
      </c>
      <c r="Q99" s="6" t="e">
        <f>#REF!</f>
        <v>#REF!</v>
      </c>
      <c r="R99" s="6" t="e">
        <f>#REF!</f>
        <v>#REF!</v>
      </c>
      <c r="S99" s="6" t="e">
        <f>#REF!</f>
        <v>#REF!</v>
      </c>
      <c r="T99" s="6" t="e">
        <f>#REF!</f>
        <v>#REF!</v>
      </c>
      <c r="U99" s="6" t="e">
        <f>#REF!</f>
        <v>#REF!</v>
      </c>
      <c r="V99" s="6" t="e">
        <f>#REF!</f>
        <v>#REF!</v>
      </c>
      <c r="W99" s="6" t="e">
        <f>#REF!</f>
        <v>#REF!</v>
      </c>
      <c r="X99" s="6" t="e">
        <f>#REF!</f>
        <v>#REF!</v>
      </c>
      <c r="Y99" s="6" t="e">
        <f>#REF!</f>
        <v>#REF!</v>
      </c>
      <c r="Z99" s="6" t="e">
        <f>#REF!</f>
        <v>#REF!</v>
      </c>
      <c r="AA99" s="6" t="e">
        <f>#REF!</f>
        <v>#REF!</v>
      </c>
      <c r="AB99" s="6" t="e">
        <f>#REF!</f>
        <v>#REF!</v>
      </c>
      <c r="AC99" s="6" t="e">
        <f>#REF!</f>
        <v>#REF!</v>
      </c>
      <c r="AD99" s="6" t="e">
        <f>#REF!</f>
        <v>#REF!</v>
      </c>
      <c r="AE99" s="6" t="e">
        <f>#REF!</f>
        <v>#REF!</v>
      </c>
      <c r="AF99" s="6" t="e">
        <f>#REF!</f>
        <v>#REF!</v>
      </c>
      <c r="AG99" s="6" t="e">
        <f>#REF!</f>
        <v>#REF!</v>
      </c>
      <c r="AH99" s="6" t="e">
        <f>#REF!</f>
        <v>#REF!</v>
      </c>
      <c r="AI99" s="6" t="e">
        <f>#REF!</f>
        <v>#REF!</v>
      </c>
      <c r="AJ99" s="6" t="e">
        <f>#REF!</f>
        <v>#REF!</v>
      </c>
      <c r="AK99" s="6" t="e">
        <f>#REF!</f>
        <v>#REF!</v>
      </c>
      <c r="AL99" s="6" t="e">
        <f>#REF!</f>
        <v>#REF!</v>
      </c>
    </row>
    <row r="100" spans="1:38" x14ac:dyDescent="0.25">
      <c r="A100" s="64" t="s">
        <v>265</v>
      </c>
      <c r="B100" s="126" t="e">
        <f>VLOOKUP(A100,$A$2:$AL$285,MATCH('Character Sheet'!$BJ$3,$A$1:$AL$1,0),FALSE)</f>
        <v>#REF!</v>
      </c>
      <c r="C100" s="6" t="e">
        <f>#REF!</f>
        <v>#REF!</v>
      </c>
      <c r="D100" s="6" t="e">
        <f>#REF!</f>
        <v>#REF!</v>
      </c>
      <c r="E100" s="6" t="e">
        <f>#REF!</f>
        <v>#REF!</v>
      </c>
      <c r="F100" s="6" t="e">
        <f>#REF!</f>
        <v>#REF!</v>
      </c>
      <c r="G100" s="6" t="e">
        <f>#REF!</f>
        <v>#REF!</v>
      </c>
      <c r="H100" s="6" t="e">
        <f>#REF!</f>
        <v>#REF!</v>
      </c>
      <c r="I100" s="6" t="e">
        <f>#REF!</f>
        <v>#REF!</v>
      </c>
      <c r="J100" s="6" t="e">
        <f>#REF!</f>
        <v>#REF!</v>
      </c>
      <c r="K100" s="6" t="e">
        <f>#REF!</f>
        <v>#REF!</v>
      </c>
      <c r="L100" s="6" t="e">
        <f>#REF!</f>
        <v>#REF!</v>
      </c>
      <c r="M100" s="6" t="e">
        <f>#REF!</f>
        <v>#REF!</v>
      </c>
      <c r="N100" s="6" t="e">
        <f>#REF!</f>
        <v>#REF!</v>
      </c>
      <c r="O100" s="6" t="e">
        <f>#REF!</f>
        <v>#REF!</v>
      </c>
      <c r="P100" s="6" t="e">
        <f>#REF!</f>
        <v>#REF!</v>
      </c>
      <c r="Q100" s="6" t="e">
        <f>#REF!</f>
        <v>#REF!</v>
      </c>
      <c r="R100" s="6" t="e">
        <f>#REF!</f>
        <v>#REF!</v>
      </c>
      <c r="S100" s="6" t="e">
        <f>#REF!</f>
        <v>#REF!</v>
      </c>
      <c r="T100" s="6" t="e">
        <f>#REF!</f>
        <v>#REF!</v>
      </c>
      <c r="U100" s="6" t="e">
        <f>#REF!</f>
        <v>#REF!</v>
      </c>
      <c r="V100" s="6" t="e">
        <f>#REF!</f>
        <v>#REF!</v>
      </c>
      <c r="W100" s="6" t="e">
        <f>#REF!</f>
        <v>#REF!</v>
      </c>
      <c r="X100" s="6" t="e">
        <f>#REF!</f>
        <v>#REF!</v>
      </c>
      <c r="Y100" s="6" t="e">
        <f>#REF!</f>
        <v>#REF!</v>
      </c>
      <c r="Z100" s="6" t="e">
        <f>#REF!</f>
        <v>#REF!</v>
      </c>
      <c r="AA100" s="6" t="e">
        <f>#REF!</f>
        <v>#REF!</v>
      </c>
      <c r="AB100" s="6" t="e">
        <f>#REF!</f>
        <v>#REF!</v>
      </c>
      <c r="AC100" s="6" t="e">
        <f>#REF!</f>
        <v>#REF!</v>
      </c>
      <c r="AD100" s="6" t="e">
        <f>#REF!</f>
        <v>#REF!</v>
      </c>
      <c r="AE100" s="6" t="e">
        <f>#REF!</f>
        <v>#REF!</v>
      </c>
      <c r="AF100" s="6" t="e">
        <f>#REF!</f>
        <v>#REF!</v>
      </c>
      <c r="AG100" s="6" t="e">
        <f>#REF!</f>
        <v>#REF!</v>
      </c>
      <c r="AH100" s="6" t="e">
        <f>#REF!</f>
        <v>#REF!</v>
      </c>
      <c r="AI100" s="6" t="e">
        <f>#REF!</f>
        <v>#REF!</v>
      </c>
      <c r="AJ100" s="6" t="e">
        <f>#REF!</f>
        <v>#REF!</v>
      </c>
      <c r="AK100" s="6" t="e">
        <f>#REF!</f>
        <v>#REF!</v>
      </c>
      <c r="AL100" s="6" t="e">
        <f>#REF!</f>
        <v>#REF!</v>
      </c>
    </row>
    <row r="101" spans="1:38" x14ac:dyDescent="0.25">
      <c r="A101" s="64" t="s">
        <v>266</v>
      </c>
      <c r="B101" s="126" t="e">
        <f>VLOOKUP(A101,$A$2:$AL$285,MATCH('Character Sheet'!$BJ$3,$A$1:$AL$1,0),FALSE)</f>
        <v>#REF!</v>
      </c>
      <c r="C101" s="6" t="e">
        <f>#REF!</f>
        <v>#REF!</v>
      </c>
      <c r="D101" s="6" t="e">
        <f>#REF!</f>
        <v>#REF!</v>
      </c>
      <c r="E101" s="6" t="e">
        <f>#REF!</f>
        <v>#REF!</v>
      </c>
      <c r="F101" s="6" t="e">
        <f>#REF!</f>
        <v>#REF!</v>
      </c>
      <c r="G101" s="6" t="e">
        <f>#REF!</f>
        <v>#REF!</v>
      </c>
      <c r="H101" s="6" t="e">
        <f>#REF!</f>
        <v>#REF!</v>
      </c>
      <c r="I101" s="6" t="e">
        <f>#REF!</f>
        <v>#REF!</v>
      </c>
      <c r="J101" s="6" t="e">
        <f>#REF!</f>
        <v>#REF!</v>
      </c>
      <c r="K101" s="6" t="e">
        <f>#REF!</f>
        <v>#REF!</v>
      </c>
      <c r="L101" s="6" t="e">
        <f>#REF!</f>
        <v>#REF!</v>
      </c>
      <c r="M101" s="6" t="e">
        <f>#REF!</f>
        <v>#REF!</v>
      </c>
      <c r="N101" s="6" t="e">
        <f>#REF!</f>
        <v>#REF!</v>
      </c>
      <c r="O101" s="6" t="e">
        <f>#REF!</f>
        <v>#REF!</v>
      </c>
      <c r="P101" s="6" t="e">
        <f>#REF!</f>
        <v>#REF!</v>
      </c>
      <c r="Q101" s="6" t="e">
        <f>#REF!</f>
        <v>#REF!</v>
      </c>
      <c r="R101" s="6" t="e">
        <f>#REF!</f>
        <v>#REF!</v>
      </c>
      <c r="S101" s="6" t="e">
        <f>#REF!</f>
        <v>#REF!</v>
      </c>
      <c r="T101" s="6" t="e">
        <f>#REF!</f>
        <v>#REF!</v>
      </c>
      <c r="U101" s="6" t="e">
        <f>#REF!</f>
        <v>#REF!</v>
      </c>
      <c r="V101" s="6" t="e">
        <f>#REF!</f>
        <v>#REF!</v>
      </c>
      <c r="W101" s="6" t="e">
        <f>#REF!</f>
        <v>#REF!</v>
      </c>
      <c r="X101" s="6" t="e">
        <f>#REF!</f>
        <v>#REF!</v>
      </c>
      <c r="Y101" s="6" t="e">
        <f>#REF!</f>
        <v>#REF!</v>
      </c>
      <c r="Z101" s="6" t="e">
        <f>#REF!</f>
        <v>#REF!</v>
      </c>
      <c r="AA101" s="6" t="e">
        <f>#REF!</f>
        <v>#REF!</v>
      </c>
      <c r="AB101" s="6" t="e">
        <f>#REF!</f>
        <v>#REF!</v>
      </c>
      <c r="AC101" s="6" t="e">
        <f>#REF!</f>
        <v>#REF!</v>
      </c>
      <c r="AD101" s="6" t="e">
        <f>#REF!</f>
        <v>#REF!</v>
      </c>
      <c r="AE101" s="6" t="e">
        <f>#REF!</f>
        <v>#REF!</v>
      </c>
      <c r="AF101" s="6" t="e">
        <f>#REF!</f>
        <v>#REF!</v>
      </c>
      <c r="AG101" s="6" t="e">
        <f>#REF!</f>
        <v>#REF!</v>
      </c>
      <c r="AH101" s="6" t="e">
        <f>#REF!</f>
        <v>#REF!</v>
      </c>
      <c r="AI101" s="6" t="e">
        <f>#REF!</f>
        <v>#REF!</v>
      </c>
      <c r="AJ101" s="6" t="e">
        <f>#REF!</f>
        <v>#REF!</v>
      </c>
      <c r="AK101" s="6" t="e">
        <f>#REF!</f>
        <v>#REF!</v>
      </c>
      <c r="AL101" s="6" t="e">
        <f>#REF!</f>
        <v>#REF!</v>
      </c>
    </row>
    <row r="102" spans="1:38" x14ac:dyDescent="0.25">
      <c r="A102" s="64" t="s">
        <v>267</v>
      </c>
      <c r="B102" s="126" t="e">
        <f>VLOOKUP(A102,$A$2:$AL$285,MATCH('Character Sheet'!$BJ$3,$A$1:$AL$1,0),FALSE)</f>
        <v>#REF!</v>
      </c>
      <c r="C102" s="6" t="e">
        <f>#REF!</f>
        <v>#REF!</v>
      </c>
      <c r="D102" s="6" t="e">
        <f>#REF!</f>
        <v>#REF!</v>
      </c>
      <c r="E102" s="6" t="e">
        <f>#REF!</f>
        <v>#REF!</v>
      </c>
      <c r="F102" s="6" t="e">
        <f>#REF!</f>
        <v>#REF!</v>
      </c>
      <c r="G102" s="6" t="e">
        <f>#REF!</f>
        <v>#REF!</v>
      </c>
      <c r="H102" s="6" t="e">
        <f>#REF!</f>
        <v>#REF!</v>
      </c>
      <c r="I102" s="6" t="e">
        <f>#REF!</f>
        <v>#REF!</v>
      </c>
      <c r="J102" s="6" t="e">
        <f>#REF!</f>
        <v>#REF!</v>
      </c>
      <c r="K102" s="6" t="e">
        <f>#REF!</f>
        <v>#REF!</v>
      </c>
      <c r="L102" s="6" t="e">
        <f>#REF!</f>
        <v>#REF!</v>
      </c>
      <c r="M102" s="6" t="e">
        <f>#REF!</f>
        <v>#REF!</v>
      </c>
      <c r="N102" s="6" t="e">
        <f>#REF!</f>
        <v>#REF!</v>
      </c>
      <c r="O102" s="6" t="e">
        <f>#REF!</f>
        <v>#REF!</v>
      </c>
      <c r="P102" s="6" t="e">
        <f>#REF!</f>
        <v>#REF!</v>
      </c>
      <c r="Q102" s="6" t="e">
        <f>#REF!</f>
        <v>#REF!</v>
      </c>
      <c r="R102" s="6" t="e">
        <f>#REF!</f>
        <v>#REF!</v>
      </c>
      <c r="S102" s="6" t="e">
        <f>#REF!</f>
        <v>#REF!</v>
      </c>
      <c r="T102" s="6" t="e">
        <f>#REF!</f>
        <v>#REF!</v>
      </c>
      <c r="U102" s="6" t="e">
        <f>#REF!</f>
        <v>#REF!</v>
      </c>
      <c r="V102" s="6" t="e">
        <f>#REF!</f>
        <v>#REF!</v>
      </c>
      <c r="W102" s="6" t="e">
        <f>#REF!</f>
        <v>#REF!</v>
      </c>
      <c r="X102" s="6" t="e">
        <f>#REF!</f>
        <v>#REF!</v>
      </c>
      <c r="Y102" s="6" t="e">
        <f>#REF!</f>
        <v>#REF!</v>
      </c>
      <c r="Z102" s="6" t="e">
        <f>#REF!</f>
        <v>#REF!</v>
      </c>
      <c r="AA102" s="6" t="e">
        <f>#REF!</f>
        <v>#REF!</v>
      </c>
      <c r="AB102" s="6" t="e">
        <f>#REF!</f>
        <v>#REF!</v>
      </c>
      <c r="AC102" s="6" t="e">
        <f>#REF!</f>
        <v>#REF!</v>
      </c>
      <c r="AD102" s="6" t="e">
        <f>#REF!</f>
        <v>#REF!</v>
      </c>
      <c r="AE102" s="6" t="e">
        <f>#REF!</f>
        <v>#REF!</v>
      </c>
      <c r="AF102" s="6" t="e">
        <f>#REF!</f>
        <v>#REF!</v>
      </c>
      <c r="AG102" s="6" t="e">
        <f>#REF!</f>
        <v>#REF!</v>
      </c>
      <c r="AH102" s="6" t="e">
        <f>#REF!</f>
        <v>#REF!</v>
      </c>
      <c r="AI102" s="6" t="e">
        <f>#REF!</f>
        <v>#REF!</v>
      </c>
      <c r="AJ102" s="6" t="e">
        <f>#REF!</f>
        <v>#REF!</v>
      </c>
      <c r="AK102" s="6" t="e">
        <f>#REF!</f>
        <v>#REF!</v>
      </c>
      <c r="AL102" s="6" t="e">
        <f>#REF!</f>
        <v>#REF!</v>
      </c>
    </row>
    <row r="103" spans="1:38" x14ac:dyDescent="0.25">
      <c r="A103" s="64" t="s">
        <v>268</v>
      </c>
      <c r="B103" s="126" t="e">
        <f>VLOOKUP(A103,$A$2:$AL$285,MATCH('Character Sheet'!$BJ$3,$A$1:$AL$1,0),FALSE)</f>
        <v>#REF!</v>
      </c>
      <c r="C103" s="6" t="e">
        <f>#REF!</f>
        <v>#REF!</v>
      </c>
      <c r="D103" s="6" t="e">
        <f>#REF!</f>
        <v>#REF!</v>
      </c>
      <c r="E103" s="6" t="e">
        <f>#REF!</f>
        <v>#REF!</v>
      </c>
      <c r="F103" s="6" t="e">
        <f>#REF!</f>
        <v>#REF!</v>
      </c>
      <c r="G103" s="6" t="e">
        <f>#REF!</f>
        <v>#REF!</v>
      </c>
      <c r="H103" s="6" t="e">
        <f>#REF!</f>
        <v>#REF!</v>
      </c>
      <c r="I103" s="6" t="e">
        <f>#REF!</f>
        <v>#REF!</v>
      </c>
      <c r="J103" s="6" t="e">
        <f>#REF!</f>
        <v>#REF!</v>
      </c>
      <c r="K103" s="6" t="e">
        <f>#REF!</f>
        <v>#REF!</v>
      </c>
      <c r="L103" s="6" t="e">
        <f>#REF!</f>
        <v>#REF!</v>
      </c>
      <c r="M103" s="6" t="e">
        <f>#REF!</f>
        <v>#REF!</v>
      </c>
      <c r="N103" s="6" t="e">
        <f>#REF!</f>
        <v>#REF!</v>
      </c>
      <c r="O103" s="6" t="e">
        <f>#REF!</f>
        <v>#REF!</v>
      </c>
      <c r="P103" s="6" t="e">
        <f>#REF!</f>
        <v>#REF!</v>
      </c>
      <c r="Q103" s="6" t="e">
        <f>#REF!</f>
        <v>#REF!</v>
      </c>
      <c r="R103" s="6" t="e">
        <f>#REF!</f>
        <v>#REF!</v>
      </c>
      <c r="S103" s="6" t="e">
        <f>#REF!</f>
        <v>#REF!</v>
      </c>
      <c r="T103" s="6" t="e">
        <f>#REF!</f>
        <v>#REF!</v>
      </c>
      <c r="U103" s="6" t="e">
        <f>#REF!</f>
        <v>#REF!</v>
      </c>
      <c r="V103" s="6" t="e">
        <f>#REF!</f>
        <v>#REF!</v>
      </c>
      <c r="W103" s="6" t="e">
        <f>#REF!</f>
        <v>#REF!</v>
      </c>
      <c r="X103" s="6" t="e">
        <f>#REF!</f>
        <v>#REF!</v>
      </c>
      <c r="Y103" s="6" t="e">
        <f>#REF!</f>
        <v>#REF!</v>
      </c>
      <c r="Z103" s="6" t="e">
        <f>#REF!</f>
        <v>#REF!</v>
      </c>
      <c r="AA103" s="6" t="e">
        <f>#REF!</f>
        <v>#REF!</v>
      </c>
      <c r="AB103" s="6" t="e">
        <f>#REF!</f>
        <v>#REF!</v>
      </c>
      <c r="AC103" s="6" t="e">
        <f>#REF!</f>
        <v>#REF!</v>
      </c>
      <c r="AD103" s="6" t="e">
        <f>#REF!</f>
        <v>#REF!</v>
      </c>
      <c r="AE103" s="6" t="e">
        <f>#REF!</f>
        <v>#REF!</v>
      </c>
      <c r="AF103" s="6" t="e">
        <f>#REF!</f>
        <v>#REF!</v>
      </c>
      <c r="AG103" s="6" t="e">
        <f>#REF!</f>
        <v>#REF!</v>
      </c>
      <c r="AH103" s="6" t="e">
        <f>#REF!</f>
        <v>#REF!</v>
      </c>
      <c r="AI103" s="6" t="e">
        <f>#REF!</f>
        <v>#REF!</v>
      </c>
      <c r="AJ103" s="6" t="e">
        <f>#REF!</f>
        <v>#REF!</v>
      </c>
      <c r="AK103" s="6" t="e">
        <f>#REF!</f>
        <v>#REF!</v>
      </c>
      <c r="AL103" s="6" t="e">
        <f>#REF!</f>
        <v>#REF!</v>
      </c>
    </row>
    <row r="104" spans="1:38" x14ac:dyDescent="0.25">
      <c r="A104" s="64" t="s">
        <v>269</v>
      </c>
      <c r="B104" s="126" t="e">
        <f>VLOOKUP(A104,$A$2:$AL$285,MATCH('Character Sheet'!$BJ$3,$A$1:$AL$1,0),FALSE)</f>
        <v>#REF!</v>
      </c>
      <c r="C104" s="6" t="e">
        <f>#REF!</f>
        <v>#REF!</v>
      </c>
      <c r="D104" s="6" t="e">
        <f>#REF!</f>
        <v>#REF!</v>
      </c>
      <c r="E104" s="6" t="e">
        <f>#REF!</f>
        <v>#REF!</v>
      </c>
      <c r="F104" s="6" t="e">
        <f>#REF!</f>
        <v>#REF!</v>
      </c>
      <c r="G104" s="6" t="e">
        <f>#REF!</f>
        <v>#REF!</v>
      </c>
      <c r="H104" s="6" t="e">
        <f>#REF!</f>
        <v>#REF!</v>
      </c>
      <c r="I104" s="6" t="e">
        <f>#REF!</f>
        <v>#REF!</v>
      </c>
      <c r="J104" s="6" t="e">
        <f>#REF!</f>
        <v>#REF!</v>
      </c>
      <c r="K104" s="6" t="e">
        <f>#REF!</f>
        <v>#REF!</v>
      </c>
      <c r="L104" s="6" t="e">
        <f>#REF!</f>
        <v>#REF!</v>
      </c>
      <c r="M104" s="6" t="e">
        <f>#REF!</f>
        <v>#REF!</v>
      </c>
      <c r="N104" s="6" t="e">
        <f>#REF!</f>
        <v>#REF!</v>
      </c>
      <c r="O104" s="6" t="e">
        <f>#REF!</f>
        <v>#REF!</v>
      </c>
      <c r="P104" s="6" t="e">
        <f>#REF!</f>
        <v>#REF!</v>
      </c>
      <c r="Q104" s="6" t="e">
        <f>#REF!</f>
        <v>#REF!</v>
      </c>
      <c r="R104" s="6" t="e">
        <f>#REF!</f>
        <v>#REF!</v>
      </c>
      <c r="S104" s="6" t="e">
        <f>#REF!</f>
        <v>#REF!</v>
      </c>
      <c r="T104" s="6" t="e">
        <f>#REF!</f>
        <v>#REF!</v>
      </c>
      <c r="U104" s="6" t="e">
        <f>#REF!</f>
        <v>#REF!</v>
      </c>
      <c r="V104" s="6" t="e">
        <f>#REF!</f>
        <v>#REF!</v>
      </c>
      <c r="W104" s="6" t="e">
        <f>#REF!</f>
        <v>#REF!</v>
      </c>
      <c r="X104" s="6" t="e">
        <f>#REF!</f>
        <v>#REF!</v>
      </c>
      <c r="Y104" s="6" t="e">
        <f>#REF!</f>
        <v>#REF!</v>
      </c>
      <c r="Z104" s="6" t="e">
        <f>#REF!</f>
        <v>#REF!</v>
      </c>
      <c r="AA104" s="6" t="e">
        <f>#REF!</f>
        <v>#REF!</v>
      </c>
      <c r="AB104" s="6" t="e">
        <f>#REF!</f>
        <v>#REF!</v>
      </c>
      <c r="AC104" s="6" t="e">
        <f>#REF!</f>
        <v>#REF!</v>
      </c>
      <c r="AD104" s="6" t="e">
        <f>#REF!</f>
        <v>#REF!</v>
      </c>
      <c r="AE104" s="6" t="e">
        <f>#REF!</f>
        <v>#REF!</v>
      </c>
      <c r="AF104" s="6" t="e">
        <f>#REF!</f>
        <v>#REF!</v>
      </c>
      <c r="AG104" s="6" t="e">
        <f>#REF!</f>
        <v>#REF!</v>
      </c>
      <c r="AH104" s="6" t="e">
        <f>#REF!</f>
        <v>#REF!</v>
      </c>
      <c r="AI104" s="6" t="e">
        <f>#REF!</f>
        <v>#REF!</v>
      </c>
      <c r="AJ104" s="6" t="e">
        <f>#REF!</f>
        <v>#REF!</v>
      </c>
      <c r="AK104" s="6" t="e">
        <f>#REF!</f>
        <v>#REF!</v>
      </c>
      <c r="AL104" s="6" t="e">
        <f>#REF!</f>
        <v>#REF!</v>
      </c>
    </row>
    <row r="105" spans="1:38" x14ac:dyDescent="0.25">
      <c r="A105" s="64" t="s">
        <v>2057</v>
      </c>
      <c r="B105" s="126" t="e">
        <f>VLOOKUP(A105,$A$2:$AL$285,MATCH('Character Sheet'!$BJ$3,$A$1:$AL$1,0),FALSE)</f>
        <v>#REF!</v>
      </c>
      <c r="C105" s="6" t="e">
        <f>#REF!</f>
        <v>#REF!</v>
      </c>
      <c r="D105" s="6" t="e">
        <f>#REF!</f>
        <v>#REF!</v>
      </c>
      <c r="E105" s="6" t="e">
        <f>#REF!</f>
        <v>#REF!</v>
      </c>
      <c r="F105" s="6" t="e">
        <f>#REF!</f>
        <v>#REF!</v>
      </c>
      <c r="G105" s="6" t="e">
        <f>#REF!</f>
        <v>#REF!</v>
      </c>
      <c r="H105" s="6" t="e">
        <f>#REF!</f>
        <v>#REF!</v>
      </c>
      <c r="I105" s="6" t="e">
        <f>#REF!</f>
        <v>#REF!</v>
      </c>
      <c r="J105" s="6" t="e">
        <f>#REF!</f>
        <v>#REF!</v>
      </c>
      <c r="K105" s="6" t="e">
        <f>#REF!</f>
        <v>#REF!</v>
      </c>
      <c r="L105" s="6" t="e">
        <f>#REF!</f>
        <v>#REF!</v>
      </c>
      <c r="M105" s="6" t="e">
        <f>#REF!</f>
        <v>#REF!</v>
      </c>
      <c r="N105" s="6" t="e">
        <f>#REF!</f>
        <v>#REF!</v>
      </c>
      <c r="O105" s="6" t="e">
        <f>#REF!</f>
        <v>#REF!</v>
      </c>
      <c r="P105" s="6" t="e">
        <f>#REF!</f>
        <v>#REF!</v>
      </c>
      <c r="Q105" s="6" t="e">
        <f>#REF!</f>
        <v>#REF!</v>
      </c>
      <c r="R105" s="6" t="e">
        <f>#REF!</f>
        <v>#REF!</v>
      </c>
      <c r="S105" s="6" t="e">
        <f>#REF!</f>
        <v>#REF!</v>
      </c>
      <c r="T105" s="6" t="e">
        <f>#REF!</f>
        <v>#REF!</v>
      </c>
      <c r="U105" s="6" t="e">
        <f>#REF!</f>
        <v>#REF!</v>
      </c>
      <c r="V105" s="6" t="e">
        <f>#REF!</f>
        <v>#REF!</v>
      </c>
      <c r="W105" s="6" t="e">
        <f>#REF!</f>
        <v>#REF!</v>
      </c>
      <c r="X105" s="6" t="e">
        <f>#REF!</f>
        <v>#REF!</v>
      </c>
      <c r="Y105" s="6" t="e">
        <f>#REF!</f>
        <v>#REF!</v>
      </c>
      <c r="Z105" s="6" t="e">
        <f>#REF!</f>
        <v>#REF!</v>
      </c>
      <c r="AA105" s="6" t="e">
        <f>#REF!</f>
        <v>#REF!</v>
      </c>
      <c r="AB105" s="6" t="e">
        <f>#REF!</f>
        <v>#REF!</v>
      </c>
      <c r="AC105" s="6" t="e">
        <f>#REF!</f>
        <v>#REF!</v>
      </c>
      <c r="AD105" s="6" t="e">
        <f>#REF!</f>
        <v>#REF!</v>
      </c>
      <c r="AE105" s="6" t="e">
        <f>#REF!</f>
        <v>#REF!</v>
      </c>
      <c r="AF105" s="6" t="e">
        <f>#REF!</f>
        <v>#REF!</v>
      </c>
      <c r="AG105" s="6" t="e">
        <f>#REF!</f>
        <v>#REF!</v>
      </c>
      <c r="AH105" s="6" t="e">
        <f>#REF!</f>
        <v>#REF!</v>
      </c>
      <c r="AI105" s="6" t="e">
        <f>#REF!</f>
        <v>#REF!</v>
      </c>
      <c r="AJ105" s="6" t="e">
        <f>#REF!</f>
        <v>#REF!</v>
      </c>
      <c r="AK105" s="6" t="e">
        <f>#REF!</f>
        <v>#REF!</v>
      </c>
      <c r="AL105" s="6" t="e">
        <f>#REF!</f>
        <v>#REF!</v>
      </c>
    </row>
    <row r="106" spans="1:38" x14ac:dyDescent="0.25">
      <c r="A106" s="64" t="s">
        <v>2058</v>
      </c>
      <c r="B106" s="126" t="e">
        <f>VLOOKUP(A106,$A$2:$AL$285,MATCH('Character Sheet'!$BJ$3,$A$1:$AL$1,0),FALSE)</f>
        <v>#REF!</v>
      </c>
      <c r="C106" s="6" t="e">
        <f>#REF!</f>
        <v>#REF!</v>
      </c>
      <c r="D106" s="6" t="e">
        <f>#REF!</f>
        <v>#REF!</v>
      </c>
      <c r="E106" s="6" t="e">
        <f>#REF!</f>
        <v>#REF!</v>
      </c>
      <c r="F106" s="6" t="e">
        <f>#REF!</f>
        <v>#REF!</v>
      </c>
      <c r="G106" s="6" t="e">
        <f>#REF!</f>
        <v>#REF!</v>
      </c>
      <c r="H106" s="6" t="e">
        <f>#REF!</f>
        <v>#REF!</v>
      </c>
      <c r="I106" s="6" t="e">
        <f>#REF!</f>
        <v>#REF!</v>
      </c>
      <c r="J106" s="6" t="e">
        <f>#REF!</f>
        <v>#REF!</v>
      </c>
      <c r="K106" s="6" t="e">
        <f>#REF!</f>
        <v>#REF!</v>
      </c>
      <c r="L106" s="6" t="e">
        <f>#REF!</f>
        <v>#REF!</v>
      </c>
      <c r="M106" s="6" t="e">
        <f>#REF!</f>
        <v>#REF!</v>
      </c>
      <c r="N106" s="6" t="e">
        <f>#REF!</f>
        <v>#REF!</v>
      </c>
      <c r="O106" s="6" t="e">
        <f>#REF!</f>
        <v>#REF!</v>
      </c>
      <c r="P106" s="6" t="e">
        <f>#REF!</f>
        <v>#REF!</v>
      </c>
      <c r="Q106" s="6" t="e">
        <f>#REF!</f>
        <v>#REF!</v>
      </c>
      <c r="R106" s="6" t="e">
        <f>#REF!</f>
        <v>#REF!</v>
      </c>
      <c r="S106" s="6" t="e">
        <f>#REF!</f>
        <v>#REF!</v>
      </c>
      <c r="T106" s="6" t="e">
        <f>#REF!</f>
        <v>#REF!</v>
      </c>
      <c r="U106" s="6" t="e">
        <f>#REF!</f>
        <v>#REF!</v>
      </c>
      <c r="V106" s="6" t="e">
        <f>#REF!</f>
        <v>#REF!</v>
      </c>
      <c r="W106" s="6" t="e">
        <f>#REF!</f>
        <v>#REF!</v>
      </c>
      <c r="X106" s="6" t="e">
        <f>#REF!</f>
        <v>#REF!</v>
      </c>
      <c r="Y106" s="6" t="e">
        <f>#REF!</f>
        <v>#REF!</v>
      </c>
      <c r="Z106" s="6" t="e">
        <f>#REF!</f>
        <v>#REF!</v>
      </c>
      <c r="AA106" s="6" t="e">
        <f>#REF!</f>
        <v>#REF!</v>
      </c>
      <c r="AB106" s="6" t="e">
        <f>#REF!</f>
        <v>#REF!</v>
      </c>
      <c r="AC106" s="6" t="e">
        <f>#REF!</f>
        <v>#REF!</v>
      </c>
      <c r="AD106" s="6" t="e">
        <f>#REF!</f>
        <v>#REF!</v>
      </c>
      <c r="AE106" s="6" t="e">
        <f>#REF!</f>
        <v>#REF!</v>
      </c>
      <c r="AF106" s="6" t="e">
        <f>#REF!</f>
        <v>#REF!</v>
      </c>
      <c r="AG106" s="6" t="e">
        <f>#REF!</f>
        <v>#REF!</v>
      </c>
      <c r="AH106" s="6" t="e">
        <f>#REF!</f>
        <v>#REF!</v>
      </c>
      <c r="AI106" s="6" t="e">
        <f>#REF!</f>
        <v>#REF!</v>
      </c>
      <c r="AJ106" s="6" t="e">
        <f>#REF!</f>
        <v>#REF!</v>
      </c>
      <c r="AK106" s="6" t="e">
        <f>#REF!</f>
        <v>#REF!</v>
      </c>
      <c r="AL106" s="6" t="e">
        <f>#REF!</f>
        <v>#REF!</v>
      </c>
    </row>
    <row r="107" spans="1:38" x14ac:dyDescent="0.25">
      <c r="A107" s="64" t="s">
        <v>2059</v>
      </c>
      <c r="B107" s="126" t="e">
        <f>VLOOKUP(A107,$A$2:$AL$285,MATCH('Character Sheet'!$BJ$3,$A$1:$AL$1,0),FALSE)</f>
        <v>#REF!</v>
      </c>
      <c r="C107" s="6" t="e">
        <f>#REF!</f>
        <v>#REF!</v>
      </c>
      <c r="D107" s="6" t="e">
        <f>#REF!</f>
        <v>#REF!</v>
      </c>
      <c r="E107" s="6" t="e">
        <f>#REF!</f>
        <v>#REF!</v>
      </c>
      <c r="F107" s="6" t="e">
        <f>#REF!</f>
        <v>#REF!</v>
      </c>
      <c r="G107" s="6" t="e">
        <f>#REF!</f>
        <v>#REF!</v>
      </c>
      <c r="H107" s="6" t="e">
        <f>#REF!</f>
        <v>#REF!</v>
      </c>
      <c r="I107" s="6" t="e">
        <f>#REF!</f>
        <v>#REF!</v>
      </c>
      <c r="J107" s="6" t="e">
        <f>#REF!</f>
        <v>#REF!</v>
      </c>
      <c r="K107" s="6" t="e">
        <f>#REF!</f>
        <v>#REF!</v>
      </c>
      <c r="L107" s="6" t="e">
        <f>#REF!</f>
        <v>#REF!</v>
      </c>
      <c r="M107" s="6" t="e">
        <f>#REF!</f>
        <v>#REF!</v>
      </c>
      <c r="N107" s="6" t="e">
        <f>#REF!</f>
        <v>#REF!</v>
      </c>
      <c r="O107" s="6" t="e">
        <f>#REF!</f>
        <v>#REF!</v>
      </c>
      <c r="P107" s="6" t="e">
        <f>#REF!</f>
        <v>#REF!</v>
      </c>
      <c r="Q107" s="6" t="e">
        <f>#REF!</f>
        <v>#REF!</v>
      </c>
      <c r="R107" s="6" t="e">
        <f>#REF!</f>
        <v>#REF!</v>
      </c>
      <c r="S107" s="6" t="e">
        <f>#REF!</f>
        <v>#REF!</v>
      </c>
      <c r="T107" s="6" t="e">
        <f>#REF!</f>
        <v>#REF!</v>
      </c>
      <c r="U107" s="6" t="e">
        <f>#REF!</f>
        <v>#REF!</v>
      </c>
      <c r="V107" s="6" t="e">
        <f>#REF!</f>
        <v>#REF!</v>
      </c>
      <c r="W107" s="6" t="e">
        <f>#REF!</f>
        <v>#REF!</v>
      </c>
      <c r="X107" s="6" t="e">
        <f>#REF!</f>
        <v>#REF!</v>
      </c>
      <c r="Y107" s="6" t="e">
        <f>#REF!</f>
        <v>#REF!</v>
      </c>
      <c r="Z107" s="6" t="e">
        <f>#REF!</f>
        <v>#REF!</v>
      </c>
      <c r="AA107" s="6" t="e">
        <f>#REF!</f>
        <v>#REF!</v>
      </c>
      <c r="AB107" s="6" t="e">
        <f>#REF!</f>
        <v>#REF!</v>
      </c>
      <c r="AC107" s="6" t="e">
        <f>#REF!</f>
        <v>#REF!</v>
      </c>
      <c r="AD107" s="6" t="e">
        <f>#REF!</f>
        <v>#REF!</v>
      </c>
      <c r="AE107" s="6" t="e">
        <f>#REF!</f>
        <v>#REF!</v>
      </c>
      <c r="AF107" s="6" t="e">
        <f>#REF!</f>
        <v>#REF!</v>
      </c>
      <c r="AG107" s="6" t="e">
        <f>#REF!</f>
        <v>#REF!</v>
      </c>
      <c r="AH107" s="6" t="e">
        <f>#REF!</f>
        <v>#REF!</v>
      </c>
      <c r="AI107" s="6" t="e">
        <f>#REF!</f>
        <v>#REF!</v>
      </c>
      <c r="AJ107" s="6" t="e">
        <f>#REF!</f>
        <v>#REF!</v>
      </c>
      <c r="AK107" s="6" t="e">
        <f>#REF!</f>
        <v>#REF!</v>
      </c>
      <c r="AL107" s="6" t="e">
        <f>#REF!</f>
        <v>#REF!</v>
      </c>
    </row>
    <row r="108" spans="1:38" ht="15.75" thickBot="1" x14ac:dyDescent="0.3">
      <c r="A108" s="64" t="s">
        <v>2060</v>
      </c>
      <c r="B108" s="126" t="e">
        <f>VLOOKUP(A108,$A$2:$AL$285,MATCH('Character Sheet'!$BJ$3,$A$1:$AL$1,0),FALSE)</f>
        <v>#REF!</v>
      </c>
      <c r="C108" s="6" t="e">
        <f>#REF!</f>
        <v>#REF!</v>
      </c>
      <c r="D108" s="6" t="e">
        <f>#REF!</f>
        <v>#REF!</v>
      </c>
      <c r="E108" s="6" t="e">
        <f>#REF!</f>
        <v>#REF!</v>
      </c>
      <c r="F108" s="6" t="e">
        <f>#REF!</f>
        <v>#REF!</v>
      </c>
      <c r="G108" s="6" t="e">
        <f>#REF!</f>
        <v>#REF!</v>
      </c>
      <c r="H108" s="6" t="e">
        <f>#REF!</f>
        <v>#REF!</v>
      </c>
      <c r="I108" s="6" t="e">
        <f>#REF!</f>
        <v>#REF!</v>
      </c>
      <c r="J108" s="6" t="e">
        <f>#REF!</f>
        <v>#REF!</v>
      </c>
      <c r="K108" s="6" t="e">
        <f>#REF!</f>
        <v>#REF!</v>
      </c>
      <c r="L108" s="6" t="e">
        <f>#REF!</f>
        <v>#REF!</v>
      </c>
      <c r="M108" s="6" t="e">
        <f>#REF!</f>
        <v>#REF!</v>
      </c>
      <c r="N108" s="6" t="e">
        <f>#REF!</f>
        <v>#REF!</v>
      </c>
      <c r="O108" s="6" t="e">
        <f>#REF!</f>
        <v>#REF!</v>
      </c>
      <c r="P108" s="6" t="e">
        <f>#REF!</f>
        <v>#REF!</v>
      </c>
      <c r="Q108" s="6" t="e">
        <f>#REF!</f>
        <v>#REF!</v>
      </c>
      <c r="R108" s="6" t="e">
        <f>#REF!</f>
        <v>#REF!</v>
      </c>
      <c r="S108" s="6" t="e">
        <f>#REF!</f>
        <v>#REF!</v>
      </c>
      <c r="T108" s="6" t="e">
        <f>#REF!</f>
        <v>#REF!</v>
      </c>
      <c r="U108" s="6" t="e">
        <f>#REF!</f>
        <v>#REF!</v>
      </c>
      <c r="V108" s="6" t="e">
        <f>#REF!</f>
        <v>#REF!</v>
      </c>
      <c r="W108" s="6" t="e">
        <f>#REF!</f>
        <v>#REF!</v>
      </c>
      <c r="X108" s="6" t="e">
        <f>#REF!</f>
        <v>#REF!</v>
      </c>
      <c r="Y108" s="6" t="e">
        <f>#REF!</f>
        <v>#REF!</v>
      </c>
      <c r="Z108" s="6" t="e">
        <f>#REF!</f>
        <v>#REF!</v>
      </c>
      <c r="AA108" s="6" t="e">
        <f>#REF!</f>
        <v>#REF!</v>
      </c>
      <c r="AB108" s="6" t="e">
        <f>#REF!</f>
        <v>#REF!</v>
      </c>
      <c r="AC108" s="6" t="e">
        <f>#REF!</f>
        <v>#REF!</v>
      </c>
      <c r="AD108" s="6" t="e">
        <f>#REF!</f>
        <v>#REF!</v>
      </c>
      <c r="AE108" s="6" t="e">
        <f>#REF!</f>
        <v>#REF!</v>
      </c>
      <c r="AF108" s="6" t="e">
        <f>#REF!</f>
        <v>#REF!</v>
      </c>
      <c r="AG108" s="6" t="e">
        <f>#REF!</f>
        <v>#REF!</v>
      </c>
      <c r="AH108" s="6" t="e">
        <f>#REF!</f>
        <v>#REF!</v>
      </c>
      <c r="AI108" s="6" t="e">
        <f>#REF!</f>
        <v>#REF!</v>
      </c>
      <c r="AJ108" s="6" t="e">
        <f>#REF!</f>
        <v>#REF!</v>
      </c>
      <c r="AK108" s="6" t="e">
        <f>#REF!</f>
        <v>#REF!</v>
      </c>
      <c r="AL108" s="6" t="e">
        <f>#REF!</f>
        <v>#REF!</v>
      </c>
    </row>
    <row r="109" spans="1:38" ht="16.5" thickTop="1" thickBot="1" x14ac:dyDescent="0.3">
      <c r="A109" s="63" t="s">
        <v>284</v>
      </c>
      <c r="B109" s="126" t="e">
        <f>VLOOKUP(A109,$A$2:$AL$285,MATCH('Character Sheet'!$BJ$3,$A$1:$AL$1,0),FALSE)</f>
        <v>#REF!</v>
      </c>
      <c r="C109" s="6" t="e">
        <f>#REF!</f>
        <v>#REF!</v>
      </c>
      <c r="D109" s="6" t="e">
        <f>#REF!</f>
        <v>#REF!</v>
      </c>
      <c r="E109" s="6" t="e">
        <f>#REF!</f>
        <v>#REF!</v>
      </c>
      <c r="F109" s="6" t="e">
        <f>#REF!</f>
        <v>#REF!</v>
      </c>
      <c r="G109" s="6" t="e">
        <f>#REF!</f>
        <v>#REF!</v>
      </c>
      <c r="H109" s="6" t="e">
        <f>#REF!</f>
        <v>#REF!</v>
      </c>
      <c r="I109" s="6" t="e">
        <f>#REF!</f>
        <v>#REF!</v>
      </c>
      <c r="J109" s="6" t="e">
        <f>#REF!</f>
        <v>#REF!</v>
      </c>
      <c r="K109" s="6" t="e">
        <f>#REF!</f>
        <v>#REF!</v>
      </c>
      <c r="L109" s="6" t="e">
        <f>#REF!</f>
        <v>#REF!</v>
      </c>
      <c r="M109" s="6" t="e">
        <f>#REF!</f>
        <v>#REF!</v>
      </c>
      <c r="N109" s="6" t="e">
        <f>#REF!</f>
        <v>#REF!</v>
      </c>
      <c r="O109" s="6" t="e">
        <f>#REF!</f>
        <v>#REF!</v>
      </c>
      <c r="P109" s="6" t="e">
        <f>#REF!</f>
        <v>#REF!</v>
      </c>
      <c r="Q109" s="6" t="e">
        <f>#REF!</f>
        <v>#REF!</v>
      </c>
      <c r="R109" s="6" t="e">
        <f>#REF!</f>
        <v>#REF!</v>
      </c>
      <c r="S109" s="6" t="e">
        <f>#REF!</f>
        <v>#REF!</v>
      </c>
      <c r="T109" s="6" t="e">
        <f>#REF!</f>
        <v>#REF!</v>
      </c>
      <c r="U109" s="6" t="e">
        <f>#REF!</f>
        <v>#REF!</v>
      </c>
      <c r="V109" s="6" t="e">
        <f>#REF!</f>
        <v>#REF!</v>
      </c>
      <c r="W109" s="6" t="e">
        <f>#REF!</f>
        <v>#REF!</v>
      </c>
      <c r="X109" s="6" t="e">
        <f>#REF!</f>
        <v>#REF!</v>
      </c>
      <c r="Y109" s="6" t="e">
        <f>#REF!</f>
        <v>#REF!</v>
      </c>
      <c r="Z109" s="6" t="e">
        <f>#REF!</f>
        <v>#REF!</v>
      </c>
      <c r="AA109" s="6" t="e">
        <f>#REF!</f>
        <v>#REF!</v>
      </c>
      <c r="AB109" s="6" t="e">
        <f>#REF!</f>
        <v>#REF!</v>
      </c>
      <c r="AC109" s="6" t="e">
        <f>#REF!</f>
        <v>#REF!</v>
      </c>
      <c r="AD109" s="6" t="e">
        <f>#REF!</f>
        <v>#REF!</v>
      </c>
      <c r="AE109" s="6" t="e">
        <f>#REF!</f>
        <v>#REF!</v>
      </c>
      <c r="AF109" s="6" t="e">
        <f>#REF!</f>
        <v>#REF!</v>
      </c>
      <c r="AG109" s="6" t="e">
        <f>#REF!</f>
        <v>#REF!</v>
      </c>
      <c r="AH109" s="6" t="e">
        <f>#REF!</f>
        <v>#REF!</v>
      </c>
      <c r="AI109" s="6" t="e">
        <f>#REF!</f>
        <v>#REF!</v>
      </c>
      <c r="AJ109" s="6" t="e">
        <f>#REF!</f>
        <v>#REF!</v>
      </c>
      <c r="AK109" s="6" t="e">
        <f>#REF!</f>
        <v>#REF!</v>
      </c>
      <c r="AL109" s="6" t="e">
        <f>#REF!</f>
        <v>#REF!</v>
      </c>
    </row>
    <row r="110" spans="1:38" ht="15.75" thickTop="1" x14ac:dyDescent="0.25">
      <c r="A110" s="64" t="s">
        <v>286</v>
      </c>
      <c r="B110" s="126" t="e">
        <f>VLOOKUP(A110,$A$2:$AL$285,MATCH('Character Sheet'!$BJ$3,$A$1:$AL$1,0),FALSE)</f>
        <v>#REF!</v>
      </c>
      <c r="C110" s="6" t="e">
        <f>#REF!</f>
        <v>#REF!</v>
      </c>
      <c r="D110" s="6" t="e">
        <f>#REF!</f>
        <v>#REF!</v>
      </c>
      <c r="E110" s="6" t="e">
        <f>#REF!</f>
        <v>#REF!</v>
      </c>
      <c r="F110" s="6" t="e">
        <f>#REF!</f>
        <v>#REF!</v>
      </c>
      <c r="G110" s="6" t="e">
        <f>#REF!</f>
        <v>#REF!</v>
      </c>
      <c r="H110" s="6" t="e">
        <f>#REF!</f>
        <v>#REF!</v>
      </c>
      <c r="I110" s="6" t="e">
        <f>#REF!</f>
        <v>#REF!</v>
      </c>
      <c r="J110" s="6" t="e">
        <f>#REF!</f>
        <v>#REF!</v>
      </c>
      <c r="K110" s="6" t="e">
        <f>#REF!</f>
        <v>#REF!</v>
      </c>
      <c r="L110" s="6" t="e">
        <f>#REF!</f>
        <v>#REF!</v>
      </c>
      <c r="M110" s="6" t="e">
        <f>#REF!</f>
        <v>#REF!</v>
      </c>
      <c r="N110" s="6" t="e">
        <f>#REF!</f>
        <v>#REF!</v>
      </c>
      <c r="O110" s="6" t="e">
        <f>#REF!</f>
        <v>#REF!</v>
      </c>
      <c r="P110" s="6" t="e">
        <f>#REF!</f>
        <v>#REF!</v>
      </c>
      <c r="Q110" s="6" t="e">
        <f>#REF!</f>
        <v>#REF!</v>
      </c>
      <c r="R110" s="6" t="e">
        <f>#REF!</f>
        <v>#REF!</v>
      </c>
      <c r="S110" s="6" t="e">
        <f>#REF!</f>
        <v>#REF!</v>
      </c>
      <c r="T110" s="6" t="e">
        <f>#REF!</f>
        <v>#REF!</v>
      </c>
      <c r="U110" s="6" t="e">
        <f>#REF!</f>
        <v>#REF!</v>
      </c>
      <c r="V110" s="6" t="e">
        <f>#REF!</f>
        <v>#REF!</v>
      </c>
      <c r="W110" s="6" t="e">
        <f>#REF!</f>
        <v>#REF!</v>
      </c>
      <c r="X110" s="6" t="e">
        <f>#REF!</f>
        <v>#REF!</v>
      </c>
      <c r="Y110" s="6" t="e">
        <f>#REF!</f>
        <v>#REF!</v>
      </c>
      <c r="Z110" s="6" t="e">
        <f>#REF!</f>
        <v>#REF!</v>
      </c>
      <c r="AA110" s="6" t="e">
        <f>#REF!</f>
        <v>#REF!</v>
      </c>
      <c r="AB110" s="6" t="e">
        <f>#REF!</f>
        <v>#REF!</v>
      </c>
      <c r="AC110" s="6" t="e">
        <f>#REF!</f>
        <v>#REF!</v>
      </c>
      <c r="AD110" s="6" t="e">
        <f>#REF!</f>
        <v>#REF!</v>
      </c>
      <c r="AE110" s="6" t="e">
        <f>#REF!</f>
        <v>#REF!</v>
      </c>
      <c r="AF110" s="6" t="e">
        <f>#REF!</f>
        <v>#REF!</v>
      </c>
      <c r="AG110" s="6" t="e">
        <f>#REF!</f>
        <v>#REF!</v>
      </c>
      <c r="AH110" s="6" t="e">
        <f>#REF!</f>
        <v>#REF!</v>
      </c>
      <c r="AI110" s="6" t="e">
        <f>#REF!</f>
        <v>#REF!</v>
      </c>
      <c r="AJ110" s="6" t="e">
        <f>#REF!</f>
        <v>#REF!</v>
      </c>
      <c r="AK110" s="6" t="e">
        <f>#REF!</f>
        <v>#REF!</v>
      </c>
      <c r="AL110" s="6" t="e">
        <f>#REF!</f>
        <v>#REF!</v>
      </c>
    </row>
    <row r="111" spans="1:38" x14ac:dyDescent="0.25">
      <c r="A111" s="64" t="s">
        <v>2090</v>
      </c>
      <c r="B111" s="126" t="e">
        <f>VLOOKUP(A111,$A$2:$AL$285,MATCH('Character Sheet'!$BJ$3,$A$1:$AL$1,0),FALSE)</f>
        <v>#REF!</v>
      </c>
      <c r="C111" s="6" t="e">
        <f>#REF!</f>
        <v>#REF!</v>
      </c>
      <c r="D111" s="6" t="e">
        <f>#REF!</f>
        <v>#REF!</v>
      </c>
      <c r="E111" s="6" t="e">
        <f>#REF!</f>
        <v>#REF!</v>
      </c>
      <c r="F111" s="6" t="e">
        <f>#REF!</f>
        <v>#REF!</v>
      </c>
      <c r="G111" s="6" t="e">
        <f>#REF!</f>
        <v>#REF!</v>
      </c>
      <c r="H111" s="6" t="e">
        <f>#REF!</f>
        <v>#REF!</v>
      </c>
      <c r="I111" s="6" t="e">
        <f>#REF!</f>
        <v>#REF!</v>
      </c>
      <c r="J111" s="6" t="e">
        <f>#REF!</f>
        <v>#REF!</v>
      </c>
      <c r="K111" s="6" t="e">
        <f>#REF!</f>
        <v>#REF!</v>
      </c>
      <c r="L111" s="6" t="e">
        <f>#REF!</f>
        <v>#REF!</v>
      </c>
      <c r="M111" s="6" t="e">
        <f>#REF!</f>
        <v>#REF!</v>
      </c>
      <c r="N111" s="6" t="e">
        <f>#REF!</f>
        <v>#REF!</v>
      </c>
      <c r="O111" s="6" t="e">
        <f>#REF!</f>
        <v>#REF!</v>
      </c>
      <c r="P111" s="6" t="e">
        <f>#REF!</f>
        <v>#REF!</v>
      </c>
      <c r="Q111" s="6" t="e">
        <f>#REF!</f>
        <v>#REF!</v>
      </c>
      <c r="R111" s="6" t="e">
        <f>#REF!</f>
        <v>#REF!</v>
      </c>
      <c r="S111" s="6" t="e">
        <f>#REF!</f>
        <v>#REF!</v>
      </c>
      <c r="T111" s="6" t="e">
        <f>#REF!</f>
        <v>#REF!</v>
      </c>
      <c r="U111" s="6" t="e">
        <f>#REF!</f>
        <v>#REF!</v>
      </c>
      <c r="V111" s="6" t="e">
        <f>#REF!</f>
        <v>#REF!</v>
      </c>
      <c r="W111" s="6" t="e">
        <f>#REF!</f>
        <v>#REF!</v>
      </c>
      <c r="X111" s="6" t="e">
        <f>#REF!</f>
        <v>#REF!</v>
      </c>
      <c r="Y111" s="6" t="e">
        <f>#REF!</f>
        <v>#REF!</v>
      </c>
      <c r="Z111" s="6" t="e">
        <f>#REF!</f>
        <v>#REF!</v>
      </c>
      <c r="AA111" s="6" t="e">
        <f>#REF!</f>
        <v>#REF!</v>
      </c>
      <c r="AB111" s="6" t="e">
        <f>#REF!</f>
        <v>#REF!</v>
      </c>
      <c r="AC111" s="6" t="e">
        <f>#REF!</f>
        <v>#REF!</v>
      </c>
      <c r="AD111" s="6" t="e">
        <f>#REF!</f>
        <v>#REF!</v>
      </c>
      <c r="AE111" s="6" t="e">
        <f>#REF!</f>
        <v>#REF!</v>
      </c>
      <c r="AF111" s="6" t="e">
        <f>#REF!</f>
        <v>#REF!</v>
      </c>
      <c r="AG111" s="6" t="e">
        <f>#REF!</f>
        <v>#REF!</v>
      </c>
      <c r="AH111" s="6" t="e">
        <f>#REF!</f>
        <v>#REF!</v>
      </c>
      <c r="AI111" s="6" t="e">
        <f>#REF!</f>
        <v>#REF!</v>
      </c>
      <c r="AJ111" s="6" t="e">
        <f>#REF!</f>
        <v>#REF!</v>
      </c>
      <c r="AK111" s="6" t="e">
        <f>#REF!</f>
        <v>#REF!</v>
      </c>
      <c r="AL111" s="6" t="e">
        <f>#REF!</f>
        <v>#REF!</v>
      </c>
    </row>
    <row r="112" spans="1:38" x14ac:dyDescent="0.25">
      <c r="A112" s="64" t="s">
        <v>2061</v>
      </c>
      <c r="B112" s="126" t="e">
        <f>VLOOKUP(A112,$A$2:$AL$285,MATCH('Character Sheet'!$BJ$3,$A$1:$AL$1,0),FALSE)</f>
        <v>#REF!</v>
      </c>
      <c r="C112" s="6" t="e">
        <f>#REF!</f>
        <v>#REF!</v>
      </c>
      <c r="D112" s="6" t="e">
        <f>#REF!</f>
        <v>#REF!</v>
      </c>
      <c r="E112" s="6" t="e">
        <f>#REF!</f>
        <v>#REF!</v>
      </c>
      <c r="F112" s="6" t="e">
        <f>#REF!</f>
        <v>#REF!</v>
      </c>
      <c r="G112" s="6" t="e">
        <f>#REF!</f>
        <v>#REF!</v>
      </c>
      <c r="H112" s="6" t="e">
        <f>#REF!</f>
        <v>#REF!</v>
      </c>
      <c r="I112" s="6" t="e">
        <f>#REF!</f>
        <v>#REF!</v>
      </c>
      <c r="J112" s="6" t="e">
        <f>#REF!</f>
        <v>#REF!</v>
      </c>
      <c r="K112" s="6" t="e">
        <f>#REF!</f>
        <v>#REF!</v>
      </c>
      <c r="L112" s="6" t="e">
        <f>#REF!</f>
        <v>#REF!</v>
      </c>
      <c r="M112" s="6" t="e">
        <f>#REF!</f>
        <v>#REF!</v>
      </c>
      <c r="N112" s="6" t="e">
        <f>#REF!</f>
        <v>#REF!</v>
      </c>
      <c r="O112" s="6" t="e">
        <f>#REF!</f>
        <v>#REF!</v>
      </c>
      <c r="P112" s="6" t="e">
        <f>#REF!</f>
        <v>#REF!</v>
      </c>
      <c r="Q112" s="6" t="e">
        <f>#REF!</f>
        <v>#REF!</v>
      </c>
      <c r="R112" s="6" t="e">
        <f>#REF!</f>
        <v>#REF!</v>
      </c>
      <c r="S112" s="6" t="e">
        <f>#REF!</f>
        <v>#REF!</v>
      </c>
      <c r="T112" s="6" t="e">
        <f>#REF!</f>
        <v>#REF!</v>
      </c>
      <c r="U112" s="6" t="e">
        <f>#REF!</f>
        <v>#REF!</v>
      </c>
      <c r="V112" s="6" t="e">
        <f>#REF!</f>
        <v>#REF!</v>
      </c>
      <c r="W112" s="6" t="e">
        <f>#REF!</f>
        <v>#REF!</v>
      </c>
      <c r="X112" s="6" t="e">
        <f>#REF!</f>
        <v>#REF!</v>
      </c>
      <c r="Y112" s="6" t="e">
        <f>#REF!</f>
        <v>#REF!</v>
      </c>
      <c r="Z112" s="6" t="e">
        <f>#REF!</f>
        <v>#REF!</v>
      </c>
      <c r="AA112" s="6" t="e">
        <f>#REF!</f>
        <v>#REF!</v>
      </c>
      <c r="AB112" s="6" t="e">
        <f>#REF!</f>
        <v>#REF!</v>
      </c>
      <c r="AC112" s="6" t="e">
        <f>#REF!</f>
        <v>#REF!</v>
      </c>
      <c r="AD112" s="6" t="e">
        <f>#REF!</f>
        <v>#REF!</v>
      </c>
      <c r="AE112" s="6" t="e">
        <f>#REF!</f>
        <v>#REF!</v>
      </c>
      <c r="AF112" s="6" t="e">
        <f>#REF!</f>
        <v>#REF!</v>
      </c>
      <c r="AG112" s="6" t="e">
        <f>#REF!</f>
        <v>#REF!</v>
      </c>
      <c r="AH112" s="6" t="e">
        <f>#REF!</f>
        <v>#REF!</v>
      </c>
      <c r="AI112" s="6" t="e">
        <f>#REF!</f>
        <v>#REF!</v>
      </c>
      <c r="AJ112" s="6" t="e">
        <f>#REF!</f>
        <v>#REF!</v>
      </c>
      <c r="AK112" s="6" t="e">
        <f>#REF!</f>
        <v>#REF!</v>
      </c>
      <c r="AL112" s="6" t="e">
        <f>#REF!</f>
        <v>#REF!</v>
      </c>
    </row>
    <row r="113" spans="1:38" ht="15.75" thickBot="1" x14ac:dyDescent="0.3">
      <c r="A113" s="64" t="s">
        <v>2062</v>
      </c>
      <c r="B113" s="126" t="e">
        <f>VLOOKUP(A113,$A$2:$AL$285,MATCH('Character Sheet'!$BJ$3,$A$1:$AL$1,0),FALSE)</f>
        <v>#REF!</v>
      </c>
      <c r="C113" s="6" t="e">
        <f>#REF!</f>
        <v>#REF!</v>
      </c>
      <c r="D113" s="6" t="e">
        <f>#REF!</f>
        <v>#REF!</v>
      </c>
      <c r="E113" s="6" t="e">
        <f>#REF!</f>
        <v>#REF!</v>
      </c>
      <c r="F113" s="6" t="e">
        <f>#REF!</f>
        <v>#REF!</v>
      </c>
      <c r="G113" s="6" t="e">
        <f>#REF!</f>
        <v>#REF!</v>
      </c>
      <c r="H113" s="6" t="e">
        <f>#REF!</f>
        <v>#REF!</v>
      </c>
      <c r="I113" s="6" t="e">
        <f>#REF!</f>
        <v>#REF!</v>
      </c>
      <c r="J113" s="6" t="e">
        <f>#REF!</f>
        <v>#REF!</v>
      </c>
      <c r="K113" s="6" t="e">
        <f>#REF!</f>
        <v>#REF!</v>
      </c>
      <c r="L113" s="6" t="e">
        <f>#REF!</f>
        <v>#REF!</v>
      </c>
      <c r="M113" s="6" t="e">
        <f>#REF!</f>
        <v>#REF!</v>
      </c>
      <c r="N113" s="6" t="e">
        <f>#REF!</f>
        <v>#REF!</v>
      </c>
      <c r="O113" s="6" t="e">
        <f>#REF!</f>
        <v>#REF!</v>
      </c>
      <c r="P113" s="6" t="e">
        <f>#REF!</f>
        <v>#REF!</v>
      </c>
      <c r="Q113" s="6" t="e">
        <f>#REF!</f>
        <v>#REF!</v>
      </c>
      <c r="R113" s="6" t="e">
        <f>#REF!</f>
        <v>#REF!</v>
      </c>
      <c r="S113" s="6" t="e">
        <f>#REF!</f>
        <v>#REF!</v>
      </c>
      <c r="T113" s="6" t="e">
        <f>#REF!</f>
        <v>#REF!</v>
      </c>
      <c r="U113" s="6" t="e">
        <f>#REF!</f>
        <v>#REF!</v>
      </c>
      <c r="V113" s="6" t="e">
        <f>#REF!</f>
        <v>#REF!</v>
      </c>
      <c r="W113" s="6" t="e">
        <f>#REF!</f>
        <v>#REF!</v>
      </c>
      <c r="X113" s="6" t="e">
        <f>#REF!</f>
        <v>#REF!</v>
      </c>
      <c r="Y113" s="6" t="e">
        <f>#REF!</f>
        <v>#REF!</v>
      </c>
      <c r="Z113" s="6" t="e">
        <f>#REF!</f>
        <v>#REF!</v>
      </c>
      <c r="AA113" s="6" t="e">
        <f>#REF!</f>
        <v>#REF!</v>
      </c>
      <c r="AB113" s="6" t="e">
        <f>#REF!</f>
        <v>#REF!</v>
      </c>
      <c r="AC113" s="6" t="e">
        <f>#REF!</f>
        <v>#REF!</v>
      </c>
      <c r="AD113" s="6" t="e">
        <f>#REF!</f>
        <v>#REF!</v>
      </c>
      <c r="AE113" s="6" t="e">
        <f>#REF!</f>
        <v>#REF!</v>
      </c>
      <c r="AF113" s="6" t="e">
        <f>#REF!</f>
        <v>#REF!</v>
      </c>
      <c r="AG113" s="6" t="e">
        <f>#REF!</f>
        <v>#REF!</v>
      </c>
      <c r="AH113" s="6" t="e">
        <f>#REF!</f>
        <v>#REF!</v>
      </c>
      <c r="AI113" s="6" t="e">
        <f>#REF!</f>
        <v>#REF!</v>
      </c>
      <c r="AJ113" s="6" t="e">
        <f>#REF!</f>
        <v>#REF!</v>
      </c>
      <c r="AK113" s="6" t="e">
        <f>#REF!</f>
        <v>#REF!</v>
      </c>
      <c r="AL113" s="6" t="e">
        <f>#REF!</f>
        <v>#REF!</v>
      </c>
    </row>
    <row r="114" spans="1:38" ht="16.5" thickTop="1" thickBot="1" x14ac:dyDescent="0.3">
      <c r="A114" s="63" t="s">
        <v>305</v>
      </c>
      <c r="B114" s="126" t="e">
        <f>VLOOKUP(A114,$A$2:$AL$285,MATCH('Character Sheet'!$BJ$3,$A$1:$AL$1,0),FALSE)</f>
        <v>#REF!</v>
      </c>
      <c r="C114" s="6" t="e">
        <f>#REF!</f>
        <v>#REF!</v>
      </c>
      <c r="D114" s="6" t="e">
        <f>#REF!</f>
        <v>#REF!</v>
      </c>
      <c r="E114" s="6" t="e">
        <f>#REF!</f>
        <v>#REF!</v>
      </c>
      <c r="F114" s="6" t="e">
        <f>#REF!</f>
        <v>#REF!</v>
      </c>
      <c r="G114" s="6" t="e">
        <f>#REF!</f>
        <v>#REF!</v>
      </c>
      <c r="H114" s="6" t="e">
        <f>#REF!</f>
        <v>#REF!</v>
      </c>
      <c r="I114" s="6" t="e">
        <f>#REF!</f>
        <v>#REF!</v>
      </c>
      <c r="J114" s="6" t="e">
        <f>#REF!</f>
        <v>#REF!</v>
      </c>
      <c r="K114" s="6" t="e">
        <f>#REF!</f>
        <v>#REF!</v>
      </c>
      <c r="L114" s="6" t="e">
        <f>#REF!</f>
        <v>#REF!</v>
      </c>
      <c r="M114" s="6" t="e">
        <f>#REF!</f>
        <v>#REF!</v>
      </c>
      <c r="N114" s="6" t="e">
        <f>#REF!</f>
        <v>#REF!</v>
      </c>
      <c r="O114" s="6" t="e">
        <f>#REF!</f>
        <v>#REF!</v>
      </c>
      <c r="P114" s="6" t="e">
        <f>#REF!</f>
        <v>#REF!</v>
      </c>
      <c r="Q114" s="6" t="e">
        <f>#REF!</f>
        <v>#REF!</v>
      </c>
      <c r="R114" s="6" t="e">
        <f>#REF!</f>
        <v>#REF!</v>
      </c>
      <c r="S114" s="6" t="e">
        <f>#REF!</f>
        <v>#REF!</v>
      </c>
      <c r="T114" s="6" t="e">
        <f>#REF!</f>
        <v>#REF!</v>
      </c>
      <c r="U114" s="6" t="e">
        <f>#REF!</f>
        <v>#REF!</v>
      </c>
      <c r="V114" s="6" t="e">
        <f>#REF!</f>
        <v>#REF!</v>
      </c>
      <c r="W114" s="6" t="e">
        <f>#REF!</f>
        <v>#REF!</v>
      </c>
      <c r="X114" s="6" t="e">
        <f>#REF!</f>
        <v>#REF!</v>
      </c>
      <c r="Y114" s="6" t="e">
        <f>#REF!</f>
        <v>#REF!</v>
      </c>
      <c r="Z114" s="6" t="e">
        <f>#REF!</f>
        <v>#REF!</v>
      </c>
      <c r="AA114" s="6" t="e">
        <f>#REF!</f>
        <v>#REF!</v>
      </c>
      <c r="AB114" s="6" t="e">
        <f>#REF!</f>
        <v>#REF!</v>
      </c>
      <c r="AC114" s="6" t="e">
        <f>#REF!</f>
        <v>#REF!</v>
      </c>
      <c r="AD114" s="6" t="e">
        <f>#REF!</f>
        <v>#REF!</v>
      </c>
      <c r="AE114" s="6" t="e">
        <f>#REF!</f>
        <v>#REF!</v>
      </c>
      <c r="AF114" s="6" t="e">
        <f>#REF!</f>
        <v>#REF!</v>
      </c>
      <c r="AG114" s="6" t="e">
        <f>#REF!</f>
        <v>#REF!</v>
      </c>
      <c r="AH114" s="6" t="e">
        <f>#REF!</f>
        <v>#REF!</v>
      </c>
      <c r="AI114" s="6" t="e">
        <f>#REF!</f>
        <v>#REF!</v>
      </c>
      <c r="AJ114" s="6" t="e">
        <f>#REF!</f>
        <v>#REF!</v>
      </c>
      <c r="AK114" s="6" t="e">
        <f>#REF!</f>
        <v>#REF!</v>
      </c>
      <c r="AL114" s="6" t="e">
        <f>#REF!</f>
        <v>#REF!</v>
      </c>
    </row>
    <row r="115" spans="1:38" ht="15.75" thickTop="1" x14ac:dyDescent="0.25">
      <c r="A115" s="65" t="s">
        <v>310</v>
      </c>
      <c r="B115" s="126" t="e">
        <f>VLOOKUP(A115,$A$2:$AL$285,MATCH('Character Sheet'!$BJ$3,$A$1:$AL$1,0),FALSE)</f>
        <v>#REF!</v>
      </c>
      <c r="C115" s="6" t="e">
        <f>#REF!</f>
        <v>#REF!</v>
      </c>
      <c r="D115" s="6" t="e">
        <f>#REF!</f>
        <v>#REF!</v>
      </c>
      <c r="E115" s="6" t="e">
        <f>#REF!</f>
        <v>#REF!</v>
      </c>
      <c r="F115" s="6" t="e">
        <f>#REF!</f>
        <v>#REF!</v>
      </c>
      <c r="G115" s="6" t="e">
        <f>#REF!</f>
        <v>#REF!</v>
      </c>
      <c r="H115" s="6" t="e">
        <f>#REF!</f>
        <v>#REF!</v>
      </c>
      <c r="I115" s="6" t="e">
        <f>#REF!</f>
        <v>#REF!</v>
      </c>
      <c r="J115" s="6" t="e">
        <f>#REF!</f>
        <v>#REF!</v>
      </c>
      <c r="K115" s="6" t="e">
        <f>#REF!</f>
        <v>#REF!</v>
      </c>
      <c r="L115" s="6" t="e">
        <f>#REF!</f>
        <v>#REF!</v>
      </c>
      <c r="M115" s="6" t="e">
        <f>#REF!</f>
        <v>#REF!</v>
      </c>
      <c r="N115" s="6" t="e">
        <f>#REF!</f>
        <v>#REF!</v>
      </c>
      <c r="O115" s="6" t="e">
        <f>#REF!</f>
        <v>#REF!</v>
      </c>
      <c r="P115" s="6" t="e">
        <f>#REF!</f>
        <v>#REF!</v>
      </c>
      <c r="Q115" s="6" t="e">
        <f>#REF!</f>
        <v>#REF!</v>
      </c>
      <c r="R115" s="6" t="e">
        <f>#REF!</f>
        <v>#REF!</v>
      </c>
      <c r="S115" s="6" t="e">
        <f>#REF!</f>
        <v>#REF!</v>
      </c>
      <c r="T115" s="6" t="e">
        <f>#REF!</f>
        <v>#REF!</v>
      </c>
      <c r="U115" s="6" t="e">
        <f>#REF!</f>
        <v>#REF!</v>
      </c>
      <c r="V115" s="6" t="e">
        <f>#REF!</f>
        <v>#REF!</v>
      </c>
      <c r="W115" s="6" t="e">
        <f>#REF!</f>
        <v>#REF!</v>
      </c>
      <c r="X115" s="6" t="e">
        <f>#REF!</f>
        <v>#REF!</v>
      </c>
      <c r="Y115" s="6" t="e">
        <f>#REF!</f>
        <v>#REF!</v>
      </c>
      <c r="Z115" s="6" t="e">
        <f>#REF!</f>
        <v>#REF!</v>
      </c>
      <c r="AA115" s="6" t="e">
        <f>#REF!</f>
        <v>#REF!</v>
      </c>
      <c r="AB115" s="6" t="e">
        <f>#REF!</f>
        <v>#REF!</v>
      </c>
      <c r="AC115" s="6" t="e">
        <f>#REF!</f>
        <v>#REF!</v>
      </c>
      <c r="AD115" s="6" t="e">
        <f>#REF!</f>
        <v>#REF!</v>
      </c>
      <c r="AE115" s="6" t="e">
        <f>#REF!</f>
        <v>#REF!</v>
      </c>
      <c r="AF115" s="6" t="e">
        <f>#REF!</f>
        <v>#REF!</v>
      </c>
      <c r="AG115" s="6" t="e">
        <f>#REF!</f>
        <v>#REF!</v>
      </c>
      <c r="AH115" s="6" t="e">
        <f>#REF!</f>
        <v>#REF!</v>
      </c>
      <c r="AI115" s="6" t="e">
        <f>#REF!</f>
        <v>#REF!</v>
      </c>
      <c r="AJ115" s="6" t="e">
        <f>#REF!</f>
        <v>#REF!</v>
      </c>
      <c r="AK115" s="6" t="e">
        <f>#REF!</f>
        <v>#REF!</v>
      </c>
      <c r="AL115" s="6" t="e">
        <f>#REF!</f>
        <v>#REF!</v>
      </c>
    </row>
    <row r="116" spans="1:38" x14ac:dyDescent="0.25">
      <c r="A116" s="65" t="s">
        <v>307</v>
      </c>
      <c r="B116" s="126" t="e">
        <f>VLOOKUP(A116,$A$2:$AL$285,MATCH('Character Sheet'!$BJ$3,$A$1:$AL$1,0),FALSE)</f>
        <v>#REF!</v>
      </c>
      <c r="C116" s="6" t="e">
        <f>#REF!</f>
        <v>#REF!</v>
      </c>
      <c r="D116" s="6" t="e">
        <f>#REF!</f>
        <v>#REF!</v>
      </c>
      <c r="E116" s="6" t="e">
        <f>#REF!</f>
        <v>#REF!</v>
      </c>
      <c r="F116" s="6" t="e">
        <f>#REF!</f>
        <v>#REF!</v>
      </c>
      <c r="G116" s="6" t="e">
        <f>#REF!</f>
        <v>#REF!</v>
      </c>
      <c r="H116" s="6" t="e">
        <f>#REF!</f>
        <v>#REF!</v>
      </c>
      <c r="I116" s="6" t="e">
        <f>#REF!</f>
        <v>#REF!</v>
      </c>
      <c r="J116" s="6" t="e">
        <f>#REF!</f>
        <v>#REF!</v>
      </c>
      <c r="K116" s="6" t="e">
        <f>#REF!</f>
        <v>#REF!</v>
      </c>
      <c r="L116" s="6" t="e">
        <f>#REF!</f>
        <v>#REF!</v>
      </c>
      <c r="M116" s="6" t="e">
        <f>#REF!</f>
        <v>#REF!</v>
      </c>
      <c r="N116" s="6" t="e">
        <f>#REF!</f>
        <v>#REF!</v>
      </c>
      <c r="O116" s="6" t="e">
        <f>#REF!</f>
        <v>#REF!</v>
      </c>
      <c r="P116" s="6" t="e">
        <f>#REF!</f>
        <v>#REF!</v>
      </c>
      <c r="Q116" s="6" t="e">
        <f>#REF!</f>
        <v>#REF!</v>
      </c>
      <c r="R116" s="6" t="e">
        <f>#REF!</f>
        <v>#REF!</v>
      </c>
      <c r="S116" s="6" t="e">
        <f>#REF!</f>
        <v>#REF!</v>
      </c>
      <c r="T116" s="6" t="e">
        <f>#REF!</f>
        <v>#REF!</v>
      </c>
      <c r="U116" s="6" t="e">
        <f>#REF!</f>
        <v>#REF!</v>
      </c>
      <c r="V116" s="6" t="e">
        <f>#REF!</f>
        <v>#REF!</v>
      </c>
      <c r="W116" s="6" t="e">
        <f>#REF!</f>
        <v>#REF!</v>
      </c>
      <c r="X116" s="6" t="e">
        <f>#REF!</f>
        <v>#REF!</v>
      </c>
      <c r="Y116" s="6" t="e">
        <f>#REF!</f>
        <v>#REF!</v>
      </c>
      <c r="Z116" s="6" t="e">
        <f>#REF!</f>
        <v>#REF!</v>
      </c>
      <c r="AA116" s="6" t="e">
        <f>#REF!</f>
        <v>#REF!</v>
      </c>
      <c r="AB116" s="6" t="e">
        <f>#REF!</f>
        <v>#REF!</v>
      </c>
      <c r="AC116" s="6" t="e">
        <f>#REF!</f>
        <v>#REF!</v>
      </c>
      <c r="AD116" s="6" t="e">
        <f>#REF!</f>
        <v>#REF!</v>
      </c>
      <c r="AE116" s="6" t="e">
        <f>#REF!</f>
        <v>#REF!</v>
      </c>
      <c r="AF116" s="6" t="e">
        <f>#REF!</f>
        <v>#REF!</v>
      </c>
      <c r="AG116" s="6" t="e">
        <f>#REF!</f>
        <v>#REF!</v>
      </c>
      <c r="AH116" s="6" t="e">
        <f>#REF!</f>
        <v>#REF!</v>
      </c>
      <c r="AI116" s="6" t="e">
        <f>#REF!</f>
        <v>#REF!</v>
      </c>
      <c r="AJ116" s="6" t="e">
        <f>#REF!</f>
        <v>#REF!</v>
      </c>
      <c r="AK116" s="6" t="e">
        <f>#REF!</f>
        <v>#REF!</v>
      </c>
      <c r="AL116" s="6" t="e">
        <f>#REF!</f>
        <v>#REF!</v>
      </c>
    </row>
    <row r="117" spans="1:38" x14ac:dyDescent="0.25">
      <c r="A117" s="65" t="s">
        <v>308</v>
      </c>
      <c r="B117" s="126" t="e">
        <f>VLOOKUP(A117,$A$2:$AL$285,MATCH('Character Sheet'!$BJ$3,$A$1:$AL$1,0),FALSE)</f>
        <v>#REF!</v>
      </c>
      <c r="C117" s="6" t="e">
        <f>#REF!</f>
        <v>#REF!</v>
      </c>
      <c r="D117" s="6" t="e">
        <f>#REF!</f>
        <v>#REF!</v>
      </c>
      <c r="E117" s="6" t="e">
        <f>#REF!</f>
        <v>#REF!</v>
      </c>
      <c r="F117" s="6" t="e">
        <f>#REF!</f>
        <v>#REF!</v>
      </c>
      <c r="G117" s="6" t="e">
        <f>#REF!</f>
        <v>#REF!</v>
      </c>
      <c r="H117" s="6" t="e">
        <f>#REF!</f>
        <v>#REF!</v>
      </c>
      <c r="I117" s="6" t="e">
        <f>#REF!</f>
        <v>#REF!</v>
      </c>
      <c r="J117" s="6" t="e">
        <f>#REF!</f>
        <v>#REF!</v>
      </c>
      <c r="K117" s="6" t="e">
        <f>#REF!</f>
        <v>#REF!</v>
      </c>
      <c r="L117" s="6" t="e">
        <f>#REF!</f>
        <v>#REF!</v>
      </c>
      <c r="M117" s="6" t="e">
        <f>#REF!</f>
        <v>#REF!</v>
      </c>
      <c r="N117" s="6" t="e">
        <f>#REF!</f>
        <v>#REF!</v>
      </c>
      <c r="O117" s="6" t="e">
        <f>#REF!</f>
        <v>#REF!</v>
      </c>
      <c r="P117" s="6" t="e">
        <f>#REF!</f>
        <v>#REF!</v>
      </c>
      <c r="Q117" s="6" t="e">
        <f>#REF!</f>
        <v>#REF!</v>
      </c>
      <c r="R117" s="6" t="e">
        <f>#REF!</f>
        <v>#REF!</v>
      </c>
      <c r="S117" s="6" t="e">
        <f>#REF!</f>
        <v>#REF!</v>
      </c>
      <c r="T117" s="6" t="e">
        <f>#REF!</f>
        <v>#REF!</v>
      </c>
      <c r="U117" s="6" t="e">
        <f>#REF!</f>
        <v>#REF!</v>
      </c>
      <c r="V117" s="6" t="e">
        <f>#REF!</f>
        <v>#REF!</v>
      </c>
      <c r="W117" s="6" t="e">
        <f>#REF!</f>
        <v>#REF!</v>
      </c>
      <c r="X117" s="6" t="e">
        <f>#REF!</f>
        <v>#REF!</v>
      </c>
      <c r="Y117" s="6" t="e">
        <f>#REF!</f>
        <v>#REF!</v>
      </c>
      <c r="Z117" s="6" t="e">
        <f>#REF!</f>
        <v>#REF!</v>
      </c>
      <c r="AA117" s="6" t="e">
        <f>#REF!</f>
        <v>#REF!</v>
      </c>
      <c r="AB117" s="6" t="e">
        <f>#REF!</f>
        <v>#REF!</v>
      </c>
      <c r="AC117" s="6" t="e">
        <f>#REF!</f>
        <v>#REF!</v>
      </c>
      <c r="AD117" s="6" t="e">
        <f>#REF!</f>
        <v>#REF!</v>
      </c>
      <c r="AE117" s="6" t="e">
        <f>#REF!</f>
        <v>#REF!</v>
      </c>
      <c r="AF117" s="6" t="e">
        <f>#REF!</f>
        <v>#REF!</v>
      </c>
      <c r="AG117" s="6" t="e">
        <f>#REF!</f>
        <v>#REF!</v>
      </c>
      <c r="AH117" s="6" t="e">
        <f>#REF!</f>
        <v>#REF!</v>
      </c>
      <c r="AI117" s="6" t="e">
        <f>#REF!</f>
        <v>#REF!</v>
      </c>
      <c r="AJ117" s="6" t="e">
        <f>#REF!</f>
        <v>#REF!</v>
      </c>
      <c r="AK117" s="6" t="e">
        <f>#REF!</f>
        <v>#REF!</v>
      </c>
      <c r="AL117" s="6" t="e">
        <f>#REF!</f>
        <v>#REF!</v>
      </c>
    </row>
    <row r="118" spans="1:38" ht="15.75" thickBot="1" x14ac:dyDescent="0.3">
      <c r="A118" s="65" t="s">
        <v>309</v>
      </c>
      <c r="B118" s="126" t="e">
        <f>VLOOKUP(A118,$A$2:$AL$285,MATCH('Character Sheet'!$BJ$3,$A$1:$AL$1,0),FALSE)</f>
        <v>#REF!</v>
      </c>
      <c r="C118" s="6" t="e">
        <f>#REF!</f>
        <v>#REF!</v>
      </c>
      <c r="D118" s="6" t="e">
        <f>#REF!</f>
        <v>#REF!</v>
      </c>
      <c r="E118" s="6" t="e">
        <f>#REF!</f>
        <v>#REF!</v>
      </c>
      <c r="F118" s="6" t="e">
        <f>#REF!</f>
        <v>#REF!</v>
      </c>
      <c r="G118" s="6" t="e">
        <f>#REF!</f>
        <v>#REF!</v>
      </c>
      <c r="H118" s="6" t="e">
        <f>#REF!</f>
        <v>#REF!</v>
      </c>
      <c r="I118" s="6" t="e">
        <f>#REF!</f>
        <v>#REF!</v>
      </c>
      <c r="J118" s="6" t="e">
        <f>#REF!</f>
        <v>#REF!</v>
      </c>
      <c r="K118" s="6" t="e">
        <f>#REF!</f>
        <v>#REF!</v>
      </c>
      <c r="L118" s="6" t="e">
        <f>#REF!</f>
        <v>#REF!</v>
      </c>
      <c r="M118" s="6" t="e">
        <f>#REF!</f>
        <v>#REF!</v>
      </c>
      <c r="N118" s="6" t="e">
        <f>#REF!</f>
        <v>#REF!</v>
      </c>
      <c r="O118" s="6" t="e">
        <f>#REF!</f>
        <v>#REF!</v>
      </c>
      <c r="P118" s="6" t="e">
        <f>#REF!</f>
        <v>#REF!</v>
      </c>
      <c r="Q118" s="6" t="e">
        <f>#REF!</f>
        <v>#REF!</v>
      </c>
      <c r="R118" s="6" t="e">
        <f>#REF!</f>
        <v>#REF!</v>
      </c>
      <c r="S118" s="6" t="e">
        <f>#REF!</f>
        <v>#REF!</v>
      </c>
      <c r="T118" s="6" t="e">
        <f>#REF!</f>
        <v>#REF!</v>
      </c>
      <c r="U118" s="6" t="e">
        <f>#REF!</f>
        <v>#REF!</v>
      </c>
      <c r="V118" s="6" t="e">
        <f>#REF!</f>
        <v>#REF!</v>
      </c>
      <c r="W118" s="6" t="e">
        <f>#REF!</f>
        <v>#REF!</v>
      </c>
      <c r="X118" s="6" t="e">
        <f>#REF!</f>
        <v>#REF!</v>
      </c>
      <c r="Y118" s="6" t="e">
        <f>#REF!</f>
        <v>#REF!</v>
      </c>
      <c r="Z118" s="6" t="e">
        <f>#REF!</f>
        <v>#REF!</v>
      </c>
      <c r="AA118" s="6" t="e">
        <f>#REF!</f>
        <v>#REF!</v>
      </c>
      <c r="AB118" s="6" t="e">
        <f>#REF!</f>
        <v>#REF!</v>
      </c>
      <c r="AC118" s="6" t="e">
        <f>#REF!</f>
        <v>#REF!</v>
      </c>
      <c r="AD118" s="6" t="e">
        <f>#REF!</f>
        <v>#REF!</v>
      </c>
      <c r="AE118" s="6" t="e">
        <f>#REF!</f>
        <v>#REF!</v>
      </c>
      <c r="AF118" s="6" t="e">
        <f>#REF!</f>
        <v>#REF!</v>
      </c>
      <c r="AG118" s="6" t="e">
        <f>#REF!</f>
        <v>#REF!</v>
      </c>
      <c r="AH118" s="6" t="e">
        <f>#REF!</f>
        <v>#REF!</v>
      </c>
      <c r="AI118" s="6" t="e">
        <f>#REF!</f>
        <v>#REF!</v>
      </c>
      <c r="AJ118" s="6" t="e">
        <f>#REF!</f>
        <v>#REF!</v>
      </c>
      <c r="AK118" s="6" t="e">
        <f>#REF!</f>
        <v>#REF!</v>
      </c>
      <c r="AL118" s="6" t="e">
        <f>#REF!</f>
        <v>#REF!</v>
      </c>
    </row>
    <row r="119" spans="1:38" ht="16.5" thickTop="1" thickBot="1" x14ac:dyDescent="0.3">
      <c r="A119" s="63" t="s">
        <v>2063</v>
      </c>
      <c r="B119" s="126" t="e">
        <f>VLOOKUP(A119,$A$2:$AL$285,MATCH('Character Sheet'!$BJ$3,$A$1:$AL$1,0),FALSE)</f>
        <v>#REF!</v>
      </c>
      <c r="C119" s="6" t="e">
        <f>#REF!</f>
        <v>#REF!</v>
      </c>
      <c r="D119" s="6" t="e">
        <f>#REF!</f>
        <v>#REF!</v>
      </c>
      <c r="E119" s="6" t="e">
        <f>#REF!</f>
        <v>#REF!</v>
      </c>
      <c r="F119" s="6" t="e">
        <f>#REF!</f>
        <v>#REF!</v>
      </c>
      <c r="G119" s="6" t="e">
        <f>#REF!</f>
        <v>#REF!</v>
      </c>
      <c r="H119" s="6" t="e">
        <f>#REF!</f>
        <v>#REF!</v>
      </c>
      <c r="I119" s="6" t="e">
        <f>#REF!</f>
        <v>#REF!</v>
      </c>
      <c r="J119" s="6" t="e">
        <f>#REF!</f>
        <v>#REF!</v>
      </c>
      <c r="K119" s="6" t="e">
        <f>#REF!</f>
        <v>#REF!</v>
      </c>
      <c r="L119" s="6" t="e">
        <f>#REF!</f>
        <v>#REF!</v>
      </c>
      <c r="M119" s="6" t="e">
        <f>#REF!</f>
        <v>#REF!</v>
      </c>
      <c r="N119" s="6" t="e">
        <f>#REF!</f>
        <v>#REF!</v>
      </c>
      <c r="O119" s="6" t="e">
        <f>#REF!</f>
        <v>#REF!</v>
      </c>
      <c r="P119" s="6" t="e">
        <f>#REF!</f>
        <v>#REF!</v>
      </c>
      <c r="Q119" s="6" t="e">
        <f>#REF!</f>
        <v>#REF!</v>
      </c>
      <c r="R119" s="6" t="e">
        <f>#REF!</f>
        <v>#REF!</v>
      </c>
      <c r="S119" s="6" t="e">
        <f>#REF!</f>
        <v>#REF!</v>
      </c>
      <c r="T119" s="6" t="e">
        <f>#REF!</f>
        <v>#REF!</v>
      </c>
      <c r="U119" s="6" t="e">
        <f>#REF!</f>
        <v>#REF!</v>
      </c>
      <c r="V119" s="6" t="e">
        <f>#REF!</f>
        <v>#REF!</v>
      </c>
      <c r="W119" s="6" t="e">
        <f>#REF!</f>
        <v>#REF!</v>
      </c>
      <c r="X119" s="6" t="e">
        <f>#REF!</f>
        <v>#REF!</v>
      </c>
      <c r="Y119" s="6" t="e">
        <f>#REF!</f>
        <v>#REF!</v>
      </c>
      <c r="Z119" s="6" t="e">
        <f>#REF!</f>
        <v>#REF!</v>
      </c>
      <c r="AA119" s="6" t="e">
        <f>#REF!</f>
        <v>#REF!</v>
      </c>
      <c r="AB119" s="6" t="e">
        <f>#REF!</f>
        <v>#REF!</v>
      </c>
      <c r="AC119" s="6" t="e">
        <f>#REF!</f>
        <v>#REF!</v>
      </c>
      <c r="AD119" s="6" t="e">
        <f>#REF!</f>
        <v>#REF!</v>
      </c>
      <c r="AE119" s="6" t="e">
        <f>#REF!</f>
        <v>#REF!</v>
      </c>
      <c r="AF119" s="6" t="e">
        <f>#REF!</f>
        <v>#REF!</v>
      </c>
      <c r="AG119" s="6" t="e">
        <f>#REF!</f>
        <v>#REF!</v>
      </c>
      <c r="AH119" s="6" t="e">
        <f>#REF!</f>
        <v>#REF!</v>
      </c>
      <c r="AI119" s="6" t="e">
        <f>#REF!</f>
        <v>#REF!</v>
      </c>
      <c r="AJ119" s="6" t="e">
        <f>#REF!</f>
        <v>#REF!</v>
      </c>
      <c r="AK119" s="6" t="e">
        <f>#REF!</f>
        <v>#REF!</v>
      </c>
      <c r="AL119" s="6" t="e">
        <f>#REF!</f>
        <v>#REF!</v>
      </c>
    </row>
    <row r="120" spans="1:38" ht="15.75" thickTop="1" x14ac:dyDescent="0.25">
      <c r="A120" s="64" t="s">
        <v>313</v>
      </c>
      <c r="B120" s="126" t="e">
        <f>VLOOKUP(A120,$A$2:$AL$285,MATCH('Character Sheet'!$BJ$3,$A$1:$AL$1,0),FALSE)</f>
        <v>#REF!</v>
      </c>
      <c r="C120" s="6" t="e">
        <f>#REF!</f>
        <v>#REF!</v>
      </c>
      <c r="D120" s="6" t="e">
        <f>#REF!</f>
        <v>#REF!</v>
      </c>
      <c r="E120" s="6" t="e">
        <f>#REF!</f>
        <v>#REF!</v>
      </c>
      <c r="F120" s="6" t="e">
        <f>#REF!</f>
        <v>#REF!</v>
      </c>
      <c r="G120" s="6" t="e">
        <f>#REF!</f>
        <v>#REF!</v>
      </c>
      <c r="H120" s="6" t="e">
        <f>#REF!</f>
        <v>#REF!</v>
      </c>
      <c r="I120" s="6" t="e">
        <f>#REF!</f>
        <v>#REF!</v>
      </c>
      <c r="J120" s="6" t="e">
        <f>#REF!</f>
        <v>#REF!</v>
      </c>
      <c r="K120" s="6" t="e">
        <f>#REF!</f>
        <v>#REF!</v>
      </c>
      <c r="L120" s="6" t="e">
        <f>#REF!</f>
        <v>#REF!</v>
      </c>
      <c r="M120" s="6" t="e">
        <f>#REF!</f>
        <v>#REF!</v>
      </c>
      <c r="N120" s="6" t="e">
        <f>#REF!</f>
        <v>#REF!</v>
      </c>
      <c r="O120" s="6" t="e">
        <f>#REF!</f>
        <v>#REF!</v>
      </c>
      <c r="P120" s="6" t="e">
        <f>#REF!</f>
        <v>#REF!</v>
      </c>
      <c r="Q120" s="6" t="e">
        <f>#REF!</f>
        <v>#REF!</v>
      </c>
      <c r="R120" s="6" t="e">
        <f>#REF!</f>
        <v>#REF!</v>
      </c>
      <c r="S120" s="6" t="e">
        <f>#REF!</f>
        <v>#REF!</v>
      </c>
      <c r="T120" s="6" t="e">
        <f>#REF!</f>
        <v>#REF!</v>
      </c>
      <c r="U120" s="6" t="e">
        <f>#REF!</f>
        <v>#REF!</v>
      </c>
      <c r="V120" s="6" t="e">
        <f>#REF!</f>
        <v>#REF!</v>
      </c>
      <c r="W120" s="6" t="e">
        <f>#REF!</f>
        <v>#REF!</v>
      </c>
      <c r="X120" s="6" t="e">
        <f>#REF!</f>
        <v>#REF!</v>
      </c>
      <c r="Y120" s="6" t="e">
        <f>#REF!</f>
        <v>#REF!</v>
      </c>
      <c r="Z120" s="6" t="e">
        <f>#REF!</f>
        <v>#REF!</v>
      </c>
      <c r="AA120" s="6" t="e">
        <f>#REF!</f>
        <v>#REF!</v>
      </c>
      <c r="AB120" s="6" t="e">
        <f>#REF!</f>
        <v>#REF!</v>
      </c>
      <c r="AC120" s="6" t="e">
        <f>#REF!</f>
        <v>#REF!</v>
      </c>
      <c r="AD120" s="6" t="e">
        <f>#REF!</f>
        <v>#REF!</v>
      </c>
      <c r="AE120" s="6" t="e">
        <f>#REF!</f>
        <v>#REF!</v>
      </c>
      <c r="AF120" s="6" t="e">
        <f>#REF!</f>
        <v>#REF!</v>
      </c>
      <c r="AG120" s="6" t="e">
        <f>#REF!</f>
        <v>#REF!</v>
      </c>
      <c r="AH120" s="6" t="e">
        <f>#REF!</f>
        <v>#REF!</v>
      </c>
      <c r="AI120" s="6" t="e">
        <f>#REF!</f>
        <v>#REF!</v>
      </c>
      <c r="AJ120" s="6" t="e">
        <f>#REF!</f>
        <v>#REF!</v>
      </c>
      <c r="AK120" s="6" t="e">
        <f>#REF!</f>
        <v>#REF!</v>
      </c>
      <c r="AL120" s="6" t="e">
        <f>#REF!</f>
        <v>#REF!</v>
      </c>
    </row>
    <row r="121" spans="1:38" x14ac:dyDescent="0.25">
      <c r="A121" s="64" t="s">
        <v>314</v>
      </c>
      <c r="B121" s="126" t="e">
        <f>VLOOKUP(A121,$A$2:$AL$285,MATCH('Character Sheet'!$BJ$3,$A$1:$AL$1,0),FALSE)</f>
        <v>#REF!</v>
      </c>
      <c r="C121" s="6" t="e">
        <f>#REF!</f>
        <v>#REF!</v>
      </c>
      <c r="D121" s="6" t="e">
        <f>#REF!</f>
        <v>#REF!</v>
      </c>
      <c r="E121" s="6" t="e">
        <f>#REF!</f>
        <v>#REF!</v>
      </c>
      <c r="F121" s="6" t="e">
        <f>#REF!</f>
        <v>#REF!</v>
      </c>
      <c r="G121" s="6" t="e">
        <f>#REF!</f>
        <v>#REF!</v>
      </c>
      <c r="H121" s="6" t="e">
        <f>#REF!</f>
        <v>#REF!</v>
      </c>
      <c r="I121" s="6" t="e">
        <f>#REF!</f>
        <v>#REF!</v>
      </c>
      <c r="J121" s="6" t="e">
        <f>#REF!</f>
        <v>#REF!</v>
      </c>
      <c r="K121" s="6" t="e">
        <f>#REF!</f>
        <v>#REF!</v>
      </c>
      <c r="L121" s="6" t="e">
        <f>#REF!</f>
        <v>#REF!</v>
      </c>
      <c r="M121" s="6" t="e">
        <f>#REF!</f>
        <v>#REF!</v>
      </c>
      <c r="N121" s="6" t="e">
        <f>#REF!</f>
        <v>#REF!</v>
      </c>
      <c r="O121" s="6" t="e">
        <f>#REF!</f>
        <v>#REF!</v>
      </c>
      <c r="P121" s="6" t="e">
        <f>#REF!</f>
        <v>#REF!</v>
      </c>
      <c r="Q121" s="6" t="e">
        <f>#REF!</f>
        <v>#REF!</v>
      </c>
      <c r="R121" s="6" t="e">
        <f>#REF!</f>
        <v>#REF!</v>
      </c>
      <c r="S121" s="6" t="e">
        <f>#REF!</f>
        <v>#REF!</v>
      </c>
      <c r="T121" s="6" t="e">
        <f>#REF!</f>
        <v>#REF!</v>
      </c>
      <c r="U121" s="6" t="e">
        <f>#REF!</f>
        <v>#REF!</v>
      </c>
      <c r="V121" s="6" t="e">
        <f>#REF!</f>
        <v>#REF!</v>
      </c>
      <c r="W121" s="6" t="e">
        <f>#REF!</f>
        <v>#REF!</v>
      </c>
      <c r="X121" s="6" t="e">
        <f>#REF!</f>
        <v>#REF!</v>
      </c>
      <c r="Y121" s="6" t="e">
        <f>#REF!</f>
        <v>#REF!</v>
      </c>
      <c r="Z121" s="6" t="e">
        <f>#REF!</f>
        <v>#REF!</v>
      </c>
      <c r="AA121" s="6" t="e">
        <f>#REF!</f>
        <v>#REF!</v>
      </c>
      <c r="AB121" s="6" t="e">
        <f>#REF!</f>
        <v>#REF!</v>
      </c>
      <c r="AC121" s="6" t="e">
        <f>#REF!</f>
        <v>#REF!</v>
      </c>
      <c r="AD121" s="6" t="e">
        <f>#REF!</f>
        <v>#REF!</v>
      </c>
      <c r="AE121" s="6" t="e">
        <f>#REF!</f>
        <v>#REF!</v>
      </c>
      <c r="AF121" s="6" t="e">
        <f>#REF!</f>
        <v>#REF!</v>
      </c>
      <c r="AG121" s="6" t="e">
        <f>#REF!</f>
        <v>#REF!</v>
      </c>
      <c r="AH121" s="6" t="e">
        <f>#REF!</f>
        <v>#REF!</v>
      </c>
      <c r="AI121" s="6" t="e">
        <f>#REF!</f>
        <v>#REF!</v>
      </c>
      <c r="AJ121" s="6" t="e">
        <f>#REF!</f>
        <v>#REF!</v>
      </c>
      <c r="AK121" s="6" t="e">
        <f>#REF!</f>
        <v>#REF!</v>
      </c>
      <c r="AL121" s="6" t="e">
        <f>#REF!</f>
        <v>#REF!</v>
      </c>
    </row>
    <row r="122" spans="1:38" ht="15.75" thickBot="1" x14ac:dyDescent="0.3">
      <c r="A122" s="64" t="s">
        <v>315</v>
      </c>
      <c r="B122" s="126" t="e">
        <f>VLOOKUP(A122,$A$2:$AL$285,MATCH('Character Sheet'!$BJ$3,$A$1:$AL$1,0),FALSE)</f>
        <v>#REF!</v>
      </c>
      <c r="C122" s="6" t="e">
        <f>#REF!</f>
        <v>#REF!</v>
      </c>
      <c r="D122" s="6" t="e">
        <f>#REF!</f>
        <v>#REF!</v>
      </c>
      <c r="E122" s="6" t="e">
        <f>#REF!</f>
        <v>#REF!</v>
      </c>
      <c r="F122" s="6" t="e">
        <f>#REF!</f>
        <v>#REF!</v>
      </c>
      <c r="G122" s="6" t="e">
        <f>#REF!</f>
        <v>#REF!</v>
      </c>
      <c r="H122" s="6" t="e">
        <f>#REF!</f>
        <v>#REF!</v>
      </c>
      <c r="I122" s="6" t="e">
        <f>#REF!</f>
        <v>#REF!</v>
      </c>
      <c r="J122" s="6" t="e">
        <f>#REF!</f>
        <v>#REF!</v>
      </c>
      <c r="K122" s="6" t="e">
        <f>#REF!</f>
        <v>#REF!</v>
      </c>
      <c r="L122" s="6" t="e">
        <f>#REF!</f>
        <v>#REF!</v>
      </c>
      <c r="M122" s="6" t="e">
        <f>#REF!</f>
        <v>#REF!</v>
      </c>
      <c r="N122" s="6" t="e">
        <f>#REF!</f>
        <v>#REF!</v>
      </c>
      <c r="O122" s="6" t="e">
        <f>#REF!</f>
        <v>#REF!</v>
      </c>
      <c r="P122" s="6" t="e">
        <f>#REF!</f>
        <v>#REF!</v>
      </c>
      <c r="Q122" s="6" t="e">
        <f>#REF!</f>
        <v>#REF!</v>
      </c>
      <c r="R122" s="6" t="e">
        <f>#REF!</f>
        <v>#REF!</v>
      </c>
      <c r="S122" s="6" t="e">
        <f>#REF!</f>
        <v>#REF!</v>
      </c>
      <c r="T122" s="6" t="e">
        <f>#REF!</f>
        <v>#REF!</v>
      </c>
      <c r="U122" s="6" t="e">
        <f>#REF!</f>
        <v>#REF!</v>
      </c>
      <c r="V122" s="6" t="e">
        <f>#REF!</f>
        <v>#REF!</v>
      </c>
      <c r="W122" s="6" t="e">
        <f>#REF!</f>
        <v>#REF!</v>
      </c>
      <c r="X122" s="6" t="e">
        <f>#REF!</f>
        <v>#REF!</v>
      </c>
      <c r="Y122" s="6" t="e">
        <f>#REF!</f>
        <v>#REF!</v>
      </c>
      <c r="Z122" s="6" t="e">
        <f>#REF!</f>
        <v>#REF!</v>
      </c>
      <c r="AA122" s="6" t="e">
        <f>#REF!</f>
        <v>#REF!</v>
      </c>
      <c r="AB122" s="6" t="e">
        <f>#REF!</f>
        <v>#REF!</v>
      </c>
      <c r="AC122" s="6" t="e">
        <f>#REF!</f>
        <v>#REF!</v>
      </c>
      <c r="AD122" s="6" t="e">
        <f>#REF!</f>
        <v>#REF!</v>
      </c>
      <c r="AE122" s="6" t="e">
        <f>#REF!</f>
        <v>#REF!</v>
      </c>
      <c r="AF122" s="6" t="e">
        <f>#REF!</f>
        <v>#REF!</v>
      </c>
      <c r="AG122" s="6" t="e">
        <f>#REF!</f>
        <v>#REF!</v>
      </c>
      <c r="AH122" s="6" t="e">
        <f>#REF!</f>
        <v>#REF!</v>
      </c>
      <c r="AI122" s="6" t="e">
        <f>#REF!</f>
        <v>#REF!</v>
      </c>
      <c r="AJ122" s="6" t="e">
        <f>#REF!</f>
        <v>#REF!</v>
      </c>
      <c r="AK122" s="6" t="e">
        <f>#REF!</f>
        <v>#REF!</v>
      </c>
      <c r="AL122" s="6" t="e">
        <f>#REF!</f>
        <v>#REF!</v>
      </c>
    </row>
    <row r="123" spans="1:38" ht="16.5" thickTop="1" thickBot="1" x14ac:dyDescent="0.3">
      <c r="A123" s="63" t="s">
        <v>316</v>
      </c>
      <c r="B123" s="126" t="e">
        <f>VLOOKUP(A123,$A$2:$AL$285,MATCH('Character Sheet'!$BJ$3,$A$1:$AL$1,0),FALSE)</f>
        <v>#REF!</v>
      </c>
      <c r="C123" s="6" t="e">
        <f>#REF!</f>
        <v>#REF!</v>
      </c>
      <c r="D123" s="6" t="e">
        <f>#REF!</f>
        <v>#REF!</v>
      </c>
      <c r="E123" s="6" t="e">
        <f>#REF!</f>
        <v>#REF!</v>
      </c>
      <c r="F123" s="6" t="e">
        <f>#REF!</f>
        <v>#REF!</v>
      </c>
      <c r="G123" s="6" t="e">
        <f>#REF!</f>
        <v>#REF!</v>
      </c>
      <c r="H123" s="6" t="e">
        <f>#REF!</f>
        <v>#REF!</v>
      </c>
      <c r="I123" s="6" t="e">
        <f>#REF!</f>
        <v>#REF!</v>
      </c>
      <c r="J123" s="6" t="e">
        <f>#REF!</f>
        <v>#REF!</v>
      </c>
      <c r="K123" s="6" t="e">
        <f>#REF!</f>
        <v>#REF!</v>
      </c>
      <c r="L123" s="6" t="e">
        <f>#REF!</f>
        <v>#REF!</v>
      </c>
      <c r="M123" s="6" t="e">
        <f>#REF!</f>
        <v>#REF!</v>
      </c>
      <c r="N123" s="6" t="e">
        <f>#REF!</f>
        <v>#REF!</v>
      </c>
      <c r="O123" s="6" t="e">
        <f>#REF!</f>
        <v>#REF!</v>
      </c>
      <c r="P123" s="6" t="e">
        <f>#REF!</f>
        <v>#REF!</v>
      </c>
      <c r="Q123" s="6" t="e">
        <f>#REF!</f>
        <v>#REF!</v>
      </c>
      <c r="R123" s="6" t="e">
        <f>#REF!</f>
        <v>#REF!</v>
      </c>
      <c r="S123" s="6" t="e">
        <f>#REF!</f>
        <v>#REF!</v>
      </c>
      <c r="T123" s="6" t="e">
        <f>#REF!</f>
        <v>#REF!</v>
      </c>
      <c r="U123" s="6" t="e">
        <f>#REF!</f>
        <v>#REF!</v>
      </c>
      <c r="V123" s="6" t="e">
        <f>#REF!</f>
        <v>#REF!</v>
      </c>
      <c r="W123" s="6" t="e">
        <f>#REF!</f>
        <v>#REF!</v>
      </c>
      <c r="X123" s="6" t="e">
        <f>#REF!</f>
        <v>#REF!</v>
      </c>
      <c r="Y123" s="6" t="e">
        <f>#REF!</f>
        <v>#REF!</v>
      </c>
      <c r="Z123" s="6" t="e">
        <f>#REF!</f>
        <v>#REF!</v>
      </c>
      <c r="AA123" s="6" t="e">
        <f>#REF!</f>
        <v>#REF!</v>
      </c>
      <c r="AB123" s="6" t="e">
        <f>#REF!</f>
        <v>#REF!</v>
      </c>
      <c r="AC123" s="6" t="e">
        <f>#REF!</f>
        <v>#REF!</v>
      </c>
      <c r="AD123" s="6" t="e">
        <f>#REF!</f>
        <v>#REF!</v>
      </c>
      <c r="AE123" s="6" t="e">
        <f>#REF!</f>
        <v>#REF!</v>
      </c>
      <c r="AF123" s="6" t="e">
        <f>#REF!</f>
        <v>#REF!</v>
      </c>
      <c r="AG123" s="6" t="e">
        <f>#REF!</f>
        <v>#REF!</v>
      </c>
      <c r="AH123" s="6" t="e">
        <f>#REF!</f>
        <v>#REF!</v>
      </c>
      <c r="AI123" s="6" t="e">
        <f>#REF!</f>
        <v>#REF!</v>
      </c>
      <c r="AJ123" s="6" t="e">
        <f>#REF!</f>
        <v>#REF!</v>
      </c>
      <c r="AK123" s="6" t="e">
        <f>#REF!</f>
        <v>#REF!</v>
      </c>
      <c r="AL123" s="6" t="e">
        <f>#REF!</f>
        <v>#REF!</v>
      </c>
    </row>
    <row r="124" spans="1:38" ht="15.75" thickTop="1" x14ac:dyDescent="0.25">
      <c r="A124" s="3" t="s">
        <v>317</v>
      </c>
      <c r="B124" s="126" t="e">
        <f>VLOOKUP(A124,$A$2:$AL$285,MATCH('Character Sheet'!$BJ$3,$A$1:$AL$1,0),FALSE)</f>
        <v>#REF!</v>
      </c>
      <c r="C124" s="6" t="e">
        <f>#REF!</f>
        <v>#REF!</v>
      </c>
      <c r="D124" s="6" t="e">
        <f>#REF!</f>
        <v>#REF!</v>
      </c>
      <c r="E124" s="6" t="e">
        <f>#REF!</f>
        <v>#REF!</v>
      </c>
      <c r="F124" s="6" t="e">
        <f>#REF!</f>
        <v>#REF!</v>
      </c>
      <c r="G124" s="6" t="e">
        <f>#REF!</f>
        <v>#REF!</v>
      </c>
      <c r="H124" s="6" t="e">
        <f>#REF!</f>
        <v>#REF!</v>
      </c>
      <c r="I124" s="6" t="e">
        <f>#REF!</f>
        <v>#REF!</v>
      </c>
      <c r="J124" s="6" t="e">
        <f>#REF!</f>
        <v>#REF!</v>
      </c>
      <c r="K124" s="6" t="e">
        <f>#REF!</f>
        <v>#REF!</v>
      </c>
      <c r="L124" s="6" t="e">
        <f>#REF!</f>
        <v>#REF!</v>
      </c>
      <c r="M124" s="6" t="e">
        <f>#REF!</f>
        <v>#REF!</v>
      </c>
      <c r="N124" s="6" t="e">
        <f>#REF!</f>
        <v>#REF!</v>
      </c>
      <c r="O124" s="6" t="e">
        <f>#REF!</f>
        <v>#REF!</v>
      </c>
      <c r="P124" s="6" t="e">
        <f>#REF!</f>
        <v>#REF!</v>
      </c>
      <c r="Q124" s="6" t="e">
        <f>#REF!</f>
        <v>#REF!</v>
      </c>
      <c r="R124" s="6" t="e">
        <f>#REF!</f>
        <v>#REF!</v>
      </c>
      <c r="S124" s="6" t="e">
        <f>#REF!</f>
        <v>#REF!</v>
      </c>
      <c r="T124" s="6" t="e">
        <f>#REF!</f>
        <v>#REF!</v>
      </c>
      <c r="U124" s="6" t="e">
        <f>#REF!</f>
        <v>#REF!</v>
      </c>
      <c r="V124" s="6" t="e">
        <f>#REF!</f>
        <v>#REF!</v>
      </c>
      <c r="W124" s="6" t="e">
        <f>#REF!</f>
        <v>#REF!</v>
      </c>
      <c r="X124" s="6" t="e">
        <f>#REF!</f>
        <v>#REF!</v>
      </c>
      <c r="Y124" s="6" t="e">
        <f>#REF!</f>
        <v>#REF!</v>
      </c>
      <c r="Z124" s="6" t="e">
        <f>#REF!</f>
        <v>#REF!</v>
      </c>
      <c r="AA124" s="6" t="e">
        <f>#REF!</f>
        <v>#REF!</v>
      </c>
      <c r="AB124" s="6" t="e">
        <f>#REF!</f>
        <v>#REF!</v>
      </c>
      <c r="AC124" s="6" t="e">
        <f>#REF!</f>
        <v>#REF!</v>
      </c>
      <c r="AD124" s="6" t="e">
        <f>#REF!</f>
        <v>#REF!</v>
      </c>
      <c r="AE124" s="6" t="e">
        <f>#REF!</f>
        <v>#REF!</v>
      </c>
      <c r="AF124" s="6" t="e">
        <f>#REF!</f>
        <v>#REF!</v>
      </c>
      <c r="AG124" s="6" t="e">
        <f>#REF!</f>
        <v>#REF!</v>
      </c>
      <c r="AH124" s="6" t="e">
        <f>#REF!</f>
        <v>#REF!</v>
      </c>
      <c r="AI124" s="6" t="e">
        <f>#REF!</f>
        <v>#REF!</v>
      </c>
      <c r="AJ124" s="6" t="e">
        <f>#REF!</f>
        <v>#REF!</v>
      </c>
      <c r="AK124" s="6" t="e">
        <f>#REF!</f>
        <v>#REF!</v>
      </c>
      <c r="AL124" s="6" t="e">
        <f>#REF!</f>
        <v>#REF!</v>
      </c>
    </row>
    <row r="125" spans="1:38" x14ac:dyDescent="0.25">
      <c r="A125" s="3" t="s">
        <v>318</v>
      </c>
      <c r="B125" s="126" t="e">
        <f>VLOOKUP(A125,$A$2:$AL$285,MATCH('Character Sheet'!$BJ$3,$A$1:$AL$1,0),FALSE)</f>
        <v>#REF!</v>
      </c>
      <c r="C125" s="6" t="e">
        <f>#REF!</f>
        <v>#REF!</v>
      </c>
      <c r="D125" s="6" t="e">
        <f>#REF!</f>
        <v>#REF!</v>
      </c>
      <c r="E125" s="6" t="e">
        <f>#REF!</f>
        <v>#REF!</v>
      </c>
      <c r="F125" s="6" t="e">
        <f>#REF!</f>
        <v>#REF!</v>
      </c>
      <c r="G125" s="6" t="e">
        <f>#REF!</f>
        <v>#REF!</v>
      </c>
      <c r="H125" s="6" t="e">
        <f>#REF!</f>
        <v>#REF!</v>
      </c>
      <c r="I125" s="6" t="e">
        <f>#REF!</f>
        <v>#REF!</v>
      </c>
      <c r="J125" s="6" t="e">
        <f>#REF!</f>
        <v>#REF!</v>
      </c>
      <c r="K125" s="6" t="e">
        <f>#REF!</f>
        <v>#REF!</v>
      </c>
      <c r="L125" s="6" t="e">
        <f>#REF!</f>
        <v>#REF!</v>
      </c>
      <c r="M125" s="6" t="e">
        <f>#REF!</f>
        <v>#REF!</v>
      </c>
      <c r="N125" s="6" t="e">
        <f>#REF!</f>
        <v>#REF!</v>
      </c>
      <c r="O125" s="6" t="e">
        <f>#REF!</f>
        <v>#REF!</v>
      </c>
      <c r="P125" s="6" t="e">
        <f>#REF!</f>
        <v>#REF!</v>
      </c>
      <c r="Q125" s="6" t="e">
        <f>#REF!</f>
        <v>#REF!</v>
      </c>
      <c r="R125" s="6" t="e">
        <f>#REF!</f>
        <v>#REF!</v>
      </c>
      <c r="S125" s="6" t="e">
        <f>#REF!</f>
        <v>#REF!</v>
      </c>
      <c r="T125" s="6" t="e">
        <f>#REF!</f>
        <v>#REF!</v>
      </c>
      <c r="U125" s="6" t="e">
        <f>#REF!</f>
        <v>#REF!</v>
      </c>
      <c r="V125" s="6" t="e">
        <f>#REF!</f>
        <v>#REF!</v>
      </c>
      <c r="W125" s="6" t="e">
        <f>#REF!</f>
        <v>#REF!</v>
      </c>
      <c r="X125" s="6" t="e">
        <f>#REF!</f>
        <v>#REF!</v>
      </c>
      <c r="Y125" s="6" t="e">
        <f>#REF!</f>
        <v>#REF!</v>
      </c>
      <c r="Z125" s="6" t="e">
        <f>#REF!</f>
        <v>#REF!</v>
      </c>
      <c r="AA125" s="6" t="e">
        <f>#REF!</f>
        <v>#REF!</v>
      </c>
      <c r="AB125" s="6" t="e">
        <f>#REF!</f>
        <v>#REF!</v>
      </c>
      <c r="AC125" s="6" t="e">
        <f>#REF!</f>
        <v>#REF!</v>
      </c>
      <c r="AD125" s="6" t="e">
        <f>#REF!</f>
        <v>#REF!</v>
      </c>
      <c r="AE125" s="6" t="e">
        <f>#REF!</f>
        <v>#REF!</v>
      </c>
      <c r="AF125" s="6" t="e">
        <f>#REF!</f>
        <v>#REF!</v>
      </c>
      <c r="AG125" s="6" t="e">
        <f>#REF!</f>
        <v>#REF!</v>
      </c>
      <c r="AH125" s="6" t="e">
        <f>#REF!</f>
        <v>#REF!</v>
      </c>
      <c r="AI125" s="6" t="e">
        <f>#REF!</f>
        <v>#REF!</v>
      </c>
      <c r="AJ125" s="6" t="e">
        <f>#REF!</f>
        <v>#REF!</v>
      </c>
      <c r="AK125" s="6" t="e">
        <f>#REF!</f>
        <v>#REF!</v>
      </c>
      <c r="AL125" s="6" t="e">
        <f>#REF!</f>
        <v>#REF!</v>
      </c>
    </row>
    <row r="126" spans="1:38" x14ac:dyDescent="0.25">
      <c r="A126" s="3" t="s">
        <v>2031</v>
      </c>
      <c r="B126" s="126" t="e">
        <f>VLOOKUP(A126,$A$2:$AL$285,MATCH('Character Sheet'!$BJ$3,$A$1:$AL$1,0),FALSE)</f>
        <v>#REF!</v>
      </c>
      <c r="C126" s="6" t="e">
        <f>#REF!</f>
        <v>#REF!</v>
      </c>
      <c r="D126" s="6" t="e">
        <f>#REF!</f>
        <v>#REF!</v>
      </c>
      <c r="E126" s="6" t="e">
        <f>#REF!</f>
        <v>#REF!</v>
      </c>
      <c r="F126" s="6" t="e">
        <f>#REF!</f>
        <v>#REF!</v>
      </c>
      <c r="G126" s="6" t="e">
        <f>#REF!</f>
        <v>#REF!</v>
      </c>
      <c r="H126" s="6" t="e">
        <f>#REF!</f>
        <v>#REF!</v>
      </c>
      <c r="I126" s="6" t="e">
        <f>#REF!</f>
        <v>#REF!</v>
      </c>
      <c r="J126" s="6" t="e">
        <f>#REF!</f>
        <v>#REF!</v>
      </c>
      <c r="K126" s="6" t="e">
        <f>#REF!</f>
        <v>#REF!</v>
      </c>
      <c r="L126" s="6" t="e">
        <f>#REF!</f>
        <v>#REF!</v>
      </c>
      <c r="M126" s="6" t="e">
        <f>#REF!</f>
        <v>#REF!</v>
      </c>
      <c r="N126" s="6" t="e">
        <f>#REF!</f>
        <v>#REF!</v>
      </c>
      <c r="O126" s="6" t="e">
        <f>#REF!</f>
        <v>#REF!</v>
      </c>
      <c r="P126" s="6" t="e">
        <f>#REF!</f>
        <v>#REF!</v>
      </c>
      <c r="Q126" s="6" t="e">
        <f>#REF!</f>
        <v>#REF!</v>
      </c>
      <c r="R126" s="6" t="e">
        <f>#REF!</f>
        <v>#REF!</v>
      </c>
      <c r="S126" s="6" t="e">
        <f>#REF!</f>
        <v>#REF!</v>
      </c>
      <c r="T126" s="6" t="e">
        <f>#REF!</f>
        <v>#REF!</v>
      </c>
      <c r="U126" s="6" t="e">
        <f>#REF!</f>
        <v>#REF!</v>
      </c>
      <c r="V126" s="6" t="e">
        <f>#REF!</f>
        <v>#REF!</v>
      </c>
      <c r="W126" s="6" t="e">
        <f>#REF!</f>
        <v>#REF!</v>
      </c>
      <c r="X126" s="6" t="e">
        <f>#REF!</f>
        <v>#REF!</v>
      </c>
      <c r="Y126" s="6" t="e">
        <f>#REF!</f>
        <v>#REF!</v>
      </c>
      <c r="Z126" s="6" t="e">
        <f>#REF!</f>
        <v>#REF!</v>
      </c>
      <c r="AA126" s="6" t="e">
        <f>#REF!</f>
        <v>#REF!</v>
      </c>
      <c r="AB126" s="6" t="e">
        <f>#REF!</f>
        <v>#REF!</v>
      </c>
      <c r="AC126" s="6" t="e">
        <f>#REF!</f>
        <v>#REF!</v>
      </c>
      <c r="AD126" s="6" t="e">
        <f>#REF!</f>
        <v>#REF!</v>
      </c>
      <c r="AE126" s="6" t="e">
        <f>#REF!</f>
        <v>#REF!</v>
      </c>
      <c r="AF126" s="6" t="e">
        <f>#REF!</f>
        <v>#REF!</v>
      </c>
      <c r="AG126" s="6" t="e">
        <f>#REF!</f>
        <v>#REF!</v>
      </c>
      <c r="AH126" s="6" t="e">
        <f>#REF!</f>
        <v>#REF!</v>
      </c>
      <c r="AI126" s="6" t="e">
        <f>#REF!</f>
        <v>#REF!</v>
      </c>
      <c r="AJ126" s="6" t="e">
        <f>#REF!</f>
        <v>#REF!</v>
      </c>
      <c r="AK126" s="6" t="e">
        <f>#REF!</f>
        <v>#REF!</v>
      </c>
      <c r="AL126" s="6" t="e">
        <f>#REF!</f>
        <v>#REF!</v>
      </c>
    </row>
    <row r="127" spans="1:38" x14ac:dyDescent="0.25">
      <c r="A127" s="3" t="s">
        <v>319</v>
      </c>
      <c r="B127" s="126" t="e">
        <f>VLOOKUP(A127,$A$2:$AL$285,MATCH('Character Sheet'!$BJ$3,$A$1:$AL$1,0),FALSE)</f>
        <v>#REF!</v>
      </c>
      <c r="C127" s="6" t="e">
        <f>#REF!</f>
        <v>#REF!</v>
      </c>
      <c r="D127" s="6" t="e">
        <f>#REF!</f>
        <v>#REF!</v>
      </c>
      <c r="E127" s="6" t="e">
        <f>#REF!</f>
        <v>#REF!</v>
      </c>
      <c r="F127" s="6" t="e">
        <f>#REF!</f>
        <v>#REF!</v>
      </c>
      <c r="G127" s="6" t="e">
        <f>#REF!</f>
        <v>#REF!</v>
      </c>
      <c r="H127" s="6" t="e">
        <f>#REF!</f>
        <v>#REF!</v>
      </c>
      <c r="I127" s="6" t="e">
        <f>#REF!</f>
        <v>#REF!</v>
      </c>
      <c r="J127" s="6" t="e">
        <f>#REF!</f>
        <v>#REF!</v>
      </c>
      <c r="K127" s="6" t="e">
        <f>#REF!</f>
        <v>#REF!</v>
      </c>
      <c r="L127" s="6" t="e">
        <f>#REF!</f>
        <v>#REF!</v>
      </c>
      <c r="M127" s="6" t="e">
        <f>#REF!</f>
        <v>#REF!</v>
      </c>
      <c r="N127" s="6" t="e">
        <f>#REF!</f>
        <v>#REF!</v>
      </c>
      <c r="O127" s="6" t="e">
        <f>#REF!</f>
        <v>#REF!</v>
      </c>
      <c r="P127" s="6" t="e">
        <f>#REF!</f>
        <v>#REF!</v>
      </c>
      <c r="Q127" s="6" t="e">
        <f>#REF!</f>
        <v>#REF!</v>
      </c>
      <c r="R127" s="6" t="e">
        <f>#REF!</f>
        <v>#REF!</v>
      </c>
      <c r="S127" s="6" t="e">
        <f>#REF!</f>
        <v>#REF!</v>
      </c>
      <c r="T127" s="6" t="e">
        <f>#REF!</f>
        <v>#REF!</v>
      </c>
      <c r="U127" s="6" t="e">
        <f>#REF!</f>
        <v>#REF!</v>
      </c>
      <c r="V127" s="6" t="e">
        <f>#REF!</f>
        <v>#REF!</v>
      </c>
      <c r="W127" s="6" t="e">
        <f>#REF!</f>
        <v>#REF!</v>
      </c>
      <c r="X127" s="6" t="e">
        <f>#REF!</f>
        <v>#REF!</v>
      </c>
      <c r="Y127" s="6" t="e">
        <f>#REF!</f>
        <v>#REF!</v>
      </c>
      <c r="Z127" s="6" t="e">
        <f>#REF!</f>
        <v>#REF!</v>
      </c>
      <c r="AA127" s="6" t="e">
        <f>#REF!</f>
        <v>#REF!</v>
      </c>
      <c r="AB127" s="6" t="e">
        <f>#REF!</f>
        <v>#REF!</v>
      </c>
      <c r="AC127" s="6" t="e">
        <f>#REF!</f>
        <v>#REF!</v>
      </c>
      <c r="AD127" s="6" t="e">
        <f>#REF!</f>
        <v>#REF!</v>
      </c>
      <c r="AE127" s="6" t="e">
        <f>#REF!</f>
        <v>#REF!</v>
      </c>
      <c r="AF127" s="6" t="e">
        <f>#REF!</f>
        <v>#REF!</v>
      </c>
      <c r="AG127" s="6" t="e">
        <f>#REF!</f>
        <v>#REF!</v>
      </c>
      <c r="AH127" s="6" t="e">
        <f>#REF!</f>
        <v>#REF!</v>
      </c>
      <c r="AI127" s="6" t="e">
        <f>#REF!</f>
        <v>#REF!</v>
      </c>
      <c r="AJ127" s="6" t="e">
        <f>#REF!</f>
        <v>#REF!</v>
      </c>
      <c r="AK127" s="6" t="e">
        <f>#REF!</f>
        <v>#REF!</v>
      </c>
      <c r="AL127" s="6" t="e">
        <f>#REF!</f>
        <v>#REF!</v>
      </c>
    </row>
    <row r="128" spans="1:38" x14ac:dyDescent="0.25">
      <c r="A128" s="3" t="s">
        <v>320</v>
      </c>
      <c r="B128" s="126" t="e">
        <f>VLOOKUP(A128,$A$2:$AL$285,MATCH('Character Sheet'!$BJ$3,$A$1:$AL$1,0),FALSE)</f>
        <v>#REF!</v>
      </c>
      <c r="C128" s="6" t="e">
        <f>#REF!</f>
        <v>#REF!</v>
      </c>
      <c r="D128" s="6" t="e">
        <f>#REF!</f>
        <v>#REF!</v>
      </c>
      <c r="E128" s="6" t="e">
        <f>#REF!</f>
        <v>#REF!</v>
      </c>
      <c r="F128" s="6" t="e">
        <f>#REF!</f>
        <v>#REF!</v>
      </c>
      <c r="G128" s="6" t="e">
        <f>#REF!</f>
        <v>#REF!</v>
      </c>
      <c r="H128" s="6" t="e">
        <f>#REF!</f>
        <v>#REF!</v>
      </c>
      <c r="I128" s="6" t="e">
        <f>#REF!</f>
        <v>#REF!</v>
      </c>
      <c r="J128" s="6" t="e">
        <f>#REF!</f>
        <v>#REF!</v>
      </c>
      <c r="K128" s="6" t="e">
        <f>#REF!</f>
        <v>#REF!</v>
      </c>
      <c r="L128" s="6" t="e">
        <f>#REF!</f>
        <v>#REF!</v>
      </c>
      <c r="M128" s="6" t="e">
        <f>#REF!</f>
        <v>#REF!</v>
      </c>
      <c r="N128" s="6" t="e">
        <f>#REF!</f>
        <v>#REF!</v>
      </c>
      <c r="O128" s="6" t="e">
        <f>#REF!</f>
        <v>#REF!</v>
      </c>
      <c r="P128" s="6" t="e">
        <f>#REF!</f>
        <v>#REF!</v>
      </c>
      <c r="Q128" s="6" t="e">
        <f>#REF!</f>
        <v>#REF!</v>
      </c>
      <c r="R128" s="6" t="e">
        <f>#REF!</f>
        <v>#REF!</v>
      </c>
      <c r="S128" s="6" t="e">
        <f>#REF!</f>
        <v>#REF!</v>
      </c>
      <c r="T128" s="6" t="e">
        <f>#REF!</f>
        <v>#REF!</v>
      </c>
      <c r="U128" s="6" t="e">
        <f>#REF!</f>
        <v>#REF!</v>
      </c>
      <c r="V128" s="6" t="e">
        <f>#REF!</f>
        <v>#REF!</v>
      </c>
      <c r="W128" s="6" t="e">
        <f>#REF!</f>
        <v>#REF!</v>
      </c>
      <c r="X128" s="6" t="e">
        <f>#REF!</f>
        <v>#REF!</v>
      </c>
      <c r="Y128" s="6" t="e">
        <f>#REF!</f>
        <v>#REF!</v>
      </c>
      <c r="Z128" s="6" t="e">
        <f>#REF!</f>
        <v>#REF!</v>
      </c>
      <c r="AA128" s="6" t="e">
        <f>#REF!</f>
        <v>#REF!</v>
      </c>
      <c r="AB128" s="6" t="e">
        <f>#REF!</f>
        <v>#REF!</v>
      </c>
      <c r="AC128" s="6" t="e">
        <f>#REF!</f>
        <v>#REF!</v>
      </c>
      <c r="AD128" s="6" t="e">
        <f>#REF!</f>
        <v>#REF!</v>
      </c>
      <c r="AE128" s="6" t="e">
        <f>#REF!</f>
        <v>#REF!</v>
      </c>
      <c r="AF128" s="6" t="e">
        <f>#REF!</f>
        <v>#REF!</v>
      </c>
      <c r="AG128" s="6" t="e">
        <f>#REF!</f>
        <v>#REF!</v>
      </c>
      <c r="AH128" s="6" t="e">
        <f>#REF!</f>
        <v>#REF!</v>
      </c>
      <c r="AI128" s="6" t="e">
        <f>#REF!</f>
        <v>#REF!</v>
      </c>
      <c r="AJ128" s="6" t="e">
        <f>#REF!</f>
        <v>#REF!</v>
      </c>
      <c r="AK128" s="6" t="e">
        <f>#REF!</f>
        <v>#REF!</v>
      </c>
      <c r="AL128" s="6" t="e">
        <f>#REF!</f>
        <v>#REF!</v>
      </c>
    </row>
    <row r="129" spans="1:38" x14ac:dyDescent="0.25">
      <c r="A129" s="3" t="s">
        <v>321</v>
      </c>
      <c r="B129" s="126" t="e">
        <f>VLOOKUP(A129,$A$2:$AL$285,MATCH('Character Sheet'!$BJ$3,$A$1:$AL$1,0),FALSE)</f>
        <v>#REF!</v>
      </c>
      <c r="C129" s="6" t="e">
        <f>#REF!</f>
        <v>#REF!</v>
      </c>
      <c r="D129" s="6" t="e">
        <f>#REF!</f>
        <v>#REF!</v>
      </c>
      <c r="E129" s="6" t="e">
        <f>#REF!</f>
        <v>#REF!</v>
      </c>
      <c r="F129" s="6" t="e">
        <f>#REF!</f>
        <v>#REF!</v>
      </c>
      <c r="G129" s="6" t="e">
        <f>#REF!</f>
        <v>#REF!</v>
      </c>
      <c r="H129" s="6" t="e">
        <f>#REF!</f>
        <v>#REF!</v>
      </c>
      <c r="I129" s="6" t="e">
        <f>#REF!</f>
        <v>#REF!</v>
      </c>
      <c r="J129" s="6" t="e">
        <f>#REF!</f>
        <v>#REF!</v>
      </c>
      <c r="K129" s="6" t="e">
        <f>#REF!</f>
        <v>#REF!</v>
      </c>
      <c r="L129" s="6" t="e">
        <f>#REF!</f>
        <v>#REF!</v>
      </c>
      <c r="M129" s="6" t="e">
        <f>#REF!</f>
        <v>#REF!</v>
      </c>
      <c r="N129" s="6" t="e">
        <f>#REF!</f>
        <v>#REF!</v>
      </c>
      <c r="O129" s="6" t="e">
        <f>#REF!</f>
        <v>#REF!</v>
      </c>
      <c r="P129" s="6" t="e">
        <f>#REF!</f>
        <v>#REF!</v>
      </c>
      <c r="Q129" s="6" t="e">
        <f>#REF!</f>
        <v>#REF!</v>
      </c>
      <c r="R129" s="6" t="e">
        <f>#REF!</f>
        <v>#REF!</v>
      </c>
      <c r="S129" s="6" t="e">
        <f>#REF!</f>
        <v>#REF!</v>
      </c>
      <c r="T129" s="6" t="e">
        <f>#REF!</f>
        <v>#REF!</v>
      </c>
      <c r="U129" s="6" t="e">
        <f>#REF!</f>
        <v>#REF!</v>
      </c>
      <c r="V129" s="6" t="e">
        <f>#REF!</f>
        <v>#REF!</v>
      </c>
      <c r="W129" s="6" t="e">
        <f>#REF!</f>
        <v>#REF!</v>
      </c>
      <c r="X129" s="6" t="e">
        <f>#REF!</f>
        <v>#REF!</v>
      </c>
      <c r="Y129" s="6" t="e">
        <f>#REF!</f>
        <v>#REF!</v>
      </c>
      <c r="Z129" s="6" t="e">
        <f>#REF!</f>
        <v>#REF!</v>
      </c>
      <c r="AA129" s="6" t="e">
        <f>#REF!</f>
        <v>#REF!</v>
      </c>
      <c r="AB129" s="6" t="e">
        <f>#REF!</f>
        <v>#REF!</v>
      </c>
      <c r="AC129" s="6" t="e">
        <f>#REF!</f>
        <v>#REF!</v>
      </c>
      <c r="AD129" s="6" t="e">
        <f>#REF!</f>
        <v>#REF!</v>
      </c>
      <c r="AE129" s="6" t="e">
        <f>#REF!</f>
        <v>#REF!</v>
      </c>
      <c r="AF129" s="6" t="e">
        <f>#REF!</f>
        <v>#REF!</v>
      </c>
      <c r="AG129" s="6" t="e">
        <f>#REF!</f>
        <v>#REF!</v>
      </c>
      <c r="AH129" s="6" t="e">
        <f>#REF!</f>
        <v>#REF!</v>
      </c>
      <c r="AI129" s="6" t="e">
        <f>#REF!</f>
        <v>#REF!</v>
      </c>
      <c r="AJ129" s="6" t="e">
        <f>#REF!</f>
        <v>#REF!</v>
      </c>
      <c r="AK129" s="6" t="e">
        <f>#REF!</f>
        <v>#REF!</v>
      </c>
      <c r="AL129" s="6" t="e">
        <f>#REF!</f>
        <v>#REF!</v>
      </c>
    </row>
    <row r="130" spans="1:38" x14ac:dyDescent="0.25">
      <c r="A130" s="3" t="s">
        <v>322</v>
      </c>
      <c r="B130" s="126" t="e">
        <f>VLOOKUP(A130,$A$2:$AL$285,MATCH('Character Sheet'!$BJ$3,$A$1:$AL$1,0),FALSE)</f>
        <v>#REF!</v>
      </c>
      <c r="C130" s="6" t="e">
        <f>#REF!</f>
        <v>#REF!</v>
      </c>
      <c r="D130" s="6" t="e">
        <f>#REF!</f>
        <v>#REF!</v>
      </c>
      <c r="E130" s="6" t="e">
        <f>#REF!</f>
        <v>#REF!</v>
      </c>
      <c r="F130" s="6" t="e">
        <f>#REF!</f>
        <v>#REF!</v>
      </c>
      <c r="G130" s="6" t="e">
        <f>#REF!</f>
        <v>#REF!</v>
      </c>
      <c r="H130" s="6" t="e">
        <f>#REF!</f>
        <v>#REF!</v>
      </c>
      <c r="I130" s="6" t="e">
        <f>#REF!</f>
        <v>#REF!</v>
      </c>
      <c r="J130" s="6" t="e">
        <f>#REF!</f>
        <v>#REF!</v>
      </c>
      <c r="K130" s="6" t="e">
        <f>#REF!</f>
        <v>#REF!</v>
      </c>
      <c r="L130" s="6" t="e">
        <f>#REF!</f>
        <v>#REF!</v>
      </c>
      <c r="M130" s="6" t="e">
        <f>#REF!</f>
        <v>#REF!</v>
      </c>
      <c r="N130" s="6" t="e">
        <f>#REF!</f>
        <v>#REF!</v>
      </c>
      <c r="O130" s="6" t="e">
        <f>#REF!</f>
        <v>#REF!</v>
      </c>
      <c r="P130" s="6" t="e">
        <f>#REF!</f>
        <v>#REF!</v>
      </c>
      <c r="Q130" s="6" t="e">
        <f>#REF!</f>
        <v>#REF!</v>
      </c>
      <c r="R130" s="6" t="e">
        <f>#REF!</f>
        <v>#REF!</v>
      </c>
      <c r="S130" s="6" t="e">
        <f>#REF!</f>
        <v>#REF!</v>
      </c>
      <c r="T130" s="6" t="e">
        <f>#REF!</f>
        <v>#REF!</v>
      </c>
      <c r="U130" s="6" t="e">
        <f>#REF!</f>
        <v>#REF!</v>
      </c>
      <c r="V130" s="6" t="e">
        <f>#REF!</f>
        <v>#REF!</v>
      </c>
      <c r="W130" s="6" t="e">
        <f>#REF!</f>
        <v>#REF!</v>
      </c>
      <c r="X130" s="6" t="e">
        <f>#REF!</f>
        <v>#REF!</v>
      </c>
      <c r="Y130" s="6" t="e">
        <f>#REF!</f>
        <v>#REF!</v>
      </c>
      <c r="Z130" s="6" t="e">
        <f>#REF!</f>
        <v>#REF!</v>
      </c>
      <c r="AA130" s="6" t="e">
        <f>#REF!</f>
        <v>#REF!</v>
      </c>
      <c r="AB130" s="6" t="e">
        <f>#REF!</f>
        <v>#REF!</v>
      </c>
      <c r="AC130" s="6" t="e">
        <f>#REF!</f>
        <v>#REF!</v>
      </c>
      <c r="AD130" s="6" t="e">
        <f>#REF!</f>
        <v>#REF!</v>
      </c>
      <c r="AE130" s="6" t="e">
        <f>#REF!</f>
        <v>#REF!</v>
      </c>
      <c r="AF130" s="6" t="e">
        <f>#REF!</f>
        <v>#REF!</v>
      </c>
      <c r="AG130" s="6" t="e">
        <f>#REF!</f>
        <v>#REF!</v>
      </c>
      <c r="AH130" s="6" t="e">
        <f>#REF!</f>
        <v>#REF!</v>
      </c>
      <c r="AI130" s="6" t="e">
        <f>#REF!</f>
        <v>#REF!</v>
      </c>
      <c r="AJ130" s="6" t="e">
        <f>#REF!</f>
        <v>#REF!</v>
      </c>
      <c r="AK130" s="6" t="e">
        <f>#REF!</f>
        <v>#REF!</v>
      </c>
      <c r="AL130" s="6" t="e">
        <f>#REF!</f>
        <v>#REF!</v>
      </c>
    </row>
    <row r="131" spans="1:38" x14ac:dyDescent="0.25">
      <c r="A131" s="3" t="s">
        <v>323</v>
      </c>
      <c r="B131" s="126" t="e">
        <f>VLOOKUP(A131,$A$2:$AL$285,MATCH('Character Sheet'!$BJ$3,$A$1:$AL$1,0),FALSE)</f>
        <v>#REF!</v>
      </c>
      <c r="C131" s="6" t="e">
        <f>#REF!</f>
        <v>#REF!</v>
      </c>
      <c r="D131" s="6" t="e">
        <f>#REF!</f>
        <v>#REF!</v>
      </c>
      <c r="E131" s="6" t="e">
        <f>#REF!</f>
        <v>#REF!</v>
      </c>
      <c r="F131" s="6" t="e">
        <f>#REF!</f>
        <v>#REF!</v>
      </c>
      <c r="G131" s="6" t="e">
        <f>#REF!</f>
        <v>#REF!</v>
      </c>
      <c r="H131" s="6" t="e">
        <f>#REF!</f>
        <v>#REF!</v>
      </c>
      <c r="I131" s="6" t="e">
        <f>#REF!</f>
        <v>#REF!</v>
      </c>
      <c r="J131" s="6" t="e">
        <f>#REF!</f>
        <v>#REF!</v>
      </c>
      <c r="K131" s="6" t="e">
        <f>#REF!</f>
        <v>#REF!</v>
      </c>
      <c r="L131" s="6" t="e">
        <f>#REF!</f>
        <v>#REF!</v>
      </c>
      <c r="M131" s="6" t="e">
        <f>#REF!</f>
        <v>#REF!</v>
      </c>
      <c r="N131" s="6" t="e">
        <f>#REF!</f>
        <v>#REF!</v>
      </c>
      <c r="O131" s="6" t="e">
        <f>#REF!</f>
        <v>#REF!</v>
      </c>
      <c r="P131" s="6" t="e">
        <f>#REF!</f>
        <v>#REF!</v>
      </c>
      <c r="Q131" s="6" t="e">
        <f>#REF!</f>
        <v>#REF!</v>
      </c>
      <c r="R131" s="6" t="e">
        <f>#REF!</f>
        <v>#REF!</v>
      </c>
      <c r="S131" s="6" t="e">
        <f>#REF!</f>
        <v>#REF!</v>
      </c>
      <c r="T131" s="6" t="e">
        <f>#REF!</f>
        <v>#REF!</v>
      </c>
      <c r="U131" s="6" t="e">
        <f>#REF!</f>
        <v>#REF!</v>
      </c>
      <c r="V131" s="6" t="e">
        <f>#REF!</f>
        <v>#REF!</v>
      </c>
      <c r="W131" s="6" t="e">
        <f>#REF!</f>
        <v>#REF!</v>
      </c>
      <c r="X131" s="6" t="e">
        <f>#REF!</f>
        <v>#REF!</v>
      </c>
      <c r="Y131" s="6" t="e">
        <f>#REF!</f>
        <v>#REF!</v>
      </c>
      <c r="Z131" s="6" t="e">
        <f>#REF!</f>
        <v>#REF!</v>
      </c>
      <c r="AA131" s="6" t="e">
        <f>#REF!</f>
        <v>#REF!</v>
      </c>
      <c r="AB131" s="6" t="e">
        <f>#REF!</f>
        <v>#REF!</v>
      </c>
      <c r="AC131" s="6" t="e">
        <f>#REF!</f>
        <v>#REF!</v>
      </c>
      <c r="AD131" s="6" t="e">
        <f>#REF!</f>
        <v>#REF!</v>
      </c>
      <c r="AE131" s="6" t="e">
        <f>#REF!</f>
        <v>#REF!</v>
      </c>
      <c r="AF131" s="6" t="e">
        <f>#REF!</f>
        <v>#REF!</v>
      </c>
      <c r="AG131" s="6" t="e">
        <f>#REF!</f>
        <v>#REF!</v>
      </c>
      <c r="AH131" s="6" t="e">
        <f>#REF!</f>
        <v>#REF!</v>
      </c>
      <c r="AI131" s="6" t="e">
        <f>#REF!</f>
        <v>#REF!</v>
      </c>
      <c r="AJ131" s="6" t="e">
        <f>#REF!</f>
        <v>#REF!</v>
      </c>
      <c r="AK131" s="6" t="e">
        <f>#REF!</f>
        <v>#REF!</v>
      </c>
      <c r="AL131" s="6" t="e">
        <f>#REF!</f>
        <v>#REF!</v>
      </c>
    </row>
    <row r="132" spans="1:38" x14ac:dyDescent="0.25">
      <c r="A132" s="3" t="s">
        <v>326</v>
      </c>
      <c r="B132" s="126" t="e">
        <f>VLOOKUP(A132,$A$2:$AL$285,MATCH('Character Sheet'!$BJ$3,$A$1:$AL$1,0),FALSE)</f>
        <v>#REF!</v>
      </c>
      <c r="C132" s="6" t="e">
        <f>#REF!</f>
        <v>#REF!</v>
      </c>
      <c r="D132" s="6" t="e">
        <f>#REF!</f>
        <v>#REF!</v>
      </c>
      <c r="E132" s="6" t="e">
        <f>#REF!</f>
        <v>#REF!</v>
      </c>
      <c r="F132" s="6" t="e">
        <f>#REF!</f>
        <v>#REF!</v>
      </c>
      <c r="G132" s="6" t="e">
        <f>#REF!</f>
        <v>#REF!</v>
      </c>
      <c r="H132" s="6" t="e">
        <f>#REF!</f>
        <v>#REF!</v>
      </c>
      <c r="I132" s="6" t="e">
        <f>#REF!</f>
        <v>#REF!</v>
      </c>
      <c r="J132" s="6" t="e">
        <f>#REF!</f>
        <v>#REF!</v>
      </c>
      <c r="K132" s="6" t="e">
        <f>#REF!</f>
        <v>#REF!</v>
      </c>
      <c r="L132" s="6" t="e">
        <f>#REF!</f>
        <v>#REF!</v>
      </c>
      <c r="M132" s="6" t="e">
        <f>#REF!</f>
        <v>#REF!</v>
      </c>
      <c r="N132" s="6" t="e">
        <f>#REF!</f>
        <v>#REF!</v>
      </c>
      <c r="O132" s="6" t="e">
        <f>#REF!</f>
        <v>#REF!</v>
      </c>
      <c r="P132" s="6" t="e">
        <f>#REF!</f>
        <v>#REF!</v>
      </c>
      <c r="Q132" s="6" t="e">
        <f>#REF!</f>
        <v>#REF!</v>
      </c>
      <c r="R132" s="6" t="e">
        <f>#REF!</f>
        <v>#REF!</v>
      </c>
      <c r="S132" s="6" t="e">
        <f>#REF!</f>
        <v>#REF!</v>
      </c>
      <c r="T132" s="6" t="e">
        <f>#REF!</f>
        <v>#REF!</v>
      </c>
      <c r="U132" s="6" t="e">
        <f>#REF!</f>
        <v>#REF!</v>
      </c>
      <c r="V132" s="6" t="e">
        <f>#REF!</f>
        <v>#REF!</v>
      </c>
      <c r="W132" s="6" t="e">
        <f>#REF!</f>
        <v>#REF!</v>
      </c>
      <c r="X132" s="6" t="e">
        <f>#REF!</f>
        <v>#REF!</v>
      </c>
      <c r="Y132" s="6" t="e">
        <f>#REF!</f>
        <v>#REF!</v>
      </c>
      <c r="Z132" s="6" t="e">
        <f>#REF!</f>
        <v>#REF!</v>
      </c>
      <c r="AA132" s="6" t="e">
        <f>#REF!</f>
        <v>#REF!</v>
      </c>
      <c r="AB132" s="6" t="e">
        <f>#REF!</f>
        <v>#REF!</v>
      </c>
      <c r="AC132" s="6" t="e">
        <f>#REF!</f>
        <v>#REF!</v>
      </c>
      <c r="AD132" s="6" t="e">
        <f>#REF!</f>
        <v>#REF!</v>
      </c>
      <c r="AE132" s="6" t="e">
        <f>#REF!</f>
        <v>#REF!</v>
      </c>
      <c r="AF132" s="6" t="e">
        <f>#REF!</f>
        <v>#REF!</v>
      </c>
      <c r="AG132" s="6" t="e">
        <f>#REF!</f>
        <v>#REF!</v>
      </c>
      <c r="AH132" s="6" t="e">
        <f>#REF!</f>
        <v>#REF!</v>
      </c>
      <c r="AI132" s="6" t="e">
        <f>#REF!</f>
        <v>#REF!</v>
      </c>
      <c r="AJ132" s="6" t="e">
        <f>#REF!</f>
        <v>#REF!</v>
      </c>
      <c r="AK132" s="6" t="e">
        <f>#REF!</f>
        <v>#REF!</v>
      </c>
      <c r="AL132" s="6" t="e">
        <f>#REF!</f>
        <v>#REF!</v>
      </c>
    </row>
    <row r="133" spans="1:38" x14ac:dyDescent="0.25">
      <c r="A133" s="3" t="s">
        <v>327</v>
      </c>
      <c r="B133" s="126" t="e">
        <f>VLOOKUP(A133,$A$2:$AL$285,MATCH('Character Sheet'!$BJ$3,$A$1:$AL$1,0),FALSE)</f>
        <v>#REF!</v>
      </c>
      <c r="C133" s="6" t="e">
        <f>#REF!</f>
        <v>#REF!</v>
      </c>
      <c r="D133" s="6" t="e">
        <f>#REF!</f>
        <v>#REF!</v>
      </c>
      <c r="E133" s="6" t="e">
        <f>#REF!</f>
        <v>#REF!</v>
      </c>
      <c r="F133" s="6" t="e">
        <f>#REF!</f>
        <v>#REF!</v>
      </c>
      <c r="G133" s="6" t="e">
        <f>#REF!</f>
        <v>#REF!</v>
      </c>
      <c r="H133" s="6" t="e">
        <f>#REF!</f>
        <v>#REF!</v>
      </c>
      <c r="I133" s="6" t="e">
        <f>#REF!</f>
        <v>#REF!</v>
      </c>
      <c r="J133" s="6" t="e">
        <f>#REF!</f>
        <v>#REF!</v>
      </c>
      <c r="K133" s="6" t="e">
        <f>#REF!</f>
        <v>#REF!</v>
      </c>
      <c r="L133" s="6" t="e">
        <f>#REF!</f>
        <v>#REF!</v>
      </c>
      <c r="M133" s="6" t="e">
        <f>#REF!</f>
        <v>#REF!</v>
      </c>
      <c r="N133" s="6" t="e">
        <f>#REF!</f>
        <v>#REF!</v>
      </c>
      <c r="O133" s="6" t="e">
        <f>#REF!</f>
        <v>#REF!</v>
      </c>
      <c r="P133" s="6" t="e">
        <f>#REF!</f>
        <v>#REF!</v>
      </c>
      <c r="Q133" s="6" t="e">
        <f>#REF!</f>
        <v>#REF!</v>
      </c>
      <c r="R133" s="6" t="e">
        <f>#REF!</f>
        <v>#REF!</v>
      </c>
      <c r="S133" s="6" t="e">
        <f>#REF!</f>
        <v>#REF!</v>
      </c>
      <c r="T133" s="6" t="e">
        <f>#REF!</f>
        <v>#REF!</v>
      </c>
      <c r="U133" s="6" t="e">
        <f>#REF!</f>
        <v>#REF!</v>
      </c>
      <c r="V133" s="6" t="e">
        <f>#REF!</f>
        <v>#REF!</v>
      </c>
      <c r="W133" s="6" t="e">
        <f>#REF!</f>
        <v>#REF!</v>
      </c>
      <c r="X133" s="6" t="e">
        <f>#REF!</f>
        <v>#REF!</v>
      </c>
      <c r="Y133" s="6" t="e">
        <f>#REF!</f>
        <v>#REF!</v>
      </c>
      <c r="Z133" s="6" t="e">
        <f>#REF!</f>
        <v>#REF!</v>
      </c>
      <c r="AA133" s="6" t="e">
        <f>#REF!</f>
        <v>#REF!</v>
      </c>
      <c r="AB133" s="6" t="e">
        <f>#REF!</f>
        <v>#REF!</v>
      </c>
      <c r="AC133" s="6" t="e">
        <f>#REF!</f>
        <v>#REF!</v>
      </c>
      <c r="AD133" s="6" t="e">
        <f>#REF!</f>
        <v>#REF!</v>
      </c>
      <c r="AE133" s="6" t="e">
        <f>#REF!</f>
        <v>#REF!</v>
      </c>
      <c r="AF133" s="6" t="e">
        <f>#REF!</f>
        <v>#REF!</v>
      </c>
      <c r="AG133" s="6" t="e">
        <f>#REF!</f>
        <v>#REF!</v>
      </c>
      <c r="AH133" s="6" t="e">
        <f>#REF!</f>
        <v>#REF!</v>
      </c>
      <c r="AI133" s="6" t="e">
        <f>#REF!</f>
        <v>#REF!</v>
      </c>
      <c r="AJ133" s="6" t="e">
        <f>#REF!</f>
        <v>#REF!</v>
      </c>
      <c r="AK133" s="6" t="e">
        <f>#REF!</f>
        <v>#REF!</v>
      </c>
      <c r="AL133" s="6" t="e">
        <f>#REF!</f>
        <v>#REF!</v>
      </c>
    </row>
    <row r="134" spans="1:38" x14ac:dyDescent="0.25">
      <c r="A134" s="3" t="s">
        <v>328</v>
      </c>
      <c r="B134" s="126" t="e">
        <f>VLOOKUP(A134,$A$2:$AL$285,MATCH('Character Sheet'!$BJ$3,$A$1:$AL$1,0),FALSE)</f>
        <v>#REF!</v>
      </c>
      <c r="C134" s="6" t="e">
        <f>#REF!</f>
        <v>#REF!</v>
      </c>
      <c r="D134" s="6" t="e">
        <f>#REF!</f>
        <v>#REF!</v>
      </c>
      <c r="E134" s="6" t="e">
        <f>#REF!</f>
        <v>#REF!</v>
      </c>
      <c r="F134" s="6" t="e">
        <f>#REF!</f>
        <v>#REF!</v>
      </c>
      <c r="G134" s="6" t="e">
        <f>#REF!</f>
        <v>#REF!</v>
      </c>
      <c r="H134" s="6" t="e">
        <f>#REF!</f>
        <v>#REF!</v>
      </c>
      <c r="I134" s="6" t="e">
        <f>#REF!</f>
        <v>#REF!</v>
      </c>
      <c r="J134" s="6" t="e">
        <f>#REF!</f>
        <v>#REF!</v>
      </c>
      <c r="K134" s="6" t="e">
        <f>#REF!</f>
        <v>#REF!</v>
      </c>
      <c r="L134" s="6" t="e">
        <f>#REF!</f>
        <v>#REF!</v>
      </c>
      <c r="M134" s="6" t="e">
        <f>#REF!</f>
        <v>#REF!</v>
      </c>
      <c r="N134" s="6" t="e">
        <f>#REF!</f>
        <v>#REF!</v>
      </c>
      <c r="O134" s="6" t="e">
        <f>#REF!</f>
        <v>#REF!</v>
      </c>
      <c r="P134" s="6" t="e">
        <f>#REF!</f>
        <v>#REF!</v>
      </c>
      <c r="Q134" s="6" t="e">
        <f>#REF!</f>
        <v>#REF!</v>
      </c>
      <c r="R134" s="6" t="e">
        <f>#REF!</f>
        <v>#REF!</v>
      </c>
      <c r="S134" s="6" t="e">
        <f>#REF!</f>
        <v>#REF!</v>
      </c>
      <c r="T134" s="6" t="e">
        <f>#REF!</f>
        <v>#REF!</v>
      </c>
      <c r="U134" s="6" t="e">
        <f>#REF!</f>
        <v>#REF!</v>
      </c>
      <c r="V134" s="6" t="e">
        <f>#REF!</f>
        <v>#REF!</v>
      </c>
      <c r="W134" s="6" t="e">
        <f>#REF!</f>
        <v>#REF!</v>
      </c>
      <c r="X134" s="6" t="e">
        <f>#REF!</f>
        <v>#REF!</v>
      </c>
      <c r="Y134" s="6" t="e">
        <f>#REF!</f>
        <v>#REF!</v>
      </c>
      <c r="Z134" s="6" t="e">
        <f>#REF!</f>
        <v>#REF!</v>
      </c>
      <c r="AA134" s="6" t="e">
        <f>#REF!</f>
        <v>#REF!</v>
      </c>
      <c r="AB134" s="6" t="e">
        <f>#REF!</f>
        <v>#REF!</v>
      </c>
      <c r="AC134" s="6" t="e">
        <f>#REF!</f>
        <v>#REF!</v>
      </c>
      <c r="AD134" s="6" t="e">
        <f>#REF!</f>
        <v>#REF!</v>
      </c>
      <c r="AE134" s="6" t="e">
        <f>#REF!</f>
        <v>#REF!</v>
      </c>
      <c r="AF134" s="6" t="e">
        <f>#REF!</f>
        <v>#REF!</v>
      </c>
      <c r="AG134" s="6" t="e">
        <f>#REF!</f>
        <v>#REF!</v>
      </c>
      <c r="AH134" s="6" t="e">
        <f>#REF!</f>
        <v>#REF!</v>
      </c>
      <c r="AI134" s="6" t="e">
        <f>#REF!</f>
        <v>#REF!</v>
      </c>
      <c r="AJ134" s="6" t="e">
        <f>#REF!</f>
        <v>#REF!</v>
      </c>
      <c r="AK134" s="6" t="e">
        <f>#REF!</f>
        <v>#REF!</v>
      </c>
      <c r="AL134" s="6" t="e">
        <f>#REF!</f>
        <v>#REF!</v>
      </c>
    </row>
    <row r="135" spans="1:38" x14ac:dyDescent="0.25">
      <c r="A135" s="3" t="s">
        <v>329</v>
      </c>
      <c r="B135" s="126" t="e">
        <f>VLOOKUP(A135,$A$2:$AL$285,MATCH('Character Sheet'!$BJ$3,$A$1:$AL$1,0),FALSE)</f>
        <v>#REF!</v>
      </c>
      <c r="C135" s="6" t="e">
        <f>#REF!</f>
        <v>#REF!</v>
      </c>
      <c r="D135" s="6" t="e">
        <f>#REF!</f>
        <v>#REF!</v>
      </c>
      <c r="E135" s="6" t="e">
        <f>#REF!</f>
        <v>#REF!</v>
      </c>
      <c r="F135" s="6" t="e">
        <f>#REF!</f>
        <v>#REF!</v>
      </c>
      <c r="G135" s="6" t="e">
        <f>#REF!</f>
        <v>#REF!</v>
      </c>
      <c r="H135" s="6" t="e">
        <f>#REF!</f>
        <v>#REF!</v>
      </c>
      <c r="I135" s="6" t="e">
        <f>#REF!</f>
        <v>#REF!</v>
      </c>
      <c r="J135" s="6" t="e">
        <f>#REF!</f>
        <v>#REF!</v>
      </c>
      <c r="K135" s="6" t="e">
        <f>#REF!</f>
        <v>#REF!</v>
      </c>
      <c r="L135" s="6" t="e">
        <f>#REF!</f>
        <v>#REF!</v>
      </c>
      <c r="M135" s="6" t="e">
        <f>#REF!</f>
        <v>#REF!</v>
      </c>
      <c r="N135" s="6" t="e">
        <f>#REF!</f>
        <v>#REF!</v>
      </c>
      <c r="O135" s="6" t="e">
        <f>#REF!</f>
        <v>#REF!</v>
      </c>
      <c r="P135" s="6" t="e">
        <f>#REF!</f>
        <v>#REF!</v>
      </c>
      <c r="Q135" s="6" t="e">
        <f>#REF!</f>
        <v>#REF!</v>
      </c>
      <c r="R135" s="6" t="e">
        <f>#REF!</f>
        <v>#REF!</v>
      </c>
      <c r="S135" s="6" t="e">
        <f>#REF!</f>
        <v>#REF!</v>
      </c>
      <c r="T135" s="6" t="e">
        <f>#REF!</f>
        <v>#REF!</v>
      </c>
      <c r="U135" s="6" t="e">
        <f>#REF!</f>
        <v>#REF!</v>
      </c>
      <c r="V135" s="6" t="e">
        <f>#REF!</f>
        <v>#REF!</v>
      </c>
      <c r="W135" s="6" t="e">
        <f>#REF!</f>
        <v>#REF!</v>
      </c>
      <c r="X135" s="6" t="e">
        <f>#REF!</f>
        <v>#REF!</v>
      </c>
      <c r="Y135" s="6" t="e">
        <f>#REF!</f>
        <v>#REF!</v>
      </c>
      <c r="Z135" s="6" t="e">
        <f>#REF!</f>
        <v>#REF!</v>
      </c>
      <c r="AA135" s="6" t="e">
        <f>#REF!</f>
        <v>#REF!</v>
      </c>
      <c r="AB135" s="6" t="e">
        <f>#REF!</f>
        <v>#REF!</v>
      </c>
      <c r="AC135" s="6" t="e">
        <f>#REF!</f>
        <v>#REF!</v>
      </c>
      <c r="AD135" s="6" t="e">
        <f>#REF!</f>
        <v>#REF!</v>
      </c>
      <c r="AE135" s="6" t="e">
        <f>#REF!</f>
        <v>#REF!</v>
      </c>
      <c r="AF135" s="6" t="e">
        <f>#REF!</f>
        <v>#REF!</v>
      </c>
      <c r="AG135" s="6" t="e">
        <f>#REF!</f>
        <v>#REF!</v>
      </c>
      <c r="AH135" s="6" t="e">
        <f>#REF!</f>
        <v>#REF!</v>
      </c>
      <c r="AI135" s="6" t="e">
        <f>#REF!</f>
        <v>#REF!</v>
      </c>
      <c r="AJ135" s="6" t="e">
        <f>#REF!</f>
        <v>#REF!</v>
      </c>
      <c r="AK135" s="6" t="e">
        <f>#REF!</f>
        <v>#REF!</v>
      </c>
      <c r="AL135" s="6" t="e">
        <f>#REF!</f>
        <v>#REF!</v>
      </c>
    </row>
    <row r="136" spans="1:38" x14ac:dyDescent="0.25">
      <c r="A136" s="3" t="s">
        <v>330</v>
      </c>
      <c r="B136" s="126" t="e">
        <f>VLOOKUP(A136,$A$2:$AL$285,MATCH('Character Sheet'!$BJ$3,$A$1:$AL$1,0),FALSE)</f>
        <v>#REF!</v>
      </c>
      <c r="C136" s="6" t="e">
        <f>#REF!</f>
        <v>#REF!</v>
      </c>
      <c r="D136" s="6" t="e">
        <f>#REF!</f>
        <v>#REF!</v>
      </c>
      <c r="E136" s="6" t="e">
        <f>#REF!</f>
        <v>#REF!</v>
      </c>
      <c r="F136" s="6" t="e">
        <f>#REF!</f>
        <v>#REF!</v>
      </c>
      <c r="G136" s="6" t="e">
        <f>#REF!</f>
        <v>#REF!</v>
      </c>
      <c r="H136" s="6" t="e">
        <f>#REF!</f>
        <v>#REF!</v>
      </c>
      <c r="I136" s="6" t="e">
        <f>#REF!</f>
        <v>#REF!</v>
      </c>
      <c r="J136" s="6" t="e">
        <f>#REF!</f>
        <v>#REF!</v>
      </c>
      <c r="K136" s="6" t="e">
        <f>#REF!</f>
        <v>#REF!</v>
      </c>
      <c r="L136" s="6" t="e">
        <f>#REF!</f>
        <v>#REF!</v>
      </c>
      <c r="M136" s="6" t="e">
        <f>#REF!</f>
        <v>#REF!</v>
      </c>
      <c r="N136" s="6" t="e">
        <f>#REF!</f>
        <v>#REF!</v>
      </c>
      <c r="O136" s="6" t="e">
        <f>#REF!</f>
        <v>#REF!</v>
      </c>
      <c r="P136" s="6" t="e">
        <f>#REF!</f>
        <v>#REF!</v>
      </c>
      <c r="Q136" s="6" t="e">
        <f>#REF!</f>
        <v>#REF!</v>
      </c>
      <c r="R136" s="6" t="e">
        <f>#REF!</f>
        <v>#REF!</v>
      </c>
      <c r="S136" s="6" t="e">
        <f>#REF!</f>
        <v>#REF!</v>
      </c>
      <c r="T136" s="6" t="e">
        <f>#REF!</f>
        <v>#REF!</v>
      </c>
      <c r="U136" s="6" t="e">
        <f>#REF!</f>
        <v>#REF!</v>
      </c>
      <c r="V136" s="6" t="e">
        <f>#REF!</f>
        <v>#REF!</v>
      </c>
      <c r="W136" s="6" t="e">
        <f>#REF!</f>
        <v>#REF!</v>
      </c>
      <c r="X136" s="6" t="e">
        <f>#REF!</f>
        <v>#REF!</v>
      </c>
      <c r="Y136" s="6" t="e">
        <f>#REF!</f>
        <v>#REF!</v>
      </c>
      <c r="Z136" s="6" t="e">
        <f>#REF!</f>
        <v>#REF!</v>
      </c>
      <c r="AA136" s="6" t="e">
        <f>#REF!</f>
        <v>#REF!</v>
      </c>
      <c r="AB136" s="6" t="e">
        <f>#REF!</f>
        <v>#REF!</v>
      </c>
      <c r="AC136" s="6" t="e">
        <f>#REF!</f>
        <v>#REF!</v>
      </c>
      <c r="AD136" s="6" t="e">
        <f>#REF!</f>
        <v>#REF!</v>
      </c>
      <c r="AE136" s="6" t="e">
        <f>#REF!</f>
        <v>#REF!</v>
      </c>
      <c r="AF136" s="6" t="e">
        <f>#REF!</f>
        <v>#REF!</v>
      </c>
      <c r="AG136" s="6" t="e">
        <f>#REF!</f>
        <v>#REF!</v>
      </c>
      <c r="AH136" s="6" t="e">
        <f>#REF!</f>
        <v>#REF!</v>
      </c>
      <c r="AI136" s="6" t="e">
        <f>#REF!</f>
        <v>#REF!</v>
      </c>
      <c r="AJ136" s="6" t="e">
        <f>#REF!</f>
        <v>#REF!</v>
      </c>
      <c r="AK136" s="6" t="e">
        <f>#REF!</f>
        <v>#REF!</v>
      </c>
      <c r="AL136" s="6" t="e">
        <f>#REF!</f>
        <v>#REF!</v>
      </c>
    </row>
    <row r="137" spans="1:38" x14ac:dyDescent="0.25">
      <c r="A137" s="3" t="s">
        <v>331</v>
      </c>
      <c r="B137" s="126" t="e">
        <f>VLOOKUP(A137,$A$2:$AL$285,MATCH('Character Sheet'!$BJ$3,$A$1:$AL$1,0),FALSE)</f>
        <v>#REF!</v>
      </c>
      <c r="C137" s="6" t="e">
        <f>#REF!</f>
        <v>#REF!</v>
      </c>
      <c r="D137" s="6" t="e">
        <f>#REF!</f>
        <v>#REF!</v>
      </c>
      <c r="E137" s="6" t="e">
        <f>#REF!</f>
        <v>#REF!</v>
      </c>
      <c r="F137" s="6" t="e">
        <f>#REF!</f>
        <v>#REF!</v>
      </c>
      <c r="G137" s="6" t="e">
        <f>#REF!</f>
        <v>#REF!</v>
      </c>
      <c r="H137" s="6" t="e">
        <f>#REF!</f>
        <v>#REF!</v>
      </c>
      <c r="I137" s="6" t="e">
        <f>#REF!</f>
        <v>#REF!</v>
      </c>
      <c r="J137" s="6" t="e">
        <f>#REF!</f>
        <v>#REF!</v>
      </c>
      <c r="K137" s="6" t="e">
        <f>#REF!</f>
        <v>#REF!</v>
      </c>
      <c r="L137" s="6" t="e">
        <f>#REF!</f>
        <v>#REF!</v>
      </c>
      <c r="M137" s="6" t="e">
        <f>#REF!</f>
        <v>#REF!</v>
      </c>
      <c r="N137" s="6" t="e">
        <f>#REF!</f>
        <v>#REF!</v>
      </c>
      <c r="O137" s="6" t="e">
        <f>#REF!</f>
        <v>#REF!</v>
      </c>
      <c r="P137" s="6" t="e">
        <f>#REF!</f>
        <v>#REF!</v>
      </c>
      <c r="Q137" s="6" t="e">
        <f>#REF!</f>
        <v>#REF!</v>
      </c>
      <c r="R137" s="6" t="e">
        <f>#REF!</f>
        <v>#REF!</v>
      </c>
      <c r="S137" s="6" t="e">
        <f>#REF!</f>
        <v>#REF!</v>
      </c>
      <c r="T137" s="6" t="e">
        <f>#REF!</f>
        <v>#REF!</v>
      </c>
      <c r="U137" s="6" t="e">
        <f>#REF!</f>
        <v>#REF!</v>
      </c>
      <c r="V137" s="6" t="e">
        <f>#REF!</f>
        <v>#REF!</v>
      </c>
      <c r="W137" s="6" t="e">
        <f>#REF!</f>
        <v>#REF!</v>
      </c>
      <c r="X137" s="6" t="e">
        <f>#REF!</f>
        <v>#REF!</v>
      </c>
      <c r="Y137" s="6" t="e">
        <f>#REF!</f>
        <v>#REF!</v>
      </c>
      <c r="Z137" s="6" t="e">
        <f>#REF!</f>
        <v>#REF!</v>
      </c>
      <c r="AA137" s="6" t="e">
        <f>#REF!</f>
        <v>#REF!</v>
      </c>
      <c r="AB137" s="6" t="e">
        <f>#REF!</f>
        <v>#REF!</v>
      </c>
      <c r="AC137" s="6" t="e">
        <f>#REF!</f>
        <v>#REF!</v>
      </c>
      <c r="AD137" s="6" t="e">
        <f>#REF!</f>
        <v>#REF!</v>
      </c>
      <c r="AE137" s="6" t="e">
        <f>#REF!</f>
        <v>#REF!</v>
      </c>
      <c r="AF137" s="6" t="e">
        <f>#REF!</f>
        <v>#REF!</v>
      </c>
      <c r="AG137" s="6" t="e">
        <f>#REF!</f>
        <v>#REF!</v>
      </c>
      <c r="AH137" s="6" t="e">
        <f>#REF!</f>
        <v>#REF!</v>
      </c>
      <c r="AI137" s="6" t="e">
        <f>#REF!</f>
        <v>#REF!</v>
      </c>
      <c r="AJ137" s="6" t="e">
        <f>#REF!</f>
        <v>#REF!</v>
      </c>
      <c r="AK137" s="6" t="e">
        <f>#REF!</f>
        <v>#REF!</v>
      </c>
      <c r="AL137" s="6" t="e">
        <f>#REF!</f>
        <v>#REF!</v>
      </c>
    </row>
    <row r="138" spans="1:38" x14ac:dyDescent="0.25">
      <c r="A138" s="3" t="s">
        <v>332</v>
      </c>
      <c r="B138" s="126" t="e">
        <f>VLOOKUP(A138,$A$2:$AL$285,MATCH('Character Sheet'!$BJ$3,$A$1:$AL$1,0),FALSE)</f>
        <v>#REF!</v>
      </c>
      <c r="C138" s="6" t="e">
        <f>#REF!</f>
        <v>#REF!</v>
      </c>
      <c r="D138" s="6" t="e">
        <f>#REF!</f>
        <v>#REF!</v>
      </c>
      <c r="E138" s="6" t="e">
        <f>#REF!</f>
        <v>#REF!</v>
      </c>
      <c r="F138" s="6" t="e">
        <f>#REF!</f>
        <v>#REF!</v>
      </c>
      <c r="G138" s="6" t="e">
        <f>#REF!</f>
        <v>#REF!</v>
      </c>
      <c r="H138" s="6" t="e">
        <f>#REF!</f>
        <v>#REF!</v>
      </c>
      <c r="I138" s="6" t="e">
        <f>#REF!</f>
        <v>#REF!</v>
      </c>
      <c r="J138" s="6" t="e">
        <f>#REF!</f>
        <v>#REF!</v>
      </c>
      <c r="K138" s="6" t="e">
        <f>#REF!</f>
        <v>#REF!</v>
      </c>
      <c r="L138" s="6" t="e">
        <f>#REF!</f>
        <v>#REF!</v>
      </c>
      <c r="M138" s="6" t="e">
        <f>#REF!</f>
        <v>#REF!</v>
      </c>
      <c r="N138" s="6" t="e">
        <f>#REF!</f>
        <v>#REF!</v>
      </c>
      <c r="O138" s="6" t="e">
        <f>#REF!</f>
        <v>#REF!</v>
      </c>
      <c r="P138" s="6" t="e">
        <f>#REF!</f>
        <v>#REF!</v>
      </c>
      <c r="Q138" s="6" t="e">
        <f>#REF!</f>
        <v>#REF!</v>
      </c>
      <c r="R138" s="6" t="e">
        <f>#REF!</f>
        <v>#REF!</v>
      </c>
      <c r="S138" s="6" t="e">
        <f>#REF!</f>
        <v>#REF!</v>
      </c>
      <c r="T138" s="6" t="e">
        <f>#REF!</f>
        <v>#REF!</v>
      </c>
      <c r="U138" s="6" t="e">
        <f>#REF!</f>
        <v>#REF!</v>
      </c>
      <c r="V138" s="6" t="e">
        <f>#REF!</f>
        <v>#REF!</v>
      </c>
      <c r="W138" s="6" t="e">
        <f>#REF!</f>
        <v>#REF!</v>
      </c>
      <c r="X138" s="6" t="e">
        <f>#REF!</f>
        <v>#REF!</v>
      </c>
      <c r="Y138" s="6" t="e">
        <f>#REF!</f>
        <v>#REF!</v>
      </c>
      <c r="Z138" s="6" t="e">
        <f>#REF!</f>
        <v>#REF!</v>
      </c>
      <c r="AA138" s="6" t="e">
        <f>#REF!</f>
        <v>#REF!</v>
      </c>
      <c r="AB138" s="6" t="e">
        <f>#REF!</f>
        <v>#REF!</v>
      </c>
      <c r="AC138" s="6" t="e">
        <f>#REF!</f>
        <v>#REF!</v>
      </c>
      <c r="AD138" s="6" t="e">
        <f>#REF!</f>
        <v>#REF!</v>
      </c>
      <c r="AE138" s="6" t="e">
        <f>#REF!</f>
        <v>#REF!</v>
      </c>
      <c r="AF138" s="6" t="e">
        <f>#REF!</f>
        <v>#REF!</v>
      </c>
      <c r="AG138" s="6" t="e">
        <f>#REF!</f>
        <v>#REF!</v>
      </c>
      <c r="AH138" s="6" t="e">
        <f>#REF!</f>
        <v>#REF!</v>
      </c>
      <c r="AI138" s="6" t="e">
        <f>#REF!</f>
        <v>#REF!</v>
      </c>
      <c r="AJ138" s="6" t="e">
        <f>#REF!</f>
        <v>#REF!</v>
      </c>
      <c r="AK138" s="6" t="e">
        <f>#REF!</f>
        <v>#REF!</v>
      </c>
      <c r="AL138" s="6" t="e">
        <f>#REF!</f>
        <v>#REF!</v>
      </c>
    </row>
    <row r="139" spans="1:38" x14ac:dyDescent="0.25">
      <c r="A139" s="3" t="s">
        <v>2064</v>
      </c>
      <c r="B139" s="126" t="e">
        <f>VLOOKUP(A139,$A$2:$AL$285,MATCH('Character Sheet'!$BJ$3,$A$1:$AL$1,0),FALSE)</f>
        <v>#REF!</v>
      </c>
      <c r="C139" s="6" t="e">
        <f>#REF!</f>
        <v>#REF!</v>
      </c>
      <c r="D139" s="6" t="e">
        <f>#REF!</f>
        <v>#REF!</v>
      </c>
      <c r="E139" s="6" t="e">
        <f>#REF!</f>
        <v>#REF!</v>
      </c>
      <c r="F139" s="6" t="e">
        <f>#REF!</f>
        <v>#REF!</v>
      </c>
      <c r="G139" s="6" t="e">
        <f>#REF!</f>
        <v>#REF!</v>
      </c>
      <c r="H139" s="6" t="e">
        <f>#REF!</f>
        <v>#REF!</v>
      </c>
      <c r="I139" s="6" t="e">
        <f>#REF!</f>
        <v>#REF!</v>
      </c>
      <c r="J139" s="6" t="e">
        <f>#REF!</f>
        <v>#REF!</v>
      </c>
      <c r="K139" s="6" t="e">
        <f>#REF!</f>
        <v>#REF!</v>
      </c>
      <c r="L139" s="6" t="e">
        <f>#REF!</f>
        <v>#REF!</v>
      </c>
      <c r="M139" s="6" t="e">
        <f>#REF!</f>
        <v>#REF!</v>
      </c>
      <c r="N139" s="6" t="e">
        <f>#REF!</f>
        <v>#REF!</v>
      </c>
      <c r="O139" s="6" t="e">
        <f>#REF!</f>
        <v>#REF!</v>
      </c>
      <c r="P139" s="6" t="e">
        <f>#REF!</f>
        <v>#REF!</v>
      </c>
      <c r="Q139" s="6" t="e">
        <f>#REF!</f>
        <v>#REF!</v>
      </c>
      <c r="R139" s="6" t="e">
        <f>#REF!</f>
        <v>#REF!</v>
      </c>
      <c r="S139" s="6" t="e">
        <f>#REF!</f>
        <v>#REF!</v>
      </c>
      <c r="T139" s="6" t="e">
        <f>#REF!</f>
        <v>#REF!</v>
      </c>
      <c r="U139" s="6" t="e">
        <f>#REF!</f>
        <v>#REF!</v>
      </c>
      <c r="V139" s="6" t="e">
        <f>#REF!</f>
        <v>#REF!</v>
      </c>
      <c r="W139" s="6" t="e">
        <f>#REF!</f>
        <v>#REF!</v>
      </c>
      <c r="X139" s="6" t="e">
        <f>#REF!</f>
        <v>#REF!</v>
      </c>
      <c r="Y139" s="6" t="e">
        <f>#REF!</f>
        <v>#REF!</v>
      </c>
      <c r="Z139" s="6" t="e">
        <f>#REF!</f>
        <v>#REF!</v>
      </c>
      <c r="AA139" s="6" t="e">
        <f>#REF!</f>
        <v>#REF!</v>
      </c>
      <c r="AB139" s="6" t="e">
        <f>#REF!</f>
        <v>#REF!</v>
      </c>
      <c r="AC139" s="6" t="e">
        <f>#REF!</f>
        <v>#REF!</v>
      </c>
      <c r="AD139" s="6" t="e">
        <f>#REF!</f>
        <v>#REF!</v>
      </c>
      <c r="AE139" s="6" t="e">
        <f>#REF!</f>
        <v>#REF!</v>
      </c>
      <c r="AF139" s="6" t="e">
        <f>#REF!</f>
        <v>#REF!</v>
      </c>
      <c r="AG139" s="6" t="e">
        <f>#REF!</f>
        <v>#REF!</v>
      </c>
      <c r="AH139" s="6" t="e">
        <f>#REF!</f>
        <v>#REF!</v>
      </c>
      <c r="AI139" s="6" t="e">
        <f>#REF!</f>
        <v>#REF!</v>
      </c>
      <c r="AJ139" s="6" t="e">
        <f>#REF!</f>
        <v>#REF!</v>
      </c>
      <c r="AK139" s="6" t="e">
        <f>#REF!</f>
        <v>#REF!</v>
      </c>
      <c r="AL139" s="6" t="e">
        <f>#REF!</f>
        <v>#REF!</v>
      </c>
    </row>
    <row r="140" spans="1:38" x14ac:dyDescent="0.25">
      <c r="A140" s="65" t="s">
        <v>334</v>
      </c>
      <c r="B140" s="126" t="e">
        <f>VLOOKUP(A140,$A$2:$AL$285,MATCH('Character Sheet'!$BJ$3,$A$1:$AL$1,0),FALSE)</f>
        <v>#REF!</v>
      </c>
      <c r="C140" s="6" t="e">
        <f>#REF!</f>
        <v>#REF!</v>
      </c>
      <c r="D140" s="6" t="e">
        <f>#REF!</f>
        <v>#REF!</v>
      </c>
      <c r="E140" s="6" t="e">
        <f>#REF!</f>
        <v>#REF!</v>
      </c>
      <c r="F140" s="6" t="e">
        <f>#REF!</f>
        <v>#REF!</v>
      </c>
      <c r="G140" s="6" t="e">
        <f>#REF!</f>
        <v>#REF!</v>
      </c>
      <c r="H140" s="6" t="e">
        <f>#REF!</f>
        <v>#REF!</v>
      </c>
      <c r="I140" s="6" t="e">
        <f>#REF!</f>
        <v>#REF!</v>
      </c>
      <c r="J140" s="6" t="e">
        <f>#REF!</f>
        <v>#REF!</v>
      </c>
      <c r="K140" s="6" t="e">
        <f>#REF!</f>
        <v>#REF!</v>
      </c>
      <c r="L140" s="6" t="e">
        <f>#REF!</f>
        <v>#REF!</v>
      </c>
      <c r="M140" s="6" t="e">
        <f>#REF!</f>
        <v>#REF!</v>
      </c>
      <c r="N140" s="6" t="e">
        <f>#REF!</f>
        <v>#REF!</v>
      </c>
      <c r="O140" s="6" t="e">
        <f>#REF!</f>
        <v>#REF!</v>
      </c>
      <c r="P140" s="6" t="e">
        <f>#REF!</f>
        <v>#REF!</v>
      </c>
      <c r="Q140" s="6" t="e">
        <f>#REF!</f>
        <v>#REF!</v>
      </c>
      <c r="R140" s="6" t="e">
        <f>#REF!</f>
        <v>#REF!</v>
      </c>
      <c r="S140" s="6" t="e">
        <f>#REF!</f>
        <v>#REF!</v>
      </c>
      <c r="T140" s="6" t="e">
        <f>#REF!</f>
        <v>#REF!</v>
      </c>
      <c r="U140" s="6" t="e">
        <f>#REF!</f>
        <v>#REF!</v>
      </c>
      <c r="V140" s="6" t="e">
        <f>#REF!</f>
        <v>#REF!</v>
      </c>
      <c r="W140" s="6" t="e">
        <f>#REF!</f>
        <v>#REF!</v>
      </c>
      <c r="X140" s="6" t="e">
        <f>#REF!</f>
        <v>#REF!</v>
      </c>
      <c r="Y140" s="6" t="e">
        <f>#REF!</f>
        <v>#REF!</v>
      </c>
      <c r="Z140" s="6" t="e">
        <f>#REF!</f>
        <v>#REF!</v>
      </c>
      <c r="AA140" s="6" t="e">
        <f>#REF!</f>
        <v>#REF!</v>
      </c>
      <c r="AB140" s="6" t="e">
        <f>#REF!</f>
        <v>#REF!</v>
      </c>
      <c r="AC140" s="6" t="e">
        <f>#REF!</f>
        <v>#REF!</v>
      </c>
      <c r="AD140" s="6" t="e">
        <f>#REF!</f>
        <v>#REF!</v>
      </c>
      <c r="AE140" s="6" t="e">
        <f>#REF!</f>
        <v>#REF!</v>
      </c>
      <c r="AF140" s="6" t="e">
        <f>#REF!</f>
        <v>#REF!</v>
      </c>
      <c r="AG140" s="6" t="e">
        <f>#REF!</f>
        <v>#REF!</v>
      </c>
      <c r="AH140" s="6" t="e">
        <f>#REF!</f>
        <v>#REF!</v>
      </c>
      <c r="AI140" s="6" t="e">
        <f>#REF!</f>
        <v>#REF!</v>
      </c>
      <c r="AJ140" s="6" t="e">
        <f>#REF!</f>
        <v>#REF!</v>
      </c>
      <c r="AK140" s="6" t="e">
        <f>#REF!</f>
        <v>#REF!</v>
      </c>
      <c r="AL140" s="6" t="e">
        <f>#REF!</f>
        <v>#REF!</v>
      </c>
    </row>
    <row r="141" spans="1:38" x14ac:dyDescent="0.25">
      <c r="A141" s="65" t="s">
        <v>2065</v>
      </c>
      <c r="B141" s="126" t="e">
        <f>VLOOKUP(A141,$A$2:$AL$285,MATCH('Character Sheet'!$BJ$3,$A$1:$AL$1,0),FALSE)</f>
        <v>#REF!</v>
      </c>
      <c r="C141" s="6" t="e">
        <f>#REF!</f>
        <v>#REF!</v>
      </c>
      <c r="D141" s="6" t="e">
        <f>#REF!</f>
        <v>#REF!</v>
      </c>
      <c r="E141" s="6" t="e">
        <f>#REF!</f>
        <v>#REF!</v>
      </c>
      <c r="F141" s="6" t="e">
        <f>#REF!</f>
        <v>#REF!</v>
      </c>
      <c r="G141" s="6" t="e">
        <f>#REF!</f>
        <v>#REF!</v>
      </c>
      <c r="H141" s="6" t="e">
        <f>#REF!</f>
        <v>#REF!</v>
      </c>
      <c r="I141" s="6" t="e">
        <f>#REF!</f>
        <v>#REF!</v>
      </c>
      <c r="J141" s="6" t="e">
        <f>#REF!</f>
        <v>#REF!</v>
      </c>
      <c r="K141" s="6" t="e">
        <f>#REF!</f>
        <v>#REF!</v>
      </c>
      <c r="L141" s="6" t="e">
        <f>#REF!</f>
        <v>#REF!</v>
      </c>
      <c r="M141" s="6" t="e">
        <f>#REF!</f>
        <v>#REF!</v>
      </c>
      <c r="N141" s="6" t="e">
        <f>#REF!</f>
        <v>#REF!</v>
      </c>
      <c r="O141" s="6" t="e">
        <f>#REF!</f>
        <v>#REF!</v>
      </c>
      <c r="P141" s="6" t="e">
        <f>#REF!</f>
        <v>#REF!</v>
      </c>
      <c r="Q141" s="6" t="e">
        <f>#REF!</f>
        <v>#REF!</v>
      </c>
      <c r="R141" s="6" t="e">
        <f>#REF!</f>
        <v>#REF!</v>
      </c>
      <c r="S141" s="6" t="e">
        <f>#REF!</f>
        <v>#REF!</v>
      </c>
      <c r="T141" s="6" t="e">
        <f>#REF!</f>
        <v>#REF!</v>
      </c>
      <c r="U141" s="6" t="e">
        <f>#REF!</f>
        <v>#REF!</v>
      </c>
      <c r="V141" s="6" t="e">
        <f>#REF!</f>
        <v>#REF!</v>
      </c>
      <c r="W141" s="6" t="e">
        <f>#REF!</f>
        <v>#REF!</v>
      </c>
      <c r="X141" s="6" t="e">
        <f>#REF!</f>
        <v>#REF!</v>
      </c>
      <c r="Y141" s="6" t="e">
        <f>#REF!</f>
        <v>#REF!</v>
      </c>
      <c r="Z141" s="6" t="e">
        <f>#REF!</f>
        <v>#REF!</v>
      </c>
      <c r="AA141" s="6" t="e">
        <f>#REF!</f>
        <v>#REF!</v>
      </c>
      <c r="AB141" s="6" t="e">
        <f>#REF!</f>
        <v>#REF!</v>
      </c>
      <c r="AC141" s="6" t="e">
        <f>#REF!</f>
        <v>#REF!</v>
      </c>
      <c r="AD141" s="6" t="e">
        <f>#REF!</f>
        <v>#REF!</v>
      </c>
      <c r="AE141" s="6" t="e">
        <f>#REF!</f>
        <v>#REF!</v>
      </c>
      <c r="AF141" s="6" t="e">
        <f>#REF!</f>
        <v>#REF!</v>
      </c>
      <c r="AG141" s="6" t="e">
        <f>#REF!</f>
        <v>#REF!</v>
      </c>
      <c r="AH141" s="6" t="e">
        <f>#REF!</f>
        <v>#REF!</v>
      </c>
      <c r="AI141" s="6" t="e">
        <f>#REF!</f>
        <v>#REF!</v>
      </c>
      <c r="AJ141" s="6" t="e">
        <f>#REF!</f>
        <v>#REF!</v>
      </c>
      <c r="AK141" s="6" t="e">
        <f>#REF!</f>
        <v>#REF!</v>
      </c>
      <c r="AL141" s="6" t="e">
        <f>#REF!</f>
        <v>#REF!</v>
      </c>
    </row>
    <row r="142" spans="1:38" x14ac:dyDescent="0.25">
      <c r="A142" s="65" t="s">
        <v>2066</v>
      </c>
      <c r="B142" s="126" t="e">
        <f>VLOOKUP(A142,$A$2:$AL$285,MATCH('Character Sheet'!$BJ$3,$A$1:$AL$1,0),FALSE)</f>
        <v>#REF!</v>
      </c>
      <c r="C142" s="6" t="e">
        <f>#REF!</f>
        <v>#REF!</v>
      </c>
      <c r="D142" s="6" t="e">
        <f>#REF!</f>
        <v>#REF!</v>
      </c>
      <c r="E142" s="6" t="e">
        <f>#REF!</f>
        <v>#REF!</v>
      </c>
      <c r="F142" s="6" t="e">
        <f>#REF!</f>
        <v>#REF!</v>
      </c>
      <c r="G142" s="6" t="e">
        <f>#REF!</f>
        <v>#REF!</v>
      </c>
      <c r="H142" s="6" t="e">
        <f>#REF!</f>
        <v>#REF!</v>
      </c>
      <c r="I142" s="6" t="e">
        <f>#REF!</f>
        <v>#REF!</v>
      </c>
      <c r="J142" s="6" t="e">
        <f>#REF!</f>
        <v>#REF!</v>
      </c>
      <c r="K142" s="6" t="e">
        <f>#REF!</f>
        <v>#REF!</v>
      </c>
      <c r="L142" s="6" t="e">
        <f>#REF!</f>
        <v>#REF!</v>
      </c>
      <c r="M142" s="6" t="e">
        <f>#REF!</f>
        <v>#REF!</v>
      </c>
      <c r="N142" s="6" t="e">
        <f>#REF!</f>
        <v>#REF!</v>
      </c>
      <c r="O142" s="6" t="e">
        <f>#REF!</f>
        <v>#REF!</v>
      </c>
      <c r="P142" s="6" t="e">
        <f>#REF!</f>
        <v>#REF!</v>
      </c>
      <c r="Q142" s="6" t="e">
        <f>#REF!</f>
        <v>#REF!</v>
      </c>
      <c r="R142" s="6" t="e">
        <f>#REF!</f>
        <v>#REF!</v>
      </c>
      <c r="S142" s="6" t="e">
        <f>#REF!</f>
        <v>#REF!</v>
      </c>
      <c r="T142" s="6" t="e">
        <f>#REF!</f>
        <v>#REF!</v>
      </c>
      <c r="U142" s="6" t="e">
        <f>#REF!</f>
        <v>#REF!</v>
      </c>
      <c r="V142" s="6" t="e">
        <f>#REF!</f>
        <v>#REF!</v>
      </c>
      <c r="W142" s="6" t="e">
        <f>#REF!</f>
        <v>#REF!</v>
      </c>
      <c r="X142" s="6" t="e">
        <f>#REF!</f>
        <v>#REF!</v>
      </c>
      <c r="Y142" s="6" t="e">
        <f>#REF!</f>
        <v>#REF!</v>
      </c>
      <c r="Z142" s="6" t="e">
        <f>#REF!</f>
        <v>#REF!</v>
      </c>
      <c r="AA142" s="6" t="e">
        <f>#REF!</f>
        <v>#REF!</v>
      </c>
      <c r="AB142" s="6" t="e">
        <f>#REF!</f>
        <v>#REF!</v>
      </c>
      <c r="AC142" s="6" t="e">
        <f>#REF!</f>
        <v>#REF!</v>
      </c>
      <c r="AD142" s="6" t="e">
        <f>#REF!</f>
        <v>#REF!</v>
      </c>
      <c r="AE142" s="6" t="e">
        <f>#REF!</f>
        <v>#REF!</v>
      </c>
      <c r="AF142" s="6" t="e">
        <f>#REF!</f>
        <v>#REF!</v>
      </c>
      <c r="AG142" s="6" t="e">
        <f>#REF!</f>
        <v>#REF!</v>
      </c>
      <c r="AH142" s="6" t="e">
        <f>#REF!</f>
        <v>#REF!</v>
      </c>
      <c r="AI142" s="6" t="e">
        <f>#REF!</f>
        <v>#REF!</v>
      </c>
      <c r="AJ142" s="6" t="e">
        <f>#REF!</f>
        <v>#REF!</v>
      </c>
      <c r="AK142" s="6" t="e">
        <f>#REF!</f>
        <v>#REF!</v>
      </c>
      <c r="AL142" s="6" t="e">
        <f>#REF!</f>
        <v>#REF!</v>
      </c>
    </row>
    <row r="143" spans="1:38" x14ac:dyDescent="0.25">
      <c r="A143" s="65" t="s">
        <v>2067</v>
      </c>
      <c r="B143" s="126" t="e">
        <f>VLOOKUP(A143,$A$2:$AL$285,MATCH('Character Sheet'!$BJ$3,$A$1:$AL$1,0),FALSE)</f>
        <v>#REF!</v>
      </c>
      <c r="C143" s="6" t="e">
        <f>#REF!</f>
        <v>#REF!</v>
      </c>
      <c r="D143" s="6" t="e">
        <f>#REF!</f>
        <v>#REF!</v>
      </c>
      <c r="E143" s="6" t="e">
        <f>#REF!</f>
        <v>#REF!</v>
      </c>
      <c r="F143" s="6" t="e">
        <f>#REF!</f>
        <v>#REF!</v>
      </c>
      <c r="G143" s="6" t="e">
        <f>#REF!</f>
        <v>#REF!</v>
      </c>
      <c r="H143" s="6" t="e">
        <f>#REF!</f>
        <v>#REF!</v>
      </c>
      <c r="I143" s="6" t="e">
        <f>#REF!</f>
        <v>#REF!</v>
      </c>
      <c r="J143" s="6" t="e">
        <f>#REF!</f>
        <v>#REF!</v>
      </c>
      <c r="K143" s="6" t="e">
        <f>#REF!</f>
        <v>#REF!</v>
      </c>
      <c r="L143" s="6" t="e">
        <f>#REF!</f>
        <v>#REF!</v>
      </c>
      <c r="M143" s="6" t="e">
        <f>#REF!</f>
        <v>#REF!</v>
      </c>
      <c r="N143" s="6" t="e">
        <f>#REF!</f>
        <v>#REF!</v>
      </c>
      <c r="O143" s="6" t="e">
        <f>#REF!</f>
        <v>#REF!</v>
      </c>
      <c r="P143" s="6" t="e">
        <f>#REF!</f>
        <v>#REF!</v>
      </c>
      <c r="Q143" s="6" t="e">
        <f>#REF!</f>
        <v>#REF!</v>
      </c>
      <c r="R143" s="6" t="e">
        <f>#REF!</f>
        <v>#REF!</v>
      </c>
      <c r="S143" s="6" t="e">
        <f>#REF!</f>
        <v>#REF!</v>
      </c>
      <c r="T143" s="6" t="e">
        <f>#REF!</f>
        <v>#REF!</v>
      </c>
      <c r="U143" s="6" t="e">
        <f>#REF!</f>
        <v>#REF!</v>
      </c>
      <c r="V143" s="6" t="e">
        <f>#REF!</f>
        <v>#REF!</v>
      </c>
      <c r="W143" s="6" t="e">
        <f>#REF!</f>
        <v>#REF!</v>
      </c>
      <c r="X143" s="6" t="e">
        <f>#REF!</f>
        <v>#REF!</v>
      </c>
      <c r="Y143" s="6" t="e">
        <f>#REF!</f>
        <v>#REF!</v>
      </c>
      <c r="Z143" s="6" t="e">
        <f>#REF!</f>
        <v>#REF!</v>
      </c>
      <c r="AA143" s="6" t="e">
        <f>#REF!</f>
        <v>#REF!</v>
      </c>
      <c r="AB143" s="6" t="e">
        <f>#REF!</f>
        <v>#REF!</v>
      </c>
      <c r="AC143" s="6" t="e">
        <f>#REF!</f>
        <v>#REF!</v>
      </c>
      <c r="AD143" s="6" t="e">
        <f>#REF!</f>
        <v>#REF!</v>
      </c>
      <c r="AE143" s="6" t="e">
        <f>#REF!</f>
        <v>#REF!</v>
      </c>
      <c r="AF143" s="6" t="e">
        <f>#REF!</f>
        <v>#REF!</v>
      </c>
      <c r="AG143" s="6" t="e">
        <f>#REF!</f>
        <v>#REF!</v>
      </c>
      <c r="AH143" s="6" t="e">
        <f>#REF!</f>
        <v>#REF!</v>
      </c>
      <c r="AI143" s="6" t="e">
        <f>#REF!</f>
        <v>#REF!</v>
      </c>
      <c r="AJ143" s="6" t="e">
        <f>#REF!</f>
        <v>#REF!</v>
      </c>
      <c r="AK143" s="6" t="e">
        <f>#REF!</f>
        <v>#REF!</v>
      </c>
      <c r="AL143" s="6" t="e">
        <f>#REF!</f>
        <v>#REF!</v>
      </c>
    </row>
    <row r="144" spans="1:38" x14ac:dyDescent="0.25">
      <c r="A144" s="65" t="s">
        <v>38</v>
      </c>
      <c r="B144" s="126" t="e">
        <f>VLOOKUP(A144,$A$2:$AL$285,MATCH('Character Sheet'!$BJ$3,$A$1:$AL$1,0),FALSE)</f>
        <v>#REF!</v>
      </c>
      <c r="C144" s="6" t="e">
        <f>#REF!</f>
        <v>#REF!</v>
      </c>
      <c r="D144" s="6" t="e">
        <f>#REF!</f>
        <v>#REF!</v>
      </c>
      <c r="E144" s="6" t="e">
        <f>#REF!</f>
        <v>#REF!</v>
      </c>
      <c r="F144" s="6" t="e">
        <f>#REF!</f>
        <v>#REF!</v>
      </c>
      <c r="G144" s="6" t="e">
        <f>#REF!</f>
        <v>#REF!</v>
      </c>
      <c r="H144" s="6" t="e">
        <f>#REF!</f>
        <v>#REF!</v>
      </c>
      <c r="I144" s="6" t="e">
        <f>#REF!</f>
        <v>#REF!</v>
      </c>
      <c r="J144" s="6" t="e">
        <f>#REF!</f>
        <v>#REF!</v>
      </c>
      <c r="K144" s="6" t="e">
        <f>#REF!</f>
        <v>#REF!</v>
      </c>
      <c r="L144" s="6" t="e">
        <f>#REF!</f>
        <v>#REF!</v>
      </c>
      <c r="M144" s="6" t="e">
        <f>#REF!</f>
        <v>#REF!</v>
      </c>
      <c r="N144" s="6" t="e">
        <f>#REF!</f>
        <v>#REF!</v>
      </c>
      <c r="O144" s="6" t="e">
        <f>#REF!</f>
        <v>#REF!</v>
      </c>
      <c r="P144" s="6" t="e">
        <f>#REF!</f>
        <v>#REF!</v>
      </c>
      <c r="Q144" s="6" t="e">
        <f>#REF!</f>
        <v>#REF!</v>
      </c>
      <c r="R144" s="6" t="e">
        <f>#REF!</f>
        <v>#REF!</v>
      </c>
      <c r="S144" s="6" t="e">
        <f>#REF!</f>
        <v>#REF!</v>
      </c>
      <c r="T144" s="6" t="e">
        <f>#REF!</f>
        <v>#REF!</v>
      </c>
      <c r="U144" s="6" t="e">
        <f>#REF!</f>
        <v>#REF!</v>
      </c>
      <c r="V144" s="6" t="e">
        <f>#REF!</f>
        <v>#REF!</v>
      </c>
      <c r="W144" s="6" t="e">
        <f>#REF!</f>
        <v>#REF!</v>
      </c>
      <c r="X144" s="6" t="e">
        <f>#REF!</f>
        <v>#REF!</v>
      </c>
      <c r="Y144" s="6" t="e">
        <f>#REF!</f>
        <v>#REF!</v>
      </c>
      <c r="Z144" s="6" t="e">
        <f>#REF!</f>
        <v>#REF!</v>
      </c>
      <c r="AA144" s="6" t="e">
        <f>#REF!</f>
        <v>#REF!</v>
      </c>
      <c r="AB144" s="6" t="e">
        <f>#REF!</f>
        <v>#REF!</v>
      </c>
      <c r="AC144" s="6" t="e">
        <f>#REF!</f>
        <v>#REF!</v>
      </c>
      <c r="AD144" s="6" t="e">
        <f>#REF!</f>
        <v>#REF!</v>
      </c>
      <c r="AE144" s="6" t="e">
        <f>#REF!</f>
        <v>#REF!</v>
      </c>
      <c r="AF144" s="6" t="e">
        <f>#REF!</f>
        <v>#REF!</v>
      </c>
      <c r="AG144" s="6" t="e">
        <f>#REF!</f>
        <v>#REF!</v>
      </c>
      <c r="AH144" s="6" t="e">
        <f>#REF!</f>
        <v>#REF!</v>
      </c>
      <c r="AI144" s="6" t="e">
        <f>#REF!</f>
        <v>#REF!</v>
      </c>
      <c r="AJ144" s="6" t="e">
        <f>#REF!</f>
        <v>#REF!</v>
      </c>
      <c r="AK144" s="6" t="e">
        <f>#REF!</f>
        <v>#REF!</v>
      </c>
      <c r="AL144" s="6" t="e">
        <f>#REF!</f>
        <v>#REF!</v>
      </c>
    </row>
    <row r="145" spans="1:38" x14ac:dyDescent="0.25">
      <c r="A145" s="65" t="s">
        <v>2068</v>
      </c>
      <c r="B145" s="126" t="e">
        <f>VLOOKUP(A145,$A$2:$AL$285,MATCH('Character Sheet'!$BJ$3,$A$1:$AL$1,0),FALSE)</f>
        <v>#REF!</v>
      </c>
      <c r="C145" s="6" t="e">
        <f>#REF!</f>
        <v>#REF!</v>
      </c>
      <c r="D145" s="6" t="e">
        <f>#REF!</f>
        <v>#REF!</v>
      </c>
      <c r="E145" s="6" t="e">
        <f>#REF!</f>
        <v>#REF!</v>
      </c>
      <c r="F145" s="6" t="e">
        <f>#REF!</f>
        <v>#REF!</v>
      </c>
      <c r="G145" s="6" t="e">
        <f>#REF!</f>
        <v>#REF!</v>
      </c>
      <c r="H145" s="6" t="e">
        <f>#REF!</f>
        <v>#REF!</v>
      </c>
      <c r="I145" s="6" t="e">
        <f>#REF!</f>
        <v>#REF!</v>
      </c>
      <c r="J145" s="6" t="e">
        <f>#REF!</f>
        <v>#REF!</v>
      </c>
      <c r="K145" s="6" t="e">
        <f>#REF!</f>
        <v>#REF!</v>
      </c>
      <c r="L145" s="6" t="e">
        <f>#REF!</f>
        <v>#REF!</v>
      </c>
      <c r="M145" s="6" t="e">
        <f>#REF!</f>
        <v>#REF!</v>
      </c>
      <c r="N145" s="6" t="e">
        <f>#REF!</f>
        <v>#REF!</v>
      </c>
      <c r="O145" s="6" t="e">
        <f>#REF!</f>
        <v>#REF!</v>
      </c>
      <c r="P145" s="6" t="e">
        <f>#REF!</f>
        <v>#REF!</v>
      </c>
      <c r="Q145" s="6" t="e">
        <f>#REF!</f>
        <v>#REF!</v>
      </c>
      <c r="R145" s="6" t="e">
        <f>#REF!</f>
        <v>#REF!</v>
      </c>
      <c r="S145" s="6" t="e">
        <f>#REF!</f>
        <v>#REF!</v>
      </c>
      <c r="T145" s="6" t="e">
        <f>#REF!</f>
        <v>#REF!</v>
      </c>
      <c r="U145" s="6" t="e">
        <f>#REF!</f>
        <v>#REF!</v>
      </c>
      <c r="V145" s="6" t="e">
        <f>#REF!</f>
        <v>#REF!</v>
      </c>
      <c r="W145" s="6" t="e">
        <f>#REF!</f>
        <v>#REF!</v>
      </c>
      <c r="X145" s="6" t="e">
        <f>#REF!</f>
        <v>#REF!</v>
      </c>
      <c r="Y145" s="6" t="e">
        <f>#REF!</f>
        <v>#REF!</v>
      </c>
      <c r="Z145" s="6" t="e">
        <f>#REF!</f>
        <v>#REF!</v>
      </c>
      <c r="AA145" s="6" t="e">
        <f>#REF!</f>
        <v>#REF!</v>
      </c>
      <c r="AB145" s="6" t="e">
        <f>#REF!</f>
        <v>#REF!</v>
      </c>
      <c r="AC145" s="6" t="e">
        <f>#REF!</f>
        <v>#REF!</v>
      </c>
      <c r="AD145" s="6" t="e">
        <f>#REF!</f>
        <v>#REF!</v>
      </c>
      <c r="AE145" s="6" t="e">
        <f>#REF!</f>
        <v>#REF!</v>
      </c>
      <c r="AF145" s="6" t="e">
        <f>#REF!</f>
        <v>#REF!</v>
      </c>
      <c r="AG145" s="6" t="e">
        <f>#REF!</f>
        <v>#REF!</v>
      </c>
      <c r="AH145" s="6" t="e">
        <f>#REF!</f>
        <v>#REF!</v>
      </c>
      <c r="AI145" s="6" t="e">
        <f>#REF!</f>
        <v>#REF!</v>
      </c>
      <c r="AJ145" s="6" t="e">
        <f>#REF!</f>
        <v>#REF!</v>
      </c>
      <c r="AK145" s="6" t="e">
        <f>#REF!</f>
        <v>#REF!</v>
      </c>
      <c r="AL145" s="6" t="e">
        <f>#REF!</f>
        <v>#REF!</v>
      </c>
    </row>
    <row r="146" spans="1:38" ht="15.75" thickBot="1" x14ac:dyDescent="0.3">
      <c r="A146" s="65" t="s">
        <v>2069</v>
      </c>
      <c r="B146" s="126" t="e">
        <f>VLOOKUP(A146,$A$2:$AL$285,MATCH('Character Sheet'!$BJ$3,$A$1:$AL$1,0),FALSE)</f>
        <v>#REF!</v>
      </c>
      <c r="C146" s="6" t="e">
        <f>#REF!</f>
        <v>#REF!</v>
      </c>
      <c r="D146" s="6" t="e">
        <f>#REF!</f>
        <v>#REF!</v>
      </c>
      <c r="E146" s="6" t="e">
        <f>#REF!</f>
        <v>#REF!</v>
      </c>
      <c r="F146" s="6" t="e">
        <f>#REF!</f>
        <v>#REF!</v>
      </c>
      <c r="G146" s="6" t="e">
        <f>#REF!</f>
        <v>#REF!</v>
      </c>
      <c r="H146" s="6" t="e">
        <f>#REF!</f>
        <v>#REF!</v>
      </c>
      <c r="I146" s="6" t="e">
        <f>#REF!</f>
        <v>#REF!</v>
      </c>
      <c r="J146" s="6" t="e">
        <f>#REF!</f>
        <v>#REF!</v>
      </c>
      <c r="K146" s="6" t="e">
        <f>#REF!</f>
        <v>#REF!</v>
      </c>
      <c r="L146" s="6" t="e">
        <f>#REF!</f>
        <v>#REF!</v>
      </c>
      <c r="M146" s="6" t="e">
        <f>#REF!</f>
        <v>#REF!</v>
      </c>
      <c r="N146" s="6" t="e">
        <f>#REF!</f>
        <v>#REF!</v>
      </c>
      <c r="O146" s="6" t="e">
        <f>#REF!</f>
        <v>#REF!</v>
      </c>
      <c r="P146" s="6" t="e">
        <f>#REF!</f>
        <v>#REF!</v>
      </c>
      <c r="Q146" s="6" t="e">
        <f>#REF!</f>
        <v>#REF!</v>
      </c>
      <c r="R146" s="6" t="e">
        <f>#REF!</f>
        <v>#REF!</v>
      </c>
      <c r="S146" s="6" t="e">
        <f>#REF!</f>
        <v>#REF!</v>
      </c>
      <c r="T146" s="6" t="e">
        <f>#REF!</f>
        <v>#REF!</v>
      </c>
      <c r="U146" s="6" t="e">
        <f>#REF!</f>
        <v>#REF!</v>
      </c>
      <c r="V146" s="6" t="e">
        <f>#REF!</f>
        <v>#REF!</v>
      </c>
      <c r="W146" s="6" t="e">
        <f>#REF!</f>
        <v>#REF!</v>
      </c>
      <c r="X146" s="6" t="e">
        <f>#REF!</f>
        <v>#REF!</v>
      </c>
      <c r="Y146" s="6" t="e">
        <f>#REF!</f>
        <v>#REF!</v>
      </c>
      <c r="Z146" s="6" t="e">
        <f>#REF!</f>
        <v>#REF!</v>
      </c>
      <c r="AA146" s="6" t="e">
        <f>#REF!</f>
        <v>#REF!</v>
      </c>
      <c r="AB146" s="6" t="e">
        <f>#REF!</f>
        <v>#REF!</v>
      </c>
      <c r="AC146" s="6" t="e">
        <f>#REF!</f>
        <v>#REF!</v>
      </c>
      <c r="AD146" s="6" t="e">
        <f>#REF!</f>
        <v>#REF!</v>
      </c>
      <c r="AE146" s="6" t="e">
        <f>#REF!</f>
        <v>#REF!</v>
      </c>
      <c r="AF146" s="6" t="e">
        <f>#REF!</f>
        <v>#REF!</v>
      </c>
      <c r="AG146" s="6" t="e">
        <f>#REF!</f>
        <v>#REF!</v>
      </c>
      <c r="AH146" s="6" t="e">
        <f>#REF!</f>
        <v>#REF!</v>
      </c>
      <c r="AI146" s="6" t="e">
        <f>#REF!</f>
        <v>#REF!</v>
      </c>
      <c r="AJ146" s="6" t="e">
        <f>#REF!</f>
        <v>#REF!</v>
      </c>
      <c r="AK146" s="6" t="e">
        <f>#REF!</f>
        <v>#REF!</v>
      </c>
      <c r="AL146" s="6" t="e">
        <f>#REF!</f>
        <v>#REF!</v>
      </c>
    </row>
    <row r="147" spans="1:38" ht="16.5" thickTop="1" thickBot="1" x14ac:dyDescent="0.3">
      <c r="A147" s="63" t="s">
        <v>366</v>
      </c>
      <c r="B147" s="126" t="e">
        <f>VLOOKUP(A147,$A$2:$AL$285,MATCH('Character Sheet'!$BJ$3,$A$1:$AL$1,0),FALSE)</f>
        <v>#REF!</v>
      </c>
      <c r="C147" s="6" t="e">
        <f>#REF!</f>
        <v>#REF!</v>
      </c>
      <c r="D147" s="6" t="e">
        <f>#REF!</f>
        <v>#REF!</v>
      </c>
      <c r="E147" s="6" t="e">
        <f>#REF!</f>
        <v>#REF!</v>
      </c>
      <c r="F147" s="6" t="e">
        <f>#REF!</f>
        <v>#REF!</v>
      </c>
      <c r="G147" s="6" t="e">
        <f>#REF!</f>
        <v>#REF!</v>
      </c>
      <c r="H147" s="6" t="e">
        <f>#REF!</f>
        <v>#REF!</v>
      </c>
      <c r="I147" s="6" t="e">
        <f>#REF!</f>
        <v>#REF!</v>
      </c>
      <c r="J147" s="6" t="e">
        <f>#REF!</f>
        <v>#REF!</v>
      </c>
      <c r="K147" s="6" t="e">
        <f>#REF!</f>
        <v>#REF!</v>
      </c>
      <c r="L147" s="6" t="e">
        <f>#REF!</f>
        <v>#REF!</v>
      </c>
      <c r="M147" s="6" t="e">
        <f>#REF!</f>
        <v>#REF!</v>
      </c>
      <c r="N147" s="6" t="e">
        <f>#REF!</f>
        <v>#REF!</v>
      </c>
      <c r="O147" s="6" t="e">
        <f>#REF!</f>
        <v>#REF!</v>
      </c>
      <c r="P147" s="6" t="e">
        <f>#REF!</f>
        <v>#REF!</v>
      </c>
      <c r="Q147" s="6" t="e">
        <f>#REF!</f>
        <v>#REF!</v>
      </c>
      <c r="R147" s="6" t="e">
        <f>#REF!</f>
        <v>#REF!</v>
      </c>
      <c r="S147" s="6" t="e">
        <f>#REF!</f>
        <v>#REF!</v>
      </c>
      <c r="T147" s="6" t="e">
        <f>#REF!</f>
        <v>#REF!</v>
      </c>
      <c r="U147" s="6" t="e">
        <f>#REF!</f>
        <v>#REF!</v>
      </c>
      <c r="V147" s="6" t="e">
        <f>#REF!</f>
        <v>#REF!</v>
      </c>
      <c r="W147" s="6" t="e">
        <f>#REF!</f>
        <v>#REF!</v>
      </c>
      <c r="X147" s="6" t="e">
        <f>#REF!</f>
        <v>#REF!</v>
      </c>
      <c r="Y147" s="6" t="e">
        <f>#REF!</f>
        <v>#REF!</v>
      </c>
      <c r="Z147" s="6" t="e">
        <f>#REF!</f>
        <v>#REF!</v>
      </c>
      <c r="AA147" s="6" t="e">
        <f>#REF!</f>
        <v>#REF!</v>
      </c>
      <c r="AB147" s="6" t="e">
        <f>#REF!</f>
        <v>#REF!</v>
      </c>
      <c r="AC147" s="6" t="e">
        <f>#REF!</f>
        <v>#REF!</v>
      </c>
      <c r="AD147" s="6" t="e">
        <f>#REF!</f>
        <v>#REF!</v>
      </c>
      <c r="AE147" s="6" t="e">
        <f>#REF!</f>
        <v>#REF!</v>
      </c>
      <c r="AF147" s="6" t="e">
        <f>#REF!</f>
        <v>#REF!</v>
      </c>
      <c r="AG147" s="6" t="e">
        <f>#REF!</f>
        <v>#REF!</v>
      </c>
      <c r="AH147" s="6" t="e">
        <f>#REF!</f>
        <v>#REF!</v>
      </c>
      <c r="AI147" s="6" t="e">
        <f>#REF!</f>
        <v>#REF!</v>
      </c>
      <c r="AJ147" s="6" t="e">
        <f>#REF!</f>
        <v>#REF!</v>
      </c>
      <c r="AK147" s="6" t="e">
        <f>#REF!</f>
        <v>#REF!</v>
      </c>
      <c r="AL147" s="6" t="e">
        <f>#REF!</f>
        <v>#REF!</v>
      </c>
    </row>
    <row r="148" spans="1:38" ht="15.75" thickTop="1" x14ac:dyDescent="0.25">
      <c r="A148" s="65" t="s">
        <v>368</v>
      </c>
      <c r="B148" s="126" t="e">
        <f>VLOOKUP(A148,$A$2:$AL$285,MATCH('Character Sheet'!$BJ$3,$A$1:$AL$1,0),FALSE)</f>
        <v>#REF!</v>
      </c>
      <c r="C148" s="6" t="e">
        <f>#REF!</f>
        <v>#REF!</v>
      </c>
      <c r="D148" s="6" t="e">
        <f>#REF!</f>
        <v>#REF!</v>
      </c>
      <c r="E148" s="6" t="e">
        <f>#REF!</f>
        <v>#REF!</v>
      </c>
      <c r="F148" s="6" t="e">
        <f>#REF!</f>
        <v>#REF!</v>
      </c>
      <c r="G148" s="6" t="e">
        <f>#REF!</f>
        <v>#REF!</v>
      </c>
      <c r="H148" s="6" t="e">
        <f>#REF!</f>
        <v>#REF!</v>
      </c>
      <c r="I148" s="6" t="e">
        <f>#REF!</f>
        <v>#REF!</v>
      </c>
      <c r="J148" s="6" t="e">
        <f>#REF!</f>
        <v>#REF!</v>
      </c>
      <c r="K148" s="6" t="e">
        <f>#REF!</f>
        <v>#REF!</v>
      </c>
      <c r="L148" s="6" t="e">
        <f>#REF!</f>
        <v>#REF!</v>
      </c>
      <c r="M148" s="6" t="e">
        <f>#REF!</f>
        <v>#REF!</v>
      </c>
      <c r="N148" s="6" t="e">
        <f>#REF!</f>
        <v>#REF!</v>
      </c>
      <c r="O148" s="6" t="e">
        <f>#REF!</f>
        <v>#REF!</v>
      </c>
      <c r="P148" s="6" t="e">
        <f>#REF!</f>
        <v>#REF!</v>
      </c>
      <c r="Q148" s="6" t="e">
        <f>#REF!</f>
        <v>#REF!</v>
      </c>
      <c r="R148" s="6" t="e">
        <f>#REF!</f>
        <v>#REF!</v>
      </c>
      <c r="S148" s="6" t="e">
        <f>#REF!</f>
        <v>#REF!</v>
      </c>
      <c r="T148" s="6" t="e">
        <f>#REF!</f>
        <v>#REF!</v>
      </c>
      <c r="U148" s="6" t="e">
        <f>#REF!</f>
        <v>#REF!</v>
      </c>
      <c r="V148" s="6" t="e">
        <f>#REF!</f>
        <v>#REF!</v>
      </c>
      <c r="W148" s="6" t="e">
        <f>#REF!</f>
        <v>#REF!</v>
      </c>
      <c r="X148" s="6" t="e">
        <f>#REF!</f>
        <v>#REF!</v>
      </c>
      <c r="Y148" s="6" t="e">
        <f>#REF!</f>
        <v>#REF!</v>
      </c>
      <c r="Z148" s="6" t="e">
        <f>#REF!</f>
        <v>#REF!</v>
      </c>
      <c r="AA148" s="6" t="e">
        <f>#REF!</f>
        <v>#REF!</v>
      </c>
      <c r="AB148" s="6" t="e">
        <f>#REF!</f>
        <v>#REF!</v>
      </c>
      <c r="AC148" s="6" t="e">
        <f>#REF!</f>
        <v>#REF!</v>
      </c>
      <c r="AD148" s="6" t="e">
        <f>#REF!</f>
        <v>#REF!</v>
      </c>
      <c r="AE148" s="6" t="e">
        <f>#REF!</f>
        <v>#REF!</v>
      </c>
      <c r="AF148" s="6" t="e">
        <f>#REF!</f>
        <v>#REF!</v>
      </c>
      <c r="AG148" s="6" t="e">
        <f>#REF!</f>
        <v>#REF!</v>
      </c>
      <c r="AH148" s="6" t="e">
        <f>#REF!</f>
        <v>#REF!</v>
      </c>
      <c r="AI148" s="6" t="e">
        <f>#REF!</f>
        <v>#REF!</v>
      </c>
      <c r="AJ148" s="6" t="e">
        <f>#REF!</f>
        <v>#REF!</v>
      </c>
      <c r="AK148" s="6" t="e">
        <f>#REF!</f>
        <v>#REF!</v>
      </c>
      <c r="AL148" s="6" t="e">
        <f>#REF!</f>
        <v>#REF!</v>
      </c>
    </row>
    <row r="149" spans="1:38" x14ac:dyDescent="0.25">
      <c r="A149" s="65" t="s">
        <v>369</v>
      </c>
      <c r="B149" s="126" t="e">
        <f>VLOOKUP(A149,$A$2:$AL$285,MATCH('Character Sheet'!$BJ$3,$A$1:$AL$1,0),FALSE)</f>
        <v>#REF!</v>
      </c>
      <c r="C149" s="6" t="e">
        <f>#REF!</f>
        <v>#REF!</v>
      </c>
      <c r="D149" s="6" t="e">
        <f>#REF!</f>
        <v>#REF!</v>
      </c>
      <c r="E149" s="6" t="e">
        <f>#REF!</f>
        <v>#REF!</v>
      </c>
      <c r="F149" s="6" t="e">
        <f>#REF!</f>
        <v>#REF!</v>
      </c>
      <c r="G149" s="6" t="e">
        <f>#REF!</f>
        <v>#REF!</v>
      </c>
      <c r="H149" s="6" t="e">
        <f>#REF!</f>
        <v>#REF!</v>
      </c>
      <c r="I149" s="6" t="e">
        <f>#REF!</f>
        <v>#REF!</v>
      </c>
      <c r="J149" s="6" t="e">
        <f>#REF!</f>
        <v>#REF!</v>
      </c>
      <c r="K149" s="6" t="e">
        <f>#REF!</f>
        <v>#REF!</v>
      </c>
      <c r="L149" s="6" t="e">
        <f>#REF!</f>
        <v>#REF!</v>
      </c>
      <c r="M149" s="6" t="e">
        <f>#REF!</f>
        <v>#REF!</v>
      </c>
      <c r="N149" s="6" t="e">
        <f>#REF!</f>
        <v>#REF!</v>
      </c>
      <c r="O149" s="6" t="e">
        <f>#REF!</f>
        <v>#REF!</v>
      </c>
      <c r="P149" s="6" t="e">
        <f>#REF!</f>
        <v>#REF!</v>
      </c>
      <c r="Q149" s="6" t="e">
        <f>#REF!</f>
        <v>#REF!</v>
      </c>
      <c r="R149" s="6" t="e">
        <f>#REF!</f>
        <v>#REF!</v>
      </c>
      <c r="S149" s="6" t="e">
        <f>#REF!</f>
        <v>#REF!</v>
      </c>
      <c r="T149" s="6" t="e">
        <f>#REF!</f>
        <v>#REF!</v>
      </c>
      <c r="U149" s="6" t="e">
        <f>#REF!</f>
        <v>#REF!</v>
      </c>
      <c r="V149" s="6" t="e">
        <f>#REF!</f>
        <v>#REF!</v>
      </c>
      <c r="W149" s="6" t="e">
        <f>#REF!</f>
        <v>#REF!</v>
      </c>
      <c r="X149" s="6" t="e">
        <f>#REF!</f>
        <v>#REF!</v>
      </c>
      <c r="Y149" s="6" t="e">
        <f>#REF!</f>
        <v>#REF!</v>
      </c>
      <c r="Z149" s="6" t="e">
        <f>#REF!</f>
        <v>#REF!</v>
      </c>
      <c r="AA149" s="6" t="e">
        <f>#REF!</f>
        <v>#REF!</v>
      </c>
      <c r="AB149" s="6" t="e">
        <f>#REF!</f>
        <v>#REF!</v>
      </c>
      <c r="AC149" s="6" t="e">
        <f>#REF!</f>
        <v>#REF!</v>
      </c>
      <c r="AD149" s="6" t="e">
        <f>#REF!</f>
        <v>#REF!</v>
      </c>
      <c r="AE149" s="6" t="e">
        <f>#REF!</f>
        <v>#REF!</v>
      </c>
      <c r="AF149" s="6" t="e">
        <f>#REF!</f>
        <v>#REF!</v>
      </c>
      <c r="AG149" s="6" t="e">
        <f>#REF!</f>
        <v>#REF!</v>
      </c>
      <c r="AH149" s="6" t="e">
        <f>#REF!</f>
        <v>#REF!</v>
      </c>
      <c r="AI149" s="6" t="e">
        <f>#REF!</f>
        <v>#REF!</v>
      </c>
      <c r="AJ149" s="6" t="e">
        <f>#REF!</f>
        <v>#REF!</v>
      </c>
      <c r="AK149" s="6" t="e">
        <f>#REF!</f>
        <v>#REF!</v>
      </c>
      <c r="AL149" s="6" t="e">
        <f>#REF!</f>
        <v>#REF!</v>
      </c>
    </row>
    <row r="150" spans="1:38" x14ac:dyDescent="0.25">
      <c r="A150" s="65" t="s">
        <v>370</v>
      </c>
      <c r="B150" s="126" t="e">
        <f>VLOOKUP(A150,$A$2:$AL$285,MATCH('Character Sheet'!$BJ$3,$A$1:$AL$1,0),FALSE)</f>
        <v>#REF!</v>
      </c>
      <c r="C150" s="6" t="e">
        <f>#REF!</f>
        <v>#REF!</v>
      </c>
      <c r="D150" s="6" t="e">
        <f>#REF!</f>
        <v>#REF!</v>
      </c>
      <c r="E150" s="6" t="e">
        <f>#REF!</f>
        <v>#REF!</v>
      </c>
      <c r="F150" s="6" t="e">
        <f>#REF!</f>
        <v>#REF!</v>
      </c>
      <c r="G150" s="6" t="e">
        <f>#REF!</f>
        <v>#REF!</v>
      </c>
      <c r="H150" s="6" t="e">
        <f>#REF!</f>
        <v>#REF!</v>
      </c>
      <c r="I150" s="6" t="e">
        <f>#REF!</f>
        <v>#REF!</v>
      </c>
      <c r="J150" s="6" t="e">
        <f>#REF!</f>
        <v>#REF!</v>
      </c>
      <c r="K150" s="6" t="e">
        <f>#REF!</f>
        <v>#REF!</v>
      </c>
      <c r="L150" s="6" t="e">
        <f>#REF!</f>
        <v>#REF!</v>
      </c>
      <c r="M150" s="6" t="e">
        <f>#REF!</f>
        <v>#REF!</v>
      </c>
      <c r="N150" s="6" t="e">
        <f>#REF!</f>
        <v>#REF!</v>
      </c>
      <c r="O150" s="6" t="e">
        <f>#REF!</f>
        <v>#REF!</v>
      </c>
      <c r="P150" s="6" t="e">
        <f>#REF!</f>
        <v>#REF!</v>
      </c>
      <c r="Q150" s="6" t="e">
        <f>#REF!</f>
        <v>#REF!</v>
      </c>
      <c r="R150" s="6" t="e">
        <f>#REF!</f>
        <v>#REF!</v>
      </c>
      <c r="S150" s="6" t="e">
        <f>#REF!</f>
        <v>#REF!</v>
      </c>
      <c r="T150" s="6" t="e">
        <f>#REF!</f>
        <v>#REF!</v>
      </c>
      <c r="U150" s="6" t="e">
        <f>#REF!</f>
        <v>#REF!</v>
      </c>
      <c r="V150" s="6" t="e">
        <f>#REF!</f>
        <v>#REF!</v>
      </c>
      <c r="W150" s="6" t="e">
        <f>#REF!</f>
        <v>#REF!</v>
      </c>
      <c r="X150" s="6" t="e">
        <f>#REF!</f>
        <v>#REF!</v>
      </c>
      <c r="Y150" s="6" t="e">
        <f>#REF!</f>
        <v>#REF!</v>
      </c>
      <c r="Z150" s="6" t="e">
        <f>#REF!</f>
        <v>#REF!</v>
      </c>
      <c r="AA150" s="6" t="e">
        <f>#REF!</f>
        <v>#REF!</v>
      </c>
      <c r="AB150" s="6" t="e">
        <f>#REF!</f>
        <v>#REF!</v>
      </c>
      <c r="AC150" s="6" t="e">
        <f>#REF!</f>
        <v>#REF!</v>
      </c>
      <c r="AD150" s="6" t="e">
        <f>#REF!</f>
        <v>#REF!</v>
      </c>
      <c r="AE150" s="6" t="e">
        <f>#REF!</f>
        <v>#REF!</v>
      </c>
      <c r="AF150" s="6" t="e">
        <f>#REF!</f>
        <v>#REF!</v>
      </c>
      <c r="AG150" s="6" t="e">
        <f>#REF!</f>
        <v>#REF!</v>
      </c>
      <c r="AH150" s="6" t="e">
        <f>#REF!</f>
        <v>#REF!</v>
      </c>
      <c r="AI150" s="6" t="e">
        <f>#REF!</f>
        <v>#REF!</v>
      </c>
      <c r="AJ150" s="6" t="e">
        <f>#REF!</f>
        <v>#REF!</v>
      </c>
      <c r="AK150" s="6" t="e">
        <f>#REF!</f>
        <v>#REF!</v>
      </c>
      <c r="AL150" s="6" t="e">
        <f>#REF!</f>
        <v>#REF!</v>
      </c>
    </row>
    <row r="151" spans="1:38" x14ac:dyDescent="0.25">
      <c r="A151" s="65" t="s">
        <v>371</v>
      </c>
      <c r="B151" s="126" t="e">
        <f>VLOOKUP(A151,$A$2:$AL$285,MATCH('Character Sheet'!$BJ$3,$A$1:$AL$1,0),FALSE)</f>
        <v>#REF!</v>
      </c>
      <c r="C151" s="6" t="e">
        <f>#REF!</f>
        <v>#REF!</v>
      </c>
      <c r="D151" s="6" t="e">
        <f>#REF!</f>
        <v>#REF!</v>
      </c>
      <c r="E151" s="6" t="e">
        <f>#REF!</f>
        <v>#REF!</v>
      </c>
      <c r="F151" s="6" t="e">
        <f>#REF!</f>
        <v>#REF!</v>
      </c>
      <c r="G151" s="6" t="e">
        <f>#REF!</f>
        <v>#REF!</v>
      </c>
      <c r="H151" s="6" t="e">
        <f>#REF!</f>
        <v>#REF!</v>
      </c>
      <c r="I151" s="6" t="e">
        <f>#REF!</f>
        <v>#REF!</v>
      </c>
      <c r="J151" s="6" t="e">
        <f>#REF!</f>
        <v>#REF!</v>
      </c>
      <c r="K151" s="6" t="e">
        <f>#REF!</f>
        <v>#REF!</v>
      </c>
      <c r="L151" s="6" t="e">
        <f>#REF!</f>
        <v>#REF!</v>
      </c>
      <c r="M151" s="6" t="e">
        <f>#REF!</f>
        <v>#REF!</v>
      </c>
      <c r="N151" s="6" t="e">
        <f>#REF!</f>
        <v>#REF!</v>
      </c>
      <c r="O151" s="6" t="e">
        <f>#REF!</f>
        <v>#REF!</v>
      </c>
      <c r="P151" s="6" t="e">
        <f>#REF!</f>
        <v>#REF!</v>
      </c>
      <c r="Q151" s="6" t="e">
        <f>#REF!</f>
        <v>#REF!</v>
      </c>
      <c r="R151" s="6" t="e">
        <f>#REF!</f>
        <v>#REF!</v>
      </c>
      <c r="S151" s="6" t="e">
        <f>#REF!</f>
        <v>#REF!</v>
      </c>
      <c r="T151" s="6" t="e">
        <f>#REF!</f>
        <v>#REF!</v>
      </c>
      <c r="U151" s="6" t="e">
        <f>#REF!</f>
        <v>#REF!</v>
      </c>
      <c r="V151" s="6" t="e">
        <f>#REF!</f>
        <v>#REF!</v>
      </c>
      <c r="W151" s="6" t="e">
        <f>#REF!</f>
        <v>#REF!</v>
      </c>
      <c r="X151" s="6" t="e">
        <f>#REF!</f>
        <v>#REF!</v>
      </c>
      <c r="Y151" s="6" t="e">
        <f>#REF!</f>
        <v>#REF!</v>
      </c>
      <c r="Z151" s="6" t="e">
        <f>#REF!</f>
        <v>#REF!</v>
      </c>
      <c r="AA151" s="6" t="e">
        <f>#REF!</f>
        <v>#REF!</v>
      </c>
      <c r="AB151" s="6" t="e">
        <f>#REF!</f>
        <v>#REF!</v>
      </c>
      <c r="AC151" s="6" t="e">
        <f>#REF!</f>
        <v>#REF!</v>
      </c>
      <c r="AD151" s="6" t="e">
        <f>#REF!</f>
        <v>#REF!</v>
      </c>
      <c r="AE151" s="6" t="e">
        <f>#REF!</f>
        <v>#REF!</v>
      </c>
      <c r="AF151" s="6" t="e">
        <f>#REF!</f>
        <v>#REF!</v>
      </c>
      <c r="AG151" s="6" t="e">
        <f>#REF!</f>
        <v>#REF!</v>
      </c>
      <c r="AH151" s="6" t="e">
        <f>#REF!</f>
        <v>#REF!</v>
      </c>
      <c r="AI151" s="6" t="e">
        <f>#REF!</f>
        <v>#REF!</v>
      </c>
      <c r="AJ151" s="6" t="e">
        <f>#REF!</f>
        <v>#REF!</v>
      </c>
      <c r="AK151" s="6" t="e">
        <f>#REF!</f>
        <v>#REF!</v>
      </c>
      <c r="AL151" s="6" t="e">
        <f>#REF!</f>
        <v>#REF!</v>
      </c>
    </row>
    <row r="152" spans="1:38" ht="15.75" thickBot="1" x14ac:dyDescent="0.3">
      <c r="A152" s="65" t="s">
        <v>372</v>
      </c>
      <c r="B152" s="126" t="e">
        <f>VLOOKUP(A152,$A$2:$AL$285,MATCH('Character Sheet'!$BJ$3,$A$1:$AL$1,0),FALSE)</f>
        <v>#REF!</v>
      </c>
      <c r="C152" s="6" t="e">
        <f>#REF!</f>
        <v>#REF!</v>
      </c>
      <c r="D152" s="6" t="e">
        <f>#REF!</f>
        <v>#REF!</v>
      </c>
      <c r="E152" s="6" t="e">
        <f>#REF!</f>
        <v>#REF!</v>
      </c>
      <c r="F152" s="6" t="e">
        <f>#REF!</f>
        <v>#REF!</v>
      </c>
      <c r="G152" s="6" t="e">
        <f>#REF!</f>
        <v>#REF!</v>
      </c>
      <c r="H152" s="6" t="e">
        <f>#REF!</f>
        <v>#REF!</v>
      </c>
      <c r="I152" s="6" t="e">
        <f>#REF!</f>
        <v>#REF!</v>
      </c>
      <c r="J152" s="6" t="e">
        <f>#REF!</f>
        <v>#REF!</v>
      </c>
      <c r="K152" s="6" t="e">
        <f>#REF!</f>
        <v>#REF!</v>
      </c>
      <c r="L152" s="6" t="e">
        <f>#REF!</f>
        <v>#REF!</v>
      </c>
      <c r="M152" s="6" t="e">
        <f>#REF!</f>
        <v>#REF!</v>
      </c>
      <c r="N152" s="6" t="e">
        <f>#REF!</f>
        <v>#REF!</v>
      </c>
      <c r="O152" s="6" t="e">
        <f>#REF!</f>
        <v>#REF!</v>
      </c>
      <c r="P152" s="6" t="e">
        <f>#REF!</f>
        <v>#REF!</v>
      </c>
      <c r="Q152" s="6" t="e">
        <f>#REF!</f>
        <v>#REF!</v>
      </c>
      <c r="R152" s="6" t="e">
        <f>#REF!</f>
        <v>#REF!</v>
      </c>
      <c r="S152" s="6" t="e">
        <f>#REF!</f>
        <v>#REF!</v>
      </c>
      <c r="T152" s="6" t="e">
        <f>#REF!</f>
        <v>#REF!</v>
      </c>
      <c r="U152" s="6" t="e">
        <f>#REF!</f>
        <v>#REF!</v>
      </c>
      <c r="V152" s="6" t="e">
        <f>#REF!</f>
        <v>#REF!</v>
      </c>
      <c r="W152" s="6" t="e">
        <f>#REF!</f>
        <v>#REF!</v>
      </c>
      <c r="X152" s="6" t="e">
        <f>#REF!</f>
        <v>#REF!</v>
      </c>
      <c r="Y152" s="6" t="e">
        <f>#REF!</f>
        <v>#REF!</v>
      </c>
      <c r="Z152" s="6" t="e">
        <f>#REF!</f>
        <v>#REF!</v>
      </c>
      <c r="AA152" s="6" t="e">
        <f>#REF!</f>
        <v>#REF!</v>
      </c>
      <c r="AB152" s="6" t="e">
        <f>#REF!</f>
        <v>#REF!</v>
      </c>
      <c r="AC152" s="6" t="e">
        <f>#REF!</f>
        <v>#REF!</v>
      </c>
      <c r="AD152" s="6" t="e">
        <f>#REF!</f>
        <v>#REF!</v>
      </c>
      <c r="AE152" s="6" t="e">
        <f>#REF!</f>
        <v>#REF!</v>
      </c>
      <c r="AF152" s="6" t="e">
        <f>#REF!</f>
        <v>#REF!</v>
      </c>
      <c r="AG152" s="6" t="e">
        <f>#REF!</f>
        <v>#REF!</v>
      </c>
      <c r="AH152" s="6" t="e">
        <f>#REF!</f>
        <v>#REF!</v>
      </c>
      <c r="AI152" s="6" t="e">
        <f>#REF!</f>
        <v>#REF!</v>
      </c>
      <c r="AJ152" s="6" t="e">
        <f>#REF!</f>
        <v>#REF!</v>
      </c>
      <c r="AK152" s="6" t="e">
        <f>#REF!</f>
        <v>#REF!</v>
      </c>
      <c r="AL152" s="6" t="e">
        <f>#REF!</f>
        <v>#REF!</v>
      </c>
    </row>
    <row r="153" spans="1:38" ht="16.5" thickTop="1" thickBot="1" x14ac:dyDescent="0.3">
      <c r="A153" s="63" t="s">
        <v>373</v>
      </c>
      <c r="B153" s="126" t="e">
        <f>VLOOKUP(A153,$A$2:$AL$285,MATCH('Character Sheet'!$BJ$3,$A$1:$AL$1,0),FALSE)</f>
        <v>#REF!</v>
      </c>
      <c r="C153" s="6" t="e">
        <f>#REF!</f>
        <v>#REF!</v>
      </c>
      <c r="D153" s="6" t="e">
        <f>#REF!</f>
        <v>#REF!</v>
      </c>
      <c r="E153" s="6" t="e">
        <f>#REF!</f>
        <v>#REF!</v>
      </c>
      <c r="F153" s="6" t="e">
        <f>#REF!</f>
        <v>#REF!</v>
      </c>
      <c r="G153" s="6" t="e">
        <f>#REF!</f>
        <v>#REF!</v>
      </c>
      <c r="H153" s="6" t="e">
        <f>#REF!</f>
        <v>#REF!</v>
      </c>
      <c r="I153" s="6" t="e">
        <f>#REF!</f>
        <v>#REF!</v>
      </c>
      <c r="J153" s="6" t="e">
        <f>#REF!</f>
        <v>#REF!</v>
      </c>
      <c r="K153" s="6" t="e">
        <f>#REF!</f>
        <v>#REF!</v>
      </c>
      <c r="L153" s="6" t="e">
        <f>#REF!</f>
        <v>#REF!</v>
      </c>
      <c r="M153" s="6" t="e">
        <f>#REF!</f>
        <v>#REF!</v>
      </c>
      <c r="N153" s="6" t="e">
        <f>#REF!</f>
        <v>#REF!</v>
      </c>
      <c r="O153" s="6" t="e">
        <f>#REF!</f>
        <v>#REF!</v>
      </c>
      <c r="P153" s="6" t="e">
        <f>#REF!</f>
        <v>#REF!</v>
      </c>
      <c r="Q153" s="6" t="e">
        <f>#REF!</f>
        <v>#REF!</v>
      </c>
      <c r="R153" s="6" t="e">
        <f>#REF!</f>
        <v>#REF!</v>
      </c>
      <c r="S153" s="6" t="e">
        <f>#REF!</f>
        <v>#REF!</v>
      </c>
      <c r="T153" s="6" t="e">
        <f>#REF!</f>
        <v>#REF!</v>
      </c>
      <c r="U153" s="6" t="e">
        <f>#REF!</f>
        <v>#REF!</v>
      </c>
      <c r="V153" s="6" t="e">
        <f>#REF!</f>
        <v>#REF!</v>
      </c>
      <c r="W153" s="6" t="e">
        <f>#REF!</f>
        <v>#REF!</v>
      </c>
      <c r="X153" s="6" t="e">
        <f>#REF!</f>
        <v>#REF!</v>
      </c>
      <c r="Y153" s="6" t="e">
        <f>#REF!</f>
        <v>#REF!</v>
      </c>
      <c r="Z153" s="6" t="e">
        <f>#REF!</f>
        <v>#REF!</v>
      </c>
      <c r="AA153" s="6" t="e">
        <f>#REF!</f>
        <v>#REF!</v>
      </c>
      <c r="AB153" s="6" t="e">
        <f>#REF!</f>
        <v>#REF!</v>
      </c>
      <c r="AC153" s="6" t="e">
        <f>#REF!</f>
        <v>#REF!</v>
      </c>
      <c r="AD153" s="6" t="e">
        <f>#REF!</f>
        <v>#REF!</v>
      </c>
      <c r="AE153" s="6" t="e">
        <f>#REF!</f>
        <v>#REF!</v>
      </c>
      <c r="AF153" s="6" t="e">
        <f>#REF!</f>
        <v>#REF!</v>
      </c>
      <c r="AG153" s="6" t="e">
        <f>#REF!</f>
        <v>#REF!</v>
      </c>
      <c r="AH153" s="6" t="e">
        <f>#REF!</f>
        <v>#REF!</v>
      </c>
      <c r="AI153" s="6" t="e">
        <f>#REF!</f>
        <v>#REF!</v>
      </c>
      <c r="AJ153" s="6" t="e">
        <f>#REF!</f>
        <v>#REF!</v>
      </c>
      <c r="AK153" s="6" t="e">
        <f>#REF!</f>
        <v>#REF!</v>
      </c>
      <c r="AL153" s="6" t="e">
        <f>#REF!</f>
        <v>#REF!</v>
      </c>
    </row>
    <row r="154" spans="1:38" ht="16.5" thickTop="1" thickBot="1" x14ac:dyDescent="0.3">
      <c r="A154" s="66" t="s">
        <v>373</v>
      </c>
      <c r="B154" s="126" t="e">
        <f>VLOOKUP(A154,$A$2:$AL$285,MATCH('Character Sheet'!$BJ$3,$A$1:$AL$1,0),FALSE)</f>
        <v>#REF!</v>
      </c>
      <c r="C154" s="6" t="e">
        <f>#REF!</f>
        <v>#REF!</v>
      </c>
      <c r="D154" s="6" t="e">
        <f>#REF!</f>
        <v>#REF!</v>
      </c>
      <c r="E154" s="6" t="e">
        <f>#REF!</f>
        <v>#REF!</v>
      </c>
      <c r="F154" s="6" t="e">
        <f>#REF!</f>
        <v>#REF!</v>
      </c>
      <c r="G154" s="6" t="e">
        <f>#REF!</f>
        <v>#REF!</v>
      </c>
      <c r="H154" s="6" t="e">
        <f>#REF!</f>
        <v>#REF!</v>
      </c>
      <c r="I154" s="6" t="e">
        <f>#REF!</f>
        <v>#REF!</v>
      </c>
      <c r="J154" s="6" t="e">
        <f>#REF!</f>
        <v>#REF!</v>
      </c>
      <c r="K154" s="6" t="e">
        <f>#REF!</f>
        <v>#REF!</v>
      </c>
      <c r="L154" s="6" t="e">
        <f>#REF!</f>
        <v>#REF!</v>
      </c>
      <c r="M154" s="6" t="e">
        <f>#REF!</f>
        <v>#REF!</v>
      </c>
      <c r="N154" s="6" t="e">
        <f>#REF!</f>
        <v>#REF!</v>
      </c>
      <c r="O154" s="6" t="e">
        <f>#REF!</f>
        <v>#REF!</v>
      </c>
      <c r="P154" s="6" t="e">
        <f>#REF!</f>
        <v>#REF!</v>
      </c>
      <c r="Q154" s="6" t="e">
        <f>#REF!</f>
        <v>#REF!</v>
      </c>
      <c r="R154" s="6" t="e">
        <f>#REF!</f>
        <v>#REF!</v>
      </c>
      <c r="S154" s="6" t="e">
        <f>#REF!</f>
        <v>#REF!</v>
      </c>
      <c r="T154" s="6" t="e">
        <f>#REF!</f>
        <v>#REF!</v>
      </c>
      <c r="U154" s="6" t="e">
        <f>#REF!</f>
        <v>#REF!</v>
      </c>
      <c r="V154" s="6" t="e">
        <f>#REF!</f>
        <v>#REF!</v>
      </c>
      <c r="W154" s="6" t="e">
        <f>#REF!</f>
        <v>#REF!</v>
      </c>
      <c r="X154" s="6" t="e">
        <f>#REF!</f>
        <v>#REF!</v>
      </c>
      <c r="Y154" s="6" t="e">
        <f>#REF!</f>
        <v>#REF!</v>
      </c>
      <c r="Z154" s="6" t="e">
        <f>#REF!</f>
        <v>#REF!</v>
      </c>
      <c r="AA154" s="6" t="e">
        <f>#REF!</f>
        <v>#REF!</v>
      </c>
      <c r="AB154" s="6" t="e">
        <f>#REF!</f>
        <v>#REF!</v>
      </c>
      <c r="AC154" s="6" t="e">
        <f>#REF!</f>
        <v>#REF!</v>
      </c>
      <c r="AD154" s="6" t="e">
        <f>#REF!</f>
        <v>#REF!</v>
      </c>
      <c r="AE154" s="6" t="e">
        <f>#REF!</f>
        <v>#REF!</v>
      </c>
      <c r="AF154" s="6" t="e">
        <f>#REF!</f>
        <v>#REF!</v>
      </c>
      <c r="AG154" s="6" t="e">
        <f>#REF!</f>
        <v>#REF!</v>
      </c>
      <c r="AH154" s="6" t="e">
        <f>#REF!</f>
        <v>#REF!</v>
      </c>
      <c r="AI154" s="6" t="e">
        <f>#REF!</f>
        <v>#REF!</v>
      </c>
      <c r="AJ154" s="6" t="e">
        <f>#REF!</f>
        <v>#REF!</v>
      </c>
      <c r="AK154" s="6" t="e">
        <f>#REF!</f>
        <v>#REF!</v>
      </c>
      <c r="AL154" s="6" t="e">
        <f>#REF!</f>
        <v>#REF!</v>
      </c>
    </row>
    <row r="155" spans="1:38" ht="16.5" thickTop="1" thickBot="1" x14ac:dyDescent="0.3">
      <c r="A155" s="63" t="s">
        <v>374</v>
      </c>
      <c r="B155" s="126" t="e">
        <f>VLOOKUP(A155,$A$2:$AL$285,MATCH('Character Sheet'!$BJ$3,$A$1:$AL$1,0),FALSE)</f>
        <v>#REF!</v>
      </c>
      <c r="C155" s="6" t="e">
        <f>#REF!</f>
        <v>#REF!</v>
      </c>
      <c r="D155" s="6" t="e">
        <f>#REF!</f>
        <v>#REF!</v>
      </c>
      <c r="E155" s="6" t="e">
        <f>#REF!</f>
        <v>#REF!</v>
      </c>
      <c r="F155" s="6" t="e">
        <f>#REF!</f>
        <v>#REF!</v>
      </c>
      <c r="G155" s="6" t="e">
        <f>#REF!</f>
        <v>#REF!</v>
      </c>
      <c r="H155" s="6" t="e">
        <f>#REF!</f>
        <v>#REF!</v>
      </c>
      <c r="I155" s="6" t="e">
        <f>#REF!</f>
        <v>#REF!</v>
      </c>
      <c r="J155" s="6" t="e">
        <f>#REF!</f>
        <v>#REF!</v>
      </c>
      <c r="K155" s="6" t="e">
        <f>#REF!</f>
        <v>#REF!</v>
      </c>
      <c r="L155" s="6" t="e">
        <f>#REF!</f>
        <v>#REF!</v>
      </c>
      <c r="M155" s="6" t="e">
        <f>#REF!</f>
        <v>#REF!</v>
      </c>
      <c r="N155" s="6" t="e">
        <f>#REF!</f>
        <v>#REF!</v>
      </c>
      <c r="O155" s="6" t="e">
        <f>#REF!</f>
        <v>#REF!</v>
      </c>
      <c r="P155" s="6" t="e">
        <f>#REF!</f>
        <v>#REF!</v>
      </c>
      <c r="Q155" s="6" t="e">
        <f>#REF!</f>
        <v>#REF!</v>
      </c>
      <c r="R155" s="6" t="e">
        <f>#REF!</f>
        <v>#REF!</v>
      </c>
      <c r="S155" s="6" t="e">
        <f>#REF!</f>
        <v>#REF!</v>
      </c>
      <c r="T155" s="6" t="e">
        <f>#REF!</f>
        <v>#REF!</v>
      </c>
      <c r="U155" s="6" t="e">
        <f>#REF!</f>
        <v>#REF!</v>
      </c>
      <c r="V155" s="6" t="e">
        <f>#REF!</f>
        <v>#REF!</v>
      </c>
      <c r="W155" s="6" t="e">
        <f>#REF!</f>
        <v>#REF!</v>
      </c>
      <c r="X155" s="6" t="e">
        <f>#REF!</f>
        <v>#REF!</v>
      </c>
      <c r="Y155" s="6" t="e">
        <f>#REF!</f>
        <v>#REF!</v>
      </c>
      <c r="Z155" s="6" t="e">
        <f>#REF!</f>
        <v>#REF!</v>
      </c>
      <c r="AA155" s="6" t="e">
        <f>#REF!</f>
        <v>#REF!</v>
      </c>
      <c r="AB155" s="6" t="e">
        <f>#REF!</f>
        <v>#REF!</v>
      </c>
      <c r="AC155" s="6" t="e">
        <f>#REF!</f>
        <v>#REF!</v>
      </c>
      <c r="AD155" s="6" t="e">
        <f>#REF!</f>
        <v>#REF!</v>
      </c>
      <c r="AE155" s="6" t="e">
        <f>#REF!</f>
        <v>#REF!</v>
      </c>
      <c r="AF155" s="6" t="e">
        <f>#REF!</f>
        <v>#REF!</v>
      </c>
      <c r="AG155" s="6" t="e">
        <f>#REF!</f>
        <v>#REF!</v>
      </c>
      <c r="AH155" s="6" t="e">
        <f>#REF!</f>
        <v>#REF!</v>
      </c>
      <c r="AI155" s="6" t="e">
        <f>#REF!</f>
        <v>#REF!</v>
      </c>
      <c r="AJ155" s="6" t="e">
        <f>#REF!</f>
        <v>#REF!</v>
      </c>
      <c r="AK155" s="6" t="e">
        <f>#REF!</f>
        <v>#REF!</v>
      </c>
      <c r="AL155" s="6" t="e">
        <f>#REF!</f>
        <v>#REF!</v>
      </c>
    </row>
    <row r="156" spans="1:38" ht="15.75" thickTop="1" x14ac:dyDescent="0.25">
      <c r="A156" s="64" t="s">
        <v>379</v>
      </c>
      <c r="B156" s="126" t="e">
        <f>VLOOKUP(A156,$A$2:$AL$285,MATCH('Character Sheet'!$BJ$3,$A$1:$AL$1,0),FALSE)</f>
        <v>#REF!</v>
      </c>
      <c r="C156" s="6" t="e">
        <f>#REF!</f>
        <v>#REF!</v>
      </c>
      <c r="D156" s="6" t="e">
        <f>#REF!</f>
        <v>#REF!</v>
      </c>
      <c r="E156" s="6" t="e">
        <f>#REF!</f>
        <v>#REF!</v>
      </c>
      <c r="F156" s="6" t="e">
        <f>#REF!</f>
        <v>#REF!</v>
      </c>
      <c r="G156" s="6" t="e">
        <f>#REF!</f>
        <v>#REF!</v>
      </c>
      <c r="H156" s="6" t="e">
        <f>#REF!</f>
        <v>#REF!</v>
      </c>
      <c r="I156" s="6" t="e">
        <f>#REF!</f>
        <v>#REF!</v>
      </c>
      <c r="J156" s="6" t="e">
        <f>#REF!</f>
        <v>#REF!</v>
      </c>
      <c r="K156" s="6" t="e">
        <f>#REF!</f>
        <v>#REF!</v>
      </c>
      <c r="L156" s="6" t="e">
        <f>#REF!</f>
        <v>#REF!</v>
      </c>
      <c r="M156" s="6" t="e">
        <f>#REF!</f>
        <v>#REF!</v>
      </c>
      <c r="N156" s="6" t="e">
        <f>#REF!</f>
        <v>#REF!</v>
      </c>
      <c r="O156" s="6" t="e">
        <f>#REF!</f>
        <v>#REF!</v>
      </c>
      <c r="P156" s="6" t="e">
        <f>#REF!</f>
        <v>#REF!</v>
      </c>
      <c r="Q156" s="6" t="e">
        <f>#REF!</f>
        <v>#REF!</v>
      </c>
      <c r="R156" s="6" t="e">
        <f>#REF!</f>
        <v>#REF!</v>
      </c>
      <c r="S156" s="6" t="e">
        <f>#REF!</f>
        <v>#REF!</v>
      </c>
      <c r="T156" s="6" t="e">
        <f>#REF!</f>
        <v>#REF!</v>
      </c>
      <c r="U156" s="6" t="e">
        <f>#REF!</f>
        <v>#REF!</v>
      </c>
      <c r="V156" s="6" t="e">
        <f>#REF!</f>
        <v>#REF!</v>
      </c>
      <c r="W156" s="6" t="e">
        <f>#REF!</f>
        <v>#REF!</v>
      </c>
      <c r="X156" s="6" t="e">
        <f>#REF!</f>
        <v>#REF!</v>
      </c>
      <c r="Y156" s="6" t="e">
        <f>#REF!</f>
        <v>#REF!</v>
      </c>
      <c r="Z156" s="6" t="e">
        <f>#REF!</f>
        <v>#REF!</v>
      </c>
      <c r="AA156" s="6" t="e">
        <f>#REF!</f>
        <v>#REF!</v>
      </c>
      <c r="AB156" s="6" t="e">
        <f>#REF!</f>
        <v>#REF!</v>
      </c>
      <c r="AC156" s="6" t="e">
        <f>#REF!</f>
        <v>#REF!</v>
      </c>
      <c r="AD156" s="6" t="e">
        <f>#REF!</f>
        <v>#REF!</v>
      </c>
      <c r="AE156" s="6" t="e">
        <f>#REF!</f>
        <v>#REF!</v>
      </c>
      <c r="AF156" s="6" t="e">
        <f>#REF!</f>
        <v>#REF!</v>
      </c>
      <c r="AG156" s="6" t="e">
        <f>#REF!</f>
        <v>#REF!</v>
      </c>
      <c r="AH156" s="6" t="e">
        <f>#REF!</f>
        <v>#REF!</v>
      </c>
      <c r="AI156" s="6" t="e">
        <f>#REF!</f>
        <v>#REF!</v>
      </c>
      <c r="AJ156" s="6" t="e">
        <f>#REF!</f>
        <v>#REF!</v>
      </c>
      <c r="AK156" s="6" t="e">
        <f>#REF!</f>
        <v>#REF!</v>
      </c>
      <c r="AL156" s="6" t="e">
        <f>#REF!</f>
        <v>#REF!</v>
      </c>
    </row>
    <row r="157" spans="1:38" x14ac:dyDescent="0.25">
      <c r="A157" s="64" t="s">
        <v>376</v>
      </c>
      <c r="B157" s="126" t="e">
        <f>VLOOKUP(A157,$A$2:$AL$285,MATCH('Character Sheet'!$BJ$3,$A$1:$AL$1,0),FALSE)</f>
        <v>#REF!</v>
      </c>
      <c r="C157" s="6" t="e">
        <f>#REF!</f>
        <v>#REF!</v>
      </c>
      <c r="D157" s="6" t="e">
        <f>#REF!</f>
        <v>#REF!</v>
      </c>
      <c r="E157" s="6" t="e">
        <f>#REF!</f>
        <v>#REF!</v>
      </c>
      <c r="F157" s="6" t="e">
        <f>#REF!</f>
        <v>#REF!</v>
      </c>
      <c r="G157" s="6" t="e">
        <f>#REF!</f>
        <v>#REF!</v>
      </c>
      <c r="H157" s="6" t="e">
        <f>#REF!</f>
        <v>#REF!</v>
      </c>
      <c r="I157" s="6" t="e">
        <f>#REF!</f>
        <v>#REF!</v>
      </c>
      <c r="J157" s="6" t="e">
        <f>#REF!</f>
        <v>#REF!</v>
      </c>
      <c r="K157" s="6" t="e">
        <f>#REF!</f>
        <v>#REF!</v>
      </c>
      <c r="L157" s="6" t="e">
        <f>#REF!</f>
        <v>#REF!</v>
      </c>
      <c r="M157" s="6" t="e">
        <f>#REF!</f>
        <v>#REF!</v>
      </c>
      <c r="N157" s="6" t="e">
        <f>#REF!</f>
        <v>#REF!</v>
      </c>
      <c r="O157" s="6" t="e">
        <f>#REF!</f>
        <v>#REF!</v>
      </c>
      <c r="P157" s="6" t="e">
        <f>#REF!</f>
        <v>#REF!</v>
      </c>
      <c r="Q157" s="6" t="e">
        <f>#REF!</f>
        <v>#REF!</v>
      </c>
      <c r="R157" s="6" t="e">
        <f>#REF!</f>
        <v>#REF!</v>
      </c>
      <c r="S157" s="6" t="e">
        <f>#REF!</f>
        <v>#REF!</v>
      </c>
      <c r="T157" s="6" t="e">
        <f>#REF!</f>
        <v>#REF!</v>
      </c>
      <c r="U157" s="6" t="e">
        <f>#REF!</f>
        <v>#REF!</v>
      </c>
      <c r="V157" s="6" t="e">
        <f>#REF!</f>
        <v>#REF!</v>
      </c>
      <c r="W157" s="6" t="e">
        <f>#REF!</f>
        <v>#REF!</v>
      </c>
      <c r="X157" s="6" t="e">
        <f>#REF!</f>
        <v>#REF!</v>
      </c>
      <c r="Y157" s="6" t="e">
        <f>#REF!</f>
        <v>#REF!</v>
      </c>
      <c r="Z157" s="6" t="e">
        <f>#REF!</f>
        <v>#REF!</v>
      </c>
      <c r="AA157" s="6" t="e">
        <f>#REF!</f>
        <v>#REF!</v>
      </c>
      <c r="AB157" s="6" t="e">
        <f>#REF!</f>
        <v>#REF!</v>
      </c>
      <c r="AC157" s="6" t="e">
        <f>#REF!</f>
        <v>#REF!</v>
      </c>
      <c r="AD157" s="6" t="e">
        <f>#REF!</f>
        <v>#REF!</v>
      </c>
      <c r="AE157" s="6" t="e">
        <f>#REF!</f>
        <v>#REF!</v>
      </c>
      <c r="AF157" s="6" t="e">
        <f>#REF!</f>
        <v>#REF!</v>
      </c>
      <c r="AG157" s="6" t="e">
        <f>#REF!</f>
        <v>#REF!</v>
      </c>
      <c r="AH157" s="6" t="e">
        <f>#REF!</f>
        <v>#REF!</v>
      </c>
      <c r="AI157" s="6" t="e">
        <f>#REF!</f>
        <v>#REF!</v>
      </c>
      <c r="AJ157" s="6" t="e">
        <f>#REF!</f>
        <v>#REF!</v>
      </c>
      <c r="AK157" s="6" t="e">
        <f>#REF!</f>
        <v>#REF!</v>
      </c>
      <c r="AL157" s="6" t="e">
        <f>#REF!</f>
        <v>#REF!</v>
      </c>
    </row>
    <row r="158" spans="1:38" x14ac:dyDescent="0.25">
      <c r="A158" s="64" t="s">
        <v>377</v>
      </c>
      <c r="B158" s="126" t="e">
        <f>VLOOKUP(A158,$A$2:$AL$285,MATCH('Character Sheet'!$BJ$3,$A$1:$AL$1,0),FALSE)</f>
        <v>#REF!</v>
      </c>
      <c r="C158" s="6" t="e">
        <f>#REF!</f>
        <v>#REF!</v>
      </c>
      <c r="D158" s="6" t="e">
        <f>#REF!</f>
        <v>#REF!</v>
      </c>
      <c r="E158" s="6" t="e">
        <f>#REF!</f>
        <v>#REF!</v>
      </c>
      <c r="F158" s="6" t="e">
        <f>#REF!</f>
        <v>#REF!</v>
      </c>
      <c r="G158" s="6" t="e">
        <f>#REF!</f>
        <v>#REF!</v>
      </c>
      <c r="H158" s="6" t="e">
        <f>#REF!</f>
        <v>#REF!</v>
      </c>
      <c r="I158" s="6" t="e">
        <f>#REF!</f>
        <v>#REF!</v>
      </c>
      <c r="J158" s="6" t="e">
        <f>#REF!</f>
        <v>#REF!</v>
      </c>
      <c r="K158" s="6" t="e">
        <f>#REF!</f>
        <v>#REF!</v>
      </c>
      <c r="L158" s="6" t="e">
        <f>#REF!</f>
        <v>#REF!</v>
      </c>
      <c r="M158" s="6" t="e">
        <f>#REF!</f>
        <v>#REF!</v>
      </c>
      <c r="N158" s="6" t="e">
        <f>#REF!</f>
        <v>#REF!</v>
      </c>
      <c r="O158" s="6" t="e">
        <f>#REF!</f>
        <v>#REF!</v>
      </c>
      <c r="P158" s="6" t="e">
        <f>#REF!</f>
        <v>#REF!</v>
      </c>
      <c r="Q158" s="6" t="e">
        <f>#REF!</f>
        <v>#REF!</v>
      </c>
      <c r="R158" s="6" t="e">
        <f>#REF!</f>
        <v>#REF!</v>
      </c>
      <c r="S158" s="6" t="e">
        <f>#REF!</f>
        <v>#REF!</v>
      </c>
      <c r="T158" s="6" t="e">
        <f>#REF!</f>
        <v>#REF!</v>
      </c>
      <c r="U158" s="6" t="e">
        <f>#REF!</f>
        <v>#REF!</v>
      </c>
      <c r="V158" s="6" t="e">
        <f>#REF!</f>
        <v>#REF!</v>
      </c>
      <c r="W158" s="6" t="e">
        <f>#REF!</f>
        <v>#REF!</v>
      </c>
      <c r="X158" s="6" t="e">
        <f>#REF!</f>
        <v>#REF!</v>
      </c>
      <c r="Y158" s="6" t="e">
        <f>#REF!</f>
        <v>#REF!</v>
      </c>
      <c r="Z158" s="6" t="e">
        <f>#REF!</f>
        <v>#REF!</v>
      </c>
      <c r="AA158" s="6" t="e">
        <f>#REF!</f>
        <v>#REF!</v>
      </c>
      <c r="AB158" s="6" t="e">
        <f>#REF!</f>
        <v>#REF!</v>
      </c>
      <c r="AC158" s="6" t="e">
        <f>#REF!</f>
        <v>#REF!</v>
      </c>
      <c r="AD158" s="6" t="e">
        <f>#REF!</f>
        <v>#REF!</v>
      </c>
      <c r="AE158" s="6" t="e">
        <f>#REF!</f>
        <v>#REF!</v>
      </c>
      <c r="AF158" s="6" t="e">
        <f>#REF!</f>
        <v>#REF!</v>
      </c>
      <c r="AG158" s="6" t="e">
        <f>#REF!</f>
        <v>#REF!</v>
      </c>
      <c r="AH158" s="6" t="e">
        <f>#REF!</f>
        <v>#REF!</v>
      </c>
      <c r="AI158" s="6" t="e">
        <f>#REF!</f>
        <v>#REF!</v>
      </c>
      <c r="AJ158" s="6" t="e">
        <f>#REF!</f>
        <v>#REF!</v>
      </c>
      <c r="AK158" s="6" t="e">
        <f>#REF!</f>
        <v>#REF!</v>
      </c>
      <c r="AL158" s="6" t="e">
        <f>#REF!</f>
        <v>#REF!</v>
      </c>
    </row>
    <row r="159" spans="1:38" ht="15.75" thickBot="1" x14ac:dyDescent="0.3">
      <c r="A159" s="64" t="s">
        <v>378</v>
      </c>
      <c r="B159" s="126" t="e">
        <f>VLOOKUP(A159,$A$2:$AL$285,MATCH('Character Sheet'!$BJ$3,$A$1:$AL$1,0),FALSE)</f>
        <v>#REF!</v>
      </c>
      <c r="C159" s="6" t="e">
        <f>#REF!</f>
        <v>#REF!</v>
      </c>
      <c r="D159" s="6" t="e">
        <f>#REF!</f>
        <v>#REF!</v>
      </c>
      <c r="E159" s="6" t="e">
        <f>#REF!</f>
        <v>#REF!</v>
      </c>
      <c r="F159" s="6" t="e">
        <f>#REF!</f>
        <v>#REF!</v>
      </c>
      <c r="G159" s="6" t="e">
        <f>#REF!</f>
        <v>#REF!</v>
      </c>
      <c r="H159" s="6" t="e">
        <f>#REF!</f>
        <v>#REF!</v>
      </c>
      <c r="I159" s="6" t="e">
        <f>#REF!</f>
        <v>#REF!</v>
      </c>
      <c r="J159" s="6" t="e">
        <f>#REF!</f>
        <v>#REF!</v>
      </c>
      <c r="K159" s="6" t="e">
        <f>#REF!</f>
        <v>#REF!</v>
      </c>
      <c r="L159" s="6" t="e">
        <f>#REF!</f>
        <v>#REF!</v>
      </c>
      <c r="M159" s="6" t="e">
        <f>#REF!</f>
        <v>#REF!</v>
      </c>
      <c r="N159" s="6" t="e">
        <f>#REF!</f>
        <v>#REF!</v>
      </c>
      <c r="O159" s="6" t="e">
        <f>#REF!</f>
        <v>#REF!</v>
      </c>
      <c r="P159" s="6" t="e">
        <f>#REF!</f>
        <v>#REF!</v>
      </c>
      <c r="Q159" s="6" t="e">
        <f>#REF!</f>
        <v>#REF!</v>
      </c>
      <c r="R159" s="6" t="e">
        <f>#REF!</f>
        <v>#REF!</v>
      </c>
      <c r="S159" s="6" t="e">
        <f>#REF!</f>
        <v>#REF!</v>
      </c>
      <c r="T159" s="6" t="e">
        <f>#REF!</f>
        <v>#REF!</v>
      </c>
      <c r="U159" s="6" t="e">
        <f>#REF!</f>
        <v>#REF!</v>
      </c>
      <c r="V159" s="6" t="e">
        <f>#REF!</f>
        <v>#REF!</v>
      </c>
      <c r="W159" s="6" t="e">
        <f>#REF!</f>
        <v>#REF!</v>
      </c>
      <c r="X159" s="6" t="e">
        <f>#REF!</f>
        <v>#REF!</v>
      </c>
      <c r="Y159" s="6" t="e">
        <f>#REF!</f>
        <v>#REF!</v>
      </c>
      <c r="Z159" s="6" t="e">
        <f>#REF!</f>
        <v>#REF!</v>
      </c>
      <c r="AA159" s="6" t="e">
        <f>#REF!</f>
        <v>#REF!</v>
      </c>
      <c r="AB159" s="6" t="e">
        <f>#REF!</f>
        <v>#REF!</v>
      </c>
      <c r="AC159" s="6" t="e">
        <f>#REF!</f>
        <v>#REF!</v>
      </c>
      <c r="AD159" s="6" t="e">
        <f>#REF!</f>
        <v>#REF!</v>
      </c>
      <c r="AE159" s="6" t="e">
        <f>#REF!</f>
        <v>#REF!</v>
      </c>
      <c r="AF159" s="6" t="e">
        <f>#REF!</f>
        <v>#REF!</v>
      </c>
      <c r="AG159" s="6" t="e">
        <f>#REF!</f>
        <v>#REF!</v>
      </c>
      <c r="AH159" s="6" t="e">
        <f>#REF!</f>
        <v>#REF!</v>
      </c>
      <c r="AI159" s="6" t="e">
        <f>#REF!</f>
        <v>#REF!</v>
      </c>
      <c r="AJ159" s="6" t="e">
        <f>#REF!</f>
        <v>#REF!</v>
      </c>
      <c r="AK159" s="6" t="e">
        <f>#REF!</f>
        <v>#REF!</v>
      </c>
      <c r="AL159" s="6" t="e">
        <f>#REF!</f>
        <v>#REF!</v>
      </c>
    </row>
    <row r="160" spans="1:38" ht="16.5" thickTop="1" thickBot="1" x14ac:dyDescent="0.3">
      <c r="A160" s="63" t="s">
        <v>380</v>
      </c>
      <c r="B160" s="126" t="e">
        <f>VLOOKUP(A160,$A$2:$AL$285,MATCH('Character Sheet'!$BJ$3,$A$1:$AL$1,0),FALSE)</f>
        <v>#REF!</v>
      </c>
      <c r="C160" s="6" t="e">
        <f>#REF!</f>
        <v>#REF!</v>
      </c>
      <c r="D160" s="6" t="e">
        <f>#REF!</f>
        <v>#REF!</v>
      </c>
      <c r="E160" s="6" t="e">
        <f>#REF!</f>
        <v>#REF!</v>
      </c>
      <c r="F160" s="6" t="e">
        <f>#REF!</f>
        <v>#REF!</v>
      </c>
      <c r="G160" s="6" t="e">
        <f>#REF!</f>
        <v>#REF!</v>
      </c>
      <c r="H160" s="6" t="e">
        <f>#REF!</f>
        <v>#REF!</v>
      </c>
      <c r="I160" s="6" t="e">
        <f>#REF!</f>
        <v>#REF!</v>
      </c>
      <c r="J160" s="6" t="e">
        <f>#REF!</f>
        <v>#REF!</v>
      </c>
      <c r="K160" s="6" t="e">
        <f>#REF!</f>
        <v>#REF!</v>
      </c>
      <c r="L160" s="6" t="e">
        <f>#REF!</f>
        <v>#REF!</v>
      </c>
      <c r="M160" s="6" t="e">
        <f>#REF!</f>
        <v>#REF!</v>
      </c>
      <c r="N160" s="6" t="e">
        <f>#REF!</f>
        <v>#REF!</v>
      </c>
      <c r="O160" s="6" t="e">
        <f>#REF!</f>
        <v>#REF!</v>
      </c>
      <c r="P160" s="6" t="e">
        <f>#REF!</f>
        <v>#REF!</v>
      </c>
      <c r="Q160" s="6" t="e">
        <f>#REF!</f>
        <v>#REF!</v>
      </c>
      <c r="R160" s="6" t="e">
        <f>#REF!</f>
        <v>#REF!</v>
      </c>
      <c r="S160" s="6" t="e">
        <f>#REF!</f>
        <v>#REF!</v>
      </c>
      <c r="T160" s="6" t="e">
        <f>#REF!</f>
        <v>#REF!</v>
      </c>
      <c r="U160" s="6" t="e">
        <f>#REF!</f>
        <v>#REF!</v>
      </c>
      <c r="V160" s="6" t="e">
        <f>#REF!</f>
        <v>#REF!</v>
      </c>
      <c r="W160" s="6" t="e">
        <f>#REF!</f>
        <v>#REF!</v>
      </c>
      <c r="X160" s="6" t="e">
        <f>#REF!</f>
        <v>#REF!</v>
      </c>
      <c r="Y160" s="6" t="e">
        <f>#REF!</f>
        <v>#REF!</v>
      </c>
      <c r="Z160" s="6" t="e">
        <f>#REF!</f>
        <v>#REF!</v>
      </c>
      <c r="AA160" s="6" t="e">
        <f>#REF!</f>
        <v>#REF!</v>
      </c>
      <c r="AB160" s="6" t="e">
        <f>#REF!</f>
        <v>#REF!</v>
      </c>
      <c r="AC160" s="6" t="e">
        <f>#REF!</f>
        <v>#REF!</v>
      </c>
      <c r="AD160" s="6" t="e">
        <f>#REF!</f>
        <v>#REF!</v>
      </c>
      <c r="AE160" s="6" t="e">
        <f>#REF!</f>
        <v>#REF!</v>
      </c>
      <c r="AF160" s="6" t="e">
        <f>#REF!</f>
        <v>#REF!</v>
      </c>
      <c r="AG160" s="6" t="e">
        <f>#REF!</f>
        <v>#REF!</v>
      </c>
      <c r="AH160" s="6" t="e">
        <f>#REF!</f>
        <v>#REF!</v>
      </c>
      <c r="AI160" s="6" t="e">
        <f>#REF!</f>
        <v>#REF!</v>
      </c>
      <c r="AJ160" s="6" t="e">
        <f>#REF!</f>
        <v>#REF!</v>
      </c>
      <c r="AK160" s="6" t="e">
        <f>#REF!</f>
        <v>#REF!</v>
      </c>
      <c r="AL160" s="6" t="e">
        <f>#REF!</f>
        <v>#REF!</v>
      </c>
    </row>
    <row r="161" spans="1:38" ht="15.75" thickTop="1" x14ac:dyDescent="0.25">
      <c r="A161" s="64" t="s">
        <v>382</v>
      </c>
      <c r="B161" s="126" t="e">
        <f>VLOOKUP(A161,$A$2:$AL$285,MATCH('Character Sheet'!$BJ$3,$A$1:$AL$1,0),FALSE)</f>
        <v>#REF!</v>
      </c>
      <c r="C161" s="6" t="e">
        <f>#REF!</f>
        <v>#REF!</v>
      </c>
      <c r="D161" s="6" t="e">
        <f>#REF!</f>
        <v>#REF!</v>
      </c>
      <c r="E161" s="6" t="e">
        <f>#REF!</f>
        <v>#REF!</v>
      </c>
      <c r="F161" s="6" t="e">
        <f>#REF!</f>
        <v>#REF!</v>
      </c>
      <c r="G161" s="6" t="e">
        <f>#REF!</f>
        <v>#REF!</v>
      </c>
      <c r="H161" s="6" t="e">
        <f>#REF!</f>
        <v>#REF!</v>
      </c>
      <c r="I161" s="6" t="e">
        <f>#REF!</f>
        <v>#REF!</v>
      </c>
      <c r="J161" s="6" t="e">
        <f>#REF!</f>
        <v>#REF!</v>
      </c>
      <c r="K161" s="6" t="e">
        <f>#REF!</f>
        <v>#REF!</v>
      </c>
      <c r="L161" s="6" t="e">
        <f>#REF!</f>
        <v>#REF!</v>
      </c>
      <c r="M161" s="6" t="e">
        <f>#REF!</f>
        <v>#REF!</v>
      </c>
      <c r="N161" s="6" t="e">
        <f>#REF!</f>
        <v>#REF!</v>
      </c>
      <c r="O161" s="6" t="e">
        <f>#REF!</f>
        <v>#REF!</v>
      </c>
      <c r="P161" s="6" t="e">
        <f>#REF!</f>
        <v>#REF!</v>
      </c>
      <c r="Q161" s="6" t="e">
        <f>#REF!</f>
        <v>#REF!</v>
      </c>
      <c r="R161" s="6" t="e">
        <f>#REF!</f>
        <v>#REF!</v>
      </c>
      <c r="S161" s="6" t="e">
        <f>#REF!</f>
        <v>#REF!</v>
      </c>
      <c r="T161" s="6" t="e">
        <f>#REF!</f>
        <v>#REF!</v>
      </c>
      <c r="U161" s="6" t="e">
        <f>#REF!</f>
        <v>#REF!</v>
      </c>
      <c r="V161" s="6" t="e">
        <f>#REF!</f>
        <v>#REF!</v>
      </c>
      <c r="W161" s="6" t="e">
        <f>#REF!</f>
        <v>#REF!</v>
      </c>
      <c r="X161" s="6" t="e">
        <f>#REF!</f>
        <v>#REF!</v>
      </c>
      <c r="Y161" s="6" t="e">
        <f>#REF!</f>
        <v>#REF!</v>
      </c>
      <c r="Z161" s="6" t="e">
        <f>#REF!</f>
        <v>#REF!</v>
      </c>
      <c r="AA161" s="6" t="e">
        <f>#REF!</f>
        <v>#REF!</v>
      </c>
      <c r="AB161" s="6" t="e">
        <f>#REF!</f>
        <v>#REF!</v>
      </c>
      <c r="AC161" s="6" t="e">
        <f>#REF!</f>
        <v>#REF!</v>
      </c>
      <c r="AD161" s="6" t="e">
        <f>#REF!</f>
        <v>#REF!</v>
      </c>
      <c r="AE161" s="6" t="e">
        <f>#REF!</f>
        <v>#REF!</v>
      </c>
      <c r="AF161" s="6" t="e">
        <f>#REF!</f>
        <v>#REF!</v>
      </c>
      <c r="AG161" s="6" t="e">
        <f>#REF!</f>
        <v>#REF!</v>
      </c>
      <c r="AH161" s="6" t="e">
        <f>#REF!</f>
        <v>#REF!</v>
      </c>
      <c r="AI161" s="6" t="e">
        <f>#REF!</f>
        <v>#REF!</v>
      </c>
      <c r="AJ161" s="6" t="e">
        <f>#REF!</f>
        <v>#REF!</v>
      </c>
      <c r="AK161" s="6" t="e">
        <f>#REF!</f>
        <v>#REF!</v>
      </c>
      <c r="AL161" s="6" t="e">
        <f>#REF!</f>
        <v>#REF!</v>
      </c>
    </row>
    <row r="162" spans="1:38" x14ac:dyDescent="0.25">
      <c r="A162" s="64" t="s">
        <v>383</v>
      </c>
      <c r="B162" s="126" t="e">
        <f>VLOOKUP(A162,$A$2:$AL$285,MATCH('Character Sheet'!$BJ$3,$A$1:$AL$1,0),FALSE)</f>
        <v>#REF!</v>
      </c>
      <c r="C162" s="6" t="e">
        <f>#REF!</f>
        <v>#REF!</v>
      </c>
      <c r="D162" s="6" t="e">
        <f>#REF!</f>
        <v>#REF!</v>
      </c>
      <c r="E162" s="6" t="e">
        <f>#REF!</f>
        <v>#REF!</v>
      </c>
      <c r="F162" s="6" t="e">
        <f>#REF!</f>
        <v>#REF!</v>
      </c>
      <c r="G162" s="6" t="e">
        <f>#REF!</f>
        <v>#REF!</v>
      </c>
      <c r="H162" s="6" t="e">
        <f>#REF!</f>
        <v>#REF!</v>
      </c>
      <c r="I162" s="6" t="e">
        <f>#REF!</f>
        <v>#REF!</v>
      </c>
      <c r="J162" s="6" t="e">
        <f>#REF!</f>
        <v>#REF!</v>
      </c>
      <c r="K162" s="6" t="e">
        <f>#REF!</f>
        <v>#REF!</v>
      </c>
      <c r="L162" s="6" t="e">
        <f>#REF!</f>
        <v>#REF!</v>
      </c>
      <c r="M162" s="6" t="e">
        <f>#REF!</f>
        <v>#REF!</v>
      </c>
      <c r="N162" s="6" t="e">
        <f>#REF!</f>
        <v>#REF!</v>
      </c>
      <c r="O162" s="6" t="e">
        <f>#REF!</f>
        <v>#REF!</v>
      </c>
      <c r="P162" s="6" t="e">
        <f>#REF!</f>
        <v>#REF!</v>
      </c>
      <c r="Q162" s="6" t="e">
        <f>#REF!</f>
        <v>#REF!</v>
      </c>
      <c r="R162" s="6" t="e">
        <f>#REF!</f>
        <v>#REF!</v>
      </c>
      <c r="S162" s="6" t="e">
        <f>#REF!</f>
        <v>#REF!</v>
      </c>
      <c r="T162" s="6" t="e">
        <f>#REF!</f>
        <v>#REF!</v>
      </c>
      <c r="U162" s="6" t="e">
        <f>#REF!</f>
        <v>#REF!</v>
      </c>
      <c r="V162" s="6" t="e">
        <f>#REF!</f>
        <v>#REF!</v>
      </c>
      <c r="W162" s="6" t="e">
        <f>#REF!</f>
        <v>#REF!</v>
      </c>
      <c r="X162" s="6" t="e">
        <f>#REF!</f>
        <v>#REF!</v>
      </c>
      <c r="Y162" s="6" t="e">
        <f>#REF!</f>
        <v>#REF!</v>
      </c>
      <c r="Z162" s="6" t="e">
        <f>#REF!</f>
        <v>#REF!</v>
      </c>
      <c r="AA162" s="6" t="e">
        <f>#REF!</f>
        <v>#REF!</v>
      </c>
      <c r="AB162" s="6" t="e">
        <f>#REF!</f>
        <v>#REF!</v>
      </c>
      <c r="AC162" s="6" t="e">
        <f>#REF!</f>
        <v>#REF!</v>
      </c>
      <c r="AD162" s="6" t="e">
        <f>#REF!</f>
        <v>#REF!</v>
      </c>
      <c r="AE162" s="6" t="e">
        <f>#REF!</f>
        <v>#REF!</v>
      </c>
      <c r="AF162" s="6" t="e">
        <f>#REF!</f>
        <v>#REF!</v>
      </c>
      <c r="AG162" s="6" t="e">
        <f>#REF!</f>
        <v>#REF!</v>
      </c>
      <c r="AH162" s="6" t="e">
        <f>#REF!</f>
        <v>#REF!</v>
      </c>
      <c r="AI162" s="6" t="e">
        <f>#REF!</f>
        <v>#REF!</v>
      </c>
      <c r="AJ162" s="6" t="e">
        <f>#REF!</f>
        <v>#REF!</v>
      </c>
      <c r="AK162" s="6" t="e">
        <f>#REF!</f>
        <v>#REF!</v>
      </c>
      <c r="AL162" s="6" t="e">
        <f>#REF!</f>
        <v>#REF!</v>
      </c>
    </row>
    <row r="163" spans="1:38" x14ac:dyDescent="0.25">
      <c r="A163" s="64" t="s">
        <v>384</v>
      </c>
      <c r="B163" s="126" t="e">
        <f>VLOOKUP(A163,$A$2:$AL$285,MATCH('Character Sheet'!$BJ$3,$A$1:$AL$1,0),FALSE)</f>
        <v>#REF!</v>
      </c>
      <c r="C163" s="6" t="e">
        <f>#REF!</f>
        <v>#REF!</v>
      </c>
      <c r="D163" s="6" t="e">
        <f>#REF!</f>
        <v>#REF!</v>
      </c>
      <c r="E163" s="6" t="e">
        <f>#REF!</f>
        <v>#REF!</v>
      </c>
      <c r="F163" s="6" t="e">
        <f>#REF!</f>
        <v>#REF!</v>
      </c>
      <c r="G163" s="6" t="e">
        <f>#REF!</f>
        <v>#REF!</v>
      </c>
      <c r="H163" s="6" t="e">
        <f>#REF!</f>
        <v>#REF!</v>
      </c>
      <c r="I163" s="6" t="e">
        <f>#REF!</f>
        <v>#REF!</v>
      </c>
      <c r="J163" s="6" t="e">
        <f>#REF!</f>
        <v>#REF!</v>
      </c>
      <c r="K163" s="6" t="e">
        <f>#REF!</f>
        <v>#REF!</v>
      </c>
      <c r="L163" s="6" t="e">
        <f>#REF!</f>
        <v>#REF!</v>
      </c>
      <c r="M163" s="6" t="e">
        <f>#REF!</f>
        <v>#REF!</v>
      </c>
      <c r="N163" s="6" t="e">
        <f>#REF!</f>
        <v>#REF!</v>
      </c>
      <c r="O163" s="6" t="e">
        <f>#REF!</f>
        <v>#REF!</v>
      </c>
      <c r="P163" s="6" t="e">
        <f>#REF!</f>
        <v>#REF!</v>
      </c>
      <c r="Q163" s="6" t="e">
        <f>#REF!</f>
        <v>#REF!</v>
      </c>
      <c r="R163" s="6" t="e">
        <f>#REF!</f>
        <v>#REF!</v>
      </c>
      <c r="S163" s="6" t="e">
        <f>#REF!</f>
        <v>#REF!</v>
      </c>
      <c r="T163" s="6" t="e">
        <f>#REF!</f>
        <v>#REF!</v>
      </c>
      <c r="U163" s="6" t="e">
        <f>#REF!</f>
        <v>#REF!</v>
      </c>
      <c r="V163" s="6" t="e">
        <f>#REF!</f>
        <v>#REF!</v>
      </c>
      <c r="W163" s="6" t="e">
        <f>#REF!</f>
        <v>#REF!</v>
      </c>
      <c r="X163" s="6" t="e">
        <f>#REF!</f>
        <v>#REF!</v>
      </c>
      <c r="Y163" s="6" t="e">
        <f>#REF!</f>
        <v>#REF!</v>
      </c>
      <c r="Z163" s="6" t="e">
        <f>#REF!</f>
        <v>#REF!</v>
      </c>
      <c r="AA163" s="6" t="e">
        <f>#REF!</f>
        <v>#REF!</v>
      </c>
      <c r="AB163" s="6" t="e">
        <f>#REF!</f>
        <v>#REF!</v>
      </c>
      <c r="AC163" s="6" t="e">
        <f>#REF!</f>
        <v>#REF!</v>
      </c>
      <c r="AD163" s="6" t="e">
        <f>#REF!</f>
        <v>#REF!</v>
      </c>
      <c r="AE163" s="6" t="e">
        <f>#REF!</f>
        <v>#REF!</v>
      </c>
      <c r="AF163" s="6" t="e">
        <f>#REF!</f>
        <v>#REF!</v>
      </c>
      <c r="AG163" s="6" t="e">
        <f>#REF!</f>
        <v>#REF!</v>
      </c>
      <c r="AH163" s="6" t="e">
        <f>#REF!</f>
        <v>#REF!</v>
      </c>
      <c r="AI163" s="6" t="e">
        <f>#REF!</f>
        <v>#REF!</v>
      </c>
      <c r="AJ163" s="6" t="e">
        <f>#REF!</f>
        <v>#REF!</v>
      </c>
      <c r="AK163" s="6" t="e">
        <f>#REF!</f>
        <v>#REF!</v>
      </c>
      <c r="AL163" s="6" t="e">
        <f>#REF!</f>
        <v>#REF!</v>
      </c>
    </row>
    <row r="164" spans="1:38" ht="15.75" thickBot="1" x14ac:dyDescent="0.3">
      <c r="A164" s="64" t="s">
        <v>385</v>
      </c>
      <c r="B164" s="126" t="e">
        <f>VLOOKUP(A164,$A$2:$AL$285,MATCH('Character Sheet'!$BJ$3,$A$1:$AL$1,0),FALSE)</f>
        <v>#REF!</v>
      </c>
      <c r="C164" s="6" t="e">
        <f>#REF!</f>
        <v>#REF!</v>
      </c>
      <c r="D164" s="6" t="e">
        <f>#REF!</f>
        <v>#REF!</v>
      </c>
      <c r="E164" s="6" t="e">
        <f>#REF!</f>
        <v>#REF!</v>
      </c>
      <c r="F164" s="6" t="e">
        <f>#REF!</f>
        <v>#REF!</v>
      </c>
      <c r="G164" s="6" t="e">
        <f>#REF!</f>
        <v>#REF!</v>
      </c>
      <c r="H164" s="6" t="e">
        <f>#REF!</f>
        <v>#REF!</v>
      </c>
      <c r="I164" s="6" t="e">
        <f>#REF!</f>
        <v>#REF!</v>
      </c>
      <c r="J164" s="6" t="e">
        <f>#REF!</f>
        <v>#REF!</v>
      </c>
      <c r="K164" s="6" t="e">
        <f>#REF!</f>
        <v>#REF!</v>
      </c>
      <c r="L164" s="6" t="e">
        <f>#REF!</f>
        <v>#REF!</v>
      </c>
      <c r="M164" s="6" t="e">
        <f>#REF!</f>
        <v>#REF!</v>
      </c>
      <c r="N164" s="6" t="e">
        <f>#REF!</f>
        <v>#REF!</v>
      </c>
      <c r="O164" s="6" t="e">
        <f>#REF!</f>
        <v>#REF!</v>
      </c>
      <c r="P164" s="6" t="e">
        <f>#REF!</f>
        <v>#REF!</v>
      </c>
      <c r="Q164" s="6" t="e">
        <f>#REF!</f>
        <v>#REF!</v>
      </c>
      <c r="R164" s="6" t="e">
        <f>#REF!</f>
        <v>#REF!</v>
      </c>
      <c r="S164" s="6" t="e">
        <f>#REF!</f>
        <v>#REF!</v>
      </c>
      <c r="T164" s="6" t="e">
        <f>#REF!</f>
        <v>#REF!</v>
      </c>
      <c r="U164" s="6" t="e">
        <f>#REF!</f>
        <v>#REF!</v>
      </c>
      <c r="V164" s="6" t="e">
        <f>#REF!</f>
        <v>#REF!</v>
      </c>
      <c r="W164" s="6" t="e">
        <f>#REF!</f>
        <v>#REF!</v>
      </c>
      <c r="X164" s="6" t="e">
        <f>#REF!</f>
        <v>#REF!</v>
      </c>
      <c r="Y164" s="6" t="e">
        <f>#REF!</f>
        <v>#REF!</v>
      </c>
      <c r="Z164" s="6" t="e">
        <f>#REF!</f>
        <v>#REF!</v>
      </c>
      <c r="AA164" s="6" t="e">
        <f>#REF!</f>
        <v>#REF!</v>
      </c>
      <c r="AB164" s="6" t="e">
        <f>#REF!</f>
        <v>#REF!</v>
      </c>
      <c r="AC164" s="6" t="e">
        <f>#REF!</f>
        <v>#REF!</v>
      </c>
      <c r="AD164" s="6" t="e">
        <f>#REF!</f>
        <v>#REF!</v>
      </c>
      <c r="AE164" s="6" t="e">
        <f>#REF!</f>
        <v>#REF!</v>
      </c>
      <c r="AF164" s="6" t="e">
        <f>#REF!</f>
        <v>#REF!</v>
      </c>
      <c r="AG164" s="6" t="e">
        <f>#REF!</f>
        <v>#REF!</v>
      </c>
      <c r="AH164" s="6" t="e">
        <f>#REF!</f>
        <v>#REF!</v>
      </c>
      <c r="AI164" s="6" t="e">
        <f>#REF!</f>
        <v>#REF!</v>
      </c>
      <c r="AJ164" s="6" t="e">
        <f>#REF!</f>
        <v>#REF!</v>
      </c>
      <c r="AK164" s="6" t="e">
        <f>#REF!</f>
        <v>#REF!</v>
      </c>
      <c r="AL164" s="6" t="e">
        <f>#REF!</f>
        <v>#REF!</v>
      </c>
    </row>
    <row r="165" spans="1:38" ht="16.5" thickTop="1" thickBot="1" x14ac:dyDescent="0.3">
      <c r="A165" s="63" t="s">
        <v>386</v>
      </c>
      <c r="B165" s="126" t="e">
        <f>VLOOKUP(A165,$A$2:$AL$285,MATCH('Character Sheet'!$BJ$3,$A$1:$AL$1,0),FALSE)</f>
        <v>#REF!</v>
      </c>
      <c r="C165" s="6" t="e">
        <f>#REF!</f>
        <v>#REF!</v>
      </c>
      <c r="D165" s="6" t="e">
        <f>#REF!</f>
        <v>#REF!</v>
      </c>
      <c r="E165" s="6" t="e">
        <f>#REF!</f>
        <v>#REF!</v>
      </c>
      <c r="F165" s="6" t="e">
        <f>#REF!</f>
        <v>#REF!</v>
      </c>
      <c r="G165" s="6" t="e">
        <f>#REF!</f>
        <v>#REF!</v>
      </c>
      <c r="H165" s="6" t="e">
        <f>#REF!</f>
        <v>#REF!</v>
      </c>
      <c r="I165" s="6" t="e">
        <f>#REF!</f>
        <v>#REF!</v>
      </c>
      <c r="J165" s="6" t="e">
        <f>#REF!</f>
        <v>#REF!</v>
      </c>
      <c r="K165" s="6" t="e">
        <f>#REF!</f>
        <v>#REF!</v>
      </c>
      <c r="L165" s="6" t="e">
        <f>#REF!</f>
        <v>#REF!</v>
      </c>
      <c r="M165" s="6" t="e">
        <f>#REF!</f>
        <v>#REF!</v>
      </c>
      <c r="N165" s="6" t="e">
        <f>#REF!</f>
        <v>#REF!</v>
      </c>
      <c r="O165" s="6" t="e">
        <f>#REF!</f>
        <v>#REF!</v>
      </c>
      <c r="P165" s="6" t="e">
        <f>#REF!</f>
        <v>#REF!</v>
      </c>
      <c r="Q165" s="6" t="e">
        <f>#REF!</f>
        <v>#REF!</v>
      </c>
      <c r="R165" s="6" t="e">
        <f>#REF!</f>
        <v>#REF!</v>
      </c>
      <c r="S165" s="6" t="e">
        <f>#REF!</f>
        <v>#REF!</v>
      </c>
      <c r="T165" s="6" t="e">
        <f>#REF!</f>
        <v>#REF!</v>
      </c>
      <c r="U165" s="6" t="e">
        <f>#REF!</f>
        <v>#REF!</v>
      </c>
      <c r="V165" s="6" t="e">
        <f>#REF!</f>
        <v>#REF!</v>
      </c>
      <c r="W165" s="6" t="e">
        <f>#REF!</f>
        <v>#REF!</v>
      </c>
      <c r="X165" s="6" t="e">
        <f>#REF!</f>
        <v>#REF!</v>
      </c>
      <c r="Y165" s="6" t="e">
        <f>#REF!</f>
        <v>#REF!</v>
      </c>
      <c r="Z165" s="6" t="e">
        <f>#REF!</f>
        <v>#REF!</v>
      </c>
      <c r="AA165" s="6" t="e">
        <f>#REF!</f>
        <v>#REF!</v>
      </c>
      <c r="AB165" s="6" t="e">
        <f>#REF!</f>
        <v>#REF!</v>
      </c>
      <c r="AC165" s="6" t="e">
        <f>#REF!</f>
        <v>#REF!</v>
      </c>
      <c r="AD165" s="6" t="e">
        <f>#REF!</f>
        <v>#REF!</v>
      </c>
      <c r="AE165" s="6" t="e">
        <f>#REF!</f>
        <v>#REF!</v>
      </c>
      <c r="AF165" s="6" t="e">
        <f>#REF!</f>
        <v>#REF!</v>
      </c>
      <c r="AG165" s="6" t="e">
        <f>#REF!</f>
        <v>#REF!</v>
      </c>
      <c r="AH165" s="6" t="e">
        <f>#REF!</f>
        <v>#REF!</v>
      </c>
      <c r="AI165" s="6" t="e">
        <f>#REF!</f>
        <v>#REF!</v>
      </c>
      <c r="AJ165" s="6" t="e">
        <f>#REF!</f>
        <v>#REF!</v>
      </c>
      <c r="AK165" s="6" t="e">
        <f>#REF!</f>
        <v>#REF!</v>
      </c>
      <c r="AL165" s="6" t="e">
        <f>#REF!</f>
        <v>#REF!</v>
      </c>
    </row>
    <row r="166" spans="1:38" ht="15.75" thickTop="1" x14ac:dyDescent="0.25">
      <c r="A166" s="65" t="s">
        <v>388</v>
      </c>
      <c r="B166" s="126" t="e">
        <f>VLOOKUP(A166,$A$2:$AL$285,MATCH('Character Sheet'!$BJ$3,$A$1:$AL$1,0),FALSE)</f>
        <v>#REF!</v>
      </c>
      <c r="C166" s="6" t="e">
        <f>#REF!</f>
        <v>#REF!</v>
      </c>
      <c r="D166" s="6" t="e">
        <f>#REF!</f>
        <v>#REF!</v>
      </c>
      <c r="E166" s="6" t="e">
        <f>#REF!</f>
        <v>#REF!</v>
      </c>
      <c r="F166" s="6" t="e">
        <f>#REF!</f>
        <v>#REF!</v>
      </c>
      <c r="G166" s="6" t="e">
        <f>#REF!</f>
        <v>#REF!</v>
      </c>
      <c r="H166" s="6" t="e">
        <f>#REF!</f>
        <v>#REF!</v>
      </c>
      <c r="I166" s="6" t="e">
        <f>#REF!</f>
        <v>#REF!</v>
      </c>
      <c r="J166" s="6" t="e">
        <f>#REF!</f>
        <v>#REF!</v>
      </c>
      <c r="K166" s="6" t="e">
        <f>#REF!</f>
        <v>#REF!</v>
      </c>
      <c r="L166" s="6" t="e">
        <f>#REF!</f>
        <v>#REF!</v>
      </c>
      <c r="M166" s="6" t="e">
        <f>#REF!</f>
        <v>#REF!</v>
      </c>
      <c r="N166" s="6" t="e">
        <f>#REF!</f>
        <v>#REF!</v>
      </c>
      <c r="O166" s="6" t="e">
        <f>#REF!</f>
        <v>#REF!</v>
      </c>
      <c r="P166" s="6" t="e">
        <f>#REF!</f>
        <v>#REF!</v>
      </c>
      <c r="Q166" s="6" t="e">
        <f>#REF!</f>
        <v>#REF!</v>
      </c>
      <c r="R166" s="6" t="e">
        <f>#REF!</f>
        <v>#REF!</v>
      </c>
      <c r="S166" s="6" t="e">
        <f>#REF!</f>
        <v>#REF!</v>
      </c>
      <c r="T166" s="6" t="e">
        <f>#REF!</f>
        <v>#REF!</v>
      </c>
      <c r="U166" s="6" t="e">
        <f>#REF!</f>
        <v>#REF!</v>
      </c>
      <c r="V166" s="6" t="e">
        <f>#REF!</f>
        <v>#REF!</v>
      </c>
      <c r="W166" s="6" t="e">
        <f>#REF!</f>
        <v>#REF!</v>
      </c>
      <c r="X166" s="6" t="e">
        <f>#REF!</f>
        <v>#REF!</v>
      </c>
      <c r="Y166" s="6" t="e">
        <f>#REF!</f>
        <v>#REF!</v>
      </c>
      <c r="Z166" s="6" t="e">
        <f>#REF!</f>
        <v>#REF!</v>
      </c>
      <c r="AA166" s="6" t="e">
        <f>#REF!</f>
        <v>#REF!</v>
      </c>
      <c r="AB166" s="6" t="e">
        <f>#REF!</f>
        <v>#REF!</v>
      </c>
      <c r="AC166" s="6" t="e">
        <f>#REF!</f>
        <v>#REF!</v>
      </c>
      <c r="AD166" s="6" t="e">
        <f>#REF!</f>
        <v>#REF!</v>
      </c>
      <c r="AE166" s="6" t="e">
        <f>#REF!</f>
        <v>#REF!</v>
      </c>
      <c r="AF166" s="6" t="e">
        <f>#REF!</f>
        <v>#REF!</v>
      </c>
      <c r="AG166" s="6" t="e">
        <f>#REF!</f>
        <v>#REF!</v>
      </c>
      <c r="AH166" s="6" t="e">
        <f>#REF!</f>
        <v>#REF!</v>
      </c>
      <c r="AI166" s="6" t="e">
        <f>#REF!</f>
        <v>#REF!</v>
      </c>
      <c r="AJ166" s="6" t="e">
        <f>#REF!</f>
        <v>#REF!</v>
      </c>
      <c r="AK166" s="6" t="e">
        <f>#REF!</f>
        <v>#REF!</v>
      </c>
      <c r="AL166" s="6" t="e">
        <f>#REF!</f>
        <v>#REF!</v>
      </c>
    </row>
    <row r="167" spans="1:38" x14ac:dyDescent="0.25">
      <c r="A167" s="65" t="s">
        <v>389</v>
      </c>
      <c r="B167" s="126" t="e">
        <f>VLOOKUP(A167,$A$2:$AL$285,MATCH('Character Sheet'!$BJ$3,$A$1:$AL$1,0),FALSE)</f>
        <v>#REF!</v>
      </c>
      <c r="C167" s="6" t="e">
        <f>#REF!</f>
        <v>#REF!</v>
      </c>
      <c r="D167" s="6" t="e">
        <f>#REF!</f>
        <v>#REF!</v>
      </c>
      <c r="E167" s="6" t="e">
        <f>#REF!</f>
        <v>#REF!</v>
      </c>
      <c r="F167" s="6" t="e">
        <f>#REF!</f>
        <v>#REF!</v>
      </c>
      <c r="G167" s="6" t="e">
        <f>#REF!</f>
        <v>#REF!</v>
      </c>
      <c r="H167" s="6" t="e">
        <f>#REF!</f>
        <v>#REF!</v>
      </c>
      <c r="I167" s="6" t="e">
        <f>#REF!</f>
        <v>#REF!</v>
      </c>
      <c r="J167" s="6" t="e">
        <f>#REF!</f>
        <v>#REF!</v>
      </c>
      <c r="K167" s="6" t="e">
        <f>#REF!</f>
        <v>#REF!</v>
      </c>
      <c r="L167" s="6" t="e">
        <f>#REF!</f>
        <v>#REF!</v>
      </c>
      <c r="M167" s="6" t="e">
        <f>#REF!</f>
        <v>#REF!</v>
      </c>
      <c r="N167" s="6" t="e">
        <f>#REF!</f>
        <v>#REF!</v>
      </c>
      <c r="O167" s="6" t="e">
        <f>#REF!</f>
        <v>#REF!</v>
      </c>
      <c r="P167" s="6" t="e">
        <f>#REF!</f>
        <v>#REF!</v>
      </c>
      <c r="Q167" s="6" t="e">
        <f>#REF!</f>
        <v>#REF!</v>
      </c>
      <c r="R167" s="6" t="e">
        <f>#REF!</f>
        <v>#REF!</v>
      </c>
      <c r="S167" s="6" t="e">
        <f>#REF!</f>
        <v>#REF!</v>
      </c>
      <c r="T167" s="6" t="e">
        <f>#REF!</f>
        <v>#REF!</v>
      </c>
      <c r="U167" s="6" t="e">
        <f>#REF!</f>
        <v>#REF!</v>
      </c>
      <c r="V167" s="6" t="e">
        <f>#REF!</f>
        <v>#REF!</v>
      </c>
      <c r="W167" s="6" t="e">
        <f>#REF!</f>
        <v>#REF!</v>
      </c>
      <c r="X167" s="6" t="e">
        <f>#REF!</f>
        <v>#REF!</v>
      </c>
      <c r="Y167" s="6" t="e">
        <f>#REF!</f>
        <v>#REF!</v>
      </c>
      <c r="Z167" s="6" t="e">
        <f>#REF!</f>
        <v>#REF!</v>
      </c>
      <c r="AA167" s="6" t="e">
        <f>#REF!</f>
        <v>#REF!</v>
      </c>
      <c r="AB167" s="6" t="e">
        <f>#REF!</f>
        <v>#REF!</v>
      </c>
      <c r="AC167" s="6" t="e">
        <f>#REF!</f>
        <v>#REF!</v>
      </c>
      <c r="AD167" s="6" t="e">
        <f>#REF!</f>
        <v>#REF!</v>
      </c>
      <c r="AE167" s="6" t="e">
        <f>#REF!</f>
        <v>#REF!</v>
      </c>
      <c r="AF167" s="6" t="e">
        <f>#REF!</f>
        <v>#REF!</v>
      </c>
      <c r="AG167" s="6" t="e">
        <f>#REF!</f>
        <v>#REF!</v>
      </c>
      <c r="AH167" s="6" t="e">
        <f>#REF!</f>
        <v>#REF!</v>
      </c>
      <c r="AI167" s="6" t="e">
        <f>#REF!</f>
        <v>#REF!</v>
      </c>
      <c r="AJ167" s="6" t="e">
        <f>#REF!</f>
        <v>#REF!</v>
      </c>
      <c r="AK167" s="6" t="e">
        <f>#REF!</f>
        <v>#REF!</v>
      </c>
      <c r="AL167" s="6" t="e">
        <f>#REF!</f>
        <v>#REF!</v>
      </c>
    </row>
    <row r="168" spans="1:38" x14ac:dyDescent="0.25">
      <c r="A168" s="65" t="s">
        <v>390</v>
      </c>
      <c r="B168" s="126" t="e">
        <f>VLOOKUP(A168,$A$2:$AL$285,MATCH('Character Sheet'!$BJ$3,$A$1:$AL$1,0),FALSE)</f>
        <v>#REF!</v>
      </c>
      <c r="C168" s="6" t="e">
        <f>#REF!</f>
        <v>#REF!</v>
      </c>
      <c r="D168" s="6" t="e">
        <f>#REF!</f>
        <v>#REF!</v>
      </c>
      <c r="E168" s="6" t="e">
        <f>#REF!</f>
        <v>#REF!</v>
      </c>
      <c r="F168" s="6" t="e">
        <f>#REF!</f>
        <v>#REF!</v>
      </c>
      <c r="G168" s="6" t="e">
        <f>#REF!</f>
        <v>#REF!</v>
      </c>
      <c r="H168" s="6" t="e">
        <f>#REF!</f>
        <v>#REF!</v>
      </c>
      <c r="I168" s="6" t="e">
        <f>#REF!</f>
        <v>#REF!</v>
      </c>
      <c r="J168" s="6" t="e">
        <f>#REF!</f>
        <v>#REF!</v>
      </c>
      <c r="K168" s="6" t="e">
        <f>#REF!</f>
        <v>#REF!</v>
      </c>
      <c r="L168" s="6" t="e">
        <f>#REF!</f>
        <v>#REF!</v>
      </c>
      <c r="M168" s="6" t="e">
        <f>#REF!</f>
        <v>#REF!</v>
      </c>
      <c r="N168" s="6" t="e">
        <f>#REF!</f>
        <v>#REF!</v>
      </c>
      <c r="O168" s="6" t="e">
        <f>#REF!</f>
        <v>#REF!</v>
      </c>
      <c r="P168" s="6" t="e">
        <f>#REF!</f>
        <v>#REF!</v>
      </c>
      <c r="Q168" s="6" t="e">
        <f>#REF!</f>
        <v>#REF!</v>
      </c>
      <c r="R168" s="6" t="e">
        <f>#REF!</f>
        <v>#REF!</v>
      </c>
      <c r="S168" s="6" t="e">
        <f>#REF!</f>
        <v>#REF!</v>
      </c>
      <c r="T168" s="6" t="e">
        <f>#REF!</f>
        <v>#REF!</v>
      </c>
      <c r="U168" s="6" t="e">
        <f>#REF!</f>
        <v>#REF!</v>
      </c>
      <c r="V168" s="6" t="e">
        <f>#REF!</f>
        <v>#REF!</v>
      </c>
      <c r="W168" s="6" t="e">
        <f>#REF!</f>
        <v>#REF!</v>
      </c>
      <c r="X168" s="6" t="e">
        <f>#REF!</f>
        <v>#REF!</v>
      </c>
      <c r="Y168" s="6" t="e">
        <f>#REF!</f>
        <v>#REF!</v>
      </c>
      <c r="Z168" s="6" t="e">
        <f>#REF!</f>
        <v>#REF!</v>
      </c>
      <c r="AA168" s="6" t="e">
        <f>#REF!</f>
        <v>#REF!</v>
      </c>
      <c r="AB168" s="6" t="e">
        <f>#REF!</f>
        <v>#REF!</v>
      </c>
      <c r="AC168" s="6" t="e">
        <f>#REF!</f>
        <v>#REF!</v>
      </c>
      <c r="AD168" s="6" t="e">
        <f>#REF!</f>
        <v>#REF!</v>
      </c>
      <c r="AE168" s="6" t="e">
        <f>#REF!</f>
        <v>#REF!</v>
      </c>
      <c r="AF168" s="6" t="e">
        <f>#REF!</f>
        <v>#REF!</v>
      </c>
      <c r="AG168" s="6" t="e">
        <f>#REF!</f>
        <v>#REF!</v>
      </c>
      <c r="AH168" s="6" t="e">
        <f>#REF!</f>
        <v>#REF!</v>
      </c>
      <c r="AI168" s="6" t="e">
        <f>#REF!</f>
        <v>#REF!</v>
      </c>
      <c r="AJ168" s="6" t="e">
        <f>#REF!</f>
        <v>#REF!</v>
      </c>
      <c r="AK168" s="6" t="e">
        <f>#REF!</f>
        <v>#REF!</v>
      </c>
      <c r="AL168" s="6" t="e">
        <f>#REF!</f>
        <v>#REF!</v>
      </c>
    </row>
    <row r="169" spans="1:38" x14ac:dyDescent="0.25">
      <c r="A169" s="65" t="s">
        <v>391</v>
      </c>
      <c r="B169" s="126" t="e">
        <f>VLOOKUP(A169,$A$2:$AL$285,MATCH('Character Sheet'!$BJ$3,$A$1:$AL$1,0),FALSE)</f>
        <v>#REF!</v>
      </c>
      <c r="C169" s="6" t="e">
        <f>#REF!</f>
        <v>#REF!</v>
      </c>
      <c r="D169" s="6" t="e">
        <f>#REF!</f>
        <v>#REF!</v>
      </c>
      <c r="E169" s="6" t="e">
        <f>#REF!</f>
        <v>#REF!</v>
      </c>
      <c r="F169" s="6" t="e">
        <f>#REF!</f>
        <v>#REF!</v>
      </c>
      <c r="G169" s="6" t="e">
        <f>#REF!</f>
        <v>#REF!</v>
      </c>
      <c r="H169" s="6" t="e">
        <f>#REF!</f>
        <v>#REF!</v>
      </c>
      <c r="I169" s="6" t="e">
        <f>#REF!</f>
        <v>#REF!</v>
      </c>
      <c r="J169" s="6" t="e">
        <f>#REF!</f>
        <v>#REF!</v>
      </c>
      <c r="K169" s="6" t="e">
        <f>#REF!</f>
        <v>#REF!</v>
      </c>
      <c r="L169" s="6" t="e">
        <f>#REF!</f>
        <v>#REF!</v>
      </c>
      <c r="M169" s="6" t="e">
        <f>#REF!</f>
        <v>#REF!</v>
      </c>
      <c r="N169" s="6" t="e">
        <f>#REF!</f>
        <v>#REF!</v>
      </c>
      <c r="O169" s="6" t="e">
        <f>#REF!</f>
        <v>#REF!</v>
      </c>
      <c r="P169" s="6" t="e">
        <f>#REF!</f>
        <v>#REF!</v>
      </c>
      <c r="Q169" s="6" t="e">
        <f>#REF!</f>
        <v>#REF!</v>
      </c>
      <c r="R169" s="6" t="e">
        <f>#REF!</f>
        <v>#REF!</v>
      </c>
      <c r="S169" s="6" t="e">
        <f>#REF!</f>
        <v>#REF!</v>
      </c>
      <c r="T169" s="6" t="e">
        <f>#REF!</f>
        <v>#REF!</v>
      </c>
      <c r="U169" s="6" t="e">
        <f>#REF!</f>
        <v>#REF!</v>
      </c>
      <c r="V169" s="6" t="e">
        <f>#REF!</f>
        <v>#REF!</v>
      </c>
      <c r="W169" s="6" t="e">
        <f>#REF!</f>
        <v>#REF!</v>
      </c>
      <c r="X169" s="6" t="e">
        <f>#REF!</f>
        <v>#REF!</v>
      </c>
      <c r="Y169" s="6" t="e">
        <f>#REF!</f>
        <v>#REF!</v>
      </c>
      <c r="Z169" s="6" t="e">
        <f>#REF!</f>
        <v>#REF!</v>
      </c>
      <c r="AA169" s="6" t="e">
        <f>#REF!</f>
        <v>#REF!</v>
      </c>
      <c r="AB169" s="6" t="e">
        <f>#REF!</f>
        <v>#REF!</v>
      </c>
      <c r="AC169" s="6" t="e">
        <f>#REF!</f>
        <v>#REF!</v>
      </c>
      <c r="AD169" s="6" t="e">
        <f>#REF!</f>
        <v>#REF!</v>
      </c>
      <c r="AE169" s="6" t="e">
        <f>#REF!</f>
        <v>#REF!</v>
      </c>
      <c r="AF169" s="6" t="e">
        <f>#REF!</f>
        <v>#REF!</v>
      </c>
      <c r="AG169" s="6" t="e">
        <f>#REF!</f>
        <v>#REF!</v>
      </c>
      <c r="AH169" s="6" t="e">
        <f>#REF!</f>
        <v>#REF!</v>
      </c>
      <c r="AI169" s="6" t="e">
        <f>#REF!</f>
        <v>#REF!</v>
      </c>
      <c r="AJ169" s="6" t="e">
        <f>#REF!</f>
        <v>#REF!</v>
      </c>
      <c r="AK169" s="6" t="e">
        <f>#REF!</f>
        <v>#REF!</v>
      </c>
      <c r="AL169" s="6" t="e">
        <f>#REF!</f>
        <v>#REF!</v>
      </c>
    </row>
    <row r="170" spans="1:38" x14ac:dyDescent="0.25">
      <c r="A170" s="65" t="s">
        <v>392</v>
      </c>
      <c r="B170" s="126" t="e">
        <f>VLOOKUP(A170,$A$2:$AL$285,MATCH('Character Sheet'!$BJ$3,$A$1:$AL$1,0),FALSE)</f>
        <v>#REF!</v>
      </c>
      <c r="C170" s="6" t="e">
        <f>#REF!</f>
        <v>#REF!</v>
      </c>
      <c r="D170" s="6" t="e">
        <f>#REF!</f>
        <v>#REF!</v>
      </c>
      <c r="E170" s="6" t="e">
        <f>#REF!</f>
        <v>#REF!</v>
      </c>
      <c r="F170" s="6" t="e">
        <f>#REF!</f>
        <v>#REF!</v>
      </c>
      <c r="G170" s="6" t="e">
        <f>#REF!</f>
        <v>#REF!</v>
      </c>
      <c r="H170" s="6" t="e">
        <f>#REF!</f>
        <v>#REF!</v>
      </c>
      <c r="I170" s="6" t="e">
        <f>#REF!</f>
        <v>#REF!</v>
      </c>
      <c r="J170" s="6" t="e">
        <f>#REF!</f>
        <v>#REF!</v>
      </c>
      <c r="K170" s="6" t="e">
        <f>#REF!</f>
        <v>#REF!</v>
      </c>
      <c r="L170" s="6" t="e">
        <f>#REF!</f>
        <v>#REF!</v>
      </c>
      <c r="M170" s="6" t="e">
        <f>#REF!</f>
        <v>#REF!</v>
      </c>
      <c r="N170" s="6" t="e">
        <f>#REF!</f>
        <v>#REF!</v>
      </c>
      <c r="O170" s="6" t="e">
        <f>#REF!</f>
        <v>#REF!</v>
      </c>
      <c r="P170" s="6" t="e">
        <f>#REF!</f>
        <v>#REF!</v>
      </c>
      <c r="Q170" s="6" t="e">
        <f>#REF!</f>
        <v>#REF!</v>
      </c>
      <c r="R170" s="6" t="e">
        <f>#REF!</f>
        <v>#REF!</v>
      </c>
      <c r="S170" s="6" t="e">
        <f>#REF!</f>
        <v>#REF!</v>
      </c>
      <c r="T170" s="6" t="e">
        <f>#REF!</f>
        <v>#REF!</v>
      </c>
      <c r="U170" s="6" t="e">
        <f>#REF!</f>
        <v>#REF!</v>
      </c>
      <c r="V170" s="6" t="e">
        <f>#REF!</f>
        <v>#REF!</v>
      </c>
      <c r="W170" s="6" t="e">
        <f>#REF!</f>
        <v>#REF!</v>
      </c>
      <c r="X170" s="6" t="e">
        <f>#REF!</f>
        <v>#REF!</v>
      </c>
      <c r="Y170" s="6" t="e">
        <f>#REF!</f>
        <v>#REF!</v>
      </c>
      <c r="Z170" s="6" t="e">
        <f>#REF!</f>
        <v>#REF!</v>
      </c>
      <c r="AA170" s="6" t="e">
        <f>#REF!</f>
        <v>#REF!</v>
      </c>
      <c r="AB170" s="6" t="e">
        <f>#REF!</f>
        <v>#REF!</v>
      </c>
      <c r="AC170" s="6" t="e">
        <f>#REF!</f>
        <v>#REF!</v>
      </c>
      <c r="AD170" s="6" t="e">
        <f>#REF!</f>
        <v>#REF!</v>
      </c>
      <c r="AE170" s="6" t="e">
        <f>#REF!</f>
        <v>#REF!</v>
      </c>
      <c r="AF170" s="6" t="e">
        <f>#REF!</f>
        <v>#REF!</v>
      </c>
      <c r="AG170" s="6" t="e">
        <f>#REF!</f>
        <v>#REF!</v>
      </c>
      <c r="AH170" s="6" t="e">
        <f>#REF!</f>
        <v>#REF!</v>
      </c>
      <c r="AI170" s="6" t="e">
        <f>#REF!</f>
        <v>#REF!</v>
      </c>
      <c r="AJ170" s="6" t="e">
        <f>#REF!</f>
        <v>#REF!</v>
      </c>
      <c r="AK170" s="6" t="e">
        <f>#REF!</f>
        <v>#REF!</v>
      </c>
      <c r="AL170" s="6" t="e">
        <f>#REF!</f>
        <v>#REF!</v>
      </c>
    </row>
    <row r="171" spans="1:38" x14ac:dyDescent="0.25">
      <c r="A171" s="65" t="s">
        <v>393</v>
      </c>
      <c r="B171" s="126" t="e">
        <f>VLOOKUP(A171,$A$2:$AL$285,MATCH('Character Sheet'!$BJ$3,$A$1:$AL$1,0),FALSE)</f>
        <v>#REF!</v>
      </c>
      <c r="C171" s="6" t="e">
        <f>#REF!</f>
        <v>#REF!</v>
      </c>
      <c r="D171" s="6" t="e">
        <f>#REF!</f>
        <v>#REF!</v>
      </c>
      <c r="E171" s="6" t="e">
        <f>#REF!</f>
        <v>#REF!</v>
      </c>
      <c r="F171" s="6" t="e">
        <f>#REF!</f>
        <v>#REF!</v>
      </c>
      <c r="G171" s="6" t="e">
        <f>#REF!</f>
        <v>#REF!</v>
      </c>
      <c r="H171" s="6" t="e">
        <f>#REF!</f>
        <v>#REF!</v>
      </c>
      <c r="I171" s="6" t="e">
        <f>#REF!</f>
        <v>#REF!</v>
      </c>
      <c r="J171" s="6" t="e">
        <f>#REF!</f>
        <v>#REF!</v>
      </c>
      <c r="K171" s="6" t="e">
        <f>#REF!</f>
        <v>#REF!</v>
      </c>
      <c r="L171" s="6" t="e">
        <f>#REF!</f>
        <v>#REF!</v>
      </c>
      <c r="M171" s="6" t="e">
        <f>#REF!</f>
        <v>#REF!</v>
      </c>
      <c r="N171" s="6" t="e">
        <f>#REF!</f>
        <v>#REF!</v>
      </c>
      <c r="O171" s="6" t="e">
        <f>#REF!</f>
        <v>#REF!</v>
      </c>
      <c r="P171" s="6" t="e">
        <f>#REF!</f>
        <v>#REF!</v>
      </c>
      <c r="Q171" s="6" t="e">
        <f>#REF!</f>
        <v>#REF!</v>
      </c>
      <c r="R171" s="6" t="e">
        <f>#REF!</f>
        <v>#REF!</v>
      </c>
      <c r="S171" s="6" t="e">
        <f>#REF!</f>
        <v>#REF!</v>
      </c>
      <c r="T171" s="6" t="e">
        <f>#REF!</f>
        <v>#REF!</v>
      </c>
      <c r="U171" s="6" t="e">
        <f>#REF!</f>
        <v>#REF!</v>
      </c>
      <c r="V171" s="6" t="e">
        <f>#REF!</f>
        <v>#REF!</v>
      </c>
      <c r="W171" s="6" t="e">
        <f>#REF!</f>
        <v>#REF!</v>
      </c>
      <c r="X171" s="6" t="e">
        <f>#REF!</f>
        <v>#REF!</v>
      </c>
      <c r="Y171" s="6" t="e">
        <f>#REF!</f>
        <v>#REF!</v>
      </c>
      <c r="Z171" s="6" t="e">
        <f>#REF!</f>
        <v>#REF!</v>
      </c>
      <c r="AA171" s="6" t="e">
        <f>#REF!</f>
        <v>#REF!</v>
      </c>
      <c r="AB171" s="6" t="e">
        <f>#REF!</f>
        <v>#REF!</v>
      </c>
      <c r="AC171" s="6" t="e">
        <f>#REF!</f>
        <v>#REF!</v>
      </c>
      <c r="AD171" s="6" t="e">
        <f>#REF!</f>
        <v>#REF!</v>
      </c>
      <c r="AE171" s="6" t="e">
        <f>#REF!</f>
        <v>#REF!</v>
      </c>
      <c r="AF171" s="6" t="e">
        <f>#REF!</f>
        <v>#REF!</v>
      </c>
      <c r="AG171" s="6" t="e">
        <f>#REF!</f>
        <v>#REF!</v>
      </c>
      <c r="AH171" s="6" t="e">
        <f>#REF!</f>
        <v>#REF!</v>
      </c>
      <c r="AI171" s="6" t="e">
        <f>#REF!</f>
        <v>#REF!</v>
      </c>
      <c r="AJ171" s="6" t="e">
        <f>#REF!</f>
        <v>#REF!</v>
      </c>
      <c r="AK171" s="6" t="e">
        <f>#REF!</f>
        <v>#REF!</v>
      </c>
      <c r="AL171" s="6" t="e">
        <f>#REF!</f>
        <v>#REF!</v>
      </c>
    </row>
    <row r="172" spans="1:38" x14ac:dyDescent="0.25">
      <c r="A172" s="65" t="s">
        <v>394</v>
      </c>
      <c r="B172" s="126" t="e">
        <f>VLOOKUP(A172,$A$2:$AL$285,MATCH('Character Sheet'!$BJ$3,$A$1:$AL$1,0),FALSE)</f>
        <v>#REF!</v>
      </c>
      <c r="C172" s="6" t="e">
        <f>#REF!</f>
        <v>#REF!</v>
      </c>
      <c r="D172" s="6" t="e">
        <f>#REF!</f>
        <v>#REF!</v>
      </c>
      <c r="E172" s="6" t="e">
        <f>#REF!</f>
        <v>#REF!</v>
      </c>
      <c r="F172" s="6" t="e">
        <f>#REF!</f>
        <v>#REF!</v>
      </c>
      <c r="G172" s="6" t="e">
        <f>#REF!</f>
        <v>#REF!</v>
      </c>
      <c r="H172" s="6" t="e">
        <f>#REF!</f>
        <v>#REF!</v>
      </c>
      <c r="I172" s="6" t="e">
        <f>#REF!</f>
        <v>#REF!</v>
      </c>
      <c r="J172" s="6" t="e">
        <f>#REF!</f>
        <v>#REF!</v>
      </c>
      <c r="K172" s="6" t="e">
        <f>#REF!</f>
        <v>#REF!</v>
      </c>
      <c r="L172" s="6" t="e">
        <f>#REF!</f>
        <v>#REF!</v>
      </c>
      <c r="M172" s="6" t="e">
        <f>#REF!</f>
        <v>#REF!</v>
      </c>
      <c r="N172" s="6" t="e">
        <f>#REF!</f>
        <v>#REF!</v>
      </c>
      <c r="O172" s="6" t="e">
        <f>#REF!</f>
        <v>#REF!</v>
      </c>
      <c r="P172" s="6" t="e">
        <f>#REF!</f>
        <v>#REF!</v>
      </c>
      <c r="Q172" s="6" t="e">
        <f>#REF!</f>
        <v>#REF!</v>
      </c>
      <c r="R172" s="6" t="e">
        <f>#REF!</f>
        <v>#REF!</v>
      </c>
      <c r="S172" s="6" t="e">
        <f>#REF!</f>
        <v>#REF!</v>
      </c>
      <c r="T172" s="6" t="e">
        <f>#REF!</f>
        <v>#REF!</v>
      </c>
      <c r="U172" s="6" t="e">
        <f>#REF!</f>
        <v>#REF!</v>
      </c>
      <c r="V172" s="6" t="e">
        <f>#REF!</f>
        <v>#REF!</v>
      </c>
      <c r="W172" s="6" t="e">
        <f>#REF!</f>
        <v>#REF!</v>
      </c>
      <c r="X172" s="6" t="e">
        <f>#REF!</f>
        <v>#REF!</v>
      </c>
      <c r="Y172" s="6" t="e">
        <f>#REF!</f>
        <v>#REF!</v>
      </c>
      <c r="Z172" s="6" t="e">
        <f>#REF!</f>
        <v>#REF!</v>
      </c>
      <c r="AA172" s="6" t="e">
        <f>#REF!</f>
        <v>#REF!</v>
      </c>
      <c r="AB172" s="6" t="e">
        <f>#REF!</f>
        <v>#REF!</v>
      </c>
      <c r="AC172" s="6" t="e">
        <f>#REF!</f>
        <v>#REF!</v>
      </c>
      <c r="AD172" s="6" t="e">
        <f>#REF!</f>
        <v>#REF!</v>
      </c>
      <c r="AE172" s="6" t="e">
        <f>#REF!</f>
        <v>#REF!</v>
      </c>
      <c r="AF172" s="6" t="e">
        <f>#REF!</f>
        <v>#REF!</v>
      </c>
      <c r="AG172" s="6" t="e">
        <f>#REF!</f>
        <v>#REF!</v>
      </c>
      <c r="AH172" s="6" t="e">
        <f>#REF!</f>
        <v>#REF!</v>
      </c>
      <c r="AI172" s="6" t="e">
        <f>#REF!</f>
        <v>#REF!</v>
      </c>
      <c r="AJ172" s="6" t="e">
        <f>#REF!</f>
        <v>#REF!</v>
      </c>
      <c r="AK172" s="6" t="e">
        <f>#REF!</f>
        <v>#REF!</v>
      </c>
      <c r="AL172" s="6" t="e">
        <f>#REF!</f>
        <v>#REF!</v>
      </c>
    </row>
    <row r="173" spans="1:38" x14ac:dyDescent="0.25">
      <c r="A173" s="65" t="s">
        <v>395</v>
      </c>
      <c r="B173" s="126" t="e">
        <f>VLOOKUP(A173,$A$2:$AL$285,MATCH('Character Sheet'!$BJ$3,$A$1:$AL$1,0),FALSE)</f>
        <v>#REF!</v>
      </c>
      <c r="C173" s="6" t="e">
        <f>#REF!</f>
        <v>#REF!</v>
      </c>
      <c r="D173" s="6" t="e">
        <f>#REF!</f>
        <v>#REF!</v>
      </c>
      <c r="E173" s="6" t="e">
        <f>#REF!</f>
        <v>#REF!</v>
      </c>
      <c r="F173" s="6" t="e">
        <f>#REF!</f>
        <v>#REF!</v>
      </c>
      <c r="G173" s="6" t="e">
        <f>#REF!</f>
        <v>#REF!</v>
      </c>
      <c r="H173" s="6" t="e">
        <f>#REF!</f>
        <v>#REF!</v>
      </c>
      <c r="I173" s="6" t="e">
        <f>#REF!</f>
        <v>#REF!</v>
      </c>
      <c r="J173" s="6" t="e">
        <f>#REF!</f>
        <v>#REF!</v>
      </c>
      <c r="K173" s="6" t="e">
        <f>#REF!</f>
        <v>#REF!</v>
      </c>
      <c r="L173" s="6" t="e">
        <f>#REF!</f>
        <v>#REF!</v>
      </c>
      <c r="M173" s="6" t="e">
        <f>#REF!</f>
        <v>#REF!</v>
      </c>
      <c r="N173" s="6" t="e">
        <f>#REF!</f>
        <v>#REF!</v>
      </c>
      <c r="O173" s="6" t="e">
        <f>#REF!</f>
        <v>#REF!</v>
      </c>
      <c r="P173" s="6" t="e">
        <f>#REF!</f>
        <v>#REF!</v>
      </c>
      <c r="Q173" s="6" t="e">
        <f>#REF!</f>
        <v>#REF!</v>
      </c>
      <c r="R173" s="6" t="e">
        <f>#REF!</f>
        <v>#REF!</v>
      </c>
      <c r="S173" s="6" t="e">
        <f>#REF!</f>
        <v>#REF!</v>
      </c>
      <c r="T173" s="6" t="e">
        <f>#REF!</f>
        <v>#REF!</v>
      </c>
      <c r="U173" s="6" t="e">
        <f>#REF!</f>
        <v>#REF!</v>
      </c>
      <c r="V173" s="6" t="e">
        <f>#REF!</f>
        <v>#REF!</v>
      </c>
      <c r="W173" s="6" t="e">
        <f>#REF!</f>
        <v>#REF!</v>
      </c>
      <c r="X173" s="6" t="e">
        <f>#REF!</f>
        <v>#REF!</v>
      </c>
      <c r="Y173" s="6" t="e">
        <f>#REF!</f>
        <v>#REF!</v>
      </c>
      <c r="Z173" s="6" t="e">
        <f>#REF!</f>
        <v>#REF!</v>
      </c>
      <c r="AA173" s="6" t="e">
        <f>#REF!</f>
        <v>#REF!</v>
      </c>
      <c r="AB173" s="6" t="e">
        <f>#REF!</f>
        <v>#REF!</v>
      </c>
      <c r="AC173" s="6" t="e">
        <f>#REF!</f>
        <v>#REF!</v>
      </c>
      <c r="AD173" s="6" t="e">
        <f>#REF!</f>
        <v>#REF!</v>
      </c>
      <c r="AE173" s="6" t="e">
        <f>#REF!</f>
        <v>#REF!</v>
      </c>
      <c r="AF173" s="6" t="e">
        <f>#REF!</f>
        <v>#REF!</v>
      </c>
      <c r="AG173" s="6" t="e">
        <f>#REF!</f>
        <v>#REF!</v>
      </c>
      <c r="AH173" s="6" t="e">
        <f>#REF!</f>
        <v>#REF!</v>
      </c>
      <c r="AI173" s="6" t="e">
        <f>#REF!</f>
        <v>#REF!</v>
      </c>
      <c r="AJ173" s="6" t="e">
        <f>#REF!</f>
        <v>#REF!</v>
      </c>
      <c r="AK173" s="6" t="e">
        <f>#REF!</f>
        <v>#REF!</v>
      </c>
      <c r="AL173" s="6" t="e">
        <f>#REF!</f>
        <v>#REF!</v>
      </c>
    </row>
    <row r="174" spans="1:38" x14ac:dyDescent="0.25">
      <c r="A174" s="65" t="s">
        <v>396</v>
      </c>
      <c r="B174" s="126" t="e">
        <f>VLOOKUP(A174,$A$2:$AL$285,MATCH('Character Sheet'!$BJ$3,$A$1:$AL$1,0),FALSE)</f>
        <v>#REF!</v>
      </c>
      <c r="C174" s="6" t="e">
        <f>#REF!</f>
        <v>#REF!</v>
      </c>
      <c r="D174" s="6" t="e">
        <f>#REF!</f>
        <v>#REF!</v>
      </c>
      <c r="E174" s="6" t="e">
        <f>#REF!</f>
        <v>#REF!</v>
      </c>
      <c r="F174" s="6" t="e">
        <f>#REF!</f>
        <v>#REF!</v>
      </c>
      <c r="G174" s="6" t="e">
        <f>#REF!</f>
        <v>#REF!</v>
      </c>
      <c r="H174" s="6" t="e">
        <f>#REF!</f>
        <v>#REF!</v>
      </c>
      <c r="I174" s="6" t="e">
        <f>#REF!</f>
        <v>#REF!</v>
      </c>
      <c r="J174" s="6" t="e">
        <f>#REF!</f>
        <v>#REF!</v>
      </c>
      <c r="K174" s="6" t="e">
        <f>#REF!</f>
        <v>#REF!</v>
      </c>
      <c r="L174" s="6" t="e">
        <f>#REF!</f>
        <v>#REF!</v>
      </c>
      <c r="M174" s="6" t="e">
        <f>#REF!</f>
        <v>#REF!</v>
      </c>
      <c r="N174" s="6" t="e">
        <f>#REF!</f>
        <v>#REF!</v>
      </c>
      <c r="O174" s="6" t="e">
        <f>#REF!</f>
        <v>#REF!</v>
      </c>
      <c r="P174" s="6" t="e">
        <f>#REF!</f>
        <v>#REF!</v>
      </c>
      <c r="Q174" s="6" t="e">
        <f>#REF!</f>
        <v>#REF!</v>
      </c>
      <c r="R174" s="6" t="e">
        <f>#REF!</f>
        <v>#REF!</v>
      </c>
      <c r="S174" s="6" t="e">
        <f>#REF!</f>
        <v>#REF!</v>
      </c>
      <c r="T174" s="6" t="e">
        <f>#REF!</f>
        <v>#REF!</v>
      </c>
      <c r="U174" s="6" t="e">
        <f>#REF!</f>
        <v>#REF!</v>
      </c>
      <c r="V174" s="6" t="e">
        <f>#REF!</f>
        <v>#REF!</v>
      </c>
      <c r="W174" s="6" t="e">
        <f>#REF!</f>
        <v>#REF!</v>
      </c>
      <c r="X174" s="6" t="e">
        <f>#REF!</f>
        <v>#REF!</v>
      </c>
      <c r="Y174" s="6" t="e">
        <f>#REF!</f>
        <v>#REF!</v>
      </c>
      <c r="Z174" s="6" t="e">
        <f>#REF!</f>
        <v>#REF!</v>
      </c>
      <c r="AA174" s="6" t="e">
        <f>#REF!</f>
        <v>#REF!</v>
      </c>
      <c r="AB174" s="6" t="e">
        <f>#REF!</f>
        <v>#REF!</v>
      </c>
      <c r="AC174" s="6" t="e">
        <f>#REF!</f>
        <v>#REF!</v>
      </c>
      <c r="AD174" s="6" t="e">
        <f>#REF!</f>
        <v>#REF!</v>
      </c>
      <c r="AE174" s="6" t="e">
        <f>#REF!</f>
        <v>#REF!</v>
      </c>
      <c r="AF174" s="6" t="e">
        <f>#REF!</f>
        <v>#REF!</v>
      </c>
      <c r="AG174" s="6" t="e">
        <f>#REF!</f>
        <v>#REF!</v>
      </c>
      <c r="AH174" s="6" t="e">
        <f>#REF!</f>
        <v>#REF!</v>
      </c>
      <c r="AI174" s="6" t="e">
        <f>#REF!</f>
        <v>#REF!</v>
      </c>
      <c r="AJ174" s="6" t="e">
        <f>#REF!</f>
        <v>#REF!</v>
      </c>
      <c r="AK174" s="6" t="e">
        <f>#REF!</f>
        <v>#REF!</v>
      </c>
      <c r="AL174" s="6" t="e">
        <f>#REF!</f>
        <v>#REF!</v>
      </c>
    </row>
    <row r="175" spans="1:38" x14ac:dyDescent="0.25">
      <c r="A175" s="65" t="s">
        <v>397</v>
      </c>
      <c r="B175" s="126" t="e">
        <f>VLOOKUP(A175,$A$2:$AL$285,MATCH('Character Sheet'!$BJ$3,$A$1:$AL$1,0),FALSE)</f>
        <v>#REF!</v>
      </c>
      <c r="C175" s="6" t="e">
        <f>#REF!</f>
        <v>#REF!</v>
      </c>
      <c r="D175" s="6" t="e">
        <f>#REF!</f>
        <v>#REF!</v>
      </c>
      <c r="E175" s="6" t="e">
        <f>#REF!</f>
        <v>#REF!</v>
      </c>
      <c r="F175" s="6" t="e">
        <f>#REF!</f>
        <v>#REF!</v>
      </c>
      <c r="G175" s="6" t="e">
        <f>#REF!</f>
        <v>#REF!</v>
      </c>
      <c r="H175" s="6" t="e">
        <f>#REF!</f>
        <v>#REF!</v>
      </c>
      <c r="I175" s="6" t="e">
        <f>#REF!</f>
        <v>#REF!</v>
      </c>
      <c r="J175" s="6" t="e">
        <f>#REF!</f>
        <v>#REF!</v>
      </c>
      <c r="K175" s="6" t="e">
        <f>#REF!</f>
        <v>#REF!</v>
      </c>
      <c r="L175" s="6" t="e">
        <f>#REF!</f>
        <v>#REF!</v>
      </c>
      <c r="M175" s="6" t="e">
        <f>#REF!</f>
        <v>#REF!</v>
      </c>
      <c r="N175" s="6" t="e">
        <f>#REF!</f>
        <v>#REF!</v>
      </c>
      <c r="O175" s="6" t="e">
        <f>#REF!</f>
        <v>#REF!</v>
      </c>
      <c r="P175" s="6" t="e">
        <f>#REF!</f>
        <v>#REF!</v>
      </c>
      <c r="Q175" s="6" t="e">
        <f>#REF!</f>
        <v>#REF!</v>
      </c>
      <c r="R175" s="6" t="e">
        <f>#REF!</f>
        <v>#REF!</v>
      </c>
      <c r="S175" s="6" t="e">
        <f>#REF!</f>
        <v>#REF!</v>
      </c>
      <c r="T175" s="6" t="e">
        <f>#REF!</f>
        <v>#REF!</v>
      </c>
      <c r="U175" s="6" t="e">
        <f>#REF!</f>
        <v>#REF!</v>
      </c>
      <c r="V175" s="6" t="e">
        <f>#REF!</f>
        <v>#REF!</v>
      </c>
      <c r="W175" s="6" t="e">
        <f>#REF!</f>
        <v>#REF!</v>
      </c>
      <c r="X175" s="6" t="e">
        <f>#REF!</f>
        <v>#REF!</v>
      </c>
      <c r="Y175" s="6" t="e">
        <f>#REF!</f>
        <v>#REF!</v>
      </c>
      <c r="Z175" s="6" t="e">
        <f>#REF!</f>
        <v>#REF!</v>
      </c>
      <c r="AA175" s="6" t="e">
        <f>#REF!</f>
        <v>#REF!</v>
      </c>
      <c r="AB175" s="6" t="e">
        <f>#REF!</f>
        <v>#REF!</v>
      </c>
      <c r="AC175" s="6" t="e">
        <f>#REF!</f>
        <v>#REF!</v>
      </c>
      <c r="AD175" s="6" t="e">
        <f>#REF!</f>
        <v>#REF!</v>
      </c>
      <c r="AE175" s="6" t="e">
        <f>#REF!</f>
        <v>#REF!</v>
      </c>
      <c r="AF175" s="6" t="e">
        <f>#REF!</f>
        <v>#REF!</v>
      </c>
      <c r="AG175" s="6" t="e">
        <f>#REF!</f>
        <v>#REF!</v>
      </c>
      <c r="AH175" s="6" t="e">
        <f>#REF!</f>
        <v>#REF!</v>
      </c>
      <c r="AI175" s="6" t="e">
        <f>#REF!</f>
        <v>#REF!</v>
      </c>
      <c r="AJ175" s="6" t="e">
        <f>#REF!</f>
        <v>#REF!</v>
      </c>
      <c r="AK175" s="6" t="e">
        <f>#REF!</f>
        <v>#REF!</v>
      </c>
      <c r="AL175" s="6" t="e">
        <f>#REF!</f>
        <v>#REF!</v>
      </c>
    </row>
    <row r="176" spans="1:38" ht="15.75" thickBot="1" x14ac:dyDescent="0.3">
      <c r="A176" s="65" t="s">
        <v>2070</v>
      </c>
      <c r="B176" s="126" t="e">
        <f>VLOOKUP(A176,$A$2:$AL$285,MATCH('Character Sheet'!$BJ$3,$A$1:$AL$1,0),FALSE)</f>
        <v>#REF!</v>
      </c>
      <c r="C176" s="6" t="e">
        <f>#REF!</f>
        <v>#REF!</v>
      </c>
      <c r="D176" s="6" t="e">
        <f>#REF!</f>
        <v>#REF!</v>
      </c>
      <c r="E176" s="6" t="e">
        <f>#REF!</f>
        <v>#REF!</v>
      </c>
      <c r="F176" s="6" t="e">
        <f>#REF!</f>
        <v>#REF!</v>
      </c>
      <c r="G176" s="6" t="e">
        <f>#REF!</f>
        <v>#REF!</v>
      </c>
      <c r="H176" s="6" t="e">
        <f>#REF!</f>
        <v>#REF!</v>
      </c>
      <c r="I176" s="6" t="e">
        <f>#REF!</f>
        <v>#REF!</v>
      </c>
      <c r="J176" s="6" t="e">
        <f>#REF!</f>
        <v>#REF!</v>
      </c>
      <c r="K176" s="6" t="e">
        <f>#REF!</f>
        <v>#REF!</v>
      </c>
      <c r="L176" s="6" t="e">
        <f>#REF!</f>
        <v>#REF!</v>
      </c>
      <c r="M176" s="6" t="e">
        <f>#REF!</f>
        <v>#REF!</v>
      </c>
      <c r="N176" s="6" t="e">
        <f>#REF!</f>
        <v>#REF!</v>
      </c>
      <c r="O176" s="6" t="e">
        <f>#REF!</f>
        <v>#REF!</v>
      </c>
      <c r="P176" s="6" t="e">
        <f>#REF!</f>
        <v>#REF!</v>
      </c>
      <c r="Q176" s="6" t="e">
        <f>#REF!</f>
        <v>#REF!</v>
      </c>
      <c r="R176" s="6" t="e">
        <f>#REF!</f>
        <v>#REF!</v>
      </c>
      <c r="S176" s="6" t="e">
        <f>#REF!</f>
        <v>#REF!</v>
      </c>
      <c r="T176" s="6" t="e">
        <f>#REF!</f>
        <v>#REF!</v>
      </c>
      <c r="U176" s="6" t="e">
        <f>#REF!</f>
        <v>#REF!</v>
      </c>
      <c r="V176" s="6" t="e">
        <f>#REF!</f>
        <v>#REF!</v>
      </c>
      <c r="W176" s="6" t="e">
        <f>#REF!</f>
        <v>#REF!</v>
      </c>
      <c r="X176" s="6" t="e">
        <f>#REF!</f>
        <v>#REF!</v>
      </c>
      <c r="Y176" s="6" t="e">
        <f>#REF!</f>
        <v>#REF!</v>
      </c>
      <c r="Z176" s="6" t="e">
        <f>#REF!</f>
        <v>#REF!</v>
      </c>
      <c r="AA176" s="6" t="e">
        <f>#REF!</f>
        <v>#REF!</v>
      </c>
      <c r="AB176" s="6" t="e">
        <f>#REF!</f>
        <v>#REF!</v>
      </c>
      <c r="AC176" s="6" t="e">
        <f>#REF!</f>
        <v>#REF!</v>
      </c>
      <c r="AD176" s="6" t="e">
        <f>#REF!</f>
        <v>#REF!</v>
      </c>
      <c r="AE176" s="6" t="e">
        <f>#REF!</f>
        <v>#REF!</v>
      </c>
      <c r="AF176" s="6" t="e">
        <f>#REF!</f>
        <v>#REF!</v>
      </c>
      <c r="AG176" s="6" t="e">
        <f>#REF!</f>
        <v>#REF!</v>
      </c>
      <c r="AH176" s="6" t="e">
        <f>#REF!</f>
        <v>#REF!</v>
      </c>
      <c r="AI176" s="6" t="e">
        <f>#REF!</f>
        <v>#REF!</v>
      </c>
      <c r="AJ176" s="6" t="e">
        <f>#REF!</f>
        <v>#REF!</v>
      </c>
      <c r="AK176" s="6" t="e">
        <f>#REF!</f>
        <v>#REF!</v>
      </c>
      <c r="AL176" s="6" t="e">
        <f>#REF!</f>
        <v>#REF!</v>
      </c>
    </row>
    <row r="177" spans="1:38" ht="16.5" thickTop="1" thickBot="1" x14ac:dyDescent="0.3">
      <c r="A177" s="63" t="s">
        <v>402</v>
      </c>
      <c r="B177" s="126" t="e">
        <f>VLOOKUP(A177,$A$2:$AL$285,MATCH('Character Sheet'!$BJ$3,$A$1:$AL$1,0),FALSE)</f>
        <v>#REF!</v>
      </c>
      <c r="C177" s="6" t="e">
        <f>#REF!</f>
        <v>#REF!</v>
      </c>
      <c r="D177" s="6" t="e">
        <f>#REF!</f>
        <v>#REF!</v>
      </c>
      <c r="E177" s="6" t="e">
        <f>#REF!</f>
        <v>#REF!</v>
      </c>
      <c r="F177" s="6" t="e">
        <f>#REF!</f>
        <v>#REF!</v>
      </c>
      <c r="G177" s="6" t="e">
        <f>#REF!</f>
        <v>#REF!</v>
      </c>
      <c r="H177" s="6" t="e">
        <f>#REF!</f>
        <v>#REF!</v>
      </c>
      <c r="I177" s="6" t="e">
        <f>#REF!</f>
        <v>#REF!</v>
      </c>
      <c r="J177" s="6" t="e">
        <f>#REF!</f>
        <v>#REF!</v>
      </c>
      <c r="K177" s="6" t="e">
        <f>#REF!</f>
        <v>#REF!</v>
      </c>
      <c r="L177" s="6" t="e">
        <f>#REF!</f>
        <v>#REF!</v>
      </c>
      <c r="M177" s="6" t="e">
        <f>#REF!</f>
        <v>#REF!</v>
      </c>
      <c r="N177" s="6" t="e">
        <f>#REF!</f>
        <v>#REF!</v>
      </c>
      <c r="O177" s="6" t="e">
        <f>#REF!</f>
        <v>#REF!</v>
      </c>
      <c r="P177" s="6" t="e">
        <f>#REF!</f>
        <v>#REF!</v>
      </c>
      <c r="Q177" s="6" t="e">
        <f>#REF!</f>
        <v>#REF!</v>
      </c>
      <c r="R177" s="6" t="e">
        <f>#REF!</f>
        <v>#REF!</v>
      </c>
      <c r="S177" s="6" t="e">
        <f>#REF!</f>
        <v>#REF!</v>
      </c>
      <c r="T177" s="6" t="e">
        <f>#REF!</f>
        <v>#REF!</v>
      </c>
      <c r="U177" s="6" t="e">
        <f>#REF!</f>
        <v>#REF!</v>
      </c>
      <c r="V177" s="6" t="e">
        <f>#REF!</f>
        <v>#REF!</v>
      </c>
      <c r="W177" s="6" t="e">
        <f>#REF!</f>
        <v>#REF!</v>
      </c>
      <c r="X177" s="6" t="e">
        <f>#REF!</f>
        <v>#REF!</v>
      </c>
      <c r="Y177" s="6" t="e">
        <f>#REF!</f>
        <v>#REF!</v>
      </c>
      <c r="Z177" s="6" t="e">
        <f>#REF!</f>
        <v>#REF!</v>
      </c>
      <c r="AA177" s="6" t="e">
        <f>#REF!</f>
        <v>#REF!</v>
      </c>
      <c r="AB177" s="6" t="e">
        <f>#REF!</f>
        <v>#REF!</v>
      </c>
      <c r="AC177" s="6" t="e">
        <f>#REF!</f>
        <v>#REF!</v>
      </c>
      <c r="AD177" s="6" t="e">
        <f>#REF!</f>
        <v>#REF!</v>
      </c>
      <c r="AE177" s="6" t="e">
        <f>#REF!</f>
        <v>#REF!</v>
      </c>
      <c r="AF177" s="6" t="e">
        <f>#REF!</f>
        <v>#REF!</v>
      </c>
      <c r="AG177" s="6" t="e">
        <f>#REF!</f>
        <v>#REF!</v>
      </c>
      <c r="AH177" s="6" t="e">
        <f>#REF!</f>
        <v>#REF!</v>
      </c>
      <c r="AI177" s="6" t="e">
        <f>#REF!</f>
        <v>#REF!</v>
      </c>
      <c r="AJ177" s="6" t="e">
        <f>#REF!</f>
        <v>#REF!</v>
      </c>
      <c r="AK177" s="6" t="e">
        <f>#REF!</f>
        <v>#REF!</v>
      </c>
      <c r="AL177" s="6" t="e">
        <f>#REF!</f>
        <v>#REF!</v>
      </c>
    </row>
    <row r="178" spans="1:38" ht="15.75" thickTop="1" x14ac:dyDescent="0.25">
      <c r="A178" s="64" t="s">
        <v>2034</v>
      </c>
      <c r="B178" s="126" t="e">
        <f>VLOOKUP(A178,$A$2:$AL$285,MATCH('Character Sheet'!$BJ$3,$A$1:$AL$1,0),FALSE)</f>
        <v>#REF!</v>
      </c>
      <c r="C178" s="6" t="e">
        <f>#REF!</f>
        <v>#REF!</v>
      </c>
      <c r="D178" s="6" t="e">
        <f>#REF!</f>
        <v>#REF!</v>
      </c>
      <c r="E178" s="6" t="e">
        <f>#REF!</f>
        <v>#REF!</v>
      </c>
      <c r="F178" s="6" t="e">
        <f>#REF!</f>
        <v>#REF!</v>
      </c>
      <c r="G178" s="6" t="e">
        <f>#REF!</f>
        <v>#REF!</v>
      </c>
      <c r="H178" s="6" t="e">
        <f>#REF!</f>
        <v>#REF!</v>
      </c>
      <c r="I178" s="6" t="e">
        <f>#REF!</f>
        <v>#REF!</v>
      </c>
      <c r="J178" s="6" t="e">
        <f>#REF!</f>
        <v>#REF!</v>
      </c>
      <c r="K178" s="6" t="e">
        <f>#REF!</f>
        <v>#REF!</v>
      </c>
      <c r="L178" s="6" t="e">
        <f>#REF!</f>
        <v>#REF!</v>
      </c>
      <c r="M178" s="6" t="e">
        <f>#REF!</f>
        <v>#REF!</v>
      </c>
      <c r="N178" s="6" t="e">
        <f>#REF!</f>
        <v>#REF!</v>
      </c>
      <c r="O178" s="6" t="e">
        <f>#REF!</f>
        <v>#REF!</v>
      </c>
      <c r="P178" s="6" t="e">
        <f>#REF!</f>
        <v>#REF!</v>
      </c>
      <c r="Q178" s="6" t="e">
        <f>#REF!</f>
        <v>#REF!</v>
      </c>
      <c r="R178" s="6" t="e">
        <f>#REF!</f>
        <v>#REF!</v>
      </c>
      <c r="S178" s="6" t="e">
        <f>#REF!</f>
        <v>#REF!</v>
      </c>
      <c r="T178" s="6" t="e">
        <f>#REF!</f>
        <v>#REF!</v>
      </c>
      <c r="U178" s="6" t="e">
        <f>#REF!</f>
        <v>#REF!</v>
      </c>
      <c r="V178" s="6" t="e">
        <f>#REF!</f>
        <v>#REF!</v>
      </c>
      <c r="W178" s="6" t="e">
        <f>#REF!</f>
        <v>#REF!</v>
      </c>
      <c r="X178" s="6" t="e">
        <f>#REF!</f>
        <v>#REF!</v>
      </c>
      <c r="Y178" s="6" t="e">
        <f>#REF!</f>
        <v>#REF!</v>
      </c>
      <c r="Z178" s="6" t="e">
        <f>#REF!</f>
        <v>#REF!</v>
      </c>
      <c r="AA178" s="6" t="e">
        <f>#REF!</f>
        <v>#REF!</v>
      </c>
      <c r="AB178" s="6" t="e">
        <f>#REF!</f>
        <v>#REF!</v>
      </c>
      <c r="AC178" s="6" t="e">
        <f>#REF!</f>
        <v>#REF!</v>
      </c>
      <c r="AD178" s="6" t="e">
        <f>#REF!</f>
        <v>#REF!</v>
      </c>
      <c r="AE178" s="6" t="e">
        <f>#REF!</f>
        <v>#REF!</v>
      </c>
      <c r="AF178" s="6" t="e">
        <f>#REF!</f>
        <v>#REF!</v>
      </c>
      <c r="AG178" s="6" t="e">
        <f>#REF!</f>
        <v>#REF!</v>
      </c>
      <c r="AH178" s="6" t="e">
        <f>#REF!</f>
        <v>#REF!</v>
      </c>
      <c r="AI178" s="6" t="e">
        <f>#REF!</f>
        <v>#REF!</v>
      </c>
      <c r="AJ178" s="6" t="e">
        <f>#REF!</f>
        <v>#REF!</v>
      </c>
      <c r="AK178" s="6" t="e">
        <f>#REF!</f>
        <v>#REF!</v>
      </c>
      <c r="AL178" s="6" t="e">
        <f>#REF!</f>
        <v>#REF!</v>
      </c>
    </row>
    <row r="179" spans="1:38" x14ac:dyDescent="0.25">
      <c r="A179" s="64" t="s">
        <v>110</v>
      </c>
      <c r="B179" s="126" t="e">
        <f>VLOOKUP(A179,$A$2:$AL$285,MATCH('Character Sheet'!$BJ$3,$A$1:$AL$1,0),FALSE)</f>
        <v>#REF!</v>
      </c>
      <c r="C179" s="6" t="e">
        <f>#REF!</f>
        <v>#REF!</v>
      </c>
      <c r="D179" s="6" t="e">
        <f>#REF!</f>
        <v>#REF!</v>
      </c>
      <c r="E179" s="6" t="e">
        <f>#REF!</f>
        <v>#REF!</v>
      </c>
      <c r="F179" s="6" t="e">
        <f>#REF!</f>
        <v>#REF!</v>
      </c>
      <c r="G179" s="6" t="e">
        <f>#REF!</f>
        <v>#REF!</v>
      </c>
      <c r="H179" s="6" t="e">
        <f>#REF!</f>
        <v>#REF!</v>
      </c>
      <c r="I179" s="6" t="e">
        <f>#REF!</f>
        <v>#REF!</v>
      </c>
      <c r="J179" s="6" t="e">
        <f>#REF!</f>
        <v>#REF!</v>
      </c>
      <c r="K179" s="6" t="e">
        <f>#REF!</f>
        <v>#REF!</v>
      </c>
      <c r="L179" s="6" t="e">
        <f>#REF!</f>
        <v>#REF!</v>
      </c>
      <c r="M179" s="6" t="e">
        <f>#REF!</f>
        <v>#REF!</v>
      </c>
      <c r="N179" s="6" t="e">
        <f>#REF!</f>
        <v>#REF!</v>
      </c>
      <c r="O179" s="6" t="e">
        <f>#REF!</f>
        <v>#REF!</v>
      </c>
      <c r="P179" s="6" t="e">
        <f>#REF!</f>
        <v>#REF!</v>
      </c>
      <c r="Q179" s="6" t="e">
        <f>#REF!</f>
        <v>#REF!</v>
      </c>
      <c r="R179" s="6" t="e">
        <f>#REF!</f>
        <v>#REF!</v>
      </c>
      <c r="S179" s="6" t="e">
        <f>#REF!</f>
        <v>#REF!</v>
      </c>
      <c r="T179" s="6" t="e">
        <f>#REF!</f>
        <v>#REF!</v>
      </c>
      <c r="U179" s="6" t="e">
        <f>#REF!</f>
        <v>#REF!</v>
      </c>
      <c r="V179" s="6" t="e">
        <f>#REF!</f>
        <v>#REF!</v>
      </c>
      <c r="W179" s="6" t="e">
        <f>#REF!</f>
        <v>#REF!</v>
      </c>
      <c r="X179" s="6" t="e">
        <f>#REF!</f>
        <v>#REF!</v>
      </c>
      <c r="Y179" s="6" t="e">
        <f>#REF!</f>
        <v>#REF!</v>
      </c>
      <c r="Z179" s="6" t="e">
        <f>#REF!</f>
        <v>#REF!</v>
      </c>
      <c r="AA179" s="6" t="e">
        <f>#REF!</f>
        <v>#REF!</v>
      </c>
      <c r="AB179" s="6" t="e">
        <f>#REF!</f>
        <v>#REF!</v>
      </c>
      <c r="AC179" s="6" t="e">
        <f>#REF!</f>
        <v>#REF!</v>
      </c>
      <c r="AD179" s="6" t="e">
        <f>#REF!</f>
        <v>#REF!</v>
      </c>
      <c r="AE179" s="6" t="e">
        <f>#REF!</f>
        <v>#REF!</v>
      </c>
      <c r="AF179" s="6" t="e">
        <f>#REF!</f>
        <v>#REF!</v>
      </c>
      <c r="AG179" s="6" t="e">
        <f>#REF!</f>
        <v>#REF!</v>
      </c>
      <c r="AH179" s="6" t="e">
        <f>#REF!</f>
        <v>#REF!</v>
      </c>
      <c r="AI179" s="6" t="e">
        <f>#REF!</f>
        <v>#REF!</v>
      </c>
      <c r="AJ179" s="6" t="e">
        <f>#REF!</f>
        <v>#REF!</v>
      </c>
      <c r="AK179" s="6" t="e">
        <f>#REF!</f>
        <v>#REF!</v>
      </c>
      <c r="AL179" s="6" t="e">
        <f>#REF!</f>
        <v>#REF!</v>
      </c>
    </row>
    <row r="180" spans="1:38" ht="15.75" thickBot="1" x14ac:dyDescent="0.3">
      <c r="A180" s="64" t="s">
        <v>2092</v>
      </c>
      <c r="B180" s="126" t="e">
        <f>VLOOKUP(A180,$A$2:$AL$285,MATCH('Character Sheet'!$BJ$3,$A$1:$AL$1,0),FALSE)</f>
        <v>#REF!</v>
      </c>
      <c r="C180" s="6" t="e">
        <f>#REF!</f>
        <v>#REF!</v>
      </c>
      <c r="D180" s="6" t="e">
        <f>#REF!</f>
        <v>#REF!</v>
      </c>
      <c r="E180" s="6" t="e">
        <f>#REF!</f>
        <v>#REF!</v>
      </c>
      <c r="F180" s="6" t="e">
        <f>#REF!</f>
        <v>#REF!</v>
      </c>
      <c r="G180" s="6" t="e">
        <f>#REF!</f>
        <v>#REF!</v>
      </c>
      <c r="H180" s="6" t="e">
        <f>#REF!</f>
        <v>#REF!</v>
      </c>
      <c r="I180" s="6" t="e">
        <f>#REF!</f>
        <v>#REF!</v>
      </c>
      <c r="J180" s="6" t="e">
        <f>#REF!</f>
        <v>#REF!</v>
      </c>
      <c r="K180" s="6" t="e">
        <f>#REF!</f>
        <v>#REF!</v>
      </c>
      <c r="L180" s="6" t="e">
        <f>#REF!</f>
        <v>#REF!</v>
      </c>
      <c r="M180" s="6" t="e">
        <f>#REF!</f>
        <v>#REF!</v>
      </c>
      <c r="N180" s="6" t="e">
        <f>#REF!</f>
        <v>#REF!</v>
      </c>
      <c r="O180" s="6" t="e">
        <f>#REF!</f>
        <v>#REF!</v>
      </c>
      <c r="P180" s="6" t="e">
        <f>#REF!</f>
        <v>#REF!</v>
      </c>
      <c r="Q180" s="6" t="e">
        <f>#REF!</f>
        <v>#REF!</v>
      </c>
      <c r="R180" s="6" t="e">
        <f>#REF!</f>
        <v>#REF!</v>
      </c>
      <c r="S180" s="6" t="e">
        <f>#REF!</f>
        <v>#REF!</v>
      </c>
      <c r="T180" s="6" t="e">
        <f>#REF!</f>
        <v>#REF!</v>
      </c>
      <c r="U180" s="6" t="e">
        <f>#REF!</f>
        <v>#REF!</v>
      </c>
      <c r="V180" s="6" t="e">
        <f>#REF!</f>
        <v>#REF!</v>
      </c>
      <c r="W180" s="6" t="e">
        <f>#REF!</f>
        <v>#REF!</v>
      </c>
      <c r="X180" s="6" t="e">
        <f>#REF!</f>
        <v>#REF!</v>
      </c>
      <c r="Y180" s="6" t="e">
        <f>#REF!</f>
        <v>#REF!</v>
      </c>
      <c r="Z180" s="6" t="e">
        <f>#REF!</f>
        <v>#REF!</v>
      </c>
      <c r="AA180" s="6" t="e">
        <f>#REF!</f>
        <v>#REF!</v>
      </c>
      <c r="AB180" s="6" t="e">
        <f>#REF!</f>
        <v>#REF!</v>
      </c>
      <c r="AC180" s="6" t="e">
        <f>#REF!</f>
        <v>#REF!</v>
      </c>
      <c r="AD180" s="6" t="e">
        <f>#REF!</f>
        <v>#REF!</v>
      </c>
      <c r="AE180" s="6" t="e">
        <f>#REF!</f>
        <v>#REF!</v>
      </c>
      <c r="AF180" s="6" t="e">
        <f>#REF!</f>
        <v>#REF!</v>
      </c>
      <c r="AG180" s="6" t="e">
        <f>#REF!</f>
        <v>#REF!</v>
      </c>
      <c r="AH180" s="6" t="e">
        <f>#REF!</f>
        <v>#REF!</v>
      </c>
      <c r="AI180" s="6" t="e">
        <f>#REF!</f>
        <v>#REF!</v>
      </c>
      <c r="AJ180" s="6" t="e">
        <f>#REF!</f>
        <v>#REF!</v>
      </c>
      <c r="AK180" s="6" t="e">
        <f>#REF!</f>
        <v>#REF!</v>
      </c>
      <c r="AL180" s="6" t="e">
        <f>#REF!</f>
        <v>#REF!</v>
      </c>
    </row>
    <row r="181" spans="1:38" ht="16.5" thickTop="1" thickBot="1" x14ac:dyDescent="0.3">
      <c r="A181" s="63" t="s">
        <v>2071</v>
      </c>
      <c r="B181" s="126" t="e">
        <f>VLOOKUP(A181,$A$2:$AL$285,MATCH('Character Sheet'!$BJ$3,$A$1:$AL$1,0),FALSE)</f>
        <v>#REF!</v>
      </c>
      <c r="C181" s="6" t="e">
        <f>#REF!</f>
        <v>#REF!</v>
      </c>
      <c r="D181" s="6" t="e">
        <f>#REF!</f>
        <v>#REF!</v>
      </c>
      <c r="E181" s="6" t="e">
        <f>#REF!</f>
        <v>#REF!</v>
      </c>
      <c r="F181" s="6" t="e">
        <f>#REF!</f>
        <v>#REF!</v>
      </c>
      <c r="G181" s="6" t="e">
        <f>#REF!</f>
        <v>#REF!</v>
      </c>
      <c r="H181" s="6" t="e">
        <f>#REF!</f>
        <v>#REF!</v>
      </c>
      <c r="I181" s="6" t="e">
        <f>#REF!</f>
        <v>#REF!</v>
      </c>
      <c r="J181" s="6" t="e">
        <f>#REF!</f>
        <v>#REF!</v>
      </c>
      <c r="K181" s="6" t="e">
        <f>#REF!</f>
        <v>#REF!</v>
      </c>
      <c r="L181" s="6" t="e">
        <f>#REF!</f>
        <v>#REF!</v>
      </c>
      <c r="M181" s="6" t="e">
        <f>#REF!</f>
        <v>#REF!</v>
      </c>
      <c r="N181" s="6" t="e">
        <f>#REF!</f>
        <v>#REF!</v>
      </c>
      <c r="O181" s="6" t="e">
        <f>#REF!</f>
        <v>#REF!</v>
      </c>
      <c r="P181" s="6" t="e">
        <f>#REF!</f>
        <v>#REF!</v>
      </c>
      <c r="Q181" s="6" t="e">
        <f>#REF!</f>
        <v>#REF!</v>
      </c>
      <c r="R181" s="6" t="e">
        <f>#REF!</f>
        <v>#REF!</v>
      </c>
      <c r="S181" s="6" t="e">
        <f>#REF!</f>
        <v>#REF!</v>
      </c>
      <c r="T181" s="6" t="e">
        <f>#REF!</f>
        <v>#REF!</v>
      </c>
      <c r="U181" s="6" t="e">
        <f>#REF!</f>
        <v>#REF!</v>
      </c>
      <c r="V181" s="6" t="e">
        <f>#REF!</f>
        <v>#REF!</v>
      </c>
      <c r="W181" s="6" t="e">
        <f>#REF!</f>
        <v>#REF!</v>
      </c>
      <c r="X181" s="6" t="e">
        <f>#REF!</f>
        <v>#REF!</v>
      </c>
      <c r="Y181" s="6" t="e">
        <f>#REF!</f>
        <v>#REF!</v>
      </c>
      <c r="Z181" s="6" t="e">
        <f>#REF!</f>
        <v>#REF!</v>
      </c>
      <c r="AA181" s="6" t="e">
        <f>#REF!</f>
        <v>#REF!</v>
      </c>
      <c r="AB181" s="6" t="e">
        <f>#REF!</f>
        <v>#REF!</v>
      </c>
      <c r="AC181" s="6" t="e">
        <f>#REF!</f>
        <v>#REF!</v>
      </c>
      <c r="AD181" s="6" t="e">
        <f>#REF!</f>
        <v>#REF!</v>
      </c>
      <c r="AE181" s="6" t="e">
        <f>#REF!</f>
        <v>#REF!</v>
      </c>
      <c r="AF181" s="6" t="e">
        <f>#REF!</f>
        <v>#REF!</v>
      </c>
      <c r="AG181" s="6" t="e">
        <f>#REF!</f>
        <v>#REF!</v>
      </c>
      <c r="AH181" s="6" t="e">
        <f>#REF!</f>
        <v>#REF!</v>
      </c>
      <c r="AI181" s="6" t="e">
        <f>#REF!</f>
        <v>#REF!</v>
      </c>
      <c r="AJ181" s="6" t="e">
        <f>#REF!</f>
        <v>#REF!</v>
      </c>
      <c r="AK181" s="6" t="e">
        <f>#REF!</f>
        <v>#REF!</v>
      </c>
      <c r="AL181" s="6" t="e">
        <f>#REF!</f>
        <v>#REF!</v>
      </c>
    </row>
    <row r="182" spans="1:38" ht="15.75" thickTop="1" x14ac:dyDescent="0.25">
      <c r="A182" s="64" t="s">
        <v>407</v>
      </c>
      <c r="B182" s="126" t="e">
        <f>VLOOKUP(A182,$A$2:$AL$285,MATCH('Character Sheet'!$BJ$3,$A$1:$AL$1,0),FALSE)</f>
        <v>#REF!</v>
      </c>
      <c r="C182" s="6" t="e">
        <f>#REF!</f>
        <v>#REF!</v>
      </c>
      <c r="D182" s="6" t="e">
        <f>#REF!</f>
        <v>#REF!</v>
      </c>
      <c r="E182" s="6" t="e">
        <f>#REF!</f>
        <v>#REF!</v>
      </c>
      <c r="F182" s="6" t="e">
        <f>#REF!</f>
        <v>#REF!</v>
      </c>
      <c r="G182" s="6" t="e">
        <f>#REF!</f>
        <v>#REF!</v>
      </c>
      <c r="H182" s="6" t="e">
        <f>#REF!</f>
        <v>#REF!</v>
      </c>
      <c r="I182" s="6" t="e">
        <f>#REF!</f>
        <v>#REF!</v>
      </c>
      <c r="J182" s="6" t="e">
        <f>#REF!</f>
        <v>#REF!</v>
      </c>
      <c r="K182" s="6" t="e">
        <f>#REF!</f>
        <v>#REF!</v>
      </c>
      <c r="L182" s="6" t="e">
        <f>#REF!</f>
        <v>#REF!</v>
      </c>
      <c r="M182" s="6" t="e">
        <f>#REF!</f>
        <v>#REF!</v>
      </c>
      <c r="N182" s="6" t="e">
        <f>#REF!</f>
        <v>#REF!</v>
      </c>
      <c r="O182" s="6" t="e">
        <f>#REF!</f>
        <v>#REF!</v>
      </c>
      <c r="P182" s="6" t="e">
        <f>#REF!</f>
        <v>#REF!</v>
      </c>
      <c r="Q182" s="6" t="e">
        <f>#REF!</f>
        <v>#REF!</v>
      </c>
      <c r="R182" s="6" t="e">
        <f>#REF!</f>
        <v>#REF!</v>
      </c>
      <c r="S182" s="6" t="e">
        <f>#REF!</f>
        <v>#REF!</v>
      </c>
      <c r="T182" s="6" t="e">
        <f>#REF!</f>
        <v>#REF!</v>
      </c>
      <c r="U182" s="6" t="e">
        <f>#REF!</f>
        <v>#REF!</v>
      </c>
      <c r="V182" s="6" t="e">
        <f>#REF!</f>
        <v>#REF!</v>
      </c>
      <c r="W182" s="6" t="e">
        <f>#REF!</f>
        <v>#REF!</v>
      </c>
      <c r="X182" s="6" t="e">
        <f>#REF!</f>
        <v>#REF!</v>
      </c>
      <c r="Y182" s="6" t="e">
        <f>#REF!</f>
        <v>#REF!</v>
      </c>
      <c r="Z182" s="6" t="e">
        <f>#REF!</f>
        <v>#REF!</v>
      </c>
      <c r="AA182" s="6" t="e">
        <f>#REF!</f>
        <v>#REF!</v>
      </c>
      <c r="AB182" s="6" t="e">
        <f>#REF!</f>
        <v>#REF!</v>
      </c>
      <c r="AC182" s="6" t="e">
        <f>#REF!</f>
        <v>#REF!</v>
      </c>
      <c r="AD182" s="6" t="e">
        <f>#REF!</f>
        <v>#REF!</v>
      </c>
      <c r="AE182" s="6" t="e">
        <f>#REF!</f>
        <v>#REF!</v>
      </c>
      <c r="AF182" s="6" t="e">
        <f>#REF!</f>
        <v>#REF!</v>
      </c>
      <c r="AG182" s="6" t="e">
        <f>#REF!</f>
        <v>#REF!</v>
      </c>
      <c r="AH182" s="6" t="e">
        <f>#REF!</f>
        <v>#REF!</v>
      </c>
      <c r="AI182" s="6" t="e">
        <f>#REF!</f>
        <v>#REF!</v>
      </c>
      <c r="AJ182" s="6" t="e">
        <f>#REF!</f>
        <v>#REF!</v>
      </c>
      <c r="AK182" s="6" t="e">
        <f>#REF!</f>
        <v>#REF!</v>
      </c>
      <c r="AL182" s="6" t="e">
        <f>#REF!</f>
        <v>#REF!</v>
      </c>
    </row>
    <row r="183" spans="1:38" x14ac:dyDescent="0.25">
      <c r="A183" s="64" t="s">
        <v>840</v>
      </c>
      <c r="B183" s="126" t="e">
        <f>VLOOKUP(A183,$A$2:$AL$285,MATCH('Character Sheet'!$BJ$3,$A$1:$AL$1,0),FALSE)</f>
        <v>#REF!</v>
      </c>
      <c r="C183" s="6" t="e">
        <f>#REF!</f>
        <v>#REF!</v>
      </c>
      <c r="D183" s="6" t="e">
        <f>#REF!</f>
        <v>#REF!</v>
      </c>
      <c r="E183" s="6" t="e">
        <f>#REF!</f>
        <v>#REF!</v>
      </c>
      <c r="F183" s="6" t="e">
        <f>#REF!</f>
        <v>#REF!</v>
      </c>
      <c r="G183" s="6" t="e">
        <f>#REF!</f>
        <v>#REF!</v>
      </c>
      <c r="H183" s="6" t="e">
        <f>#REF!</f>
        <v>#REF!</v>
      </c>
      <c r="I183" s="6" t="e">
        <f>#REF!</f>
        <v>#REF!</v>
      </c>
      <c r="J183" s="6" t="e">
        <f>#REF!</f>
        <v>#REF!</v>
      </c>
      <c r="K183" s="6" t="e">
        <f>#REF!</f>
        <v>#REF!</v>
      </c>
      <c r="L183" s="6" t="e">
        <f>#REF!</f>
        <v>#REF!</v>
      </c>
      <c r="M183" s="6" t="e">
        <f>#REF!</f>
        <v>#REF!</v>
      </c>
      <c r="N183" s="6" t="e">
        <f>#REF!</f>
        <v>#REF!</v>
      </c>
      <c r="O183" s="6" t="e">
        <f>#REF!</f>
        <v>#REF!</v>
      </c>
      <c r="P183" s="6" t="e">
        <f>#REF!</f>
        <v>#REF!</v>
      </c>
      <c r="Q183" s="6" t="e">
        <f>#REF!</f>
        <v>#REF!</v>
      </c>
      <c r="R183" s="6" t="e">
        <f>#REF!</f>
        <v>#REF!</v>
      </c>
      <c r="S183" s="6" t="e">
        <f>#REF!</f>
        <v>#REF!</v>
      </c>
      <c r="T183" s="6" t="e">
        <f>#REF!</f>
        <v>#REF!</v>
      </c>
      <c r="U183" s="6" t="e">
        <f>#REF!</f>
        <v>#REF!</v>
      </c>
      <c r="V183" s="6" t="e">
        <f>#REF!</f>
        <v>#REF!</v>
      </c>
      <c r="W183" s="6" t="e">
        <f>#REF!</f>
        <v>#REF!</v>
      </c>
      <c r="X183" s="6" t="e">
        <f>#REF!</f>
        <v>#REF!</v>
      </c>
      <c r="Y183" s="6" t="e">
        <f>#REF!</f>
        <v>#REF!</v>
      </c>
      <c r="Z183" s="6" t="e">
        <f>#REF!</f>
        <v>#REF!</v>
      </c>
      <c r="AA183" s="6" t="e">
        <f>#REF!</f>
        <v>#REF!</v>
      </c>
      <c r="AB183" s="6" t="e">
        <f>#REF!</f>
        <v>#REF!</v>
      </c>
      <c r="AC183" s="6" t="e">
        <f>#REF!</f>
        <v>#REF!</v>
      </c>
      <c r="AD183" s="6" t="e">
        <f>#REF!</f>
        <v>#REF!</v>
      </c>
      <c r="AE183" s="6" t="e">
        <f>#REF!</f>
        <v>#REF!</v>
      </c>
      <c r="AF183" s="6" t="e">
        <f>#REF!</f>
        <v>#REF!</v>
      </c>
      <c r="AG183" s="6" t="e">
        <f>#REF!</f>
        <v>#REF!</v>
      </c>
      <c r="AH183" s="6" t="e">
        <f>#REF!</f>
        <v>#REF!</v>
      </c>
      <c r="AI183" s="6" t="e">
        <f>#REF!</f>
        <v>#REF!</v>
      </c>
      <c r="AJ183" s="6" t="e">
        <f>#REF!</f>
        <v>#REF!</v>
      </c>
      <c r="AK183" s="6" t="e">
        <f>#REF!</f>
        <v>#REF!</v>
      </c>
      <c r="AL183" s="6" t="e">
        <f>#REF!</f>
        <v>#REF!</v>
      </c>
    </row>
    <row r="184" spans="1:38" x14ac:dyDescent="0.25">
      <c r="A184" s="64" t="s">
        <v>409</v>
      </c>
      <c r="B184" s="126" t="e">
        <f>VLOOKUP(A184,$A$2:$AL$285,MATCH('Character Sheet'!$BJ$3,$A$1:$AL$1,0),FALSE)</f>
        <v>#REF!</v>
      </c>
      <c r="C184" s="6" t="e">
        <f>#REF!</f>
        <v>#REF!</v>
      </c>
      <c r="D184" s="6" t="e">
        <f>#REF!</f>
        <v>#REF!</v>
      </c>
      <c r="E184" s="6" t="e">
        <f>#REF!</f>
        <v>#REF!</v>
      </c>
      <c r="F184" s="6" t="e">
        <f>#REF!</f>
        <v>#REF!</v>
      </c>
      <c r="G184" s="6" t="e">
        <f>#REF!</f>
        <v>#REF!</v>
      </c>
      <c r="H184" s="6" t="e">
        <f>#REF!</f>
        <v>#REF!</v>
      </c>
      <c r="I184" s="6" t="e">
        <f>#REF!</f>
        <v>#REF!</v>
      </c>
      <c r="J184" s="6" t="e">
        <f>#REF!</f>
        <v>#REF!</v>
      </c>
      <c r="K184" s="6" t="e">
        <f>#REF!</f>
        <v>#REF!</v>
      </c>
      <c r="L184" s="6" t="e">
        <f>#REF!</f>
        <v>#REF!</v>
      </c>
      <c r="M184" s="6" t="e">
        <f>#REF!</f>
        <v>#REF!</v>
      </c>
      <c r="N184" s="6" t="e">
        <f>#REF!</f>
        <v>#REF!</v>
      </c>
      <c r="O184" s="6" t="e">
        <f>#REF!</f>
        <v>#REF!</v>
      </c>
      <c r="P184" s="6" t="e">
        <f>#REF!</f>
        <v>#REF!</v>
      </c>
      <c r="Q184" s="6" t="e">
        <f>#REF!</f>
        <v>#REF!</v>
      </c>
      <c r="R184" s="6" t="e">
        <f>#REF!</f>
        <v>#REF!</v>
      </c>
      <c r="S184" s="6" t="e">
        <f>#REF!</f>
        <v>#REF!</v>
      </c>
      <c r="T184" s="6" t="e">
        <f>#REF!</f>
        <v>#REF!</v>
      </c>
      <c r="U184" s="6" t="e">
        <f>#REF!</f>
        <v>#REF!</v>
      </c>
      <c r="V184" s="6" t="e">
        <f>#REF!</f>
        <v>#REF!</v>
      </c>
      <c r="W184" s="6" t="e">
        <f>#REF!</f>
        <v>#REF!</v>
      </c>
      <c r="X184" s="6" t="e">
        <f>#REF!</f>
        <v>#REF!</v>
      </c>
      <c r="Y184" s="6" t="e">
        <f>#REF!</f>
        <v>#REF!</v>
      </c>
      <c r="Z184" s="6" t="e">
        <f>#REF!</f>
        <v>#REF!</v>
      </c>
      <c r="AA184" s="6" t="e">
        <f>#REF!</f>
        <v>#REF!</v>
      </c>
      <c r="AB184" s="6" t="e">
        <f>#REF!</f>
        <v>#REF!</v>
      </c>
      <c r="AC184" s="6" t="e">
        <f>#REF!</f>
        <v>#REF!</v>
      </c>
      <c r="AD184" s="6" t="e">
        <f>#REF!</f>
        <v>#REF!</v>
      </c>
      <c r="AE184" s="6" t="e">
        <f>#REF!</f>
        <v>#REF!</v>
      </c>
      <c r="AF184" s="6" t="e">
        <f>#REF!</f>
        <v>#REF!</v>
      </c>
      <c r="AG184" s="6" t="e">
        <f>#REF!</f>
        <v>#REF!</v>
      </c>
      <c r="AH184" s="6" t="e">
        <f>#REF!</f>
        <v>#REF!</v>
      </c>
      <c r="AI184" s="6" t="e">
        <f>#REF!</f>
        <v>#REF!</v>
      </c>
      <c r="AJ184" s="6" t="e">
        <f>#REF!</f>
        <v>#REF!</v>
      </c>
      <c r="AK184" s="6" t="e">
        <f>#REF!</f>
        <v>#REF!</v>
      </c>
      <c r="AL184" s="6" t="e">
        <f>#REF!</f>
        <v>#REF!</v>
      </c>
    </row>
    <row r="185" spans="1:38" ht="15.75" thickBot="1" x14ac:dyDescent="0.3">
      <c r="A185" s="64" t="s">
        <v>2108</v>
      </c>
      <c r="B185" s="126" t="e">
        <f>VLOOKUP(A185,$A$2:$AL$285,MATCH('Character Sheet'!$BJ$3,$A$1:$AL$1,0),FALSE)</f>
        <v>#REF!</v>
      </c>
      <c r="C185" s="6" t="e">
        <f>#REF!</f>
        <v>#REF!</v>
      </c>
      <c r="D185" s="6" t="e">
        <f>#REF!</f>
        <v>#REF!</v>
      </c>
      <c r="E185" s="6" t="e">
        <f>#REF!</f>
        <v>#REF!</v>
      </c>
      <c r="F185" s="6" t="e">
        <f>#REF!</f>
        <v>#REF!</v>
      </c>
      <c r="G185" s="6" t="e">
        <f>#REF!</f>
        <v>#REF!</v>
      </c>
      <c r="H185" s="6" t="e">
        <f>#REF!</f>
        <v>#REF!</v>
      </c>
      <c r="I185" s="6" t="e">
        <f>#REF!</f>
        <v>#REF!</v>
      </c>
      <c r="J185" s="6" t="e">
        <f>#REF!</f>
        <v>#REF!</v>
      </c>
      <c r="K185" s="6" t="e">
        <f>#REF!</f>
        <v>#REF!</v>
      </c>
      <c r="L185" s="6" t="e">
        <f>#REF!</f>
        <v>#REF!</v>
      </c>
      <c r="M185" s="6" t="e">
        <f>#REF!</f>
        <v>#REF!</v>
      </c>
      <c r="N185" s="6" t="e">
        <f>#REF!</f>
        <v>#REF!</v>
      </c>
      <c r="O185" s="6" t="e">
        <f>#REF!</f>
        <v>#REF!</v>
      </c>
      <c r="P185" s="6" t="e">
        <f>#REF!</f>
        <v>#REF!</v>
      </c>
      <c r="Q185" s="6" t="e">
        <f>#REF!</f>
        <v>#REF!</v>
      </c>
      <c r="R185" s="6" t="e">
        <f>#REF!</f>
        <v>#REF!</v>
      </c>
      <c r="S185" s="6" t="e">
        <f>#REF!</f>
        <v>#REF!</v>
      </c>
      <c r="T185" s="6" t="e">
        <f>#REF!</f>
        <v>#REF!</v>
      </c>
      <c r="U185" s="6" t="e">
        <f>#REF!</f>
        <v>#REF!</v>
      </c>
      <c r="V185" s="6" t="e">
        <f>#REF!</f>
        <v>#REF!</v>
      </c>
      <c r="W185" s="6" t="e">
        <f>#REF!</f>
        <v>#REF!</v>
      </c>
      <c r="X185" s="6" t="e">
        <f>#REF!</f>
        <v>#REF!</v>
      </c>
      <c r="Y185" s="6" t="e">
        <f>#REF!</f>
        <v>#REF!</v>
      </c>
      <c r="Z185" s="6" t="e">
        <f>#REF!</f>
        <v>#REF!</v>
      </c>
      <c r="AA185" s="6" t="e">
        <f>#REF!</f>
        <v>#REF!</v>
      </c>
      <c r="AB185" s="6" t="e">
        <f>#REF!</f>
        <v>#REF!</v>
      </c>
      <c r="AC185" s="6" t="e">
        <f>#REF!</f>
        <v>#REF!</v>
      </c>
      <c r="AD185" s="6" t="e">
        <f>#REF!</f>
        <v>#REF!</v>
      </c>
      <c r="AE185" s="6" t="e">
        <f>#REF!</f>
        <v>#REF!</v>
      </c>
      <c r="AF185" s="6" t="e">
        <f>#REF!</f>
        <v>#REF!</v>
      </c>
      <c r="AG185" s="6" t="e">
        <f>#REF!</f>
        <v>#REF!</v>
      </c>
      <c r="AH185" s="6" t="e">
        <f>#REF!</f>
        <v>#REF!</v>
      </c>
      <c r="AI185" s="6" t="e">
        <f>#REF!</f>
        <v>#REF!</v>
      </c>
      <c r="AJ185" s="6" t="e">
        <f>#REF!</f>
        <v>#REF!</v>
      </c>
      <c r="AK185" s="6" t="e">
        <f>#REF!</f>
        <v>#REF!</v>
      </c>
      <c r="AL185" s="6" t="e">
        <f>#REF!</f>
        <v>#REF!</v>
      </c>
    </row>
    <row r="186" spans="1:38" ht="16.5" thickTop="1" thickBot="1" x14ac:dyDescent="0.3">
      <c r="A186" s="63" t="s">
        <v>2075</v>
      </c>
      <c r="B186" s="126" t="e">
        <f>VLOOKUP(A186,$A$2:$AL$285,MATCH('Character Sheet'!$BJ$3,$A$1:$AL$1,0),FALSE)</f>
        <v>#REF!</v>
      </c>
      <c r="C186" s="6" t="e">
        <f>#REF!</f>
        <v>#REF!</v>
      </c>
      <c r="D186" s="6" t="e">
        <f>#REF!</f>
        <v>#REF!</v>
      </c>
      <c r="E186" s="6" t="e">
        <f>#REF!</f>
        <v>#REF!</v>
      </c>
      <c r="F186" s="6" t="e">
        <f>#REF!</f>
        <v>#REF!</v>
      </c>
      <c r="G186" s="6" t="e">
        <f>#REF!</f>
        <v>#REF!</v>
      </c>
      <c r="H186" s="6" t="e">
        <f>#REF!</f>
        <v>#REF!</v>
      </c>
      <c r="I186" s="6" t="e">
        <f>#REF!</f>
        <v>#REF!</v>
      </c>
      <c r="J186" s="6" t="e">
        <f>#REF!</f>
        <v>#REF!</v>
      </c>
      <c r="K186" s="6" t="e">
        <f>#REF!</f>
        <v>#REF!</v>
      </c>
      <c r="L186" s="6" t="e">
        <f>#REF!</f>
        <v>#REF!</v>
      </c>
      <c r="M186" s="6" t="e">
        <f>#REF!</f>
        <v>#REF!</v>
      </c>
      <c r="N186" s="6" t="e">
        <f>#REF!</f>
        <v>#REF!</v>
      </c>
      <c r="O186" s="6" t="e">
        <f>#REF!</f>
        <v>#REF!</v>
      </c>
      <c r="P186" s="6" t="e">
        <f>#REF!</f>
        <v>#REF!</v>
      </c>
      <c r="Q186" s="6" t="e">
        <f>#REF!</f>
        <v>#REF!</v>
      </c>
      <c r="R186" s="6" t="e">
        <f>#REF!</f>
        <v>#REF!</v>
      </c>
      <c r="S186" s="6" t="e">
        <f>#REF!</f>
        <v>#REF!</v>
      </c>
      <c r="T186" s="6" t="e">
        <f>#REF!</f>
        <v>#REF!</v>
      </c>
      <c r="U186" s="6" t="e">
        <f>#REF!</f>
        <v>#REF!</v>
      </c>
      <c r="V186" s="6" t="e">
        <f>#REF!</f>
        <v>#REF!</v>
      </c>
      <c r="W186" s="6" t="e">
        <f>#REF!</f>
        <v>#REF!</v>
      </c>
      <c r="X186" s="6" t="e">
        <f>#REF!</f>
        <v>#REF!</v>
      </c>
      <c r="Y186" s="6" t="e">
        <f>#REF!</f>
        <v>#REF!</v>
      </c>
      <c r="Z186" s="6" t="e">
        <f>#REF!</f>
        <v>#REF!</v>
      </c>
      <c r="AA186" s="6" t="e">
        <f>#REF!</f>
        <v>#REF!</v>
      </c>
      <c r="AB186" s="6" t="e">
        <f>#REF!</f>
        <v>#REF!</v>
      </c>
      <c r="AC186" s="6" t="e">
        <f>#REF!</f>
        <v>#REF!</v>
      </c>
      <c r="AD186" s="6" t="e">
        <f>#REF!</f>
        <v>#REF!</v>
      </c>
      <c r="AE186" s="6" t="e">
        <f>#REF!</f>
        <v>#REF!</v>
      </c>
      <c r="AF186" s="6" t="e">
        <f>#REF!</f>
        <v>#REF!</v>
      </c>
      <c r="AG186" s="6" t="e">
        <f>#REF!</f>
        <v>#REF!</v>
      </c>
      <c r="AH186" s="6" t="e">
        <f>#REF!</f>
        <v>#REF!</v>
      </c>
      <c r="AI186" s="6" t="e">
        <f>#REF!</f>
        <v>#REF!</v>
      </c>
      <c r="AJ186" s="6" t="e">
        <f>#REF!</f>
        <v>#REF!</v>
      </c>
      <c r="AK186" s="6" t="e">
        <f>#REF!</f>
        <v>#REF!</v>
      </c>
      <c r="AL186" s="6" t="e">
        <f>#REF!</f>
        <v>#REF!</v>
      </c>
    </row>
    <row r="187" spans="1:38" ht="15.75" thickTop="1" x14ac:dyDescent="0.25">
      <c r="A187" s="64" t="s">
        <v>1997</v>
      </c>
      <c r="B187" s="126" t="e">
        <f>VLOOKUP(A187,$A$2:$AL$285,MATCH('Character Sheet'!$BJ$3,$A$1:$AL$1,0),FALSE)</f>
        <v>#REF!</v>
      </c>
      <c r="C187" s="6" t="e">
        <f>#REF!</f>
        <v>#REF!</v>
      </c>
      <c r="D187" s="6" t="e">
        <f>#REF!</f>
        <v>#REF!</v>
      </c>
      <c r="E187" s="6" t="e">
        <f>#REF!</f>
        <v>#REF!</v>
      </c>
      <c r="F187" s="6" t="e">
        <f>#REF!</f>
        <v>#REF!</v>
      </c>
      <c r="G187" s="6" t="e">
        <f>#REF!</f>
        <v>#REF!</v>
      </c>
      <c r="H187" s="6" t="e">
        <f>#REF!</f>
        <v>#REF!</v>
      </c>
      <c r="I187" s="6" t="e">
        <f>#REF!</f>
        <v>#REF!</v>
      </c>
      <c r="J187" s="6" t="e">
        <f>#REF!</f>
        <v>#REF!</v>
      </c>
      <c r="K187" s="6" t="e">
        <f>#REF!</f>
        <v>#REF!</v>
      </c>
      <c r="L187" s="6" t="e">
        <f>#REF!</f>
        <v>#REF!</v>
      </c>
      <c r="M187" s="6" t="e">
        <f>#REF!</f>
        <v>#REF!</v>
      </c>
      <c r="N187" s="6" t="e">
        <f>#REF!</f>
        <v>#REF!</v>
      </c>
      <c r="O187" s="6" t="e">
        <f>#REF!</f>
        <v>#REF!</v>
      </c>
      <c r="P187" s="6" t="e">
        <f>#REF!</f>
        <v>#REF!</v>
      </c>
      <c r="Q187" s="6" t="e">
        <f>#REF!</f>
        <v>#REF!</v>
      </c>
      <c r="R187" s="6" t="e">
        <f>#REF!</f>
        <v>#REF!</v>
      </c>
      <c r="S187" s="6" t="e">
        <f>#REF!</f>
        <v>#REF!</v>
      </c>
      <c r="T187" s="6" t="e">
        <f>#REF!</f>
        <v>#REF!</v>
      </c>
      <c r="U187" s="6" t="e">
        <f>#REF!</f>
        <v>#REF!</v>
      </c>
      <c r="V187" s="6" t="e">
        <f>#REF!</f>
        <v>#REF!</v>
      </c>
      <c r="W187" s="6" t="e">
        <f>#REF!</f>
        <v>#REF!</v>
      </c>
      <c r="X187" s="6" t="e">
        <f>#REF!</f>
        <v>#REF!</v>
      </c>
      <c r="Y187" s="6" t="e">
        <f>#REF!</f>
        <v>#REF!</v>
      </c>
      <c r="Z187" s="6" t="e">
        <f>#REF!</f>
        <v>#REF!</v>
      </c>
      <c r="AA187" s="6" t="e">
        <f>#REF!</f>
        <v>#REF!</v>
      </c>
      <c r="AB187" s="6" t="e">
        <f>#REF!</f>
        <v>#REF!</v>
      </c>
      <c r="AC187" s="6" t="e">
        <f>#REF!</f>
        <v>#REF!</v>
      </c>
      <c r="AD187" s="6" t="e">
        <f>#REF!</f>
        <v>#REF!</v>
      </c>
      <c r="AE187" s="6" t="e">
        <f>#REF!</f>
        <v>#REF!</v>
      </c>
      <c r="AF187" s="6" t="e">
        <f>#REF!</f>
        <v>#REF!</v>
      </c>
      <c r="AG187" s="6" t="e">
        <f>#REF!</f>
        <v>#REF!</v>
      </c>
      <c r="AH187" s="6" t="e">
        <f>#REF!</f>
        <v>#REF!</v>
      </c>
      <c r="AI187" s="6" t="e">
        <f>#REF!</f>
        <v>#REF!</v>
      </c>
      <c r="AJ187" s="6" t="e">
        <f>#REF!</f>
        <v>#REF!</v>
      </c>
      <c r="AK187" s="6" t="e">
        <f>#REF!</f>
        <v>#REF!</v>
      </c>
      <c r="AL187" s="6" t="e">
        <f>#REF!</f>
        <v>#REF!</v>
      </c>
    </row>
    <row r="188" spans="1:38" x14ac:dyDescent="0.25">
      <c r="A188" s="64" t="s">
        <v>2076</v>
      </c>
      <c r="B188" s="126" t="e">
        <f>VLOOKUP(A188,$A$2:$AL$285,MATCH('Character Sheet'!$BJ$3,$A$1:$AL$1,0),FALSE)</f>
        <v>#REF!</v>
      </c>
      <c r="C188" s="6" t="e">
        <f>#REF!</f>
        <v>#REF!</v>
      </c>
      <c r="D188" s="6" t="e">
        <f>#REF!</f>
        <v>#REF!</v>
      </c>
      <c r="E188" s="6" t="e">
        <f>#REF!</f>
        <v>#REF!</v>
      </c>
      <c r="F188" s="6" t="e">
        <f>#REF!</f>
        <v>#REF!</v>
      </c>
      <c r="G188" s="6" t="e">
        <f>#REF!</f>
        <v>#REF!</v>
      </c>
      <c r="H188" s="6" t="e">
        <f>#REF!</f>
        <v>#REF!</v>
      </c>
      <c r="I188" s="6" t="e">
        <f>#REF!</f>
        <v>#REF!</v>
      </c>
      <c r="J188" s="6" t="e">
        <f>#REF!</f>
        <v>#REF!</v>
      </c>
      <c r="K188" s="6" t="e">
        <f>#REF!</f>
        <v>#REF!</v>
      </c>
      <c r="L188" s="6" t="e">
        <f>#REF!</f>
        <v>#REF!</v>
      </c>
      <c r="M188" s="6" t="e">
        <f>#REF!</f>
        <v>#REF!</v>
      </c>
      <c r="N188" s="6" t="e">
        <f>#REF!</f>
        <v>#REF!</v>
      </c>
      <c r="O188" s="6" t="e">
        <f>#REF!</f>
        <v>#REF!</v>
      </c>
      <c r="P188" s="6" t="e">
        <f>#REF!</f>
        <v>#REF!</v>
      </c>
      <c r="Q188" s="6" t="e">
        <f>#REF!</f>
        <v>#REF!</v>
      </c>
      <c r="R188" s="6" t="e">
        <f>#REF!</f>
        <v>#REF!</v>
      </c>
      <c r="S188" s="6" t="e">
        <f>#REF!</f>
        <v>#REF!</v>
      </c>
      <c r="T188" s="6" t="e">
        <f>#REF!</f>
        <v>#REF!</v>
      </c>
      <c r="U188" s="6" t="e">
        <f>#REF!</f>
        <v>#REF!</v>
      </c>
      <c r="V188" s="6" t="e">
        <f>#REF!</f>
        <v>#REF!</v>
      </c>
      <c r="W188" s="6" t="e">
        <f>#REF!</f>
        <v>#REF!</v>
      </c>
      <c r="X188" s="6" t="e">
        <f>#REF!</f>
        <v>#REF!</v>
      </c>
      <c r="Y188" s="6" t="e">
        <f>#REF!</f>
        <v>#REF!</v>
      </c>
      <c r="Z188" s="6" t="e">
        <f>#REF!</f>
        <v>#REF!</v>
      </c>
      <c r="AA188" s="6" t="e">
        <f>#REF!</f>
        <v>#REF!</v>
      </c>
      <c r="AB188" s="6" t="e">
        <f>#REF!</f>
        <v>#REF!</v>
      </c>
      <c r="AC188" s="6" t="e">
        <f>#REF!</f>
        <v>#REF!</v>
      </c>
      <c r="AD188" s="6" t="e">
        <f>#REF!</f>
        <v>#REF!</v>
      </c>
      <c r="AE188" s="6" t="e">
        <f>#REF!</f>
        <v>#REF!</v>
      </c>
      <c r="AF188" s="6" t="e">
        <f>#REF!</f>
        <v>#REF!</v>
      </c>
      <c r="AG188" s="6" t="e">
        <f>#REF!</f>
        <v>#REF!</v>
      </c>
      <c r="AH188" s="6" t="e">
        <f>#REF!</f>
        <v>#REF!</v>
      </c>
      <c r="AI188" s="6" t="e">
        <f>#REF!</f>
        <v>#REF!</v>
      </c>
      <c r="AJ188" s="6" t="e">
        <f>#REF!</f>
        <v>#REF!</v>
      </c>
      <c r="AK188" s="6" t="e">
        <f>#REF!</f>
        <v>#REF!</v>
      </c>
      <c r="AL188" s="6" t="e">
        <f>#REF!</f>
        <v>#REF!</v>
      </c>
    </row>
    <row r="189" spans="1:38" x14ac:dyDescent="0.25">
      <c r="A189" s="64" t="s">
        <v>2077</v>
      </c>
      <c r="B189" s="126" t="e">
        <f>VLOOKUP(A189,$A$2:$AL$285,MATCH('Character Sheet'!$BJ$3,$A$1:$AL$1,0),FALSE)</f>
        <v>#REF!</v>
      </c>
      <c r="C189" s="6" t="e">
        <f>#REF!</f>
        <v>#REF!</v>
      </c>
      <c r="D189" s="6" t="e">
        <f>#REF!</f>
        <v>#REF!</v>
      </c>
      <c r="E189" s="6" t="e">
        <f>#REF!</f>
        <v>#REF!</v>
      </c>
      <c r="F189" s="6" t="e">
        <f>#REF!</f>
        <v>#REF!</v>
      </c>
      <c r="G189" s="6" t="e">
        <f>#REF!</f>
        <v>#REF!</v>
      </c>
      <c r="H189" s="6" t="e">
        <f>#REF!</f>
        <v>#REF!</v>
      </c>
      <c r="I189" s="6" t="e">
        <f>#REF!</f>
        <v>#REF!</v>
      </c>
      <c r="J189" s="6" t="e">
        <f>#REF!</f>
        <v>#REF!</v>
      </c>
      <c r="K189" s="6" t="e">
        <f>#REF!</f>
        <v>#REF!</v>
      </c>
      <c r="L189" s="6" t="e">
        <f>#REF!</f>
        <v>#REF!</v>
      </c>
      <c r="M189" s="6" t="e">
        <f>#REF!</f>
        <v>#REF!</v>
      </c>
      <c r="N189" s="6" t="e">
        <f>#REF!</f>
        <v>#REF!</v>
      </c>
      <c r="O189" s="6" t="e">
        <f>#REF!</f>
        <v>#REF!</v>
      </c>
      <c r="P189" s="6" t="e">
        <f>#REF!</f>
        <v>#REF!</v>
      </c>
      <c r="Q189" s="6" t="e">
        <f>#REF!</f>
        <v>#REF!</v>
      </c>
      <c r="R189" s="6" t="e">
        <f>#REF!</f>
        <v>#REF!</v>
      </c>
      <c r="S189" s="6" t="e">
        <f>#REF!</f>
        <v>#REF!</v>
      </c>
      <c r="T189" s="6" t="e">
        <f>#REF!</f>
        <v>#REF!</v>
      </c>
      <c r="U189" s="6" t="e">
        <f>#REF!</f>
        <v>#REF!</v>
      </c>
      <c r="V189" s="6" t="e">
        <f>#REF!</f>
        <v>#REF!</v>
      </c>
      <c r="W189" s="6" t="e">
        <f>#REF!</f>
        <v>#REF!</v>
      </c>
      <c r="X189" s="6" t="e">
        <f>#REF!</f>
        <v>#REF!</v>
      </c>
      <c r="Y189" s="6" t="e">
        <f>#REF!</f>
        <v>#REF!</v>
      </c>
      <c r="Z189" s="6" t="e">
        <f>#REF!</f>
        <v>#REF!</v>
      </c>
      <c r="AA189" s="6" t="e">
        <f>#REF!</f>
        <v>#REF!</v>
      </c>
      <c r="AB189" s="6" t="e">
        <f>#REF!</f>
        <v>#REF!</v>
      </c>
      <c r="AC189" s="6" t="e">
        <f>#REF!</f>
        <v>#REF!</v>
      </c>
      <c r="AD189" s="6" t="e">
        <f>#REF!</f>
        <v>#REF!</v>
      </c>
      <c r="AE189" s="6" t="e">
        <f>#REF!</f>
        <v>#REF!</v>
      </c>
      <c r="AF189" s="6" t="e">
        <f>#REF!</f>
        <v>#REF!</v>
      </c>
      <c r="AG189" s="6" t="e">
        <f>#REF!</f>
        <v>#REF!</v>
      </c>
      <c r="AH189" s="6" t="e">
        <f>#REF!</f>
        <v>#REF!</v>
      </c>
      <c r="AI189" s="6" t="e">
        <f>#REF!</f>
        <v>#REF!</v>
      </c>
      <c r="AJ189" s="6" t="e">
        <f>#REF!</f>
        <v>#REF!</v>
      </c>
      <c r="AK189" s="6" t="e">
        <f>#REF!</f>
        <v>#REF!</v>
      </c>
      <c r="AL189" s="6" t="e">
        <f>#REF!</f>
        <v>#REF!</v>
      </c>
    </row>
    <row r="190" spans="1:38" x14ac:dyDescent="0.25">
      <c r="A190" s="64" t="s">
        <v>2078</v>
      </c>
      <c r="B190" s="126" t="e">
        <f>VLOOKUP(A190,$A$2:$AL$285,MATCH('Character Sheet'!$BJ$3,$A$1:$AL$1,0),FALSE)</f>
        <v>#REF!</v>
      </c>
      <c r="C190" s="6" t="e">
        <f>#REF!</f>
        <v>#REF!</v>
      </c>
      <c r="D190" s="6" t="e">
        <f>#REF!</f>
        <v>#REF!</v>
      </c>
      <c r="E190" s="6" t="e">
        <f>#REF!</f>
        <v>#REF!</v>
      </c>
      <c r="F190" s="6" t="e">
        <f>#REF!</f>
        <v>#REF!</v>
      </c>
      <c r="G190" s="6" t="e">
        <f>#REF!</f>
        <v>#REF!</v>
      </c>
      <c r="H190" s="6" t="e">
        <f>#REF!</f>
        <v>#REF!</v>
      </c>
      <c r="I190" s="6" t="e">
        <f>#REF!</f>
        <v>#REF!</v>
      </c>
      <c r="J190" s="6" t="e">
        <f>#REF!</f>
        <v>#REF!</v>
      </c>
      <c r="K190" s="6" t="e">
        <f>#REF!</f>
        <v>#REF!</v>
      </c>
      <c r="L190" s="6" t="e">
        <f>#REF!</f>
        <v>#REF!</v>
      </c>
      <c r="M190" s="6" t="e">
        <f>#REF!</f>
        <v>#REF!</v>
      </c>
      <c r="N190" s="6" t="e">
        <f>#REF!</f>
        <v>#REF!</v>
      </c>
      <c r="O190" s="6" t="e">
        <f>#REF!</f>
        <v>#REF!</v>
      </c>
      <c r="P190" s="6" t="e">
        <f>#REF!</f>
        <v>#REF!</v>
      </c>
      <c r="Q190" s="6" t="e">
        <f>#REF!</f>
        <v>#REF!</v>
      </c>
      <c r="R190" s="6" t="e">
        <f>#REF!</f>
        <v>#REF!</v>
      </c>
      <c r="S190" s="6" t="e">
        <f>#REF!</f>
        <v>#REF!</v>
      </c>
      <c r="T190" s="6" t="e">
        <f>#REF!</f>
        <v>#REF!</v>
      </c>
      <c r="U190" s="6" t="e">
        <f>#REF!</f>
        <v>#REF!</v>
      </c>
      <c r="V190" s="6" t="e">
        <f>#REF!</f>
        <v>#REF!</v>
      </c>
      <c r="W190" s="6" t="e">
        <f>#REF!</f>
        <v>#REF!</v>
      </c>
      <c r="X190" s="6" t="e">
        <f>#REF!</f>
        <v>#REF!</v>
      </c>
      <c r="Y190" s="6" t="e">
        <f>#REF!</f>
        <v>#REF!</v>
      </c>
      <c r="Z190" s="6" t="e">
        <f>#REF!</f>
        <v>#REF!</v>
      </c>
      <c r="AA190" s="6" t="e">
        <f>#REF!</f>
        <v>#REF!</v>
      </c>
      <c r="AB190" s="6" t="e">
        <f>#REF!</f>
        <v>#REF!</v>
      </c>
      <c r="AC190" s="6" t="e">
        <f>#REF!</f>
        <v>#REF!</v>
      </c>
      <c r="AD190" s="6" t="e">
        <f>#REF!</f>
        <v>#REF!</v>
      </c>
      <c r="AE190" s="6" t="e">
        <f>#REF!</f>
        <v>#REF!</v>
      </c>
      <c r="AF190" s="6" t="e">
        <f>#REF!</f>
        <v>#REF!</v>
      </c>
      <c r="AG190" s="6" t="e">
        <f>#REF!</f>
        <v>#REF!</v>
      </c>
      <c r="AH190" s="6" t="e">
        <f>#REF!</f>
        <v>#REF!</v>
      </c>
      <c r="AI190" s="6" t="e">
        <f>#REF!</f>
        <v>#REF!</v>
      </c>
      <c r="AJ190" s="6" t="e">
        <f>#REF!</f>
        <v>#REF!</v>
      </c>
      <c r="AK190" s="6" t="e">
        <f>#REF!</f>
        <v>#REF!</v>
      </c>
      <c r="AL190" s="6" t="e">
        <f>#REF!</f>
        <v>#REF!</v>
      </c>
    </row>
    <row r="191" spans="1:38" ht="15.75" thickBot="1" x14ac:dyDescent="0.3">
      <c r="A191" s="64" t="s">
        <v>2079</v>
      </c>
      <c r="B191" s="126" t="e">
        <f>VLOOKUP(A191,$A$2:$AL$285,MATCH('Character Sheet'!$BJ$3,$A$1:$AL$1,0),FALSE)</f>
        <v>#REF!</v>
      </c>
      <c r="C191" s="6" t="e">
        <f>#REF!</f>
        <v>#REF!</v>
      </c>
      <c r="D191" s="6" t="e">
        <f>#REF!</f>
        <v>#REF!</v>
      </c>
      <c r="E191" s="6" t="e">
        <f>#REF!</f>
        <v>#REF!</v>
      </c>
      <c r="F191" s="6" t="e">
        <f>#REF!</f>
        <v>#REF!</v>
      </c>
      <c r="G191" s="6" t="e">
        <f>#REF!</f>
        <v>#REF!</v>
      </c>
      <c r="H191" s="6" t="e">
        <f>#REF!</f>
        <v>#REF!</v>
      </c>
      <c r="I191" s="6" t="e">
        <f>#REF!</f>
        <v>#REF!</v>
      </c>
      <c r="J191" s="6" t="e">
        <f>#REF!</f>
        <v>#REF!</v>
      </c>
      <c r="K191" s="6" t="e">
        <f>#REF!</f>
        <v>#REF!</v>
      </c>
      <c r="L191" s="6" t="e">
        <f>#REF!</f>
        <v>#REF!</v>
      </c>
      <c r="M191" s="6" t="e">
        <f>#REF!</f>
        <v>#REF!</v>
      </c>
      <c r="N191" s="6" t="e">
        <f>#REF!</f>
        <v>#REF!</v>
      </c>
      <c r="O191" s="6" t="e">
        <f>#REF!</f>
        <v>#REF!</v>
      </c>
      <c r="P191" s="6" t="e">
        <f>#REF!</f>
        <v>#REF!</v>
      </c>
      <c r="Q191" s="6" t="e">
        <f>#REF!</f>
        <v>#REF!</v>
      </c>
      <c r="R191" s="6" t="e">
        <f>#REF!</f>
        <v>#REF!</v>
      </c>
      <c r="S191" s="6" t="e">
        <f>#REF!</f>
        <v>#REF!</v>
      </c>
      <c r="T191" s="6" t="e">
        <f>#REF!</f>
        <v>#REF!</v>
      </c>
      <c r="U191" s="6" t="e">
        <f>#REF!</f>
        <v>#REF!</v>
      </c>
      <c r="V191" s="6" t="e">
        <f>#REF!</f>
        <v>#REF!</v>
      </c>
      <c r="W191" s="6" t="e">
        <f>#REF!</f>
        <v>#REF!</v>
      </c>
      <c r="X191" s="6" t="e">
        <f>#REF!</f>
        <v>#REF!</v>
      </c>
      <c r="Y191" s="6" t="e">
        <f>#REF!</f>
        <v>#REF!</v>
      </c>
      <c r="Z191" s="6" t="e">
        <f>#REF!</f>
        <v>#REF!</v>
      </c>
      <c r="AA191" s="6" t="e">
        <f>#REF!</f>
        <v>#REF!</v>
      </c>
      <c r="AB191" s="6" t="e">
        <f>#REF!</f>
        <v>#REF!</v>
      </c>
      <c r="AC191" s="6" t="e">
        <f>#REF!</f>
        <v>#REF!</v>
      </c>
      <c r="AD191" s="6" t="e">
        <f>#REF!</f>
        <v>#REF!</v>
      </c>
      <c r="AE191" s="6" t="e">
        <f>#REF!</f>
        <v>#REF!</v>
      </c>
      <c r="AF191" s="6" t="e">
        <f>#REF!</f>
        <v>#REF!</v>
      </c>
      <c r="AG191" s="6" t="e">
        <f>#REF!</f>
        <v>#REF!</v>
      </c>
      <c r="AH191" s="6" t="e">
        <f>#REF!</f>
        <v>#REF!</v>
      </c>
      <c r="AI191" s="6" t="e">
        <f>#REF!</f>
        <v>#REF!</v>
      </c>
      <c r="AJ191" s="6" t="e">
        <f>#REF!</f>
        <v>#REF!</v>
      </c>
      <c r="AK191" s="6" t="e">
        <f>#REF!</f>
        <v>#REF!</v>
      </c>
      <c r="AL191" s="6" t="e">
        <f>#REF!</f>
        <v>#REF!</v>
      </c>
    </row>
    <row r="192" spans="1:38" ht="16.5" thickTop="1" thickBot="1" x14ac:dyDescent="0.3">
      <c r="A192" s="63" t="s">
        <v>428</v>
      </c>
      <c r="B192" s="126" t="e">
        <f>VLOOKUP(A192,$A$2:$AL$285,MATCH('Character Sheet'!$BJ$3,$A$1:$AL$1,0),FALSE)</f>
        <v>#REF!</v>
      </c>
      <c r="C192" s="6" t="e">
        <f>#REF!</f>
        <v>#REF!</v>
      </c>
      <c r="D192" s="6" t="e">
        <f>#REF!</f>
        <v>#REF!</v>
      </c>
      <c r="E192" s="6" t="e">
        <f>#REF!</f>
        <v>#REF!</v>
      </c>
      <c r="F192" s="6" t="e">
        <f>#REF!</f>
        <v>#REF!</v>
      </c>
      <c r="G192" s="6" t="e">
        <f>#REF!</f>
        <v>#REF!</v>
      </c>
      <c r="H192" s="6" t="e">
        <f>#REF!</f>
        <v>#REF!</v>
      </c>
      <c r="I192" s="6" t="e">
        <f>#REF!</f>
        <v>#REF!</v>
      </c>
      <c r="J192" s="6" t="e">
        <f>#REF!</f>
        <v>#REF!</v>
      </c>
      <c r="K192" s="6" t="e">
        <f>#REF!</f>
        <v>#REF!</v>
      </c>
      <c r="L192" s="6" t="e">
        <f>#REF!</f>
        <v>#REF!</v>
      </c>
      <c r="M192" s="6" t="e">
        <f>#REF!</f>
        <v>#REF!</v>
      </c>
      <c r="N192" s="6" t="e">
        <f>#REF!</f>
        <v>#REF!</v>
      </c>
      <c r="O192" s="6" t="e">
        <f>#REF!</f>
        <v>#REF!</v>
      </c>
      <c r="P192" s="6" t="e">
        <f>#REF!</f>
        <v>#REF!</v>
      </c>
      <c r="Q192" s="6" t="e">
        <f>#REF!</f>
        <v>#REF!</v>
      </c>
      <c r="R192" s="6" t="e">
        <f>#REF!</f>
        <v>#REF!</v>
      </c>
      <c r="S192" s="6" t="e">
        <f>#REF!</f>
        <v>#REF!</v>
      </c>
      <c r="T192" s="6" t="e">
        <f>#REF!</f>
        <v>#REF!</v>
      </c>
      <c r="U192" s="6" t="e">
        <f>#REF!</f>
        <v>#REF!</v>
      </c>
      <c r="V192" s="6" t="e">
        <f>#REF!</f>
        <v>#REF!</v>
      </c>
      <c r="W192" s="6" t="e">
        <f>#REF!</f>
        <v>#REF!</v>
      </c>
      <c r="X192" s="6" t="e">
        <f>#REF!</f>
        <v>#REF!</v>
      </c>
      <c r="Y192" s="6" t="e">
        <f>#REF!</f>
        <v>#REF!</v>
      </c>
      <c r="Z192" s="6" t="e">
        <f>#REF!</f>
        <v>#REF!</v>
      </c>
      <c r="AA192" s="6" t="e">
        <f>#REF!</f>
        <v>#REF!</v>
      </c>
      <c r="AB192" s="6" t="e">
        <f>#REF!</f>
        <v>#REF!</v>
      </c>
      <c r="AC192" s="6" t="e">
        <f>#REF!</f>
        <v>#REF!</v>
      </c>
      <c r="AD192" s="6" t="e">
        <f>#REF!</f>
        <v>#REF!</v>
      </c>
      <c r="AE192" s="6" t="e">
        <f>#REF!</f>
        <v>#REF!</v>
      </c>
      <c r="AF192" s="6" t="e">
        <f>#REF!</f>
        <v>#REF!</v>
      </c>
      <c r="AG192" s="6" t="e">
        <f>#REF!</f>
        <v>#REF!</v>
      </c>
      <c r="AH192" s="6" t="e">
        <f>#REF!</f>
        <v>#REF!</v>
      </c>
      <c r="AI192" s="6" t="e">
        <f>#REF!</f>
        <v>#REF!</v>
      </c>
      <c r="AJ192" s="6" t="e">
        <f>#REF!</f>
        <v>#REF!</v>
      </c>
      <c r="AK192" s="6" t="e">
        <f>#REF!</f>
        <v>#REF!</v>
      </c>
      <c r="AL192" s="6" t="e">
        <f>#REF!</f>
        <v>#REF!</v>
      </c>
    </row>
    <row r="193" spans="1:38" ht="15.75" thickTop="1" x14ac:dyDescent="0.25">
      <c r="A193" s="68" t="s">
        <v>430</v>
      </c>
      <c r="B193" s="126" t="e">
        <f>VLOOKUP(A193,$A$2:$AL$285,MATCH('Character Sheet'!$BJ$3,$A$1:$AL$1,0),FALSE)</f>
        <v>#REF!</v>
      </c>
      <c r="C193" s="6" t="e">
        <f>#REF!</f>
        <v>#REF!</v>
      </c>
      <c r="D193" s="6" t="e">
        <f>#REF!</f>
        <v>#REF!</v>
      </c>
      <c r="E193" s="6" t="e">
        <f>#REF!</f>
        <v>#REF!</v>
      </c>
      <c r="F193" s="6" t="e">
        <f>#REF!</f>
        <v>#REF!</v>
      </c>
      <c r="G193" s="6" t="e">
        <f>#REF!</f>
        <v>#REF!</v>
      </c>
      <c r="H193" s="6" t="e">
        <f>#REF!</f>
        <v>#REF!</v>
      </c>
      <c r="I193" s="6" t="e">
        <f>#REF!</f>
        <v>#REF!</v>
      </c>
      <c r="J193" s="6" t="e">
        <f>#REF!</f>
        <v>#REF!</v>
      </c>
      <c r="K193" s="6" t="e">
        <f>#REF!</f>
        <v>#REF!</v>
      </c>
      <c r="L193" s="6" t="e">
        <f>#REF!</f>
        <v>#REF!</v>
      </c>
      <c r="M193" s="6" t="e">
        <f>#REF!</f>
        <v>#REF!</v>
      </c>
      <c r="N193" s="6" t="e">
        <f>#REF!</f>
        <v>#REF!</v>
      </c>
      <c r="O193" s="6" t="e">
        <f>#REF!</f>
        <v>#REF!</v>
      </c>
      <c r="P193" s="6" t="e">
        <f>#REF!</f>
        <v>#REF!</v>
      </c>
      <c r="Q193" s="6" t="e">
        <f>#REF!</f>
        <v>#REF!</v>
      </c>
      <c r="R193" s="6" t="e">
        <f>#REF!</f>
        <v>#REF!</v>
      </c>
      <c r="S193" s="6" t="e">
        <f>#REF!</f>
        <v>#REF!</v>
      </c>
      <c r="T193" s="6" t="e">
        <f>#REF!</f>
        <v>#REF!</v>
      </c>
      <c r="U193" s="6" t="e">
        <f>#REF!</f>
        <v>#REF!</v>
      </c>
      <c r="V193" s="6" t="e">
        <f>#REF!</f>
        <v>#REF!</v>
      </c>
      <c r="W193" s="6" t="e">
        <f>#REF!</f>
        <v>#REF!</v>
      </c>
      <c r="X193" s="6" t="e">
        <f>#REF!</f>
        <v>#REF!</v>
      </c>
      <c r="Y193" s="6" t="e">
        <f>#REF!</f>
        <v>#REF!</v>
      </c>
      <c r="Z193" s="6" t="e">
        <f>#REF!</f>
        <v>#REF!</v>
      </c>
      <c r="AA193" s="6" t="e">
        <f>#REF!</f>
        <v>#REF!</v>
      </c>
      <c r="AB193" s="6" t="e">
        <f>#REF!</f>
        <v>#REF!</v>
      </c>
      <c r="AC193" s="6" t="e">
        <f>#REF!</f>
        <v>#REF!</v>
      </c>
      <c r="AD193" s="6" t="e">
        <f>#REF!</f>
        <v>#REF!</v>
      </c>
      <c r="AE193" s="6" t="e">
        <f>#REF!</f>
        <v>#REF!</v>
      </c>
      <c r="AF193" s="6" t="e">
        <f>#REF!</f>
        <v>#REF!</v>
      </c>
      <c r="AG193" s="6" t="e">
        <f>#REF!</f>
        <v>#REF!</v>
      </c>
      <c r="AH193" s="6" t="e">
        <f>#REF!</f>
        <v>#REF!</v>
      </c>
      <c r="AI193" s="6" t="e">
        <f>#REF!</f>
        <v>#REF!</v>
      </c>
      <c r="AJ193" s="6" t="e">
        <f>#REF!</f>
        <v>#REF!</v>
      </c>
      <c r="AK193" s="6" t="e">
        <f>#REF!</f>
        <v>#REF!</v>
      </c>
      <c r="AL193" s="6" t="e">
        <f>#REF!</f>
        <v>#REF!</v>
      </c>
    </row>
    <row r="194" spans="1:38" x14ac:dyDescent="0.25">
      <c r="A194" s="68" t="s">
        <v>431</v>
      </c>
      <c r="B194" s="126" t="e">
        <f>VLOOKUP(A194,$A$2:$AL$285,MATCH('Character Sheet'!$BJ$3,$A$1:$AL$1,0),FALSE)</f>
        <v>#REF!</v>
      </c>
      <c r="C194" s="6" t="e">
        <f>#REF!</f>
        <v>#REF!</v>
      </c>
      <c r="D194" s="6" t="e">
        <f>#REF!</f>
        <v>#REF!</v>
      </c>
      <c r="E194" s="6" t="e">
        <f>#REF!</f>
        <v>#REF!</v>
      </c>
      <c r="F194" s="6" t="e">
        <f>#REF!</f>
        <v>#REF!</v>
      </c>
      <c r="G194" s="6" t="e">
        <f>#REF!</f>
        <v>#REF!</v>
      </c>
      <c r="H194" s="6" t="e">
        <f>#REF!</f>
        <v>#REF!</v>
      </c>
      <c r="I194" s="6" t="e">
        <f>#REF!</f>
        <v>#REF!</v>
      </c>
      <c r="J194" s="6" t="e">
        <f>#REF!</f>
        <v>#REF!</v>
      </c>
      <c r="K194" s="6" t="e">
        <f>#REF!</f>
        <v>#REF!</v>
      </c>
      <c r="L194" s="6" t="e">
        <f>#REF!</f>
        <v>#REF!</v>
      </c>
      <c r="M194" s="6" t="e">
        <f>#REF!</f>
        <v>#REF!</v>
      </c>
      <c r="N194" s="6" t="e">
        <f>#REF!</f>
        <v>#REF!</v>
      </c>
      <c r="O194" s="6" t="e">
        <f>#REF!</f>
        <v>#REF!</v>
      </c>
      <c r="P194" s="6" t="e">
        <f>#REF!</f>
        <v>#REF!</v>
      </c>
      <c r="Q194" s="6" t="e">
        <f>#REF!</f>
        <v>#REF!</v>
      </c>
      <c r="R194" s="6" t="e">
        <f>#REF!</f>
        <v>#REF!</v>
      </c>
      <c r="S194" s="6" t="e">
        <f>#REF!</f>
        <v>#REF!</v>
      </c>
      <c r="T194" s="6" t="e">
        <f>#REF!</f>
        <v>#REF!</v>
      </c>
      <c r="U194" s="6" t="e">
        <f>#REF!</f>
        <v>#REF!</v>
      </c>
      <c r="V194" s="6" t="e">
        <f>#REF!</f>
        <v>#REF!</v>
      </c>
      <c r="W194" s="6" t="e">
        <f>#REF!</f>
        <v>#REF!</v>
      </c>
      <c r="X194" s="6" t="e">
        <f>#REF!</f>
        <v>#REF!</v>
      </c>
      <c r="Y194" s="6" t="e">
        <f>#REF!</f>
        <v>#REF!</v>
      </c>
      <c r="Z194" s="6" t="e">
        <f>#REF!</f>
        <v>#REF!</v>
      </c>
      <c r="AA194" s="6" t="e">
        <f>#REF!</f>
        <v>#REF!</v>
      </c>
      <c r="AB194" s="6" t="e">
        <f>#REF!</f>
        <v>#REF!</v>
      </c>
      <c r="AC194" s="6" t="e">
        <f>#REF!</f>
        <v>#REF!</v>
      </c>
      <c r="AD194" s="6" t="e">
        <f>#REF!</f>
        <v>#REF!</v>
      </c>
      <c r="AE194" s="6" t="e">
        <f>#REF!</f>
        <v>#REF!</v>
      </c>
      <c r="AF194" s="6" t="e">
        <f>#REF!</f>
        <v>#REF!</v>
      </c>
      <c r="AG194" s="6" t="e">
        <f>#REF!</f>
        <v>#REF!</v>
      </c>
      <c r="AH194" s="6" t="e">
        <f>#REF!</f>
        <v>#REF!</v>
      </c>
      <c r="AI194" s="6" t="e">
        <f>#REF!</f>
        <v>#REF!</v>
      </c>
      <c r="AJ194" s="6" t="e">
        <f>#REF!</f>
        <v>#REF!</v>
      </c>
      <c r="AK194" s="6" t="e">
        <f>#REF!</f>
        <v>#REF!</v>
      </c>
      <c r="AL194" s="6" t="e">
        <f>#REF!</f>
        <v>#REF!</v>
      </c>
    </row>
    <row r="195" spans="1:38" x14ac:dyDescent="0.25">
      <c r="A195" s="68" t="s">
        <v>432</v>
      </c>
      <c r="B195" s="126" t="e">
        <f>VLOOKUP(A195,$A$2:$AL$285,MATCH('Character Sheet'!$BJ$3,$A$1:$AL$1,0),FALSE)</f>
        <v>#REF!</v>
      </c>
      <c r="C195" s="6" t="e">
        <f>#REF!</f>
        <v>#REF!</v>
      </c>
      <c r="D195" s="6" t="e">
        <f>#REF!</f>
        <v>#REF!</v>
      </c>
      <c r="E195" s="6" t="e">
        <f>#REF!</f>
        <v>#REF!</v>
      </c>
      <c r="F195" s="6" t="e">
        <f>#REF!</f>
        <v>#REF!</v>
      </c>
      <c r="G195" s="6" t="e">
        <f>#REF!</f>
        <v>#REF!</v>
      </c>
      <c r="H195" s="6" t="e">
        <f>#REF!</f>
        <v>#REF!</v>
      </c>
      <c r="I195" s="6" t="e">
        <f>#REF!</f>
        <v>#REF!</v>
      </c>
      <c r="J195" s="6" t="e">
        <f>#REF!</f>
        <v>#REF!</v>
      </c>
      <c r="K195" s="6" t="e">
        <f>#REF!</f>
        <v>#REF!</v>
      </c>
      <c r="L195" s="6" t="e">
        <f>#REF!</f>
        <v>#REF!</v>
      </c>
      <c r="M195" s="6" t="e">
        <f>#REF!</f>
        <v>#REF!</v>
      </c>
      <c r="N195" s="6" t="e">
        <f>#REF!</f>
        <v>#REF!</v>
      </c>
      <c r="O195" s="6" t="e">
        <f>#REF!</f>
        <v>#REF!</v>
      </c>
      <c r="P195" s="6" t="e">
        <f>#REF!</f>
        <v>#REF!</v>
      </c>
      <c r="Q195" s="6" t="e">
        <f>#REF!</f>
        <v>#REF!</v>
      </c>
      <c r="R195" s="6" t="e">
        <f>#REF!</f>
        <v>#REF!</v>
      </c>
      <c r="S195" s="6" t="e">
        <f>#REF!</f>
        <v>#REF!</v>
      </c>
      <c r="T195" s="6" t="e">
        <f>#REF!</f>
        <v>#REF!</v>
      </c>
      <c r="U195" s="6" t="e">
        <f>#REF!</f>
        <v>#REF!</v>
      </c>
      <c r="V195" s="6" t="e">
        <f>#REF!</f>
        <v>#REF!</v>
      </c>
      <c r="W195" s="6" t="e">
        <f>#REF!</f>
        <v>#REF!</v>
      </c>
      <c r="X195" s="6" t="e">
        <f>#REF!</f>
        <v>#REF!</v>
      </c>
      <c r="Y195" s="6" t="e">
        <f>#REF!</f>
        <v>#REF!</v>
      </c>
      <c r="Z195" s="6" t="e">
        <f>#REF!</f>
        <v>#REF!</v>
      </c>
      <c r="AA195" s="6" t="e">
        <f>#REF!</f>
        <v>#REF!</v>
      </c>
      <c r="AB195" s="6" t="e">
        <f>#REF!</f>
        <v>#REF!</v>
      </c>
      <c r="AC195" s="6" t="e">
        <f>#REF!</f>
        <v>#REF!</v>
      </c>
      <c r="AD195" s="6" t="e">
        <f>#REF!</f>
        <v>#REF!</v>
      </c>
      <c r="AE195" s="6" t="e">
        <f>#REF!</f>
        <v>#REF!</v>
      </c>
      <c r="AF195" s="6" t="e">
        <f>#REF!</f>
        <v>#REF!</v>
      </c>
      <c r="AG195" s="6" t="e">
        <f>#REF!</f>
        <v>#REF!</v>
      </c>
      <c r="AH195" s="6" t="e">
        <f>#REF!</f>
        <v>#REF!</v>
      </c>
      <c r="AI195" s="6" t="e">
        <f>#REF!</f>
        <v>#REF!</v>
      </c>
      <c r="AJ195" s="6" t="e">
        <f>#REF!</f>
        <v>#REF!</v>
      </c>
      <c r="AK195" s="6" t="e">
        <f>#REF!</f>
        <v>#REF!</v>
      </c>
      <c r="AL195" s="6" t="e">
        <f>#REF!</f>
        <v>#REF!</v>
      </c>
    </row>
    <row r="196" spans="1:38" x14ac:dyDescent="0.25">
      <c r="A196" s="68" t="s">
        <v>433</v>
      </c>
      <c r="B196" s="126" t="e">
        <f>VLOOKUP(A196,$A$2:$AL$285,MATCH('Character Sheet'!$BJ$3,$A$1:$AL$1,0),FALSE)</f>
        <v>#REF!</v>
      </c>
      <c r="C196" s="6" t="e">
        <f>#REF!</f>
        <v>#REF!</v>
      </c>
      <c r="D196" s="6" t="e">
        <f>#REF!</f>
        <v>#REF!</v>
      </c>
      <c r="E196" s="6" t="e">
        <f>#REF!</f>
        <v>#REF!</v>
      </c>
      <c r="F196" s="6" t="e">
        <f>#REF!</f>
        <v>#REF!</v>
      </c>
      <c r="G196" s="6" t="e">
        <f>#REF!</f>
        <v>#REF!</v>
      </c>
      <c r="H196" s="6" t="e">
        <f>#REF!</f>
        <v>#REF!</v>
      </c>
      <c r="I196" s="6" t="e">
        <f>#REF!</f>
        <v>#REF!</v>
      </c>
      <c r="J196" s="6" t="e">
        <f>#REF!</f>
        <v>#REF!</v>
      </c>
      <c r="K196" s="6" t="e">
        <f>#REF!</f>
        <v>#REF!</v>
      </c>
      <c r="L196" s="6" t="e">
        <f>#REF!</f>
        <v>#REF!</v>
      </c>
      <c r="M196" s="6" t="e">
        <f>#REF!</f>
        <v>#REF!</v>
      </c>
      <c r="N196" s="6" t="e">
        <f>#REF!</f>
        <v>#REF!</v>
      </c>
      <c r="O196" s="6" t="e">
        <f>#REF!</f>
        <v>#REF!</v>
      </c>
      <c r="P196" s="6" t="e">
        <f>#REF!</f>
        <v>#REF!</v>
      </c>
      <c r="Q196" s="6" t="e">
        <f>#REF!</f>
        <v>#REF!</v>
      </c>
      <c r="R196" s="6" t="e">
        <f>#REF!</f>
        <v>#REF!</v>
      </c>
      <c r="S196" s="6" t="e">
        <f>#REF!</f>
        <v>#REF!</v>
      </c>
      <c r="T196" s="6" t="e">
        <f>#REF!</f>
        <v>#REF!</v>
      </c>
      <c r="U196" s="6" t="e">
        <f>#REF!</f>
        <v>#REF!</v>
      </c>
      <c r="V196" s="6" t="e">
        <f>#REF!</f>
        <v>#REF!</v>
      </c>
      <c r="W196" s="6" t="e">
        <f>#REF!</f>
        <v>#REF!</v>
      </c>
      <c r="X196" s="6" t="e">
        <f>#REF!</f>
        <v>#REF!</v>
      </c>
      <c r="Y196" s="6" t="e">
        <f>#REF!</f>
        <v>#REF!</v>
      </c>
      <c r="Z196" s="6" t="e">
        <f>#REF!</f>
        <v>#REF!</v>
      </c>
      <c r="AA196" s="6" t="e">
        <f>#REF!</f>
        <v>#REF!</v>
      </c>
      <c r="AB196" s="6" t="e">
        <f>#REF!</f>
        <v>#REF!</v>
      </c>
      <c r="AC196" s="6" t="e">
        <f>#REF!</f>
        <v>#REF!</v>
      </c>
      <c r="AD196" s="6" t="e">
        <f>#REF!</f>
        <v>#REF!</v>
      </c>
      <c r="AE196" s="6" t="e">
        <f>#REF!</f>
        <v>#REF!</v>
      </c>
      <c r="AF196" s="6" t="e">
        <f>#REF!</f>
        <v>#REF!</v>
      </c>
      <c r="AG196" s="6" t="e">
        <f>#REF!</f>
        <v>#REF!</v>
      </c>
      <c r="AH196" s="6" t="e">
        <f>#REF!</f>
        <v>#REF!</v>
      </c>
      <c r="AI196" s="6" t="e">
        <f>#REF!</f>
        <v>#REF!</v>
      </c>
      <c r="AJ196" s="6" t="e">
        <f>#REF!</f>
        <v>#REF!</v>
      </c>
      <c r="AK196" s="6" t="e">
        <f>#REF!</f>
        <v>#REF!</v>
      </c>
      <c r="AL196" s="6" t="e">
        <f>#REF!</f>
        <v>#REF!</v>
      </c>
    </row>
    <row r="197" spans="1:38" x14ac:dyDescent="0.25">
      <c r="A197" s="68" t="s">
        <v>434</v>
      </c>
      <c r="B197" s="126" t="e">
        <f>VLOOKUP(A197,$A$2:$AL$285,MATCH('Character Sheet'!$BJ$3,$A$1:$AL$1,0),FALSE)</f>
        <v>#REF!</v>
      </c>
      <c r="C197" s="6" t="e">
        <f>#REF!</f>
        <v>#REF!</v>
      </c>
      <c r="D197" s="6" t="e">
        <f>#REF!</f>
        <v>#REF!</v>
      </c>
      <c r="E197" s="6" t="e">
        <f>#REF!</f>
        <v>#REF!</v>
      </c>
      <c r="F197" s="6" t="e">
        <f>#REF!</f>
        <v>#REF!</v>
      </c>
      <c r="G197" s="6" t="e">
        <f>#REF!</f>
        <v>#REF!</v>
      </c>
      <c r="H197" s="6" t="e">
        <f>#REF!</f>
        <v>#REF!</v>
      </c>
      <c r="I197" s="6" t="e">
        <f>#REF!</f>
        <v>#REF!</v>
      </c>
      <c r="J197" s="6" t="e">
        <f>#REF!</f>
        <v>#REF!</v>
      </c>
      <c r="K197" s="6" t="e">
        <f>#REF!</f>
        <v>#REF!</v>
      </c>
      <c r="L197" s="6" t="e">
        <f>#REF!</f>
        <v>#REF!</v>
      </c>
      <c r="M197" s="6" t="e">
        <f>#REF!</f>
        <v>#REF!</v>
      </c>
      <c r="N197" s="6" t="e">
        <f>#REF!</f>
        <v>#REF!</v>
      </c>
      <c r="O197" s="6" t="e">
        <f>#REF!</f>
        <v>#REF!</v>
      </c>
      <c r="P197" s="6" t="e">
        <f>#REF!</f>
        <v>#REF!</v>
      </c>
      <c r="Q197" s="6" t="e">
        <f>#REF!</f>
        <v>#REF!</v>
      </c>
      <c r="R197" s="6" t="e">
        <f>#REF!</f>
        <v>#REF!</v>
      </c>
      <c r="S197" s="6" t="e">
        <f>#REF!</f>
        <v>#REF!</v>
      </c>
      <c r="T197" s="6" t="e">
        <f>#REF!</f>
        <v>#REF!</v>
      </c>
      <c r="U197" s="6" t="e">
        <f>#REF!</f>
        <v>#REF!</v>
      </c>
      <c r="V197" s="6" t="e">
        <f>#REF!</f>
        <v>#REF!</v>
      </c>
      <c r="W197" s="6" t="e">
        <f>#REF!</f>
        <v>#REF!</v>
      </c>
      <c r="X197" s="6" t="e">
        <f>#REF!</f>
        <v>#REF!</v>
      </c>
      <c r="Y197" s="6" t="e">
        <f>#REF!</f>
        <v>#REF!</v>
      </c>
      <c r="Z197" s="6" t="e">
        <f>#REF!</f>
        <v>#REF!</v>
      </c>
      <c r="AA197" s="6" t="e">
        <f>#REF!</f>
        <v>#REF!</v>
      </c>
      <c r="AB197" s="6" t="e">
        <f>#REF!</f>
        <v>#REF!</v>
      </c>
      <c r="AC197" s="6" t="e">
        <f>#REF!</f>
        <v>#REF!</v>
      </c>
      <c r="AD197" s="6" t="e">
        <f>#REF!</f>
        <v>#REF!</v>
      </c>
      <c r="AE197" s="6" t="e">
        <f>#REF!</f>
        <v>#REF!</v>
      </c>
      <c r="AF197" s="6" t="e">
        <f>#REF!</f>
        <v>#REF!</v>
      </c>
      <c r="AG197" s="6" t="e">
        <f>#REF!</f>
        <v>#REF!</v>
      </c>
      <c r="AH197" s="6" t="e">
        <f>#REF!</f>
        <v>#REF!</v>
      </c>
      <c r="AI197" s="6" t="e">
        <f>#REF!</f>
        <v>#REF!</v>
      </c>
      <c r="AJ197" s="6" t="e">
        <f>#REF!</f>
        <v>#REF!</v>
      </c>
      <c r="AK197" s="6" t="e">
        <f>#REF!</f>
        <v>#REF!</v>
      </c>
      <c r="AL197" s="6" t="e">
        <f>#REF!</f>
        <v>#REF!</v>
      </c>
    </row>
    <row r="198" spans="1:38" x14ac:dyDescent="0.25">
      <c r="A198" s="68" t="s">
        <v>435</v>
      </c>
      <c r="B198" s="126" t="e">
        <f>VLOOKUP(A198,$A$2:$AL$285,MATCH('Character Sheet'!$BJ$3,$A$1:$AL$1,0),FALSE)</f>
        <v>#REF!</v>
      </c>
      <c r="C198" s="6" t="e">
        <f>#REF!</f>
        <v>#REF!</v>
      </c>
      <c r="D198" s="6" t="e">
        <f>#REF!</f>
        <v>#REF!</v>
      </c>
      <c r="E198" s="6" t="e">
        <f>#REF!</f>
        <v>#REF!</v>
      </c>
      <c r="F198" s="6" t="e">
        <f>#REF!</f>
        <v>#REF!</v>
      </c>
      <c r="G198" s="6" t="e">
        <f>#REF!</f>
        <v>#REF!</v>
      </c>
      <c r="H198" s="6" t="e">
        <f>#REF!</f>
        <v>#REF!</v>
      </c>
      <c r="I198" s="6" t="e">
        <f>#REF!</f>
        <v>#REF!</v>
      </c>
      <c r="J198" s="6" t="e">
        <f>#REF!</f>
        <v>#REF!</v>
      </c>
      <c r="K198" s="6" t="e">
        <f>#REF!</f>
        <v>#REF!</v>
      </c>
      <c r="L198" s="6" t="e">
        <f>#REF!</f>
        <v>#REF!</v>
      </c>
      <c r="M198" s="6" t="e">
        <f>#REF!</f>
        <v>#REF!</v>
      </c>
      <c r="N198" s="6" t="e">
        <f>#REF!</f>
        <v>#REF!</v>
      </c>
      <c r="O198" s="6" t="e">
        <f>#REF!</f>
        <v>#REF!</v>
      </c>
      <c r="P198" s="6" t="e">
        <f>#REF!</f>
        <v>#REF!</v>
      </c>
      <c r="Q198" s="6" t="e">
        <f>#REF!</f>
        <v>#REF!</v>
      </c>
      <c r="R198" s="6" t="e">
        <f>#REF!</f>
        <v>#REF!</v>
      </c>
      <c r="S198" s="6" t="e">
        <f>#REF!</f>
        <v>#REF!</v>
      </c>
      <c r="T198" s="6" t="e">
        <f>#REF!</f>
        <v>#REF!</v>
      </c>
      <c r="U198" s="6" t="e">
        <f>#REF!</f>
        <v>#REF!</v>
      </c>
      <c r="V198" s="6" t="e">
        <f>#REF!</f>
        <v>#REF!</v>
      </c>
      <c r="W198" s="6" t="e">
        <f>#REF!</f>
        <v>#REF!</v>
      </c>
      <c r="X198" s="6" t="e">
        <f>#REF!</f>
        <v>#REF!</v>
      </c>
      <c r="Y198" s="6" t="e">
        <f>#REF!</f>
        <v>#REF!</v>
      </c>
      <c r="Z198" s="6" t="e">
        <f>#REF!</f>
        <v>#REF!</v>
      </c>
      <c r="AA198" s="6" t="e">
        <f>#REF!</f>
        <v>#REF!</v>
      </c>
      <c r="AB198" s="6" t="e">
        <f>#REF!</f>
        <v>#REF!</v>
      </c>
      <c r="AC198" s="6" t="e">
        <f>#REF!</f>
        <v>#REF!</v>
      </c>
      <c r="AD198" s="6" t="e">
        <f>#REF!</f>
        <v>#REF!</v>
      </c>
      <c r="AE198" s="6" t="e">
        <f>#REF!</f>
        <v>#REF!</v>
      </c>
      <c r="AF198" s="6" t="e">
        <f>#REF!</f>
        <v>#REF!</v>
      </c>
      <c r="AG198" s="6" t="e">
        <f>#REF!</f>
        <v>#REF!</v>
      </c>
      <c r="AH198" s="6" t="e">
        <f>#REF!</f>
        <v>#REF!</v>
      </c>
      <c r="AI198" s="6" t="e">
        <f>#REF!</f>
        <v>#REF!</v>
      </c>
      <c r="AJ198" s="6" t="e">
        <f>#REF!</f>
        <v>#REF!</v>
      </c>
      <c r="AK198" s="6" t="e">
        <f>#REF!</f>
        <v>#REF!</v>
      </c>
      <c r="AL198" s="6" t="e">
        <f>#REF!</f>
        <v>#REF!</v>
      </c>
    </row>
    <row r="199" spans="1:38" x14ac:dyDescent="0.25">
      <c r="A199" s="68" t="s">
        <v>436</v>
      </c>
      <c r="B199" s="126" t="e">
        <f>VLOOKUP(A199,$A$2:$AL$285,MATCH('Character Sheet'!$BJ$3,$A$1:$AL$1,0),FALSE)</f>
        <v>#REF!</v>
      </c>
      <c r="C199" s="6" t="e">
        <f>#REF!</f>
        <v>#REF!</v>
      </c>
      <c r="D199" s="6" t="e">
        <f>#REF!</f>
        <v>#REF!</v>
      </c>
      <c r="E199" s="6" t="e">
        <f>#REF!</f>
        <v>#REF!</v>
      </c>
      <c r="F199" s="6" t="e">
        <f>#REF!</f>
        <v>#REF!</v>
      </c>
      <c r="G199" s="6" t="e">
        <f>#REF!</f>
        <v>#REF!</v>
      </c>
      <c r="H199" s="6" t="e">
        <f>#REF!</f>
        <v>#REF!</v>
      </c>
      <c r="I199" s="6" t="e">
        <f>#REF!</f>
        <v>#REF!</v>
      </c>
      <c r="J199" s="6" t="e">
        <f>#REF!</f>
        <v>#REF!</v>
      </c>
      <c r="K199" s="6" t="e">
        <f>#REF!</f>
        <v>#REF!</v>
      </c>
      <c r="L199" s="6" t="e">
        <f>#REF!</f>
        <v>#REF!</v>
      </c>
      <c r="M199" s="6" t="e">
        <f>#REF!</f>
        <v>#REF!</v>
      </c>
      <c r="N199" s="6" t="e">
        <f>#REF!</f>
        <v>#REF!</v>
      </c>
      <c r="O199" s="6" t="e">
        <f>#REF!</f>
        <v>#REF!</v>
      </c>
      <c r="P199" s="6" t="e">
        <f>#REF!</f>
        <v>#REF!</v>
      </c>
      <c r="Q199" s="6" t="e">
        <f>#REF!</f>
        <v>#REF!</v>
      </c>
      <c r="R199" s="6" t="e">
        <f>#REF!</f>
        <v>#REF!</v>
      </c>
      <c r="S199" s="6" t="e">
        <f>#REF!</f>
        <v>#REF!</v>
      </c>
      <c r="T199" s="6" t="e">
        <f>#REF!</f>
        <v>#REF!</v>
      </c>
      <c r="U199" s="6" t="e">
        <f>#REF!</f>
        <v>#REF!</v>
      </c>
      <c r="V199" s="6" t="e">
        <f>#REF!</f>
        <v>#REF!</v>
      </c>
      <c r="W199" s="6" t="e">
        <f>#REF!</f>
        <v>#REF!</v>
      </c>
      <c r="X199" s="6" t="e">
        <f>#REF!</f>
        <v>#REF!</v>
      </c>
      <c r="Y199" s="6" t="e">
        <f>#REF!</f>
        <v>#REF!</v>
      </c>
      <c r="Z199" s="6" t="e">
        <f>#REF!</f>
        <v>#REF!</v>
      </c>
      <c r="AA199" s="6" t="e">
        <f>#REF!</f>
        <v>#REF!</v>
      </c>
      <c r="AB199" s="6" t="e">
        <f>#REF!</f>
        <v>#REF!</v>
      </c>
      <c r="AC199" s="6" t="e">
        <f>#REF!</f>
        <v>#REF!</v>
      </c>
      <c r="AD199" s="6" t="e">
        <f>#REF!</f>
        <v>#REF!</v>
      </c>
      <c r="AE199" s="6" t="e">
        <f>#REF!</f>
        <v>#REF!</v>
      </c>
      <c r="AF199" s="6" t="e">
        <f>#REF!</f>
        <v>#REF!</v>
      </c>
      <c r="AG199" s="6" t="e">
        <f>#REF!</f>
        <v>#REF!</v>
      </c>
      <c r="AH199" s="6" t="e">
        <f>#REF!</f>
        <v>#REF!</v>
      </c>
      <c r="AI199" s="6" t="e">
        <f>#REF!</f>
        <v>#REF!</v>
      </c>
      <c r="AJ199" s="6" t="e">
        <f>#REF!</f>
        <v>#REF!</v>
      </c>
      <c r="AK199" s="6" t="e">
        <f>#REF!</f>
        <v>#REF!</v>
      </c>
      <c r="AL199" s="6" t="e">
        <f>#REF!</f>
        <v>#REF!</v>
      </c>
    </row>
    <row r="200" spans="1:38" x14ac:dyDescent="0.25">
      <c r="A200" s="68" t="s">
        <v>437</v>
      </c>
      <c r="B200" s="126" t="e">
        <f>VLOOKUP(A200,$A$2:$AL$285,MATCH('Character Sheet'!$BJ$3,$A$1:$AL$1,0),FALSE)</f>
        <v>#REF!</v>
      </c>
      <c r="C200" s="6" t="e">
        <f>#REF!</f>
        <v>#REF!</v>
      </c>
      <c r="D200" s="6" t="e">
        <f>#REF!</f>
        <v>#REF!</v>
      </c>
      <c r="E200" s="6" t="e">
        <f>#REF!</f>
        <v>#REF!</v>
      </c>
      <c r="F200" s="6" t="e">
        <f>#REF!</f>
        <v>#REF!</v>
      </c>
      <c r="G200" s="6" t="e">
        <f>#REF!</f>
        <v>#REF!</v>
      </c>
      <c r="H200" s="6" t="e">
        <f>#REF!</f>
        <v>#REF!</v>
      </c>
      <c r="I200" s="6" t="e">
        <f>#REF!</f>
        <v>#REF!</v>
      </c>
      <c r="J200" s="6" t="e">
        <f>#REF!</f>
        <v>#REF!</v>
      </c>
      <c r="K200" s="6" t="e">
        <f>#REF!</f>
        <v>#REF!</v>
      </c>
      <c r="L200" s="6" t="e">
        <f>#REF!</f>
        <v>#REF!</v>
      </c>
      <c r="M200" s="6" t="e">
        <f>#REF!</f>
        <v>#REF!</v>
      </c>
      <c r="N200" s="6" t="e">
        <f>#REF!</f>
        <v>#REF!</v>
      </c>
      <c r="O200" s="6" t="e">
        <f>#REF!</f>
        <v>#REF!</v>
      </c>
      <c r="P200" s="6" t="e">
        <f>#REF!</f>
        <v>#REF!</v>
      </c>
      <c r="Q200" s="6" t="e">
        <f>#REF!</f>
        <v>#REF!</v>
      </c>
      <c r="R200" s="6" t="e">
        <f>#REF!</f>
        <v>#REF!</v>
      </c>
      <c r="S200" s="6" t="e">
        <f>#REF!</f>
        <v>#REF!</v>
      </c>
      <c r="T200" s="6" t="e">
        <f>#REF!</f>
        <v>#REF!</v>
      </c>
      <c r="U200" s="6" t="e">
        <f>#REF!</f>
        <v>#REF!</v>
      </c>
      <c r="V200" s="6" t="e">
        <f>#REF!</f>
        <v>#REF!</v>
      </c>
      <c r="W200" s="6" t="e">
        <f>#REF!</f>
        <v>#REF!</v>
      </c>
      <c r="X200" s="6" t="e">
        <f>#REF!</f>
        <v>#REF!</v>
      </c>
      <c r="Y200" s="6" t="e">
        <f>#REF!</f>
        <v>#REF!</v>
      </c>
      <c r="Z200" s="6" t="e">
        <f>#REF!</f>
        <v>#REF!</v>
      </c>
      <c r="AA200" s="6" t="e">
        <f>#REF!</f>
        <v>#REF!</v>
      </c>
      <c r="AB200" s="6" t="e">
        <f>#REF!</f>
        <v>#REF!</v>
      </c>
      <c r="AC200" s="6" t="e">
        <f>#REF!</f>
        <v>#REF!</v>
      </c>
      <c r="AD200" s="6" t="e">
        <f>#REF!</f>
        <v>#REF!</v>
      </c>
      <c r="AE200" s="6" t="e">
        <f>#REF!</f>
        <v>#REF!</v>
      </c>
      <c r="AF200" s="6" t="e">
        <f>#REF!</f>
        <v>#REF!</v>
      </c>
      <c r="AG200" s="6" t="e">
        <f>#REF!</f>
        <v>#REF!</v>
      </c>
      <c r="AH200" s="6" t="e">
        <f>#REF!</f>
        <v>#REF!</v>
      </c>
      <c r="AI200" s="6" t="e">
        <f>#REF!</f>
        <v>#REF!</v>
      </c>
      <c r="AJ200" s="6" t="e">
        <f>#REF!</f>
        <v>#REF!</v>
      </c>
      <c r="AK200" s="6" t="e">
        <f>#REF!</f>
        <v>#REF!</v>
      </c>
      <c r="AL200" s="6" t="e">
        <f>#REF!</f>
        <v>#REF!</v>
      </c>
    </row>
    <row r="201" spans="1:38" x14ac:dyDescent="0.25">
      <c r="A201" s="68" t="s">
        <v>438</v>
      </c>
      <c r="B201" s="126" t="e">
        <f>VLOOKUP(A201,$A$2:$AL$285,MATCH('Character Sheet'!$BJ$3,$A$1:$AL$1,0),FALSE)</f>
        <v>#REF!</v>
      </c>
      <c r="C201" s="6" t="e">
        <f>#REF!</f>
        <v>#REF!</v>
      </c>
      <c r="D201" s="6" t="e">
        <f>#REF!</f>
        <v>#REF!</v>
      </c>
      <c r="E201" s="6" t="e">
        <f>#REF!</f>
        <v>#REF!</v>
      </c>
      <c r="F201" s="6" t="e">
        <f>#REF!</f>
        <v>#REF!</v>
      </c>
      <c r="G201" s="6" t="e">
        <f>#REF!</f>
        <v>#REF!</v>
      </c>
      <c r="H201" s="6" t="e">
        <f>#REF!</f>
        <v>#REF!</v>
      </c>
      <c r="I201" s="6" t="e">
        <f>#REF!</f>
        <v>#REF!</v>
      </c>
      <c r="J201" s="6" t="e">
        <f>#REF!</f>
        <v>#REF!</v>
      </c>
      <c r="K201" s="6" t="e">
        <f>#REF!</f>
        <v>#REF!</v>
      </c>
      <c r="L201" s="6" t="e">
        <f>#REF!</f>
        <v>#REF!</v>
      </c>
      <c r="M201" s="6" t="e">
        <f>#REF!</f>
        <v>#REF!</v>
      </c>
      <c r="N201" s="6" t="e">
        <f>#REF!</f>
        <v>#REF!</v>
      </c>
      <c r="O201" s="6" t="e">
        <f>#REF!</f>
        <v>#REF!</v>
      </c>
      <c r="P201" s="6" t="e">
        <f>#REF!</f>
        <v>#REF!</v>
      </c>
      <c r="Q201" s="6" t="e">
        <f>#REF!</f>
        <v>#REF!</v>
      </c>
      <c r="R201" s="6" t="e">
        <f>#REF!</f>
        <v>#REF!</v>
      </c>
      <c r="S201" s="6" t="e">
        <f>#REF!</f>
        <v>#REF!</v>
      </c>
      <c r="T201" s="6" t="e">
        <f>#REF!</f>
        <v>#REF!</v>
      </c>
      <c r="U201" s="6" t="e">
        <f>#REF!</f>
        <v>#REF!</v>
      </c>
      <c r="V201" s="6" t="e">
        <f>#REF!</f>
        <v>#REF!</v>
      </c>
      <c r="W201" s="6" t="e">
        <f>#REF!</f>
        <v>#REF!</v>
      </c>
      <c r="X201" s="6" t="e">
        <f>#REF!</f>
        <v>#REF!</v>
      </c>
      <c r="Y201" s="6" t="e">
        <f>#REF!</f>
        <v>#REF!</v>
      </c>
      <c r="Z201" s="6" t="e">
        <f>#REF!</f>
        <v>#REF!</v>
      </c>
      <c r="AA201" s="6" t="e">
        <f>#REF!</f>
        <v>#REF!</v>
      </c>
      <c r="AB201" s="6" t="e">
        <f>#REF!</f>
        <v>#REF!</v>
      </c>
      <c r="AC201" s="6" t="e">
        <f>#REF!</f>
        <v>#REF!</v>
      </c>
      <c r="AD201" s="6" t="e">
        <f>#REF!</f>
        <v>#REF!</v>
      </c>
      <c r="AE201" s="6" t="e">
        <f>#REF!</f>
        <v>#REF!</v>
      </c>
      <c r="AF201" s="6" t="e">
        <f>#REF!</f>
        <v>#REF!</v>
      </c>
      <c r="AG201" s="6" t="e">
        <f>#REF!</f>
        <v>#REF!</v>
      </c>
      <c r="AH201" s="6" t="e">
        <f>#REF!</f>
        <v>#REF!</v>
      </c>
      <c r="AI201" s="6" t="e">
        <f>#REF!</f>
        <v>#REF!</v>
      </c>
      <c r="AJ201" s="6" t="e">
        <f>#REF!</f>
        <v>#REF!</v>
      </c>
      <c r="AK201" s="6" t="e">
        <f>#REF!</f>
        <v>#REF!</v>
      </c>
      <c r="AL201" s="6" t="e">
        <f>#REF!</f>
        <v>#REF!</v>
      </c>
    </row>
    <row r="202" spans="1:38" x14ac:dyDescent="0.25">
      <c r="A202" s="68" t="s">
        <v>439</v>
      </c>
      <c r="B202" s="126" t="e">
        <f>VLOOKUP(A202,$A$2:$AL$285,MATCH('Character Sheet'!$BJ$3,$A$1:$AL$1,0),FALSE)</f>
        <v>#REF!</v>
      </c>
      <c r="C202" s="6" t="e">
        <f>#REF!</f>
        <v>#REF!</v>
      </c>
      <c r="D202" s="6" t="e">
        <f>#REF!</f>
        <v>#REF!</v>
      </c>
      <c r="E202" s="6" t="e">
        <f>#REF!</f>
        <v>#REF!</v>
      </c>
      <c r="F202" s="6" t="e">
        <f>#REF!</f>
        <v>#REF!</v>
      </c>
      <c r="G202" s="6" t="e">
        <f>#REF!</f>
        <v>#REF!</v>
      </c>
      <c r="H202" s="6" t="e">
        <f>#REF!</f>
        <v>#REF!</v>
      </c>
      <c r="I202" s="6" t="e">
        <f>#REF!</f>
        <v>#REF!</v>
      </c>
      <c r="J202" s="6" t="e">
        <f>#REF!</f>
        <v>#REF!</v>
      </c>
      <c r="K202" s="6" t="e">
        <f>#REF!</f>
        <v>#REF!</v>
      </c>
      <c r="L202" s="6" t="e">
        <f>#REF!</f>
        <v>#REF!</v>
      </c>
      <c r="M202" s="6" t="e">
        <f>#REF!</f>
        <v>#REF!</v>
      </c>
      <c r="N202" s="6" t="e">
        <f>#REF!</f>
        <v>#REF!</v>
      </c>
      <c r="O202" s="6" t="e">
        <f>#REF!</f>
        <v>#REF!</v>
      </c>
      <c r="P202" s="6" t="e">
        <f>#REF!</f>
        <v>#REF!</v>
      </c>
      <c r="Q202" s="6" t="e">
        <f>#REF!</f>
        <v>#REF!</v>
      </c>
      <c r="R202" s="6" t="e">
        <f>#REF!</f>
        <v>#REF!</v>
      </c>
      <c r="S202" s="6" t="e">
        <f>#REF!</f>
        <v>#REF!</v>
      </c>
      <c r="T202" s="6" t="e">
        <f>#REF!</f>
        <v>#REF!</v>
      </c>
      <c r="U202" s="6" t="e">
        <f>#REF!</f>
        <v>#REF!</v>
      </c>
      <c r="V202" s="6" t="e">
        <f>#REF!</f>
        <v>#REF!</v>
      </c>
      <c r="W202" s="6" t="e">
        <f>#REF!</f>
        <v>#REF!</v>
      </c>
      <c r="X202" s="6" t="e">
        <f>#REF!</f>
        <v>#REF!</v>
      </c>
      <c r="Y202" s="6" t="e">
        <f>#REF!</f>
        <v>#REF!</v>
      </c>
      <c r="Z202" s="6" t="e">
        <f>#REF!</f>
        <v>#REF!</v>
      </c>
      <c r="AA202" s="6" t="e">
        <f>#REF!</f>
        <v>#REF!</v>
      </c>
      <c r="AB202" s="6" t="e">
        <f>#REF!</f>
        <v>#REF!</v>
      </c>
      <c r="AC202" s="6" t="e">
        <f>#REF!</f>
        <v>#REF!</v>
      </c>
      <c r="AD202" s="6" t="e">
        <f>#REF!</f>
        <v>#REF!</v>
      </c>
      <c r="AE202" s="6" t="e">
        <f>#REF!</f>
        <v>#REF!</v>
      </c>
      <c r="AF202" s="6" t="e">
        <f>#REF!</f>
        <v>#REF!</v>
      </c>
      <c r="AG202" s="6" t="e">
        <f>#REF!</f>
        <v>#REF!</v>
      </c>
      <c r="AH202" s="6" t="e">
        <f>#REF!</f>
        <v>#REF!</v>
      </c>
      <c r="AI202" s="6" t="e">
        <f>#REF!</f>
        <v>#REF!</v>
      </c>
      <c r="AJ202" s="6" t="e">
        <f>#REF!</f>
        <v>#REF!</v>
      </c>
      <c r="AK202" s="6" t="e">
        <f>#REF!</f>
        <v>#REF!</v>
      </c>
      <c r="AL202" s="6" t="e">
        <f>#REF!</f>
        <v>#REF!</v>
      </c>
    </row>
    <row r="203" spans="1:38" x14ac:dyDescent="0.25">
      <c r="A203" s="68" t="s">
        <v>440</v>
      </c>
      <c r="B203" s="126" t="e">
        <f>VLOOKUP(A203,$A$2:$AL$285,MATCH('Character Sheet'!$BJ$3,$A$1:$AL$1,0),FALSE)</f>
        <v>#REF!</v>
      </c>
      <c r="C203" s="6" t="e">
        <f>#REF!</f>
        <v>#REF!</v>
      </c>
      <c r="D203" s="6" t="e">
        <f>#REF!</f>
        <v>#REF!</v>
      </c>
      <c r="E203" s="6" t="e">
        <f>#REF!</f>
        <v>#REF!</v>
      </c>
      <c r="F203" s="6" t="e">
        <f>#REF!</f>
        <v>#REF!</v>
      </c>
      <c r="G203" s="6" t="e">
        <f>#REF!</f>
        <v>#REF!</v>
      </c>
      <c r="H203" s="6" t="e">
        <f>#REF!</f>
        <v>#REF!</v>
      </c>
      <c r="I203" s="6" t="e">
        <f>#REF!</f>
        <v>#REF!</v>
      </c>
      <c r="J203" s="6" t="e">
        <f>#REF!</f>
        <v>#REF!</v>
      </c>
      <c r="K203" s="6" t="e">
        <f>#REF!</f>
        <v>#REF!</v>
      </c>
      <c r="L203" s="6" t="e">
        <f>#REF!</f>
        <v>#REF!</v>
      </c>
      <c r="M203" s="6" t="e">
        <f>#REF!</f>
        <v>#REF!</v>
      </c>
      <c r="N203" s="6" t="e">
        <f>#REF!</f>
        <v>#REF!</v>
      </c>
      <c r="O203" s="6" t="e">
        <f>#REF!</f>
        <v>#REF!</v>
      </c>
      <c r="P203" s="6" t="e">
        <f>#REF!</f>
        <v>#REF!</v>
      </c>
      <c r="Q203" s="6" t="e">
        <f>#REF!</f>
        <v>#REF!</v>
      </c>
      <c r="R203" s="6" t="e">
        <f>#REF!</f>
        <v>#REF!</v>
      </c>
      <c r="S203" s="6" t="e">
        <f>#REF!</f>
        <v>#REF!</v>
      </c>
      <c r="T203" s="6" t="e">
        <f>#REF!</f>
        <v>#REF!</v>
      </c>
      <c r="U203" s="6" t="e">
        <f>#REF!</f>
        <v>#REF!</v>
      </c>
      <c r="V203" s="6" t="e">
        <f>#REF!</f>
        <v>#REF!</v>
      </c>
      <c r="W203" s="6" t="e">
        <f>#REF!</f>
        <v>#REF!</v>
      </c>
      <c r="X203" s="6" t="e">
        <f>#REF!</f>
        <v>#REF!</v>
      </c>
      <c r="Y203" s="6" t="e">
        <f>#REF!</f>
        <v>#REF!</v>
      </c>
      <c r="Z203" s="6" t="e">
        <f>#REF!</f>
        <v>#REF!</v>
      </c>
      <c r="AA203" s="6" t="e">
        <f>#REF!</f>
        <v>#REF!</v>
      </c>
      <c r="AB203" s="6" t="e">
        <f>#REF!</f>
        <v>#REF!</v>
      </c>
      <c r="AC203" s="6" t="e">
        <f>#REF!</f>
        <v>#REF!</v>
      </c>
      <c r="AD203" s="6" t="e">
        <f>#REF!</f>
        <v>#REF!</v>
      </c>
      <c r="AE203" s="6" t="e">
        <f>#REF!</f>
        <v>#REF!</v>
      </c>
      <c r="AF203" s="6" t="e">
        <f>#REF!</f>
        <v>#REF!</v>
      </c>
      <c r="AG203" s="6" t="e">
        <f>#REF!</f>
        <v>#REF!</v>
      </c>
      <c r="AH203" s="6" t="e">
        <f>#REF!</f>
        <v>#REF!</v>
      </c>
      <c r="AI203" s="6" t="e">
        <f>#REF!</f>
        <v>#REF!</v>
      </c>
      <c r="AJ203" s="6" t="e">
        <f>#REF!</f>
        <v>#REF!</v>
      </c>
      <c r="AK203" s="6" t="e">
        <f>#REF!</f>
        <v>#REF!</v>
      </c>
      <c r="AL203" s="6" t="e">
        <f>#REF!</f>
        <v>#REF!</v>
      </c>
    </row>
    <row r="204" spans="1:38" x14ac:dyDescent="0.25">
      <c r="A204" s="68" t="s">
        <v>441</v>
      </c>
      <c r="B204" s="126" t="e">
        <f>VLOOKUP(A204,$A$2:$AL$285,MATCH('Character Sheet'!$BJ$3,$A$1:$AL$1,0),FALSE)</f>
        <v>#REF!</v>
      </c>
      <c r="C204" s="6" t="e">
        <f>#REF!</f>
        <v>#REF!</v>
      </c>
      <c r="D204" s="6" t="e">
        <f>#REF!</f>
        <v>#REF!</v>
      </c>
      <c r="E204" s="6" t="e">
        <f>#REF!</f>
        <v>#REF!</v>
      </c>
      <c r="F204" s="6" t="e">
        <f>#REF!</f>
        <v>#REF!</v>
      </c>
      <c r="G204" s="6" t="e">
        <f>#REF!</f>
        <v>#REF!</v>
      </c>
      <c r="H204" s="6" t="e">
        <f>#REF!</f>
        <v>#REF!</v>
      </c>
      <c r="I204" s="6" t="e">
        <f>#REF!</f>
        <v>#REF!</v>
      </c>
      <c r="J204" s="6" t="e">
        <f>#REF!</f>
        <v>#REF!</v>
      </c>
      <c r="K204" s="6" t="e">
        <f>#REF!</f>
        <v>#REF!</v>
      </c>
      <c r="L204" s="6" t="e">
        <f>#REF!</f>
        <v>#REF!</v>
      </c>
      <c r="M204" s="6" t="e">
        <f>#REF!</f>
        <v>#REF!</v>
      </c>
      <c r="N204" s="6" t="e">
        <f>#REF!</f>
        <v>#REF!</v>
      </c>
      <c r="O204" s="6" t="e">
        <f>#REF!</f>
        <v>#REF!</v>
      </c>
      <c r="P204" s="6" t="e">
        <f>#REF!</f>
        <v>#REF!</v>
      </c>
      <c r="Q204" s="6" t="e">
        <f>#REF!</f>
        <v>#REF!</v>
      </c>
      <c r="R204" s="6" t="e">
        <f>#REF!</f>
        <v>#REF!</v>
      </c>
      <c r="S204" s="6" t="e">
        <f>#REF!</f>
        <v>#REF!</v>
      </c>
      <c r="T204" s="6" t="e">
        <f>#REF!</f>
        <v>#REF!</v>
      </c>
      <c r="U204" s="6" t="e">
        <f>#REF!</f>
        <v>#REF!</v>
      </c>
      <c r="V204" s="6" t="e">
        <f>#REF!</f>
        <v>#REF!</v>
      </c>
      <c r="W204" s="6" t="e">
        <f>#REF!</f>
        <v>#REF!</v>
      </c>
      <c r="X204" s="6" t="e">
        <f>#REF!</f>
        <v>#REF!</v>
      </c>
      <c r="Y204" s="6" t="e">
        <f>#REF!</f>
        <v>#REF!</v>
      </c>
      <c r="Z204" s="6" t="e">
        <f>#REF!</f>
        <v>#REF!</v>
      </c>
      <c r="AA204" s="6" t="e">
        <f>#REF!</f>
        <v>#REF!</v>
      </c>
      <c r="AB204" s="6" t="e">
        <f>#REF!</f>
        <v>#REF!</v>
      </c>
      <c r="AC204" s="6" t="e">
        <f>#REF!</f>
        <v>#REF!</v>
      </c>
      <c r="AD204" s="6" t="e">
        <f>#REF!</f>
        <v>#REF!</v>
      </c>
      <c r="AE204" s="6" t="e">
        <f>#REF!</f>
        <v>#REF!</v>
      </c>
      <c r="AF204" s="6" t="e">
        <f>#REF!</f>
        <v>#REF!</v>
      </c>
      <c r="AG204" s="6" t="e">
        <f>#REF!</f>
        <v>#REF!</v>
      </c>
      <c r="AH204" s="6" t="e">
        <f>#REF!</f>
        <v>#REF!</v>
      </c>
      <c r="AI204" s="6" t="e">
        <f>#REF!</f>
        <v>#REF!</v>
      </c>
      <c r="AJ204" s="6" t="e">
        <f>#REF!</f>
        <v>#REF!</v>
      </c>
      <c r="AK204" s="6" t="e">
        <f>#REF!</f>
        <v>#REF!</v>
      </c>
      <c r="AL204" s="6" t="e">
        <f>#REF!</f>
        <v>#REF!</v>
      </c>
    </row>
    <row r="205" spans="1:38" x14ac:dyDescent="0.25">
      <c r="A205" s="68" t="s">
        <v>442</v>
      </c>
      <c r="B205" s="126" t="e">
        <f>VLOOKUP(A205,$A$2:$AL$285,MATCH('Character Sheet'!$BJ$3,$A$1:$AL$1,0),FALSE)</f>
        <v>#REF!</v>
      </c>
      <c r="C205" s="6" t="e">
        <f>#REF!</f>
        <v>#REF!</v>
      </c>
      <c r="D205" s="6" t="e">
        <f>#REF!</f>
        <v>#REF!</v>
      </c>
      <c r="E205" s="6" t="e">
        <f>#REF!</f>
        <v>#REF!</v>
      </c>
      <c r="F205" s="6" t="e">
        <f>#REF!</f>
        <v>#REF!</v>
      </c>
      <c r="G205" s="6" t="e">
        <f>#REF!</f>
        <v>#REF!</v>
      </c>
      <c r="H205" s="6" t="e">
        <f>#REF!</f>
        <v>#REF!</v>
      </c>
      <c r="I205" s="6" t="e">
        <f>#REF!</f>
        <v>#REF!</v>
      </c>
      <c r="J205" s="6" t="e">
        <f>#REF!</f>
        <v>#REF!</v>
      </c>
      <c r="K205" s="6" t="e">
        <f>#REF!</f>
        <v>#REF!</v>
      </c>
      <c r="L205" s="6" t="e">
        <f>#REF!</f>
        <v>#REF!</v>
      </c>
      <c r="M205" s="6" t="e">
        <f>#REF!</f>
        <v>#REF!</v>
      </c>
      <c r="N205" s="6" t="e">
        <f>#REF!</f>
        <v>#REF!</v>
      </c>
      <c r="O205" s="6" t="e">
        <f>#REF!</f>
        <v>#REF!</v>
      </c>
      <c r="P205" s="6" t="e">
        <f>#REF!</f>
        <v>#REF!</v>
      </c>
      <c r="Q205" s="6" t="e">
        <f>#REF!</f>
        <v>#REF!</v>
      </c>
      <c r="R205" s="6" t="e">
        <f>#REF!</f>
        <v>#REF!</v>
      </c>
      <c r="S205" s="6" t="e">
        <f>#REF!</f>
        <v>#REF!</v>
      </c>
      <c r="T205" s="6" t="e">
        <f>#REF!</f>
        <v>#REF!</v>
      </c>
      <c r="U205" s="6" t="e">
        <f>#REF!</f>
        <v>#REF!</v>
      </c>
      <c r="V205" s="6" t="e">
        <f>#REF!</f>
        <v>#REF!</v>
      </c>
      <c r="W205" s="6" t="e">
        <f>#REF!</f>
        <v>#REF!</v>
      </c>
      <c r="X205" s="6" t="e">
        <f>#REF!</f>
        <v>#REF!</v>
      </c>
      <c r="Y205" s="6" t="e">
        <f>#REF!</f>
        <v>#REF!</v>
      </c>
      <c r="Z205" s="6" t="e">
        <f>#REF!</f>
        <v>#REF!</v>
      </c>
      <c r="AA205" s="6" t="e">
        <f>#REF!</f>
        <v>#REF!</v>
      </c>
      <c r="AB205" s="6" t="e">
        <f>#REF!</f>
        <v>#REF!</v>
      </c>
      <c r="AC205" s="6" t="e">
        <f>#REF!</f>
        <v>#REF!</v>
      </c>
      <c r="AD205" s="6" t="e">
        <f>#REF!</f>
        <v>#REF!</v>
      </c>
      <c r="AE205" s="6" t="e">
        <f>#REF!</f>
        <v>#REF!</v>
      </c>
      <c r="AF205" s="6" t="e">
        <f>#REF!</f>
        <v>#REF!</v>
      </c>
      <c r="AG205" s="6" t="e">
        <f>#REF!</f>
        <v>#REF!</v>
      </c>
      <c r="AH205" s="6" t="e">
        <f>#REF!</f>
        <v>#REF!</v>
      </c>
      <c r="AI205" s="6" t="e">
        <f>#REF!</f>
        <v>#REF!</v>
      </c>
      <c r="AJ205" s="6" t="e">
        <f>#REF!</f>
        <v>#REF!</v>
      </c>
      <c r="AK205" s="6" t="e">
        <f>#REF!</f>
        <v>#REF!</v>
      </c>
      <c r="AL205" s="6" t="e">
        <f>#REF!</f>
        <v>#REF!</v>
      </c>
    </row>
    <row r="206" spans="1:38" x14ac:dyDescent="0.25">
      <c r="A206" s="68" t="s">
        <v>443</v>
      </c>
      <c r="B206" s="126" t="e">
        <f>VLOOKUP(A206,$A$2:$AL$285,MATCH('Character Sheet'!$BJ$3,$A$1:$AL$1,0),FALSE)</f>
        <v>#REF!</v>
      </c>
      <c r="C206" s="6" t="e">
        <f>#REF!</f>
        <v>#REF!</v>
      </c>
      <c r="D206" s="6" t="e">
        <f>#REF!</f>
        <v>#REF!</v>
      </c>
      <c r="E206" s="6" t="e">
        <f>#REF!</f>
        <v>#REF!</v>
      </c>
      <c r="F206" s="6" t="e">
        <f>#REF!</f>
        <v>#REF!</v>
      </c>
      <c r="G206" s="6" t="e">
        <f>#REF!</f>
        <v>#REF!</v>
      </c>
      <c r="H206" s="6" t="e">
        <f>#REF!</f>
        <v>#REF!</v>
      </c>
      <c r="I206" s="6" t="e">
        <f>#REF!</f>
        <v>#REF!</v>
      </c>
      <c r="J206" s="6" t="e">
        <f>#REF!</f>
        <v>#REF!</v>
      </c>
      <c r="K206" s="6" t="e">
        <f>#REF!</f>
        <v>#REF!</v>
      </c>
      <c r="L206" s="6" t="e">
        <f>#REF!</f>
        <v>#REF!</v>
      </c>
      <c r="M206" s="6" t="e">
        <f>#REF!</f>
        <v>#REF!</v>
      </c>
      <c r="N206" s="6" t="e">
        <f>#REF!</f>
        <v>#REF!</v>
      </c>
      <c r="O206" s="6" t="e">
        <f>#REF!</f>
        <v>#REF!</v>
      </c>
      <c r="P206" s="6" t="e">
        <f>#REF!</f>
        <v>#REF!</v>
      </c>
      <c r="Q206" s="6" t="e">
        <f>#REF!</f>
        <v>#REF!</v>
      </c>
      <c r="R206" s="6" t="e">
        <f>#REF!</f>
        <v>#REF!</v>
      </c>
      <c r="S206" s="6" t="e">
        <f>#REF!</f>
        <v>#REF!</v>
      </c>
      <c r="T206" s="6" t="e">
        <f>#REF!</f>
        <v>#REF!</v>
      </c>
      <c r="U206" s="6" t="e">
        <f>#REF!</f>
        <v>#REF!</v>
      </c>
      <c r="V206" s="6" t="e">
        <f>#REF!</f>
        <v>#REF!</v>
      </c>
      <c r="W206" s="6" t="e">
        <f>#REF!</f>
        <v>#REF!</v>
      </c>
      <c r="X206" s="6" t="e">
        <f>#REF!</f>
        <v>#REF!</v>
      </c>
      <c r="Y206" s="6" t="e">
        <f>#REF!</f>
        <v>#REF!</v>
      </c>
      <c r="Z206" s="6" t="e">
        <f>#REF!</f>
        <v>#REF!</v>
      </c>
      <c r="AA206" s="6" t="e">
        <f>#REF!</f>
        <v>#REF!</v>
      </c>
      <c r="AB206" s="6" t="e">
        <f>#REF!</f>
        <v>#REF!</v>
      </c>
      <c r="AC206" s="6" t="e">
        <f>#REF!</f>
        <v>#REF!</v>
      </c>
      <c r="AD206" s="6" t="e">
        <f>#REF!</f>
        <v>#REF!</v>
      </c>
      <c r="AE206" s="6" t="e">
        <f>#REF!</f>
        <v>#REF!</v>
      </c>
      <c r="AF206" s="6" t="e">
        <f>#REF!</f>
        <v>#REF!</v>
      </c>
      <c r="AG206" s="6" t="e">
        <f>#REF!</f>
        <v>#REF!</v>
      </c>
      <c r="AH206" s="6" t="e">
        <f>#REF!</f>
        <v>#REF!</v>
      </c>
      <c r="AI206" s="6" t="e">
        <f>#REF!</f>
        <v>#REF!</v>
      </c>
      <c r="AJ206" s="6" t="e">
        <f>#REF!</f>
        <v>#REF!</v>
      </c>
      <c r="AK206" s="6" t="e">
        <f>#REF!</f>
        <v>#REF!</v>
      </c>
      <c r="AL206" s="6" t="e">
        <f>#REF!</f>
        <v>#REF!</v>
      </c>
    </row>
    <row r="207" spans="1:38" x14ac:dyDescent="0.25">
      <c r="A207" s="68" t="s">
        <v>444</v>
      </c>
      <c r="B207" s="126" t="e">
        <f>VLOOKUP(A207,$A$2:$AL$285,MATCH('Character Sheet'!$BJ$3,$A$1:$AL$1,0),FALSE)</f>
        <v>#REF!</v>
      </c>
      <c r="C207" s="6" t="e">
        <f>#REF!</f>
        <v>#REF!</v>
      </c>
      <c r="D207" s="6" t="e">
        <f>#REF!</f>
        <v>#REF!</v>
      </c>
      <c r="E207" s="6" t="e">
        <f>#REF!</f>
        <v>#REF!</v>
      </c>
      <c r="F207" s="6" t="e">
        <f>#REF!</f>
        <v>#REF!</v>
      </c>
      <c r="G207" s="6" t="e">
        <f>#REF!</f>
        <v>#REF!</v>
      </c>
      <c r="H207" s="6" t="e">
        <f>#REF!</f>
        <v>#REF!</v>
      </c>
      <c r="I207" s="6" t="e">
        <f>#REF!</f>
        <v>#REF!</v>
      </c>
      <c r="J207" s="6" t="e">
        <f>#REF!</f>
        <v>#REF!</v>
      </c>
      <c r="K207" s="6" t="e">
        <f>#REF!</f>
        <v>#REF!</v>
      </c>
      <c r="L207" s="6" t="e">
        <f>#REF!</f>
        <v>#REF!</v>
      </c>
      <c r="M207" s="6" t="e">
        <f>#REF!</f>
        <v>#REF!</v>
      </c>
      <c r="N207" s="6" t="e">
        <f>#REF!</f>
        <v>#REF!</v>
      </c>
      <c r="O207" s="6" t="e">
        <f>#REF!</f>
        <v>#REF!</v>
      </c>
      <c r="P207" s="6" t="e">
        <f>#REF!</f>
        <v>#REF!</v>
      </c>
      <c r="Q207" s="6" t="e">
        <f>#REF!</f>
        <v>#REF!</v>
      </c>
      <c r="R207" s="6" t="e">
        <f>#REF!</f>
        <v>#REF!</v>
      </c>
      <c r="S207" s="6" t="e">
        <f>#REF!</f>
        <v>#REF!</v>
      </c>
      <c r="T207" s="6" t="e">
        <f>#REF!</f>
        <v>#REF!</v>
      </c>
      <c r="U207" s="6" t="e">
        <f>#REF!</f>
        <v>#REF!</v>
      </c>
      <c r="V207" s="6" t="e">
        <f>#REF!</f>
        <v>#REF!</v>
      </c>
      <c r="W207" s="6" t="e">
        <f>#REF!</f>
        <v>#REF!</v>
      </c>
      <c r="X207" s="6" t="e">
        <f>#REF!</f>
        <v>#REF!</v>
      </c>
      <c r="Y207" s="6" t="e">
        <f>#REF!</f>
        <v>#REF!</v>
      </c>
      <c r="Z207" s="6" t="e">
        <f>#REF!</f>
        <v>#REF!</v>
      </c>
      <c r="AA207" s="6" t="e">
        <f>#REF!</f>
        <v>#REF!</v>
      </c>
      <c r="AB207" s="6" t="e">
        <f>#REF!</f>
        <v>#REF!</v>
      </c>
      <c r="AC207" s="6" t="e">
        <f>#REF!</f>
        <v>#REF!</v>
      </c>
      <c r="AD207" s="6" t="e">
        <f>#REF!</f>
        <v>#REF!</v>
      </c>
      <c r="AE207" s="6" t="e">
        <f>#REF!</f>
        <v>#REF!</v>
      </c>
      <c r="AF207" s="6" t="e">
        <f>#REF!</f>
        <v>#REF!</v>
      </c>
      <c r="AG207" s="6" t="e">
        <f>#REF!</f>
        <v>#REF!</v>
      </c>
      <c r="AH207" s="6" t="e">
        <f>#REF!</f>
        <v>#REF!</v>
      </c>
      <c r="AI207" s="6" t="e">
        <f>#REF!</f>
        <v>#REF!</v>
      </c>
      <c r="AJ207" s="6" t="e">
        <f>#REF!</f>
        <v>#REF!</v>
      </c>
      <c r="AK207" s="6" t="e">
        <f>#REF!</f>
        <v>#REF!</v>
      </c>
      <c r="AL207" s="6" t="e">
        <f>#REF!</f>
        <v>#REF!</v>
      </c>
    </row>
    <row r="208" spans="1:38" x14ac:dyDescent="0.25">
      <c r="A208" s="68" t="s">
        <v>445</v>
      </c>
      <c r="B208" s="126" t="e">
        <f>VLOOKUP(A208,$A$2:$AL$285,MATCH('Character Sheet'!$BJ$3,$A$1:$AL$1,0),FALSE)</f>
        <v>#REF!</v>
      </c>
      <c r="C208" s="6" t="e">
        <f>#REF!</f>
        <v>#REF!</v>
      </c>
      <c r="D208" s="6" t="e">
        <f>#REF!</f>
        <v>#REF!</v>
      </c>
      <c r="E208" s="6" t="e">
        <f>#REF!</f>
        <v>#REF!</v>
      </c>
      <c r="F208" s="6" t="e">
        <f>#REF!</f>
        <v>#REF!</v>
      </c>
      <c r="G208" s="6" t="e">
        <f>#REF!</f>
        <v>#REF!</v>
      </c>
      <c r="H208" s="6" t="e">
        <f>#REF!</f>
        <v>#REF!</v>
      </c>
      <c r="I208" s="6" t="e">
        <f>#REF!</f>
        <v>#REF!</v>
      </c>
      <c r="J208" s="6" t="e">
        <f>#REF!</f>
        <v>#REF!</v>
      </c>
      <c r="K208" s="6" t="e">
        <f>#REF!</f>
        <v>#REF!</v>
      </c>
      <c r="L208" s="6" t="e">
        <f>#REF!</f>
        <v>#REF!</v>
      </c>
      <c r="M208" s="6" t="e">
        <f>#REF!</f>
        <v>#REF!</v>
      </c>
      <c r="N208" s="6" t="e">
        <f>#REF!</f>
        <v>#REF!</v>
      </c>
      <c r="O208" s="6" t="e">
        <f>#REF!</f>
        <v>#REF!</v>
      </c>
      <c r="P208" s="6" t="e">
        <f>#REF!</f>
        <v>#REF!</v>
      </c>
      <c r="Q208" s="6" t="e">
        <f>#REF!</f>
        <v>#REF!</v>
      </c>
      <c r="R208" s="6" t="e">
        <f>#REF!</f>
        <v>#REF!</v>
      </c>
      <c r="S208" s="6" t="e">
        <f>#REF!</f>
        <v>#REF!</v>
      </c>
      <c r="T208" s="6" t="e">
        <f>#REF!</f>
        <v>#REF!</v>
      </c>
      <c r="U208" s="6" t="e">
        <f>#REF!</f>
        <v>#REF!</v>
      </c>
      <c r="V208" s="6" t="e">
        <f>#REF!</f>
        <v>#REF!</v>
      </c>
      <c r="W208" s="6" t="e">
        <f>#REF!</f>
        <v>#REF!</v>
      </c>
      <c r="X208" s="6" t="e">
        <f>#REF!</f>
        <v>#REF!</v>
      </c>
      <c r="Y208" s="6" t="e">
        <f>#REF!</f>
        <v>#REF!</v>
      </c>
      <c r="Z208" s="6" t="e">
        <f>#REF!</f>
        <v>#REF!</v>
      </c>
      <c r="AA208" s="6" t="e">
        <f>#REF!</f>
        <v>#REF!</v>
      </c>
      <c r="AB208" s="6" t="e">
        <f>#REF!</f>
        <v>#REF!</v>
      </c>
      <c r="AC208" s="6" t="e">
        <f>#REF!</f>
        <v>#REF!</v>
      </c>
      <c r="AD208" s="6" t="e">
        <f>#REF!</f>
        <v>#REF!</v>
      </c>
      <c r="AE208" s="6" t="e">
        <f>#REF!</f>
        <v>#REF!</v>
      </c>
      <c r="AF208" s="6" t="e">
        <f>#REF!</f>
        <v>#REF!</v>
      </c>
      <c r="AG208" s="6" t="e">
        <f>#REF!</f>
        <v>#REF!</v>
      </c>
      <c r="AH208" s="6" t="e">
        <f>#REF!</f>
        <v>#REF!</v>
      </c>
      <c r="AI208" s="6" t="e">
        <f>#REF!</f>
        <v>#REF!</v>
      </c>
      <c r="AJ208" s="6" t="e">
        <f>#REF!</f>
        <v>#REF!</v>
      </c>
      <c r="AK208" s="6" t="e">
        <f>#REF!</f>
        <v>#REF!</v>
      </c>
      <c r="AL208" s="6" t="e">
        <f>#REF!</f>
        <v>#REF!</v>
      </c>
    </row>
    <row r="209" spans="1:38" x14ac:dyDescent="0.25">
      <c r="A209" s="68" t="s">
        <v>446</v>
      </c>
      <c r="B209" s="126" t="e">
        <f>VLOOKUP(A209,$A$2:$AL$285,MATCH('Character Sheet'!$BJ$3,$A$1:$AL$1,0),FALSE)</f>
        <v>#REF!</v>
      </c>
      <c r="C209" s="6" t="e">
        <f>#REF!</f>
        <v>#REF!</v>
      </c>
      <c r="D209" s="6" t="e">
        <f>#REF!</f>
        <v>#REF!</v>
      </c>
      <c r="E209" s="6" t="e">
        <f>#REF!</f>
        <v>#REF!</v>
      </c>
      <c r="F209" s="6" t="e">
        <f>#REF!</f>
        <v>#REF!</v>
      </c>
      <c r="G209" s="6" t="e">
        <f>#REF!</f>
        <v>#REF!</v>
      </c>
      <c r="H209" s="6" t="e">
        <f>#REF!</f>
        <v>#REF!</v>
      </c>
      <c r="I209" s="6" t="e">
        <f>#REF!</f>
        <v>#REF!</v>
      </c>
      <c r="J209" s="6" t="e">
        <f>#REF!</f>
        <v>#REF!</v>
      </c>
      <c r="K209" s="6" t="e">
        <f>#REF!</f>
        <v>#REF!</v>
      </c>
      <c r="L209" s="6" t="e">
        <f>#REF!</f>
        <v>#REF!</v>
      </c>
      <c r="M209" s="6" t="e">
        <f>#REF!</f>
        <v>#REF!</v>
      </c>
      <c r="N209" s="6" t="e">
        <f>#REF!</f>
        <v>#REF!</v>
      </c>
      <c r="O209" s="6" t="e">
        <f>#REF!</f>
        <v>#REF!</v>
      </c>
      <c r="P209" s="6" t="e">
        <f>#REF!</f>
        <v>#REF!</v>
      </c>
      <c r="Q209" s="6" t="e">
        <f>#REF!</f>
        <v>#REF!</v>
      </c>
      <c r="R209" s="6" t="e">
        <f>#REF!</f>
        <v>#REF!</v>
      </c>
      <c r="S209" s="6" t="e">
        <f>#REF!</f>
        <v>#REF!</v>
      </c>
      <c r="T209" s="6" t="e">
        <f>#REF!</f>
        <v>#REF!</v>
      </c>
      <c r="U209" s="6" t="e">
        <f>#REF!</f>
        <v>#REF!</v>
      </c>
      <c r="V209" s="6" t="e">
        <f>#REF!</f>
        <v>#REF!</v>
      </c>
      <c r="W209" s="6" t="e">
        <f>#REF!</f>
        <v>#REF!</v>
      </c>
      <c r="X209" s="6" t="e">
        <f>#REF!</f>
        <v>#REF!</v>
      </c>
      <c r="Y209" s="6" t="e">
        <f>#REF!</f>
        <v>#REF!</v>
      </c>
      <c r="Z209" s="6" t="e">
        <f>#REF!</f>
        <v>#REF!</v>
      </c>
      <c r="AA209" s="6" t="e">
        <f>#REF!</f>
        <v>#REF!</v>
      </c>
      <c r="AB209" s="6" t="e">
        <f>#REF!</f>
        <v>#REF!</v>
      </c>
      <c r="AC209" s="6" t="e">
        <f>#REF!</f>
        <v>#REF!</v>
      </c>
      <c r="AD209" s="6" t="e">
        <f>#REF!</f>
        <v>#REF!</v>
      </c>
      <c r="AE209" s="6" t="e">
        <f>#REF!</f>
        <v>#REF!</v>
      </c>
      <c r="AF209" s="6" t="e">
        <f>#REF!</f>
        <v>#REF!</v>
      </c>
      <c r="AG209" s="6" t="e">
        <f>#REF!</f>
        <v>#REF!</v>
      </c>
      <c r="AH209" s="6" t="e">
        <f>#REF!</f>
        <v>#REF!</v>
      </c>
      <c r="AI209" s="6" t="e">
        <f>#REF!</f>
        <v>#REF!</v>
      </c>
      <c r="AJ209" s="6" t="e">
        <f>#REF!</f>
        <v>#REF!</v>
      </c>
      <c r="AK209" s="6" t="e">
        <f>#REF!</f>
        <v>#REF!</v>
      </c>
      <c r="AL209" s="6" t="e">
        <f>#REF!</f>
        <v>#REF!</v>
      </c>
    </row>
    <row r="210" spans="1:38" x14ac:dyDescent="0.25">
      <c r="A210" s="68" t="s">
        <v>447</v>
      </c>
      <c r="B210" s="126" t="e">
        <f>VLOOKUP(A210,$A$2:$AL$285,MATCH('Character Sheet'!$BJ$3,$A$1:$AL$1,0),FALSE)</f>
        <v>#REF!</v>
      </c>
      <c r="C210" s="6" t="e">
        <f>#REF!</f>
        <v>#REF!</v>
      </c>
      <c r="D210" s="6" t="e">
        <f>#REF!</f>
        <v>#REF!</v>
      </c>
      <c r="E210" s="6" t="e">
        <f>#REF!</f>
        <v>#REF!</v>
      </c>
      <c r="F210" s="6" t="e">
        <f>#REF!</f>
        <v>#REF!</v>
      </c>
      <c r="G210" s="6" t="e">
        <f>#REF!</f>
        <v>#REF!</v>
      </c>
      <c r="H210" s="6" t="e">
        <f>#REF!</f>
        <v>#REF!</v>
      </c>
      <c r="I210" s="6" t="e">
        <f>#REF!</f>
        <v>#REF!</v>
      </c>
      <c r="J210" s="6" t="e">
        <f>#REF!</f>
        <v>#REF!</v>
      </c>
      <c r="K210" s="6" t="e">
        <f>#REF!</f>
        <v>#REF!</v>
      </c>
      <c r="L210" s="6" t="e">
        <f>#REF!</f>
        <v>#REF!</v>
      </c>
      <c r="M210" s="6" t="e">
        <f>#REF!</f>
        <v>#REF!</v>
      </c>
      <c r="N210" s="6" t="e">
        <f>#REF!</f>
        <v>#REF!</v>
      </c>
      <c r="O210" s="6" t="e">
        <f>#REF!</f>
        <v>#REF!</v>
      </c>
      <c r="P210" s="6" t="e">
        <f>#REF!</f>
        <v>#REF!</v>
      </c>
      <c r="Q210" s="6" t="e">
        <f>#REF!</f>
        <v>#REF!</v>
      </c>
      <c r="R210" s="6" t="e">
        <f>#REF!</f>
        <v>#REF!</v>
      </c>
      <c r="S210" s="6" t="e">
        <f>#REF!</f>
        <v>#REF!</v>
      </c>
      <c r="T210" s="6" t="e">
        <f>#REF!</f>
        <v>#REF!</v>
      </c>
      <c r="U210" s="6" t="e">
        <f>#REF!</f>
        <v>#REF!</v>
      </c>
      <c r="V210" s="6" t="e">
        <f>#REF!</f>
        <v>#REF!</v>
      </c>
      <c r="W210" s="6" t="e">
        <f>#REF!</f>
        <v>#REF!</v>
      </c>
      <c r="X210" s="6" t="e">
        <f>#REF!</f>
        <v>#REF!</v>
      </c>
      <c r="Y210" s="6" t="e">
        <f>#REF!</f>
        <v>#REF!</v>
      </c>
      <c r="Z210" s="6" t="e">
        <f>#REF!</f>
        <v>#REF!</v>
      </c>
      <c r="AA210" s="6" t="e">
        <f>#REF!</f>
        <v>#REF!</v>
      </c>
      <c r="AB210" s="6" t="e">
        <f>#REF!</f>
        <v>#REF!</v>
      </c>
      <c r="AC210" s="6" t="e">
        <f>#REF!</f>
        <v>#REF!</v>
      </c>
      <c r="AD210" s="6" t="e">
        <f>#REF!</f>
        <v>#REF!</v>
      </c>
      <c r="AE210" s="6" t="e">
        <f>#REF!</f>
        <v>#REF!</v>
      </c>
      <c r="AF210" s="6" t="e">
        <f>#REF!</f>
        <v>#REF!</v>
      </c>
      <c r="AG210" s="6" t="e">
        <f>#REF!</f>
        <v>#REF!</v>
      </c>
      <c r="AH210" s="6" t="e">
        <f>#REF!</f>
        <v>#REF!</v>
      </c>
      <c r="AI210" s="6" t="e">
        <f>#REF!</f>
        <v>#REF!</v>
      </c>
      <c r="AJ210" s="6" t="e">
        <f>#REF!</f>
        <v>#REF!</v>
      </c>
      <c r="AK210" s="6" t="e">
        <f>#REF!</f>
        <v>#REF!</v>
      </c>
      <c r="AL210" s="6" t="e">
        <f>#REF!</f>
        <v>#REF!</v>
      </c>
    </row>
    <row r="211" spans="1:38" x14ac:dyDescent="0.25">
      <c r="A211" s="68" t="s">
        <v>448</v>
      </c>
      <c r="B211" s="126" t="e">
        <f>VLOOKUP(A211,$A$2:$AL$285,MATCH('Character Sheet'!$BJ$3,$A$1:$AL$1,0),FALSE)</f>
        <v>#REF!</v>
      </c>
      <c r="C211" s="6" t="e">
        <f>#REF!</f>
        <v>#REF!</v>
      </c>
      <c r="D211" s="6" t="e">
        <f>#REF!</f>
        <v>#REF!</v>
      </c>
      <c r="E211" s="6" t="e">
        <f>#REF!</f>
        <v>#REF!</v>
      </c>
      <c r="F211" s="6" t="e">
        <f>#REF!</f>
        <v>#REF!</v>
      </c>
      <c r="G211" s="6" t="e">
        <f>#REF!</f>
        <v>#REF!</v>
      </c>
      <c r="H211" s="6" t="e">
        <f>#REF!</f>
        <v>#REF!</v>
      </c>
      <c r="I211" s="6" t="e">
        <f>#REF!</f>
        <v>#REF!</v>
      </c>
      <c r="J211" s="6" t="e">
        <f>#REF!</f>
        <v>#REF!</v>
      </c>
      <c r="K211" s="6" t="e">
        <f>#REF!</f>
        <v>#REF!</v>
      </c>
      <c r="L211" s="6" t="e">
        <f>#REF!</f>
        <v>#REF!</v>
      </c>
      <c r="M211" s="6" t="e">
        <f>#REF!</f>
        <v>#REF!</v>
      </c>
      <c r="N211" s="6" t="e">
        <f>#REF!</f>
        <v>#REF!</v>
      </c>
      <c r="O211" s="6" t="e">
        <f>#REF!</f>
        <v>#REF!</v>
      </c>
      <c r="P211" s="6" t="e">
        <f>#REF!</f>
        <v>#REF!</v>
      </c>
      <c r="Q211" s="6" t="e">
        <f>#REF!</f>
        <v>#REF!</v>
      </c>
      <c r="R211" s="6" t="e">
        <f>#REF!</f>
        <v>#REF!</v>
      </c>
      <c r="S211" s="6" t="e">
        <f>#REF!</f>
        <v>#REF!</v>
      </c>
      <c r="T211" s="6" t="e">
        <f>#REF!</f>
        <v>#REF!</v>
      </c>
      <c r="U211" s="6" t="e">
        <f>#REF!</f>
        <v>#REF!</v>
      </c>
      <c r="V211" s="6" t="e">
        <f>#REF!</f>
        <v>#REF!</v>
      </c>
      <c r="W211" s="6" t="e">
        <f>#REF!</f>
        <v>#REF!</v>
      </c>
      <c r="X211" s="6" t="e">
        <f>#REF!</f>
        <v>#REF!</v>
      </c>
      <c r="Y211" s="6" t="e">
        <f>#REF!</f>
        <v>#REF!</v>
      </c>
      <c r="Z211" s="6" t="e">
        <f>#REF!</f>
        <v>#REF!</v>
      </c>
      <c r="AA211" s="6" t="e">
        <f>#REF!</f>
        <v>#REF!</v>
      </c>
      <c r="AB211" s="6" t="e">
        <f>#REF!</f>
        <v>#REF!</v>
      </c>
      <c r="AC211" s="6" t="e">
        <f>#REF!</f>
        <v>#REF!</v>
      </c>
      <c r="AD211" s="6" t="e">
        <f>#REF!</f>
        <v>#REF!</v>
      </c>
      <c r="AE211" s="6" t="e">
        <f>#REF!</f>
        <v>#REF!</v>
      </c>
      <c r="AF211" s="6" t="e">
        <f>#REF!</f>
        <v>#REF!</v>
      </c>
      <c r="AG211" s="6" t="e">
        <f>#REF!</f>
        <v>#REF!</v>
      </c>
      <c r="AH211" s="6" t="e">
        <f>#REF!</f>
        <v>#REF!</v>
      </c>
      <c r="AI211" s="6" t="e">
        <f>#REF!</f>
        <v>#REF!</v>
      </c>
      <c r="AJ211" s="6" t="e">
        <f>#REF!</f>
        <v>#REF!</v>
      </c>
      <c r="AK211" s="6" t="e">
        <f>#REF!</f>
        <v>#REF!</v>
      </c>
      <c r="AL211" s="6" t="e">
        <f>#REF!</f>
        <v>#REF!</v>
      </c>
    </row>
    <row r="212" spans="1:38" x14ac:dyDescent="0.25">
      <c r="A212" s="68" t="s">
        <v>449</v>
      </c>
      <c r="B212" s="126" t="e">
        <f>VLOOKUP(A212,$A$2:$AL$285,MATCH('Character Sheet'!$BJ$3,$A$1:$AL$1,0),FALSE)</f>
        <v>#REF!</v>
      </c>
      <c r="C212" s="6" t="e">
        <f>#REF!</f>
        <v>#REF!</v>
      </c>
      <c r="D212" s="6" t="e">
        <f>#REF!</f>
        <v>#REF!</v>
      </c>
      <c r="E212" s="6" t="e">
        <f>#REF!</f>
        <v>#REF!</v>
      </c>
      <c r="F212" s="6" t="e">
        <f>#REF!</f>
        <v>#REF!</v>
      </c>
      <c r="G212" s="6" t="e">
        <f>#REF!</f>
        <v>#REF!</v>
      </c>
      <c r="H212" s="6" t="e">
        <f>#REF!</f>
        <v>#REF!</v>
      </c>
      <c r="I212" s="6" t="e">
        <f>#REF!</f>
        <v>#REF!</v>
      </c>
      <c r="J212" s="6" t="e">
        <f>#REF!</f>
        <v>#REF!</v>
      </c>
      <c r="K212" s="6" t="e">
        <f>#REF!</f>
        <v>#REF!</v>
      </c>
      <c r="L212" s="6" t="e">
        <f>#REF!</f>
        <v>#REF!</v>
      </c>
      <c r="M212" s="6" t="e">
        <f>#REF!</f>
        <v>#REF!</v>
      </c>
      <c r="N212" s="6" t="e">
        <f>#REF!</f>
        <v>#REF!</v>
      </c>
      <c r="O212" s="6" t="e">
        <f>#REF!</f>
        <v>#REF!</v>
      </c>
      <c r="P212" s="6" t="e">
        <f>#REF!</f>
        <v>#REF!</v>
      </c>
      <c r="Q212" s="6" t="e">
        <f>#REF!</f>
        <v>#REF!</v>
      </c>
      <c r="R212" s="6" t="e">
        <f>#REF!</f>
        <v>#REF!</v>
      </c>
      <c r="S212" s="6" t="e">
        <f>#REF!</f>
        <v>#REF!</v>
      </c>
      <c r="T212" s="6" t="e">
        <f>#REF!</f>
        <v>#REF!</v>
      </c>
      <c r="U212" s="6" t="e">
        <f>#REF!</f>
        <v>#REF!</v>
      </c>
      <c r="V212" s="6" t="e">
        <f>#REF!</f>
        <v>#REF!</v>
      </c>
      <c r="W212" s="6" t="e">
        <f>#REF!</f>
        <v>#REF!</v>
      </c>
      <c r="X212" s="6" t="e">
        <f>#REF!</f>
        <v>#REF!</v>
      </c>
      <c r="Y212" s="6" t="e">
        <f>#REF!</f>
        <v>#REF!</v>
      </c>
      <c r="Z212" s="6" t="e">
        <f>#REF!</f>
        <v>#REF!</v>
      </c>
      <c r="AA212" s="6" t="e">
        <f>#REF!</f>
        <v>#REF!</v>
      </c>
      <c r="AB212" s="6" t="e">
        <f>#REF!</f>
        <v>#REF!</v>
      </c>
      <c r="AC212" s="6" t="e">
        <f>#REF!</f>
        <v>#REF!</v>
      </c>
      <c r="AD212" s="6" t="e">
        <f>#REF!</f>
        <v>#REF!</v>
      </c>
      <c r="AE212" s="6" t="e">
        <f>#REF!</f>
        <v>#REF!</v>
      </c>
      <c r="AF212" s="6" t="e">
        <f>#REF!</f>
        <v>#REF!</v>
      </c>
      <c r="AG212" s="6" t="e">
        <f>#REF!</f>
        <v>#REF!</v>
      </c>
      <c r="AH212" s="6" t="e">
        <f>#REF!</f>
        <v>#REF!</v>
      </c>
      <c r="AI212" s="6" t="e">
        <f>#REF!</f>
        <v>#REF!</v>
      </c>
      <c r="AJ212" s="6" t="e">
        <f>#REF!</f>
        <v>#REF!</v>
      </c>
      <c r="AK212" s="6" t="e">
        <f>#REF!</f>
        <v>#REF!</v>
      </c>
      <c r="AL212" s="6" t="e">
        <f>#REF!</f>
        <v>#REF!</v>
      </c>
    </row>
    <row r="213" spans="1:38" x14ac:dyDescent="0.25">
      <c r="A213" s="68" t="s">
        <v>450</v>
      </c>
      <c r="B213" s="126" t="e">
        <f>VLOOKUP(A213,$A$2:$AL$285,MATCH('Character Sheet'!$BJ$3,$A$1:$AL$1,0),FALSE)</f>
        <v>#REF!</v>
      </c>
      <c r="C213" s="6" t="e">
        <f>#REF!</f>
        <v>#REF!</v>
      </c>
      <c r="D213" s="6" t="e">
        <f>#REF!</f>
        <v>#REF!</v>
      </c>
      <c r="E213" s="6" t="e">
        <f>#REF!</f>
        <v>#REF!</v>
      </c>
      <c r="F213" s="6" t="e">
        <f>#REF!</f>
        <v>#REF!</v>
      </c>
      <c r="G213" s="6" t="e">
        <f>#REF!</f>
        <v>#REF!</v>
      </c>
      <c r="H213" s="6" t="e">
        <f>#REF!</f>
        <v>#REF!</v>
      </c>
      <c r="I213" s="6" t="e">
        <f>#REF!</f>
        <v>#REF!</v>
      </c>
      <c r="J213" s="6" t="e">
        <f>#REF!</f>
        <v>#REF!</v>
      </c>
      <c r="K213" s="6" t="e">
        <f>#REF!</f>
        <v>#REF!</v>
      </c>
      <c r="L213" s="6" t="e">
        <f>#REF!</f>
        <v>#REF!</v>
      </c>
      <c r="M213" s="6" t="e">
        <f>#REF!</f>
        <v>#REF!</v>
      </c>
      <c r="N213" s="6" t="e">
        <f>#REF!</f>
        <v>#REF!</v>
      </c>
      <c r="O213" s="6" t="e">
        <f>#REF!</f>
        <v>#REF!</v>
      </c>
      <c r="P213" s="6" t="e">
        <f>#REF!</f>
        <v>#REF!</v>
      </c>
      <c r="Q213" s="6" t="e">
        <f>#REF!</f>
        <v>#REF!</v>
      </c>
      <c r="R213" s="6" t="e">
        <f>#REF!</f>
        <v>#REF!</v>
      </c>
      <c r="S213" s="6" t="e">
        <f>#REF!</f>
        <v>#REF!</v>
      </c>
      <c r="T213" s="6" t="e">
        <f>#REF!</f>
        <v>#REF!</v>
      </c>
      <c r="U213" s="6" t="e">
        <f>#REF!</f>
        <v>#REF!</v>
      </c>
      <c r="V213" s="6" t="e">
        <f>#REF!</f>
        <v>#REF!</v>
      </c>
      <c r="W213" s="6" t="e">
        <f>#REF!</f>
        <v>#REF!</v>
      </c>
      <c r="X213" s="6" t="e">
        <f>#REF!</f>
        <v>#REF!</v>
      </c>
      <c r="Y213" s="6" t="e">
        <f>#REF!</f>
        <v>#REF!</v>
      </c>
      <c r="Z213" s="6" t="e">
        <f>#REF!</f>
        <v>#REF!</v>
      </c>
      <c r="AA213" s="6" t="e">
        <f>#REF!</f>
        <v>#REF!</v>
      </c>
      <c r="AB213" s="6" t="e">
        <f>#REF!</f>
        <v>#REF!</v>
      </c>
      <c r="AC213" s="6" t="e">
        <f>#REF!</f>
        <v>#REF!</v>
      </c>
      <c r="AD213" s="6" t="e">
        <f>#REF!</f>
        <v>#REF!</v>
      </c>
      <c r="AE213" s="6" t="e">
        <f>#REF!</f>
        <v>#REF!</v>
      </c>
      <c r="AF213" s="6" t="e">
        <f>#REF!</f>
        <v>#REF!</v>
      </c>
      <c r="AG213" s="6" t="e">
        <f>#REF!</f>
        <v>#REF!</v>
      </c>
      <c r="AH213" s="6" t="e">
        <f>#REF!</f>
        <v>#REF!</v>
      </c>
      <c r="AI213" s="6" t="e">
        <f>#REF!</f>
        <v>#REF!</v>
      </c>
      <c r="AJ213" s="6" t="e">
        <f>#REF!</f>
        <v>#REF!</v>
      </c>
      <c r="AK213" s="6" t="e">
        <f>#REF!</f>
        <v>#REF!</v>
      </c>
      <c r="AL213" s="6" t="e">
        <f>#REF!</f>
        <v>#REF!</v>
      </c>
    </row>
    <row r="214" spans="1:38" x14ac:dyDescent="0.25">
      <c r="A214" s="68" t="s">
        <v>451</v>
      </c>
      <c r="B214" s="126" t="e">
        <f>VLOOKUP(A214,$A$2:$AL$285,MATCH('Character Sheet'!$BJ$3,$A$1:$AL$1,0),FALSE)</f>
        <v>#REF!</v>
      </c>
      <c r="C214" s="6" t="e">
        <f>#REF!</f>
        <v>#REF!</v>
      </c>
      <c r="D214" s="6" t="e">
        <f>#REF!</f>
        <v>#REF!</v>
      </c>
      <c r="E214" s="6" t="e">
        <f>#REF!</f>
        <v>#REF!</v>
      </c>
      <c r="F214" s="6" t="e">
        <f>#REF!</f>
        <v>#REF!</v>
      </c>
      <c r="G214" s="6" t="e">
        <f>#REF!</f>
        <v>#REF!</v>
      </c>
      <c r="H214" s="6" t="e">
        <f>#REF!</f>
        <v>#REF!</v>
      </c>
      <c r="I214" s="6" t="e">
        <f>#REF!</f>
        <v>#REF!</v>
      </c>
      <c r="J214" s="6" t="e">
        <f>#REF!</f>
        <v>#REF!</v>
      </c>
      <c r="K214" s="6" t="e">
        <f>#REF!</f>
        <v>#REF!</v>
      </c>
      <c r="L214" s="6" t="e">
        <f>#REF!</f>
        <v>#REF!</v>
      </c>
      <c r="M214" s="6" t="e">
        <f>#REF!</f>
        <v>#REF!</v>
      </c>
      <c r="N214" s="6" t="e">
        <f>#REF!</f>
        <v>#REF!</v>
      </c>
      <c r="O214" s="6" t="e">
        <f>#REF!</f>
        <v>#REF!</v>
      </c>
      <c r="P214" s="6" t="e">
        <f>#REF!</f>
        <v>#REF!</v>
      </c>
      <c r="Q214" s="6" t="e">
        <f>#REF!</f>
        <v>#REF!</v>
      </c>
      <c r="R214" s="6" t="e">
        <f>#REF!</f>
        <v>#REF!</v>
      </c>
      <c r="S214" s="6" t="e">
        <f>#REF!</f>
        <v>#REF!</v>
      </c>
      <c r="T214" s="6" t="e">
        <f>#REF!</f>
        <v>#REF!</v>
      </c>
      <c r="U214" s="6" t="e">
        <f>#REF!</f>
        <v>#REF!</v>
      </c>
      <c r="V214" s="6" t="e">
        <f>#REF!</f>
        <v>#REF!</v>
      </c>
      <c r="W214" s="6" t="e">
        <f>#REF!</f>
        <v>#REF!</v>
      </c>
      <c r="X214" s="6" t="e">
        <f>#REF!</f>
        <v>#REF!</v>
      </c>
      <c r="Y214" s="6" t="e">
        <f>#REF!</f>
        <v>#REF!</v>
      </c>
      <c r="Z214" s="6" t="e">
        <f>#REF!</f>
        <v>#REF!</v>
      </c>
      <c r="AA214" s="6" t="e">
        <f>#REF!</f>
        <v>#REF!</v>
      </c>
      <c r="AB214" s="6" t="e">
        <f>#REF!</f>
        <v>#REF!</v>
      </c>
      <c r="AC214" s="6" t="e">
        <f>#REF!</f>
        <v>#REF!</v>
      </c>
      <c r="AD214" s="6" t="e">
        <f>#REF!</f>
        <v>#REF!</v>
      </c>
      <c r="AE214" s="6" t="e">
        <f>#REF!</f>
        <v>#REF!</v>
      </c>
      <c r="AF214" s="6" t="e">
        <f>#REF!</f>
        <v>#REF!</v>
      </c>
      <c r="AG214" s="6" t="e">
        <f>#REF!</f>
        <v>#REF!</v>
      </c>
      <c r="AH214" s="6" t="e">
        <f>#REF!</f>
        <v>#REF!</v>
      </c>
      <c r="AI214" s="6" t="e">
        <f>#REF!</f>
        <v>#REF!</v>
      </c>
      <c r="AJ214" s="6" t="e">
        <f>#REF!</f>
        <v>#REF!</v>
      </c>
      <c r="AK214" s="6" t="e">
        <f>#REF!</f>
        <v>#REF!</v>
      </c>
      <c r="AL214" s="6" t="e">
        <f>#REF!</f>
        <v>#REF!</v>
      </c>
    </row>
    <row r="215" spans="1:38" x14ac:dyDescent="0.25">
      <c r="A215" s="68" t="s">
        <v>452</v>
      </c>
      <c r="B215" s="126" t="e">
        <f>VLOOKUP(A215,$A$2:$AL$285,MATCH('Character Sheet'!$BJ$3,$A$1:$AL$1,0),FALSE)</f>
        <v>#REF!</v>
      </c>
      <c r="C215" s="6" t="e">
        <f>#REF!</f>
        <v>#REF!</v>
      </c>
      <c r="D215" s="6" t="e">
        <f>#REF!</f>
        <v>#REF!</v>
      </c>
      <c r="E215" s="6" t="e">
        <f>#REF!</f>
        <v>#REF!</v>
      </c>
      <c r="F215" s="6" t="e">
        <f>#REF!</f>
        <v>#REF!</v>
      </c>
      <c r="G215" s="6" t="e">
        <f>#REF!</f>
        <v>#REF!</v>
      </c>
      <c r="H215" s="6" t="e">
        <f>#REF!</f>
        <v>#REF!</v>
      </c>
      <c r="I215" s="6" t="e">
        <f>#REF!</f>
        <v>#REF!</v>
      </c>
      <c r="J215" s="6" t="e">
        <f>#REF!</f>
        <v>#REF!</v>
      </c>
      <c r="K215" s="6" t="e">
        <f>#REF!</f>
        <v>#REF!</v>
      </c>
      <c r="L215" s="6" t="e">
        <f>#REF!</f>
        <v>#REF!</v>
      </c>
      <c r="M215" s="6" t="e">
        <f>#REF!</f>
        <v>#REF!</v>
      </c>
      <c r="N215" s="6" t="e">
        <f>#REF!</f>
        <v>#REF!</v>
      </c>
      <c r="O215" s="6" t="e">
        <f>#REF!</f>
        <v>#REF!</v>
      </c>
      <c r="P215" s="6" t="e">
        <f>#REF!</f>
        <v>#REF!</v>
      </c>
      <c r="Q215" s="6" t="e">
        <f>#REF!</f>
        <v>#REF!</v>
      </c>
      <c r="R215" s="6" t="e">
        <f>#REF!</f>
        <v>#REF!</v>
      </c>
      <c r="S215" s="6" t="e">
        <f>#REF!</f>
        <v>#REF!</v>
      </c>
      <c r="T215" s="6" t="e">
        <f>#REF!</f>
        <v>#REF!</v>
      </c>
      <c r="U215" s="6" t="e">
        <f>#REF!</f>
        <v>#REF!</v>
      </c>
      <c r="V215" s="6" t="e">
        <f>#REF!</f>
        <v>#REF!</v>
      </c>
      <c r="W215" s="6" t="e">
        <f>#REF!</f>
        <v>#REF!</v>
      </c>
      <c r="X215" s="6" t="e">
        <f>#REF!</f>
        <v>#REF!</v>
      </c>
      <c r="Y215" s="6" t="e">
        <f>#REF!</f>
        <v>#REF!</v>
      </c>
      <c r="Z215" s="6" t="e">
        <f>#REF!</f>
        <v>#REF!</v>
      </c>
      <c r="AA215" s="6" t="e">
        <f>#REF!</f>
        <v>#REF!</v>
      </c>
      <c r="AB215" s="6" t="e">
        <f>#REF!</f>
        <v>#REF!</v>
      </c>
      <c r="AC215" s="6" t="e">
        <f>#REF!</f>
        <v>#REF!</v>
      </c>
      <c r="AD215" s="6" t="e">
        <f>#REF!</f>
        <v>#REF!</v>
      </c>
      <c r="AE215" s="6" t="e">
        <f>#REF!</f>
        <v>#REF!</v>
      </c>
      <c r="AF215" s="6" t="e">
        <f>#REF!</f>
        <v>#REF!</v>
      </c>
      <c r="AG215" s="6" t="e">
        <f>#REF!</f>
        <v>#REF!</v>
      </c>
      <c r="AH215" s="6" t="e">
        <f>#REF!</f>
        <v>#REF!</v>
      </c>
      <c r="AI215" s="6" t="e">
        <f>#REF!</f>
        <v>#REF!</v>
      </c>
      <c r="AJ215" s="6" t="e">
        <f>#REF!</f>
        <v>#REF!</v>
      </c>
      <c r="AK215" s="6" t="e">
        <f>#REF!</f>
        <v>#REF!</v>
      </c>
      <c r="AL215" s="6" t="e">
        <f>#REF!</f>
        <v>#REF!</v>
      </c>
    </row>
    <row r="216" spans="1:38" x14ac:dyDescent="0.25">
      <c r="A216" s="68" t="s">
        <v>453</v>
      </c>
      <c r="B216" s="126" t="e">
        <f>VLOOKUP(A216,$A$2:$AL$285,MATCH('Character Sheet'!$BJ$3,$A$1:$AL$1,0),FALSE)</f>
        <v>#REF!</v>
      </c>
      <c r="C216" s="6" t="e">
        <f>#REF!</f>
        <v>#REF!</v>
      </c>
      <c r="D216" s="6" t="e">
        <f>#REF!</f>
        <v>#REF!</v>
      </c>
      <c r="E216" s="6" t="e">
        <f>#REF!</f>
        <v>#REF!</v>
      </c>
      <c r="F216" s="6" t="e">
        <f>#REF!</f>
        <v>#REF!</v>
      </c>
      <c r="G216" s="6" t="e">
        <f>#REF!</f>
        <v>#REF!</v>
      </c>
      <c r="H216" s="6" t="e">
        <f>#REF!</f>
        <v>#REF!</v>
      </c>
      <c r="I216" s="6" t="e">
        <f>#REF!</f>
        <v>#REF!</v>
      </c>
      <c r="J216" s="6" t="e">
        <f>#REF!</f>
        <v>#REF!</v>
      </c>
      <c r="K216" s="6" t="e">
        <f>#REF!</f>
        <v>#REF!</v>
      </c>
      <c r="L216" s="6" t="e">
        <f>#REF!</f>
        <v>#REF!</v>
      </c>
      <c r="M216" s="6" t="e">
        <f>#REF!</f>
        <v>#REF!</v>
      </c>
      <c r="N216" s="6" t="e">
        <f>#REF!</f>
        <v>#REF!</v>
      </c>
      <c r="O216" s="6" t="e">
        <f>#REF!</f>
        <v>#REF!</v>
      </c>
      <c r="P216" s="6" t="e">
        <f>#REF!</f>
        <v>#REF!</v>
      </c>
      <c r="Q216" s="6" t="e">
        <f>#REF!</f>
        <v>#REF!</v>
      </c>
      <c r="R216" s="6" t="e">
        <f>#REF!</f>
        <v>#REF!</v>
      </c>
      <c r="S216" s="6" t="e">
        <f>#REF!</f>
        <v>#REF!</v>
      </c>
      <c r="T216" s="6" t="e">
        <f>#REF!</f>
        <v>#REF!</v>
      </c>
      <c r="U216" s="6" t="e">
        <f>#REF!</f>
        <v>#REF!</v>
      </c>
      <c r="V216" s="6" t="e">
        <f>#REF!</f>
        <v>#REF!</v>
      </c>
      <c r="W216" s="6" t="e">
        <f>#REF!</f>
        <v>#REF!</v>
      </c>
      <c r="X216" s="6" t="e">
        <f>#REF!</f>
        <v>#REF!</v>
      </c>
      <c r="Y216" s="6" t="e">
        <f>#REF!</f>
        <v>#REF!</v>
      </c>
      <c r="Z216" s="6" t="e">
        <f>#REF!</f>
        <v>#REF!</v>
      </c>
      <c r="AA216" s="6" t="e">
        <f>#REF!</f>
        <v>#REF!</v>
      </c>
      <c r="AB216" s="6" t="e">
        <f>#REF!</f>
        <v>#REF!</v>
      </c>
      <c r="AC216" s="6" t="e">
        <f>#REF!</f>
        <v>#REF!</v>
      </c>
      <c r="AD216" s="6" t="e">
        <f>#REF!</f>
        <v>#REF!</v>
      </c>
      <c r="AE216" s="6" t="e">
        <f>#REF!</f>
        <v>#REF!</v>
      </c>
      <c r="AF216" s="6" t="e">
        <f>#REF!</f>
        <v>#REF!</v>
      </c>
      <c r="AG216" s="6" t="e">
        <f>#REF!</f>
        <v>#REF!</v>
      </c>
      <c r="AH216" s="6" t="e">
        <f>#REF!</f>
        <v>#REF!</v>
      </c>
      <c r="AI216" s="6" t="e">
        <f>#REF!</f>
        <v>#REF!</v>
      </c>
      <c r="AJ216" s="6" t="e">
        <f>#REF!</f>
        <v>#REF!</v>
      </c>
      <c r="AK216" s="6" t="e">
        <f>#REF!</f>
        <v>#REF!</v>
      </c>
      <c r="AL216" s="6" t="e">
        <f>#REF!</f>
        <v>#REF!</v>
      </c>
    </row>
    <row r="217" spans="1:38" x14ac:dyDescent="0.25">
      <c r="A217" s="68" t="s">
        <v>454</v>
      </c>
      <c r="B217" s="126" t="e">
        <f>VLOOKUP(A217,$A$2:$AL$285,MATCH('Character Sheet'!$BJ$3,$A$1:$AL$1,0),FALSE)</f>
        <v>#REF!</v>
      </c>
      <c r="C217" s="6" t="e">
        <f>#REF!</f>
        <v>#REF!</v>
      </c>
      <c r="D217" s="6" t="e">
        <f>#REF!</f>
        <v>#REF!</v>
      </c>
      <c r="E217" s="6" t="e">
        <f>#REF!</f>
        <v>#REF!</v>
      </c>
      <c r="F217" s="6" t="e">
        <f>#REF!</f>
        <v>#REF!</v>
      </c>
      <c r="G217" s="6" t="e">
        <f>#REF!</f>
        <v>#REF!</v>
      </c>
      <c r="H217" s="6" t="e">
        <f>#REF!</f>
        <v>#REF!</v>
      </c>
      <c r="I217" s="6" t="e">
        <f>#REF!</f>
        <v>#REF!</v>
      </c>
      <c r="J217" s="6" t="e">
        <f>#REF!</f>
        <v>#REF!</v>
      </c>
      <c r="K217" s="6" t="e">
        <f>#REF!</f>
        <v>#REF!</v>
      </c>
      <c r="L217" s="6" t="e">
        <f>#REF!</f>
        <v>#REF!</v>
      </c>
      <c r="M217" s="6" t="e">
        <f>#REF!</f>
        <v>#REF!</v>
      </c>
      <c r="N217" s="6" t="e">
        <f>#REF!</f>
        <v>#REF!</v>
      </c>
      <c r="O217" s="6" t="e">
        <f>#REF!</f>
        <v>#REF!</v>
      </c>
      <c r="P217" s="6" t="e">
        <f>#REF!</f>
        <v>#REF!</v>
      </c>
      <c r="Q217" s="6" t="e">
        <f>#REF!</f>
        <v>#REF!</v>
      </c>
      <c r="R217" s="6" t="e">
        <f>#REF!</f>
        <v>#REF!</v>
      </c>
      <c r="S217" s="6" t="e">
        <f>#REF!</f>
        <v>#REF!</v>
      </c>
      <c r="T217" s="6" t="e">
        <f>#REF!</f>
        <v>#REF!</v>
      </c>
      <c r="U217" s="6" t="e">
        <f>#REF!</f>
        <v>#REF!</v>
      </c>
      <c r="V217" s="6" t="e">
        <f>#REF!</f>
        <v>#REF!</v>
      </c>
      <c r="W217" s="6" t="e">
        <f>#REF!</f>
        <v>#REF!</v>
      </c>
      <c r="X217" s="6" t="e">
        <f>#REF!</f>
        <v>#REF!</v>
      </c>
      <c r="Y217" s="6" t="e">
        <f>#REF!</f>
        <v>#REF!</v>
      </c>
      <c r="Z217" s="6" t="e">
        <f>#REF!</f>
        <v>#REF!</v>
      </c>
      <c r="AA217" s="6" t="e">
        <f>#REF!</f>
        <v>#REF!</v>
      </c>
      <c r="AB217" s="6" t="e">
        <f>#REF!</f>
        <v>#REF!</v>
      </c>
      <c r="AC217" s="6" t="e">
        <f>#REF!</f>
        <v>#REF!</v>
      </c>
      <c r="AD217" s="6" t="e">
        <f>#REF!</f>
        <v>#REF!</v>
      </c>
      <c r="AE217" s="6" t="e">
        <f>#REF!</f>
        <v>#REF!</v>
      </c>
      <c r="AF217" s="6" t="e">
        <f>#REF!</f>
        <v>#REF!</v>
      </c>
      <c r="AG217" s="6" t="e">
        <f>#REF!</f>
        <v>#REF!</v>
      </c>
      <c r="AH217" s="6" t="e">
        <f>#REF!</f>
        <v>#REF!</v>
      </c>
      <c r="AI217" s="6" t="e">
        <f>#REF!</f>
        <v>#REF!</v>
      </c>
      <c r="AJ217" s="6" t="e">
        <f>#REF!</f>
        <v>#REF!</v>
      </c>
      <c r="AK217" s="6" t="e">
        <f>#REF!</f>
        <v>#REF!</v>
      </c>
      <c r="AL217" s="6" t="e">
        <f>#REF!</f>
        <v>#REF!</v>
      </c>
    </row>
    <row r="218" spans="1:38" x14ac:dyDescent="0.25">
      <c r="A218" s="68" t="s">
        <v>455</v>
      </c>
      <c r="B218" s="126" t="e">
        <f>VLOOKUP(A218,$A$2:$AL$285,MATCH('Character Sheet'!$BJ$3,$A$1:$AL$1,0),FALSE)</f>
        <v>#REF!</v>
      </c>
      <c r="C218" s="6" t="e">
        <f>#REF!</f>
        <v>#REF!</v>
      </c>
      <c r="D218" s="6" t="e">
        <f>#REF!</f>
        <v>#REF!</v>
      </c>
      <c r="E218" s="6" t="e">
        <f>#REF!</f>
        <v>#REF!</v>
      </c>
      <c r="F218" s="6" t="e">
        <f>#REF!</f>
        <v>#REF!</v>
      </c>
      <c r="G218" s="6" t="e">
        <f>#REF!</f>
        <v>#REF!</v>
      </c>
      <c r="H218" s="6" t="e">
        <f>#REF!</f>
        <v>#REF!</v>
      </c>
      <c r="I218" s="6" t="e">
        <f>#REF!</f>
        <v>#REF!</v>
      </c>
      <c r="J218" s="6" t="e">
        <f>#REF!</f>
        <v>#REF!</v>
      </c>
      <c r="K218" s="6" t="e">
        <f>#REF!</f>
        <v>#REF!</v>
      </c>
      <c r="L218" s="6" t="e">
        <f>#REF!</f>
        <v>#REF!</v>
      </c>
      <c r="M218" s="6" t="e">
        <f>#REF!</f>
        <v>#REF!</v>
      </c>
      <c r="N218" s="6" t="e">
        <f>#REF!</f>
        <v>#REF!</v>
      </c>
      <c r="O218" s="6" t="e">
        <f>#REF!</f>
        <v>#REF!</v>
      </c>
      <c r="P218" s="6" t="e">
        <f>#REF!</f>
        <v>#REF!</v>
      </c>
      <c r="Q218" s="6" t="e">
        <f>#REF!</f>
        <v>#REF!</v>
      </c>
      <c r="R218" s="6" t="e">
        <f>#REF!</f>
        <v>#REF!</v>
      </c>
      <c r="S218" s="6" t="e">
        <f>#REF!</f>
        <v>#REF!</v>
      </c>
      <c r="T218" s="6" t="e">
        <f>#REF!</f>
        <v>#REF!</v>
      </c>
      <c r="U218" s="6" t="e">
        <f>#REF!</f>
        <v>#REF!</v>
      </c>
      <c r="V218" s="6" t="e">
        <f>#REF!</f>
        <v>#REF!</v>
      </c>
      <c r="W218" s="6" t="e">
        <f>#REF!</f>
        <v>#REF!</v>
      </c>
      <c r="X218" s="6" t="e">
        <f>#REF!</f>
        <v>#REF!</v>
      </c>
      <c r="Y218" s="6" t="e">
        <f>#REF!</f>
        <v>#REF!</v>
      </c>
      <c r="Z218" s="6" t="e">
        <f>#REF!</f>
        <v>#REF!</v>
      </c>
      <c r="AA218" s="6" t="e">
        <f>#REF!</f>
        <v>#REF!</v>
      </c>
      <c r="AB218" s="6" t="e">
        <f>#REF!</f>
        <v>#REF!</v>
      </c>
      <c r="AC218" s="6" t="e">
        <f>#REF!</f>
        <v>#REF!</v>
      </c>
      <c r="AD218" s="6" t="e">
        <f>#REF!</f>
        <v>#REF!</v>
      </c>
      <c r="AE218" s="6" t="e">
        <f>#REF!</f>
        <v>#REF!</v>
      </c>
      <c r="AF218" s="6" t="e">
        <f>#REF!</f>
        <v>#REF!</v>
      </c>
      <c r="AG218" s="6" t="e">
        <f>#REF!</f>
        <v>#REF!</v>
      </c>
      <c r="AH218" s="6" t="e">
        <f>#REF!</f>
        <v>#REF!</v>
      </c>
      <c r="AI218" s="6" t="e">
        <f>#REF!</f>
        <v>#REF!</v>
      </c>
      <c r="AJ218" s="6" t="e">
        <f>#REF!</f>
        <v>#REF!</v>
      </c>
      <c r="AK218" s="6" t="e">
        <f>#REF!</f>
        <v>#REF!</v>
      </c>
      <c r="AL218" s="6" t="e">
        <f>#REF!</f>
        <v>#REF!</v>
      </c>
    </row>
    <row r="219" spans="1:38" x14ac:dyDescent="0.25">
      <c r="A219" s="68" t="s">
        <v>456</v>
      </c>
      <c r="B219" s="126" t="e">
        <f>VLOOKUP(A219,$A$2:$AL$285,MATCH('Character Sheet'!$BJ$3,$A$1:$AL$1,0),FALSE)</f>
        <v>#REF!</v>
      </c>
      <c r="C219" s="6" t="e">
        <f>#REF!</f>
        <v>#REF!</v>
      </c>
      <c r="D219" s="6" t="e">
        <f>#REF!</f>
        <v>#REF!</v>
      </c>
      <c r="E219" s="6" t="e">
        <f>#REF!</f>
        <v>#REF!</v>
      </c>
      <c r="F219" s="6" t="e">
        <f>#REF!</f>
        <v>#REF!</v>
      </c>
      <c r="G219" s="6" t="e">
        <f>#REF!</f>
        <v>#REF!</v>
      </c>
      <c r="H219" s="6" t="e">
        <f>#REF!</f>
        <v>#REF!</v>
      </c>
      <c r="I219" s="6" t="e">
        <f>#REF!</f>
        <v>#REF!</v>
      </c>
      <c r="J219" s="6" t="e">
        <f>#REF!</f>
        <v>#REF!</v>
      </c>
      <c r="K219" s="6" t="e">
        <f>#REF!</f>
        <v>#REF!</v>
      </c>
      <c r="L219" s="6" t="e">
        <f>#REF!</f>
        <v>#REF!</v>
      </c>
      <c r="M219" s="6" t="e">
        <f>#REF!</f>
        <v>#REF!</v>
      </c>
      <c r="N219" s="6" t="e">
        <f>#REF!</f>
        <v>#REF!</v>
      </c>
      <c r="O219" s="6" t="e">
        <f>#REF!</f>
        <v>#REF!</v>
      </c>
      <c r="P219" s="6" t="e">
        <f>#REF!</f>
        <v>#REF!</v>
      </c>
      <c r="Q219" s="6" t="e">
        <f>#REF!</f>
        <v>#REF!</v>
      </c>
      <c r="R219" s="6" t="e">
        <f>#REF!</f>
        <v>#REF!</v>
      </c>
      <c r="S219" s="6" t="e">
        <f>#REF!</f>
        <v>#REF!</v>
      </c>
      <c r="T219" s="6" t="e">
        <f>#REF!</f>
        <v>#REF!</v>
      </c>
      <c r="U219" s="6" t="e">
        <f>#REF!</f>
        <v>#REF!</v>
      </c>
      <c r="V219" s="6" t="e">
        <f>#REF!</f>
        <v>#REF!</v>
      </c>
      <c r="W219" s="6" t="e">
        <f>#REF!</f>
        <v>#REF!</v>
      </c>
      <c r="X219" s="6" t="e">
        <f>#REF!</f>
        <v>#REF!</v>
      </c>
      <c r="Y219" s="6" t="e">
        <f>#REF!</f>
        <v>#REF!</v>
      </c>
      <c r="Z219" s="6" t="e">
        <f>#REF!</f>
        <v>#REF!</v>
      </c>
      <c r="AA219" s="6" t="e">
        <f>#REF!</f>
        <v>#REF!</v>
      </c>
      <c r="AB219" s="6" t="e">
        <f>#REF!</f>
        <v>#REF!</v>
      </c>
      <c r="AC219" s="6" t="e">
        <f>#REF!</f>
        <v>#REF!</v>
      </c>
      <c r="AD219" s="6" t="e">
        <f>#REF!</f>
        <v>#REF!</v>
      </c>
      <c r="AE219" s="6" t="e">
        <f>#REF!</f>
        <v>#REF!</v>
      </c>
      <c r="AF219" s="6" t="e">
        <f>#REF!</f>
        <v>#REF!</v>
      </c>
      <c r="AG219" s="6" t="e">
        <f>#REF!</f>
        <v>#REF!</v>
      </c>
      <c r="AH219" s="6" t="e">
        <f>#REF!</f>
        <v>#REF!</v>
      </c>
      <c r="AI219" s="6" t="e">
        <f>#REF!</f>
        <v>#REF!</v>
      </c>
      <c r="AJ219" s="6" t="e">
        <f>#REF!</f>
        <v>#REF!</v>
      </c>
      <c r="AK219" s="6" t="e">
        <f>#REF!</f>
        <v>#REF!</v>
      </c>
      <c r="AL219" s="6" t="e">
        <f>#REF!</f>
        <v>#REF!</v>
      </c>
    </row>
    <row r="220" spans="1:38" x14ac:dyDescent="0.25">
      <c r="A220" s="68" t="s">
        <v>457</v>
      </c>
      <c r="B220" s="126" t="e">
        <f>VLOOKUP(A220,$A$2:$AL$285,MATCH('Character Sheet'!$BJ$3,$A$1:$AL$1,0),FALSE)</f>
        <v>#REF!</v>
      </c>
      <c r="C220" s="6" t="e">
        <f>#REF!</f>
        <v>#REF!</v>
      </c>
      <c r="D220" s="6" t="e">
        <f>#REF!</f>
        <v>#REF!</v>
      </c>
      <c r="E220" s="6" t="e">
        <f>#REF!</f>
        <v>#REF!</v>
      </c>
      <c r="F220" s="6" t="e">
        <f>#REF!</f>
        <v>#REF!</v>
      </c>
      <c r="G220" s="6" t="e">
        <f>#REF!</f>
        <v>#REF!</v>
      </c>
      <c r="H220" s="6" t="e">
        <f>#REF!</f>
        <v>#REF!</v>
      </c>
      <c r="I220" s="6" t="e">
        <f>#REF!</f>
        <v>#REF!</v>
      </c>
      <c r="J220" s="6" t="e">
        <f>#REF!</f>
        <v>#REF!</v>
      </c>
      <c r="K220" s="6" t="e">
        <f>#REF!</f>
        <v>#REF!</v>
      </c>
      <c r="L220" s="6" t="e">
        <f>#REF!</f>
        <v>#REF!</v>
      </c>
      <c r="M220" s="6" t="e">
        <f>#REF!</f>
        <v>#REF!</v>
      </c>
      <c r="N220" s="6" t="e">
        <f>#REF!</f>
        <v>#REF!</v>
      </c>
      <c r="O220" s="6" t="e">
        <f>#REF!</f>
        <v>#REF!</v>
      </c>
      <c r="P220" s="6" t="e">
        <f>#REF!</f>
        <v>#REF!</v>
      </c>
      <c r="Q220" s="6" t="e">
        <f>#REF!</f>
        <v>#REF!</v>
      </c>
      <c r="R220" s="6" t="e">
        <f>#REF!</f>
        <v>#REF!</v>
      </c>
      <c r="S220" s="6" t="e">
        <f>#REF!</f>
        <v>#REF!</v>
      </c>
      <c r="T220" s="6" t="e">
        <f>#REF!</f>
        <v>#REF!</v>
      </c>
      <c r="U220" s="6" t="e">
        <f>#REF!</f>
        <v>#REF!</v>
      </c>
      <c r="V220" s="6" t="e">
        <f>#REF!</f>
        <v>#REF!</v>
      </c>
      <c r="W220" s="6" t="e">
        <f>#REF!</f>
        <v>#REF!</v>
      </c>
      <c r="X220" s="6" t="e">
        <f>#REF!</f>
        <v>#REF!</v>
      </c>
      <c r="Y220" s="6" t="e">
        <f>#REF!</f>
        <v>#REF!</v>
      </c>
      <c r="Z220" s="6" t="e">
        <f>#REF!</f>
        <v>#REF!</v>
      </c>
      <c r="AA220" s="6" t="e">
        <f>#REF!</f>
        <v>#REF!</v>
      </c>
      <c r="AB220" s="6" t="e">
        <f>#REF!</f>
        <v>#REF!</v>
      </c>
      <c r="AC220" s="6" t="e">
        <f>#REF!</f>
        <v>#REF!</v>
      </c>
      <c r="AD220" s="6" t="e">
        <f>#REF!</f>
        <v>#REF!</v>
      </c>
      <c r="AE220" s="6" t="e">
        <f>#REF!</f>
        <v>#REF!</v>
      </c>
      <c r="AF220" s="6" t="e">
        <f>#REF!</f>
        <v>#REF!</v>
      </c>
      <c r="AG220" s="6" t="e">
        <f>#REF!</f>
        <v>#REF!</v>
      </c>
      <c r="AH220" s="6" t="e">
        <f>#REF!</f>
        <v>#REF!</v>
      </c>
      <c r="AI220" s="6" t="e">
        <f>#REF!</f>
        <v>#REF!</v>
      </c>
      <c r="AJ220" s="6" t="e">
        <f>#REF!</f>
        <v>#REF!</v>
      </c>
      <c r="AK220" s="6" t="e">
        <f>#REF!</f>
        <v>#REF!</v>
      </c>
      <c r="AL220" s="6" t="e">
        <f>#REF!</f>
        <v>#REF!</v>
      </c>
    </row>
    <row r="221" spans="1:38" x14ac:dyDescent="0.25">
      <c r="A221" s="68" t="s">
        <v>458</v>
      </c>
      <c r="B221" s="126" t="e">
        <f>VLOOKUP(A221,$A$2:$AL$285,MATCH('Character Sheet'!$BJ$3,$A$1:$AL$1,0),FALSE)</f>
        <v>#REF!</v>
      </c>
      <c r="C221" s="6" t="e">
        <f>#REF!</f>
        <v>#REF!</v>
      </c>
      <c r="D221" s="6" t="e">
        <f>#REF!</f>
        <v>#REF!</v>
      </c>
      <c r="E221" s="6" t="e">
        <f>#REF!</f>
        <v>#REF!</v>
      </c>
      <c r="F221" s="6" t="e">
        <f>#REF!</f>
        <v>#REF!</v>
      </c>
      <c r="G221" s="6" t="e">
        <f>#REF!</f>
        <v>#REF!</v>
      </c>
      <c r="H221" s="6" t="e">
        <f>#REF!</f>
        <v>#REF!</v>
      </c>
      <c r="I221" s="6" t="e">
        <f>#REF!</f>
        <v>#REF!</v>
      </c>
      <c r="J221" s="6" t="e">
        <f>#REF!</f>
        <v>#REF!</v>
      </c>
      <c r="K221" s="6" t="e">
        <f>#REF!</f>
        <v>#REF!</v>
      </c>
      <c r="L221" s="6" t="e">
        <f>#REF!</f>
        <v>#REF!</v>
      </c>
      <c r="M221" s="6" t="e">
        <f>#REF!</f>
        <v>#REF!</v>
      </c>
      <c r="N221" s="6" t="e">
        <f>#REF!</f>
        <v>#REF!</v>
      </c>
      <c r="O221" s="6" t="e">
        <f>#REF!</f>
        <v>#REF!</v>
      </c>
      <c r="P221" s="6" t="e">
        <f>#REF!</f>
        <v>#REF!</v>
      </c>
      <c r="Q221" s="6" t="e">
        <f>#REF!</f>
        <v>#REF!</v>
      </c>
      <c r="R221" s="6" t="e">
        <f>#REF!</f>
        <v>#REF!</v>
      </c>
      <c r="S221" s="6" t="e">
        <f>#REF!</f>
        <v>#REF!</v>
      </c>
      <c r="T221" s="6" t="e">
        <f>#REF!</f>
        <v>#REF!</v>
      </c>
      <c r="U221" s="6" t="e">
        <f>#REF!</f>
        <v>#REF!</v>
      </c>
      <c r="V221" s="6" t="e">
        <f>#REF!</f>
        <v>#REF!</v>
      </c>
      <c r="W221" s="6" t="e">
        <f>#REF!</f>
        <v>#REF!</v>
      </c>
      <c r="X221" s="6" t="e">
        <f>#REF!</f>
        <v>#REF!</v>
      </c>
      <c r="Y221" s="6" t="e">
        <f>#REF!</f>
        <v>#REF!</v>
      </c>
      <c r="Z221" s="6" t="e">
        <f>#REF!</f>
        <v>#REF!</v>
      </c>
      <c r="AA221" s="6" t="e">
        <f>#REF!</f>
        <v>#REF!</v>
      </c>
      <c r="AB221" s="6" t="e">
        <f>#REF!</f>
        <v>#REF!</v>
      </c>
      <c r="AC221" s="6" t="e">
        <f>#REF!</f>
        <v>#REF!</v>
      </c>
      <c r="AD221" s="6" t="e">
        <f>#REF!</f>
        <v>#REF!</v>
      </c>
      <c r="AE221" s="6" t="e">
        <f>#REF!</f>
        <v>#REF!</v>
      </c>
      <c r="AF221" s="6" t="e">
        <f>#REF!</f>
        <v>#REF!</v>
      </c>
      <c r="AG221" s="6" t="e">
        <f>#REF!</f>
        <v>#REF!</v>
      </c>
      <c r="AH221" s="6" t="e">
        <f>#REF!</f>
        <v>#REF!</v>
      </c>
      <c r="AI221" s="6" t="e">
        <f>#REF!</f>
        <v>#REF!</v>
      </c>
      <c r="AJ221" s="6" t="e">
        <f>#REF!</f>
        <v>#REF!</v>
      </c>
      <c r="AK221" s="6" t="e">
        <f>#REF!</f>
        <v>#REF!</v>
      </c>
      <c r="AL221" s="6" t="e">
        <f>#REF!</f>
        <v>#REF!</v>
      </c>
    </row>
    <row r="222" spans="1:38" x14ac:dyDescent="0.25">
      <c r="A222" s="68" t="s">
        <v>459</v>
      </c>
      <c r="B222" s="126" t="e">
        <f>VLOOKUP(A222,$A$2:$AL$285,MATCH('Character Sheet'!$BJ$3,$A$1:$AL$1,0),FALSE)</f>
        <v>#REF!</v>
      </c>
      <c r="C222" s="6" t="e">
        <f>#REF!</f>
        <v>#REF!</v>
      </c>
      <c r="D222" s="6" t="e">
        <f>#REF!</f>
        <v>#REF!</v>
      </c>
      <c r="E222" s="6" t="e">
        <f>#REF!</f>
        <v>#REF!</v>
      </c>
      <c r="F222" s="6" t="e">
        <f>#REF!</f>
        <v>#REF!</v>
      </c>
      <c r="G222" s="6" t="e">
        <f>#REF!</f>
        <v>#REF!</v>
      </c>
      <c r="H222" s="6" t="e">
        <f>#REF!</f>
        <v>#REF!</v>
      </c>
      <c r="I222" s="6" t="e">
        <f>#REF!</f>
        <v>#REF!</v>
      </c>
      <c r="J222" s="6" t="e">
        <f>#REF!</f>
        <v>#REF!</v>
      </c>
      <c r="K222" s="6" t="e">
        <f>#REF!</f>
        <v>#REF!</v>
      </c>
      <c r="L222" s="6" t="e">
        <f>#REF!</f>
        <v>#REF!</v>
      </c>
      <c r="M222" s="6" t="e">
        <f>#REF!</f>
        <v>#REF!</v>
      </c>
      <c r="N222" s="6" t="e">
        <f>#REF!</f>
        <v>#REF!</v>
      </c>
      <c r="O222" s="6" t="e">
        <f>#REF!</f>
        <v>#REF!</v>
      </c>
      <c r="P222" s="6" t="e">
        <f>#REF!</f>
        <v>#REF!</v>
      </c>
      <c r="Q222" s="6" t="e">
        <f>#REF!</f>
        <v>#REF!</v>
      </c>
      <c r="R222" s="6" t="e">
        <f>#REF!</f>
        <v>#REF!</v>
      </c>
      <c r="S222" s="6" t="e">
        <f>#REF!</f>
        <v>#REF!</v>
      </c>
      <c r="T222" s="6" t="e">
        <f>#REF!</f>
        <v>#REF!</v>
      </c>
      <c r="U222" s="6" t="e">
        <f>#REF!</f>
        <v>#REF!</v>
      </c>
      <c r="V222" s="6" t="e">
        <f>#REF!</f>
        <v>#REF!</v>
      </c>
      <c r="W222" s="6" t="e">
        <f>#REF!</f>
        <v>#REF!</v>
      </c>
      <c r="X222" s="6" t="e">
        <f>#REF!</f>
        <v>#REF!</v>
      </c>
      <c r="Y222" s="6" t="e">
        <f>#REF!</f>
        <v>#REF!</v>
      </c>
      <c r="Z222" s="6" t="e">
        <f>#REF!</f>
        <v>#REF!</v>
      </c>
      <c r="AA222" s="6" t="e">
        <f>#REF!</f>
        <v>#REF!</v>
      </c>
      <c r="AB222" s="6" t="e">
        <f>#REF!</f>
        <v>#REF!</v>
      </c>
      <c r="AC222" s="6" t="e">
        <f>#REF!</f>
        <v>#REF!</v>
      </c>
      <c r="AD222" s="6" t="e">
        <f>#REF!</f>
        <v>#REF!</v>
      </c>
      <c r="AE222" s="6" t="e">
        <f>#REF!</f>
        <v>#REF!</v>
      </c>
      <c r="AF222" s="6" t="e">
        <f>#REF!</f>
        <v>#REF!</v>
      </c>
      <c r="AG222" s="6" t="e">
        <f>#REF!</f>
        <v>#REF!</v>
      </c>
      <c r="AH222" s="6" t="e">
        <f>#REF!</f>
        <v>#REF!</v>
      </c>
      <c r="AI222" s="6" t="e">
        <f>#REF!</f>
        <v>#REF!</v>
      </c>
      <c r="AJ222" s="6" t="e">
        <f>#REF!</f>
        <v>#REF!</v>
      </c>
      <c r="AK222" s="6" t="e">
        <f>#REF!</f>
        <v>#REF!</v>
      </c>
      <c r="AL222" s="6" t="e">
        <f>#REF!</f>
        <v>#REF!</v>
      </c>
    </row>
    <row r="223" spans="1:38" x14ac:dyDescent="0.25">
      <c r="A223" s="68" t="s">
        <v>460</v>
      </c>
      <c r="B223" s="126" t="e">
        <f>VLOOKUP(A223,$A$2:$AL$285,MATCH('Character Sheet'!$BJ$3,$A$1:$AL$1,0),FALSE)</f>
        <v>#REF!</v>
      </c>
      <c r="C223" s="6" t="e">
        <f>#REF!</f>
        <v>#REF!</v>
      </c>
      <c r="D223" s="6" t="e">
        <f>#REF!</f>
        <v>#REF!</v>
      </c>
      <c r="E223" s="6" t="e">
        <f>#REF!</f>
        <v>#REF!</v>
      </c>
      <c r="F223" s="6" t="e">
        <f>#REF!</f>
        <v>#REF!</v>
      </c>
      <c r="G223" s="6" t="e">
        <f>#REF!</f>
        <v>#REF!</v>
      </c>
      <c r="H223" s="6" t="e">
        <f>#REF!</f>
        <v>#REF!</v>
      </c>
      <c r="I223" s="6" t="e">
        <f>#REF!</f>
        <v>#REF!</v>
      </c>
      <c r="J223" s="6" t="e">
        <f>#REF!</f>
        <v>#REF!</v>
      </c>
      <c r="K223" s="6" t="e">
        <f>#REF!</f>
        <v>#REF!</v>
      </c>
      <c r="L223" s="6" t="e">
        <f>#REF!</f>
        <v>#REF!</v>
      </c>
      <c r="M223" s="6" t="e">
        <f>#REF!</f>
        <v>#REF!</v>
      </c>
      <c r="N223" s="6" t="e">
        <f>#REF!</f>
        <v>#REF!</v>
      </c>
      <c r="O223" s="6" t="e">
        <f>#REF!</f>
        <v>#REF!</v>
      </c>
      <c r="P223" s="6" t="e">
        <f>#REF!</f>
        <v>#REF!</v>
      </c>
      <c r="Q223" s="6" t="e">
        <f>#REF!</f>
        <v>#REF!</v>
      </c>
      <c r="R223" s="6" t="e">
        <f>#REF!</f>
        <v>#REF!</v>
      </c>
      <c r="S223" s="6" t="e">
        <f>#REF!</f>
        <v>#REF!</v>
      </c>
      <c r="T223" s="6" t="e">
        <f>#REF!</f>
        <v>#REF!</v>
      </c>
      <c r="U223" s="6" t="e">
        <f>#REF!</f>
        <v>#REF!</v>
      </c>
      <c r="V223" s="6" t="e">
        <f>#REF!</f>
        <v>#REF!</v>
      </c>
      <c r="W223" s="6" t="e">
        <f>#REF!</f>
        <v>#REF!</v>
      </c>
      <c r="X223" s="6" t="e">
        <f>#REF!</f>
        <v>#REF!</v>
      </c>
      <c r="Y223" s="6" t="e">
        <f>#REF!</f>
        <v>#REF!</v>
      </c>
      <c r="Z223" s="6" t="e">
        <f>#REF!</f>
        <v>#REF!</v>
      </c>
      <c r="AA223" s="6" t="e">
        <f>#REF!</f>
        <v>#REF!</v>
      </c>
      <c r="AB223" s="6" t="e">
        <f>#REF!</f>
        <v>#REF!</v>
      </c>
      <c r="AC223" s="6" t="e">
        <f>#REF!</f>
        <v>#REF!</v>
      </c>
      <c r="AD223" s="6" t="e">
        <f>#REF!</f>
        <v>#REF!</v>
      </c>
      <c r="AE223" s="6" t="e">
        <f>#REF!</f>
        <v>#REF!</v>
      </c>
      <c r="AF223" s="6" t="e">
        <f>#REF!</f>
        <v>#REF!</v>
      </c>
      <c r="AG223" s="6" t="e">
        <f>#REF!</f>
        <v>#REF!</v>
      </c>
      <c r="AH223" s="6" t="e">
        <f>#REF!</f>
        <v>#REF!</v>
      </c>
      <c r="AI223" s="6" t="e">
        <f>#REF!</f>
        <v>#REF!</v>
      </c>
      <c r="AJ223" s="6" t="e">
        <f>#REF!</f>
        <v>#REF!</v>
      </c>
      <c r="AK223" s="6" t="e">
        <f>#REF!</f>
        <v>#REF!</v>
      </c>
      <c r="AL223" s="6" t="e">
        <f>#REF!</f>
        <v>#REF!</v>
      </c>
    </row>
    <row r="224" spans="1:38" x14ac:dyDescent="0.25">
      <c r="A224" s="68" t="s">
        <v>461</v>
      </c>
      <c r="B224" s="126" t="e">
        <f>VLOOKUP(A224,$A$2:$AL$285,MATCH('Character Sheet'!$BJ$3,$A$1:$AL$1,0),FALSE)</f>
        <v>#REF!</v>
      </c>
      <c r="C224" s="6" t="e">
        <f>#REF!</f>
        <v>#REF!</v>
      </c>
      <c r="D224" s="6" t="e">
        <f>#REF!</f>
        <v>#REF!</v>
      </c>
      <c r="E224" s="6" t="e">
        <f>#REF!</f>
        <v>#REF!</v>
      </c>
      <c r="F224" s="6" t="e">
        <f>#REF!</f>
        <v>#REF!</v>
      </c>
      <c r="G224" s="6" t="e">
        <f>#REF!</f>
        <v>#REF!</v>
      </c>
      <c r="H224" s="6" t="e">
        <f>#REF!</f>
        <v>#REF!</v>
      </c>
      <c r="I224" s="6" t="e">
        <f>#REF!</f>
        <v>#REF!</v>
      </c>
      <c r="J224" s="6" t="e">
        <f>#REF!</f>
        <v>#REF!</v>
      </c>
      <c r="K224" s="6" t="e">
        <f>#REF!</f>
        <v>#REF!</v>
      </c>
      <c r="L224" s="6" t="e">
        <f>#REF!</f>
        <v>#REF!</v>
      </c>
      <c r="M224" s="6" t="e">
        <f>#REF!</f>
        <v>#REF!</v>
      </c>
      <c r="N224" s="6" t="e">
        <f>#REF!</f>
        <v>#REF!</v>
      </c>
      <c r="O224" s="6" t="e">
        <f>#REF!</f>
        <v>#REF!</v>
      </c>
      <c r="P224" s="6" t="e">
        <f>#REF!</f>
        <v>#REF!</v>
      </c>
      <c r="Q224" s="6" t="e">
        <f>#REF!</f>
        <v>#REF!</v>
      </c>
      <c r="R224" s="6" t="e">
        <f>#REF!</f>
        <v>#REF!</v>
      </c>
      <c r="S224" s="6" t="e">
        <f>#REF!</f>
        <v>#REF!</v>
      </c>
      <c r="T224" s="6" t="e">
        <f>#REF!</f>
        <v>#REF!</v>
      </c>
      <c r="U224" s="6" t="e">
        <f>#REF!</f>
        <v>#REF!</v>
      </c>
      <c r="V224" s="6" t="e">
        <f>#REF!</f>
        <v>#REF!</v>
      </c>
      <c r="W224" s="6" t="e">
        <f>#REF!</f>
        <v>#REF!</v>
      </c>
      <c r="X224" s="6" t="e">
        <f>#REF!</f>
        <v>#REF!</v>
      </c>
      <c r="Y224" s="6" t="e">
        <f>#REF!</f>
        <v>#REF!</v>
      </c>
      <c r="Z224" s="6" t="e">
        <f>#REF!</f>
        <v>#REF!</v>
      </c>
      <c r="AA224" s="6" t="e">
        <f>#REF!</f>
        <v>#REF!</v>
      </c>
      <c r="AB224" s="6" t="e">
        <f>#REF!</f>
        <v>#REF!</v>
      </c>
      <c r="AC224" s="6" t="e">
        <f>#REF!</f>
        <v>#REF!</v>
      </c>
      <c r="AD224" s="6" t="e">
        <f>#REF!</f>
        <v>#REF!</v>
      </c>
      <c r="AE224" s="6" t="e">
        <f>#REF!</f>
        <v>#REF!</v>
      </c>
      <c r="AF224" s="6" t="e">
        <f>#REF!</f>
        <v>#REF!</v>
      </c>
      <c r="AG224" s="6" t="e">
        <f>#REF!</f>
        <v>#REF!</v>
      </c>
      <c r="AH224" s="6" t="e">
        <f>#REF!</f>
        <v>#REF!</v>
      </c>
      <c r="AI224" s="6" t="e">
        <f>#REF!</f>
        <v>#REF!</v>
      </c>
      <c r="AJ224" s="6" t="e">
        <f>#REF!</f>
        <v>#REF!</v>
      </c>
      <c r="AK224" s="6" t="e">
        <f>#REF!</f>
        <v>#REF!</v>
      </c>
      <c r="AL224" s="6" t="e">
        <f>#REF!</f>
        <v>#REF!</v>
      </c>
    </row>
    <row r="225" spans="1:38" x14ac:dyDescent="0.25">
      <c r="A225" s="68" t="s">
        <v>462</v>
      </c>
      <c r="B225" s="126" t="e">
        <f>VLOOKUP(A225,$A$2:$AL$285,MATCH('Character Sheet'!$BJ$3,$A$1:$AL$1,0),FALSE)</f>
        <v>#REF!</v>
      </c>
      <c r="C225" s="6" t="e">
        <f>#REF!</f>
        <v>#REF!</v>
      </c>
      <c r="D225" s="6" t="e">
        <f>#REF!</f>
        <v>#REF!</v>
      </c>
      <c r="E225" s="6" t="e">
        <f>#REF!</f>
        <v>#REF!</v>
      </c>
      <c r="F225" s="6" t="e">
        <f>#REF!</f>
        <v>#REF!</v>
      </c>
      <c r="G225" s="6" t="e">
        <f>#REF!</f>
        <v>#REF!</v>
      </c>
      <c r="H225" s="6" t="e">
        <f>#REF!</f>
        <v>#REF!</v>
      </c>
      <c r="I225" s="6" t="e">
        <f>#REF!</f>
        <v>#REF!</v>
      </c>
      <c r="J225" s="6" t="e">
        <f>#REF!</f>
        <v>#REF!</v>
      </c>
      <c r="K225" s="6" t="e">
        <f>#REF!</f>
        <v>#REF!</v>
      </c>
      <c r="L225" s="6" t="e">
        <f>#REF!</f>
        <v>#REF!</v>
      </c>
      <c r="M225" s="6" t="e">
        <f>#REF!</f>
        <v>#REF!</v>
      </c>
      <c r="N225" s="6" t="e">
        <f>#REF!</f>
        <v>#REF!</v>
      </c>
      <c r="O225" s="6" t="e">
        <f>#REF!</f>
        <v>#REF!</v>
      </c>
      <c r="P225" s="6" t="e">
        <f>#REF!</f>
        <v>#REF!</v>
      </c>
      <c r="Q225" s="6" t="e">
        <f>#REF!</f>
        <v>#REF!</v>
      </c>
      <c r="R225" s="6" t="e">
        <f>#REF!</f>
        <v>#REF!</v>
      </c>
      <c r="S225" s="6" t="e">
        <f>#REF!</f>
        <v>#REF!</v>
      </c>
      <c r="T225" s="6" t="e">
        <f>#REF!</f>
        <v>#REF!</v>
      </c>
      <c r="U225" s="6" t="e">
        <f>#REF!</f>
        <v>#REF!</v>
      </c>
      <c r="V225" s="6" t="e">
        <f>#REF!</f>
        <v>#REF!</v>
      </c>
      <c r="W225" s="6" t="e">
        <f>#REF!</f>
        <v>#REF!</v>
      </c>
      <c r="X225" s="6" t="e">
        <f>#REF!</f>
        <v>#REF!</v>
      </c>
      <c r="Y225" s="6" t="e">
        <f>#REF!</f>
        <v>#REF!</v>
      </c>
      <c r="Z225" s="6" t="e">
        <f>#REF!</f>
        <v>#REF!</v>
      </c>
      <c r="AA225" s="6" t="e">
        <f>#REF!</f>
        <v>#REF!</v>
      </c>
      <c r="AB225" s="6" t="e">
        <f>#REF!</f>
        <v>#REF!</v>
      </c>
      <c r="AC225" s="6" t="e">
        <f>#REF!</f>
        <v>#REF!</v>
      </c>
      <c r="AD225" s="6" t="e">
        <f>#REF!</f>
        <v>#REF!</v>
      </c>
      <c r="AE225" s="6" t="e">
        <f>#REF!</f>
        <v>#REF!</v>
      </c>
      <c r="AF225" s="6" t="e">
        <f>#REF!</f>
        <v>#REF!</v>
      </c>
      <c r="AG225" s="6" t="e">
        <f>#REF!</f>
        <v>#REF!</v>
      </c>
      <c r="AH225" s="6" t="e">
        <f>#REF!</f>
        <v>#REF!</v>
      </c>
      <c r="AI225" s="6" t="e">
        <f>#REF!</f>
        <v>#REF!</v>
      </c>
      <c r="AJ225" s="6" t="e">
        <f>#REF!</f>
        <v>#REF!</v>
      </c>
      <c r="AK225" s="6" t="e">
        <f>#REF!</f>
        <v>#REF!</v>
      </c>
      <c r="AL225" s="6" t="e">
        <f>#REF!</f>
        <v>#REF!</v>
      </c>
    </row>
    <row r="226" spans="1:38" x14ac:dyDescent="0.25">
      <c r="A226" s="68" t="s">
        <v>463</v>
      </c>
      <c r="B226" s="126" t="e">
        <f>VLOOKUP(A226,$A$2:$AL$285,MATCH('Character Sheet'!$BJ$3,$A$1:$AL$1,0),FALSE)</f>
        <v>#REF!</v>
      </c>
      <c r="C226" s="6" t="e">
        <f>#REF!</f>
        <v>#REF!</v>
      </c>
      <c r="D226" s="6" t="e">
        <f>#REF!</f>
        <v>#REF!</v>
      </c>
      <c r="E226" s="6" t="e">
        <f>#REF!</f>
        <v>#REF!</v>
      </c>
      <c r="F226" s="6" t="e">
        <f>#REF!</f>
        <v>#REF!</v>
      </c>
      <c r="G226" s="6" t="e">
        <f>#REF!</f>
        <v>#REF!</v>
      </c>
      <c r="H226" s="6" t="e">
        <f>#REF!</f>
        <v>#REF!</v>
      </c>
      <c r="I226" s="6" t="e">
        <f>#REF!</f>
        <v>#REF!</v>
      </c>
      <c r="J226" s="6" t="e">
        <f>#REF!</f>
        <v>#REF!</v>
      </c>
      <c r="K226" s="6" t="e">
        <f>#REF!</f>
        <v>#REF!</v>
      </c>
      <c r="L226" s="6" t="e">
        <f>#REF!</f>
        <v>#REF!</v>
      </c>
      <c r="M226" s="6" t="e">
        <f>#REF!</f>
        <v>#REF!</v>
      </c>
      <c r="N226" s="6" t="e">
        <f>#REF!</f>
        <v>#REF!</v>
      </c>
      <c r="O226" s="6" t="e">
        <f>#REF!</f>
        <v>#REF!</v>
      </c>
      <c r="P226" s="6" t="e">
        <f>#REF!</f>
        <v>#REF!</v>
      </c>
      <c r="Q226" s="6" t="e">
        <f>#REF!</f>
        <v>#REF!</v>
      </c>
      <c r="R226" s="6" t="e">
        <f>#REF!</f>
        <v>#REF!</v>
      </c>
      <c r="S226" s="6" t="e">
        <f>#REF!</f>
        <v>#REF!</v>
      </c>
      <c r="T226" s="6" t="e">
        <f>#REF!</f>
        <v>#REF!</v>
      </c>
      <c r="U226" s="6" t="e">
        <f>#REF!</f>
        <v>#REF!</v>
      </c>
      <c r="V226" s="6" t="e">
        <f>#REF!</f>
        <v>#REF!</v>
      </c>
      <c r="W226" s="6" t="e">
        <f>#REF!</f>
        <v>#REF!</v>
      </c>
      <c r="X226" s="6" t="e">
        <f>#REF!</f>
        <v>#REF!</v>
      </c>
      <c r="Y226" s="6" t="e">
        <f>#REF!</f>
        <v>#REF!</v>
      </c>
      <c r="Z226" s="6" t="e">
        <f>#REF!</f>
        <v>#REF!</v>
      </c>
      <c r="AA226" s="6" t="e">
        <f>#REF!</f>
        <v>#REF!</v>
      </c>
      <c r="AB226" s="6" t="e">
        <f>#REF!</f>
        <v>#REF!</v>
      </c>
      <c r="AC226" s="6" t="e">
        <f>#REF!</f>
        <v>#REF!</v>
      </c>
      <c r="AD226" s="6" t="e">
        <f>#REF!</f>
        <v>#REF!</v>
      </c>
      <c r="AE226" s="6" t="e">
        <f>#REF!</f>
        <v>#REF!</v>
      </c>
      <c r="AF226" s="6" t="e">
        <f>#REF!</f>
        <v>#REF!</v>
      </c>
      <c r="AG226" s="6" t="e">
        <f>#REF!</f>
        <v>#REF!</v>
      </c>
      <c r="AH226" s="6" t="e">
        <f>#REF!</f>
        <v>#REF!</v>
      </c>
      <c r="AI226" s="6" t="e">
        <f>#REF!</f>
        <v>#REF!</v>
      </c>
      <c r="AJ226" s="6" t="e">
        <f>#REF!</f>
        <v>#REF!</v>
      </c>
      <c r="AK226" s="6" t="e">
        <f>#REF!</f>
        <v>#REF!</v>
      </c>
      <c r="AL226" s="6" t="e">
        <f>#REF!</f>
        <v>#REF!</v>
      </c>
    </row>
    <row r="227" spans="1:38" x14ac:dyDescent="0.25">
      <c r="A227" s="68" t="s">
        <v>464</v>
      </c>
      <c r="B227" s="126" t="e">
        <f>VLOOKUP(A227,$A$2:$AL$285,MATCH('Character Sheet'!$BJ$3,$A$1:$AL$1,0),FALSE)</f>
        <v>#REF!</v>
      </c>
      <c r="C227" s="6" t="e">
        <f>#REF!</f>
        <v>#REF!</v>
      </c>
      <c r="D227" s="6" t="e">
        <f>#REF!</f>
        <v>#REF!</v>
      </c>
      <c r="E227" s="6" t="e">
        <f>#REF!</f>
        <v>#REF!</v>
      </c>
      <c r="F227" s="6" t="e">
        <f>#REF!</f>
        <v>#REF!</v>
      </c>
      <c r="G227" s="6" t="e">
        <f>#REF!</f>
        <v>#REF!</v>
      </c>
      <c r="H227" s="6" t="e">
        <f>#REF!</f>
        <v>#REF!</v>
      </c>
      <c r="I227" s="6" t="e">
        <f>#REF!</f>
        <v>#REF!</v>
      </c>
      <c r="J227" s="6" t="e">
        <f>#REF!</f>
        <v>#REF!</v>
      </c>
      <c r="K227" s="6" t="e">
        <f>#REF!</f>
        <v>#REF!</v>
      </c>
      <c r="L227" s="6" t="e">
        <f>#REF!</f>
        <v>#REF!</v>
      </c>
      <c r="M227" s="6" t="e">
        <f>#REF!</f>
        <v>#REF!</v>
      </c>
      <c r="N227" s="6" t="e">
        <f>#REF!</f>
        <v>#REF!</v>
      </c>
      <c r="O227" s="6" t="e">
        <f>#REF!</f>
        <v>#REF!</v>
      </c>
      <c r="P227" s="6" t="e">
        <f>#REF!</f>
        <v>#REF!</v>
      </c>
      <c r="Q227" s="6" t="e">
        <f>#REF!</f>
        <v>#REF!</v>
      </c>
      <c r="R227" s="6" t="e">
        <f>#REF!</f>
        <v>#REF!</v>
      </c>
      <c r="S227" s="6" t="e">
        <f>#REF!</f>
        <v>#REF!</v>
      </c>
      <c r="T227" s="6" t="e">
        <f>#REF!</f>
        <v>#REF!</v>
      </c>
      <c r="U227" s="6" t="e">
        <f>#REF!</f>
        <v>#REF!</v>
      </c>
      <c r="V227" s="6" t="e">
        <f>#REF!</f>
        <v>#REF!</v>
      </c>
      <c r="W227" s="6" t="e">
        <f>#REF!</f>
        <v>#REF!</v>
      </c>
      <c r="X227" s="6" t="e">
        <f>#REF!</f>
        <v>#REF!</v>
      </c>
      <c r="Y227" s="6" t="e">
        <f>#REF!</f>
        <v>#REF!</v>
      </c>
      <c r="Z227" s="6" t="e">
        <f>#REF!</f>
        <v>#REF!</v>
      </c>
      <c r="AA227" s="6" t="e">
        <f>#REF!</f>
        <v>#REF!</v>
      </c>
      <c r="AB227" s="6" t="e">
        <f>#REF!</f>
        <v>#REF!</v>
      </c>
      <c r="AC227" s="6" t="e">
        <f>#REF!</f>
        <v>#REF!</v>
      </c>
      <c r="AD227" s="6" t="e">
        <f>#REF!</f>
        <v>#REF!</v>
      </c>
      <c r="AE227" s="6" t="e">
        <f>#REF!</f>
        <v>#REF!</v>
      </c>
      <c r="AF227" s="6" t="e">
        <f>#REF!</f>
        <v>#REF!</v>
      </c>
      <c r="AG227" s="6" t="e">
        <f>#REF!</f>
        <v>#REF!</v>
      </c>
      <c r="AH227" s="6" t="e">
        <f>#REF!</f>
        <v>#REF!</v>
      </c>
      <c r="AI227" s="6" t="e">
        <f>#REF!</f>
        <v>#REF!</v>
      </c>
      <c r="AJ227" s="6" t="e">
        <f>#REF!</f>
        <v>#REF!</v>
      </c>
      <c r="AK227" s="6" t="e">
        <f>#REF!</f>
        <v>#REF!</v>
      </c>
      <c r="AL227" s="6" t="e">
        <f>#REF!</f>
        <v>#REF!</v>
      </c>
    </row>
    <row r="228" spans="1:38" x14ac:dyDescent="0.25">
      <c r="A228" s="68" t="s">
        <v>465</v>
      </c>
      <c r="B228" s="126" t="e">
        <f>VLOOKUP(A228,$A$2:$AL$285,MATCH('Character Sheet'!$BJ$3,$A$1:$AL$1,0),FALSE)</f>
        <v>#REF!</v>
      </c>
      <c r="C228" s="6" t="e">
        <f>#REF!</f>
        <v>#REF!</v>
      </c>
      <c r="D228" s="6" t="e">
        <f>#REF!</f>
        <v>#REF!</v>
      </c>
      <c r="E228" s="6" t="e">
        <f>#REF!</f>
        <v>#REF!</v>
      </c>
      <c r="F228" s="6" t="e">
        <f>#REF!</f>
        <v>#REF!</v>
      </c>
      <c r="G228" s="6" t="e">
        <f>#REF!</f>
        <v>#REF!</v>
      </c>
      <c r="H228" s="6" t="e">
        <f>#REF!</f>
        <v>#REF!</v>
      </c>
      <c r="I228" s="6" t="e">
        <f>#REF!</f>
        <v>#REF!</v>
      </c>
      <c r="J228" s="6" t="e">
        <f>#REF!</f>
        <v>#REF!</v>
      </c>
      <c r="K228" s="6" t="e">
        <f>#REF!</f>
        <v>#REF!</v>
      </c>
      <c r="L228" s="6" t="e">
        <f>#REF!</f>
        <v>#REF!</v>
      </c>
      <c r="M228" s="6" t="e">
        <f>#REF!</f>
        <v>#REF!</v>
      </c>
      <c r="N228" s="6" t="e">
        <f>#REF!</f>
        <v>#REF!</v>
      </c>
      <c r="O228" s="6" t="e">
        <f>#REF!</f>
        <v>#REF!</v>
      </c>
      <c r="P228" s="6" t="e">
        <f>#REF!</f>
        <v>#REF!</v>
      </c>
      <c r="Q228" s="6" t="e">
        <f>#REF!</f>
        <v>#REF!</v>
      </c>
      <c r="R228" s="6" t="e">
        <f>#REF!</f>
        <v>#REF!</v>
      </c>
      <c r="S228" s="6" t="e">
        <f>#REF!</f>
        <v>#REF!</v>
      </c>
      <c r="T228" s="6" t="e">
        <f>#REF!</f>
        <v>#REF!</v>
      </c>
      <c r="U228" s="6" t="e">
        <f>#REF!</f>
        <v>#REF!</v>
      </c>
      <c r="V228" s="6" t="e">
        <f>#REF!</f>
        <v>#REF!</v>
      </c>
      <c r="W228" s="6" t="e">
        <f>#REF!</f>
        <v>#REF!</v>
      </c>
      <c r="X228" s="6" t="e">
        <f>#REF!</f>
        <v>#REF!</v>
      </c>
      <c r="Y228" s="6" t="e">
        <f>#REF!</f>
        <v>#REF!</v>
      </c>
      <c r="Z228" s="6" t="e">
        <f>#REF!</f>
        <v>#REF!</v>
      </c>
      <c r="AA228" s="6" t="e">
        <f>#REF!</f>
        <v>#REF!</v>
      </c>
      <c r="AB228" s="6" t="e">
        <f>#REF!</f>
        <v>#REF!</v>
      </c>
      <c r="AC228" s="6" t="e">
        <f>#REF!</f>
        <v>#REF!</v>
      </c>
      <c r="AD228" s="6" t="e">
        <f>#REF!</f>
        <v>#REF!</v>
      </c>
      <c r="AE228" s="6" t="e">
        <f>#REF!</f>
        <v>#REF!</v>
      </c>
      <c r="AF228" s="6" t="e">
        <f>#REF!</f>
        <v>#REF!</v>
      </c>
      <c r="AG228" s="6" t="e">
        <f>#REF!</f>
        <v>#REF!</v>
      </c>
      <c r="AH228" s="6" t="e">
        <f>#REF!</f>
        <v>#REF!</v>
      </c>
      <c r="AI228" s="6" t="e">
        <f>#REF!</f>
        <v>#REF!</v>
      </c>
      <c r="AJ228" s="6" t="e">
        <f>#REF!</f>
        <v>#REF!</v>
      </c>
      <c r="AK228" s="6" t="e">
        <f>#REF!</f>
        <v>#REF!</v>
      </c>
      <c r="AL228" s="6" t="e">
        <f>#REF!</f>
        <v>#REF!</v>
      </c>
    </row>
    <row r="229" spans="1:38" x14ac:dyDescent="0.25">
      <c r="A229" s="68" t="s">
        <v>466</v>
      </c>
      <c r="B229" s="126" t="e">
        <f>VLOOKUP(A229,$A$2:$AL$285,MATCH('Character Sheet'!$BJ$3,$A$1:$AL$1,0),FALSE)</f>
        <v>#REF!</v>
      </c>
      <c r="C229" s="6" t="e">
        <f>#REF!</f>
        <v>#REF!</v>
      </c>
      <c r="D229" s="6" t="e">
        <f>#REF!</f>
        <v>#REF!</v>
      </c>
      <c r="E229" s="6" t="e">
        <f>#REF!</f>
        <v>#REF!</v>
      </c>
      <c r="F229" s="6" t="e">
        <f>#REF!</f>
        <v>#REF!</v>
      </c>
      <c r="G229" s="6" t="e">
        <f>#REF!</f>
        <v>#REF!</v>
      </c>
      <c r="H229" s="6" t="e">
        <f>#REF!</f>
        <v>#REF!</v>
      </c>
      <c r="I229" s="6" t="e">
        <f>#REF!</f>
        <v>#REF!</v>
      </c>
      <c r="J229" s="6" t="e">
        <f>#REF!</f>
        <v>#REF!</v>
      </c>
      <c r="K229" s="6" t="e">
        <f>#REF!</f>
        <v>#REF!</v>
      </c>
      <c r="L229" s="6" t="e">
        <f>#REF!</f>
        <v>#REF!</v>
      </c>
      <c r="M229" s="6" t="e">
        <f>#REF!</f>
        <v>#REF!</v>
      </c>
      <c r="N229" s="6" t="e">
        <f>#REF!</f>
        <v>#REF!</v>
      </c>
      <c r="O229" s="6" t="e">
        <f>#REF!</f>
        <v>#REF!</v>
      </c>
      <c r="P229" s="6" t="e">
        <f>#REF!</f>
        <v>#REF!</v>
      </c>
      <c r="Q229" s="6" t="e">
        <f>#REF!</f>
        <v>#REF!</v>
      </c>
      <c r="R229" s="6" t="e">
        <f>#REF!</f>
        <v>#REF!</v>
      </c>
      <c r="S229" s="6" t="e">
        <f>#REF!</f>
        <v>#REF!</v>
      </c>
      <c r="T229" s="6" t="e">
        <f>#REF!</f>
        <v>#REF!</v>
      </c>
      <c r="U229" s="6" t="e">
        <f>#REF!</f>
        <v>#REF!</v>
      </c>
      <c r="V229" s="6" t="e">
        <f>#REF!</f>
        <v>#REF!</v>
      </c>
      <c r="W229" s="6" t="e">
        <f>#REF!</f>
        <v>#REF!</v>
      </c>
      <c r="X229" s="6" t="e">
        <f>#REF!</f>
        <v>#REF!</v>
      </c>
      <c r="Y229" s="6" t="e">
        <f>#REF!</f>
        <v>#REF!</v>
      </c>
      <c r="Z229" s="6" t="e">
        <f>#REF!</f>
        <v>#REF!</v>
      </c>
      <c r="AA229" s="6" t="e">
        <f>#REF!</f>
        <v>#REF!</v>
      </c>
      <c r="AB229" s="6" t="e">
        <f>#REF!</f>
        <v>#REF!</v>
      </c>
      <c r="AC229" s="6" t="e">
        <f>#REF!</f>
        <v>#REF!</v>
      </c>
      <c r="AD229" s="6" t="e">
        <f>#REF!</f>
        <v>#REF!</v>
      </c>
      <c r="AE229" s="6" t="e">
        <f>#REF!</f>
        <v>#REF!</v>
      </c>
      <c r="AF229" s="6" t="e">
        <f>#REF!</f>
        <v>#REF!</v>
      </c>
      <c r="AG229" s="6" t="e">
        <f>#REF!</f>
        <v>#REF!</v>
      </c>
      <c r="AH229" s="6" t="e">
        <f>#REF!</f>
        <v>#REF!</v>
      </c>
      <c r="AI229" s="6" t="e">
        <f>#REF!</f>
        <v>#REF!</v>
      </c>
      <c r="AJ229" s="6" t="e">
        <f>#REF!</f>
        <v>#REF!</v>
      </c>
      <c r="AK229" s="6" t="e">
        <f>#REF!</f>
        <v>#REF!</v>
      </c>
      <c r="AL229" s="6" t="e">
        <f>#REF!</f>
        <v>#REF!</v>
      </c>
    </row>
    <row r="230" spans="1:38" x14ac:dyDescent="0.25">
      <c r="A230" s="68" t="s">
        <v>467</v>
      </c>
      <c r="B230" s="126" t="e">
        <f>VLOOKUP(A230,$A$2:$AL$285,MATCH('Character Sheet'!$BJ$3,$A$1:$AL$1,0),FALSE)</f>
        <v>#REF!</v>
      </c>
      <c r="C230" s="6" t="e">
        <f>#REF!</f>
        <v>#REF!</v>
      </c>
      <c r="D230" s="6" t="e">
        <f>#REF!</f>
        <v>#REF!</v>
      </c>
      <c r="E230" s="6" t="e">
        <f>#REF!</f>
        <v>#REF!</v>
      </c>
      <c r="F230" s="6" t="e">
        <f>#REF!</f>
        <v>#REF!</v>
      </c>
      <c r="G230" s="6" t="e">
        <f>#REF!</f>
        <v>#REF!</v>
      </c>
      <c r="H230" s="6" t="e">
        <f>#REF!</f>
        <v>#REF!</v>
      </c>
      <c r="I230" s="6" t="e">
        <f>#REF!</f>
        <v>#REF!</v>
      </c>
      <c r="J230" s="6" t="e">
        <f>#REF!</f>
        <v>#REF!</v>
      </c>
      <c r="K230" s="6" t="e">
        <f>#REF!</f>
        <v>#REF!</v>
      </c>
      <c r="L230" s="6" t="e">
        <f>#REF!</f>
        <v>#REF!</v>
      </c>
      <c r="M230" s="6" t="e">
        <f>#REF!</f>
        <v>#REF!</v>
      </c>
      <c r="N230" s="6" t="e">
        <f>#REF!</f>
        <v>#REF!</v>
      </c>
      <c r="O230" s="6" t="e">
        <f>#REF!</f>
        <v>#REF!</v>
      </c>
      <c r="P230" s="6" t="e">
        <f>#REF!</f>
        <v>#REF!</v>
      </c>
      <c r="Q230" s="6" t="e">
        <f>#REF!</f>
        <v>#REF!</v>
      </c>
      <c r="R230" s="6" t="e">
        <f>#REF!</f>
        <v>#REF!</v>
      </c>
      <c r="S230" s="6" t="e">
        <f>#REF!</f>
        <v>#REF!</v>
      </c>
      <c r="T230" s="6" t="e">
        <f>#REF!</f>
        <v>#REF!</v>
      </c>
      <c r="U230" s="6" t="e">
        <f>#REF!</f>
        <v>#REF!</v>
      </c>
      <c r="V230" s="6" t="e">
        <f>#REF!</f>
        <v>#REF!</v>
      </c>
      <c r="W230" s="6" t="e">
        <f>#REF!</f>
        <v>#REF!</v>
      </c>
      <c r="X230" s="6" t="e">
        <f>#REF!</f>
        <v>#REF!</v>
      </c>
      <c r="Y230" s="6" t="e">
        <f>#REF!</f>
        <v>#REF!</v>
      </c>
      <c r="Z230" s="6" t="e">
        <f>#REF!</f>
        <v>#REF!</v>
      </c>
      <c r="AA230" s="6" t="e">
        <f>#REF!</f>
        <v>#REF!</v>
      </c>
      <c r="AB230" s="6" t="e">
        <f>#REF!</f>
        <v>#REF!</v>
      </c>
      <c r="AC230" s="6" t="e">
        <f>#REF!</f>
        <v>#REF!</v>
      </c>
      <c r="AD230" s="6" t="e">
        <f>#REF!</f>
        <v>#REF!</v>
      </c>
      <c r="AE230" s="6" t="e">
        <f>#REF!</f>
        <v>#REF!</v>
      </c>
      <c r="AF230" s="6" t="e">
        <f>#REF!</f>
        <v>#REF!</v>
      </c>
      <c r="AG230" s="6" t="e">
        <f>#REF!</f>
        <v>#REF!</v>
      </c>
      <c r="AH230" s="6" t="e">
        <f>#REF!</f>
        <v>#REF!</v>
      </c>
      <c r="AI230" s="6" t="e">
        <f>#REF!</f>
        <v>#REF!</v>
      </c>
      <c r="AJ230" s="6" t="e">
        <f>#REF!</f>
        <v>#REF!</v>
      </c>
      <c r="AK230" s="6" t="e">
        <f>#REF!</f>
        <v>#REF!</v>
      </c>
      <c r="AL230" s="6" t="e">
        <f>#REF!</f>
        <v>#REF!</v>
      </c>
    </row>
    <row r="231" spans="1:38" x14ac:dyDescent="0.25">
      <c r="A231" s="68" t="s">
        <v>468</v>
      </c>
      <c r="B231" s="126" t="e">
        <f>VLOOKUP(A231,$A$2:$AL$285,MATCH('Character Sheet'!$BJ$3,$A$1:$AL$1,0),FALSE)</f>
        <v>#REF!</v>
      </c>
      <c r="C231" s="6" t="e">
        <f>#REF!</f>
        <v>#REF!</v>
      </c>
      <c r="D231" s="6" t="e">
        <f>#REF!</f>
        <v>#REF!</v>
      </c>
      <c r="E231" s="6" t="e">
        <f>#REF!</f>
        <v>#REF!</v>
      </c>
      <c r="F231" s="6" t="e">
        <f>#REF!</f>
        <v>#REF!</v>
      </c>
      <c r="G231" s="6" t="e">
        <f>#REF!</f>
        <v>#REF!</v>
      </c>
      <c r="H231" s="6" t="e">
        <f>#REF!</f>
        <v>#REF!</v>
      </c>
      <c r="I231" s="6" t="e">
        <f>#REF!</f>
        <v>#REF!</v>
      </c>
      <c r="J231" s="6" t="e">
        <f>#REF!</f>
        <v>#REF!</v>
      </c>
      <c r="K231" s="6" t="e">
        <f>#REF!</f>
        <v>#REF!</v>
      </c>
      <c r="L231" s="6" t="e">
        <f>#REF!</f>
        <v>#REF!</v>
      </c>
      <c r="M231" s="6" t="e">
        <f>#REF!</f>
        <v>#REF!</v>
      </c>
      <c r="N231" s="6" t="e">
        <f>#REF!</f>
        <v>#REF!</v>
      </c>
      <c r="O231" s="6" t="e">
        <f>#REF!</f>
        <v>#REF!</v>
      </c>
      <c r="P231" s="6" t="e">
        <f>#REF!</f>
        <v>#REF!</v>
      </c>
      <c r="Q231" s="6" t="e">
        <f>#REF!</f>
        <v>#REF!</v>
      </c>
      <c r="R231" s="6" t="e">
        <f>#REF!</f>
        <v>#REF!</v>
      </c>
      <c r="S231" s="6" t="e">
        <f>#REF!</f>
        <v>#REF!</v>
      </c>
      <c r="T231" s="6" t="e">
        <f>#REF!</f>
        <v>#REF!</v>
      </c>
      <c r="U231" s="6" t="e">
        <f>#REF!</f>
        <v>#REF!</v>
      </c>
      <c r="V231" s="6" t="e">
        <f>#REF!</f>
        <v>#REF!</v>
      </c>
      <c r="W231" s="6" t="e">
        <f>#REF!</f>
        <v>#REF!</v>
      </c>
      <c r="X231" s="6" t="e">
        <f>#REF!</f>
        <v>#REF!</v>
      </c>
      <c r="Y231" s="6" t="e">
        <f>#REF!</f>
        <v>#REF!</v>
      </c>
      <c r="Z231" s="6" t="e">
        <f>#REF!</f>
        <v>#REF!</v>
      </c>
      <c r="AA231" s="6" t="e">
        <f>#REF!</f>
        <v>#REF!</v>
      </c>
      <c r="AB231" s="6" t="e">
        <f>#REF!</f>
        <v>#REF!</v>
      </c>
      <c r="AC231" s="6" t="e">
        <f>#REF!</f>
        <v>#REF!</v>
      </c>
      <c r="AD231" s="6" t="e">
        <f>#REF!</f>
        <v>#REF!</v>
      </c>
      <c r="AE231" s="6" t="e">
        <f>#REF!</f>
        <v>#REF!</v>
      </c>
      <c r="AF231" s="6" t="e">
        <f>#REF!</f>
        <v>#REF!</v>
      </c>
      <c r="AG231" s="6" t="e">
        <f>#REF!</f>
        <v>#REF!</v>
      </c>
      <c r="AH231" s="6" t="e">
        <f>#REF!</f>
        <v>#REF!</v>
      </c>
      <c r="AI231" s="6" t="e">
        <f>#REF!</f>
        <v>#REF!</v>
      </c>
      <c r="AJ231" s="6" t="e">
        <f>#REF!</f>
        <v>#REF!</v>
      </c>
      <c r="AK231" s="6" t="e">
        <f>#REF!</f>
        <v>#REF!</v>
      </c>
      <c r="AL231" s="6" t="e">
        <f>#REF!</f>
        <v>#REF!</v>
      </c>
    </row>
    <row r="232" spans="1:38" x14ac:dyDescent="0.25">
      <c r="A232" s="68" t="s">
        <v>469</v>
      </c>
      <c r="B232" s="126" t="e">
        <f>VLOOKUP(A232,$A$2:$AL$285,MATCH('Character Sheet'!$BJ$3,$A$1:$AL$1,0),FALSE)</f>
        <v>#REF!</v>
      </c>
      <c r="C232" s="6" t="e">
        <f>#REF!</f>
        <v>#REF!</v>
      </c>
      <c r="D232" s="6" t="e">
        <f>#REF!</f>
        <v>#REF!</v>
      </c>
      <c r="E232" s="6" t="e">
        <f>#REF!</f>
        <v>#REF!</v>
      </c>
      <c r="F232" s="6" t="e">
        <f>#REF!</f>
        <v>#REF!</v>
      </c>
      <c r="G232" s="6" t="e">
        <f>#REF!</f>
        <v>#REF!</v>
      </c>
      <c r="H232" s="6" t="e">
        <f>#REF!</f>
        <v>#REF!</v>
      </c>
      <c r="I232" s="6" t="e">
        <f>#REF!</f>
        <v>#REF!</v>
      </c>
      <c r="J232" s="6" t="e">
        <f>#REF!</f>
        <v>#REF!</v>
      </c>
      <c r="K232" s="6" t="e">
        <f>#REF!</f>
        <v>#REF!</v>
      </c>
      <c r="L232" s="6" t="e">
        <f>#REF!</f>
        <v>#REF!</v>
      </c>
      <c r="M232" s="6" t="e">
        <f>#REF!</f>
        <v>#REF!</v>
      </c>
      <c r="N232" s="6" t="e">
        <f>#REF!</f>
        <v>#REF!</v>
      </c>
      <c r="O232" s="6" t="e">
        <f>#REF!</f>
        <v>#REF!</v>
      </c>
      <c r="P232" s="6" t="e">
        <f>#REF!</f>
        <v>#REF!</v>
      </c>
      <c r="Q232" s="6" t="e">
        <f>#REF!</f>
        <v>#REF!</v>
      </c>
      <c r="R232" s="6" t="e">
        <f>#REF!</f>
        <v>#REF!</v>
      </c>
      <c r="S232" s="6" t="e">
        <f>#REF!</f>
        <v>#REF!</v>
      </c>
      <c r="T232" s="6" t="e">
        <f>#REF!</f>
        <v>#REF!</v>
      </c>
      <c r="U232" s="6" t="e">
        <f>#REF!</f>
        <v>#REF!</v>
      </c>
      <c r="V232" s="6" t="e">
        <f>#REF!</f>
        <v>#REF!</v>
      </c>
      <c r="W232" s="6" t="e">
        <f>#REF!</f>
        <v>#REF!</v>
      </c>
      <c r="X232" s="6" t="e">
        <f>#REF!</f>
        <v>#REF!</v>
      </c>
      <c r="Y232" s="6" t="e">
        <f>#REF!</f>
        <v>#REF!</v>
      </c>
      <c r="Z232" s="6" t="e">
        <f>#REF!</f>
        <v>#REF!</v>
      </c>
      <c r="AA232" s="6" t="e">
        <f>#REF!</f>
        <v>#REF!</v>
      </c>
      <c r="AB232" s="6" t="e">
        <f>#REF!</f>
        <v>#REF!</v>
      </c>
      <c r="AC232" s="6" t="e">
        <f>#REF!</f>
        <v>#REF!</v>
      </c>
      <c r="AD232" s="6" t="e">
        <f>#REF!</f>
        <v>#REF!</v>
      </c>
      <c r="AE232" s="6" t="e">
        <f>#REF!</f>
        <v>#REF!</v>
      </c>
      <c r="AF232" s="6" t="e">
        <f>#REF!</f>
        <v>#REF!</v>
      </c>
      <c r="AG232" s="6" t="e">
        <f>#REF!</f>
        <v>#REF!</v>
      </c>
      <c r="AH232" s="6" t="e">
        <f>#REF!</f>
        <v>#REF!</v>
      </c>
      <c r="AI232" s="6" t="e">
        <f>#REF!</f>
        <v>#REF!</v>
      </c>
      <c r="AJ232" s="6" t="e">
        <f>#REF!</f>
        <v>#REF!</v>
      </c>
      <c r="AK232" s="6" t="e">
        <f>#REF!</f>
        <v>#REF!</v>
      </c>
      <c r="AL232" s="6" t="e">
        <f>#REF!</f>
        <v>#REF!</v>
      </c>
    </row>
    <row r="233" spans="1:38" x14ac:dyDescent="0.25">
      <c r="A233" s="68" t="s">
        <v>470</v>
      </c>
      <c r="B233" s="126" t="e">
        <f>VLOOKUP(A233,$A$2:$AL$285,MATCH('Character Sheet'!$BJ$3,$A$1:$AL$1,0),FALSE)</f>
        <v>#REF!</v>
      </c>
      <c r="C233" s="6" t="e">
        <f>#REF!</f>
        <v>#REF!</v>
      </c>
      <c r="D233" s="6" t="e">
        <f>#REF!</f>
        <v>#REF!</v>
      </c>
      <c r="E233" s="6" t="e">
        <f>#REF!</f>
        <v>#REF!</v>
      </c>
      <c r="F233" s="6" t="e">
        <f>#REF!</f>
        <v>#REF!</v>
      </c>
      <c r="G233" s="6" t="e">
        <f>#REF!</f>
        <v>#REF!</v>
      </c>
      <c r="H233" s="6" t="e">
        <f>#REF!</f>
        <v>#REF!</v>
      </c>
      <c r="I233" s="6" t="e">
        <f>#REF!</f>
        <v>#REF!</v>
      </c>
      <c r="J233" s="6" t="e">
        <f>#REF!</f>
        <v>#REF!</v>
      </c>
      <c r="K233" s="6" t="e">
        <f>#REF!</f>
        <v>#REF!</v>
      </c>
      <c r="L233" s="6" t="e">
        <f>#REF!</f>
        <v>#REF!</v>
      </c>
      <c r="M233" s="6" t="e">
        <f>#REF!</f>
        <v>#REF!</v>
      </c>
      <c r="N233" s="6" t="e">
        <f>#REF!</f>
        <v>#REF!</v>
      </c>
      <c r="O233" s="6" t="e">
        <f>#REF!</f>
        <v>#REF!</v>
      </c>
      <c r="P233" s="6" t="e">
        <f>#REF!</f>
        <v>#REF!</v>
      </c>
      <c r="Q233" s="6" t="e">
        <f>#REF!</f>
        <v>#REF!</v>
      </c>
      <c r="R233" s="6" t="e">
        <f>#REF!</f>
        <v>#REF!</v>
      </c>
      <c r="S233" s="6" t="e">
        <f>#REF!</f>
        <v>#REF!</v>
      </c>
      <c r="T233" s="6" t="e">
        <f>#REF!</f>
        <v>#REF!</v>
      </c>
      <c r="U233" s="6" t="e">
        <f>#REF!</f>
        <v>#REF!</v>
      </c>
      <c r="V233" s="6" t="e">
        <f>#REF!</f>
        <v>#REF!</v>
      </c>
      <c r="W233" s="6" t="e">
        <f>#REF!</f>
        <v>#REF!</v>
      </c>
      <c r="X233" s="6" t="e">
        <f>#REF!</f>
        <v>#REF!</v>
      </c>
      <c r="Y233" s="6" t="e">
        <f>#REF!</f>
        <v>#REF!</v>
      </c>
      <c r="Z233" s="6" t="e">
        <f>#REF!</f>
        <v>#REF!</v>
      </c>
      <c r="AA233" s="6" t="e">
        <f>#REF!</f>
        <v>#REF!</v>
      </c>
      <c r="AB233" s="6" t="e">
        <f>#REF!</f>
        <v>#REF!</v>
      </c>
      <c r="AC233" s="6" t="e">
        <f>#REF!</f>
        <v>#REF!</v>
      </c>
      <c r="AD233" s="6" t="e">
        <f>#REF!</f>
        <v>#REF!</v>
      </c>
      <c r="AE233" s="6" t="e">
        <f>#REF!</f>
        <v>#REF!</v>
      </c>
      <c r="AF233" s="6" t="e">
        <f>#REF!</f>
        <v>#REF!</v>
      </c>
      <c r="AG233" s="6" t="e">
        <f>#REF!</f>
        <v>#REF!</v>
      </c>
      <c r="AH233" s="6" t="e">
        <f>#REF!</f>
        <v>#REF!</v>
      </c>
      <c r="AI233" s="6" t="e">
        <f>#REF!</f>
        <v>#REF!</v>
      </c>
      <c r="AJ233" s="6" t="e">
        <f>#REF!</f>
        <v>#REF!</v>
      </c>
      <c r="AK233" s="6" t="e">
        <f>#REF!</f>
        <v>#REF!</v>
      </c>
      <c r="AL233" s="6" t="e">
        <f>#REF!</f>
        <v>#REF!</v>
      </c>
    </row>
    <row r="234" spans="1:38" x14ac:dyDescent="0.25">
      <c r="A234" s="68" t="s">
        <v>471</v>
      </c>
      <c r="B234" s="126" t="e">
        <f>VLOOKUP(A234,$A$2:$AL$285,MATCH('Character Sheet'!$BJ$3,$A$1:$AL$1,0),FALSE)</f>
        <v>#REF!</v>
      </c>
      <c r="C234" s="6" t="e">
        <f>#REF!</f>
        <v>#REF!</v>
      </c>
      <c r="D234" s="6" t="e">
        <f>#REF!</f>
        <v>#REF!</v>
      </c>
      <c r="E234" s="6" t="e">
        <f>#REF!</f>
        <v>#REF!</v>
      </c>
      <c r="F234" s="6" t="e">
        <f>#REF!</f>
        <v>#REF!</v>
      </c>
      <c r="G234" s="6" t="e">
        <f>#REF!</f>
        <v>#REF!</v>
      </c>
      <c r="H234" s="6" t="e">
        <f>#REF!</f>
        <v>#REF!</v>
      </c>
      <c r="I234" s="6" t="e">
        <f>#REF!</f>
        <v>#REF!</v>
      </c>
      <c r="J234" s="6" t="e">
        <f>#REF!</f>
        <v>#REF!</v>
      </c>
      <c r="K234" s="6" t="e">
        <f>#REF!</f>
        <v>#REF!</v>
      </c>
      <c r="L234" s="6" t="e">
        <f>#REF!</f>
        <v>#REF!</v>
      </c>
      <c r="M234" s="6" t="e">
        <f>#REF!</f>
        <v>#REF!</v>
      </c>
      <c r="N234" s="6" t="e">
        <f>#REF!</f>
        <v>#REF!</v>
      </c>
      <c r="O234" s="6" t="e">
        <f>#REF!</f>
        <v>#REF!</v>
      </c>
      <c r="P234" s="6" t="e">
        <f>#REF!</f>
        <v>#REF!</v>
      </c>
      <c r="Q234" s="6" t="e">
        <f>#REF!</f>
        <v>#REF!</v>
      </c>
      <c r="R234" s="6" t="e">
        <f>#REF!</f>
        <v>#REF!</v>
      </c>
      <c r="S234" s="6" t="e">
        <f>#REF!</f>
        <v>#REF!</v>
      </c>
      <c r="T234" s="6" t="e">
        <f>#REF!</f>
        <v>#REF!</v>
      </c>
      <c r="U234" s="6" t="e">
        <f>#REF!</f>
        <v>#REF!</v>
      </c>
      <c r="V234" s="6" t="e">
        <f>#REF!</f>
        <v>#REF!</v>
      </c>
      <c r="W234" s="6" t="e">
        <f>#REF!</f>
        <v>#REF!</v>
      </c>
      <c r="X234" s="6" t="e">
        <f>#REF!</f>
        <v>#REF!</v>
      </c>
      <c r="Y234" s="6" t="e">
        <f>#REF!</f>
        <v>#REF!</v>
      </c>
      <c r="Z234" s="6" t="e">
        <f>#REF!</f>
        <v>#REF!</v>
      </c>
      <c r="AA234" s="6" t="e">
        <f>#REF!</f>
        <v>#REF!</v>
      </c>
      <c r="AB234" s="6" t="e">
        <f>#REF!</f>
        <v>#REF!</v>
      </c>
      <c r="AC234" s="6" t="e">
        <f>#REF!</f>
        <v>#REF!</v>
      </c>
      <c r="AD234" s="6" t="e">
        <f>#REF!</f>
        <v>#REF!</v>
      </c>
      <c r="AE234" s="6" t="e">
        <f>#REF!</f>
        <v>#REF!</v>
      </c>
      <c r="AF234" s="6" t="e">
        <f>#REF!</f>
        <v>#REF!</v>
      </c>
      <c r="AG234" s="6" t="e">
        <f>#REF!</f>
        <v>#REF!</v>
      </c>
      <c r="AH234" s="6" t="e">
        <f>#REF!</f>
        <v>#REF!</v>
      </c>
      <c r="AI234" s="6" t="e">
        <f>#REF!</f>
        <v>#REF!</v>
      </c>
      <c r="AJ234" s="6" t="e">
        <f>#REF!</f>
        <v>#REF!</v>
      </c>
      <c r="AK234" s="6" t="e">
        <f>#REF!</f>
        <v>#REF!</v>
      </c>
      <c r="AL234" s="6" t="e">
        <f>#REF!</f>
        <v>#REF!</v>
      </c>
    </row>
    <row r="235" spans="1:38" x14ac:dyDescent="0.25">
      <c r="A235" s="68" t="s">
        <v>472</v>
      </c>
      <c r="B235" s="126" t="e">
        <f>VLOOKUP(A235,$A$2:$AL$285,MATCH('Character Sheet'!$BJ$3,$A$1:$AL$1,0),FALSE)</f>
        <v>#REF!</v>
      </c>
      <c r="C235" s="6" t="e">
        <f>#REF!</f>
        <v>#REF!</v>
      </c>
      <c r="D235" s="6" t="e">
        <f>#REF!</f>
        <v>#REF!</v>
      </c>
      <c r="E235" s="6" t="e">
        <f>#REF!</f>
        <v>#REF!</v>
      </c>
      <c r="F235" s="6" t="e">
        <f>#REF!</f>
        <v>#REF!</v>
      </c>
      <c r="G235" s="6" t="e">
        <f>#REF!</f>
        <v>#REF!</v>
      </c>
      <c r="H235" s="6" t="e">
        <f>#REF!</f>
        <v>#REF!</v>
      </c>
      <c r="I235" s="6" t="e">
        <f>#REF!</f>
        <v>#REF!</v>
      </c>
      <c r="J235" s="6" t="e">
        <f>#REF!</f>
        <v>#REF!</v>
      </c>
      <c r="K235" s="6" t="e">
        <f>#REF!</f>
        <v>#REF!</v>
      </c>
      <c r="L235" s="6" t="e">
        <f>#REF!</f>
        <v>#REF!</v>
      </c>
      <c r="M235" s="6" t="e">
        <f>#REF!</f>
        <v>#REF!</v>
      </c>
      <c r="N235" s="6" t="e">
        <f>#REF!</f>
        <v>#REF!</v>
      </c>
      <c r="O235" s="6" t="e">
        <f>#REF!</f>
        <v>#REF!</v>
      </c>
      <c r="P235" s="6" t="e">
        <f>#REF!</f>
        <v>#REF!</v>
      </c>
      <c r="Q235" s="6" t="e">
        <f>#REF!</f>
        <v>#REF!</v>
      </c>
      <c r="R235" s="6" t="e">
        <f>#REF!</f>
        <v>#REF!</v>
      </c>
      <c r="S235" s="6" t="e">
        <f>#REF!</f>
        <v>#REF!</v>
      </c>
      <c r="T235" s="6" t="e">
        <f>#REF!</f>
        <v>#REF!</v>
      </c>
      <c r="U235" s="6" t="e">
        <f>#REF!</f>
        <v>#REF!</v>
      </c>
      <c r="V235" s="6" t="e">
        <f>#REF!</f>
        <v>#REF!</v>
      </c>
      <c r="W235" s="6" t="e">
        <f>#REF!</f>
        <v>#REF!</v>
      </c>
      <c r="X235" s="6" t="e">
        <f>#REF!</f>
        <v>#REF!</v>
      </c>
      <c r="Y235" s="6" t="e">
        <f>#REF!</f>
        <v>#REF!</v>
      </c>
      <c r="Z235" s="6" t="e">
        <f>#REF!</f>
        <v>#REF!</v>
      </c>
      <c r="AA235" s="6" t="e">
        <f>#REF!</f>
        <v>#REF!</v>
      </c>
      <c r="AB235" s="6" t="e">
        <f>#REF!</f>
        <v>#REF!</v>
      </c>
      <c r="AC235" s="6" t="e">
        <f>#REF!</f>
        <v>#REF!</v>
      </c>
      <c r="AD235" s="6" t="e">
        <f>#REF!</f>
        <v>#REF!</v>
      </c>
      <c r="AE235" s="6" t="e">
        <f>#REF!</f>
        <v>#REF!</v>
      </c>
      <c r="AF235" s="6" t="e">
        <f>#REF!</f>
        <v>#REF!</v>
      </c>
      <c r="AG235" s="6" t="e">
        <f>#REF!</f>
        <v>#REF!</v>
      </c>
      <c r="AH235" s="6" t="e">
        <f>#REF!</f>
        <v>#REF!</v>
      </c>
      <c r="AI235" s="6" t="e">
        <f>#REF!</f>
        <v>#REF!</v>
      </c>
      <c r="AJ235" s="6" t="e">
        <f>#REF!</f>
        <v>#REF!</v>
      </c>
      <c r="AK235" s="6" t="e">
        <f>#REF!</f>
        <v>#REF!</v>
      </c>
      <c r="AL235" s="6" t="e">
        <f>#REF!</f>
        <v>#REF!</v>
      </c>
    </row>
    <row r="236" spans="1:38" x14ac:dyDescent="0.25">
      <c r="A236" s="68" t="s">
        <v>473</v>
      </c>
      <c r="B236" s="126" t="e">
        <f>VLOOKUP(A236,$A$2:$AL$285,MATCH('Character Sheet'!$BJ$3,$A$1:$AL$1,0),FALSE)</f>
        <v>#REF!</v>
      </c>
      <c r="C236" s="6" t="e">
        <f>#REF!</f>
        <v>#REF!</v>
      </c>
      <c r="D236" s="6" t="e">
        <f>#REF!</f>
        <v>#REF!</v>
      </c>
      <c r="E236" s="6" t="e">
        <f>#REF!</f>
        <v>#REF!</v>
      </c>
      <c r="F236" s="6" t="e">
        <f>#REF!</f>
        <v>#REF!</v>
      </c>
      <c r="G236" s="6" t="e">
        <f>#REF!</f>
        <v>#REF!</v>
      </c>
      <c r="H236" s="6" t="e">
        <f>#REF!</f>
        <v>#REF!</v>
      </c>
      <c r="I236" s="6" t="e">
        <f>#REF!</f>
        <v>#REF!</v>
      </c>
      <c r="J236" s="6" t="e">
        <f>#REF!</f>
        <v>#REF!</v>
      </c>
      <c r="K236" s="6" t="e">
        <f>#REF!</f>
        <v>#REF!</v>
      </c>
      <c r="L236" s="6" t="e">
        <f>#REF!</f>
        <v>#REF!</v>
      </c>
      <c r="M236" s="6" t="e">
        <f>#REF!</f>
        <v>#REF!</v>
      </c>
      <c r="N236" s="6" t="e">
        <f>#REF!</f>
        <v>#REF!</v>
      </c>
      <c r="O236" s="6" t="e">
        <f>#REF!</f>
        <v>#REF!</v>
      </c>
      <c r="P236" s="6" t="e">
        <f>#REF!</f>
        <v>#REF!</v>
      </c>
      <c r="Q236" s="6" t="e">
        <f>#REF!</f>
        <v>#REF!</v>
      </c>
      <c r="R236" s="6" t="e">
        <f>#REF!</f>
        <v>#REF!</v>
      </c>
      <c r="S236" s="6" t="e">
        <f>#REF!</f>
        <v>#REF!</v>
      </c>
      <c r="T236" s="6" t="e">
        <f>#REF!</f>
        <v>#REF!</v>
      </c>
      <c r="U236" s="6" t="e">
        <f>#REF!</f>
        <v>#REF!</v>
      </c>
      <c r="V236" s="6" t="e">
        <f>#REF!</f>
        <v>#REF!</v>
      </c>
      <c r="W236" s="6" t="e">
        <f>#REF!</f>
        <v>#REF!</v>
      </c>
      <c r="X236" s="6" t="e">
        <f>#REF!</f>
        <v>#REF!</v>
      </c>
      <c r="Y236" s="6" t="e">
        <f>#REF!</f>
        <v>#REF!</v>
      </c>
      <c r="Z236" s="6" t="e">
        <f>#REF!</f>
        <v>#REF!</v>
      </c>
      <c r="AA236" s="6" t="e">
        <f>#REF!</f>
        <v>#REF!</v>
      </c>
      <c r="AB236" s="6" t="e">
        <f>#REF!</f>
        <v>#REF!</v>
      </c>
      <c r="AC236" s="6" t="e">
        <f>#REF!</f>
        <v>#REF!</v>
      </c>
      <c r="AD236" s="6" t="e">
        <f>#REF!</f>
        <v>#REF!</v>
      </c>
      <c r="AE236" s="6" t="e">
        <f>#REF!</f>
        <v>#REF!</v>
      </c>
      <c r="AF236" s="6" t="e">
        <f>#REF!</f>
        <v>#REF!</v>
      </c>
      <c r="AG236" s="6" t="e">
        <f>#REF!</f>
        <v>#REF!</v>
      </c>
      <c r="AH236" s="6" t="e">
        <f>#REF!</f>
        <v>#REF!</v>
      </c>
      <c r="AI236" s="6" t="e">
        <f>#REF!</f>
        <v>#REF!</v>
      </c>
      <c r="AJ236" s="6" t="e">
        <f>#REF!</f>
        <v>#REF!</v>
      </c>
      <c r="AK236" s="6" t="e">
        <f>#REF!</f>
        <v>#REF!</v>
      </c>
      <c r="AL236" s="6" t="e">
        <f>#REF!</f>
        <v>#REF!</v>
      </c>
    </row>
    <row r="237" spans="1:38" x14ac:dyDescent="0.25">
      <c r="A237" s="68" t="s">
        <v>474</v>
      </c>
      <c r="B237" s="126" t="e">
        <f>VLOOKUP(A237,$A$2:$AL$285,MATCH('Character Sheet'!$BJ$3,$A$1:$AL$1,0),FALSE)</f>
        <v>#REF!</v>
      </c>
      <c r="C237" s="6" t="e">
        <f>#REF!</f>
        <v>#REF!</v>
      </c>
      <c r="D237" s="6" t="e">
        <f>#REF!</f>
        <v>#REF!</v>
      </c>
      <c r="E237" s="6" t="e">
        <f>#REF!</f>
        <v>#REF!</v>
      </c>
      <c r="F237" s="6" t="e">
        <f>#REF!</f>
        <v>#REF!</v>
      </c>
      <c r="G237" s="6" t="e">
        <f>#REF!</f>
        <v>#REF!</v>
      </c>
      <c r="H237" s="6" t="e">
        <f>#REF!</f>
        <v>#REF!</v>
      </c>
      <c r="I237" s="6" t="e">
        <f>#REF!</f>
        <v>#REF!</v>
      </c>
      <c r="J237" s="6" t="e">
        <f>#REF!</f>
        <v>#REF!</v>
      </c>
      <c r="K237" s="6" t="e">
        <f>#REF!</f>
        <v>#REF!</v>
      </c>
      <c r="L237" s="6" t="e">
        <f>#REF!</f>
        <v>#REF!</v>
      </c>
      <c r="M237" s="6" t="e">
        <f>#REF!</f>
        <v>#REF!</v>
      </c>
      <c r="N237" s="6" t="e">
        <f>#REF!</f>
        <v>#REF!</v>
      </c>
      <c r="O237" s="6" t="e">
        <f>#REF!</f>
        <v>#REF!</v>
      </c>
      <c r="P237" s="6" t="e">
        <f>#REF!</f>
        <v>#REF!</v>
      </c>
      <c r="Q237" s="6" t="e">
        <f>#REF!</f>
        <v>#REF!</v>
      </c>
      <c r="R237" s="6" t="e">
        <f>#REF!</f>
        <v>#REF!</v>
      </c>
      <c r="S237" s="6" t="e">
        <f>#REF!</f>
        <v>#REF!</v>
      </c>
      <c r="T237" s="6" t="e">
        <f>#REF!</f>
        <v>#REF!</v>
      </c>
      <c r="U237" s="6" t="e">
        <f>#REF!</f>
        <v>#REF!</v>
      </c>
      <c r="V237" s="6" t="e">
        <f>#REF!</f>
        <v>#REF!</v>
      </c>
      <c r="W237" s="6" t="e">
        <f>#REF!</f>
        <v>#REF!</v>
      </c>
      <c r="X237" s="6" t="e">
        <f>#REF!</f>
        <v>#REF!</v>
      </c>
      <c r="Y237" s="6" t="e">
        <f>#REF!</f>
        <v>#REF!</v>
      </c>
      <c r="Z237" s="6" t="e">
        <f>#REF!</f>
        <v>#REF!</v>
      </c>
      <c r="AA237" s="6" t="e">
        <f>#REF!</f>
        <v>#REF!</v>
      </c>
      <c r="AB237" s="6" t="e">
        <f>#REF!</f>
        <v>#REF!</v>
      </c>
      <c r="AC237" s="6" t="e">
        <f>#REF!</f>
        <v>#REF!</v>
      </c>
      <c r="AD237" s="6" t="e">
        <f>#REF!</f>
        <v>#REF!</v>
      </c>
      <c r="AE237" s="6" t="e">
        <f>#REF!</f>
        <v>#REF!</v>
      </c>
      <c r="AF237" s="6" t="e">
        <f>#REF!</f>
        <v>#REF!</v>
      </c>
      <c r="AG237" s="6" t="e">
        <f>#REF!</f>
        <v>#REF!</v>
      </c>
      <c r="AH237" s="6" t="e">
        <f>#REF!</f>
        <v>#REF!</v>
      </c>
      <c r="AI237" s="6" t="e">
        <f>#REF!</f>
        <v>#REF!</v>
      </c>
      <c r="AJ237" s="6" t="e">
        <f>#REF!</f>
        <v>#REF!</v>
      </c>
      <c r="AK237" s="6" t="e">
        <f>#REF!</f>
        <v>#REF!</v>
      </c>
      <c r="AL237" s="6" t="e">
        <f>#REF!</f>
        <v>#REF!</v>
      </c>
    </row>
    <row r="238" spans="1:38" x14ac:dyDescent="0.25">
      <c r="A238" s="68" t="s">
        <v>475</v>
      </c>
      <c r="B238" s="126" t="e">
        <f>VLOOKUP(A238,$A$2:$AL$285,MATCH('Character Sheet'!$BJ$3,$A$1:$AL$1,0),FALSE)</f>
        <v>#REF!</v>
      </c>
      <c r="C238" s="6" t="e">
        <f>#REF!</f>
        <v>#REF!</v>
      </c>
      <c r="D238" s="6" t="e">
        <f>#REF!</f>
        <v>#REF!</v>
      </c>
      <c r="E238" s="6" t="e">
        <f>#REF!</f>
        <v>#REF!</v>
      </c>
      <c r="F238" s="6" t="e">
        <f>#REF!</f>
        <v>#REF!</v>
      </c>
      <c r="G238" s="6" t="e">
        <f>#REF!</f>
        <v>#REF!</v>
      </c>
      <c r="H238" s="6" t="e">
        <f>#REF!</f>
        <v>#REF!</v>
      </c>
      <c r="I238" s="6" t="e">
        <f>#REF!</f>
        <v>#REF!</v>
      </c>
      <c r="J238" s="6" t="e">
        <f>#REF!</f>
        <v>#REF!</v>
      </c>
      <c r="K238" s="6" t="e">
        <f>#REF!</f>
        <v>#REF!</v>
      </c>
      <c r="L238" s="6" t="e">
        <f>#REF!</f>
        <v>#REF!</v>
      </c>
      <c r="M238" s="6" t="e">
        <f>#REF!</f>
        <v>#REF!</v>
      </c>
      <c r="N238" s="6" t="e">
        <f>#REF!</f>
        <v>#REF!</v>
      </c>
      <c r="O238" s="6" t="e">
        <f>#REF!</f>
        <v>#REF!</v>
      </c>
      <c r="P238" s="6" t="e">
        <f>#REF!</f>
        <v>#REF!</v>
      </c>
      <c r="Q238" s="6" t="e">
        <f>#REF!</f>
        <v>#REF!</v>
      </c>
      <c r="R238" s="6" t="e">
        <f>#REF!</f>
        <v>#REF!</v>
      </c>
      <c r="S238" s="6" t="e">
        <f>#REF!</f>
        <v>#REF!</v>
      </c>
      <c r="T238" s="6" t="e">
        <f>#REF!</f>
        <v>#REF!</v>
      </c>
      <c r="U238" s="6" t="e">
        <f>#REF!</f>
        <v>#REF!</v>
      </c>
      <c r="V238" s="6" t="e">
        <f>#REF!</f>
        <v>#REF!</v>
      </c>
      <c r="W238" s="6" t="e">
        <f>#REF!</f>
        <v>#REF!</v>
      </c>
      <c r="X238" s="6" t="e">
        <f>#REF!</f>
        <v>#REF!</v>
      </c>
      <c r="Y238" s="6" t="e">
        <f>#REF!</f>
        <v>#REF!</v>
      </c>
      <c r="Z238" s="6" t="e">
        <f>#REF!</f>
        <v>#REF!</v>
      </c>
      <c r="AA238" s="6" t="e">
        <f>#REF!</f>
        <v>#REF!</v>
      </c>
      <c r="AB238" s="6" t="e">
        <f>#REF!</f>
        <v>#REF!</v>
      </c>
      <c r="AC238" s="6" t="e">
        <f>#REF!</f>
        <v>#REF!</v>
      </c>
      <c r="AD238" s="6" t="e">
        <f>#REF!</f>
        <v>#REF!</v>
      </c>
      <c r="AE238" s="6" t="e">
        <f>#REF!</f>
        <v>#REF!</v>
      </c>
      <c r="AF238" s="6" t="e">
        <f>#REF!</f>
        <v>#REF!</v>
      </c>
      <c r="AG238" s="6" t="e">
        <f>#REF!</f>
        <v>#REF!</v>
      </c>
      <c r="AH238" s="6" t="e">
        <f>#REF!</f>
        <v>#REF!</v>
      </c>
      <c r="AI238" s="6" t="e">
        <f>#REF!</f>
        <v>#REF!</v>
      </c>
      <c r="AJ238" s="6" t="e">
        <f>#REF!</f>
        <v>#REF!</v>
      </c>
      <c r="AK238" s="6" t="e">
        <f>#REF!</f>
        <v>#REF!</v>
      </c>
      <c r="AL238" s="6" t="e">
        <f>#REF!</f>
        <v>#REF!</v>
      </c>
    </row>
    <row r="239" spans="1:38" x14ac:dyDescent="0.25">
      <c r="A239" s="67" t="s">
        <v>2072</v>
      </c>
      <c r="B239" s="126" t="e">
        <f>VLOOKUP(A239,$A$2:$AL$285,MATCH('Character Sheet'!$BJ$3,$A$1:$AL$1,0),FALSE)</f>
        <v>#REF!</v>
      </c>
      <c r="C239" s="6" t="e">
        <f>#REF!</f>
        <v>#REF!</v>
      </c>
      <c r="D239" s="6" t="e">
        <f>#REF!</f>
        <v>#REF!</v>
      </c>
      <c r="E239" s="6" t="e">
        <f>#REF!</f>
        <v>#REF!</v>
      </c>
      <c r="F239" s="6" t="e">
        <f>#REF!</f>
        <v>#REF!</v>
      </c>
      <c r="G239" s="6" t="e">
        <f>#REF!</f>
        <v>#REF!</v>
      </c>
      <c r="H239" s="6" t="e">
        <f>#REF!</f>
        <v>#REF!</v>
      </c>
      <c r="I239" s="6" t="e">
        <f>#REF!</f>
        <v>#REF!</v>
      </c>
      <c r="J239" s="6" t="e">
        <f>#REF!</f>
        <v>#REF!</v>
      </c>
      <c r="K239" s="6" t="e">
        <f>#REF!</f>
        <v>#REF!</v>
      </c>
      <c r="L239" s="6" t="e">
        <f>#REF!</f>
        <v>#REF!</v>
      </c>
      <c r="M239" s="6" t="e">
        <f>#REF!</f>
        <v>#REF!</v>
      </c>
      <c r="N239" s="6" t="e">
        <f>#REF!</f>
        <v>#REF!</v>
      </c>
      <c r="O239" s="6" t="e">
        <f>#REF!</f>
        <v>#REF!</v>
      </c>
      <c r="P239" s="6" t="e">
        <f>#REF!</f>
        <v>#REF!</v>
      </c>
      <c r="Q239" s="6" t="e">
        <f>#REF!</f>
        <v>#REF!</v>
      </c>
      <c r="R239" s="6" t="e">
        <f>#REF!</f>
        <v>#REF!</v>
      </c>
      <c r="S239" s="6" t="e">
        <f>#REF!</f>
        <v>#REF!</v>
      </c>
      <c r="T239" s="6" t="e">
        <f>#REF!</f>
        <v>#REF!</v>
      </c>
      <c r="U239" s="6" t="e">
        <f>#REF!</f>
        <v>#REF!</v>
      </c>
      <c r="V239" s="6" t="e">
        <f>#REF!</f>
        <v>#REF!</v>
      </c>
      <c r="W239" s="6" t="e">
        <f>#REF!</f>
        <v>#REF!</v>
      </c>
      <c r="X239" s="6" t="e">
        <f>#REF!</f>
        <v>#REF!</v>
      </c>
      <c r="Y239" s="6" t="e">
        <f>#REF!</f>
        <v>#REF!</v>
      </c>
      <c r="Z239" s="6" t="e">
        <f>#REF!</f>
        <v>#REF!</v>
      </c>
      <c r="AA239" s="6" t="e">
        <f>#REF!</f>
        <v>#REF!</v>
      </c>
      <c r="AB239" s="6" t="e">
        <f>#REF!</f>
        <v>#REF!</v>
      </c>
      <c r="AC239" s="6" t="e">
        <f>#REF!</f>
        <v>#REF!</v>
      </c>
      <c r="AD239" s="6" t="e">
        <f>#REF!</f>
        <v>#REF!</v>
      </c>
      <c r="AE239" s="6" t="e">
        <f>#REF!</f>
        <v>#REF!</v>
      </c>
      <c r="AF239" s="6" t="e">
        <f>#REF!</f>
        <v>#REF!</v>
      </c>
      <c r="AG239" s="6" t="e">
        <f>#REF!</f>
        <v>#REF!</v>
      </c>
      <c r="AH239" s="6" t="e">
        <f>#REF!</f>
        <v>#REF!</v>
      </c>
      <c r="AI239" s="6" t="e">
        <f>#REF!</f>
        <v>#REF!</v>
      </c>
      <c r="AJ239" s="6" t="e">
        <f>#REF!</f>
        <v>#REF!</v>
      </c>
      <c r="AK239" s="6" t="e">
        <f>#REF!</f>
        <v>#REF!</v>
      </c>
      <c r="AL239" s="6" t="e">
        <f>#REF!</f>
        <v>#REF!</v>
      </c>
    </row>
    <row r="240" spans="1:38" ht="15.75" thickBot="1" x14ac:dyDescent="0.3">
      <c r="A240" s="67" t="s">
        <v>2073</v>
      </c>
      <c r="B240" s="126" t="e">
        <f>VLOOKUP(A240,$A$2:$AL$285,MATCH('Character Sheet'!$BJ$3,$A$1:$AL$1,0),FALSE)</f>
        <v>#REF!</v>
      </c>
      <c r="C240" s="6" t="e">
        <f>#REF!</f>
        <v>#REF!</v>
      </c>
      <c r="D240" s="6" t="e">
        <f>#REF!</f>
        <v>#REF!</v>
      </c>
      <c r="E240" s="6" t="e">
        <f>#REF!</f>
        <v>#REF!</v>
      </c>
      <c r="F240" s="6" t="e">
        <f>#REF!</f>
        <v>#REF!</v>
      </c>
      <c r="G240" s="6" t="e">
        <f>#REF!</f>
        <v>#REF!</v>
      </c>
      <c r="H240" s="6" t="e">
        <f>#REF!</f>
        <v>#REF!</v>
      </c>
      <c r="I240" s="6" t="e">
        <f>#REF!</f>
        <v>#REF!</v>
      </c>
      <c r="J240" s="6" t="e">
        <f>#REF!</f>
        <v>#REF!</v>
      </c>
      <c r="K240" s="6" t="e">
        <f>#REF!</f>
        <v>#REF!</v>
      </c>
      <c r="L240" s="6" t="e">
        <f>#REF!</f>
        <v>#REF!</v>
      </c>
      <c r="M240" s="6" t="e">
        <f>#REF!</f>
        <v>#REF!</v>
      </c>
      <c r="N240" s="6" t="e">
        <f>#REF!</f>
        <v>#REF!</v>
      </c>
      <c r="O240" s="6" t="e">
        <f>#REF!</f>
        <v>#REF!</v>
      </c>
      <c r="P240" s="6" t="e">
        <f>#REF!</f>
        <v>#REF!</v>
      </c>
      <c r="Q240" s="6" t="e">
        <f>#REF!</f>
        <v>#REF!</v>
      </c>
      <c r="R240" s="6" t="e">
        <f>#REF!</f>
        <v>#REF!</v>
      </c>
      <c r="S240" s="6" t="e">
        <f>#REF!</f>
        <v>#REF!</v>
      </c>
      <c r="T240" s="6" t="e">
        <f>#REF!</f>
        <v>#REF!</v>
      </c>
      <c r="U240" s="6" t="e">
        <f>#REF!</f>
        <v>#REF!</v>
      </c>
      <c r="V240" s="6" t="e">
        <f>#REF!</f>
        <v>#REF!</v>
      </c>
      <c r="W240" s="6" t="e">
        <f>#REF!</f>
        <v>#REF!</v>
      </c>
      <c r="X240" s="6" t="e">
        <f>#REF!</f>
        <v>#REF!</v>
      </c>
      <c r="Y240" s="6" t="e">
        <f>#REF!</f>
        <v>#REF!</v>
      </c>
      <c r="Z240" s="6" t="e">
        <f>#REF!</f>
        <v>#REF!</v>
      </c>
      <c r="AA240" s="6" t="e">
        <f>#REF!</f>
        <v>#REF!</v>
      </c>
      <c r="AB240" s="6" t="e">
        <f>#REF!</f>
        <v>#REF!</v>
      </c>
      <c r="AC240" s="6" t="e">
        <f>#REF!</f>
        <v>#REF!</v>
      </c>
      <c r="AD240" s="6" t="e">
        <f>#REF!</f>
        <v>#REF!</v>
      </c>
      <c r="AE240" s="6" t="e">
        <f>#REF!</f>
        <v>#REF!</v>
      </c>
      <c r="AF240" s="6" t="e">
        <f>#REF!</f>
        <v>#REF!</v>
      </c>
      <c r="AG240" s="6" t="e">
        <f>#REF!</f>
        <v>#REF!</v>
      </c>
      <c r="AH240" s="6" t="e">
        <f>#REF!</f>
        <v>#REF!</v>
      </c>
      <c r="AI240" s="6" t="e">
        <f>#REF!</f>
        <v>#REF!</v>
      </c>
      <c r="AJ240" s="6" t="e">
        <f>#REF!</f>
        <v>#REF!</v>
      </c>
      <c r="AK240" s="6" t="e">
        <f>#REF!</f>
        <v>#REF!</v>
      </c>
      <c r="AL240" s="6" t="e">
        <f>#REF!</f>
        <v>#REF!</v>
      </c>
    </row>
    <row r="241" spans="1:38" ht="16.5" thickTop="1" thickBot="1" x14ac:dyDescent="0.3">
      <c r="A241" s="63" t="s">
        <v>482</v>
      </c>
      <c r="B241" s="126" t="e">
        <f>VLOOKUP(A241,$A$2:$AL$285,MATCH('Character Sheet'!$BJ$3,$A$1:$AL$1,0),FALSE)</f>
        <v>#REF!</v>
      </c>
      <c r="C241" s="6" t="e">
        <f>#REF!</f>
        <v>#REF!</v>
      </c>
      <c r="D241" s="6" t="e">
        <f>#REF!</f>
        <v>#REF!</v>
      </c>
      <c r="E241" s="6" t="e">
        <f>#REF!</f>
        <v>#REF!</v>
      </c>
      <c r="F241" s="6" t="e">
        <f>#REF!</f>
        <v>#REF!</v>
      </c>
      <c r="G241" s="6" t="e">
        <f>#REF!</f>
        <v>#REF!</v>
      </c>
      <c r="H241" s="6" t="e">
        <f>#REF!</f>
        <v>#REF!</v>
      </c>
      <c r="I241" s="6" t="e">
        <f>#REF!</f>
        <v>#REF!</v>
      </c>
      <c r="J241" s="6" t="e">
        <f>#REF!</f>
        <v>#REF!</v>
      </c>
      <c r="K241" s="6" t="e">
        <f>#REF!</f>
        <v>#REF!</v>
      </c>
      <c r="L241" s="6" t="e">
        <f>#REF!</f>
        <v>#REF!</v>
      </c>
      <c r="M241" s="6" t="e">
        <f>#REF!</f>
        <v>#REF!</v>
      </c>
      <c r="N241" s="6" t="e">
        <f>#REF!</f>
        <v>#REF!</v>
      </c>
      <c r="O241" s="6" t="e">
        <f>#REF!</f>
        <v>#REF!</v>
      </c>
      <c r="P241" s="6" t="e">
        <f>#REF!</f>
        <v>#REF!</v>
      </c>
      <c r="Q241" s="6" t="e">
        <f>#REF!</f>
        <v>#REF!</v>
      </c>
      <c r="R241" s="6" t="e">
        <f>#REF!</f>
        <v>#REF!</v>
      </c>
      <c r="S241" s="6" t="e">
        <f>#REF!</f>
        <v>#REF!</v>
      </c>
      <c r="T241" s="6" t="e">
        <f>#REF!</f>
        <v>#REF!</v>
      </c>
      <c r="U241" s="6" t="e">
        <f>#REF!</f>
        <v>#REF!</v>
      </c>
      <c r="V241" s="6" t="e">
        <f>#REF!</f>
        <v>#REF!</v>
      </c>
      <c r="W241" s="6" t="e">
        <f>#REF!</f>
        <v>#REF!</v>
      </c>
      <c r="X241" s="6" t="e">
        <f>#REF!</f>
        <v>#REF!</v>
      </c>
      <c r="Y241" s="6" t="e">
        <f>#REF!</f>
        <v>#REF!</v>
      </c>
      <c r="Z241" s="6" t="e">
        <f>#REF!</f>
        <v>#REF!</v>
      </c>
      <c r="AA241" s="6" t="e">
        <f>#REF!</f>
        <v>#REF!</v>
      </c>
      <c r="AB241" s="6" t="e">
        <f>#REF!</f>
        <v>#REF!</v>
      </c>
      <c r="AC241" s="6" t="e">
        <f>#REF!</f>
        <v>#REF!</v>
      </c>
      <c r="AD241" s="6" t="e">
        <f>#REF!</f>
        <v>#REF!</v>
      </c>
      <c r="AE241" s="6" t="e">
        <f>#REF!</f>
        <v>#REF!</v>
      </c>
      <c r="AF241" s="6" t="e">
        <f>#REF!</f>
        <v>#REF!</v>
      </c>
      <c r="AG241" s="6" t="e">
        <f>#REF!</f>
        <v>#REF!</v>
      </c>
      <c r="AH241" s="6" t="e">
        <f>#REF!</f>
        <v>#REF!</v>
      </c>
      <c r="AI241" s="6" t="e">
        <f>#REF!</f>
        <v>#REF!</v>
      </c>
      <c r="AJ241" s="6" t="e">
        <f>#REF!</f>
        <v>#REF!</v>
      </c>
      <c r="AK241" s="6" t="e">
        <f>#REF!</f>
        <v>#REF!</v>
      </c>
      <c r="AL241" s="6" t="e">
        <f>#REF!</f>
        <v>#REF!</v>
      </c>
    </row>
    <row r="242" spans="1:38" ht="15.75" thickTop="1" x14ac:dyDescent="0.25">
      <c r="A242" s="65" t="s">
        <v>484</v>
      </c>
      <c r="B242" s="126" t="e">
        <f>VLOOKUP(A242,$A$2:$AL$285,MATCH('Character Sheet'!$BJ$3,$A$1:$AL$1,0),FALSE)</f>
        <v>#REF!</v>
      </c>
      <c r="C242" s="6" t="e">
        <f>#REF!</f>
        <v>#REF!</v>
      </c>
      <c r="D242" s="6" t="e">
        <f>#REF!</f>
        <v>#REF!</v>
      </c>
      <c r="E242" s="6" t="e">
        <f>#REF!</f>
        <v>#REF!</v>
      </c>
      <c r="F242" s="6" t="e">
        <f>#REF!</f>
        <v>#REF!</v>
      </c>
      <c r="G242" s="6" t="e">
        <f>#REF!</f>
        <v>#REF!</v>
      </c>
      <c r="H242" s="6" t="e">
        <f>#REF!</f>
        <v>#REF!</v>
      </c>
      <c r="I242" s="6" t="e">
        <f>#REF!</f>
        <v>#REF!</v>
      </c>
      <c r="J242" s="6" t="e">
        <f>#REF!</f>
        <v>#REF!</v>
      </c>
      <c r="K242" s="6" t="e">
        <f>#REF!</f>
        <v>#REF!</v>
      </c>
      <c r="L242" s="6" t="e">
        <f>#REF!</f>
        <v>#REF!</v>
      </c>
      <c r="M242" s="6" t="e">
        <f>#REF!</f>
        <v>#REF!</v>
      </c>
      <c r="N242" s="6" t="e">
        <f>#REF!</f>
        <v>#REF!</v>
      </c>
      <c r="O242" s="6" t="e">
        <f>#REF!</f>
        <v>#REF!</v>
      </c>
      <c r="P242" s="6" t="e">
        <f>#REF!</f>
        <v>#REF!</v>
      </c>
      <c r="Q242" s="6" t="e">
        <f>#REF!</f>
        <v>#REF!</v>
      </c>
      <c r="R242" s="6" t="e">
        <f>#REF!</f>
        <v>#REF!</v>
      </c>
      <c r="S242" s="6" t="e">
        <f>#REF!</f>
        <v>#REF!</v>
      </c>
      <c r="T242" s="6" t="e">
        <f>#REF!</f>
        <v>#REF!</v>
      </c>
      <c r="U242" s="6" t="e">
        <f>#REF!</f>
        <v>#REF!</v>
      </c>
      <c r="V242" s="6" t="e">
        <f>#REF!</f>
        <v>#REF!</v>
      </c>
      <c r="W242" s="6" t="e">
        <f>#REF!</f>
        <v>#REF!</v>
      </c>
      <c r="X242" s="6" t="e">
        <f>#REF!</f>
        <v>#REF!</v>
      </c>
      <c r="Y242" s="6" t="e">
        <f>#REF!</f>
        <v>#REF!</v>
      </c>
      <c r="Z242" s="6" t="e">
        <f>#REF!</f>
        <v>#REF!</v>
      </c>
      <c r="AA242" s="6" t="e">
        <f>#REF!</f>
        <v>#REF!</v>
      </c>
      <c r="AB242" s="6" t="e">
        <f>#REF!</f>
        <v>#REF!</v>
      </c>
      <c r="AC242" s="6" t="e">
        <f>#REF!</f>
        <v>#REF!</v>
      </c>
      <c r="AD242" s="6" t="e">
        <f>#REF!</f>
        <v>#REF!</v>
      </c>
      <c r="AE242" s="6" t="e">
        <f>#REF!</f>
        <v>#REF!</v>
      </c>
      <c r="AF242" s="6" t="e">
        <f>#REF!</f>
        <v>#REF!</v>
      </c>
      <c r="AG242" s="6" t="e">
        <f>#REF!</f>
        <v>#REF!</v>
      </c>
      <c r="AH242" s="6" t="e">
        <f>#REF!</f>
        <v>#REF!</v>
      </c>
      <c r="AI242" s="6" t="e">
        <f>#REF!</f>
        <v>#REF!</v>
      </c>
      <c r="AJ242" s="6" t="e">
        <f>#REF!</f>
        <v>#REF!</v>
      </c>
      <c r="AK242" s="6" t="e">
        <f>#REF!</f>
        <v>#REF!</v>
      </c>
      <c r="AL242" s="6" t="e">
        <f>#REF!</f>
        <v>#REF!</v>
      </c>
    </row>
    <row r="243" spans="1:38" x14ac:dyDescent="0.25">
      <c r="A243" s="65" t="s">
        <v>485</v>
      </c>
      <c r="B243" s="126" t="e">
        <f>VLOOKUP(A243,$A$2:$AL$285,MATCH('Character Sheet'!$BJ$3,$A$1:$AL$1,0),FALSE)</f>
        <v>#REF!</v>
      </c>
      <c r="C243" s="6" t="e">
        <f>#REF!</f>
        <v>#REF!</v>
      </c>
      <c r="D243" s="6" t="e">
        <f>#REF!</f>
        <v>#REF!</v>
      </c>
      <c r="E243" s="6" t="e">
        <f>#REF!</f>
        <v>#REF!</v>
      </c>
      <c r="F243" s="6" t="e">
        <f>#REF!</f>
        <v>#REF!</v>
      </c>
      <c r="G243" s="6" t="e">
        <f>#REF!</f>
        <v>#REF!</v>
      </c>
      <c r="H243" s="6" t="e">
        <f>#REF!</f>
        <v>#REF!</v>
      </c>
      <c r="I243" s="6" t="e">
        <f>#REF!</f>
        <v>#REF!</v>
      </c>
      <c r="J243" s="6" t="e">
        <f>#REF!</f>
        <v>#REF!</v>
      </c>
      <c r="K243" s="6" t="e">
        <f>#REF!</f>
        <v>#REF!</v>
      </c>
      <c r="L243" s="6" t="e">
        <f>#REF!</f>
        <v>#REF!</v>
      </c>
      <c r="M243" s="6" t="e">
        <f>#REF!</f>
        <v>#REF!</v>
      </c>
      <c r="N243" s="6" t="e">
        <f>#REF!</f>
        <v>#REF!</v>
      </c>
      <c r="O243" s="6" t="e">
        <f>#REF!</f>
        <v>#REF!</v>
      </c>
      <c r="P243" s="6" t="e">
        <f>#REF!</f>
        <v>#REF!</v>
      </c>
      <c r="Q243" s="6" t="e">
        <f>#REF!</f>
        <v>#REF!</v>
      </c>
      <c r="R243" s="6" t="e">
        <f>#REF!</f>
        <v>#REF!</v>
      </c>
      <c r="S243" s="6" t="e">
        <f>#REF!</f>
        <v>#REF!</v>
      </c>
      <c r="T243" s="6" t="e">
        <f>#REF!</f>
        <v>#REF!</v>
      </c>
      <c r="U243" s="6" t="e">
        <f>#REF!</f>
        <v>#REF!</v>
      </c>
      <c r="V243" s="6" t="e">
        <f>#REF!</f>
        <v>#REF!</v>
      </c>
      <c r="W243" s="6" t="e">
        <f>#REF!</f>
        <v>#REF!</v>
      </c>
      <c r="X243" s="6" t="e">
        <f>#REF!</f>
        <v>#REF!</v>
      </c>
      <c r="Y243" s="6" t="e">
        <f>#REF!</f>
        <v>#REF!</v>
      </c>
      <c r="Z243" s="6" t="e">
        <f>#REF!</f>
        <v>#REF!</v>
      </c>
      <c r="AA243" s="6" t="e">
        <f>#REF!</f>
        <v>#REF!</v>
      </c>
      <c r="AB243" s="6" t="e">
        <f>#REF!</f>
        <v>#REF!</v>
      </c>
      <c r="AC243" s="6" t="e">
        <f>#REF!</f>
        <v>#REF!</v>
      </c>
      <c r="AD243" s="6" t="e">
        <f>#REF!</f>
        <v>#REF!</v>
      </c>
      <c r="AE243" s="6" t="e">
        <f>#REF!</f>
        <v>#REF!</v>
      </c>
      <c r="AF243" s="6" t="e">
        <f>#REF!</f>
        <v>#REF!</v>
      </c>
      <c r="AG243" s="6" t="e">
        <f>#REF!</f>
        <v>#REF!</v>
      </c>
      <c r="AH243" s="6" t="e">
        <f>#REF!</f>
        <v>#REF!</v>
      </c>
      <c r="AI243" s="6" t="e">
        <f>#REF!</f>
        <v>#REF!</v>
      </c>
      <c r="AJ243" s="6" t="e">
        <f>#REF!</f>
        <v>#REF!</v>
      </c>
      <c r="AK243" s="6" t="e">
        <f>#REF!</f>
        <v>#REF!</v>
      </c>
      <c r="AL243" s="6" t="e">
        <f>#REF!</f>
        <v>#REF!</v>
      </c>
    </row>
    <row r="244" spans="1:38" x14ac:dyDescent="0.25">
      <c r="A244" s="65" t="s">
        <v>486</v>
      </c>
      <c r="B244" s="126" t="e">
        <f>VLOOKUP(A244,$A$2:$AL$285,MATCH('Character Sheet'!$BJ$3,$A$1:$AL$1,0),FALSE)</f>
        <v>#REF!</v>
      </c>
      <c r="C244" s="6" t="e">
        <f>#REF!</f>
        <v>#REF!</v>
      </c>
      <c r="D244" s="6" t="e">
        <f>#REF!</f>
        <v>#REF!</v>
      </c>
      <c r="E244" s="6" t="e">
        <f>#REF!</f>
        <v>#REF!</v>
      </c>
      <c r="F244" s="6" t="e">
        <f>#REF!</f>
        <v>#REF!</v>
      </c>
      <c r="G244" s="6" t="e">
        <f>#REF!</f>
        <v>#REF!</v>
      </c>
      <c r="H244" s="6" t="e">
        <f>#REF!</f>
        <v>#REF!</v>
      </c>
      <c r="I244" s="6" t="e">
        <f>#REF!</f>
        <v>#REF!</v>
      </c>
      <c r="J244" s="6" t="e">
        <f>#REF!</f>
        <v>#REF!</v>
      </c>
      <c r="K244" s="6" t="e">
        <f>#REF!</f>
        <v>#REF!</v>
      </c>
      <c r="L244" s="6" t="e">
        <f>#REF!</f>
        <v>#REF!</v>
      </c>
      <c r="M244" s="6" t="e">
        <f>#REF!</f>
        <v>#REF!</v>
      </c>
      <c r="N244" s="6" t="e">
        <f>#REF!</f>
        <v>#REF!</v>
      </c>
      <c r="O244" s="6" t="e">
        <f>#REF!</f>
        <v>#REF!</v>
      </c>
      <c r="P244" s="6" t="e">
        <f>#REF!</f>
        <v>#REF!</v>
      </c>
      <c r="Q244" s="6" t="e">
        <f>#REF!</f>
        <v>#REF!</v>
      </c>
      <c r="R244" s="6" t="e">
        <f>#REF!</f>
        <v>#REF!</v>
      </c>
      <c r="S244" s="6" t="e">
        <f>#REF!</f>
        <v>#REF!</v>
      </c>
      <c r="T244" s="6" t="e">
        <f>#REF!</f>
        <v>#REF!</v>
      </c>
      <c r="U244" s="6" t="e">
        <f>#REF!</f>
        <v>#REF!</v>
      </c>
      <c r="V244" s="6" t="e">
        <f>#REF!</f>
        <v>#REF!</v>
      </c>
      <c r="W244" s="6" t="e">
        <f>#REF!</f>
        <v>#REF!</v>
      </c>
      <c r="X244" s="6" t="e">
        <f>#REF!</f>
        <v>#REF!</v>
      </c>
      <c r="Y244" s="6" t="e">
        <f>#REF!</f>
        <v>#REF!</v>
      </c>
      <c r="Z244" s="6" t="e">
        <f>#REF!</f>
        <v>#REF!</v>
      </c>
      <c r="AA244" s="6" t="e">
        <f>#REF!</f>
        <v>#REF!</v>
      </c>
      <c r="AB244" s="6" t="e">
        <f>#REF!</f>
        <v>#REF!</v>
      </c>
      <c r="AC244" s="6" t="e">
        <f>#REF!</f>
        <v>#REF!</v>
      </c>
      <c r="AD244" s="6" t="e">
        <f>#REF!</f>
        <v>#REF!</v>
      </c>
      <c r="AE244" s="6" t="e">
        <f>#REF!</f>
        <v>#REF!</v>
      </c>
      <c r="AF244" s="6" t="e">
        <f>#REF!</f>
        <v>#REF!</v>
      </c>
      <c r="AG244" s="6" t="e">
        <f>#REF!</f>
        <v>#REF!</v>
      </c>
      <c r="AH244" s="6" t="e">
        <f>#REF!</f>
        <v>#REF!</v>
      </c>
      <c r="AI244" s="6" t="e">
        <f>#REF!</f>
        <v>#REF!</v>
      </c>
      <c r="AJ244" s="6" t="e">
        <f>#REF!</f>
        <v>#REF!</v>
      </c>
      <c r="AK244" s="6" t="e">
        <f>#REF!</f>
        <v>#REF!</v>
      </c>
      <c r="AL244" s="6" t="e">
        <f>#REF!</f>
        <v>#REF!</v>
      </c>
    </row>
    <row r="245" spans="1:38" x14ac:dyDescent="0.25">
      <c r="A245" s="65" t="s">
        <v>487</v>
      </c>
      <c r="B245" s="126" t="e">
        <f>VLOOKUP(A245,$A$2:$AL$285,MATCH('Character Sheet'!$BJ$3,$A$1:$AL$1,0),FALSE)</f>
        <v>#REF!</v>
      </c>
      <c r="C245" s="6" t="e">
        <f>#REF!</f>
        <v>#REF!</v>
      </c>
      <c r="D245" s="6" t="e">
        <f>#REF!</f>
        <v>#REF!</v>
      </c>
      <c r="E245" s="6" t="e">
        <f>#REF!</f>
        <v>#REF!</v>
      </c>
      <c r="F245" s="6" t="e">
        <f>#REF!</f>
        <v>#REF!</v>
      </c>
      <c r="G245" s="6" t="e">
        <f>#REF!</f>
        <v>#REF!</v>
      </c>
      <c r="H245" s="6" t="e">
        <f>#REF!</f>
        <v>#REF!</v>
      </c>
      <c r="I245" s="6" t="e">
        <f>#REF!</f>
        <v>#REF!</v>
      </c>
      <c r="J245" s="6" t="e">
        <f>#REF!</f>
        <v>#REF!</v>
      </c>
      <c r="K245" s="6" t="e">
        <f>#REF!</f>
        <v>#REF!</v>
      </c>
      <c r="L245" s="6" t="e">
        <f>#REF!</f>
        <v>#REF!</v>
      </c>
      <c r="M245" s="6" t="e">
        <f>#REF!</f>
        <v>#REF!</v>
      </c>
      <c r="N245" s="6" t="e">
        <f>#REF!</f>
        <v>#REF!</v>
      </c>
      <c r="O245" s="6" t="e">
        <f>#REF!</f>
        <v>#REF!</v>
      </c>
      <c r="P245" s="6" t="e">
        <f>#REF!</f>
        <v>#REF!</v>
      </c>
      <c r="Q245" s="6" t="e">
        <f>#REF!</f>
        <v>#REF!</v>
      </c>
      <c r="R245" s="6" t="e">
        <f>#REF!</f>
        <v>#REF!</v>
      </c>
      <c r="S245" s="6" t="e">
        <f>#REF!</f>
        <v>#REF!</v>
      </c>
      <c r="T245" s="6" t="e">
        <f>#REF!</f>
        <v>#REF!</v>
      </c>
      <c r="U245" s="6" t="e">
        <f>#REF!</f>
        <v>#REF!</v>
      </c>
      <c r="V245" s="6" t="e">
        <f>#REF!</f>
        <v>#REF!</v>
      </c>
      <c r="W245" s="6" t="e">
        <f>#REF!</f>
        <v>#REF!</v>
      </c>
      <c r="X245" s="6" t="e">
        <f>#REF!</f>
        <v>#REF!</v>
      </c>
      <c r="Y245" s="6" t="e">
        <f>#REF!</f>
        <v>#REF!</v>
      </c>
      <c r="Z245" s="6" t="e">
        <f>#REF!</f>
        <v>#REF!</v>
      </c>
      <c r="AA245" s="6" t="e">
        <f>#REF!</f>
        <v>#REF!</v>
      </c>
      <c r="AB245" s="6" t="e">
        <f>#REF!</f>
        <v>#REF!</v>
      </c>
      <c r="AC245" s="6" t="e">
        <f>#REF!</f>
        <v>#REF!</v>
      </c>
      <c r="AD245" s="6" t="e">
        <f>#REF!</f>
        <v>#REF!</v>
      </c>
      <c r="AE245" s="6" t="e">
        <f>#REF!</f>
        <v>#REF!</v>
      </c>
      <c r="AF245" s="6" t="e">
        <f>#REF!</f>
        <v>#REF!</v>
      </c>
      <c r="AG245" s="6" t="e">
        <f>#REF!</f>
        <v>#REF!</v>
      </c>
      <c r="AH245" s="6" t="e">
        <f>#REF!</f>
        <v>#REF!</v>
      </c>
      <c r="AI245" s="6" t="e">
        <f>#REF!</f>
        <v>#REF!</v>
      </c>
      <c r="AJ245" s="6" t="e">
        <f>#REF!</f>
        <v>#REF!</v>
      </c>
      <c r="AK245" s="6" t="e">
        <f>#REF!</f>
        <v>#REF!</v>
      </c>
      <c r="AL245" s="6" t="e">
        <f>#REF!</f>
        <v>#REF!</v>
      </c>
    </row>
    <row r="246" spans="1:38" x14ac:dyDescent="0.25">
      <c r="A246" s="65" t="s">
        <v>488</v>
      </c>
      <c r="B246" s="126" t="e">
        <f>VLOOKUP(A246,$A$2:$AL$285,MATCH('Character Sheet'!$BJ$3,$A$1:$AL$1,0),FALSE)</f>
        <v>#REF!</v>
      </c>
      <c r="C246" s="6" t="e">
        <f>#REF!</f>
        <v>#REF!</v>
      </c>
      <c r="D246" s="6" t="e">
        <f>#REF!</f>
        <v>#REF!</v>
      </c>
      <c r="E246" s="6" t="e">
        <f>#REF!</f>
        <v>#REF!</v>
      </c>
      <c r="F246" s="6" t="e">
        <f>#REF!</f>
        <v>#REF!</v>
      </c>
      <c r="G246" s="6" t="e">
        <f>#REF!</f>
        <v>#REF!</v>
      </c>
      <c r="H246" s="6" t="e">
        <f>#REF!</f>
        <v>#REF!</v>
      </c>
      <c r="I246" s="6" t="e">
        <f>#REF!</f>
        <v>#REF!</v>
      </c>
      <c r="J246" s="6" t="e">
        <f>#REF!</f>
        <v>#REF!</v>
      </c>
      <c r="K246" s="6" t="e">
        <f>#REF!</f>
        <v>#REF!</v>
      </c>
      <c r="L246" s="6" t="e">
        <f>#REF!</f>
        <v>#REF!</v>
      </c>
      <c r="M246" s="6" t="e">
        <f>#REF!</f>
        <v>#REF!</v>
      </c>
      <c r="N246" s="6" t="e">
        <f>#REF!</f>
        <v>#REF!</v>
      </c>
      <c r="O246" s="6" t="e">
        <f>#REF!</f>
        <v>#REF!</v>
      </c>
      <c r="P246" s="6" t="e">
        <f>#REF!</f>
        <v>#REF!</v>
      </c>
      <c r="Q246" s="6" t="e">
        <f>#REF!</f>
        <v>#REF!</v>
      </c>
      <c r="R246" s="6" t="e">
        <f>#REF!</f>
        <v>#REF!</v>
      </c>
      <c r="S246" s="6" t="e">
        <f>#REF!</f>
        <v>#REF!</v>
      </c>
      <c r="T246" s="6" t="e">
        <f>#REF!</f>
        <v>#REF!</v>
      </c>
      <c r="U246" s="6" t="e">
        <f>#REF!</f>
        <v>#REF!</v>
      </c>
      <c r="V246" s="6" t="e">
        <f>#REF!</f>
        <v>#REF!</v>
      </c>
      <c r="W246" s="6" t="e">
        <f>#REF!</f>
        <v>#REF!</v>
      </c>
      <c r="X246" s="6" t="e">
        <f>#REF!</f>
        <v>#REF!</v>
      </c>
      <c r="Y246" s="6" t="e">
        <f>#REF!</f>
        <v>#REF!</v>
      </c>
      <c r="Z246" s="6" t="e">
        <f>#REF!</f>
        <v>#REF!</v>
      </c>
      <c r="AA246" s="6" t="e">
        <f>#REF!</f>
        <v>#REF!</v>
      </c>
      <c r="AB246" s="6" t="e">
        <f>#REF!</f>
        <v>#REF!</v>
      </c>
      <c r="AC246" s="6" t="e">
        <f>#REF!</f>
        <v>#REF!</v>
      </c>
      <c r="AD246" s="6" t="e">
        <f>#REF!</f>
        <v>#REF!</v>
      </c>
      <c r="AE246" s="6" t="e">
        <f>#REF!</f>
        <v>#REF!</v>
      </c>
      <c r="AF246" s="6" t="e">
        <f>#REF!</f>
        <v>#REF!</v>
      </c>
      <c r="AG246" s="6" t="e">
        <f>#REF!</f>
        <v>#REF!</v>
      </c>
      <c r="AH246" s="6" t="e">
        <f>#REF!</f>
        <v>#REF!</v>
      </c>
      <c r="AI246" s="6" t="e">
        <f>#REF!</f>
        <v>#REF!</v>
      </c>
      <c r="AJ246" s="6" t="e">
        <f>#REF!</f>
        <v>#REF!</v>
      </c>
      <c r="AK246" s="6" t="e">
        <f>#REF!</f>
        <v>#REF!</v>
      </c>
      <c r="AL246" s="6" t="e">
        <f>#REF!</f>
        <v>#REF!</v>
      </c>
    </row>
    <row r="247" spans="1:38" x14ac:dyDescent="0.25">
      <c r="A247" s="65" t="s">
        <v>489</v>
      </c>
      <c r="B247" s="126" t="e">
        <f>VLOOKUP(A247,$A$2:$AL$285,MATCH('Character Sheet'!$BJ$3,$A$1:$AL$1,0),FALSE)</f>
        <v>#REF!</v>
      </c>
      <c r="C247" s="6" t="e">
        <f>#REF!</f>
        <v>#REF!</v>
      </c>
      <c r="D247" s="6" t="e">
        <f>#REF!</f>
        <v>#REF!</v>
      </c>
      <c r="E247" s="6" t="e">
        <f>#REF!</f>
        <v>#REF!</v>
      </c>
      <c r="F247" s="6" t="e">
        <f>#REF!</f>
        <v>#REF!</v>
      </c>
      <c r="G247" s="6" t="e">
        <f>#REF!</f>
        <v>#REF!</v>
      </c>
      <c r="H247" s="6" t="e">
        <f>#REF!</f>
        <v>#REF!</v>
      </c>
      <c r="I247" s="6" t="e">
        <f>#REF!</f>
        <v>#REF!</v>
      </c>
      <c r="J247" s="6" t="e">
        <f>#REF!</f>
        <v>#REF!</v>
      </c>
      <c r="K247" s="6" t="e">
        <f>#REF!</f>
        <v>#REF!</v>
      </c>
      <c r="L247" s="6" t="e">
        <f>#REF!</f>
        <v>#REF!</v>
      </c>
      <c r="M247" s="6" t="e">
        <f>#REF!</f>
        <v>#REF!</v>
      </c>
      <c r="N247" s="6" t="e">
        <f>#REF!</f>
        <v>#REF!</v>
      </c>
      <c r="O247" s="6" t="e">
        <f>#REF!</f>
        <v>#REF!</v>
      </c>
      <c r="P247" s="6" t="e">
        <f>#REF!</f>
        <v>#REF!</v>
      </c>
      <c r="Q247" s="6" t="e">
        <f>#REF!</f>
        <v>#REF!</v>
      </c>
      <c r="R247" s="6" t="e">
        <f>#REF!</f>
        <v>#REF!</v>
      </c>
      <c r="S247" s="6" t="e">
        <f>#REF!</f>
        <v>#REF!</v>
      </c>
      <c r="T247" s="6" t="e">
        <f>#REF!</f>
        <v>#REF!</v>
      </c>
      <c r="U247" s="6" t="e">
        <f>#REF!</f>
        <v>#REF!</v>
      </c>
      <c r="V247" s="6" t="e">
        <f>#REF!</f>
        <v>#REF!</v>
      </c>
      <c r="W247" s="6" t="e">
        <f>#REF!</f>
        <v>#REF!</v>
      </c>
      <c r="X247" s="6" t="e">
        <f>#REF!</f>
        <v>#REF!</v>
      </c>
      <c r="Y247" s="6" t="e">
        <f>#REF!</f>
        <v>#REF!</v>
      </c>
      <c r="Z247" s="6" t="e">
        <f>#REF!</f>
        <v>#REF!</v>
      </c>
      <c r="AA247" s="6" t="e">
        <f>#REF!</f>
        <v>#REF!</v>
      </c>
      <c r="AB247" s="6" t="e">
        <f>#REF!</f>
        <v>#REF!</v>
      </c>
      <c r="AC247" s="6" t="e">
        <f>#REF!</f>
        <v>#REF!</v>
      </c>
      <c r="AD247" s="6" t="e">
        <f>#REF!</f>
        <v>#REF!</v>
      </c>
      <c r="AE247" s="6" t="e">
        <f>#REF!</f>
        <v>#REF!</v>
      </c>
      <c r="AF247" s="6" t="e">
        <f>#REF!</f>
        <v>#REF!</v>
      </c>
      <c r="AG247" s="6" t="e">
        <f>#REF!</f>
        <v>#REF!</v>
      </c>
      <c r="AH247" s="6" t="e">
        <f>#REF!</f>
        <v>#REF!</v>
      </c>
      <c r="AI247" s="6" t="e">
        <f>#REF!</f>
        <v>#REF!</v>
      </c>
      <c r="AJ247" s="6" t="e">
        <f>#REF!</f>
        <v>#REF!</v>
      </c>
      <c r="AK247" s="6" t="e">
        <f>#REF!</f>
        <v>#REF!</v>
      </c>
      <c r="AL247" s="6" t="e">
        <f>#REF!</f>
        <v>#REF!</v>
      </c>
    </row>
    <row r="248" spans="1:38" x14ac:dyDescent="0.25">
      <c r="A248" s="65" t="s">
        <v>490</v>
      </c>
      <c r="B248" s="126" t="e">
        <f>VLOOKUP(A248,$A$2:$AL$285,MATCH('Character Sheet'!$BJ$3,$A$1:$AL$1,0),FALSE)</f>
        <v>#REF!</v>
      </c>
      <c r="C248" s="6" t="e">
        <f>#REF!</f>
        <v>#REF!</v>
      </c>
      <c r="D248" s="6" t="e">
        <f>#REF!</f>
        <v>#REF!</v>
      </c>
      <c r="E248" s="6" t="e">
        <f>#REF!</f>
        <v>#REF!</v>
      </c>
      <c r="F248" s="6" t="e">
        <f>#REF!</f>
        <v>#REF!</v>
      </c>
      <c r="G248" s="6" t="e">
        <f>#REF!</f>
        <v>#REF!</v>
      </c>
      <c r="H248" s="6" t="e">
        <f>#REF!</f>
        <v>#REF!</v>
      </c>
      <c r="I248" s="6" t="e">
        <f>#REF!</f>
        <v>#REF!</v>
      </c>
      <c r="J248" s="6" t="e">
        <f>#REF!</f>
        <v>#REF!</v>
      </c>
      <c r="K248" s="6" t="e">
        <f>#REF!</f>
        <v>#REF!</v>
      </c>
      <c r="L248" s="6" t="e">
        <f>#REF!</f>
        <v>#REF!</v>
      </c>
      <c r="M248" s="6" t="e">
        <f>#REF!</f>
        <v>#REF!</v>
      </c>
      <c r="N248" s="6" t="e">
        <f>#REF!</f>
        <v>#REF!</v>
      </c>
      <c r="O248" s="6" t="e">
        <f>#REF!</f>
        <v>#REF!</v>
      </c>
      <c r="P248" s="6" t="e">
        <f>#REF!</f>
        <v>#REF!</v>
      </c>
      <c r="Q248" s="6" t="e">
        <f>#REF!</f>
        <v>#REF!</v>
      </c>
      <c r="R248" s="6" t="e">
        <f>#REF!</f>
        <v>#REF!</v>
      </c>
      <c r="S248" s="6" t="e">
        <f>#REF!</f>
        <v>#REF!</v>
      </c>
      <c r="T248" s="6" t="e">
        <f>#REF!</f>
        <v>#REF!</v>
      </c>
      <c r="U248" s="6" t="e">
        <f>#REF!</f>
        <v>#REF!</v>
      </c>
      <c r="V248" s="6" t="e">
        <f>#REF!</f>
        <v>#REF!</v>
      </c>
      <c r="W248" s="6" t="e">
        <f>#REF!</f>
        <v>#REF!</v>
      </c>
      <c r="X248" s="6" t="e">
        <f>#REF!</f>
        <v>#REF!</v>
      </c>
      <c r="Y248" s="6" t="e">
        <f>#REF!</f>
        <v>#REF!</v>
      </c>
      <c r="Z248" s="6" t="e">
        <f>#REF!</f>
        <v>#REF!</v>
      </c>
      <c r="AA248" s="6" t="e">
        <f>#REF!</f>
        <v>#REF!</v>
      </c>
      <c r="AB248" s="6" t="e">
        <f>#REF!</f>
        <v>#REF!</v>
      </c>
      <c r="AC248" s="6" t="e">
        <f>#REF!</f>
        <v>#REF!</v>
      </c>
      <c r="AD248" s="6" t="e">
        <f>#REF!</f>
        <v>#REF!</v>
      </c>
      <c r="AE248" s="6" t="e">
        <f>#REF!</f>
        <v>#REF!</v>
      </c>
      <c r="AF248" s="6" t="e">
        <f>#REF!</f>
        <v>#REF!</v>
      </c>
      <c r="AG248" s="6" t="e">
        <f>#REF!</f>
        <v>#REF!</v>
      </c>
      <c r="AH248" s="6" t="e">
        <f>#REF!</f>
        <v>#REF!</v>
      </c>
      <c r="AI248" s="6" t="e">
        <f>#REF!</f>
        <v>#REF!</v>
      </c>
      <c r="AJ248" s="6" t="e">
        <f>#REF!</f>
        <v>#REF!</v>
      </c>
      <c r="AK248" s="6" t="e">
        <f>#REF!</f>
        <v>#REF!</v>
      </c>
      <c r="AL248" s="6" t="e">
        <f>#REF!</f>
        <v>#REF!</v>
      </c>
    </row>
    <row r="249" spans="1:38" x14ac:dyDescent="0.25">
      <c r="A249" s="65" t="s">
        <v>491</v>
      </c>
      <c r="B249" s="126" t="e">
        <f>VLOOKUP(A249,$A$2:$AL$285,MATCH('Character Sheet'!$BJ$3,$A$1:$AL$1,0),FALSE)</f>
        <v>#REF!</v>
      </c>
      <c r="C249" s="6" t="e">
        <f>#REF!</f>
        <v>#REF!</v>
      </c>
      <c r="D249" s="6" t="e">
        <f>#REF!</f>
        <v>#REF!</v>
      </c>
      <c r="E249" s="6" t="e">
        <f>#REF!</f>
        <v>#REF!</v>
      </c>
      <c r="F249" s="6" t="e">
        <f>#REF!</f>
        <v>#REF!</v>
      </c>
      <c r="G249" s="6" t="e">
        <f>#REF!</f>
        <v>#REF!</v>
      </c>
      <c r="H249" s="6" t="e">
        <f>#REF!</f>
        <v>#REF!</v>
      </c>
      <c r="I249" s="6" t="e">
        <f>#REF!</f>
        <v>#REF!</v>
      </c>
      <c r="J249" s="6" t="e">
        <f>#REF!</f>
        <v>#REF!</v>
      </c>
      <c r="K249" s="6" t="e">
        <f>#REF!</f>
        <v>#REF!</v>
      </c>
      <c r="L249" s="6" t="e">
        <f>#REF!</f>
        <v>#REF!</v>
      </c>
      <c r="M249" s="6" t="e">
        <f>#REF!</f>
        <v>#REF!</v>
      </c>
      <c r="N249" s="6" t="e">
        <f>#REF!</f>
        <v>#REF!</v>
      </c>
      <c r="O249" s="6" t="e">
        <f>#REF!</f>
        <v>#REF!</v>
      </c>
      <c r="P249" s="6" t="e">
        <f>#REF!</f>
        <v>#REF!</v>
      </c>
      <c r="Q249" s="6" t="e">
        <f>#REF!</f>
        <v>#REF!</v>
      </c>
      <c r="R249" s="6" t="e">
        <f>#REF!</f>
        <v>#REF!</v>
      </c>
      <c r="S249" s="6" t="e">
        <f>#REF!</f>
        <v>#REF!</v>
      </c>
      <c r="T249" s="6" t="e">
        <f>#REF!</f>
        <v>#REF!</v>
      </c>
      <c r="U249" s="6" t="e">
        <f>#REF!</f>
        <v>#REF!</v>
      </c>
      <c r="V249" s="6" t="e">
        <f>#REF!</f>
        <v>#REF!</v>
      </c>
      <c r="W249" s="6" t="e">
        <f>#REF!</f>
        <v>#REF!</v>
      </c>
      <c r="X249" s="6" t="e">
        <f>#REF!</f>
        <v>#REF!</v>
      </c>
      <c r="Y249" s="6" t="e">
        <f>#REF!</f>
        <v>#REF!</v>
      </c>
      <c r="Z249" s="6" t="e">
        <f>#REF!</f>
        <v>#REF!</v>
      </c>
      <c r="AA249" s="6" t="e">
        <f>#REF!</f>
        <v>#REF!</v>
      </c>
      <c r="AB249" s="6" t="e">
        <f>#REF!</f>
        <v>#REF!</v>
      </c>
      <c r="AC249" s="6" t="e">
        <f>#REF!</f>
        <v>#REF!</v>
      </c>
      <c r="AD249" s="6" t="e">
        <f>#REF!</f>
        <v>#REF!</v>
      </c>
      <c r="AE249" s="6" t="e">
        <f>#REF!</f>
        <v>#REF!</v>
      </c>
      <c r="AF249" s="6" t="e">
        <f>#REF!</f>
        <v>#REF!</v>
      </c>
      <c r="AG249" s="6" t="e">
        <f>#REF!</f>
        <v>#REF!</v>
      </c>
      <c r="AH249" s="6" t="e">
        <f>#REF!</f>
        <v>#REF!</v>
      </c>
      <c r="AI249" s="6" t="e">
        <f>#REF!</f>
        <v>#REF!</v>
      </c>
      <c r="AJ249" s="6" t="e">
        <f>#REF!</f>
        <v>#REF!</v>
      </c>
      <c r="AK249" s="6" t="e">
        <f>#REF!</f>
        <v>#REF!</v>
      </c>
      <c r="AL249" s="6" t="e">
        <f>#REF!</f>
        <v>#REF!</v>
      </c>
    </row>
    <row r="250" spans="1:38" x14ac:dyDescent="0.25">
      <c r="A250" s="65" t="s">
        <v>492</v>
      </c>
      <c r="B250" s="126" t="e">
        <f>VLOOKUP(A250,$A$2:$AL$285,MATCH('Character Sheet'!$BJ$3,$A$1:$AL$1,0),FALSE)</f>
        <v>#REF!</v>
      </c>
      <c r="C250" s="6" t="e">
        <f>#REF!</f>
        <v>#REF!</v>
      </c>
      <c r="D250" s="6" t="e">
        <f>#REF!</f>
        <v>#REF!</v>
      </c>
      <c r="E250" s="6" t="e">
        <f>#REF!</f>
        <v>#REF!</v>
      </c>
      <c r="F250" s="6" t="e">
        <f>#REF!</f>
        <v>#REF!</v>
      </c>
      <c r="G250" s="6" t="e">
        <f>#REF!</f>
        <v>#REF!</v>
      </c>
      <c r="H250" s="6" t="e">
        <f>#REF!</f>
        <v>#REF!</v>
      </c>
      <c r="I250" s="6" t="e">
        <f>#REF!</f>
        <v>#REF!</v>
      </c>
      <c r="J250" s="6" t="e">
        <f>#REF!</f>
        <v>#REF!</v>
      </c>
      <c r="K250" s="6" t="e">
        <f>#REF!</f>
        <v>#REF!</v>
      </c>
      <c r="L250" s="6" t="e">
        <f>#REF!</f>
        <v>#REF!</v>
      </c>
      <c r="M250" s="6" t="e">
        <f>#REF!</f>
        <v>#REF!</v>
      </c>
      <c r="N250" s="6" t="e">
        <f>#REF!</f>
        <v>#REF!</v>
      </c>
      <c r="O250" s="6" t="e">
        <f>#REF!</f>
        <v>#REF!</v>
      </c>
      <c r="P250" s="6" t="e">
        <f>#REF!</f>
        <v>#REF!</v>
      </c>
      <c r="Q250" s="6" t="e">
        <f>#REF!</f>
        <v>#REF!</v>
      </c>
      <c r="R250" s="6" t="e">
        <f>#REF!</f>
        <v>#REF!</v>
      </c>
      <c r="S250" s="6" t="e">
        <f>#REF!</f>
        <v>#REF!</v>
      </c>
      <c r="T250" s="6" t="e">
        <f>#REF!</f>
        <v>#REF!</v>
      </c>
      <c r="U250" s="6" t="e">
        <f>#REF!</f>
        <v>#REF!</v>
      </c>
      <c r="V250" s="6" t="e">
        <f>#REF!</f>
        <v>#REF!</v>
      </c>
      <c r="W250" s="6" t="e">
        <f>#REF!</f>
        <v>#REF!</v>
      </c>
      <c r="X250" s="6" t="e">
        <f>#REF!</f>
        <v>#REF!</v>
      </c>
      <c r="Y250" s="6" t="e">
        <f>#REF!</f>
        <v>#REF!</v>
      </c>
      <c r="Z250" s="6" t="e">
        <f>#REF!</f>
        <v>#REF!</v>
      </c>
      <c r="AA250" s="6" t="e">
        <f>#REF!</f>
        <v>#REF!</v>
      </c>
      <c r="AB250" s="6" t="e">
        <f>#REF!</f>
        <v>#REF!</v>
      </c>
      <c r="AC250" s="6" t="e">
        <f>#REF!</f>
        <v>#REF!</v>
      </c>
      <c r="AD250" s="6" t="e">
        <f>#REF!</f>
        <v>#REF!</v>
      </c>
      <c r="AE250" s="6" t="e">
        <f>#REF!</f>
        <v>#REF!</v>
      </c>
      <c r="AF250" s="6" t="e">
        <f>#REF!</f>
        <v>#REF!</v>
      </c>
      <c r="AG250" s="6" t="e">
        <f>#REF!</f>
        <v>#REF!</v>
      </c>
      <c r="AH250" s="6" t="e">
        <f>#REF!</f>
        <v>#REF!</v>
      </c>
      <c r="AI250" s="6" t="e">
        <f>#REF!</f>
        <v>#REF!</v>
      </c>
      <c r="AJ250" s="6" t="e">
        <f>#REF!</f>
        <v>#REF!</v>
      </c>
      <c r="AK250" s="6" t="e">
        <f>#REF!</f>
        <v>#REF!</v>
      </c>
      <c r="AL250" s="6" t="e">
        <f>#REF!</f>
        <v>#REF!</v>
      </c>
    </row>
    <row r="251" spans="1:38" x14ac:dyDescent="0.25">
      <c r="A251" s="65" t="s">
        <v>493</v>
      </c>
      <c r="B251" s="126" t="e">
        <f>VLOOKUP(A251,$A$2:$AL$285,MATCH('Character Sheet'!$BJ$3,$A$1:$AL$1,0),FALSE)</f>
        <v>#REF!</v>
      </c>
      <c r="C251" s="6" t="e">
        <f>#REF!</f>
        <v>#REF!</v>
      </c>
      <c r="D251" s="6" t="e">
        <f>#REF!</f>
        <v>#REF!</v>
      </c>
      <c r="E251" s="6" t="e">
        <f>#REF!</f>
        <v>#REF!</v>
      </c>
      <c r="F251" s="6" t="e">
        <f>#REF!</f>
        <v>#REF!</v>
      </c>
      <c r="G251" s="6" t="e">
        <f>#REF!</f>
        <v>#REF!</v>
      </c>
      <c r="H251" s="6" t="e">
        <f>#REF!</f>
        <v>#REF!</v>
      </c>
      <c r="I251" s="6" t="e">
        <f>#REF!</f>
        <v>#REF!</v>
      </c>
      <c r="J251" s="6" t="e">
        <f>#REF!</f>
        <v>#REF!</v>
      </c>
      <c r="K251" s="6" t="e">
        <f>#REF!</f>
        <v>#REF!</v>
      </c>
      <c r="L251" s="6" t="e">
        <f>#REF!</f>
        <v>#REF!</v>
      </c>
      <c r="M251" s="6" t="e">
        <f>#REF!</f>
        <v>#REF!</v>
      </c>
      <c r="N251" s="6" t="e">
        <f>#REF!</f>
        <v>#REF!</v>
      </c>
      <c r="O251" s="6" t="e">
        <f>#REF!</f>
        <v>#REF!</v>
      </c>
      <c r="P251" s="6" t="e">
        <f>#REF!</f>
        <v>#REF!</v>
      </c>
      <c r="Q251" s="6" t="e">
        <f>#REF!</f>
        <v>#REF!</v>
      </c>
      <c r="R251" s="6" t="e">
        <f>#REF!</f>
        <v>#REF!</v>
      </c>
      <c r="S251" s="6" t="e">
        <f>#REF!</f>
        <v>#REF!</v>
      </c>
      <c r="T251" s="6" t="e">
        <f>#REF!</f>
        <v>#REF!</v>
      </c>
      <c r="U251" s="6" t="e">
        <f>#REF!</f>
        <v>#REF!</v>
      </c>
      <c r="V251" s="6" t="e">
        <f>#REF!</f>
        <v>#REF!</v>
      </c>
      <c r="W251" s="6" t="e">
        <f>#REF!</f>
        <v>#REF!</v>
      </c>
      <c r="X251" s="6" t="e">
        <f>#REF!</f>
        <v>#REF!</v>
      </c>
      <c r="Y251" s="6" t="e">
        <f>#REF!</f>
        <v>#REF!</v>
      </c>
      <c r="Z251" s="6" t="e">
        <f>#REF!</f>
        <v>#REF!</v>
      </c>
      <c r="AA251" s="6" t="e">
        <f>#REF!</f>
        <v>#REF!</v>
      </c>
      <c r="AB251" s="6" t="e">
        <f>#REF!</f>
        <v>#REF!</v>
      </c>
      <c r="AC251" s="6" t="e">
        <f>#REF!</f>
        <v>#REF!</v>
      </c>
      <c r="AD251" s="6" t="e">
        <f>#REF!</f>
        <v>#REF!</v>
      </c>
      <c r="AE251" s="6" t="e">
        <f>#REF!</f>
        <v>#REF!</v>
      </c>
      <c r="AF251" s="6" t="e">
        <f>#REF!</f>
        <v>#REF!</v>
      </c>
      <c r="AG251" s="6" t="e">
        <f>#REF!</f>
        <v>#REF!</v>
      </c>
      <c r="AH251" s="6" t="e">
        <f>#REF!</f>
        <v>#REF!</v>
      </c>
      <c r="AI251" s="6" t="e">
        <f>#REF!</f>
        <v>#REF!</v>
      </c>
      <c r="AJ251" s="6" t="e">
        <f>#REF!</f>
        <v>#REF!</v>
      </c>
      <c r="AK251" s="6" t="e">
        <f>#REF!</f>
        <v>#REF!</v>
      </c>
      <c r="AL251" s="6" t="e">
        <f>#REF!</f>
        <v>#REF!</v>
      </c>
    </row>
    <row r="252" spans="1:38" ht="15.75" thickBot="1" x14ac:dyDescent="0.3">
      <c r="A252" s="65" t="s">
        <v>2074</v>
      </c>
      <c r="B252" s="126" t="e">
        <f>VLOOKUP(A252,$A$2:$AL$285,MATCH('Character Sheet'!$BJ$3,$A$1:$AL$1,0),FALSE)</f>
        <v>#REF!</v>
      </c>
      <c r="C252" s="6" t="e">
        <f>#REF!</f>
        <v>#REF!</v>
      </c>
      <c r="D252" s="6" t="e">
        <f>#REF!</f>
        <v>#REF!</v>
      </c>
      <c r="E252" s="6" t="e">
        <f>#REF!</f>
        <v>#REF!</v>
      </c>
      <c r="F252" s="6" t="e">
        <f>#REF!</f>
        <v>#REF!</v>
      </c>
      <c r="G252" s="6" t="e">
        <f>#REF!</f>
        <v>#REF!</v>
      </c>
      <c r="H252" s="6" t="e">
        <f>#REF!</f>
        <v>#REF!</v>
      </c>
      <c r="I252" s="6" t="e">
        <f>#REF!</f>
        <v>#REF!</v>
      </c>
      <c r="J252" s="6" t="e">
        <f>#REF!</f>
        <v>#REF!</v>
      </c>
      <c r="K252" s="6" t="e">
        <f>#REF!</f>
        <v>#REF!</v>
      </c>
      <c r="L252" s="6" t="e">
        <f>#REF!</f>
        <v>#REF!</v>
      </c>
      <c r="M252" s="6" t="e">
        <f>#REF!</f>
        <v>#REF!</v>
      </c>
      <c r="N252" s="6" t="e">
        <f>#REF!</f>
        <v>#REF!</v>
      </c>
      <c r="O252" s="6" t="e">
        <f>#REF!</f>
        <v>#REF!</v>
      </c>
      <c r="P252" s="6" t="e">
        <f>#REF!</f>
        <v>#REF!</v>
      </c>
      <c r="Q252" s="6" t="e">
        <f>#REF!</f>
        <v>#REF!</v>
      </c>
      <c r="R252" s="6" t="e">
        <f>#REF!</f>
        <v>#REF!</v>
      </c>
      <c r="S252" s="6" t="e">
        <f>#REF!</f>
        <v>#REF!</v>
      </c>
      <c r="T252" s="6" t="e">
        <f>#REF!</f>
        <v>#REF!</v>
      </c>
      <c r="U252" s="6" t="e">
        <f>#REF!</f>
        <v>#REF!</v>
      </c>
      <c r="V252" s="6" t="e">
        <f>#REF!</f>
        <v>#REF!</v>
      </c>
      <c r="W252" s="6" t="e">
        <f>#REF!</f>
        <v>#REF!</v>
      </c>
      <c r="X252" s="6" t="e">
        <f>#REF!</f>
        <v>#REF!</v>
      </c>
      <c r="Y252" s="6" t="e">
        <f>#REF!</f>
        <v>#REF!</v>
      </c>
      <c r="Z252" s="6" t="e">
        <f>#REF!</f>
        <v>#REF!</v>
      </c>
      <c r="AA252" s="6" t="e">
        <f>#REF!</f>
        <v>#REF!</v>
      </c>
      <c r="AB252" s="6" t="e">
        <f>#REF!</f>
        <v>#REF!</v>
      </c>
      <c r="AC252" s="6" t="e">
        <f>#REF!</f>
        <v>#REF!</v>
      </c>
      <c r="AD252" s="6" t="e">
        <f>#REF!</f>
        <v>#REF!</v>
      </c>
      <c r="AE252" s="6" t="e">
        <f>#REF!</f>
        <v>#REF!</v>
      </c>
      <c r="AF252" s="6" t="e">
        <f>#REF!</f>
        <v>#REF!</v>
      </c>
      <c r="AG252" s="6" t="e">
        <f>#REF!</f>
        <v>#REF!</v>
      </c>
      <c r="AH252" s="6" t="e">
        <f>#REF!</f>
        <v>#REF!</v>
      </c>
      <c r="AI252" s="6" t="e">
        <f>#REF!</f>
        <v>#REF!</v>
      </c>
      <c r="AJ252" s="6" t="e">
        <f>#REF!</f>
        <v>#REF!</v>
      </c>
      <c r="AK252" s="6" t="e">
        <f>#REF!</f>
        <v>#REF!</v>
      </c>
      <c r="AL252" s="6" t="e">
        <f>#REF!</f>
        <v>#REF!</v>
      </c>
    </row>
    <row r="253" spans="1:38" ht="16.5" thickTop="1" thickBot="1" x14ac:dyDescent="0.3">
      <c r="A253" s="63" t="s">
        <v>501</v>
      </c>
      <c r="B253" s="126" t="e">
        <f>VLOOKUP(A253,$A$2:$AL$285,MATCH('Character Sheet'!$BJ$3,$A$1:$AL$1,0),FALSE)</f>
        <v>#REF!</v>
      </c>
      <c r="C253" s="6" t="e">
        <f>#REF!</f>
        <v>#REF!</v>
      </c>
      <c r="D253" s="6" t="e">
        <f>#REF!</f>
        <v>#REF!</v>
      </c>
      <c r="E253" s="6" t="e">
        <f>#REF!</f>
        <v>#REF!</v>
      </c>
      <c r="F253" s="6" t="e">
        <f>#REF!</f>
        <v>#REF!</v>
      </c>
      <c r="G253" s="6" t="e">
        <f>#REF!</f>
        <v>#REF!</v>
      </c>
      <c r="H253" s="6" t="e">
        <f>#REF!</f>
        <v>#REF!</v>
      </c>
      <c r="I253" s="6" t="e">
        <f>#REF!</f>
        <v>#REF!</v>
      </c>
      <c r="J253" s="6" t="e">
        <f>#REF!</f>
        <v>#REF!</v>
      </c>
      <c r="K253" s="6" t="e">
        <f>#REF!</f>
        <v>#REF!</v>
      </c>
      <c r="L253" s="6" t="e">
        <f>#REF!</f>
        <v>#REF!</v>
      </c>
      <c r="M253" s="6" t="e">
        <f>#REF!</f>
        <v>#REF!</v>
      </c>
      <c r="N253" s="6" t="e">
        <f>#REF!</f>
        <v>#REF!</v>
      </c>
      <c r="O253" s="6" t="e">
        <f>#REF!</f>
        <v>#REF!</v>
      </c>
      <c r="P253" s="6" t="e">
        <f>#REF!</f>
        <v>#REF!</v>
      </c>
      <c r="Q253" s="6" t="e">
        <f>#REF!</f>
        <v>#REF!</v>
      </c>
      <c r="R253" s="6" t="e">
        <f>#REF!</f>
        <v>#REF!</v>
      </c>
      <c r="S253" s="6" t="e">
        <f>#REF!</f>
        <v>#REF!</v>
      </c>
      <c r="T253" s="6" t="e">
        <f>#REF!</f>
        <v>#REF!</v>
      </c>
      <c r="U253" s="6" t="e">
        <f>#REF!</f>
        <v>#REF!</v>
      </c>
      <c r="V253" s="6" t="e">
        <f>#REF!</f>
        <v>#REF!</v>
      </c>
      <c r="W253" s="6" t="e">
        <f>#REF!</f>
        <v>#REF!</v>
      </c>
      <c r="X253" s="6" t="e">
        <f>#REF!</f>
        <v>#REF!</v>
      </c>
      <c r="Y253" s="6" t="e">
        <f>#REF!</f>
        <v>#REF!</v>
      </c>
      <c r="Z253" s="6" t="e">
        <f>#REF!</f>
        <v>#REF!</v>
      </c>
      <c r="AA253" s="6" t="e">
        <f>#REF!</f>
        <v>#REF!</v>
      </c>
      <c r="AB253" s="6" t="e">
        <f>#REF!</f>
        <v>#REF!</v>
      </c>
      <c r="AC253" s="6" t="e">
        <f>#REF!</f>
        <v>#REF!</v>
      </c>
      <c r="AD253" s="6" t="e">
        <f>#REF!</f>
        <v>#REF!</v>
      </c>
      <c r="AE253" s="6" t="e">
        <f>#REF!</f>
        <v>#REF!</v>
      </c>
      <c r="AF253" s="6" t="e">
        <f>#REF!</f>
        <v>#REF!</v>
      </c>
      <c r="AG253" s="6" t="e">
        <f>#REF!</f>
        <v>#REF!</v>
      </c>
      <c r="AH253" s="6" t="e">
        <f>#REF!</f>
        <v>#REF!</v>
      </c>
      <c r="AI253" s="6" t="e">
        <f>#REF!</f>
        <v>#REF!</v>
      </c>
      <c r="AJ253" s="6" t="e">
        <f>#REF!</f>
        <v>#REF!</v>
      </c>
      <c r="AK253" s="6" t="e">
        <f>#REF!</f>
        <v>#REF!</v>
      </c>
      <c r="AL253" s="6" t="e">
        <f>#REF!</f>
        <v>#REF!</v>
      </c>
    </row>
    <row r="254" spans="1:38" ht="15.75" thickTop="1" x14ac:dyDescent="0.25">
      <c r="A254" s="65" t="s">
        <v>508</v>
      </c>
      <c r="B254" s="126" t="e">
        <f>VLOOKUP(A254,$A$2:$AL$285,MATCH('Character Sheet'!$BJ$3,$A$1:$AL$1,0),FALSE)</f>
        <v>#REF!</v>
      </c>
      <c r="C254" s="6" t="e">
        <f>#REF!</f>
        <v>#REF!</v>
      </c>
      <c r="D254" s="6" t="e">
        <f>#REF!</f>
        <v>#REF!</v>
      </c>
      <c r="E254" s="6" t="e">
        <f>#REF!</f>
        <v>#REF!</v>
      </c>
      <c r="F254" s="6" t="e">
        <f>#REF!</f>
        <v>#REF!</v>
      </c>
      <c r="G254" s="6" t="e">
        <f>#REF!</f>
        <v>#REF!</v>
      </c>
      <c r="H254" s="6" t="e">
        <f>#REF!</f>
        <v>#REF!</v>
      </c>
      <c r="I254" s="6" t="e">
        <f>#REF!</f>
        <v>#REF!</v>
      </c>
      <c r="J254" s="6" t="e">
        <f>#REF!</f>
        <v>#REF!</v>
      </c>
      <c r="K254" s="6" t="e">
        <f>#REF!</f>
        <v>#REF!</v>
      </c>
      <c r="L254" s="6" t="e">
        <f>#REF!</f>
        <v>#REF!</v>
      </c>
      <c r="M254" s="6" t="e">
        <f>#REF!</f>
        <v>#REF!</v>
      </c>
      <c r="N254" s="6" t="e">
        <f>#REF!</f>
        <v>#REF!</v>
      </c>
      <c r="O254" s="6" t="e">
        <f>#REF!</f>
        <v>#REF!</v>
      </c>
      <c r="P254" s="6" t="e">
        <f>#REF!</f>
        <v>#REF!</v>
      </c>
      <c r="Q254" s="6" t="e">
        <f>#REF!</f>
        <v>#REF!</v>
      </c>
      <c r="R254" s="6" t="e">
        <f>#REF!</f>
        <v>#REF!</v>
      </c>
      <c r="S254" s="6" t="e">
        <f>#REF!</f>
        <v>#REF!</v>
      </c>
      <c r="T254" s="6" t="e">
        <f>#REF!</f>
        <v>#REF!</v>
      </c>
      <c r="U254" s="6" t="e">
        <f>#REF!</f>
        <v>#REF!</v>
      </c>
      <c r="V254" s="6" t="e">
        <f>#REF!</f>
        <v>#REF!</v>
      </c>
      <c r="W254" s="6" t="e">
        <f>#REF!</f>
        <v>#REF!</v>
      </c>
      <c r="X254" s="6" t="e">
        <f>#REF!</f>
        <v>#REF!</v>
      </c>
      <c r="Y254" s="6" t="e">
        <f>#REF!</f>
        <v>#REF!</v>
      </c>
      <c r="Z254" s="6" t="e">
        <f>#REF!</f>
        <v>#REF!</v>
      </c>
      <c r="AA254" s="6" t="e">
        <f>#REF!</f>
        <v>#REF!</v>
      </c>
      <c r="AB254" s="6" t="e">
        <f>#REF!</f>
        <v>#REF!</v>
      </c>
      <c r="AC254" s="6" t="e">
        <f>#REF!</f>
        <v>#REF!</v>
      </c>
      <c r="AD254" s="6" t="e">
        <f>#REF!</f>
        <v>#REF!</v>
      </c>
      <c r="AE254" s="6" t="e">
        <f>#REF!</f>
        <v>#REF!</v>
      </c>
      <c r="AF254" s="6" t="e">
        <f>#REF!</f>
        <v>#REF!</v>
      </c>
      <c r="AG254" s="6" t="e">
        <f>#REF!</f>
        <v>#REF!</v>
      </c>
      <c r="AH254" s="6" t="e">
        <f>#REF!</f>
        <v>#REF!</v>
      </c>
      <c r="AI254" s="6" t="e">
        <f>#REF!</f>
        <v>#REF!</v>
      </c>
      <c r="AJ254" s="6" t="e">
        <f>#REF!</f>
        <v>#REF!</v>
      </c>
      <c r="AK254" s="6" t="e">
        <f>#REF!</f>
        <v>#REF!</v>
      </c>
      <c r="AL254" s="6" t="e">
        <f>#REF!</f>
        <v>#REF!</v>
      </c>
    </row>
    <row r="255" spans="1:38" x14ac:dyDescent="0.25">
      <c r="A255" s="65" t="s">
        <v>509</v>
      </c>
      <c r="B255" s="126" t="e">
        <f>VLOOKUP(A255,$A$2:$AL$285,MATCH('Character Sheet'!$BJ$3,$A$1:$AL$1,0),FALSE)</f>
        <v>#REF!</v>
      </c>
      <c r="C255" s="6" t="e">
        <f>#REF!</f>
        <v>#REF!</v>
      </c>
      <c r="D255" s="6" t="e">
        <f>#REF!</f>
        <v>#REF!</v>
      </c>
      <c r="E255" s="6" t="e">
        <f>#REF!</f>
        <v>#REF!</v>
      </c>
      <c r="F255" s="6" t="e">
        <f>#REF!</f>
        <v>#REF!</v>
      </c>
      <c r="G255" s="6" t="e">
        <f>#REF!</f>
        <v>#REF!</v>
      </c>
      <c r="H255" s="6" t="e">
        <f>#REF!</f>
        <v>#REF!</v>
      </c>
      <c r="I255" s="6" t="e">
        <f>#REF!</f>
        <v>#REF!</v>
      </c>
      <c r="J255" s="6" t="e">
        <f>#REF!</f>
        <v>#REF!</v>
      </c>
      <c r="K255" s="6" t="e">
        <f>#REF!</f>
        <v>#REF!</v>
      </c>
      <c r="L255" s="6" t="e">
        <f>#REF!</f>
        <v>#REF!</v>
      </c>
      <c r="M255" s="6" t="e">
        <f>#REF!</f>
        <v>#REF!</v>
      </c>
      <c r="N255" s="6" t="e">
        <f>#REF!</f>
        <v>#REF!</v>
      </c>
      <c r="O255" s="6" t="e">
        <f>#REF!</f>
        <v>#REF!</v>
      </c>
      <c r="P255" s="6" t="e">
        <f>#REF!</f>
        <v>#REF!</v>
      </c>
      <c r="Q255" s="6" t="e">
        <f>#REF!</f>
        <v>#REF!</v>
      </c>
      <c r="R255" s="6" t="e">
        <f>#REF!</f>
        <v>#REF!</v>
      </c>
      <c r="S255" s="6" t="e">
        <f>#REF!</f>
        <v>#REF!</v>
      </c>
      <c r="T255" s="6" t="e">
        <f>#REF!</f>
        <v>#REF!</v>
      </c>
      <c r="U255" s="6" t="e">
        <f>#REF!</f>
        <v>#REF!</v>
      </c>
      <c r="V255" s="6" t="e">
        <f>#REF!</f>
        <v>#REF!</v>
      </c>
      <c r="W255" s="6" t="e">
        <f>#REF!</f>
        <v>#REF!</v>
      </c>
      <c r="X255" s="6" t="e">
        <f>#REF!</f>
        <v>#REF!</v>
      </c>
      <c r="Y255" s="6" t="e">
        <f>#REF!</f>
        <v>#REF!</v>
      </c>
      <c r="Z255" s="6" t="e">
        <f>#REF!</f>
        <v>#REF!</v>
      </c>
      <c r="AA255" s="6" t="e">
        <f>#REF!</f>
        <v>#REF!</v>
      </c>
      <c r="AB255" s="6" t="e">
        <f>#REF!</f>
        <v>#REF!</v>
      </c>
      <c r="AC255" s="6" t="e">
        <f>#REF!</f>
        <v>#REF!</v>
      </c>
      <c r="AD255" s="6" t="e">
        <f>#REF!</f>
        <v>#REF!</v>
      </c>
      <c r="AE255" s="6" t="e">
        <f>#REF!</f>
        <v>#REF!</v>
      </c>
      <c r="AF255" s="6" t="e">
        <f>#REF!</f>
        <v>#REF!</v>
      </c>
      <c r="AG255" s="6" t="e">
        <f>#REF!</f>
        <v>#REF!</v>
      </c>
      <c r="AH255" s="6" t="e">
        <f>#REF!</f>
        <v>#REF!</v>
      </c>
      <c r="AI255" s="6" t="e">
        <f>#REF!</f>
        <v>#REF!</v>
      </c>
      <c r="AJ255" s="6" t="e">
        <f>#REF!</f>
        <v>#REF!</v>
      </c>
      <c r="AK255" s="6" t="e">
        <f>#REF!</f>
        <v>#REF!</v>
      </c>
      <c r="AL255" s="6" t="e">
        <f>#REF!</f>
        <v>#REF!</v>
      </c>
    </row>
    <row r="256" spans="1:38" x14ac:dyDescent="0.25">
      <c r="A256" s="65" t="s">
        <v>510</v>
      </c>
      <c r="B256" s="126" t="e">
        <f>VLOOKUP(A256,$A$2:$AL$285,MATCH('Character Sheet'!$BJ$3,$A$1:$AL$1,0),FALSE)</f>
        <v>#REF!</v>
      </c>
      <c r="C256" s="6" t="e">
        <f>#REF!</f>
        <v>#REF!</v>
      </c>
      <c r="D256" s="6" t="e">
        <f>#REF!</f>
        <v>#REF!</v>
      </c>
      <c r="E256" s="6" t="e">
        <f>#REF!</f>
        <v>#REF!</v>
      </c>
      <c r="F256" s="6" t="e">
        <f>#REF!</f>
        <v>#REF!</v>
      </c>
      <c r="G256" s="6" t="e">
        <f>#REF!</f>
        <v>#REF!</v>
      </c>
      <c r="H256" s="6" t="e">
        <f>#REF!</f>
        <v>#REF!</v>
      </c>
      <c r="I256" s="6" t="e">
        <f>#REF!</f>
        <v>#REF!</v>
      </c>
      <c r="J256" s="6" t="e">
        <f>#REF!</f>
        <v>#REF!</v>
      </c>
      <c r="K256" s="6" t="e">
        <f>#REF!</f>
        <v>#REF!</v>
      </c>
      <c r="L256" s="6" t="e">
        <f>#REF!</f>
        <v>#REF!</v>
      </c>
      <c r="M256" s="6" t="e">
        <f>#REF!</f>
        <v>#REF!</v>
      </c>
      <c r="N256" s="6" t="e">
        <f>#REF!</f>
        <v>#REF!</v>
      </c>
      <c r="O256" s="6" t="e">
        <f>#REF!</f>
        <v>#REF!</v>
      </c>
      <c r="P256" s="6" t="e">
        <f>#REF!</f>
        <v>#REF!</v>
      </c>
      <c r="Q256" s="6" t="e">
        <f>#REF!</f>
        <v>#REF!</v>
      </c>
      <c r="R256" s="6" t="e">
        <f>#REF!</f>
        <v>#REF!</v>
      </c>
      <c r="S256" s="6" t="e">
        <f>#REF!</f>
        <v>#REF!</v>
      </c>
      <c r="T256" s="6" t="e">
        <f>#REF!</f>
        <v>#REF!</v>
      </c>
      <c r="U256" s="6" t="e">
        <f>#REF!</f>
        <v>#REF!</v>
      </c>
      <c r="V256" s="6" t="e">
        <f>#REF!</f>
        <v>#REF!</v>
      </c>
      <c r="W256" s="6" t="e">
        <f>#REF!</f>
        <v>#REF!</v>
      </c>
      <c r="X256" s="6" t="e">
        <f>#REF!</f>
        <v>#REF!</v>
      </c>
      <c r="Y256" s="6" t="e">
        <f>#REF!</f>
        <v>#REF!</v>
      </c>
      <c r="Z256" s="6" t="e">
        <f>#REF!</f>
        <v>#REF!</v>
      </c>
      <c r="AA256" s="6" t="e">
        <f>#REF!</f>
        <v>#REF!</v>
      </c>
      <c r="AB256" s="6" t="e">
        <f>#REF!</f>
        <v>#REF!</v>
      </c>
      <c r="AC256" s="6" t="e">
        <f>#REF!</f>
        <v>#REF!</v>
      </c>
      <c r="AD256" s="6" t="e">
        <f>#REF!</f>
        <v>#REF!</v>
      </c>
      <c r="AE256" s="6" t="e">
        <f>#REF!</f>
        <v>#REF!</v>
      </c>
      <c r="AF256" s="6" t="e">
        <f>#REF!</f>
        <v>#REF!</v>
      </c>
      <c r="AG256" s="6" t="e">
        <f>#REF!</f>
        <v>#REF!</v>
      </c>
      <c r="AH256" s="6" t="e">
        <f>#REF!</f>
        <v>#REF!</v>
      </c>
      <c r="AI256" s="6" t="e">
        <f>#REF!</f>
        <v>#REF!</v>
      </c>
      <c r="AJ256" s="6" t="e">
        <f>#REF!</f>
        <v>#REF!</v>
      </c>
      <c r="AK256" s="6" t="e">
        <f>#REF!</f>
        <v>#REF!</v>
      </c>
      <c r="AL256" s="6" t="e">
        <f>#REF!</f>
        <v>#REF!</v>
      </c>
    </row>
    <row r="257" spans="1:38" x14ac:dyDescent="0.25">
      <c r="A257" s="65" t="s">
        <v>511</v>
      </c>
      <c r="B257" s="126" t="e">
        <f>VLOOKUP(A257,$A$2:$AL$285,MATCH('Character Sheet'!$BJ$3,$A$1:$AL$1,0),FALSE)</f>
        <v>#REF!</v>
      </c>
      <c r="C257" s="6" t="e">
        <f>#REF!</f>
        <v>#REF!</v>
      </c>
      <c r="D257" s="6" t="e">
        <f>#REF!</f>
        <v>#REF!</v>
      </c>
      <c r="E257" s="6" t="e">
        <f>#REF!</f>
        <v>#REF!</v>
      </c>
      <c r="F257" s="6" t="e">
        <f>#REF!</f>
        <v>#REF!</v>
      </c>
      <c r="G257" s="6" t="e">
        <f>#REF!</f>
        <v>#REF!</v>
      </c>
      <c r="H257" s="6" t="e">
        <f>#REF!</f>
        <v>#REF!</v>
      </c>
      <c r="I257" s="6" t="e">
        <f>#REF!</f>
        <v>#REF!</v>
      </c>
      <c r="J257" s="6" t="e">
        <f>#REF!</f>
        <v>#REF!</v>
      </c>
      <c r="K257" s="6" t="e">
        <f>#REF!</f>
        <v>#REF!</v>
      </c>
      <c r="L257" s="6" t="e">
        <f>#REF!</f>
        <v>#REF!</v>
      </c>
      <c r="M257" s="6" t="e">
        <f>#REF!</f>
        <v>#REF!</v>
      </c>
      <c r="N257" s="6" t="e">
        <f>#REF!</f>
        <v>#REF!</v>
      </c>
      <c r="O257" s="6" t="e">
        <f>#REF!</f>
        <v>#REF!</v>
      </c>
      <c r="P257" s="6" t="e">
        <f>#REF!</f>
        <v>#REF!</v>
      </c>
      <c r="Q257" s="6" t="e">
        <f>#REF!</f>
        <v>#REF!</v>
      </c>
      <c r="R257" s="6" t="e">
        <f>#REF!</f>
        <v>#REF!</v>
      </c>
      <c r="S257" s="6" t="e">
        <f>#REF!</f>
        <v>#REF!</v>
      </c>
      <c r="T257" s="6" t="e">
        <f>#REF!</f>
        <v>#REF!</v>
      </c>
      <c r="U257" s="6" t="e">
        <f>#REF!</f>
        <v>#REF!</v>
      </c>
      <c r="V257" s="6" t="e">
        <f>#REF!</f>
        <v>#REF!</v>
      </c>
      <c r="W257" s="6" t="e">
        <f>#REF!</f>
        <v>#REF!</v>
      </c>
      <c r="X257" s="6" t="e">
        <f>#REF!</f>
        <v>#REF!</v>
      </c>
      <c r="Y257" s="6" t="e">
        <f>#REF!</f>
        <v>#REF!</v>
      </c>
      <c r="Z257" s="6" t="e">
        <f>#REF!</f>
        <v>#REF!</v>
      </c>
      <c r="AA257" s="6" t="e">
        <f>#REF!</f>
        <v>#REF!</v>
      </c>
      <c r="AB257" s="6" t="e">
        <f>#REF!</f>
        <v>#REF!</v>
      </c>
      <c r="AC257" s="6" t="e">
        <f>#REF!</f>
        <v>#REF!</v>
      </c>
      <c r="AD257" s="6" t="e">
        <f>#REF!</f>
        <v>#REF!</v>
      </c>
      <c r="AE257" s="6" t="e">
        <f>#REF!</f>
        <v>#REF!</v>
      </c>
      <c r="AF257" s="6" t="e">
        <f>#REF!</f>
        <v>#REF!</v>
      </c>
      <c r="AG257" s="6" t="e">
        <f>#REF!</f>
        <v>#REF!</v>
      </c>
      <c r="AH257" s="6" t="e">
        <f>#REF!</f>
        <v>#REF!</v>
      </c>
      <c r="AI257" s="6" t="e">
        <f>#REF!</f>
        <v>#REF!</v>
      </c>
      <c r="AJ257" s="6" t="e">
        <f>#REF!</f>
        <v>#REF!</v>
      </c>
      <c r="AK257" s="6" t="e">
        <f>#REF!</f>
        <v>#REF!</v>
      </c>
      <c r="AL257" s="6" t="e">
        <f>#REF!</f>
        <v>#REF!</v>
      </c>
    </row>
    <row r="258" spans="1:38" x14ac:dyDescent="0.25">
      <c r="A258" s="65" t="s">
        <v>512</v>
      </c>
      <c r="B258" s="126" t="e">
        <f>VLOOKUP(A258,$A$2:$AL$285,MATCH('Character Sheet'!$BJ$3,$A$1:$AL$1,0),FALSE)</f>
        <v>#REF!</v>
      </c>
      <c r="C258" s="6" t="e">
        <f>#REF!</f>
        <v>#REF!</v>
      </c>
      <c r="D258" s="6" t="e">
        <f>#REF!</f>
        <v>#REF!</v>
      </c>
      <c r="E258" s="6" t="e">
        <f>#REF!</f>
        <v>#REF!</v>
      </c>
      <c r="F258" s="6" t="e">
        <f>#REF!</f>
        <v>#REF!</v>
      </c>
      <c r="G258" s="6" t="e">
        <f>#REF!</f>
        <v>#REF!</v>
      </c>
      <c r="H258" s="6" t="e">
        <f>#REF!</f>
        <v>#REF!</v>
      </c>
      <c r="I258" s="6" t="e">
        <f>#REF!</f>
        <v>#REF!</v>
      </c>
      <c r="J258" s="6" t="e">
        <f>#REF!</f>
        <v>#REF!</v>
      </c>
      <c r="K258" s="6" t="e">
        <f>#REF!</f>
        <v>#REF!</v>
      </c>
      <c r="L258" s="6" t="e">
        <f>#REF!</f>
        <v>#REF!</v>
      </c>
      <c r="M258" s="6" t="e">
        <f>#REF!</f>
        <v>#REF!</v>
      </c>
      <c r="N258" s="6" t="e">
        <f>#REF!</f>
        <v>#REF!</v>
      </c>
      <c r="O258" s="6" t="e">
        <f>#REF!</f>
        <v>#REF!</v>
      </c>
      <c r="P258" s="6" t="e">
        <f>#REF!</f>
        <v>#REF!</v>
      </c>
      <c r="Q258" s="6" t="e">
        <f>#REF!</f>
        <v>#REF!</v>
      </c>
      <c r="R258" s="6" t="e">
        <f>#REF!</f>
        <v>#REF!</v>
      </c>
      <c r="S258" s="6" t="e">
        <f>#REF!</f>
        <v>#REF!</v>
      </c>
      <c r="T258" s="6" t="e">
        <f>#REF!</f>
        <v>#REF!</v>
      </c>
      <c r="U258" s="6" t="e">
        <f>#REF!</f>
        <v>#REF!</v>
      </c>
      <c r="V258" s="6" t="e">
        <f>#REF!</f>
        <v>#REF!</v>
      </c>
      <c r="W258" s="6" t="e">
        <f>#REF!</f>
        <v>#REF!</v>
      </c>
      <c r="X258" s="6" t="e">
        <f>#REF!</f>
        <v>#REF!</v>
      </c>
      <c r="Y258" s="6" t="e">
        <f>#REF!</f>
        <v>#REF!</v>
      </c>
      <c r="Z258" s="6" t="e">
        <f>#REF!</f>
        <v>#REF!</v>
      </c>
      <c r="AA258" s="6" t="e">
        <f>#REF!</f>
        <v>#REF!</v>
      </c>
      <c r="AB258" s="6" t="e">
        <f>#REF!</f>
        <v>#REF!</v>
      </c>
      <c r="AC258" s="6" t="e">
        <f>#REF!</f>
        <v>#REF!</v>
      </c>
      <c r="AD258" s="6" t="e">
        <f>#REF!</f>
        <v>#REF!</v>
      </c>
      <c r="AE258" s="6" t="e">
        <f>#REF!</f>
        <v>#REF!</v>
      </c>
      <c r="AF258" s="6" t="e">
        <f>#REF!</f>
        <v>#REF!</v>
      </c>
      <c r="AG258" s="6" t="e">
        <f>#REF!</f>
        <v>#REF!</v>
      </c>
      <c r="AH258" s="6" t="e">
        <f>#REF!</f>
        <v>#REF!</v>
      </c>
      <c r="AI258" s="6" t="e">
        <f>#REF!</f>
        <v>#REF!</v>
      </c>
      <c r="AJ258" s="6" t="e">
        <f>#REF!</f>
        <v>#REF!</v>
      </c>
      <c r="AK258" s="6" t="e">
        <f>#REF!</f>
        <v>#REF!</v>
      </c>
      <c r="AL258" s="6" t="e">
        <f>#REF!</f>
        <v>#REF!</v>
      </c>
    </row>
    <row r="259" spans="1:38" ht="15.75" thickBot="1" x14ac:dyDescent="0.3">
      <c r="A259" s="64" t="s">
        <v>2080</v>
      </c>
      <c r="B259" s="126" t="e">
        <f>VLOOKUP(A259,$A$2:$AL$285,MATCH('Character Sheet'!$BJ$3,$A$1:$AL$1,0),FALSE)</f>
        <v>#REF!</v>
      </c>
      <c r="C259" s="6" t="e">
        <f>#REF!</f>
        <v>#REF!</v>
      </c>
      <c r="D259" s="6" t="e">
        <f>#REF!</f>
        <v>#REF!</v>
      </c>
      <c r="E259" s="6" t="e">
        <f>#REF!</f>
        <v>#REF!</v>
      </c>
      <c r="F259" s="6" t="e">
        <f>#REF!</f>
        <v>#REF!</v>
      </c>
      <c r="G259" s="6" t="e">
        <f>#REF!</f>
        <v>#REF!</v>
      </c>
      <c r="H259" s="6" t="e">
        <f>#REF!</f>
        <v>#REF!</v>
      </c>
      <c r="I259" s="6" t="e">
        <f>#REF!</f>
        <v>#REF!</v>
      </c>
      <c r="J259" s="6" t="e">
        <f>#REF!</f>
        <v>#REF!</v>
      </c>
      <c r="K259" s="6" t="e">
        <f>#REF!</f>
        <v>#REF!</v>
      </c>
      <c r="L259" s="6" t="e">
        <f>#REF!</f>
        <v>#REF!</v>
      </c>
      <c r="M259" s="6" t="e">
        <f>#REF!</f>
        <v>#REF!</v>
      </c>
      <c r="N259" s="6" t="e">
        <f>#REF!</f>
        <v>#REF!</v>
      </c>
      <c r="O259" s="6" t="e">
        <f>#REF!</f>
        <v>#REF!</v>
      </c>
      <c r="P259" s="6" t="e">
        <f>#REF!</f>
        <v>#REF!</v>
      </c>
      <c r="Q259" s="6" t="e">
        <f>#REF!</f>
        <v>#REF!</v>
      </c>
      <c r="R259" s="6" t="e">
        <f>#REF!</f>
        <v>#REF!</v>
      </c>
      <c r="S259" s="6" t="e">
        <f>#REF!</f>
        <v>#REF!</v>
      </c>
      <c r="T259" s="6" t="e">
        <f>#REF!</f>
        <v>#REF!</v>
      </c>
      <c r="U259" s="6" t="e">
        <f>#REF!</f>
        <v>#REF!</v>
      </c>
      <c r="V259" s="6" t="e">
        <f>#REF!</f>
        <v>#REF!</v>
      </c>
      <c r="W259" s="6" t="e">
        <f>#REF!</f>
        <v>#REF!</v>
      </c>
      <c r="X259" s="6" t="e">
        <f>#REF!</f>
        <v>#REF!</v>
      </c>
      <c r="Y259" s="6" t="e">
        <f>#REF!</f>
        <v>#REF!</v>
      </c>
      <c r="Z259" s="6" t="e">
        <f>#REF!</f>
        <v>#REF!</v>
      </c>
      <c r="AA259" s="6" t="e">
        <f>#REF!</f>
        <v>#REF!</v>
      </c>
      <c r="AB259" s="6" t="e">
        <f>#REF!</f>
        <v>#REF!</v>
      </c>
      <c r="AC259" s="6" t="e">
        <f>#REF!</f>
        <v>#REF!</v>
      </c>
      <c r="AD259" s="6" t="e">
        <f>#REF!</f>
        <v>#REF!</v>
      </c>
      <c r="AE259" s="6" t="e">
        <f>#REF!</f>
        <v>#REF!</v>
      </c>
      <c r="AF259" s="6" t="e">
        <f>#REF!</f>
        <v>#REF!</v>
      </c>
      <c r="AG259" s="6" t="e">
        <f>#REF!</f>
        <v>#REF!</v>
      </c>
      <c r="AH259" s="6" t="e">
        <f>#REF!</f>
        <v>#REF!</v>
      </c>
      <c r="AI259" s="6" t="e">
        <f>#REF!</f>
        <v>#REF!</v>
      </c>
      <c r="AJ259" s="6" t="e">
        <f>#REF!</f>
        <v>#REF!</v>
      </c>
      <c r="AK259" s="6" t="e">
        <f>#REF!</f>
        <v>#REF!</v>
      </c>
      <c r="AL259" s="6" t="e">
        <f>#REF!</f>
        <v>#REF!</v>
      </c>
    </row>
    <row r="260" spans="1:38" ht="16.5" thickTop="1" thickBot="1" x14ac:dyDescent="0.3">
      <c r="A260" s="63" t="s">
        <v>513</v>
      </c>
      <c r="B260" s="126" t="e">
        <f>VLOOKUP(A260,$A$2:$AL$285,MATCH('Character Sheet'!$BJ$3,$A$1:$AL$1,0),FALSE)</f>
        <v>#REF!</v>
      </c>
      <c r="C260" s="6" t="e">
        <f>#REF!</f>
        <v>#REF!</v>
      </c>
      <c r="D260" s="6" t="e">
        <f>#REF!</f>
        <v>#REF!</v>
      </c>
      <c r="E260" s="6" t="e">
        <f>#REF!</f>
        <v>#REF!</v>
      </c>
      <c r="F260" s="6" t="e">
        <f>#REF!</f>
        <v>#REF!</v>
      </c>
      <c r="G260" s="6" t="e">
        <f>#REF!</f>
        <v>#REF!</v>
      </c>
      <c r="H260" s="6" t="e">
        <f>#REF!</f>
        <v>#REF!</v>
      </c>
      <c r="I260" s="6" t="e">
        <f>#REF!</f>
        <v>#REF!</v>
      </c>
      <c r="J260" s="6" t="e">
        <f>#REF!</f>
        <v>#REF!</v>
      </c>
      <c r="K260" s="6" t="e">
        <f>#REF!</f>
        <v>#REF!</v>
      </c>
      <c r="L260" s="6" t="e">
        <f>#REF!</f>
        <v>#REF!</v>
      </c>
      <c r="M260" s="6" t="e">
        <f>#REF!</f>
        <v>#REF!</v>
      </c>
      <c r="N260" s="6" t="e">
        <f>#REF!</f>
        <v>#REF!</v>
      </c>
      <c r="O260" s="6" t="e">
        <f>#REF!</f>
        <v>#REF!</v>
      </c>
      <c r="P260" s="6" t="e">
        <f>#REF!</f>
        <v>#REF!</v>
      </c>
      <c r="Q260" s="6" t="e">
        <f>#REF!</f>
        <v>#REF!</v>
      </c>
      <c r="R260" s="6" t="e">
        <f>#REF!</f>
        <v>#REF!</v>
      </c>
      <c r="S260" s="6" t="e">
        <f>#REF!</f>
        <v>#REF!</v>
      </c>
      <c r="T260" s="6" t="e">
        <f>#REF!</f>
        <v>#REF!</v>
      </c>
      <c r="U260" s="6" t="e">
        <f>#REF!</f>
        <v>#REF!</v>
      </c>
      <c r="V260" s="6" t="e">
        <f>#REF!</f>
        <v>#REF!</v>
      </c>
      <c r="W260" s="6" t="e">
        <f>#REF!</f>
        <v>#REF!</v>
      </c>
      <c r="X260" s="6" t="e">
        <f>#REF!</f>
        <v>#REF!</v>
      </c>
      <c r="Y260" s="6" t="e">
        <f>#REF!</f>
        <v>#REF!</v>
      </c>
      <c r="Z260" s="6" t="e">
        <f>#REF!</f>
        <v>#REF!</v>
      </c>
      <c r="AA260" s="6" t="e">
        <f>#REF!</f>
        <v>#REF!</v>
      </c>
      <c r="AB260" s="6" t="e">
        <f>#REF!</f>
        <v>#REF!</v>
      </c>
      <c r="AC260" s="6" t="e">
        <f>#REF!</f>
        <v>#REF!</v>
      </c>
      <c r="AD260" s="6" t="e">
        <f>#REF!</f>
        <v>#REF!</v>
      </c>
      <c r="AE260" s="6" t="e">
        <f>#REF!</f>
        <v>#REF!</v>
      </c>
      <c r="AF260" s="6" t="e">
        <f>#REF!</f>
        <v>#REF!</v>
      </c>
      <c r="AG260" s="6" t="e">
        <f>#REF!</f>
        <v>#REF!</v>
      </c>
      <c r="AH260" s="6" t="e">
        <f>#REF!</f>
        <v>#REF!</v>
      </c>
      <c r="AI260" s="6" t="e">
        <f>#REF!</f>
        <v>#REF!</v>
      </c>
      <c r="AJ260" s="6" t="e">
        <f>#REF!</f>
        <v>#REF!</v>
      </c>
      <c r="AK260" s="6" t="e">
        <f>#REF!</f>
        <v>#REF!</v>
      </c>
      <c r="AL260" s="6" t="e">
        <f>#REF!</f>
        <v>#REF!</v>
      </c>
    </row>
    <row r="261" spans="1:38" ht="15.75" thickTop="1" x14ac:dyDescent="0.25">
      <c r="A261" s="3" t="s">
        <v>515</v>
      </c>
      <c r="B261" s="126" t="e">
        <f>VLOOKUP(A261,$A$2:$AL$285,MATCH('Character Sheet'!$BJ$3,$A$1:$AL$1,0),FALSE)</f>
        <v>#REF!</v>
      </c>
      <c r="C261" s="6" t="e">
        <f>#REF!</f>
        <v>#REF!</v>
      </c>
      <c r="D261" s="6" t="e">
        <f>#REF!</f>
        <v>#REF!</v>
      </c>
      <c r="E261" s="6" t="e">
        <f>#REF!</f>
        <v>#REF!</v>
      </c>
      <c r="F261" s="6" t="e">
        <f>#REF!</f>
        <v>#REF!</v>
      </c>
      <c r="G261" s="6" t="e">
        <f>#REF!</f>
        <v>#REF!</v>
      </c>
      <c r="H261" s="6" t="e">
        <f>#REF!</f>
        <v>#REF!</v>
      </c>
      <c r="I261" s="6" t="e">
        <f>#REF!</f>
        <v>#REF!</v>
      </c>
      <c r="J261" s="6" t="e">
        <f>#REF!</f>
        <v>#REF!</v>
      </c>
      <c r="K261" s="6" t="e">
        <f>#REF!</f>
        <v>#REF!</v>
      </c>
      <c r="L261" s="6" t="e">
        <f>#REF!</f>
        <v>#REF!</v>
      </c>
      <c r="M261" s="6" t="e">
        <f>#REF!</f>
        <v>#REF!</v>
      </c>
      <c r="N261" s="6" t="e">
        <f>#REF!</f>
        <v>#REF!</v>
      </c>
      <c r="O261" s="6" t="e">
        <f>#REF!</f>
        <v>#REF!</v>
      </c>
      <c r="P261" s="6" t="e">
        <f>#REF!</f>
        <v>#REF!</v>
      </c>
      <c r="Q261" s="6" t="e">
        <f>#REF!</f>
        <v>#REF!</v>
      </c>
      <c r="R261" s="6" t="e">
        <f>#REF!</f>
        <v>#REF!</v>
      </c>
      <c r="S261" s="6" t="e">
        <f>#REF!</f>
        <v>#REF!</v>
      </c>
      <c r="T261" s="6" t="e">
        <f>#REF!</f>
        <v>#REF!</v>
      </c>
      <c r="U261" s="6" t="e">
        <f>#REF!</f>
        <v>#REF!</v>
      </c>
      <c r="V261" s="6" t="e">
        <f>#REF!</f>
        <v>#REF!</v>
      </c>
      <c r="W261" s="6" t="e">
        <f>#REF!</f>
        <v>#REF!</v>
      </c>
      <c r="X261" s="6" t="e">
        <f>#REF!</f>
        <v>#REF!</v>
      </c>
      <c r="Y261" s="6" t="e">
        <f>#REF!</f>
        <v>#REF!</v>
      </c>
      <c r="Z261" s="6" t="e">
        <f>#REF!</f>
        <v>#REF!</v>
      </c>
      <c r="AA261" s="6" t="e">
        <f>#REF!</f>
        <v>#REF!</v>
      </c>
      <c r="AB261" s="6" t="e">
        <f>#REF!</f>
        <v>#REF!</v>
      </c>
      <c r="AC261" s="6" t="e">
        <f>#REF!</f>
        <v>#REF!</v>
      </c>
      <c r="AD261" s="6" t="e">
        <f>#REF!</f>
        <v>#REF!</v>
      </c>
      <c r="AE261" s="6" t="e">
        <f>#REF!</f>
        <v>#REF!</v>
      </c>
      <c r="AF261" s="6" t="e">
        <f>#REF!</f>
        <v>#REF!</v>
      </c>
      <c r="AG261" s="6" t="e">
        <f>#REF!</f>
        <v>#REF!</v>
      </c>
      <c r="AH261" s="6" t="e">
        <f>#REF!</f>
        <v>#REF!</v>
      </c>
      <c r="AI261" s="6" t="e">
        <f>#REF!</f>
        <v>#REF!</v>
      </c>
      <c r="AJ261" s="6" t="e">
        <f>#REF!</f>
        <v>#REF!</v>
      </c>
      <c r="AK261" s="6" t="e">
        <f>#REF!</f>
        <v>#REF!</v>
      </c>
      <c r="AL261" s="6" t="e">
        <f>#REF!</f>
        <v>#REF!</v>
      </c>
    </row>
    <row r="262" spans="1:38" x14ac:dyDescent="0.25">
      <c r="A262" s="3" t="s">
        <v>516</v>
      </c>
      <c r="B262" s="126" t="e">
        <f>VLOOKUP(A262,$A$2:$AL$285,MATCH('Character Sheet'!$BJ$3,$A$1:$AL$1,0),FALSE)</f>
        <v>#REF!</v>
      </c>
      <c r="C262" s="6" t="e">
        <f>#REF!</f>
        <v>#REF!</v>
      </c>
      <c r="D262" s="6" t="e">
        <f>#REF!</f>
        <v>#REF!</v>
      </c>
      <c r="E262" s="6" t="e">
        <f>#REF!</f>
        <v>#REF!</v>
      </c>
      <c r="F262" s="6" t="e">
        <f>#REF!</f>
        <v>#REF!</v>
      </c>
      <c r="G262" s="6" t="e">
        <f>#REF!</f>
        <v>#REF!</v>
      </c>
      <c r="H262" s="6" t="e">
        <f>#REF!</f>
        <v>#REF!</v>
      </c>
      <c r="I262" s="6" t="e">
        <f>#REF!</f>
        <v>#REF!</v>
      </c>
      <c r="J262" s="6" t="e">
        <f>#REF!</f>
        <v>#REF!</v>
      </c>
      <c r="K262" s="6" t="e">
        <f>#REF!</f>
        <v>#REF!</v>
      </c>
      <c r="L262" s="6" t="e">
        <f>#REF!</f>
        <v>#REF!</v>
      </c>
      <c r="M262" s="6" t="e">
        <f>#REF!</f>
        <v>#REF!</v>
      </c>
      <c r="N262" s="6" t="e">
        <f>#REF!</f>
        <v>#REF!</v>
      </c>
      <c r="O262" s="6" t="e">
        <f>#REF!</f>
        <v>#REF!</v>
      </c>
      <c r="P262" s="6" t="e">
        <f>#REF!</f>
        <v>#REF!</v>
      </c>
      <c r="Q262" s="6" t="e">
        <f>#REF!</f>
        <v>#REF!</v>
      </c>
      <c r="R262" s="6" t="e">
        <f>#REF!</f>
        <v>#REF!</v>
      </c>
      <c r="S262" s="6" t="e">
        <f>#REF!</f>
        <v>#REF!</v>
      </c>
      <c r="T262" s="6" t="e">
        <f>#REF!</f>
        <v>#REF!</v>
      </c>
      <c r="U262" s="6" t="e">
        <f>#REF!</f>
        <v>#REF!</v>
      </c>
      <c r="V262" s="6" t="e">
        <f>#REF!</f>
        <v>#REF!</v>
      </c>
      <c r="W262" s="6" t="e">
        <f>#REF!</f>
        <v>#REF!</v>
      </c>
      <c r="X262" s="6" t="e">
        <f>#REF!</f>
        <v>#REF!</v>
      </c>
      <c r="Y262" s="6" t="e">
        <f>#REF!</f>
        <v>#REF!</v>
      </c>
      <c r="Z262" s="6" t="e">
        <f>#REF!</f>
        <v>#REF!</v>
      </c>
      <c r="AA262" s="6" t="e">
        <f>#REF!</f>
        <v>#REF!</v>
      </c>
      <c r="AB262" s="6" t="e">
        <f>#REF!</f>
        <v>#REF!</v>
      </c>
      <c r="AC262" s="6" t="e">
        <f>#REF!</f>
        <v>#REF!</v>
      </c>
      <c r="AD262" s="6" t="e">
        <f>#REF!</f>
        <v>#REF!</v>
      </c>
      <c r="AE262" s="6" t="e">
        <f>#REF!</f>
        <v>#REF!</v>
      </c>
      <c r="AF262" s="6" t="e">
        <f>#REF!</f>
        <v>#REF!</v>
      </c>
      <c r="AG262" s="6" t="e">
        <f>#REF!</f>
        <v>#REF!</v>
      </c>
      <c r="AH262" s="6" t="e">
        <f>#REF!</f>
        <v>#REF!</v>
      </c>
      <c r="AI262" s="6" t="e">
        <f>#REF!</f>
        <v>#REF!</v>
      </c>
      <c r="AJ262" s="6" t="e">
        <f>#REF!</f>
        <v>#REF!</v>
      </c>
      <c r="AK262" s="6" t="e">
        <f>#REF!</f>
        <v>#REF!</v>
      </c>
      <c r="AL262" s="6" t="e">
        <f>#REF!</f>
        <v>#REF!</v>
      </c>
    </row>
    <row r="263" spans="1:38" x14ac:dyDescent="0.25">
      <c r="A263" s="3" t="s">
        <v>517</v>
      </c>
      <c r="B263" s="126" t="e">
        <f>VLOOKUP(A263,$A$2:$AL$285,MATCH('Character Sheet'!$BJ$3,$A$1:$AL$1,0),FALSE)</f>
        <v>#REF!</v>
      </c>
      <c r="C263" s="6" t="e">
        <f>#REF!</f>
        <v>#REF!</v>
      </c>
      <c r="D263" s="6" t="e">
        <f>#REF!</f>
        <v>#REF!</v>
      </c>
      <c r="E263" s="6" t="e">
        <f>#REF!</f>
        <v>#REF!</v>
      </c>
      <c r="F263" s="6" t="e">
        <f>#REF!</f>
        <v>#REF!</v>
      </c>
      <c r="G263" s="6" t="e">
        <f>#REF!</f>
        <v>#REF!</v>
      </c>
      <c r="H263" s="6" t="e">
        <f>#REF!</f>
        <v>#REF!</v>
      </c>
      <c r="I263" s="6" t="e">
        <f>#REF!</f>
        <v>#REF!</v>
      </c>
      <c r="J263" s="6" t="e">
        <f>#REF!</f>
        <v>#REF!</v>
      </c>
      <c r="K263" s="6" t="e">
        <f>#REF!</f>
        <v>#REF!</v>
      </c>
      <c r="L263" s="6" t="e">
        <f>#REF!</f>
        <v>#REF!</v>
      </c>
      <c r="M263" s="6" t="e">
        <f>#REF!</f>
        <v>#REF!</v>
      </c>
      <c r="N263" s="6" t="e">
        <f>#REF!</f>
        <v>#REF!</v>
      </c>
      <c r="O263" s="6" t="e">
        <f>#REF!</f>
        <v>#REF!</v>
      </c>
      <c r="P263" s="6" t="e">
        <f>#REF!</f>
        <v>#REF!</v>
      </c>
      <c r="Q263" s="6" t="e">
        <f>#REF!</f>
        <v>#REF!</v>
      </c>
      <c r="R263" s="6" t="e">
        <f>#REF!</f>
        <v>#REF!</v>
      </c>
      <c r="S263" s="6" t="e">
        <f>#REF!</f>
        <v>#REF!</v>
      </c>
      <c r="T263" s="6" t="e">
        <f>#REF!</f>
        <v>#REF!</v>
      </c>
      <c r="U263" s="6" t="e">
        <f>#REF!</f>
        <v>#REF!</v>
      </c>
      <c r="V263" s="6" t="e">
        <f>#REF!</f>
        <v>#REF!</v>
      </c>
      <c r="W263" s="6" t="e">
        <f>#REF!</f>
        <v>#REF!</v>
      </c>
      <c r="X263" s="6" t="e">
        <f>#REF!</f>
        <v>#REF!</v>
      </c>
      <c r="Y263" s="6" t="e">
        <f>#REF!</f>
        <v>#REF!</v>
      </c>
      <c r="Z263" s="6" t="e">
        <f>#REF!</f>
        <v>#REF!</v>
      </c>
      <c r="AA263" s="6" t="e">
        <f>#REF!</f>
        <v>#REF!</v>
      </c>
      <c r="AB263" s="6" t="e">
        <f>#REF!</f>
        <v>#REF!</v>
      </c>
      <c r="AC263" s="6" t="e">
        <f>#REF!</f>
        <v>#REF!</v>
      </c>
      <c r="AD263" s="6" t="e">
        <f>#REF!</f>
        <v>#REF!</v>
      </c>
      <c r="AE263" s="6" t="e">
        <f>#REF!</f>
        <v>#REF!</v>
      </c>
      <c r="AF263" s="6" t="e">
        <f>#REF!</f>
        <v>#REF!</v>
      </c>
      <c r="AG263" s="6" t="e">
        <f>#REF!</f>
        <v>#REF!</v>
      </c>
      <c r="AH263" s="6" t="e">
        <f>#REF!</f>
        <v>#REF!</v>
      </c>
      <c r="AI263" s="6" t="e">
        <f>#REF!</f>
        <v>#REF!</v>
      </c>
      <c r="AJ263" s="6" t="e">
        <f>#REF!</f>
        <v>#REF!</v>
      </c>
      <c r="AK263" s="6" t="e">
        <f>#REF!</f>
        <v>#REF!</v>
      </c>
      <c r="AL263" s="6" t="e">
        <f>#REF!</f>
        <v>#REF!</v>
      </c>
    </row>
    <row r="264" spans="1:38" x14ac:dyDescent="0.25">
      <c r="A264" s="3" t="s">
        <v>518</v>
      </c>
      <c r="B264" s="126" t="e">
        <f>VLOOKUP(A264,$A$2:$AL$285,MATCH('Character Sheet'!$BJ$3,$A$1:$AL$1,0),FALSE)</f>
        <v>#REF!</v>
      </c>
      <c r="C264" s="6" t="e">
        <f>#REF!</f>
        <v>#REF!</v>
      </c>
      <c r="D264" s="6" t="e">
        <f>#REF!</f>
        <v>#REF!</v>
      </c>
      <c r="E264" s="6" t="e">
        <f>#REF!</f>
        <v>#REF!</v>
      </c>
      <c r="F264" s="6" t="e">
        <f>#REF!</f>
        <v>#REF!</v>
      </c>
      <c r="G264" s="6" t="e">
        <f>#REF!</f>
        <v>#REF!</v>
      </c>
      <c r="H264" s="6" t="e">
        <f>#REF!</f>
        <v>#REF!</v>
      </c>
      <c r="I264" s="6" t="e">
        <f>#REF!</f>
        <v>#REF!</v>
      </c>
      <c r="J264" s="6" t="e">
        <f>#REF!</f>
        <v>#REF!</v>
      </c>
      <c r="K264" s="6" t="e">
        <f>#REF!</f>
        <v>#REF!</v>
      </c>
      <c r="L264" s="6" t="e">
        <f>#REF!</f>
        <v>#REF!</v>
      </c>
      <c r="M264" s="6" t="e">
        <f>#REF!</f>
        <v>#REF!</v>
      </c>
      <c r="N264" s="6" t="e">
        <f>#REF!</f>
        <v>#REF!</v>
      </c>
      <c r="O264" s="6" t="e">
        <f>#REF!</f>
        <v>#REF!</v>
      </c>
      <c r="P264" s="6" t="e">
        <f>#REF!</f>
        <v>#REF!</v>
      </c>
      <c r="Q264" s="6" t="e">
        <f>#REF!</f>
        <v>#REF!</v>
      </c>
      <c r="R264" s="6" t="e">
        <f>#REF!</f>
        <v>#REF!</v>
      </c>
      <c r="S264" s="6" t="e">
        <f>#REF!</f>
        <v>#REF!</v>
      </c>
      <c r="T264" s="6" t="e">
        <f>#REF!</f>
        <v>#REF!</v>
      </c>
      <c r="U264" s="6" t="e">
        <f>#REF!</f>
        <v>#REF!</v>
      </c>
      <c r="V264" s="6" t="e">
        <f>#REF!</f>
        <v>#REF!</v>
      </c>
      <c r="W264" s="6" t="e">
        <f>#REF!</f>
        <v>#REF!</v>
      </c>
      <c r="X264" s="6" t="e">
        <f>#REF!</f>
        <v>#REF!</v>
      </c>
      <c r="Y264" s="6" t="e">
        <f>#REF!</f>
        <v>#REF!</v>
      </c>
      <c r="Z264" s="6" t="e">
        <f>#REF!</f>
        <v>#REF!</v>
      </c>
      <c r="AA264" s="6" t="e">
        <f>#REF!</f>
        <v>#REF!</v>
      </c>
      <c r="AB264" s="6" t="e">
        <f>#REF!</f>
        <v>#REF!</v>
      </c>
      <c r="AC264" s="6" t="e">
        <f>#REF!</f>
        <v>#REF!</v>
      </c>
      <c r="AD264" s="6" t="e">
        <f>#REF!</f>
        <v>#REF!</v>
      </c>
      <c r="AE264" s="6" t="e">
        <f>#REF!</f>
        <v>#REF!</v>
      </c>
      <c r="AF264" s="6" t="e">
        <f>#REF!</f>
        <v>#REF!</v>
      </c>
      <c r="AG264" s="6" t="e">
        <f>#REF!</f>
        <v>#REF!</v>
      </c>
      <c r="AH264" s="6" t="e">
        <f>#REF!</f>
        <v>#REF!</v>
      </c>
      <c r="AI264" s="6" t="e">
        <f>#REF!</f>
        <v>#REF!</v>
      </c>
      <c r="AJ264" s="6" t="e">
        <f>#REF!</f>
        <v>#REF!</v>
      </c>
      <c r="AK264" s="6" t="e">
        <f>#REF!</f>
        <v>#REF!</v>
      </c>
      <c r="AL264" s="6" t="e">
        <f>#REF!</f>
        <v>#REF!</v>
      </c>
    </row>
    <row r="265" spans="1:38" x14ac:dyDescent="0.25">
      <c r="A265" s="3" t="s">
        <v>538</v>
      </c>
      <c r="B265" s="126" t="e">
        <f>VLOOKUP(A265,$A$2:$AL$285,MATCH('Character Sheet'!$BJ$3,$A$1:$AL$1,0),FALSE)</f>
        <v>#REF!</v>
      </c>
      <c r="C265" s="6" t="e">
        <f>#REF!</f>
        <v>#REF!</v>
      </c>
      <c r="D265" s="6" t="e">
        <f>#REF!</f>
        <v>#REF!</v>
      </c>
      <c r="E265" s="6" t="e">
        <f>#REF!</f>
        <v>#REF!</v>
      </c>
      <c r="F265" s="6" t="e">
        <f>#REF!</f>
        <v>#REF!</v>
      </c>
      <c r="G265" s="6" t="e">
        <f>#REF!</f>
        <v>#REF!</v>
      </c>
      <c r="H265" s="6" t="e">
        <f>#REF!</f>
        <v>#REF!</v>
      </c>
      <c r="I265" s="6" t="e">
        <f>#REF!</f>
        <v>#REF!</v>
      </c>
      <c r="J265" s="6" t="e">
        <f>#REF!</f>
        <v>#REF!</v>
      </c>
      <c r="K265" s="6" t="e">
        <f>#REF!</f>
        <v>#REF!</v>
      </c>
      <c r="L265" s="6" t="e">
        <f>#REF!</f>
        <v>#REF!</v>
      </c>
      <c r="M265" s="6" t="e">
        <f>#REF!</f>
        <v>#REF!</v>
      </c>
      <c r="N265" s="6" t="e">
        <f>#REF!</f>
        <v>#REF!</v>
      </c>
      <c r="O265" s="6" t="e">
        <f>#REF!</f>
        <v>#REF!</v>
      </c>
      <c r="P265" s="6" t="e">
        <f>#REF!</f>
        <v>#REF!</v>
      </c>
      <c r="Q265" s="6" t="e">
        <f>#REF!</f>
        <v>#REF!</v>
      </c>
      <c r="R265" s="6" t="e">
        <f>#REF!</f>
        <v>#REF!</v>
      </c>
      <c r="S265" s="6" t="e">
        <f>#REF!</f>
        <v>#REF!</v>
      </c>
      <c r="T265" s="6" t="e">
        <f>#REF!</f>
        <v>#REF!</v>
      </c>
      <c r="U265" s="6" t="e">
        <f>#REF!</f>
        <v>#REF!</v>
      </c>
      <c r="V265" s="6" t="e">
        <f>#REF!</f>
        <v>#REF!</v>
      </c>
      <c r="W265" s="6" t="e">
        <f>#REF!</f>
        <v>#REF!</v>
      </c>
      <c r="X265" s="6" t="e">
        <f>#REF!</f>
        <v>#REF!</v>
      </c>
      <c r="Y265" s="6" t="e">
        <f>#REF!</f>
        <v>#REF!</v>
      </c>
      <c r="Z265" s="6" t="e">
        <f>#REF!</f>
        <v>#REF!</v>
      </c>
      <c r="AA265" s="6" t="e">
        <f>#REF!</f>
        <v>#REF!</v>
      </c>
      <c r="AB265" s="6" t="e">
        <f>#REF!</f>
        <v>#REF!</v>
      </c>
      <c r="AC265" s="6" t="e">
        <f>#REF!</f>
        <v>#REF!</v>
      </c>
      <c r="AD265" s="6" t="e">
        <f>#REF!</f>
        <v>#REF!</v>
      </c>
      <c r="AE265" s="6" t="e">
        <f>#REF!</f>
        <v>#REF!</v>
      </c>
      <c r="AF265" s="6" t="e">
        <f>#REF!</f>
        <v>#REF!</v>
      </c>
      <c r="AG265" s="6" t="e">
        <f>#REF!</f>
        <v>#REF!</v>
      </c>
      <c r="AH265" s="6" t="e">
        <f>#REF!</f>
        <v>#REF!</v>
      </c>
      <c r="AI265" s="6" t="e">
        <f>#REF!</f>
        <v>#REF!</v>
      </c>
      <c r="AJ265" s="6" t="e">
        <f>#REF!</f>
        <v>#REF!</v>
      </c>
      <c r="AK265" s="6" t="e">
        <f>#REF!</f>
        <v>#REF!</v>
      </c>
      <c r="AL265" s="6" t="e">
        <f>#REF!</f>
        <v>#REF!</v>
      </c>
    </row>
    <row r="266" spans="1:38" x14ac:dyDescent="0.25">
      <c r="A266" s="3" t="s">
        <v>519</v>
      </c>
      <c r="B266" s="126" t="e">
        <f>VLOOKUP(A266,$A$2:$AL$285,MATCH('Character Sheet'!$BJ$3,$A$1:$AL$1,0),FALSE)</f>
        <v>#REF!</v>
      </c>
      <c r="C266" s="6" t="e">
        <f>#REF!</f>
        <v>#REF!</v>
      </c>
      <c r="D266" s="6" t="e">
        <f>#REF!</f>
        <v>#REF!</v>
      </c>
      <c r="E266" s="6" t="e">
        <f>#REF!</f>
        <v>#REF!</v>
      </c>
      <c r="F266" s="6" t="e">
        <f>#REF!</f>
        <v>#REF!</v>
      </c>
      <c r="G266" s="6" t="e">
        <f>#REF!</f>
        <v>#REF!</v>
      </c>
      <c r="H266" s="6" t="e">
        <f>#REF!</f>
        <v>#REF!</v>
      </c>
      <c r="I266" s="6" t="e">
        <f>#REF!</f>
        <v>#REF!</v>
      </c>
      <c r="J266" s="6" t="e">
        <f>#REF!</f>
        <v>#REF!</v>
      </c>
      <c r="K266" s="6" t="e">
        <f>#REF!</f>
        <v>#REF!</v>
      </c>
      <c r="L266" s="6" t="e">
        <f>#REF!</f>
        <v>#REF!</v>
      </c>
      <c r="M266" s="6" t="e">
        <f>#REF!</f>
        <v>#REF!</v>
      </c>
      <c r="N266" s="6" t="e">
        <f>#REF!</f>
        <v>#REF!</v>
      </c>
      <c r="O266" s="6" t="e">
        <f>#REF!</f>
        <v>#REF!</v>
      </c>
      <c r="P266" s="6" t="e">
        <f>#REF!</f>
        <v>#REF!</v>
      </c>
      <c r="Q266" s="6" t="e">
        <f>#REF!</f>
        <v>#REF!</v>
      </c>
      <c r="R266" s="6" t="e">
        <f>#REF!</f>
        <v>#REF!</v>
      </c>
      <c r="S266" s="6" t="e">
        <f>#REF!</f>
        <v>#REF!</v>
      </c>
      <c r="T266" s="6" t="e">
        <f>#REF!</f>
        <v>#REF!</v>
      </c>
      <c r="U266" s="6" t="e">
        <f>#REF!</f>
        <v>#REF!</v>
      </c>
      <c r="V266" s="6" t="e">
        <f>#REF!</f>
        <v>#REF!</v>
      </c>
      <c r="W266" s="6" t="e">
        <f>#REF!</f>
        <v>#REF!</v>
      </c>
      <c r="X266" s="6" t="e">
        <f>#REF!</f>
        <v>#REF!</v>
      </c>
      <c r="Y266" s="6" t="e">
        <f>#REF!</f>
        <v>#REF!</v>
      </c>
      <c r="Z266" s="6" t="e">
        <f>#REF!</f>
        <v>#REF!</v>
      </c>
      <c r="AA266" s="6" t="e">
        <f>#REF!</f>
        <v>#REF!</v>
      </c>
      <c r="AB266" s="6" t="e">
        <f>#REF!</f>
        <v>#REF!</v>
      </c>
      <c r="AC266" s="6" t="e">
        <f>#REF!</f>
        <v>#REF!</v>
      </c>
      <c r="AD266" s="6" t="e">
        <f>#REF!</f>
        <v>#REF!</v>
      </c>
      <c r="AE266" s="6" t="e">
        <f>#REF!</f>
        <v>#REF!</v>
      </c>
      <c r="AF266" s="6" t="e">
        <f>#REF!</f>
        <v>#REF!</v>
      </c>
      <c r="AG266" s="6" t="e">
        <f>#REF!</f>
        <v>#REF!</v>
      </c>
      <c r="AH266" s="6" t="e">
        <f>#REF!</f>
        <v>#REF!</v>
      </c>
      <c r="AI266" s="6" t="e">
        <f>#REF!</f>
        <v>#REF!</v>
      </c>
      <c r="AJ266" s="6" t="e">
        <f>#REF!</f>
        <v>#REF!</v>
      </c>
      <c r="AK266" s="6" t="e">
        <f>#REF!</f>
        <v>#REF!</v>
      </c>
      <c r="AL266" s="6" t="e">
        <f>#REF!</f>
        <v>#REF!</v>
      </c>
    </row>
    <row r="267" spans="1:38" x14ac:dyDescent="0.25">
      <c r="A267" s="3" t="s">
        <v>520</v>
      </c>
      <c r="B267" s="126" t="e">
        <f>VLOOKUP(A267,$A$2:$AL$285,MATCH('Character Sheet'!$BJ$3,$A$1:$AL$1,0),FALSE)</f>
        <v>#REF!</v>
      </c>
      <c r="C267" s="6" t="e">
        <f>#REF!</f>
        <v>#REF!</v>
      </c>
      <c r="D267" s="6" t="e">
        <f>#REF!</f>
        <v>#REF!</v>
      </c>
      <c r="E267" s="6" t="e">
        <f>#REF!</f>
        <v>#REF!</v>
      </c>
      <c r="F267" s="6" t="e">
        <f>#REF!</f>
        <v>#REF!</v>
      </c>
      <c r="G267" s="6" t="e">
        <f>#REF!</f>
        <v>#REF!</v>
      </c>
      <c r="H267" s="6" t="e">
        <f>#REF!</f>
        <v>#REF!</v>
      </c>
      <c r="I267" s="6" t="e">
        <f>#REF!</f>
        <v>#REF!</v>
      </c>
      <c r="J267" s="6" t="e">
        <f>#REF!</f>
        <v>#REF!</v>
      </c>
      <c r="K267" s="6" t="e">
        <f>#REF!</f>
        <v>#REF!</v>
      </c>
      <c r="L267" s="6" t="e">
        <f>#REF!</f>
        <v>#REF!</v>
      </c>
      <c r="M267" s="6" t="e">
        <f>#REF!</f>
        <v>#REF!</v>
      </c>
      <c r="N267" s="6" t="e">
        <f>#REF!</f>
        <v>#REF!</v>
      </c>
      <c r="O267" s="6" t="e">
        <f>#REF!</f>
        <v>#REF!</v>
      </c>
      <c r="P267" s="6" t="e">
        <f>#REF!</f>
        <v>#REF!</v>
      </c>
      <c r="Q267" s="6" t="e">
        <f>#REF!</f>
        <v>#REF!</v>
      </c>
      <c r="R267" s="6" t="e">
        <f>#REF!</f>
        <v>#REF!</v>
      </c>
      <c r="S267" s="6" t="e">
        <f>#REF!</f>
        <v>#REF!</v>
      </c>
      <c r="T267" s="6" t="e">
        <f>#REF!</f>
        <v>#REF!</v>
      </c>
      <c r="U267" s="6" t="e">
        <f>#REF!</f>
        <v>#REF!</v>
      </c>
      <c r="V267" s="6" t="e">
        <f>#REF!</f>
        <v>#REF!</v>
      </c>
      <c r="W267" s="6" t="e">
        <f>#REF!</f>
        <v>#REF!</v>
      </c>
      <c r="X267" s="6" t="e">
        <f>#REF!</f>
        <v>#REF!</v>
      </c>
      <c r="Y267" s="6" t="e">
        <f>#REF!</f>
        <v>#REF!</v>
      </c>
      <c r="Z267" s="6" t="e">
        <f>#REF!</f>
        <v>#REF!</v>
      </c>
      <c r="AA267" s="6" t="e">
        <f>#REF!</f>
        <v>#REF!</v>
      </c>
      <c r="AB267" s="6" t="e">
        <f>#REF!</f>
        <v>#REF!</v>
      </c>
      <c r="AC267" s="6" t="e">
        <f>#REF!</f>
        <v>#REF!</v>
      </c>
      <c r="AD267" s="6" t="e">
        <f>#REF!</f>
        <v>#REF!</v>
      </c>
      <c r="AE267" s="6" t="e">
        <f>#REF!</f>
        <v>#REF!</v>
      </c>
      <c r="AF267" s="6" t="e">
        <f>#REF!</f>
        <v>#REF!</v>
      </c>
      <c r="AG267" s="6" t="e">
        <f>#REF!</f>
        <v>#REF!</v>
      </c>
      <c r="AH267" s="6" t="e">
        <f>#REF!</f>
        <v>#REF!</v>
      </c>
      <c r="AI267" s="6" t="e">
        <f>#REF!</f>
        <v>#REF!</v>
      </c>
      <c r="AJ267" s="6" t="e">
        <f>#REF!</f>
        <v>#REF!</v>
      </c>
      <c r="AK267" s="6" t="e">
        <f>#REF!</f>
        <v>#REF!</v>
      </c>
      <c r="AL267" s="6" t="e">
        <f>#REF!</f>
        <v>#REF!</v>
      </c>
    </row>
    <row r="268" spans="1:38" x14ac:dyDescent="0.25">
      <c r="A268" s="3" t="s">
        <v>521</v>
      </c>
      <c r="B268" s="126" t="e">
        <f>VLOOKUP(A268,$A$2:$AL$285,MATCH('Character Sheet'!$BJ$3,$A$1:$AL$1,0),FALSE)</f>
        <v>#REF!</v>
      </c>
      <c r="C268" s="6" t="e">
        <f>#REF!</f>
        <v>#REF!</v>
      </c>
      <c r="D268" s="6" t="e">
        <f>#REF!</f>
        <v>#REF!</v>
      </c>
      <c r="E268" s="6" t="e">
        <f>#REF!</f>
        <v>#REF!</v>
      </c>
      <c r="F268" s="6" t="e">
        <f>#REF!</f>
        <v>#REF!</v>
      </c>
      <c r="G268" s="6" t="e">
        <f>#REF!</f>
        <v>#REF!</v>
      </c>
      <c r="H268" s="6" t="e">
        <f>#REF!</f>
        <v>#REF!</v>
      </c>
      <c r="I268" s="6" t="e">
        <f>#REF!</f>
        <v>#REF!</v>
      </c>
      <c r="J268" s="6" t="e">
        <f>#REF!</f>
        <v>#REF!</v>
      </c>
      <c r="K268" s="6" t="e">
        <f>#REF!</f>
        <v>#REF!</v>
      </c>
      <c r="L268" s="6" t="e">
        <f>#REF!</f>
        <v>#REF!</v>
      </c>
      <c r="M268" s="6" t="e">
        <f>#REF!</f>
        <v>#REF!</v>
      </c>
      <c r="N268" s="6" t="e">
        <f>#REF!</f>
        <v>#REF!</v>
      </c>
      <c r="O268" s="6" t="e">
        <f>#REF!</f>
        <v>#REF!</v>
      </c>
      <c r="P268" s="6" t="e">
        <f>#REF!</f>
        <v>#REF!</v>
      </c>
      <c r="Q268" s="6" t="e">
        <f>#REF!</f>
        <v>#REF!</v>
      </c>
      <c r="R268" s="6" t="e">
        <f>#REF!</f>
        <v>#REF!</v>
      </c>
      <c r="S268" s="6" t="e">
        <f>#REF!</f>
        <v>#REF!</v>
      </c>
      <c r="T268" s="6" t="e">
        <f>#REF!</f>
        <v>#REF!</v>
      </c>
      <c r="U268" s="6" t="e">
        <f>#REF!</f>
        <v>#REF!</v>
      </c>
      <c r="V268" s="6" t="e">
        <f>#REF!</f>
        <v>#REF!</v>
      </c>
      <c r="W268" s="6" t="e">
        <f>#REF!</f>
        <v>#REF!</v>
      </c>
      <c r="X268" s="6" t="e">
        <f>#REF!</f>
        <v>#REF!</v>
      </c>
      <c r="Y268" s="6" t="e">
        <f>#REF!</f>
        <v>#REF!</v>
      </c>
      <c r="Z268" s="6" t="e">
        <f>#REF!</f>
        <v>#REF!</v>
      </c>
      <c r="AA268" s="6" t="e">
        <f>#REF!</f>
        <v>#REF!</v>
      </c>
      <c r="AB268" s="6" t="e">
        <f>#REF!</f>
        <v>#REF!</v>
      </c>
      <c r="AC268" s="6" t="e">
        <f>#REF!</f>
        <v>#REF!</v>
      </c>
      <c r="AD268" s="6" t="e">
        <f>#REF!</f>
        <v>#REF!</v>
      </c>
      <c r="AE268" s="6" t="e">
        <f>#REF!</f>
        <v>#REF!</v>
      </c>
      <c r="AF268" s="6" t="e">
        <f>#REF!</f>
        <v>#REF!</v>
      </c>
      <c r="AG268" s="6" t="e">
        <f>#REF!</f>
        <v>#REF!</v>
      </c>
      <c r="AH268" s="6" t="e">
        <f>#REF!</f>
        <v>#REF!</v>
      </c>
      <c r="AI268" s="6" t="e">
        <f>#REF!</f>
        <v>#REF!</v>
      </c>
      <c r="AJ268" s="6" t="e">
        <f>#REF!</f>
        <v>#REF!</v>
      </c>
      <c r="AK268" s="6" t="e">
        <f>#REF!</f>
        <v>#REF!</v>
      </c>
      <c r="AL268" s="6" t="e">
        <f>#REF!</f>
        <v>#REF!</v>
      </c>
    </row>
    <row r="269" spans="1:38" x14ac:dyDescent="0.25">
      <c r="A269" s="3" t="s">
        <v>522</v>
      </c>
      <c r="B269" s="126" t="e">
        <f>VLOOKUP(A269,$A$2:$AL$285,MATCH('Character Sheet'!$BJ$3,$A$1:$AL$1,0),FALSE)</f>
        <v>#REF!</v>
      </c>
      <c r="C269" s="6" t="e">
        <f>#REF!</f>
        <v>#REF!</v>
      </c>
      <c r="D269" s="6" t="e">
        <f>#REF!</f>
        <v>#REF!</v>
      </c>
      <c r="E269" s="6" t="e">
        <f>#REF!</f>
        <v>#REF!</v>
      </c>
      <c r="F269" s="6" t="e">
        <f>#REF!</f>
        <v>#REF!</v>
      </c>
      <c r="G269" s="6" t="e">
        <f>#REF!</f>
        <v>#REF!</v>
      </c>
      <c r="H269" s="6" t="e">
        <f>#REF!</f>
        <v>#REF!</v>
      </c>
      <c r="I269" s="6" t="e">
        <f>#REF!</f>
        <v>#REF!</v>
      </c>
      <c r="J269" s="6" t="e">
        <f>#REF!</f>
        <v>#REF!</v>
      </c>
      <c r="K269" s="6" t="e">
        <f>#REF!</f>
        <v>#REF!</v>
      </c>
      <c r="L269" s="6" t="e">
        <f>#REF!</f>
        <v>#REF!</v>
      </c>
      <c r="M269" s="6" t="e">
        <f>#REF!</f>
        <v>#REF!</v>
      </c>
      <c r="N269" s="6" t="e">
        <f>#REF!</f>
        <v>#REF!</v>
      </c>
      <c r="O269" s="6" t="e">
        <f>#REF!</f>
        <v>#REF!</v>
      </c>
      <c r="P269" s="6" t="e">
        <f>#REF!</f>
        <v>#REF!</v>
      </c>
      <c r="Q269" s="6" t="e">
        <f>#REF!</f>
        <v>#REF!</v>
      </c>
      <c r="R269" s="6" t="e">
        <f>#REF!</f>
        <v>#REF!</v>
      </c>
      <c r="S269" s="6" t="e">
        <f>#REF!</f>
        <v>#REF!</v>
      </c>
      <c r="T269" s="6" t="e">
        <f>#REF!</f>
        <v>#REF!</v>
      </c>
      <c r="U269" s="6" t="e">
        <f>#REF!</f>
        <v>#REF!</v>
      </c>
      <c r="V269" s="6" t="e">
        <f>#REF!</f>
        <v>#REF!</v>
      </c>
      <c r="W269" s="6" t="e">
        <f>#REF!</f>
        <v>#REF!</v>
      </c>
      <c r="X269" s="6" t="e">
        <f>#REF!</f>
        <v>#REF!</v>
      </c>
      <c r="Y269" s="6" t="e">
        <f>#REF!</f>
        <v>#REF!</v>
      </c>
      <c r="Z269" s="6" t="e">
        <f>#REF!</f>
        <v>#REF!</v>
      </c>
      <c r="AA269" s="6" t="e">
        <f>#REF!</f>
        <v>#REF!</v>
      </c>
      <c r="AB269" s="6" t="e">
        <f>#REF!</f>
        <v>#REF!</v>
      </c>
      <c r="AC269" s="6" t="e">
        <f>#REF!</f>
        <v>#REF!</v>
      </c>
      <c r="AD269" s="6" t="e">
        <f>#REF!</f>
        <v>#REF!</v>
      </c>
      <c r="AE269" s="6" t="e">
        <f>#REF!</f>
        <v>#REF!</v>
      </c>
      <c r="AF269" s="6" t="e">
        <f>#REF!</f>
        <v>#REF!</v>
      </c>
      <c r="AG269" s="6" t="e">
        <f>#REF!</f>
        <v>#REF!</v>
      </c>
      <c r="AH269" s="6" t="e">
        <f>#REF!</f>
        <v>#REF!</v>
      </c>
      <c r="AI269" s="6" t="e">
        <f>#REF!</f>
        <v>#REF!</v>
      </c>
      <c r="AJ269" s="6" t="e">
        <f>#REF!</f>
        <v>#REF!</v>
      </c>
      <c r="AK269" s="6" t="e">
        <f>#REF!</f>
        <v>#REF!</v>
      </c>
      <c r="AL269" s="6" t="e">
        <f>#REF!</f>
        <v>#REF!</v>
      </c>
    </row>
    <row r="270" spans="1:38" x14ac:dyDescent="0.25">
      <c r="A270" s="3" t="s">
        <v>523</v>
      </c>
      <c r="B270" s="126" t="e">
        <f>VLOOKUP(A270,$A$2:$AL$285,MATCH('Character Sheet'!$BJ$3,$A$1:$AL$1,0),FALSE)</f>
        <v>#REF!</v>
      </c>
      <c r="C270" s="6" t="e">
        <f>#REF!</f>
        <v>#REF!</v>
      </c>
      <c r="D270" s="6" t="e">
        <f>#REF!</f>
        <v>#REF!</v>
      </c>
      <c r="E270" s="6" t="e">
        <f>#REF!</f>
        <v>#REF!</v>
      </c>
      <c r="F270" s="6" t="e">
        <f>#REF!</f>
        <v>#REF!</v>
      </c>
      <c r="G270" s="6" t="e">
        <f>#REF!</f>
        <v>#REF!</v>
      </c>
      <c r="H270" s="6" t="e">
        <f>#REF!</f>
        <v>#REF!</v>
      </c>
      <c r="I270" s="6" t="e">
        <f>#REF!</f>
        <v>#REF!</v>
      </c>
      <c r="J270" s="6" t="e">
        <f>#REF!</f>
        <v>#REF!</v>
      </c>
      <c r="K270" s="6" t="e">
        <f>#REF!</f>
        <v>#REF!</v>
      </c>
      <c r="L270" s="6" t="e">
        <f>#REF!</f>
        <v>#REF!</v>
      </c>
      <c r="M270" s="6" t="e">
        <f>#REF!</f>
        <v>#REF!</v>
      </c>
      <c r="N270" s="6" t="e">
        <f>#REF!</f>
        <v>#REF!</v>
      </c>
      <c r="O270" s="6" t="e">
        <f>#REF!</f>
        <v>#REF!</v>
      </c>
      <c r="P270" s="6" t="e">
        <f>#REF!</f>
        <v>#REF!</v>
      </c>
      <c r="Q270" s="6" t="e">
        <f>#REF!</f>
        <v>#REF!</v>
      </c>
      <c r="R270" s="6" t="e">
        <f>#REF!</f>
        <v>#REF!</v>
      </c>
      <c r="S270" s="6" t="e">
        <f>#REF!</f>
        <v>#REF!</v>
      </c>
      <c r="T270" s="6" t="e">
        <f>#REF!</f>
        <v>#REF!</v>
      </c>
      <c r="U270" s="6" t="e">
        <f>#REF!</f>
        <v>#REF!</v>
      </c>
      <c r="V270" s="6" t="e">
        <f>#REF!</f>
        <v>#REF!</v>
      </c>
      <c r="W270" s="6" t="e">
        <f>#REF!</f>
        <v>#REF!</v>
      </c>
      <c r="X270" s="6" t="e">
        <f>#REF!</f>
        <v>#REF!</v>
      </c>
      <c r="Y270" s="6" t="e">
        <f>#REF!</f>
        <v>#REF!</v>
      </c>
      <c r="Z270" s="6" t="e">
        <f>#REF!</f>
        <v>#REF!</v>
      </c>
      <c r="AA270" s="6" t="e">
        <f>#REF!</f>
        <v>#REF!</v>
      </c>
      <c r="AB270" s="6" t="e">
        <f>#REF!</f>
        <v>#REF!</v>
      </c>
      <c r="AC270" s="6" t="e">
        <f>#REF!</f>
        <v>#REF!</v>
      </c>
      <c r="AD270" s="6" t="e">
        <f>#REF!</f>
        <v>#REF!</v>
      </c>
      <c r="AE270" s="6" t="e">
        <f>#REF!</f>
        <v>#REF!</v>
      </c>
      <c r="AF270" s="6" t="e">
        <f>#REF!</f>
        <v>#REF!</v>
      </c>
      <c r="AG270" s="6" t="e">
        <f>#REF!</f>
        <v>#REF!</v>
      </c>
      <c r="AH270" s="6" t="e">
        <f>#REF!</f>
        <v>#REF!</v>
      </c>
      <c r="AI270" s="6" t="e">
        <f>#REF!</f>
        <v>#REF!</v>
      </c>
      <c r="AJ270" s="6" t="e">
        <f>#REF!</f>
        <v>#REF!</v>
      </c>
      <c r="AK270" s="6" t="e">
        <f>#REF!</f>
        <v>#REF!</v>
      </c>
      <c r="AL270" s="6" t="e">
        <f>#REF!</f>
        <v>#REF!</v>
      </c>
    </row>
    <row r="271" spans="1:38" x14ac:dyDescent="0.25">
      <c r="A271" s="3" t="s">
        <v>524</v>
      </c>
      <c r="B271" s="126" t="e">
        <f>VLOOKUP(A271,$A$2:$AL$285,MATCH('Character Sheet'!$BJ$3,$A$1:$AL$1,0),FALSE)</f>
        <v>#REF!</v>
      </c>
      <c r="C271" s="6" t="e">
        <f>#REF!</f>
        <v>#REF!</v>
      </c>
      <c r="D271" s="6" t="e">
        <f>#REF!</f>
        <v>#REF!</v>
      </c>
      <c r="E271" s="6" t="e">
        <f>#REF!</f>
        <v>#REF!</v>
      </c>
      <c r="F271" s="6" t="e">
        <f>#REF!</f>
        <v>#REF!</v>
      </c>
      <c r="G271" s="6" t="e">
        <f>#REF!</f>
        <v>#REF!</v>
      </c>
      <c r="H271" s="6" t="e">
        <f>#REF!</f>
        <v>#REF!</v>
      </c>
      <c r="I271" s="6" t="e">
        <f>#REF!</f>
        <v>#REF!</v>
      </c>
      <c r="J271" s="6" t="e">
        <f>#REF!</f>
        <v>#REF!</v>
      </c>
      <c r="K271" s="6" t="e">
        <f>#REF!</f>
        <v>#REF!</v>
      </c>
      <c r="L271" s="6" t="e">
        <f>#REF!</f>
        <v>#REF!</v>
      </c>
      <c r="M271" s="6" t="e">
        <f>#REF!</f>
        <v>#REF!</v>
      </c>
      <c r="N271" s="6" t="e">
        <f>#REF!</f>
        <v>#REF!</v>
      </c>
      <c r="O271" s="6" t="e">
        <f>#REF!</f>
        <v>#REF!</v>
      </c>
      <c r="P271" s="6" t="e">
        <f>#REF!</f>
        <v>#REF!</v>
      </c>
      <c r="Q271" s="6" t="e">
        <f>#REF!</f>
        <v>#REF!</v>
      </c>
      <c r="R271" s="6" t="e">
        <f>#REF!</f>
        <v>#REF!</v>
      </c>
      <c r="S271" s="6" t="e">
        <f>#REF!</f>
        <v>#REF!</v>
      </c>
      <c r="T271" s="6" t="e">
        <f>#REF!</f>
        <v>#REF!</v>
      </c>
      <c r="U271" s="6" t="e">
        <f>#REF!</f>
        <v>#REF!</v>
      </c>
      <c r="V271" s="6" t="e">
        <f>#REF!</f>
        <v>#REF!</v>
      </c>
      <c r="W271" s="6" t="e">
        <f>#REF!</f>
        <v>#REF!</v>
      </c>
      <c r="X271" s="6" t="e">
        <f>#REF!</f>
        <v>#REF!</v>
      </c>
      <c r="Y271" s="6" t="e">
        <f>#REF!</f>
        <v>#REF!</v>
      </c>
      <c r="Z271" s="6" t="e">
        <f>#REF!</f>
        <v>#REF!</v>
      </c>
      <c r="AA271" s="6" t="e">
        <f>#REF!</f>
        <v>#REF!</v>
      </c>
      <c r="AB271" s="6" t="e">
        <f>#REF!</f>
        <v>#REF!</v>
      </c>
      <c r="AC271" s="6" t="e">
        <f>#REF!</f>
        <v>#REF!</v>
      </c>
      <c r="AD271" s="6" t="e">
        <f>#REF!</f>
        <v>#REF!</v>
      </c>
      <c r="AE271" s="6" t="e">
        <f>#REF!</f>
        <v>#REF!</v>
      </c>
      <c r="AF271" s="6" t="e">
        <f>#REF!</f>
        <v>#REF!</v>
      </c>
      <c r="AG271" s="6" t="e">
        <f>#REF!</f>
        <v>#REF!</v>
      </c>
      <c r="AH271" s="6" t="e">
        <f>#REF!</f>
        <v>#REF!</v>
      </c>
      <c r="AI271" s="6" t="e">
        <f>#REF!</f>
        <v>#REF!</v>
      </c>
      <c r="AJ271" s="6" t="e">
        <f>#REF!</f>
        <v>#REF!</v>
      </c>
      <c r="AK271" s="6" t="e">
        <f>#REF!</f>
        <v>#REF!</v>
      </c>
      <c r="AL271" s="6" t="e">
        <f>#REF!</f>
        <v>#REF!</v>
      </c>
    </row>
    <row r="272" spans="1:38" x14ac:dyDescent="0.25">
      <c r="A272" s="3" t="s">
        <v>525</v>
      </c>
      <c r="B272" s="126" t="e">
        <f>VLOOKUP(A272,$A$2:$AL$285,MATCH('Character Sheet'!$BJ$3,$A$1:$AL$1,0),FALSE)</f>
        <v>#REF!</v>
      </c>
      <c r="C272" s="6" t="e">
        <f>#REF!</f>
        <v>#REF!</v>
      </c>
      <c r="D272" s="6" t="e">
        <f>#REF!</f>
        <v>#REF!</v>
      </c>
      <c r="E272" s="6" t="e">
        <f>#REF!</f>
        <v>#REF!</v>
      </c>
      <c r="F272" s="6" t="e">
        <f>#REF!</f>
        <v>#REF!</v>
      </c>
      <c r="G272" s="6" t="e">
        <f>#REF!</f>
        <v>#REF!</v>
      </c>
      <c r="H272" s="6" t="e">
        <f>#REF!</f>
        <v>#REF!</v>
      </c>
      <c r="I272" s="6" t="e">
        <f>#REF!</f>
        <v>#REF!</v>
      </c>
      <c r="J272" s="6" t="e">
        <f>#REF!</f>
        <v>#REF!</v>
      </c>
      <c r="K272" s="6" t="e">
        <f>#REF!</f>
        <v>#REF!</v>
      </c>
      <c r="L272" s="6" t="e">
        <f>#REF!</f>
        <v>#REF!</v>
      </c>
      <c r="M272" s="6" t="e">
        <f>#REF!</f>
        <v>#REF!</v>
      </c>
      <c r="N272" s="6" t="e">
        <f>#REF!</f>
        <v>#REF!</v>
      </c>
      <c r="O272" s="6" t="e">
        <f>#REF!</f>
        <v>#REF!</v>
      </c>
      <c r="P272" s="6" t="e">
        <f>#REF!</f>
        <v>#REF!</v>
      </c>
      <c r="Q272" s="6" t="e">
        <f>#REF!</f>
        <v>#REF!</v>
      </c>
      <c r="R272" s="6" t="e">
        <f>#REF!</f>
        <v>#REF!</v>
      </c>
      <c r="S272" s="6" t="e">
        <f>#REF!</f>
        <v>#REF!</v>
      </c>
      <c r="T272" s="6" t="e">
        <f>#REF!</f>
        <v>#REF!</v>
      </c>
      <c r="U272" s="6" t="e">
        <f>#REF!</f>
        <v>#REF!</v>
      </c>
      <c r="V272" s="6" t="e">
        <f>#REF!</f>
        <v>#REF!</v>
      </c>
      <c r="W272" s="6" t="e">
        <f>#REF!</f>
        <v>#REF!</v>
      </c>
      <c r="X272" s="6" t="e">
        <f>#REF!</f>
        <v>#REF!</v>
      </c>
      <c r="Y272" s="6" t="e">
        <f>#REF!</f>
        <v>#REF!</v>
      </c>
      <c r="Z272" s="6" t="e">
        <f>#REF!</f>
        <v>#REF!</v>
      </c>
      <c r="AA272" s="6" t="e">
        <f>#REF!</f>
        <v>#REF!</v>
      </c>
      <c r="AB272" s="6" t="e">
        <f>#REF!</f>
        <v>#REF!</v>
      </c>
      <c r="AC272" s="6" t="e">
        <f>#REF!</f>
        <v>#REF!</v>
      </c>
      <c r="AD272" s="6" t="e">
        <f>#REF!</f>
        <v>#REF!</v>
      </c>
      <c r="AE272" s="6" t="e">
        <f>#REF!</f>
        <v>#REF!</v>
      </c>
      <c r="AF272" s="6" t="e">
        <f>#REF!</f>
        <v>#REF!</v>
      </c>
      <c r="AG272" s="6" t="e">
        <f>#REF!</f>
        <v>#REF!</v>
      </c>
      <c r="AH272" s="6" t="e">
        <f>#REF!</f>
        <v>#REF!</v>
      </c>
      <c r="AI272" s="6" t="e">
        <f>#REF!</f>
        <v>#REF!</v>
      </c>
      <c r="AJ272" s="6" t="e">
        <f>#REF!</f>
        <v>#REF!</v>
      </c>
      <c r="AK272" s="6" t="e">
        <f>#REF!</f>
        <v>#REF!</v>
      </c>
      <c r="AL272" s="6" t="e">
        <f>#REF!</f>
        <v>#REF!</v>
      </c>
    </row>
    <row r="273" spans="1:38" x14ac:dyDescent="0.25">
      <c r="A273" s="3" t="s">
        <v>526</v>
      </c>
      <c r="B273" s="126" t="e">
        <f>VLOOKUP(A273,$A$2:$AL$285,MATCH('Character Sheet'!$BJ$3,$A$1:$AL$1,0),FALSE)</f>
        <v>#REF!</v>
      </c>
      <c r="C273" s="6" t="e">
        <f>#REF!</f>
        <v>#REF!</v>
      </c>
      <c r="D273" s="6" t="e">
        <f>#REF!</f>
        <v>#REF!</v>
      </c>
      <c r="E273" s="6" t="e">
        <f>#REF!</f>
        <v>#REF!</v>
      </c>
      <c r="F273" s="6" t="e">
        <f>#REF!</f>
        <v>#REF!</v>
      </c>
      <c r="G273" s="6" t="e">
        <f>#REF!</f>
        <v>#REF!</v>
      </c>
      <c r="H273" s="6" t="e">
        <f>#REF!</f>
        <v>#REF!</v>
      </c>
      <c r="I273" s="6" t="e">
        <f>#REF!</f>
        <v>#REF!</v>
      </c>
      <c r="J273" s="6" t="e">
        <f>#REF!</f>
        <v>#REF!</v>
      </c>
      <c r="K273" s="6" t="e">
        <f>#REF!</f>
        <v>#REF!</v>
      </c>
      <c r="L273" s="6" t="e">
        <f>#REF!</f>
        <v>#REF!</v>
      </c>
      <c r="M273" s="6" t="e">
        <f>#REF!</f>
        <v>#REF!</v>
      </c>
      <c r="N273" s="6" t="e">
        <f>#REF!</f>
        <v>#REF!</v>
      </c>
      <c r="O273" s="6" t="e">
        <f>#REF!</f>
        <v>#REF!</v>
      </c>
      <c r="P273" s="6" t="e">
        <f>#REF!</f>
        <v>#REF!</v>
      </c>
      <c r="Q273" s="6" t="e">
        <f>#REF!</f>
        <v>#REF!</v>
      </c>
      <c r="R273" s="6" t="e">
        <f>#REF!</f>
        <v>#REF!</v>
      </c>
      <c r="S273" s="6" t="e">
        <f>#REF!</f>
        <v>#REF!</v>
      </c>
      <c r="T273" s="6" t="e">
        <f>#REF!</f>
        <v>#REF!</v>
      </c>
      <c r="U273" s="6" t="e">
        <f>#REF!</f>
        <v>#REF!</v>
      </c>
      <c r="V273" s="6" t="e">
        <f>#REF!</f>
        <v>#REF!</v>
      </c>
      <c r="W273" s="6" t="e">
        <f>#REF!</f>
        <v>#REF!</v>
      </c>
      <c r="X273" s="6" t="e">
        <f>#REF!</f>
        <v>#REF!</v>
      </c>
      <c r="Y273" s="6" t="e">
        <f>#REF!</f>
        <v>#REF!</v>
      </c>
      <c r="Z273" s="6" t="e">
        <f>#REF!</f>
        <v>#REF!</v>
      </c>
      <c r="AA273" s="6" t="e">
        <f>#REF!</f>
        <v>#REF!</v>
      </c>
      <c r="AB273" s="6" t="e">
        <f>#REF!</f>
        <v>#REF!</v>
      </c>
      <c r="AC273" s="6" t="e">
        <f>#REF!</f>
        <v>#REF!</v>
      </c>
      <c r="AD273" s="6" t="e">
        <f>#REF!</f>
        <v>#REF!</v>
      </c>
      <c r="AE273" s="6" t="e">
        <f>#REF!</f>
        <v>#REF!</v>
      </c>
      <c r="AF273" s="6" t="e">
        <f>#REF!</f>
        <v>#REF!</v>
      </c>
      <c r="AG273" s="6" t="e">
        <f>#REF!</f>
        <v>#REF!</v>
      </c>
      <c r="AH273" s="6" t="e">
        <f>#REF!</f>
        <v>#REF!</v>
      </c>
      <c r="AI273" s="6" t="e">
        <f>#REF!</f>
        <v>#REF!</v>
      </c>
      <c r="AJ273" s="6" t="e">
        <f>#REF!</f>
        <v>#REF!</v>
      </c>
      <c r="AK273" s="6" t="e">
        <f>#REF!</f>
        <v>#REF!</v>
      </c>
      <c r="AL273" s="6" t="e">
        <f>#REF!</f>
        <v>#REF!</v>
      </c>
    </row>
    <row r="274" spans="1:38" x14ac:dyDescent="0.25">
      <c r="A274" s="3" t="s">
        <v>527</v>
      </c>
      <c r="B274" s="126" t="e">
        <f>VLOOKUP(A274,$A$2:$AL$285,MATCH('Character Sheet'!$BJ$3,$A$1:$AL$1,0),FALSE)</f>
        <v>#REF!</v>
      </c>
      <c r="C274" s="6" t="e">
        <f>#REF!</f>
        <v>#REF!</v>
      </c>
      <c r="D274" s="6" t="e">
        <f>#REF!</f>
        <v>#REF!</v>
      </c>
      <c r="E274" s="6" t="e">
        <f>#REF!</f>
        <v>#REF!</v>
      </c>
      <c r="F274" s="6" t="e">
        <f>#REF!</f>
        <v>#REF!</v>
      </c>
      <c r="G274" s="6" t="e">
        <f>#REF!</f>
        <v>#REF!</v>
      </c>
      <c r="H274" s="6" t="e">
        <f>#REF!</f>
        <v>#REF!</v>
      </c>
      <c r="I274" s="6" t="e">
        <f>#REF!</f>
        <v>#REF!</v>
      </c>
      <c r="J274" s="6" t="e">
        <f>#REF!</f>
        <v>#REF!</v>
      </c>
      <c r="K274" s="6" t="e">
        <f>#REF!</f>
        <v>#REF!</v>
      </c>
      <c r="L274" s="6" t="e">
        <f>#REF!</f>
        <v>#REF!</v>
      </c>
      <c r="M274" s="6" t="e">
        <f>#REF!</f>
        <v>#REF!</v>
      </c>
      <c r="N274" s="6" t="e">
        <f>#REF!</f>
        <v>#REF!</v>
      </c>
      <c r="O274" s="6" t="e">
        <f>#REF!</f>
        <v>#REF!</v>
      </c>
      <c r="P274" s="6" t="e">
        <f>#REF!</f>
        <v>#REF!</v>
      </c>
      <c r="Q274" s="6" t="e">
        <f>#REF!</f>
        <v>#REF!</v>
      </c>
      <c r="R274" s="6" t="e">
        <f>#REF!</f>
        <v>#REF!</v>
      </c>
      <c r="S274" s="6" t="e">
        <f>#REF!</f>
        <v>#REF!</v>
      </c>
      <c r="T274" s="6" t="e">
        <f>#REF!</f>
        <v>#REF!</v>
      </c>
      <c r="U274" s="6" t="e">
        <f>#REF!</f>
        <v>#REF!</v>
      </c>
      <c r="V274" s="6" t="e">
        <f>#REF!</f>
        <v>#REF!</v>
      </c>
      <c r="W274" s="6" t="e">
        <f>#REF!</f>
        <v>#REF!</v>
      </c>
      <c r="X274" s="6" t="e">
        <f>#REF!</f>
        <v>#REF!</v>
      </c>
      <c r="Y274" s="6" t="e">
        <f>#REF!</f>
        <v>#REF!</v>
      </c>
      <c r="Z274" s="6" t="e">
        <f>#REF!</f>
        <v>#REF!</v>
      </c>
      <c r="AA274" s="6" t="e">
        <f>#REF!</f>
        <v>#REF!</v>
      </c>
      <c r="AB274" s="6" t="e">
        <f>#REF!</f>
        <v>#REF!</v>
      </c>
      <c r="AC274" s="6" t="e">
        <f>#REF!</f>
        <v>#REF!</v>
      </c>
      <c r="AD274" s="6" t="e">
        <f>#REF!</f>
        <v>#REF!</v>
      </c>
      <c r="AE274" s="6" t="e">
        <f>#REF!</f>
        <v>#REF!</v>
      </c>
      <c r="AF274" s="6" t="e">
        <f>#REF!</f>
        <v>#REF!</v>
      </c>
      <c r="AG274" s="6" t="e">
        <f>#REF!</f>
        <v>#REF!</v>
      </c>
      <c r="AH274" s="6" t="e">
        <f>#REF!</f>
        <v>#REF!</v>
      </c>
      <c r="AI274" s="6" t="e">
        <f>#REF!</f>
        <v>#REF!</v>
      </c>
      <c r="AJ274" s="6" t="e">
        <f>#REF!</f>
        <v>#REF!</v>
      </c>
      <c r="AK274" s="6" t="e">
        <f>#REF!</f>
        <v>#REF!</v>
      </c>
      <c r="AL274" s="6" t="e">
        <f>#REF!</f>
        <v>#REF!</v>
      </c>
    </row>
    <row r="275" spans="1:38" x14ac:dyDescent="0.25">
      <c r="A275" s="3" t="s">
        <v>528</v>
      </c>
      <c r="B275" s="126" t="e">
        <f>VLOOKUP(A275,$A$2:$AL$285,MATCH('Character Sheet'!$BJ$3,$A$1:$AL$1,0),FALSE)</f>
        <v>#REF!</v>
      </c>
      <c r="C275" s="6" t="e">
        <f>#REF!</f>
        <v>#REF!</v>
      </c>
      <c r="D275" s="6" t="e">
        <f>#REF!</f>
        <v>#REF!</v>
      </c>
      <c r="E275" s="6" t="e">
        <f>#REF!</f>
        <v>#REF!</v>
      </c>
      <c r="F275" s="6" t="e">
        <f>#REF!</f>
        <v>#REF!</v>
      </c>
      <c r="G275" s="6" t="e">
        <f>#REF!</f>
        <v>#REF!</v>
      </c>
      <c r="H275" s="6" t="e">
        <f>#REF!</f>
        <v>#REF!</v>
      </c>
      <c r="I275" s="6" t="e">
        <f>#REF!</f>
        <v>#REF!</v>
      </c>
      <c r="J275" s="6" t="e">
        <f>#REF!</f>
        <v>#REF!</v>
      </c>
      <c r="K275" s="6" t="e">
        <f>#REF!</f>
        <v>#REF!</v>
      </c>
      <c r="L275" s="6" t="e">
        <f>#REF!</f>
        <v>#REF!</v>
      </c>
      <c r="M275" s="6" t="e">
        <f>#REF!</f>
        <v>#REF!</v>
      </c>
      <c r="N275" s="6" t="e">
        <f>#REF!</f>
        <v>#REF!</v>
      </c>
      <c r="O275" s="6" t="e">
        <f>#REF!</f>
        <v>#REF!</v>
      </c>
      <c r="P275" s="6" t="e">
        <f>#REF!</f>
        <v>#REF!</v>
      </c>
      <c r="Q275" s="6" t="e">
        <f>#REF!</f>
        <v>#REF!</v>
      </c>
      <c r="R275" s="6" t="e">
        <f>#REF!</f>
        <v>#REF!</v>
      </c>
      <c r="S275" s="6" t="e">
        <f>#REF!</f>
        <v>#REF!</v>
      </c>
      <c r="T275" s="6" t="e">
        <f>#REF!</f>
        <v>#REF!</v>
      </c>
      <c r="U275" s="6" t="e">
        <f>#REF!</f>
        <v>#REF!</v>
      </c>
      <c r="V275" s="6" t="e">
        <f>#REF!</f>
        <v>#REF!</v>
      </c>
      <c r="W275" s="6" t="e">
        <f>#REF!</f>
        <v>#REF!</v>
      </c>
      <c r="X275" s="6" t="e">
        <f>#REF!</f>
        <v>#REF!</v>
      </c>
      <c r="Y275" s="6" t="e">
        <f>#REF!</f>
        <v>#REF!</v>
      </c>
      <c r="Z275" s="6" t="e">
        <f>#REF!</f>
        <v>#REF!</v>
      </c>
      <c r="AA275" s="6" t="e">
        <f>#REF!</f>
        <v>#REF!</v>
      </c>
      <c r="AB275" s="6" t="e">
        <f>#REF!</f>
        <v>#REF!</v>
      </c>
      <c r="AC275" s="6" t="e">
        <f>#REF!</f>
        <v>#REF!</v>
      </c>
      <c r="AD275" s="6" t="e">
        <f>#REF!</f>
        <v>#REF!</v>
      </c>
      <c r="AE275" s="6" t="e">
        <f>#REF!</f>
        <v>#REF!</v>
      </c>
      <c r="AF275" s="6" t="e">
        <f>#REF!</f>
        <v>#REF!</v>
      </c>
      <c r="AG275" s="6" t="e">
        <f>#REF!</f>
        <v>#REF!</v>
      </c>
      <c r="AH275" s="6" t="e">
        <f>#REF!</f>
        <v>#REF!</v>
      </c>
      <c r="AI275" s="6" t="e">
        <f>#REF!</f>
        <v>#REF!</v>
      </c>
      <c r="AJ275" s="6" t="e">
        <f>#REF!</f>
        <v>#REF!</v>
      </c>
      <c r="AK275" s="6" t="e">
        <f>#REF!</f>
        <v>#REF!</v>
      </c>
      <c r="AL275" s="6" t="e">
        <f>#REF!</f>
        <v>#REF!</v>
      </c>
    </row>
    <row r="276" spans="1:38" x14ac:dyDescent="0.25">
      <c r="A276" s="3" t="s">
        <v>529</v>
      </c>
      <c r="B276" s="126" t="e">
        <f>VLOOKUP(A276,$A$2:$AL$285,MATCH('Character Sheet'!$BJ$3,$A$1:$AL$1,0),FALSE)</f>
        <v>#REF!</v>
      </c>
      <c r="C276" s="6" t="e">
        <f>#REF!</f>
        <v>#REF!</v>
      </c>
      <c r="D276" s="6" t="e">
        <f>#REF!</f>
        <v>#REF!</v>
      </c>
      <c r="E276" s="6" t="e">
        <f>#REF!</f>
        <v>#REF!</v>
      </c>
      <c r="F276" s="6" t="e">
        <f>#REF!</f>
        <v>#REF!</v>
      </c>
      <c r="G276" s="6" t="e">
        <f>#REF!</f>
        <v>#REF!</v>
      </c>
      <c r="H276" s="6" t="e">
        <f>#REF!</f>
        <v>#REF!</v>
      </c>
      <c r="I276" s="6" t="e">
        <f>#REF!</f>
        <v>#REF!</v>
      </c>
      <c r="J276" s="6" t="e">
        <f>#REF!</f>
        <v>#REF!</v>
      </c>
      <c r="K276" s="6" t="e">
        <f>#REF!</f>
        <v>#REF!</v>
      </c>
      <c r="L276" s="6" t="e">
        <f>#REF!</f>
        <v>#REF!</v>
      </c>
      <c r="M276" s="6" t="e">
        <f>#REF!</f>
        <v>#REF!</v>
      </c>
      <c r="N276" s="6" t="e">
        <f>#REF!</f>
        <v>#REF!</v>
      </c>
      <c r="O276" s="6" t="e">
        <f>#REF!</f>
        <v>#REF!</v>
      </c>
      <c r="P276" s="6" t="e">
        <f>#REF!</f>
        <v>#REF!</v>
      </c>
      <c r="Q276" s="6" t="e">
        <f>#REF!</f>
        <v>#REF!</v>
      </c>
      <c r="R276" s="6" t="e">
        <f>#REF!</f>
        <v>#REF!</v>
      </c>
      <c r="S276" s="6" t="e">
        <f>#REF!</f>
        <v>#REF!</v>
      </c>
      <c r="T276" s="6" t="e">
        <f>#REF!</f>
        <v>#REF!</v>
      </c>
      <c r="U276" s="6" t="e">
        <f>#REF!</f>
        <v>#REF!</v>
      </c>
      <c r="V276" s="6" t="e">
        <f>#REF!</f>
        <v>#REF!</v>
      </c>
      <c r="W276" s="6" t="e">
        <f>#REF!</f>
        <v>#REF!</v>
      </c>
      <c r="X276" s="6" t="e">
        <f>#REF!</f>
        <v>#REF!</v>
      </c>
      <c r="Y276" s="6" t="e">
        <f>#REF!</f>
        <v>#REF!</v>
      </c>
      <c r="Z276" s="6" t="e">
        <f>#REF!</f>
        <v>#REF!</v>
      </c>
      <c r="AA276" s="6" t="e">
        <f>#REF!</f>
        <v>#REF!</v>
      </c>
      <c r="AB276" s="6" t="e">
        <f>#REF!</f>
        <v>#REF!</v>
      </c>
      <c r="AC276" s="6" t="e">
        <f>#REF!</f>
        <v>#REF!</v>
      </c>
      <c r="AD276" s="6" t="e">
        <f>#REF!</f>
        <v>#REF!</v>
      </c>
      <c r="AE276" s="6" t="e">
        <f>#REF!</f>
        <v>#REF!</v>
      </c>
      <c r="AF276" s="6" t="e">
        <f>#REF!</f>
        <v>#REF!</v>
      </c>
      <c r="AG276" s="6" t="e">
        <f>#REF!</f>
        <v>#REF!</v>
      </c>
      <c r="AH276" s="6" t="e">
        <f>#REF!</f>
        <v>#REF!</v>
      </c>
      <c r="AI276" s="6" t="e">
        <f>#REF!</f>
        <v>#REF!</v>
      </c>
      <c r="AJ276" s="6" t="e">
        <f>#REF!</f>
        <v>#REF!</v>
      </c>
      <c r="AK276" s="6" t="e">
        <f>#REF!</f>
        <v>#REF!</v>
      </c>
      <c r="AL276" s="6" t="e">
        <f>#REF!</f>
        <v>#REF!</v>
      </c>
    </row>
    <row r="277" spans="1:38" x14ac:dyDescent="0.25">
      <c r="A277" s="3" t="s">
        <v>530</v>
      </c>
      <c r="B277" s="126" t="e">
        <f>VLOOKUP(A277,$A$2:$AL$285,MATCH('Character Sheet'!$BJ$3,$A$1:$AL$1,0),FALSE)</f>
        <v>#REF!</v>
      </c>
      <c r="C277" s="6" t="e">
        <f>#REF!</f>
        <v>#REF!</v>
      </c>
      <c r="D277" s="6" t="e">
        <f>#REF!</f>
        <v>#REF!</v>
      </c>
      <c r="E277" s="6" t="e">
        <f>#REF!</f>
        <v>#REF!</v>
      </c>
      <c r="F277" s="6" t="e">
        <f>#REF!</f>
        <v>#REF!</v>
      </c>
      <c r="G277" s="6" t="e">
        <f>#REF!</f>
        <v>#REF!</v>
      </c>
      <c r="H277" s="6" t="e">
        <f>#REF!</f>
        <v>#REF!</v>
      </c>
      <c r="I277" s="6" t="e">
        <f>#REF!</f>
        <v>#REF!</v>
      </c>
      <c r="J277" s="6" t="e">
        <f>#REF!</f>
        <v>#REF!</v>
      </c>
      <c r="K277" s="6" t="e">
        <f>#REF!</f>
        <v>#REF!</v>
      </c>
      <c r="L277" s="6" t="e">
        <f>#REF!</f>
        <v>#REF!</v>
      </c>
      <c r="M277" s="6" t="e">
        <f>#REF!</f>
        <v>#REF!</v>
      </c>
      <c r="N277" s="6" t="e">
        <f>#REF!</f>
        <v>#REF!</v>
      </c>
      <c r="O277" s="6" t="e">
        <f>#REF!</f>
        <v>#REF!</v>
      </c>
      <c r="P277" s="6" t="e">
        <f>#REF!</f>
        <v>#REF!</v>
      </c>
      <c r="Q277" s="6" t="e">
        <f>#REF!</f>
        <v>#REF!</v>
      </c>
      <c r="R277" s="6" t="e">
        <f>#REF!</f>
        <v>#REF!</v>
      </c>
      <c r="S277" s="6" t="e">
        <f>#REF!</f>
        <v>#REF!</v>
      </c>
      <c r="T277" s="6" t="e">
        <f>#REF!</f>
        <v>#REF!</v>
      </c>
      <c r="U277" s="6" t="e">
        <f>#REF!</f>
        <v>#REF!</v>
      </c>
      <c r="V277" s="6" t="e">
        <f>#REF!</f>
        <v>#REF!</v>
      </c>
      <c r="W277" s="6" t="e">
        <f>#REF!</f>
        <v>#REF!</v>
      </c>
      <c r="X277" s="6" t="e">
        <f>#REF!</f>
        <v>#REF!</v>
      </c>
      <c r="Y277" s="6" t="e">
        <f>#REF!</f>
        <v>#REF!</v>
      </c>
      <c r="Z277" s="6" t="e">
        <f>#REF!</f>
        <v>#REF!</v>
      </c>
      <c r="AA277" s="6" t="e">
        <f>#REF!</f>
        <v>#REF!</v>
      </c>
      <c r="AB277" s="6" t="e">
        <f>#REF!</f>
        <v>#REF!</v>
      </c>
      <c r="AC277" s="6" t="e">
        <f>#REF!</f>
        <v>#REF!</v>
      </c>
      <c r="AD277" s="6" t="e">
        <f>#REF!</f>
        <v>#REF!</v>
      </c>
      <c r="AE277" s="6" t="e">
        <f>#REF!</f>
        <v>#REF!</v>
      </c>
      <c r="AF277" s="6" t="e">
        <f>#REF!</f>
        <v>#REF!</v>
      </c>
      <c r="AG277" s="6" t="e">
        <f>#REF!</f>
        <v>#REF!</v>
      </c>
      <c r="AH277" s="6" t="e">
        <f>#REF!</f>
        <v>#REF!</v>
      </c>
      <c r="AI277" s="6" t="e">
        <f>#REF!</f>
        <v>#REF!</v>
      </c>
      <c r="AJ277" s="6" t="e">
        <f>#REF!</f>
        <v>#REF!</v>
      </c>
      <c r="AK277" s="6" t="e">
        <f>#REF!</f>
        <v>#REF!</v>
      </c>
      <c r="AL277" s="6" t="e">
        <f>#REF!</f>
        <v>#REF!</v>
      </c>
    </row>
    <row r="278" spans="1:38" x14ac:dyDescent="0.25">
      <c r="A278" s="64" t="s">
        <v>2081</v>
      </c>
      <c r="B278" s="126" t="e">
        <f>VLOOKUP(A278,$A$2:$AL$285,MATCH('Character Sheet'!$BJ$3,$A$1:$AL$1,0),FALSE)</f>
        <v>#REF!</v>
      </c>
      <c r="C278" s="6" t="e">
        <f>#REF!</f>
        <v>#REF!</v>
      </c>
      <c r="D278" s="6" t="e">
        <f>#REF!</f>
        <v>#REF!</v>
      </c>
      <c r="E278" s="6" t="e">
        <f>#REF!</f>
        <v>#REF!</v>
      </c>
      <c r="F278" s="6" t="e">
        <f>#REF!</f>
        <v>#REF!</v>
      </c>
      <c r="G278" s="6" t="e">
        <f>#REF!</f>
        <v>#REF!</v>
      </c>
      <c r="H278" s="6" t="e">
        <f>#REF!</f>
        <v>#REF!</v>
      </c>
      <c r="I278" s="6" t="e">
        <f>#REF!</f>
        <v>#REF!</v>
      </c>
      <c r="J278" s="6" t="e">
        <f>#REF!</f>
        <v>#REF!</v>
      </c>
      <c r="K278" s="6" t="e">
        <f>#REF!</f>
        <v>#REF!</v>
      </c>
      <c r="L278" s="6" t="e">
        <f>#REF!</f>
        <v>#REF!</v>
      </c>
      <c r="M278" s="6" t="e">
        <f>#REF!</f>
        <v>#REF!</v>
      </c>
      <c r="N278" s="6" t="e">
        <f>#REF!</f>
        <v>#REF!</v>
      </c>
      <c r="O278" s="6" t="e">
        <f>#REF!</f>
        <v>#REF!</v>
      </c>
      <c r="P278" s="6" t="e">
        <f>#REF!</f>
        <v>#REF!</v>
      </c>
      <c r="Q278" s="6" t="e">
        <f>#REF!</f>
        <v>#REF!</v>
      </c>
      <c r="R278" s="6" t="e">
        <f>#REF!</f>
        <v>#REF!</v>
      </c>
      <c r="S278" s="6" t="e">
        <f>#REF!</f>
        <v>#REF!</v>
      </c>
      <c r="T278" s="6" t="e">
        <f>#REF!</f>
        <v>#REF!</v>
      </c>
      <c r="U278" s="6" t="e">
        <f>#REF!</f>
        <v>#REF!</v>
      </c>
      <c r="V278" s="6" t="e">
        <f>#REF!</f>
        <v>#REF!</v>
      </c>
      <c r="W278" s="6" t="e">
        <f>#REF!</f>
        <v>#REF!</v>
      </c>
      <c r="X278" s="6" t="e">
        <f>#REF!</f>
        <v>#REF!</v>
      </c>
      <c r="Y278" s="6" t="e">
        <f>#REF!</f>
        <v>#REF!</v>
      </c>
      <c r="Z278" s="6" t="e">
        <f>#REF!</f>
        <v>#REF!</v>
      </c>
      <c r="AA278" s="6" t="e">
        <f>#REF!</f>
        <v>#REF!</v>
      </c>
      <c r="AB278" s="6" t="e">
        <f>#REF!</f>
        <v>#REF!</v>
      </c>
      <c r="AC278" s="6" t="e">
        <f>#REF!</f>
        <v>#REF!</v>
      </c>
      <c r="AD278" s="6" t="e">
        <f>#REF!</f>
        <v>#REF!</v>
      </c>
      <c r="AE278" s="6" t="e">
        <f>#REF!</f>
        <v>#REF!</v>
      </c>
      <c r="AF278" s="6" t="e">
        <f>#REF!</f>
        <v>#REF!</v>
      </c>
      <c r="AG278" s="6" t="e">
        <f>#REF!</f>
        <v>#REF!</v>
      </c>
      <c r="AH278" s="6" t="e">
        <f>#REF!</f>
        <v>#REF!</v>
      </c>
      <c r="AI278" s="6" t="e">
        <f>#REF!</f>
        <v>#REF!</v>
      </c>
      <c r="AJ278" s="6" t="e">
        <f>#REF!</f>
        <v>#REF!</v>
      </c>
      <c r="AK278" s="6" t="e">
        <f>#REF!</f>
        <v>#REF!</v>
      </c>
      <c r="AL278" s="6" t="e">
        <f>#REF!</f>
        <v>#REF!</v>
      </c>
    </row>
    <row r="279" spans="1:38" x14ac:dyDescent="0.25">
      <c r="A279" s="64" t="s">
        <v>2082</v>
      </c>
      <c r="B279" s="126" t="e">
        <f>VLOOKUP(A279,$A$2:$AL$285,MATCH('Character Sheet'!$BJ$3,$A$1:$AL$1,0),FALSE)</f>
        <v>#REF!</v>
      </c>
      <c r="C279" s="6" t="e">
        <f>#REF!</f>
        <v>#REF!</v>
      </c>
      <c r="D279" s="6" t="e">
        <f>#REF!</f>
        <v>#REF!</v>
      </c>
      <c r="E279" s="6" t="e">
        <f>#REF!</f>
        <v>#REF!</v>
      </c>
      <c r="F279" s="6" t="e">
        <f>#REF!</f>
        <v>#REF!</v>
      </c>
      <c r="G279" s="6" t="e">
        <f>#REF!</f>
        <v>#REF!</v>
      </c>
      <c r="H279" s="6" t="e">
        <f>#REF!</f>
        <v>#REF!</v>
      </c>
      <c r="I279" s="6" t="e">
        <f>#REF!</f>
        <v>#REF!</v>
      </c>
      <c r="J279" s="6" t="e">
        <f>#REF!</f>
        <v>#REF!</v>
      </c>
      <c r="K279" s="6" t="e">
        <f>#REF!</f>
        <v>#REF!</v>
      </c>
      <c r="L279" s="6" t="e">
        <f>#REF!</f>
        <v>#REF!</v>
      </c>
      <c r="M279" s="6" t="e">
        <f>#REF!</f>
        <v>#REF!</v>
      </c>
      <c r="N279" s="6" t="e">
        <f>#REF!</f>
        <v>#REF!</v>
      </c>
      <c r="O279" s="6" t="e">
        <f>#REF!</f>
        <v>#REF!</v>
      </c>
      <c r="P279" s="6" t="e">
        <f>#REF!</f>
        <v>#REF!</v>
      </c>
      <c r="Q279" s="6" t="e">
        <f>#REF!</f>
        <v>#REF!</v>
      </c>
      <c r="R279" s="6" t="e">
        <f>#REF!</f>
        <v>#REF!</v>
      </c>
      <c r="S279" s="6" t="e">
        <f>#REF!</f>
        <v>#REF!</v>
      </c>
      <c r="T279" s="6" t="e">
        <f>#REF!</f>
        <v>#REF!</v>
      </c>
      <c r="U279" s="6" t="e">
        <f>#REF!</f>
        <v>#REF!</v>
      </c>
      <c r="V279" s="6" t="e">
        <f>#REF!</f>
        <v>#REF!</v>
      </c>
      <c r="W279" s="6" t="e">
        <f>#REF!</f>
        <v>#REF!</v>
      </c>
      <c r="X279" s="6" t="e">
        <f>#REF!</f>
        <v>#REF!</v>
      </c>
      <c r="Y279" s="6" t="e">
        <f>#REF!</f>
        <v>#REF!</v>
      </c>
      <c r="Z279" s="6" t="e">
        <f>#REF!</f>
        <v>#REF!</v>
      </c>
      <c r="AA279" s="6" t="e">
        <f>#REF!</f>
        <v>#REF!</v>
      </c>
      <c r="AB279" s="6" t="e">
        <f>#REF!</f>
        <v>#REF!</v>
      </c>
      <c r="AC279" s="6" t="e">
        <f>#REF!</f>
        <v>#REF!</v>
      </c>
      <c r="AD279" s="6" t="e">
        <f>#REF!</f>
        <v>#REF!</v>
      </c>
      <c r="AE279" s="6" t="e">
        <f>#REF!</f>
        <v>#REF!</v>
      </c>
      <c r="AF279" s="6" t="e">
        <f>#REF!</f>
        <v>#REF!</v>
      </c>
      <c r="AG279" s="6" t="e">
        <f>#REF!</f>
        <v>#REF!</v>
      </c>
      <c r="AH279" s="6" t="e">
        <f>#REF!</f>
        <v>#REF!</v>
      </c>
      <c r="AI279" s="6" t="e">
        <f>#REF!</f>
        <v>#REF!</v>
      </c>
      <c r="AJ279" s="6" t="e">
        <f>#REF!</f>
        <v>#REF!</v>
      </c>
      <c r="AK279" s="6" t="e">
        <f>#REF!</f>
        <v>#REF!</v>
      </c>
      <c r="AL279" s="6" t="e">
        <f>#REF!</f>
        <v>#REF!</v>
      </c>
    </row>
    <row r="280" spans="1:38" x14ac:dyDescent="0.25">
      <c r="A280" s="64" t="s">
        <v>2083</v>
      </c>
      <c r="B280" s="126" t="e">
        <f>VLOOKUP(A280,$A$2:$AL$285,MATCH('Character Sheet'!$BJ$3,$A$1:$AL$1,0),FALSE)</f>
        <v>#REF!</v>
      </c>
      <c r="C280" s="6" t="e">
        <f>#REF!</f>
        <v>#REF!</v>
      </c>
      <c r="D280" s="6" t="e">
        <f>#REF!</f>
        <v>#REF!</v>
      </c>
      <c r="E280" s="6" t="e">
        <f>#REF!</f>
        <v>#REF!</v>
      </c>
      <c r="F280" s="6" t="e">
        <f>#REF!</f>
        <v>#REF!</v>
      </c>
      <c r="G280" s="6" t="e">
        <f>#REF!</f>
        <v>#REF!</v>
      </c>
      <c r="H280" s="6" t="e">
        <f>#REF!</f>
        <v>#REF!</v>
      </c>
      <c r="I280" s="6" t="e">
        <f>#REF!</f>
        <v>#REF!</v>
      </c>
      <c r="J280" s="6" t="e">
        <f>#REF!</f>
        <v>#REF!</v>
      </c>
      <c r="K280" s="6" t="e">
        <f>#REF!</f>
        <v>#REF!</v>
      </c>
      <c r="L280" s="6" t="e">
        <f>#REF!</f>
        <v>#REF!</v>
      </c>
      <c r="M280" s="6" t="e">
        <f>#REF!</f>
        <v>#REF!</v>
      </c>
      <c r="N280" s="6" t="e">
        <f>#REF!</f>
        <v>#REF!</v>
      </c>
      <c r="O280" s="6" t="e">
        <f>#REF!</f>
        <v>#REF!</v>
      </c>
      <c r="P280" s="6" t="e">
        <f>#REF!</f>
        <v>#REF!</v>
      </c>
      <c r="Q280" s="6" t="e">
        <f>#REF!</f>
        <v>#REF!</v>
      </c>
      <c r="R280" s="6" t="e">
        <f>#REF!</f>
        <v>#REF!</v>
      </c>
      <c r="S280" s="6" t="e">
        <f>#REF!</f>
        <v>#REF!</v>
      </c>
      <c r="T280" s="6" t="e">
        <f>#REF!</f>
        <v>#REF!</v>
      </c>
      <c r="U280" s="6" t="e">
        <f>#REF!</f>
        <v>#REF!</v>
      </c>
      <c r="V280" s="6" t="e">
        <f>#REF!</f>
        <v>#REF!</v>
      </c>
      <c r="W280" s="6" t="e">
        <f>#REF!</f>
        <v>#REF!</v>
      </c>
      <c r="X280" s="6" t="e">
        <f>#REF!</f>
        <v>#REF!</v>
      </c>
      <c r="Y280" s="6" t="e">
        <f>#REF!</f>
        <v>#REF!</v>
      </c>
      <c r="Z280" s="6" t="e">
        <f>#REF!</f>
        <v>#REF!</v>
      </c>
      <c r="AA280" s="6" t="e">
        <f>#REF!</f>
        <v>#REF!</v>
      </c>
      <c r="AB280" s="6" t="e">
        <f>#REF!</f>
        <v>#REF!</v>
      </c>
      <c r="AC280" s="6" t="e">
        <f>#REF!</f>
        <v>#REF!</v>
      </c>
      <c r="AD280" s="6" t="e">
        <f>#REF!</f>
        <v>#REF!</v>
      </c>
      <c r="AE280" s="6" t="e">
        <f>#REF!</f>
        <v>#REF!</v>
      </c>
      <c r="AF280" s="6" t="e">
        <f>#REF!</f>
        <v>#REF!</v>
      </c>
      <c r="AG280" s="6" t="e">
        <f>#REF!</f>
        <v>#REF!</v>
      </c>
      <c r="AH280" s="6" t="e">
        <f>#REF!</f>
        <v>#REF!</v>
      </c>
      <c r="AI280" s="6" t="e">
        <f>#REF!</f>
        <v>#REF!</v>
      </c>
      <c r="AJ280" s="6" t="e">
        <f>#REF!</f>
        <v>#REF!</v>
      </c>
      <c r="AK280" s="6" t="e">
        <f>#REF!</f>
        <v>#REF!</v>
      </c>
      <c r="AL280" s="6" t="e">
        <f>#REF!</f>
        <v>#REF!</v>
      </c>
    </row>
    <row r="281" spans="1:38" ht="15.75" thickBot="1" x14ac:dyDescent="0.3">
      <c r="A281" s="64" t="s">
        <v>2084</v>
      </c>
      <c r="B281" s="126" t="e">
        <f>VLOOKUP(A281,$A$2:$AL$285,MATCH('Character Sheet'!$BJ$3,$A$1:$AL$1,0),FALSE)</f>
        <v>#REF!</v>
      </c>
      <c r="C281" s="6" t="e">
        <f>#REF!</f>
        <v>#REF!</v>
      </c>
      <c r="D281" s="6" t="e">
        <f>#REF!</f>
        <v>#REF!</v>
      </c>
      <c r="E281" s="6" t="e">
        <f>#REF!</f>
        <v>#REF!</v>
      </c>
      <c r="F281" s="6" t="e">
        <f>#REF!</f>
        <v>#REF!</v>
      </c>
      <c r="G281" s="6" t="e">
        <f>#REF!</f>
        <v>#REF!</v>
      </c>
      <c r="H281" s="6" t="e">
        <f>#REF!</f>
        <v>#REF!</v>
      </c>
      <c r="I281" s="6" t="e">
        <f>#REF!</f>
        <v>#REF!</v>
      </c>
      <c r="J281" s="6" t="e">
        <f>#REF!</f>
        <v>#REF!</v>
      </c>
      <c r="K281" s="6" t="e">
        <f>#REF!</f>
        <v>#REF!</v>
      </c>
      <c r="L281" s="6" t="e">
        <f>#REF!</f>
        <v>#REF!</v>
      </c>
      <c r="M281" s="6" t="e">
        <f>#REF!</f>
        <v>#REF!</v>
      </c>
      <c r="N281" s="6" t="e">
        <f>#REF!</f>
        <v>#REF!</v>
      </c>
      <c r="O281" s="6" t="e">
        <f>#REF!</f>
        <v>#REF!</v>
      </c>
      <c r="P281" s="6" t="e">
        <f>#REF!</f>
        <v>#REF!</v>
      </c>
      <c r="Q281" s="6" t="e">
        <f>#REF!</f>
        <v>#REF!</v>
      </c>
      <c r="R281" s="6" t="e">
        <f>#REF!</f>
        <v>#REF!</v>
      </c>
      <c r="S281" s="6" t="e">
        <f>#REF!</f>
        <v>#REF!</v>
      </c>
      <c r="T281" s="6" t="e">
        <f>#REF!</f>
        <v>#REF!</v>
      </c>
      <c r="U281" s="6" t="e">
        <f>#REF!</f>
        <v>#REF!</v>
      </c>
      <c r="V281" s="6" t="e">
        <f>#REF!</f>
        <v>#REF!</v>
      </c>
      <c r="W281" s="6" t="e">
        <f>#REF!</f>
        <v>#REF!</v>
      </c>
      <c r="X281" s="6" t="e">
        <f>#REF!</f>
        <v>#REF!</v>
      </c>
      <c r="Y281" s="6" t="e">
        <f>#REF!</f>
        <v>#REF!</v>
      </c>
      <c r="Z281" s="6" t="e">
        <f>#REF!</f>
        <v>#REF!</v>
      </c>
      <c r="AA281" s="6" t="e">
        <f>#REF!</f>
        <v>#REF!</v>
      </c>
      <c r="AB281" s="6" t="e">
        <f>#REF!</f>
        <v>#REF!</v>
      </c>
      <c r="AC281" s="6" t="e">
        <f>#REF!</f>
        <v>#REF!</v>
      </c>
      <c r="AD281" s="6" t="e">
        <f>#REF!</f>
        <v>#REF!</v>
      </c>
      <c r="AE281" s="6" t="e">
        <f>#REF!</f>
        <v>#REF!</v>
      </c>
      <c r="AF281" s="6" t="e">
        <f>#REF!</f>
        <v>#REF!</v>
      </c>
      <c r="AG281" s="6" t="e">
        <f>#REF!</f>
        <v>#REF!</v>
      </c>
      <c r="AH281" s="6" t="e">
        <f>#REF!</f>
        <v>#REF!</v>
      </c>
      <c r="AI281" s="6" t="e">
        <f>#REF!</f>
        <v>#REF!</v>
      </c>
      <c r="AJ281" s="6" t="e">
        <f>#REF!</f>
        <v>#REF!</v>
      </c>
      <c r="AK281" s="6" t="e">
        <f>#REF!</f>
        <v>#REF!</v>
      </c>
      <c r="AL281" s="6" t="e">
        <f>#REF!</f>
        <v>#REF!</v>
      </c>
    </row>
    <row r="282" spans="1:38" ht="16.5" thickTop="1" thickBot="1" x14ac:dyDescent="0.3">
      <c r="A282" s="63" t="s">
        <v>554</v>
      </c>
      <c r="B282" s="126" t="e">
        <f>VLOOKUP(A282,$A$2:$AL$285,MATCH('Character Sheet'!$BJ$3,$A$1:$AL$1,0),FALSE)</f>
        <v>#REF!</v>
      </c>
      <c r="C282" s="6" t="e">
        <f>#REF!</f>
        <v>#REF!</v>
      </c>
      <c r="D282" s="6" t="e">
        <f>#REF!</f>
        <v>#REF!</v>
      </c>
      <c r="E282" s="6" t="e">
        <f>#REF!</f>
        <v>#REF!</v>
      </c>
      <c r="F282" s="6" t="e">
        <f>#REF!</f>
        <v>#REF!</v>
      </c>
      <c r="G282" s="6" t="e">
        <f>#REF!</f>
        <v>#REF!</v>
      </c>
      <c r="H282" s="6" t="e">
        <f>#REF!</f>
        <v>#REF!</v>
      </c>
      <c r="I282" s="6" t="e">
        <f>#REF!</f>
        <v>#REF!</v>
      </c>
      <c r="J282" s="6" t="e">
        <f>#REF!</f>
        <v>#REF!</v>
      </c>
      <c r="K282" s="6" t="e">
        <f>#REF!</f>
        <v>#REF!</v>
      </c>
      <c r="L282" s="6" t="e">
        <f>#REF!</f>
        <v>#REF!</v>
      </c>
      <c r="M282" s="6" t="e">
        <f>#REF!</f>
        <v>#REF!</v>
      </c>
      <c r="N282" s="6" t="e">
        <f>#REF!</f>
        <v>#REF!</v>
      </c>
      <c r="O282" s="6" t="e">
        <f>#REF!</f>
        <v>#REF!</v>
      </c>
      <c r="P282" s="6" t="e">
        <f>#REF!</f>
        <v>#REF!</v>
      </c>
      <c r="Q282" s="6" t="e">
        <f>#REF!</f>
        <v>#REF!</v>
      </c>
      <c r="R282" s="6" t="e">
        <f>#REF!</f>
        <v>#REF!</v>
      </c>
      <c r="S282" s="6" t="e">
        <f>#REF!</f>
        <v>#REF!</v>
      </c>
      <c r="T282" s="6" t="e">
        <f>#REF!</f>
        <v>#REF!</v>
      </c>
      <c r="U282" s="6" t="e">
        <f>#REF!</f>
        <v>#REF!</v>
      </c>
      <c r="V282" s="6" t="e">
        <f>#REF!</f>
        <v>#REF!</v>
      </c>
      <c r="W282" s="6" t="e">
        <f>#REF!</f>
        <v>#REF!</v>
      </c>
      <c r="X282" s="6" t="e">
        <f>#REF!</f>
        <v>#REF!</v>
      </c>
      <c r="Y282" s="6" t="e">
        <f>#REF!</f>
        <v>#REF!</v>
      </c>
      <c r="Z282" s="6" t="e">
        <f>#REF!</f>
        <v>#REF!</v>
      </c>
      <c r="AA282" s="6" t="e">
        <f>#REF!</f>
        <v>#REF!</v>
      </c>
      <c r="AB282" s="6" t="e">
        <f>#REF!</f>
        <v>#REF!</v>
      </c>
      <c r="AC282" s="6" t="e">
        <f>#REF!</f>
        <v>#REF!</v>
      </c>
      <c r="AD282" s="6" t="e">
        <f>#REF!</f>
        <v>#REF!</v>
      </c>
      <c r="AE282" s="6" t="e">
        <f>#REF!</f>
        <v>#REF!</v>
      </c>
      <c r="AF282" s="6" t="e">
        <f>#REF!</f>
        <v>#REF!</v>
      </c>
      <c r="AG282" s="6" t="e">
        <f>#REF!</f>
        <v>#REF!</v>
      </c>
      <c r="AH282" s="6" t="e">
        <f>#REF!</f>
        <v>#REF!</v>
      </c>
      <c r="AI282" s="6" t="e">
        <f>#REF!</f>
        <v>#REF!</v>
      </c>
      <c r="AJ282" s="6" t="e">
        <f>#REF!</f>
        <v>#REF!</v>
      </c>
      <c r="AK282" s="6" t="e">
        <f>#REF!</f>
        <v>#REF!</v>
      </c>
      <c r="AL282" s="6" t="e">
        <f>#REF!</f>
        <v>#REF!</v>
      </c>
    </row>
    <row r="283" spans="1:38" ht="15.75" thickTop="1" x14ac:dyDescent="0.25">
      <c r="A283" s="64" t="s">
        <v>2085</v>
      </c>
      <c r="B283" s="126" t="e">
        <f>VLOOKUP(A283,$A$2:$AL$285,MATCH('Character Sheet'!$BJ$3,$A$1:$AL$1,0),FALSE)</f>
        <v>#REF!</v>
      </c>
      <c r="C283" s="6" t="e">
        <f>#REF!</f>
        <v>#REF!</v>
      </c>
      <c r="D283" s="6" t="e">
        <f>#REF!</f>
        <v>#REF!</v>
      </c>
      <c r="E283" s="6" t="e">
        <f>#REF!</f>
        <v>#REF!</v>
      </c>
      <c r="F283" s="6" t="e">
        <f>#REF!</f>
        <v>#REF!</v>
      </c>
      <c r="G283" s="6" t="e">
        <f>#REF!</f>
        <v>#REF!</v>
      </c>
      <c r="H283" s="6" t="e">
        <f>#REF!</f>
        <v>#REF!</v>
      </c>
      <c r="I283" s="6" t="e">
        <f>#REF!</f>
        <v>#REF!</v>
      </c>
      <c r="J283" s="6" t="e">
        <f>#REF!</f>
        <v>#REF!</v>
      </c>
      <c r="K283" s="6" t="e">
        <f>#REF!</f>
        <v>#REF!</v>
      </c>
      <c r="L283" s="6" t="e">
        <f>#REF!</f>
        <v>#REF!</v>
      </c>
      <c r="M283" s="6" t="e">
        <f>#REF!</f>
        <v>#REF!</v>
      </c>
      <c r="N283" s="6" t="e">
        <f>#REF!</f>
        <v>#REF!</v>
      </c>
      <c r="O283" s="6" t="e">
        <f>#REF!</f>
        <v>#REF!</v>
      </c>
      <c r="P283" s="6" t="e">
        <f>#REF!</f>
        <v>#REF!</v>
      </c>
      <c r="Q283" s="6" t="e">
        <f>#REF!</f>
        <v>#REF!</v>
      </c>
      <c r="R283" s="6" t="e">
        <f>#REF!</f>
        <v>#REF!</v>
      </c>
      <c r="S283" s="6" t="e">
        <f>#REF!</f>
        <v>#REF!</v>
      </c>
      <c r="T283" s="6" t="e">
        <f>#REF!</f>
        <v>#REF!</v>
      </c>
      <c r="U283" s="6" t="e">
        <f>#REF!</f>
        <v>#REF!</v>
      </c>
      <c r="V283" s="6" t="e">
        <f>#REF!</f>
        <v>#REF!</v>
      </c>
      <c r="W283" s="6" t="e">
        <f>#REF!</f>
        <v>#REF!</v>
      </c>
      <c r="X283" s="6" t="e">
        <f>#REF!</f>
        <v>#REF!</v>
      </c>
      <c r="Y283" s="6" t="e">
        <f>#REF!</f>
        <v>#REF!</v>
      </c>
      <c r="Z283" s="6" t="e">
        <f>#REF!</f>
        <v>#REF!</v>
      </c>
      <c r="AA283" s="6" t="e">
        <f>#REF!</f>
        <v>#REF!</v>
      </c>
      <c r="AB283" s="6" t="e">
        <f>#REF!</f>
        <v>#REF!</v>
      </c>
      <c r="AC283" s="6" t="e">
        <f>#REF!</f>
        <v>#REF!</v>
      </c>
      <c r="AD283" s="6" t="e">
        <f>#REF!</f>
        <v>#REF!</v>
      </c>
      <c r="AE283" s="6" t="e">
        <f>#REF!</f>
        <v>#REF!</v>
      </c>
      <c r="AF283" s="6" t="e">
        <f>#REF!</f>
        <v>#REF!</v>
      </c>
      <c r="AG283" s="6" t="e">
        <f>#REF!</f>
        <v>#REF!</v>
      </c>
      <c r="AH283" s="6" t="e">
        <f>#REF!</f>
        <v>#REF!</v>
      </c>
      <c r="AI283" s="6" t="e">
        <f>#REF!</f>
        <v>#REF!</v>
      </c>
      <c r="AJ283" s="6" t="e">
        <f>#REF!</f>
        <v>#REF!</v>
      </c>
      <c r="AK283" s="6" t="e">
        <f>#REF!</f>
        <v>#REF!</v>
      </c>
      <c r="AL283" s="6" t="e">
        <f>#REF!</f>
        <v>#REF!</v>
      </c>
    </row>
    <row r="284" spans="1:38" x14ac:dyDescent="0.25">
      <c r="A284" s="64" t="s">
        <v>2086</v>
      </c>
      <c r="B284" s="126" t="e">
        <f>VLOOKUP(A284,$A$2:$AL$285,MATCH('Character Sheet'!$BJ$3,$A$1:$AL$1,0),FALSE)</f>
        <v>#REF!</v>
      </c>
      <c r="C284" s="6" t="e">
        <f>#REF!</f>
        <v>#REF!</v>
      </c>
      <c r="D284" s="6" t="e">
        <f>#REF!</f>
        <v>#REF!</v>
      </c>
      <c r="E284" s="6" t="e">
        <f>#REF!</f>
        <v>#REF!</v>
      </c>
      <c r="F284" s="6" t="e">
        <f>#REF!</f>
        <v>#REF!</v>
      </c>
      <c r="G284" s="6" t="e">
        <f>#REF!</f>
        <v>#REF!</v>
      </c>
      <c r="H284" s="6" t="e">
        <f>#REF!</f>
        <v>#REF!</v>
      </c>
      <c r="I284" s="6" t="e">
        <f>#REF!</f>
        <v>#REF!</v>
      </c>
      <c r="J284" s="6" t="e">
        <f>#REF!</f>
        <v>#REF!</v>
      </c>
      <c r="K284" s="6" t="e">
        <f>#REF!</f>
        <v>#REF!</v>
      </c>
      <c r="L284" s="6" t="e">
        <f>#REF!</f>
        <v>#REF!</v>
      </c>
      <c r="M284" s="6" t="e">
        <f>#REF!</f>
        <v>#REF!</v>
      </c>
      <c r="N284" s="6" t="e">
        <f>#REF!</f>
        <v>#REF!</v>
      </c>
      <c r="O284" s="6" t="e">
        <f>#REF!</f>
        <v>#REF!</v>
      </c>
      <c r="P284" s="6" t="e">
        <f>#REF!</f>
        <v>#REF!</v>
      </c>
      <c r="Q284" s="6" t="e">
        <f>#REF!</f>
        <v>#REF!</v>
      </c>
      <c r="R284" s="6" t="e">
        <f>#REF!</f>
        <v>#REF!</v>
      </c>
      <c r="S284" s="6" t="e">
        <f>#REF!</f>
        <v>#REF!</v>
      </c>
      <c r="T284" s="6" t="e">
        <f>#REF!</f>
        <v>#REF!</v>
      </c>
      <c r="U284" s="6" t="e">
        <f>#REF!</f>
        <v>#REF!</v>
      </c>
      <c r="V284" s="6" t="e">
        <f>#REF!</f>
        <v>#REF!</v>
      </c>
      <c r="W284" s="6" t="e">
        <f>#REF!</f>
        <v>#REF!</v>
      </c>
      <c r="X284" s="6" t="e">
        <f>#REF!</f>
        <v>#REF!</v>
      </c>
      <c r="Y284" s="6" t="e">
        <f>#REF!</f>
        <v>#REF!</v>
      </c>
      <c r="Z284" s="6" t="e">
        <f>#REF!</f>
        <v>#REF!</v>
      </c>
      <c r="AA284" s="6" t="e">
        <f>#REF!</f>
        <v>#REF!</v>
      </c>
      <c r="AB284" s="6" t="e">
        <f>#REF!</f>
        <v>#REF!</v>
      </c>
      <c r="AC284" s="6" t="e">
        <f>#REF!</f>
        <v>#REF!</v>
      </c>
      <c r="AD284" s="6" t="e">
        <f>#REF!</f>
        <v>#REF!</v>
      </c>
      <c r="AE284" s="6" t="e">
        <f>#REF!</f>
        <v>#REF!</v>
      </c>
      <c r="AF284" s="6" t="e">
        <f>#REF!</f>
        <v>#REF!</v>
      </c>
      <c r="AG284" s="6" t="e">
        <f>#REF!</f>
        <v>#REF!</v>
      </c>
      <c r="AH284" s="6" t="e">
        <f>#REF!</f>
        <v>#REF!</v>
      </c>
      <c r="AI284" s="6" t="e">
        <f>#REF!</f>
        <v>#REF!</v>
      </c>
      <c r="AJ284" s="6" t="e">
        <f>#REF!</f>
        <v>#REF!</v>
      </c>
      <c r="AK284" s="6" t="e">
        <f>#REF!</f>
        <v>#REF!</v>
      </c>
      <c r="AL284" s="6" t="e">
        <f>#REF!</f>
        <v>#REF!</v>
      </c>
    </row>
    <row r="285" spans="1:38" x14ac:dyDescent="0.25">
      <c r="A285" s="64" t="s">
        <v>2087</v>
      </c>
      <c r="B285" s="126" t="e">
        <f>VLOOKUP(A285,$A$2:$AL$285,MATCH('Character Sheet'!$BJ$3,$A$1:$AL$1,0),FALSE)</f>
        <v>#REF!</v>
      </c>
      <c r="C285" s="6" t="e">
        <f>#REF!</f>
        <v>#REF!</v>
      </c>
      <c r="D285" s="6" t="e">
        <f>#REF!</f>
        <v>#REF!</v>
      </c>
      <c r="E285" s="6" t="e">
        <f>#REF!</f>
        <v>#REF!</v>
      </c>
      <c r="F285" s="6" t="e">
        <f>#REF!</f>
        <v>#REF!</v>
      </c>
      <c r="G285" s="6" t="e">
        <f>#REF!</f>
        <v>#REF!</v>
      </c>
      <c r="H285" s="6" t="e">
        <f>#REF!</f>
        <v>#REF!</v>
      </c>
      <c r="I285" s="6" t="e">
        <f>#REF!</f>
        <v>#REF!</v>
      </c>
      <c r="J285" s="6" t="e">
        <f>#REF!</f>
        <v>#REF!</v>
      </c>
      <c r="K285" s="6" t="e">
        <f>#REF!</f>
        <v>#REF!</v>
      </c>
      <c r="L285" s="6" t="e">
        <f>#REF!</f>
        <v>#REF!</v>
      </c>
      <c r="M285" s="6" t="e">
        <f>#REF!</f>
        <v>#REF!</v>
      </c>
      <c r="N285" s="6" t="e">
        <f>#REF!</f>
        <v>#REF!</v>
      </c>
      <c r="O285" s="6" t="e">
        <f>#REF!</f>
        <v>#REF!</v>
      </c>
      <c r="P285" s="6" t="e">
        <f>#REF!</f>
        <v>#REF!</v>
      </c>
      <c r="Q285" s="6" t="e">
        <f>#REF!</f>
        <v>#REF!</v>
      </c>
      <c r="R285" s="6" t="e">
        <f>#REF!</f>
        <v>#REF!</v>
      </c>
      <c r="S285" s="6" t="e">
        <f>#REF!</f>
        <v>#REF!</v>
      </c>
      <c r="T285" s="6" t="e">
        <f>#REF!</f>
        <v>#REF!</v>
      </c>
      <c r="U285" s="6" t="e">
        <f>#REF!</f>
        <v>#REF!</v>
      </c>
      <c r="V285" s="6" t="e">
        <f>#REF!</f>
        <v>#REF!</v>
      </c>
      <c r="W285" s="6" t="e">
        <f>#REF!</f>
        <v>#REF!</v>
      </c>
      <c r="X285" s="6" t="e">
        <f>#REF!</f>
        <v>#REF!</v>
      </c>
      <c r="Y285" s="6" t="e">
        <f>#REF!</f>
        <v>#REF!</v>
      </c>
      <c r="Z285" s="6" t="e">
        <f>#REF!</f>
        <v>#REF!</v>
      </c>
      <c r="AA285" s="6" t="e">
        <f>#REF!</f>
        <v>#REF!</v>
      </c>
      <c r="AB285" s="6" t="e">
        <f>#REF!</f>
        <v>#REF!</v>
      </c>
      <c r="AC285" s="6" t="e">
        <f>#REF!</f>
        <v>#REF!</v>
      </c>
      <c r="AD285" s="6" t="e">
        <f>#REF!</f>
        <v>#REF!</v>
      </c>
      <c r="AE285" s="6" t="e">
        <f>#REF!</f>
        <v>#REF!</v>
      </c>
      <c r="AF285" s="6" t="e">
        <f>#REF!</f>
        <v>#REF!</v>
      </c>
      <c r="AG285" s="6" t="e">
        <f>#REF!</f>
        <v>#REF!</v>
      </c>
      <c r="AH285" s="6" t="e">
        <f>#REF!</f>
        <v>#REF!</v>
      </c>
      <c r="AI285" s="6" t="e">
        <f>#REF!</f>
        <v>#REF!</v>
      </c>
      <c r="AJ285" s="6" t="e">
        <f>#REF!</f>
        <v>#REF!</v>
      </c>
      <c r="AK285" s="6" t="e">
        <f>#REF!</f>
        <v>#REF!</v>
      </c>
      <c r="AL285" s="6" t="e">
        <f>#REF!</f>
        <v>#REF!</v>
      </c>
    </row>
  </sheetData>
  <sortState xmlns:xlrd2="http://schemas.microsoft.com/office/spreadsheetml/2017/richdata2" ref="A115:A118">
    <sortCondition ref="A115"/>
  </sortState>
  <conditionalFormatting sqref="A139">
    <cfRule type="expression" dxfId="16" priority="4" stopIfTrue="1">
      <formula>NOT(ISERROR(SEARCH("Category",A139)))</formula>
    </cfRule>
  </conditionalFormatting>
  <conditionalFormatting sqref="A126 A139">
    <cfRule type="expression" dxfId="15" priority="5" stopIfTrue="1">
      <formula>NOT(ISERROR(SEARCH("Skills",A126)))</formula>
    </cfRule>
  </conditionalFormatting>
  <conditionalFormatting sqref="A127:A138 A124:A125">
    <cfRule type="expression" dxfId="14" priority="7" stopIfTrue="1">
      <formula>NOT(ISERROR(SEARCH("Category",A124)))</formula>
    </cfRule>
  </conditionalFormatting>
  <conditionalFormatting sqref="A127:A138 A124:A125">
    <cfRule type="expression" dxfId="13" priority="6" stopIfTrue="1">
      <formula>NOT(ISERROR(SEARCH("Skills",A124)))</formula>
    </cfRule>
  </conditionalFormatting>
  <conditionalFormatting sqref="A126">
    <cfRule type="expression" dxfId="12" priority="8" stopIfTrue="1">
      <formula>NOT(ISERROR(SEARCH("Category",A126)))</formula>
    </cfRule>
  </conditionalFormatting>
  <conditionalFormatting sqref="A193:A238">
    <cfRule type="expression" dxfId="11" priority="1" stopIfTrue="1">
      <formula>NOT(ISERROR(SEARCH("Category",A193)))</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9" stopIfTrue="1" id="{6E21F6C4-5735-43D4-BAA5-1D5A5DEFF490}">
            <xm:f>NOT(ISERROR(SEARCH("Category",Skills!E217)))</xm:f>
            <x14:dxf>
              <font>
                <b/>
                <family val="2"/>
              </font>
            </x14:dxf>
          </x14:cfRule>
          <xm:sqref>A261:A275</xm:sqref>
        </x14:conditionalFormatting>
        <x14:conditionalFormatting xmlns:xm="http://schemas.microsoft.com/office/excel/2006/main">
          <x14:cfRule type="expression" priority="10" stopIfTrue="1" id="{17DA27F8-0FBE-4E3C-8011-9B92C2AA7BB7}">
            <xm:f>NOT(ISERROR(SEARCH("Skills",Skills!E217)))</xm:f>
            <x14:dxf>
              <font>
                <b/>
                <family val="2"/>
              </font>
            </x14:dxf>
          </x14:cfRule>
          <xm:sqref>A261:A275</xm:sqref>
        </x14:conditionalFormatting>
        <x14:conditionalFormatting xmlns:xm="http://schemas.microsoft.com/office/excel/2006/main">
          <x14:cfRule type="expression" priority="32" stopIfTrue="1" id="{6E21F6C4-5735-43D4-BAA5-1D5A5DEFF490}">
            <xm:f>NOT(ISERROR(SEARCH("Category",Skills!E46)))</xm:f>
            <x14:dxf>
              <font>
                <b/>
                <family val="2"/>
              </font>
            </x14:dxf>
          </x14:cfRule>
          <xm:sqref>A47:A92</xm:sqref>
        </x14:conditionalFormatting>
        <x14:conditionalFormatting xmlns:xm="http://schemas.microsoft.com/office/excel/2006/main">
          <x14:cfRule type="expression" priority="33" stopIfTrue="1" id="{17DA27F8-0FBE-4E3C-8011-9B92C2AA7BB7}">
            <xm:f>NOT(ISERROR(SEARCH("Skills",Skills!E46)))</xm:f>
            <x14:dxf>
              <font>
                <b/>
                <family val="2"/>
              </font>
            </x14:dxf>
          </x14:cfRule>
          <xm:sqref>A47:A92</xm:sqref>
        </x14:conditionalFormatting>
        <x14:conditionalFormatting xmlns:xm="http://schemas.microsoft.com/office/excel/2006/main">
          <x14:cfRule type="expression" priority="35" stopIfTrue="1" id="{6E21F6C4-5735-43D4-BAA5-1D5A5DEFF490}">
            <xm:f>NOT(ISERROR(SEARCH("Category",Skills!E233)))</xm:f>
            <x14:dxf>
              <font>
                <b/>
                <family val="2"/>
              </font>
            </x14:dxf>
          </x14:cfRule>
          <xm:sqref>A276:A277</xm:sqref>
        </x14:conditionalFormatting>
        <x14:conditionalFormatting xmlns:xm="http://schemas.microsoft.com/office/excel/2006/main">
          <x14:cfRule type="expression" priority="37" stopIfTrue="1" id="{17DA27F8-0FBE-4E3C-8011-9B92C2AA7BB7}">
            <xm:f>NOT(ISERROR(SEARCH("Skills",Skills!E233)))</xm:f>
            <x14:dxf>
              <font>
                <b/>
                <family val="2"/>
              </font>
            </x14:dxf>
          </x14:cfRule>
          <xm:sqref>A276:A277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3519556B-FF14-4E1C-97DB-4792BE5BAE34}">
          <x14:formula1>
            <xm:f>Charts!$AQ$2:$AQ$14</xm:f>
          </x14:formula1>
          <xm:sqref>C2:AL285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88ED-9120-44F1-A943-78F19091C256}">
  <dimension ref="A1:DD638"/>
  <sheetViews>
    <sheetView topLeftCell="A10" workbookViewId="0">
      <selection activeCell="F20" sqref="F20:F1048576"/>
    </sheetView>
  </sheetViews>
  <sheetFormatPr defaultColWidth="0.85546875" defaultRowHeight="15" x14ac:dyDescent="0.25"/>
  <cols>
    <col min="1" max="1" width="0.85546875" customWidth="1"/>
    <col min="2" max="2" width="41.7109375" customWidth="1"/>
    <col min="3" max="3" width="0.85546875" customWidth="1"/>
    <col min="4" max="4" width="3.7109375" customWidth="1"/>
    <col min="5" max="5" width="8.7109375" customWidth="1"/>
    <col min="6" max="56" width="3.7109375" customWidth="1"/>
    <col min="58" max="158" width="2.7109375" customWidth="1"/>
  </cols>
  <sheetData>
    <row r="1" spans="2:108" ht="5.0999999999999996" customHeight="1" x14ac:dyDescent="0.25"/>
    <row r="2" spans="2:108" x14ac:dyDescent="0.25">
      <c r="B2" s="510" t="s">
        <v>24</v>
      </c>
      <c r="C2" s="511"/>
      <c r="D2" s="27" t="s">
        <v>36</v>
      </c>
      <c r="E2" s="28" t="s">
        <v>2002</v>
      </c>
      <c r="F2" s="28">
        <v>0</v>
      </c>
      <c r="G2" s="28">
        <v>1</v>
      </c>
      <c r="H2" s="28">
        <v>2</v>
      </c>
      <c r="I2" s="28">
        <v>3</v>
      </c>
      <c r="J2" s="28">
        <v>4</v>
      </c>
      <c r="K2" s="28">
        <v>5</v>
      </c>
      <c r="L2" s="28">
        <v>6</v>
      </c>
      <c r="M2" s="28">
        <v>7</v>
      </c>
      <c r="N2" s="28">
        <v>8</v>
      </c>
      <c r="O2" s="28">
        <v>9</v>
      </c>
      <c r="P2" s="28">
        <v>10</v>
      </c>
      <c r="Q2" s="28">
        <v>11</v>
      </c>
      <c r="R2" s="28">
        <v>12</v>
      </c>
      <c r="S2" s="28">
        <v>13</v>
      </c>
      <c r="T2" s="28">
        <v>14</v>
      </c>
      <c r="U2" s="28">
        <v>15</v>
      </c>
      <c r="V2" s="28">
        <v>16</v>
      </c>
      <c r="W2" s="28">
        <v>17</v>
      </c>
      <c r="X2" s="28">
        <v>18</v>
      </c>
      <c r="Y2" s="28">
        <v>19</v>
      </c>
      <c r="Z2" s="28">
        <v>20</v>
      </c>
      <c r="AA2" s="28">
        <v>21</v>
      </c>
      <c r="AB2" s="28">
        <v>22</v>
      </c>
      <c r="AC2" s="28">
        <v>23</v>
      </c>
      <c r="AD2" s="28">
        <v>24</v>
      </c>
      <c r="AE2" s="28">
        <v>25</v>
      </c>
      <c r="AF2" s="28">
        <v>26</v>
      </c>
      <c r="AG2" s="28">
        <v>27</v>
      </c>
      <c r="AH2" s="28">
        <v>28</v>
      </c>
      <c r="AI2" s="28">
        <v>29</v>
      </c>
      <c r="AJ2" s="28">
        <v>30</v>
      </c>
      <c r="AK2" s="28">
        <v>31</v>
      </c>
      <c r="AL2" s="28">
        <v>32</v>
      </c>
      <c r="AM2" s="28">
        <v>33</v>
      </c>
      <c r="AN2" s="28">
        <v>34</v>
      </c>
      <c r="AO2" s="28">
        <v>35</v>
      </c>
      <c r="AP2" s="28">
        <v>36</v>
      </c>
      <c r="AQ2" s="28">
        <v>37</v>
      </c>
      <c r="AR2" s="28">
        <v>38</v>
      </c>
      <c r="AS2" s="28">
        <v>39</v>
      </c>
      <c r="AT2" s="28">
        <v>40</v>
      </c>
      <c r="AU2" s="28">
        <v>41</v>
      </c>
      <c r="AV2" s="28">
        <v>42</v>
      </c>
      <c r="AW2" s="28">
        <v>43</v>
      </c>
      <c r="AX2" s="28">
        <v>44</v>
      </c>
      <c r="AY2" s="28">
        <v>45</v>
      </c>
      <c r="AZ2" s="28">
        <v>46</v>
      </c>
      <c r="BA2" s="28">
        <v>47</v>
      </c>
      <c r="BB2" s="28">
        <v>48</v>
      </c>
      <c r="BC2" s="28">
        <v>49</v>
      </c>
      <c r="BD2" s="29">
        <v>50</v>
      </c>
    </row>
    <row r="3" spans="2:108" x14ac:dyDescent="0.25">
      <c r="B3" s="508" t="s">
        <v>3899</v>
      </c>
      <c r="C3" s="509"/>
      <c r="D3" s="23">
        <f>'Character Sheet'!X13</f>
        <v>100</v>
      </c>
      <c r="E3" s="23">
        <f>MIN(D3,(SUM(F3:BD3)))</f>
        <v>65</v>
      </c>
      <c r="F3" s="23">
        <f>'Character Creation'!BS40</f>
        <v>65</v>
      </c>
      <c r="G3" s="23"/>
      <c r="H3" s="23"/>
      <c r="I3" s="22"/>
      <c r="J3" s="22"/>
      <c r="K3" s="22"/>
      <c r="L3" s="22"/>
      <c r="M3" s="22"/>
      <c r="N3" s="22"/>
      <c r="O3" s="22"/>
      <c r="P3" s="22"/>
      <c r="Q3" s="22"/>
      <c r="R3" s="22"/>
      <c r="S3" s="22"/>
      <c r="T3" s="26"/>
      <c r="U3" s="26"/>
      <c r="V3" s="26"/>
      <c r="W3" s="26"/>
      <c r="X3" s="26"/>
      <c r="Y3" s="26"/>
      <c r="Z3" s="26"/>
      <c r="AA3" s="26"/>
      <c r="AB3" s="26"/>
      <c r="AC3" s="26"/>
      <c r="AD3" s="26"/>
      <c r="AE3" s="26"/>
      <c r="AF3" s="26"/>
      <c r="AG3" s="26"/>
      <c r="AH3" s="26"/>
      <c r="AI3" s="26"/>
      <c r="AJ3" s="26"/>
      <c r="AK3" s="26"/>
      <c r="AL3" s="26"/>
      <c r="AM3" s="26"/>
      <c r="AN3" s="26"/>
      <c r="AO3" s="26"/>
      <c r="AP3" s="26"/>
      <c r="AQ3" s="26"/>
      <c r="AR3" s="26"/>
      <c r="AS3" s="22"/>
      <c r="AT3" s="22"/>
      <c r="AU3" s="22"/>
      <c r="AV3" s="22"/>
      <c r="AW3" s="22"/>
      <c r="AX3" s="22"/>
      <c r="AY3" s="22"/>
      <c r="AZ3" s="22"/>
      <c r="BA3" s="22"/>
      <c r="BB3" s="22"/>
      <c r="BC3" s="22"/>
      <c r="BD3" s="30"/>
    </row>
    <row r="4" spans="2:108" x14ac:dyDescent="0.25">
      <c r="B4" s="512" t="s">
        <v>3900</v>
      </c>
      <c r="C4" s="513"/>
      <c r="D4" s="24">
        <f>'Character Sheet'!X14</f>
        <v>100</v>
      </c>
      <c r="E4" s="24">
        <f t="shared" ref="E4:E12" si="0">MIN(D4,(SUM(F4:BD4)))</f>
        <v>41</v>
      </c>
      <c r="F4" s="24">
        <f>'Character Creation'!BS41</f>
        <v>41</v>
      </c>
      <c r="G4" s="24"/>
      <c r="H4" s="25"/>
      <c r="I4" s="31"/>
      <c r="J4" s="31"/>
      <c r="K4" s="31"/>
      <c r="L4" s="31"/>
      <c r="M4" s="31"/>
      <c r="N4" s="31"/>
      <c r="O4" s="31"/>
      <c r="P4" s="31"/>
      <c r="Q4" s="31"/>
      <c r="R4" s="31"/>
      <c r="S4" s="31"/>
      <c r="T4" s="32"/>
      <c r="U4" s="32"/>
      <c r="V4" s="32"/>
      <c r="W4" s="32"/>
      <c r="X4" s="32"/>
      <c r="Y4" s="32"/>
      <c r="Z4" s="32"/>
      <c r="AA4" s="32"/>
      <c r="AB4" s="32"/>
      <c r="AC4" s="32"/>
      <c r="AD4" s="32"/>
      <c r="AE4" s="32"/>
      <c r="AF4" s="32"/>
      <c r="AG4" s="32"/>
      <c r="AH4" s="32"/>
      <c r="AI4" s="32"/>
      <c r="AJ4" s="32"/>
      <c r="AK4" s="32"/>
      <c r="AL4" s="32"/>
      <c r="AM4" s="32"/>
      <c r="AN4" s="32"/>
      <c r="AO4" s="32"/>
      <c r="AP4" s="32"/>
      <c r="AQ4" s="32"/>
      <c r="AR4" s="32"/>
      <c r="AS4" s="31"/>
      <c r="AT4" s="31"/>
      <c r="AU4" s="31"/>
      <c r="AV4" s="31"/>
      <c r="AW4" s="31"/>
      <c r="AX4" s="31"/>
      <c r="AY4" s="31"/>
      <c r="AZ4" s="31"/>
      <c r="BA4" s="31"/>
      <c r="BB4" s="31"/>
      <c r="BC4" s="31"/>
      <c r="BD4" s="33"/>
    </row>
    <row r="5" spans="2:108" x14ac:dyDescent="0.25">
      <c r="B5" s="508" t="s">
        <v>3901</v>
      </c>
      <c r="C5" s="509"/>
      <c r="D5" s="23">
        <f>'Character Sheet'!X15</f>
        <v>100</v>
      </c>
      <c r="E5" s="23">
        <f t="shared" si="0"/>
        <v>78</v>
      </c>
      <c r="F5" s="23">
        <f>'Character Creation'!BS42</f>
        <v>78</v>
      </c>
      <c r="G5" s="23"/>
      <c r="H5" s="23"/>
      <c r="I5" s="22"/>
      <c r="J5" s="22"/>
      <c r="K5" s="22"/>
      <c r="L5" s="22"/>
      <c r="M5" s="22"/>
      <c r="N5" s="22"/>
      <c r="O5" s="22"/>
      <c r="P5" s="22"/>
      <c r="Q5" s="22"/>
      <c r="R5" s="22"/>
      <c r="S5" s="22"/>
      <c r="T5" s="22"/>
      <c r="U5" s="26"/>
      <c r="V5" s="26"/>
      <c r="W5" s="26"/>
      <c r="X5" s="26"/>
      <c r="Y5" s="26"/>
      <c r="Z5" s="26"/>
      <c r="AA5" s="26"/>
      <c r="AB5" s="26"/>
      <c r="AC5" s="26"/>
      <c r="AD5" s="26"/>
      <c r="AE5" s="26"/>
      <c r="AF5" s="26"/>
      <c r="AG5" s="26"/>
      <c r="AH5" s="26"/>
      <c r="AI5" s="26"/>
      <c r="AJ5" s="26"/>
      <c r="AK5" s="26"/>
      <c r="AL5" s="26"/>
      <c r="AM5" s="26"/>
      <c r="AN5" s="26"/>
      <c r="AO5" s="26"/>
      <c r="AP5" s="26"/>
      <c r="AQ5" s="26"/>
      <c r="AR5" s="26"/>
      <c r="AS5" s="22"/>
      <c r="AT5" s="22"/>
      <c r="AU5" s="22"/>
      <c r="AV5" s="22"/>
      <c r="AW5" s="22"/>
      <c r="AX5" s="22"/>
      <c r="AY5" s="22"/>
      <c r="AZ5" s="22"/>
      <c r="BA5" s="22"/>
      <c r="BB5" s="22"/>
      <c r="BC5" s="22"/>
      <c r="BD5" s="30"/>
    </row>
    <row r="6" spans="2:108" x14ac:dyDescent="0.25">
      <c r="B6" s="512" t="s">
        <v>3902</v>
      </c>
      <c r="C6" s="513"/>
      <c r="D6" s="24">
        <f>'Character Sheet'!X16</f>
        <v>100</v>
      </c>
      <c r="E6" s="24">
        <f t="shared" si="0"/>
        <v>65</v>
      </c>
      <c r="F6" s="24">
        <f>'Character Creation'!BS43</f>
        <v>65</v>
      </c>
      <c r="G6" s="24"/>
      <c r="H6" s="25"/>
      <c r="I6" s="31"/>
      <c r="J6" s="31"/>
      <c r="K6" s="31"/>
      <c r="L6" s="31"/>
      <c r="M6" s="31"/>
      <c r="N6" s="31"/>
      <c r="O6" s="31"/>
      <c r="P6" s="31"/>
      <c r="Q6" s="31"/>
      <c r="R6" s="31"/>
      <c r="S6" s="31"/>
      <c r="T6" s="31"/>
      <c r="U6" s="32"/>
      <c r="V6" s="32"/>
      <c r="W6" s="32"/>
      <c r="X6" s="32"/>
      <c r="Y6" s="32"/>
      <c r="Z6" s="32"/>
      <c r="AA6" s="32"/>
      <c r="AB6" s="32"/>
      <c r="AC6" s="32"/>
      <c r="AD6" s="32"/>
      <c r="AE6" s="32"/>
      <c r="AF6" s="32"/>
      <c r="AG6" s="32"/>
      <c r="AH6" s="32"/>
      <c r="AI6" s="32"/>
      <c r="AJ6" s="32"/>
      <c r="AK6" s="32"/>
      <c r="AL6" s="32"/>
      <c r="AM6" s="32"/>
      <c r="AN6" s="32"/>
      <c r="AO6" s="32"/>
      <c r="AP6" s="32"/>
      <c r="AQ6" s="32"/>
      <c r="AR6" s="32"/>
      <c r="AS6" s="31"/>
      <c r="AT6" s="31"/>
      <c r="AU6" s="31"/>
      <c r="AV6" s="31"/>
      <c r="AW6" s="31"/>
      <c r="AX6" s="31"/>
      <c r="AY6" s="31"/>
      <c r="AZ6" s="31"/>
      <c r="BA6" s="31"/>
      <c r="BB6" s="31"/>
      <c r="BC6" s="31"/>
      <c r="BD6" s="33"/>
    </row>
    <row r="7" spans="2:108" x14ac:dyDescent="0.25">
      <c r="B7" s="508" t="s">
        <v>3903</v>
      </c>
      <c r="C7" s="509"/>
      <c r="D7" s="23">
        <f>'Character Sheet'!X17</f>
        <v>100</v>
      </c>
      <c r="E7" s="23">
        <f t="shared" si="0"/>
        <v>53</v>
      </c>
      <c r="F7" s="23">
        <f>'Character Creation'!BS44</f>
        <v>53</v>
      </c>
      <c r="G7" s="23"/>
      <c r="H7" s="23"/>
      <c r="I7" s="22"/>
      <c r="J7" s="22"/>
      <c r="K7" s="22"/>
      <c r="L7" s="22"/>
      <c r="M7" s="22"/>
      <c r="N7" s="22"/>
      <c r="O7" s="22"/>
      <c r="P7" s="22"/>
      <c r="Q7" s="22"/>
      <c r="R7" s="22"/>
      <c r="S7" s="22"/>
      <c r="T7" s="22"/>
      <c r="U7" s="26"/>
      <c r="V7" s="26"/>
      <c r="W7" s="26"/>
      <c r="X7" s="26"/>
      <c r="Y7" s="26"/>
      <c r="Z7" s="26"/>
      <c r="AA7" s="26"/>
      <c r="AB7" s="26"/>
      <c r="AC7" s="26"/>
      <c r="AD7" s="26"/>
      <c r="AE7" s="26"/>
      <c r="AF7" s="26"/>
      <c r="AG7" s="26"/>
      <c r="AH7" s="26"/>
      <c r="AI7" s="26"/>
      <c r="AJ7" s="26"/>
      <c r="AK7" s="26"/>
      <c r="AL7" s="26"/>
      <c r="AM7" s="26"/>
      <c r="AN7" s="26"/>
      <c r="AO7" s="26"/>
      <c r="AP7" s="26"/>
      <c r="AQ7" s="26"/>
      <c r="AR7" s="26"/>
      <c r="AS7" s="22"/>
      <c r="AT7" s="22"/>
      <c r="AU7" s="22"/>
      <c r="AV7" s="22"/>
      <c r="AW7" s="22"/>
      <c r="AX7" s="22"/>
      <c r="AY7" s="22"/>
      <c r="AZ7" s="22"/>
      <c r="BA7" s="22"/>
      <c r="BB7" s="22"/>
      <c r="BC7" s="22"/>
      <c r="BD7" s="30"/>
    </row>
    <row r="8" spans="2:108" x14ac:dyDescent="0.25">
      <c r="B8" s="512" t="s">
        <v>3904</v>
      </c>
      <c r="C8" s="513"/>
      <c r="D8" s="24">
        <f>'Character Sheet'!X18</f>
        <v>100</v>
      </c>
      <c r="E8" s="24">
        <f t="shared" si="0"/>
        <v>35</v>
      </c>
      <c r="F8" s="24">
        <f>'Character Creation'!BS45</f>
        <v>35</v>
      </c>
      <c r="G8" s="24"/>
      <c r="H8" s="25"/>
      <c r="I8" s="31"/>
      <c r="J8" s="31"/>
      <c r="K8" s="31"/>
      <c r="L8" s="31"/>
      <c r="M8" s="31"/>
      <c r="N8" s="31"/>
      <c r="O8" s="31"/>
      <c r="P8" s="31"/>
      <c r="Q8" s="31"/>
      <c r="R8" s="31"/>
      <c r="S8" s="31"/>
      <c r="T8" s="31"/>
      <c r="U8" s="32"/>
      <c r="V8" s="32"/>
      <c r="W8" s="32"/>
      <c r="X8" s="32"/>
      <c r="Y8" s="32"/>
      <c r="Z8" s="32"/>
      <c r="AA8" s="32"/>
      <c r="AB8" s="32"/>
      <c r="AC8" s="32"/>
      <c r="AD8" s="32"/>
      <c r="AE8" s="32"/>
      <c r="AF8" s="32"/>
      <c r="AG8" s="32"/>
      <c r="AH8" s="32"/>
      <c r="AI8" s="32"/>
      <c r="AJ8" s="32"/>
      <c r="AK8" s="32"/>
      <c r="AL8" s="32"/>
      <c r="AM8" s="32"/>
      <c r="AN8" s="32"/>
      <c r="AO8" s="32"/>
      <c r="AP8" s="32"/>
      <c r="AQ8" s="32"/>
      <c r="AR8" s="32"/>
      <c r="AS8" s="31"/>
      <c r="AT8" s="31"/>
      <c r="AU8" s="31"/>
      <c r="AV8" s="31"/>
      <c r="AW8" s="31"/>
      <c r="AX8" s="31"/>
      <c r="AY8" s="31"/>
      <c r="AZ8" s="31"/>
      <c r="BA8" s="31"/>
      <c r="BB8" s="31"/>
      <c r="BC8" s="31"/>
      <c r="BD8" s="33"/>
    </row>
    <row r="9" spans="2:108" x14ac:dyDescent="0.25">
      <c r="B9" s="508" t="s">
        <v>3905</v>
      </c>
      <c r="C9" s="509"/>
      <c r="D9" s="23">
        <f>'Character Sheet'!X19</f>
        <v>100</v>
      </c>
      <c r="E9" s="23">
        <f t="shared" si="0"/>
        <v>47</v>
      </c>
      <c r="F9" s="23">
        <f>'Character Creation'!BS46</f>
        <v>47</v>
      </c>
      <c r="G9" s="23"/>
      <c r="H9" s="23"/>
      <c r="I9" s="22"/>
      <c r="J9" s="22"/>
      <c r="K9" s="22"/>
      <c r="L9" s="22"/>
      <c r="M9" s="22"/>
      <c r="N9" s="22"/>
      <c r="O9" s="22"/>
      <c r="P9" s="22"/>
      <c r="Q9" s="22"/>
      <c r="R9" s="22"/>
      <c r="S9" s="22"/>
      <c r="T9" s="22"/>
      <c r="U9" s="26"/>
      <c r="V9" s="26"/>
      <c r="W9" s="26"/>
      <c r="X9" s="26"/>
      <c r="Y9" s="26"/>
      <c r="Z9" s="26"/>
      <c r="AA9" s="26"/>
      <c r="AB9" s="26"/>
      <c r="AC9" s="26"/>
      <c r="AD9" s="26"/>
      <c r="AE9" s="26"/>
      <c r="AF9" s="26"/>
      <c r="AG9" s="26"/>
      <c r="AH9" s="26"/>
      <c r="AI9" s="26"/>
      <c r="AJ9" s="26"/>
      <c r="AK9" s="26"/>
      <c r="AL9" s="26"/>
      <c r="AM9" s="26"/>
      <c r="AN9" s="26"/>
      <c r="AO9" s="26"/>
      <c r="AP9" s="26"/>
      <c r="AQ9" s="26"/>
      <c r="AR9" s="26"/>
      <c r="AS9" s="22"/>
      <c r="AT9" s="22"/>
      <c r="AU9" s="22"/>
      <c r="AV9" s="22"/>
      <c r="AW9" s="22"/>
      <c r="AX9" s="22"/>
      <c r="AY9" s="22"/>
      <c r="AZ9" s="22"/>
      <c r="BA9" s="22"/>
      <c r="BB9" s="22"/>
      <c r="BC9" s="22"/>
      <c r="BD9" s="30"/>
    </row>
    <row r="10" spans="2:108" x14ac:dyDescent="0.25">
      <c r="B10" s="512" t="s">
        <v>3906</v>
      </c>
      <c r="C10" s="513"/>
      <c r="D10" s="24">
        <f>'Character Sheet'!X20</f>
        <v>100</v>
      </c>
      <c r="E10" s="24">
        <f t="shared" si="0"/>
        <v>59</v>
      </c>
      <c r="F10" s="24">
        <f>'Character Creation'!BS47</f>
        <v>59</v>
      </c>
      <c r="G10" s="24"/>
      <c r="H10" s="25"/>
      <c r="I10" s="31"/>
      <c r="J10" s="31"/>
      <c r="K10" s="31"/>
      <c r="L10" s="31"/>
      <c r="M10" s="31"/>
      <c r="N10" s="31"/>
      <c r="O10" s="31"/>
      <c r="P10" s="31"/>
      <c r="Q10" s="31"/>
      <c r="R10" s="31"/>
      <c r="S10" s="31"/>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1"/>
      <c r="AT10" s="31"/>
      <c r="AU10" s="31"/>
      <c r="AV10" s="31"/>
      <c r="AW10" s="31"/>
      <c r="AX10" s="31"/>
      <c r="AY10" s="31"/>
      <c r="AZ10" s="31"/>
      <c r="BA10" s="31"/>
      <c r="BB10" s="31"/>
      <c r="BC10" s="31"/>
      <c r="BD10" s="33"/>
    </row>
    <row r="11" spans="2:108" x14ac:dyDescent="0.25">
      <c r="B11" s="508" t="s">
        <v>3907</v>
      </c>
      <c r="C11" s="509"/>
      <c r="D11" s="23">
        <f>'Character Sheet'!X21</f>
        <v>100</v>
      </c>
      <c r="E11" s="23">
        <f t="shared" si="0"/>
        <v>35</v>
      </c>
      <c r="F11" s="23">
        <f>'Character Creation'!BS48</f>
        <v>35</v>
      </c>
      <c r="G11" s="23"/>
      <c r="H11" s="23"/>
      <c r="I11" s="22"/>
      <c r="J11" s="22"/>
      <c r="K11" s="22"/>
      <c r="L11" s="22"/>
      <c r="M11" s="22"/>
      <c r="N11" s="22"/>
      <c r="O11" s="22"/>
      <c r="P11" s="22"/>
      <c r="Q11" s="22"/>
      <c r="R11" s="22"/>
      <c r="S11" s="22"/>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2"/>
      <c r="AT11" s="22"/>
      <c r="AU11" s="22"/>
      <c r="AV11" s="22"/>
      <c r="AW11" s="22"/>
      <c r="AX11" s="22"/>
      <c r="AY11" s="22"/>
      <c r="AZ11" s="22"/>
      <c r="BA11" s="22"/>
      <c r="BB11" s="22"/>
      <c r="BC11" s="22"/>
      <c r="BD11" s="30"/>
    </row>
    <row r="12" spans="2:108" x14ac:dyDescent="0.25">
      <c r="B12" s="520" t="s">
        <v>3908</v>
      </c>
      <c r="C12" s="521"/>
      <c r="D12" s="34">
        <f>'Character Sheet'!X22</f>
        <v>100</v>
      </c>
      <c r="E12" s="34">
        <f t="shared" si="0"/>
        <v>68</v>
      </c>
      <c r="F12" s="34">
        <f>'Character Creation'!BS49</f>
        <v>68</v>
      </c>
      <c r="G12" s="34"/>
      <c r="H12" s="35"/>
      <c r="I12" s="36"/>
      <c r="J12" s="36"/>
      <c r="K12" s="36"/>
      <c r="L12" s="36"/>
      <c r="M12" s="36"/>
      <c r="N12" s="36"/>
      <c r="O12" s="36"/>
      <c r="P12" s="36"/>
      <c r="Q12" s="36"/>
      <c r="R12" s="36"/>
      <c r="S12" s="36"/>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6"/>
      <c r="AT12" s="36"/>
      <c r="AU12" s="36"/>
      <c r="AV12" s="36"/>
      <c r="AW12" s="36"/>
      <c r="AX12" s="36"/>
      <c r="AY12" s="36"/>
      <c r="AZ12" s="36"/>
      <c r="BA12" s="36"/>
      <c r="BB12" s="36"/>
      <c r="BC12" s="36"/>
      <c r="BD12" s="38"/>
    </row>
    <row r="14" spans="2:108" x14ac:dyDescent="0.25">
      <c r="B14" s="522" t="s">
        <v>2003</v>
      </c>
      <c r="C14" s="523"/>
      <c r="D14" s="523"/>
      <c r="E14" s="52"/>
      <c r="F14" s="53">
        <v>0</v>
      </c>
      <c r="G14" s="53">
        <v>1</v>
      </c>
      <c r="H14" s="53">
        <v>2</v>
      </c>
      <c r="I14" s="53">
        <v>3</v>
      </c>
      <c r="J14" s="53">
        <v>4</v>
      </c>
      <c r="K14" s="53">
        <v>5</v>
      </c>
      <c r="L14" s="53">
        <v>6</v>
      </c>
      <c r="M14" s="53">
        <v>7</v>
      </c>
      <c r="N14" s="53">
        <v>8</v>
      </c>
      <c r="O14" s="53">
        <v>9</v>
      </c>
      <c r="P14" s="53">
        <v>10</v>
      </c>
      <c r="Q14" s="53">
        <v>11</v>
      </c>
      <c r="R14" s="53">
        <v>12</v>
      </c>
      <c r="S14" s="53">
        <v>13</v>
      </c>
      <c r="T14" s="53">
        <v>14</v>
      </c>
      <c r="U14" s="53">
        <v>15</v>
      </c>
      <c r="V14" s="53">
        <v>16</v>
      </c>
      <c r="W14" s="53">
        <v>17</v>
      </c>
      <c r="X14" s="53">
        <v>18</v>
      </c>
      <c r="Y14" s="53">
        <v>19</v>
      </c>
      <c r="Z14" s="53">
        <v>20</v>
      </c>
      <c r="AA14" s="53">
        <v>21</v>
      </c>
      <c r="AB14" s="53">
        <v>22</v>
      </c>
      <c r="AC14" s="53">
        <v>23</v>
      </c>
      <c r="AD14" s="53">
        <v>24</v>
      </c>
      <c r="AE14" s="53">
        <v>25</v>
      </c>
      <c r="AF14" s="53">
        <v>26</v>
      </c>
      <c r="AG14" s="53">
        <v>27</v>
      </c>
      <c r="AH14" s="53">
        <v>28</v>
      </c>
      <c r="AI14" s="53">
        <v>29</v>
      </c>
      <c r="AJ14" s="53">
        <v>30</v>
      </c>
      <c r="AK14" s="53">
        <v>31</v>
      </c>
      <c r="AL14" s="53">
        <v>32</v>
      </c>
      <c r="AM14" s="53">
        <v>33</v>
      </c>
      <c r="AN14" s="53">
        <v>34</v>
      </c>
      <c r="AO14" s="53">
        <v>35</v>
      </c>
      <c r="AP14" s="53">
        <v>36</v>
      </c>
      <c r="AQ14" s="53">
        <v>37</v>
      </c>
      <c r="AR14" s="53">
        <v>38</v>
      </c>
      <c r="AS14" s="53">
        <v>39</v>
      </c>
      <c r="AT14" s="53">
        <v>40</v>
      </c>
      <c r="AU14" s="53">
        <v>41</v>
      </c>
      <c r="AV14" s="53">
        <v>42</v>
      </c>
      <c r="AW14" s="53">
        <v>43</v>
      </c>
      <c r="AX14" s="53">
        <v>44</v>
      </c>
      <c r="AY14" s="53">
        <v>45</v>
      </c>
      <c r="AZ14" s="53">
        <v>46</v>
      </c>
      <c r="BA14" s="53">
        <v>47</v>
      </c>
      <c r="BB14" s="53">
        <v>48</v>
      </c>
      <c r="BC14" s="53">
        <v>49</v>
      </c>
      <c r="BD14" s="54">
        <v>50</v>
      </c>
      <c r="BE14" s="42"/>
      <c r="BF14" s="43">
        <v>0</v>
      </c>
      <c r="BG14" s="4">
        <v>1</v>
      </c>
      <c r="BH14" s="4">
        <v>2</v>
      </c>
      <c r="BI14" s="4">
        <v>3</v>
      </c>
      <c r="BJ14" s="4">
        <v>4</v>
      </c>
      <c r="BK14" s="4">
        <v>5</v>
      </c>
      <c r="BL14" s="4">
        <v>6</v>
      </c>
      <c r="BM14" s="4">
        <v>7</v>
      </c>
      <c r="BN14" s="4">
        <v>8</v>
      </c>
      <c r="BO14" s="4">
        <v>9</v>
      </c>
      <c r="BP14" s="4">
        <v>10</v>
      </c>
      <c r="BQ14" s="4">
        <v>11</v>
      </c>
      <c r="BR14" s="4">
        <v>12</v>
      </c>
      <c r="BS14" s="4">
        <v>13</v>
      </c>
      <c r="BT14" s="4">
        <v>14</v>
      </c>
      <c r="BU14" s="4">
        <v>15</v>
      </c>
      <c r="BV14" s="4">
        <v>16</v>
      </c>
      <c r="BW14" s="4">
        <v>17</v>
      </c>
      <c r="BX14" s="4">
        <v>18</v>
      </c>
      <c r="BY14" s="4">
        <v>19</v>
      </c>
      <c r="BZ14" s="4">
        <v>20</v>
      </c>
      <c r="CA14" s="4">
        <v>21</v>
      </c>
      <c r="CB14" s="4">
        <v>22</v>
      </c>
      <c r="CC14" s="4">
        <v>23</v>
      </c>
      <c r="CD14" s="4">
        <v>24</v>
      </c>
      <c r="CE14" s="4">
        <v>25</v>
      </c>
      <c r="CF14" s="4">
        <v>26</v>
      </c>
      <c r="CG14" s="4">
        <v>27</v>
      </c>
      <c r="CH14" s="4">
        <v>28</v>
      </c>
      <c r="CI14" s="4">
        <v>29</v>
      </c>
      <c r="CJ14" s="4">
        <v>30</v>
      </c>
      <c r="CK14" s="4">
        <v>31</v>
      </c>
      <c r="CL14" s="4">
        <v>32</v>
      </c>
      <c r="CM14" s="4">
        <v>33</v>
      </c>
      <c r="CN14" s="4">
        <v>34</v>
      </c>
      <c r="CO14" s="4">
        <v>35</v>
      </c>
      <c r="CP14" s="4">
        <v>36</v>
      </c>
      <c r="CQ14" s="4">
        <v>37</v>
      </c>
      <c r="CR14" s="4">
        <v>38</v>
      </c>
      <c r="CS14" s="4">
        <v>39</v>
      </c>
      <c r="CT14" s="4">
        <v>40</v>
      </c>
      <c r="CU14" s="4">
        <v>41</v>
      </c>
      <c r="CV14" s="4">
        <v>42</v>
      </c>
      <c r="CW14" s="4">
        <v>43</v>
      </c>
      <c r="CX14" s="4">
        <v>44</v>
      </c>
      <c r="CY14" s="4">
        <v>45</v>
      </c>
      <c r="CZ14" s="4">
        <v>46</v>
      </c>
      <c r="DA14" s="4">
        <v>47</v>
      </c>
      <c r="DB14" s="4">
        <v>48</v>
      </c>
      <c r="DC14" s="4">
        <v>49</v>
      </c>
      <c r="DD14" s="4">
        <v>50</v>
      </c>
    </row>
    <row r="15" spans="2:108" x14ac:dyDescent="0.25">
      <c r="B15" s="514" t="s">
        <v>2004</v>
      </c>
      <c r="C15" s="515"/>
      <c r="D15" s="515"/>
      <c r="E15" s="46">
        <f>VLOOKUP(B16,$B$16:$BD$16,MATCH('Character Sheet'!BJ5+1,$B$14:$BD$14,0),FALSE)</f>
        <v>0</v>
      </c>
      <c r="F15" s="46">
        <f>'Character Creation'!GQ49</f>
        <v>37</v>
      </c>
      <c r="G15" s="47">
        <f>IF(G14='Character Sheet'!$BJ$5+1,('Character Sheet'!$BT$5),IF(G14&lt;'Character Sheet'!$BJ$5+1,(60),""))</f>
        <v>0</v>
      </c>
      <c r="H15" s="47" t="str">
        <f>IF(H14='Character Sheet'!$BJ$5+1,('Character Sheet'!$BT$5),IF(H14&lt;'Character Sheet'!$BJ$5+1,(60),""))</f>
        <v/>
      </c>
      <c r="I15" s="47" t="str">
        <f>IF(I14='Character Sheet'!$BJ$5+1,('Character Sheet'!$BT$5),IF(I14&lt;'Character Sheet'!$BJ$5+1,(60),""))</f>
        <v/>
      </c>
      <c r="J15" s="47" t="str">
        <f>IF(J14='Character Sheet'!$BJ$5+1,('Character Sheet'!$BT$5),IF(J14&lt;'Character Sheet'!$BJ$5+1,(60),""))</f>
        <v/>
      </c>
      <c r="K15" s="47" t="str">
        <f>IF(K14='Character Sheet'!$BJ$5+1,('Character Sheet'!$BT$5),IF(K14&lt;'Character Sheet'!$BJ$5+1,(60),""))</f>
        <v/>
      </c>
      <c r="L15" s="47" t="str">
        <f>IF(L14='Character Sheet'!$BJ$5+1,('Character Sheet'!$BT$5),IF(L14&lt;'Character Sheet'!$BJ$5+1,(60),""))</f>
        <v/>
      </c>
      <c r="M15" s="47" t="str">
        <f>IF(M14='Character Sheet'!$BJ$5+1,('Character Sheet'!$BT$5),IF(M14&lt;'Character Sheet'!$BJ$5+1,(60),""))</f>
        <v/>
      </c>
      <c r="N15" s="47" t="str">
        <f>IF(N14='Character Sheet'!$BJ$5+1,('Character Sheet'!$BT$5),IF(N14&lt;'Character Sheet'!$BJ$5+1,(60),""))</f>
        <v/>
      </c>
      <c r="O15" s="47" t="str">
        <f>IF(O14='Character Sheet'!$BJ$5+1,('Character Sheet'!$BT$5),IF(O14&lt;'Character Sheet'!$BJ$5+1,(60),""))</f>
        <v/>
      </c>
      <c r="P15" s="47" t="str">
        <f>IF(P14='Character Sheet'!$BJ$5+1,('Character Sheet'!$BT$5),IF(P14&lt;'Character Sheet'!$BJ$5+1,(60),""))</f>
        <v/>
      </c>
      <c r="Q15" s="47" t="str">
        <f>IF(Q14='Character Sheet'!$BJ$5+1,('Character Sheet'!$BT$5),IF(Q14&lt;'Character Sheet'!$BJ$5+1,(60),""))</f>
        <v/>
      </c>
      <c r="R15" s="47" t="str">
        <f>IF(R14='Character Sheet'!$BJ$5+1,('Character Sheet'!$BT$5),IF(R14&lt;'Character Sheet'!$BJ$5+1,(60),""))</f>
        <v/>
      </c>
      <c r="S15" s="47" t="str">
        <f>IF(S14='Character Sheet'!$BJ$5+1,('Character Sheet'!$BT$5),IF(S14&lt;'Character Sheet'!$BJ$5+1,(60),""))</f>
        <v/>
      </c>
      <c r="T15" s="47" t="str">
        <f>IF(T14='Character Sheet'!$BJ$5+1,('Character Sheet'!$BT$5),IF(T14&lt;'Character Sheet'!$BJ$5+1,(60),""))</f>
        <v/>
      </c>
      <c r="U15" s="47" t="str">
        <f>IF(U14='Character Sheet'!$BJ$5+1,('Character Sheet'!$BT$5),IF(U14&lt;'Character Sheet'!$BJ$5+1,(60),""))</f>
        <v/>
      </c>
      <c r="V15" s="47" t="str">
        <f>IF(V14='Character Sheet'!$BJ$5+1,('Character Sheet'!$BT$5),IF(V14&lt;'Character Sheet'!$BJ$5+1,(60),""))</f>
        <v/>
      </c>
      <c r="W15" s="47" t="str">
        <f>IF(W14='Character Sheet'!$BJ$5+1,('Character Sheet'!$BT$5),IF(W14&lt;'Character Sheet'!$BJ$5+1,(60),""))</f>
        <v/>
      </c>
      <c r="X15" s="47" t="str">
        <f>IF(X14='Character Sheet'!$BJ$5+1,('Character Sheet'!$BT$5),IF(X14&lt;'Character Sheet'!$BJ$5+1,(60),""))</f>
        <v/>
      </c>
      <c r="Y15" s="47" t="str">
        <f>IF(Y14='Character Sheet'!$BJ$5+1,('Character Sheet'!$BT$5),IF(Y14&lt;'Character Sheet'!$BJ$5+1,(60),""))</f>
        <v/>
      </c>
      <c r="Z15" s="47" t="str">
        <f>IF(Z14='Character Sheet'!$BJ$5+1,('Character Sheet'!$BT$5),IF(Z14&lt;'Character Sheet'!$BJ$5+1,(60),""))</f>
        <v/>
      </c>
      <c r="AA15" s="47" t="str">
        <f>IF(AA14='Character Sheet'!$BJ$5+1,('Character Sheet'!$BT$5),IF(AA14&lt;'Character Sheet'!$BJ$5+1,(60),""))</f>
        <v/>
      </c>
      <c r="AB15" s="47" t="str">
        <f>IF(AB14='Character Sheet'!$BJ$5+1,('Character Sheet'!$BT$5),IF(AB14&lt;'Character Sheet'!$BJ$5+1,(60),""))</f>
        <v/>
      </c>
      <c r="AC15" s="47" t="str">
        <f>IF(AC14='Character Sheet'!$BJ$5+1,('Character Sheet'!$BT$5),IF(AC14&lt;'Character Sheet'!$BJ$5+1,(60),""))</f>
        <v/>
      </c>
      <c r="AD15" s="47" t="str">
        <f>IF(AD14='Character Sheet'!$BJ$5+1,('Character Sheet'!$BT$5),IF(AD14&lt;'Character Sheet'!$BJ$5+1,(60),""))</f>
        <v/>
      </c>
      <c r="AE15" s="47" t="str">
        <f>IF(AE14='Character Sheet'!$BJ$5+1,('Character Sheet'!$BT$5),IF(AE14&lt;'Character Sheet'!$BJ$5+1,(60),""))</f>
        <v/>
      </c>
      <c r="AF15" s="47" t="str">
        <f>IF(AF14='Character Sheet'!$BJ$5+1,('Character Sheet'!$BT$5),IF(AF14&lt;'Character Sheet'!$BJ$5+1,(60),""))</f>
        <v/>
      </c>
      <c r="AG15" s="47" t="str">
        <f>IF(AG14='Character Sheet'!$BJ$5+1,('Character Sheet'!$BT$5),IF(AG14&lt;'Character Sheet'!$BJ$5+1,(60),""))</f>
        <v/>
      </c>
      <c r="AH15" s="47" t="str">
        <f>IF(AH14='Character Sheet'!$BJ$5+1,('Character Sheet'!$BT$5),IF(AH14&lt;'Character Sheet'!$BJ$5+1,(60),""))</f>
        <v/>
      </c>
      <c r="AI15" s="47" t="str">
        <f>IF(AI14='Character Sheet'!$BJ$5+1,('Character Sheet'!$BT$5),IF(AI14&lt;'Character Sheet'!$BJ$5+1,(60),""))</f>
        <v/>
      </c>
      <c r="AJ15" s="47" t="str">
        <f>IF(AJ14='Character Sheet'!$BJ$5+1,('Character Sheet'!$BT$5),IF(AJ14&lt;'Character Sheet'!$BJ$5+1,(60),""))</f>
        <v/>
      </c>
      <c r="AK15" s="47" t="str">
        <f>IF(AK14='Character Sheet'!$BJ$5+1,('Character Sheet'!$BT$5),IF(AK14&lt;'Character Sheet'!$BJ$5+1,(60),""))</f>
        <v/>
      </c>
      <c r="AL15" s="47" t="str">
        <f>IF(AL14='Character Sheet'!$BJ$5+1,('Character Sheet'!$BT$5),IF(AL14&lt;'Character Sheet'!$BJ$5+1,(60),""))</f>
        <v/>
      </c>
      <c r="AM15" s="47" t="str">
        <f>IF(AM14='Character Sheet'!$BJ$5+1,('Character Sheet'!$BT$5),IF(AM14&lt;'Character Sheet'!$BJ$5+1,(60),""))</f>
        <v/>
      </c>
      <c r="AN15" s="47" t="str">
        <f>IF(AN14='Character Sheet'!$BJ$5+1,('Character Sheet'!$BT$5),IF(AN14&lt;'Character Sheet'!$BJ$5+1,(60),""))</f>
        <v/>
      </c>
      <c r="AO15" s="47" t="str">
        <f>IF(AO14='Character Sheet'!$BJ$5+1,('Character Sheet'!$BT$5),IF(AO14&lt;'Character Sheet'!$BJ$5+1,(60),""))</f>
        <v/>
      </c>
      <c r="AP15" s="47" t="str">
        <f>IF(AP14='Character Sheet'!$BJ$5+1,('Character Sheet'!$BT$5),IF(AP14&lt;'Character Sheet'!$BJ$5+1,(60),""))</f>
        <v/>
      </c>
      <c r="AQ15" s="47" t="str">
        <f>IF(AQ14='Character Sheet'!$BJ$5+1,('Character Sheet'!$BT$5),IF(AQ14&lt;'Character Sheet'!$BJ$5+1,(60),""))</f>
        <v/>
      </c>
      <c r="AR15" s="47" t="str">
        <f>IF(AR14='Character Sheet'!$BJ$5+1,('Character Sheet'!$BT$5),IF(AR14&lt;'Character Sheet'!$BJ$5+1,(60),""))</f>
        <v/>
      </c>
      <c r="AS15" s="47" t="str">
        <f>IF(AS14='Character Sheet'!$BJ$5+1,('Character Sheet'!$BT$5),IF(AS14&lt;'Character Sheet'!$BJ$5+1,(60),""))</f>
        <v/>
      </c>
      <c r="AT15" s="47" t="str">
        <f>IF(AT14='Character Sheet'!$BJ$5+1,('Character Sheet'!$BT$5),IF(AT14&lt;'Character Sheet'!$BJ$5+1,(60),""))</f>
        <v/>
      </c>
      <c r="AU15" s="47" t="str">
        <f>IF(AU14='Character Sheet'!$BJ$5+1,('Character Sheet'!$BT$5),IF(AU14&lt;'Character Sheet'!$BJ$5+1,(60),""))</f>
        <v/>
      </c>
      <c r="AV15" s="47" t="str">
        <f>IF(AV14='Character Sheet'!$BJ$5+1,('Character Sheet'!$BT$5),IF(AV14&lt;'Character Sheet'!$BJ$5+1,(60),""))</f>
        <v/>
      </c>
      <c r="AW15" s="47" t="str">
        <f>IF(AW14='Character Sheet'!$BJ$5+1,('Character Sheet'!$BT$5),IF(AW14&lt;'Character Sheet'!$BJ$5+1,(60),""))</f>
        <v/>
      </c>
      <c r="AX15" s="47" t="str">
        <f>IF(AX14='Character Sheet'!$BJ$5+1,('Character Sheet'!$BT$5),IF(AX14&lt;'Character Sheet'!$BJ$5+1,(60),""))</f>
        <v/>
      </c>
      <c r="AY15" s="47" t="str">
        <f>IF(AY14='Character Sheet'!$BJ$5+1,('Character Sheet'!$BT$5),IF(AY14&lt;'Character Sheet'!$BJ$5+1,(60),""))</f>
        <v/>
      </c>
      <c r="AZ15" s="47" t="str">
        <f>IF(AZ14='Character Sheet'!$BJ$5+1,('Character Sheet'!$BT$5),IF(AZ14&lt;'Character Sheet'!$BJ$5+1,(60),""))</f>
        <v/>
      </c>
      <c r="BA15" s="47" t="str">
        <f>IF(BA14='Character Sheet'!$BJ$5+1,('Character Sheet'!$BT$5),IF(BA14&lt;'Character Sheet'!$BJ$5+1,(60),""))</f>
        <v/>
      </c>
      <c r="BB15" s="47" t="str">
        <f>IF(BB14='Character Sheet'!$BJ$5+1,('Character Sheet'!$BT$5),IF(BB14&lt;'Character Sheet'!$BJ$5+1,(60),""))</f>
        <v/>
      </c>
      <c r="BC15" s="47" t="str">
        <f>IF(BC14='Character Sheet'!$BJ$5+1,('Character Sheet'!$BT$5),IF(BC14&lt;'Character Sheet'!$BJ$5+1,(60),""))</f>
        <v/>
      </c>
      <c r="BD15" s="48" t="str">
        <f>IF(BD14='Character Sheet'!$BJ$5+1,('Character Sheet'!$BT$5),IF(BD14&lt;'Character Sheet'!$BJ$5+1,(60),""))</f>
        <v/>
      </c>
    </row>
    <row r="16" spans="2:108" x14ac:dyDescent="0.25">
      <c r="B16" s="516" t="s">
        <v>2005</v>
      </c>
      <c r="C16" s="517"/>
      <c r="D16" s="517"/>
      <c r="E16" s="20">
        <f>VLOOKUP(B16,$B$15:$BD$17,MATCH('Character Sheet'!BJ5,$B$14:$BD$14,0),FALSE)</f>
        <v>0</v>
      </c>
      <c r="F16" s="16">
        <f t="shared" ref="F16:AL16" si="1">IF(F15="","",BF16+F18)</f>
        <v>0</v>
      </c>
      <c r="G16" s="16">
        <f t="shared" si="1"/>
        <v>0</v>
      </c>
      <c r="H16" s="16" t="str">
        <f t="shared" si="1"/>
        <v/>
      </c>
      <c r="I16" s="16" t="str">
        <f t="shared" si="1"/>
        <v/>
      </c>
      <c r="J16" s="16" t="str">
        <f t="shared" si="1"/>
        <v/>
      </c>
      <c r="K16" s="16" t="str">
        <f t="shared" si="1"/>
        <v/>
      </c>
      <c r="L16" s="16" t="str">
        <f t="shared" si="1"/>
        <v/>
      </c>
      <c r="M16" s="16" t="str">
        <f t="shared" si="1"/>
        <v/>
      </c>
      <c r="N16" s="16" t="str">
        <f t="shared" si="1"/>
        <v/>
      </c>
      <c r="O16" s="16" t="str">
        <f t="shared" si="1"/>
        <v/>
      </c>
      <c r="P16" s="16" t="str">
        <f t="shared" si="1"/>
        <v/>
      </c>
      <c r="Q16" s="16" t="str">
        <f t="shared" si="1"/>
        <v/>
      </c>
      <c r="R16" s="16" t="str">
        <f t="shared" si="1"/>
        <v/>
      </c>
      <c r="S16" s="16" t="str">
        <f t="shared" si="1"/>
        <v/>
      </c>
      <c r="T16" s="16" t="str">
        <f t="shared" si="1"/>
        <v/>
      </c>
      <c r="U16" s="16" t="str">
        <f t="shared" si="1"/>
        <v/>
      </c>
      <c r="V16" s="16" t="str">
        <f t="shared" si="1"/>
        <v/>
      </c>
      <c r="W16" s="16" t="str">
        <f t="shared" si="1"/>
        <v/>
      </c>
      <c r="X16" s="16" t="str">
        <f t="shared" si="1"/>
        <v/>
      </c>
      <c r="Y16" s="16" t="str">
        <f t="shared" si="1"/>
        <v/>
      </c>
      <c r="Z16" s="16" t="str">
        <f t="shared" si="1"/>
        <v/>
      </c>
      <c r="AA16" s="16" t="str">
        <f t="shared" si="1"/>
        <v/>
      </c>
      <c r="AB16" s="16" t="str">
        <f t="shared" si="1"/>
        <v/>
      </c>
      <c r="AC16" s="16" t="str">
        <f t="shared" si="1"/>
        <v/>
      </c>
      <c r="AD16" s="16" t="str">
        <f t="shared" si="1"/>
        <v/>
      </c>
      <c r="AE16" s="16" t="str">
        <f t="shared" si="1"/>
        <v/>
      </c>
      <c r="AF16" s="16" t="str">
        <f t="shared" si="1"/>
        <v/>
      </c>
      <c r="AG16" s="16" t="str">
        <f t="shared" si="1"/>
        <v/>
      </c>
      <c r="AH16" s="16" t="str">
        <f t="shared" si="1"/>
        <v/>
      </c>
      <c r="AI16" s="16" t="str">
        <f t="shared" si="1"/>
        <v/>
      </c>
      <c r="AJ16" s="16" t="str">
        <f t="shared" si="1"/>
        <v/>
      </c>
      <c r="AK16" s="16" t="str">
        <f t="shared" si="1"/>
        <v/>
      </c>
      <c r="AL16" s="16" t="str">
        <f t="shared" si="1"/>
        <v/>
      </c>
      <c r="AM16" s="16" t="str">
        <f t="shared" ref="AM16:BD16" si="2">IF(AM15="","",CM16+AM18)</f>
        <v/>
      </c>
      <c r="AN16" s="16" t="str">
        <f t="shared" si="2"/>
        <v/>
      </c>
      <c r="AO16" s="16" t="str">
        <f t="shared" si="2"/>
        <v/>
      </c>
      <c r="AP16" s="16" t="str">
        <f t="shared" si="2"/>
        <v/>
      </c>
      <c r="AQ16" s="16" t="str">
        <f t="shared" si="2"/>
        <v/>
      </c>
      <c r="AR16" s="16" t="str">
        <f t="shared" si="2"/>
        <v/>
      </c>
      <c r="AS16" s="16" t="str">
        <f t="shared" si="2"/>
        <v/>
      </c>
      <c r="AT16" s="16" t="str">
        <f t="shared" si="2"/>
        <v/>
      </c>
      <c r="AU16" s="16" t="str">
        <f t="shared" si="2"/>
        <v/>
      </c>
      <c r="AV16" s="16" t="str">
        <f t="shared" si="2"/>
        <v/>
      </c>
      <c r="AW16" s="16" t="str">
        <f t="shared" si="2"/>
        <v/>
      </c>
      <c r="AX16" s="16" t="str">
        <f t="shared" si="2"/>
        <v/>
      </c>
      <c r="AY16" s="16" t="str">
        <f t="shared" si="2"/>
        <v/>
      </c>
      <c r="AZ16" s="16" t="str">
        <f t="shared" si="2"/>
        <v/>
      </c>
      <c r="BA16" s="16" t="str">
        <f t="shared" si="2"/>
        <v/>
      </c>
      <c r="BB16" s="16" t="str">
        <f t="shared" si="2"/>
        <v/>
      </c>
      <c r="BC16" s="16" t="str">
        <f t="shared" si="2"/>
        <v/>
      </c>
      <c r="BD16" s="49" t="str">
        <f t="shared" si="2"/>
        <v/>
      </c>
      <c r="BF16" s="4">
        <f t="shared" ref="BF16:CZ16" si="3">SUM(BF20:BF638)</f>
        <v>0</v>
      </c>
      <c r="BG16" s="4">
        <f t="shared" si="3"/>
        <v>0</v>
      </c>
      <c r="BH16" s="4">
        <f t="shared" si="3"/>
        <v>0</v>
      </c>
      <c r="BI16" s="4">
        <f t="shared" si="3"/>
        <v>0</v>
      </c>
      <c r="BJ16" s="4">
        <f t="shared" si="3"/>
        <v>0</v>
      </c>
      <c r="BK16" s="4">
        <f t="shared" si="3"/>
        <v>0</v>
      </c>
      <c r="BL16" s="4">
        <f t="shared" si="3"/>
        <v>0</v>
      </c>
      <c r="BM16" s="4">
        <f t="shared" si="3"/>
        <v>0</v>
      </c>
      <c r="BN16" s="4">
        <f t="shared" si="3"/>
        <v>0</v>
      </c>
      <c r="BO16" s="4">
        <f t="shared" si="3"/>
        <v>0</v>
      </c>
      <c r="BP16" s="4">
        <f t="shared" si="3"/>
        <v>0</v>
      </c>
      <c r="BQ16" s="4">
        <f t="shared" si="3"/>
        <v>0</v>
      </c>
      <c r="BR16" s="4">
        <f t="shared" si="3"/>
        <v>0</v>
      </c>
      <c r="BS16" s="4">
        <f t="shared" si="3"/>
        <v>0</v>
      </c>
      <c r="BT16" s="4">
        <f t="shared" si="3"/>
        <v>0</v>
      </c>
      <c r="BU16" s="4">
        <f t="shared" si="3"/>
        <v>0</v>
      </c>
      <c r="BV16" s="4">
        <f t="shared" si="3"/>
        <v>0</v>
      </c>
      <c r="BW16" s="4">
        <f t="shared" si="3"/>
        <v>0</v>
      </c>
      <c r="BX16" s="4">
        <f t="shared" si="3"/>
        <v>0</v>
      </c>
      <c r="BY16" s="4">
        <f t="shared" si="3"/>
        <v>0</v>
      </c>
      <c r="BZ16" s="4">
        <f t="shared" si="3"/>
        <v>0</v>
      </c>
      <c r="CA16" s="4">
        <f t="shared" si="3"/>
        <v>0</v>
      </c>
      <c r="CB16" s="4">
        <f t="shared" si="3"/>
        <v>0</v>
      </c>
      <c r="CC16" s="4">
        <f t="shared" si="3"/>
        <v>0</v>
      </c>
      <c r="CD16" s="4">
        <f t="shared" si="3"/>
        <v>0</v>
      </c>
      <c r="CE16" s="4">
        <f t="shared" si="3"/>
        <v>0</v>
      </c>
      <c r="CF16" s="4">
        <f t="shared" si="3"/>
        <v>0</v>
      </c>
      <c r="CG16" s="4">
        <f t="shared" si="3"/>
        <v>0</v>
      </c>
      <c r="CH16" s="4">
        <f t="shared" si="3"/>
        <v>0</v>
      </c>
      <c r="CI16" s="4">
        <f t="shared" si="3"/>
        <v>0</v>
      </c>
      <c r="CJ16" s="4">
        <f t="shared" si="3"/>
        <v>0</v>
      </c>
      <c r="CK16" s="4">
        <f t="shared" si="3"/>
        <v>0</v>
      </c>
      <c r="CL16" s="4">
        <f t="shared" si="3"/>
        <v>0</v>
      </c>
      <c r="CM16" s="4">
        <f t="shared" si="3"/>
        <v>0</v>
      </c>
      <c r="CN16" s="4">
        <f t="shared" si="3"/>
        <v>0</v>
      </c>
      <c r="CO16" s="4">
        <f t="shared" si="3"/>
        <v>0</v>
      </c>
      <c r="CP16" s="4">
        <f t="shared" si="3"/>
        <v>0</v>
      </c>
      <c r="CQ16" s="4">
        <f t="shared" si="3"/>
        <v>0</v>
      </c>
      <c r="CR16" s="4">
        <f t="shared" si="3"/>
        <v>0</v>
      </c>
      <c r="CS16" s="4">
        <f t="shared" si="3"/>
        <v>0</v>
      </c>
      <c r="CT16" s="4">
        <f t="shared" si="3"/>
        <v>0</v>
      </c>
      <c r="CU16" s="4">
        <f t="shared" si="3"/>
        <v>0</v>
      </c>
      <c r="CV16" s="4">
        <f t="shared" si="3"/>
        <v>0</v>
      </c>
      <c r="CW16" s="4">
        <f t="shared" si="3"/>
        <v>0</v>
      </c>
      <c r="CX16" s="4">
        <f t="shared" si="3"/>
        <v>0</v>
      </c>
      <c r="CY16" s="4">
        <f t="shared" si="3"/>
        <v>0</v>
      </c>
      <c r="CZ16" s="4">
        <f t="shared" si="3"/>
        <v>0</v>
      </c>
      <c r="DA16" s="4">
        <f>SUM(DA20:DA638)</f>
        <v>0</v>
      </c>
      <c r="DB16" s="4">
        <f>SUM(DB20:DB638)</f>
        <v>0</v>
      </c>
      <c r="DC16" s="4">
        <f>SUM(DC20:DC638)</f>
        <v>0</v>
      </c>
      <c r="DD16" s="4">
        <f>SUM(DD20:DD638)</f>
        <v>0</v>
      </c>
    </row>
    <row r="17" spans="1:108" x14ac:dyDescent="0.25">
      <c r="B17" s="518" t="s">
        <v>2006</v>
      </c>
      <c r="C17" s="519"/>
      <c r="D17" s="519"/>
      <c r="E17" s="21"/>
      <c r="F17" s="17">
        <f>IFERROR(F15-F16,"")</f>
        <v>37</v>
      </c>
      <c r="G17" s="17">
        <f>IFERROR(G15-G16,"")</f>
        <v>0</v>
      </c>
      <c r="H17" s="17" t="str">
        <f t="shared" ref="H17:BD17" si="4">IFERROR(H15-H16+G17,"")</f>
        <v/>
      </c>
      <c r="I17" s="17" t="str">
        <f t="shared" si="4"/>
        <v/>
      </c>
      <c r="J17" s="17" t="str">
        <f t="shared" si="4"/>
        <v/>
      </c>
      <c r="K17" s="17" t="str">
        <f t="shared" si="4"/>
        <v/>
      </c>
      <c r="L17" s="17" t="str">
        <f t="shared" si="4"/>
        <v/>
      </c>
      <c r="M17" s="17" t="str">
        <f t="shared" si="4"/>
        <v/>
      </c>
      <c r="N17" s="17" t="str">
        <f t="shared" si="4"/>
        <v/>
      </c>
      <c r="O17" s="17" t="str">
        <f t="shared" si="4"/>
        <v/>
      </c>
      <c r="P17" s="17" t="str">
        <f t="shared" si="4"/>
        <v/>
      </c>
      <c r="Q17" s="17" t="str">
        <f t="shared" si="4"/>
        <v/>
      </c>
      <c r="R17" s="17" t="str">
        <f t="shared" si="4"/>
        <v/>
      </c>
      <c r="S17" s="17" t="str">
        <f t="shared" si="4"/>
        <v/>
      </c>
      <c r="T17" s="17" t="str">
        <f t="shared" si="4"/>
        <v/>
      </c>
      <c r="U17" s="17" t="str">
        <f t="shared" si="4"/>
        <v/>
      </c>
      <c r="V17" s="17" t="str">
        <f t="shared" si="4"/>
        <v/>
      </c>
      <c r="W17" s="17" t="str">
        <f t="shared" si="4"/>
        <v/>
      </c>
      <c r="X17" s="108" t="str">
        <f t="shared" si="4"/>
        <v/>
      </c>
      <c r="Y17" s="17" t="str">
        <f t="shared" si="4"/>
        <v/>
      </c>
      <c r="Z17" s="17" t="str">
        <f t="shared" si="4"/>
        <v/>
      </c>
      <c r="AA17" s="17" t="str">
        <f t="shared" si="4"/>
        <v/>
      </c>
      <c r="AB17" s="17" t="str">
        <f t="shared" si="4"/>
        <v/>
      </c>
      <c r="AC17" s="17" t="str">
        <f t="shared" si="4"/>
        <v/>
      </c>
      <c r="AD17" s="17" t="str">
        <f t="shared" si="4"/>
        <v/>
      </c>
      <c r="AE17" s="17" t="str">
        <f t="shared" si="4"/>
        <v/>
      </c>
      <c r="AF17" s="17" t="str">
        <f t="shared" si="4"/>
        <v/>
      </c>
      <c r="AG17" s="17" t="str">
        <f t="shared" si="4"/>
        <v/>
      </c>
      <c r="AH17" s="17" t="str">
        <f t="shared" si="4"/>
        <v/>
      </c>
      <c r="AI17" s="17" t="str">
        <f t="shared" si="4"/>
        <v/>
      </c>
      <c r="AJ17" s="17" t="str">
        <f t="shared" si="4"/>
        <v/>
      </c>
      <c r="AK17" s="17" t="str">
        <f t="shared" si="4"/>
        <v/>
      </c>
      <c r="AL17" s="17" t="str">
        <f t="shared" si="4"/>
        <v/>
      </c>
      <c r="AM17" s="17" t="str">
        <f t="shared" si="4"/>
        <v/>
      </c>
      <c r="AN17" s="17" t="str">
        <f t="shared" si="4"/>
        <v/>
      </c>
      <c r="AO17" s="17" t="str">
        <f t="shared" si="4"/>
        <v/>
      </c>
      <c r="AP17" s="17" t="str">
        <f t="shared" si="4"/>
        <v/>
      </c>
      <c r="AQ17" s="17" t="str">
        <f t="shared" si="4"/>
        <v/>
      </c>
      <c r="AR17" s="17" t="str">
        <f t="shared" si="4"/>
        <v/>
      </c>
      <c r="AS17" s="17" t="str">
        <f t="shared" si="4"/>
        <v/>
      </c>
      <c r="AT17" s="17" t="str">
        <f t="shared" si="4"/>
        <v/>
      </c>
      <c r="AU17" s="17" t="str">
        <f t="shared" si="4"/>
        <v/>
      </c>
      <c r="AV17" s="17" t="str">
        <f t="shared" si="4"/>
        <v/>
      </c>
      <c r="AW17" s="17" t="str">
        <f t="shared" si="4"/>
        <v/>
      </c>
      <c r="AX17" s="17" t="str">
        <f t="shared" si="4"/>
        <v/>
      </c>
      <c r="AY17" s="17" t="str">
        <f t="shared" si="4"/>
        <v/>
      </c>
      <c r="AZ17" s="17" t="str">
        <f t="shared" si="4"/>
        <v/>
      </c>
      <c r="BA17" s="17" t="str">
        <f t="shared" si="4"/>
        <v/>
      </c>
      <c r="BB17" s="17" t="str">
        <f t="shared" si="4"/>
        <v/>
      </c>
      <c r="BC17" s="17" t="str">
        <f t="shared" si="4"/>
        <v/>
      </c>
      <c r="BD17" s="50" t="str">
        <f t="shared" si="4"/>
        <v/>
      </c>
    </row>
    <row r="18" spans="1:108" x14ac:dyDescent="0.25">
      <c r="B18" s="51"/>
      <c r="C18" s="31"/>
      <c r="D18" s="31"/>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49"/>
    </row>
    <row r="19" spans="1:108" x14ac:dyDescent="0.25">
      <c r="B19" s="44"/>
      <c r="C19" s="45"/>
      <c r="D19" s="114" t="s">
        <v>3898</v>
      </c>
      <c r="E19" s="58" t="s">
        <v>2007</v>
      </c>
      <c r="F19" s="28">
        <v>0</v>
      </c>
      <c r="G19" s="28">
        <v>1</v>
      </c>
      <c r="H19" s="28">
        <v>2</v>
      </c>
      <c r="I19" s="28">
        <v>3</v>
      </c>
      <c r="J19" s="28">
        <v>4</v>
      </c>
      <c r="K19" s="28">
        <v>5</v>
      </c>
      <c r="L19" s="28">
        <v>6</v>
      </c>
      <c r="M19" s="28">
        <v>7</v>
      </c>
      <c r="N19" s="28">
        <v>8</v>
      </c>
      <c r="O19" s="28">
        <v>9</v>
      </c>
      <c r="P19" s="28">
        <v>10</v>
      </c>
      <c r="Q19" s="28">
        <v>11</v>
      </c>
      <c r="R19" s="28">
        <v>12</v>
      </c>
      <c r="S19" s="28">
        <v>13</v>
      </c>
      <c r="T19" s="28">
        <v>14</v>
      </c>
      <c r="U19" s="28">
        <v>15</v>
      </c>
      <c r="V19" s="28">
        <v>16</v>
      </c>
      <c r="W19" s="28">
        <v>17</v>
      </c>
      <c r="X19" s="28">
        <v>18</v>
      </c>
      <c r="Y19" s="28">
        <v>19</v>
      </c>
      <c r="Z19" s="28">
        <v>20</v>
      </c>
      <c r="AA19" s="28">
        <v>21</v>
      </c>
      <c r="AB19" s="28">
        <v>22</v>
      </c>
      <c r="AC19" s="28">
        <v>23</v>
      </c>
      <c r="AD19" s="28">
        <v>24</v>
      </c>
      <c r="AE19" s="28">
        <v>25</v>
      </c>
      <c r="AF19" s="28">
        <v>26</v>
      </c>
      <c r="AG19" s="28">
        <v>27</v>
      </c>
      <c r="AH19" s="28">
        <v>28</v>
      </c>
      <c r="AI19" s="28">
        <v>29</v>
      </c>
      <c r="AJ19" s="28">
        <v>30</v>
      </c>
      <c r="AK19" s="28">
        <v>31</v>
      </c>
      <c r="AL19" s="28">
        <v>32</v>
      </c>
      <c r="AM19" s="28">
        <v>33</v>
      </c>
      <c r="AN19" s="28">
        <v>34</v>
      </c>
      <c r="AO19" s="28">
        <v>35</v>
      </c>
      <c r="AP19" s="28">
        <v>36</v>
      </c>
      <c r="AQ19" s="28">
        <v>37</v>
      </c>
      <c r="AR19" s="28">
        <v>38</v>
      </c>
      <c r="AS19" s="28">
        <v>39</v>
      </c>
      <c r="AT19" s="28">
        <v>40</v>
      </c>
      <c r="AU19" s="28">
        <v>41</v>
      </c>
      <c r="AV19" s="28">
        <v>42</v>
      </c>
      <c r="AW19" s="28">
        <v>43</v>
      </c>
      <c r="AX19" s="28">
        <v>44</v>
      </c>
      <c r="AY19" s="28">
        <v>45</v>
      </c>
      <c r="AZ19" s="28">
        <v>46</v>
      </c>
      <c r="BA19" s="28">
        <v>47</v>
      </c>
      <c r="BB19" s="28">
        <v>48</v>
      </c>
      <c r="BC19" s="28">
        <v>49</v>
      </c>
      <c r="BD19" s="29">
        <v>50</v>
      </c>
    </row>
    <row r="20" spans="1:108" x14ac:dyDescent="0.25">
      <c r="A20" s="41">
        <f>Skills!M2</f>
        <v>0</v>
      </c>
      <c r="B20" s="55" t="str">
        <f>Skills!N2</f>
        <v>Animal Category</v>
      </c>
      <c r="C20" s="22">
        <f>SUM(F20:BD20)</f>
        <v>0</v>
      </c>
      <c r="D20" s="109" t="str">
        <f>Skills!S2</f>
        <v>- -</v>
      </c>
      <c r="E20" s="109" t="s">
        <v>782</v>
      </c>
      <c r="F20" s="19"/>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56"/>
      <c r="BF20" s="4">
        <f t="shared" ref="BF20:BG83" si="5">IF(F20=1,(LEFT($E20,2))*1,IF(F20=2,((LEFT($E20,2))+(MID($E20,FIND("/",$E20)+2,2))),IF(F20=3,((LEFT($E20,2))+(MID($E20,FIND("/",$E20)+2,2))+(RIGHT($E20,2))),0)))</f>
        <v>0</v>
      </c>
      <c r="BG20" s="4">
        <f t="shared" si="5"/>
        <v>0</v>
      </c>
      <c r="BH20" s="4">
        <f t="shared" ref="BH20:BH83" si="6">IF(H20=1,(LEFT($E20,2))*1,IF(H20=2,((LEFT($E20,2))+(MID($E20,FIND("/",$E20)+2,2))),IF(H20=3,((LEFT($E20,2))+(MID($E20,FIND("/",$E20)+2,2))+(RIGHT($E20,2))),0)))</f>
        <v>0</v>
      </c>
      <c r="BI20" s="4">
        <f t="shared" ref="BI20:BI83" si="7">IF(I20=1,(LEFT($E20,2))*1,IF(I20=2,((LEFT($E20,2))+(MID($E20,FIND("/",$E20)+2,2))),IF(I20=3,((LEFT($E20,2))+(MID($E20,FIND("/",$E20)+2,2))+(RIGHT($E20,2))),0)))</f>
        <v>0</v>
      </c>
      <c r="BJ20" s="4">
        <f t="shared" ref="BJ20:BJ83" si="8">IF(J20=1,(LEFT($E20,2))*1,IF(J20=2,((LEFT($E20,2))+(MID($E20,FIND("/",$E20)+2,2))),IF(J20=3,((LEFT($E20,2))+(MID($E20,FIND("/",$E20)+2,2))+(RIGHT($E20,2))),0)))</f>
        <v>0</v>
      </c>
      <c r="BK20" s="4">
        <f t="shared" ref="BK20:BK83" si="9">IF(K20=1,(LEFT($E20,2))*1,IF(K20=2,((LEFT($E20,2))+(MID($E20,FIND("/",$E20)+2,2))),IF(K20=3,((LEFT($E20,2))+(MID($E20,FIND("/",$E20)+2,2))+(RIGHT($E20,2))),0)))</f>
        <v>0</v>
      </c>
      <c r="BL20" s="4">
        <f t="shared" ref="BL20:BL83" si="10">IF(L20=1,(LEFT($E20,2))*1,IF(L20=2,((LEFT($E20,2))+(MID($E20,FIND("/",$E20)+2,2))),IF(L20=3,((LEFT($E20,2))+(MID($E20,FIND("/",$E20)+2,2))+(RIGHT($E20,2))),0)))</f>
        <v>0</v>
      </c>
      <c r="BM20" s="4">
        <f t="shared" ref="BM20:BM83" si="11">IF(M20=1,(LEFT($E20,2))*1,IF(M20=2,((LEFT($E20,2))+(MID($E20,FIND("/",$E20)+2,2))),IF(M20=3,((LEFT($E20,2))+(MID($E20,FIND("/",$E20)+2,2))+(RIGHT($E20,2))),0)))</f>
        <v>0</v>
      </c>
      <c r="BN20" s="4">
        <f t="shared" ref="BN20:BN83" si="12">IF(N20=1,(LEFT($E20,2))*1,IF(N20=2,((LEFT($E20,2))+(MID($E20,FIND("/",$E20)+2,2))),IF(N20=3,((LEFT($E20,2))+(MID($E20,FIND("/",$E20)+2,2))+(RIGHT($E20,2))),0)))</f>
        <v>0</v>
      </c>
      <c r="BO20" s="4">
        <f t="shared" ref="BO20:BO83" si="13">IF(O20=1,(LEFT($E20,2))*1,IF(O20=2,((LEFT($E20,2))+(MID($E20,FIND("/",$E20)+2,2))),IF(O20=3,((LEFT($E20,2))+(MID($E20,FIND("/",$E20)+2,2))+(RIGHT($E20,2))),0)))</f>
        <v>0</v>
      </c>
      <c r="BP20" s="4">
        <f t="shared" ref="BP20:BP83" si="14">IF(P20=1,(LEFT($E20,2))*1,IF(P20=2,((LEFT($E20,2))+(MID($E20,FIND("/",$E20)+2,2))),IF(P20=3,((LEFT($E20,2))+(MID($E20,FIND("/",$E20)+2,2))+(RIGHT($E20,2))),0)))</f>
        <v>0</v>
      </c>
      <c r="BQ20" s="4">
        <f t="shared" ref="BQ20:BQ83" si="15">IF(Q20=1,(LEFT($E20,2))*1,IF(Q20=2,((LEFT($E20,2))+(MID($E20,FIND("/",$E20)+2,2))),IF(Q20=3,((LEFT($E20,2))+(MID($E20,FIND("/",$E20)+2,2))+(RIGHT($E20,2))),0)))</f>
        <v>0</v>
      </c>
      <c r="BR20" s="4">
        <f t="shared" ref="BR20:BR83" si="16">IF(R20=1,(LEFT($E20,2))*1,IF(R20=2,((LEFT($E20,2))+(MID($E20,FIND("/",$E20)+2,2))),IF(R20=3,((LEFT($E20,2))+(MID($E20,FIND("/",$E20)+2,2))+(RIGHT($E20,2))),0)))</f>
        <v>0</v>
      </c>
      <c r="BS20" s="4">
        <f t="shared" ref="BS20:BS83" si="17">IF(S20=1,(LEFT($E20,2))*1,IF(S20=2,((LEFT($E20,2))+(MID($E20,FIND("/",$E20)+2,2))),IF(S20=3,((LEFT($E20,2))+(MID($E20,FIND("/",$E20)+2,2))+(RIGHT($E20,2))),0)))</f>
        <v>0</v>
      </c>
      <c r="BT20" s="4">
        <f t="shared" ref="BT20:BT83" si="18">IF(T20=1,(LEFT($E20,2))*1,IF(T20=2,((LEFT($E20,2))+(MID($E20,FIND("/",$E20)+2,2))),IF(T20=3,((LEFT($E20,2))+(MID($E20,FIND("/",$E20)+2,2))+(RIGHT($E20,2))),0)))</f>
        <v>0</v>
      </c>
      <c r="BU20" s="4">
        <f t="shared" ref="BU20:BU83" si="19">IF(U20=1,(LEFT($E20,2))*1,IF(U20=2,((LEFT($E20,2))+(MID($E20,FIND("/",$E20)+2,2))),IF(U20=3,((LEFT($E20,2))+(MID($E20,FIND("/",$E20)+2,2))+(RIGHT($E20,2))),0)))</f>
        <v>0</v>
      </c>
      <c r="BV20" s="4">
        <f t="shared" ref="BV20:BV83" si="20">IF(V20=1,(LEFT($E20,2))*1,IF(V20=2,((LEFT($E20,2))+(MID($E20,FIND("/",$E20)+2,2))),IF(V20=3,((LEFT($E20,2))+(MID($E20,FIND("/",$E20)+2,2))+(RIGHT($E20,2))),0)))</f>
        <v>0</v>
      </c>
      <c r="BW20" s="4">
        <f t="shared" ref="BW20:BW83" si="21">IF(W20=1,(LEFT($E20,2))*1,IF(W20=2,((LEFT($E20,2))+(MID($E20,FIND("/",$E20)+2,2))),IF(W20=3,((LEFT($E20,2))+(MID($E20,FIND("/",$E20)+2,2))+(RIGHT($E20,2))),0)))</f>
        <v>0</v>
      </c>
      <c r="BX20" s="4">
        <f t="shared" ref="BX20:BX83" si="22">IF(X20=1,(LEFT($E20,2))*1,IF(X20=2,((LEFT($E20,2))+(MID($E20,FIND("/",$E20)+2,2))),IF(X20=3,((LEFT($E20,2))+(MID($E20,FIND("/",$E20)+2,2))+(RIGHT($E20,2))),0)))</f>
        <v>0</v>
      </c>
      <c r="BY20" s="4">
        <f t="shared" ref="BY20:BY83" si="23">IF(Y20=1,(LEFT($E20,2))*1,IF(Y20=2,((LEFT($E20,2))+(MID($E20,FIND("/",$E20)+2,2))),IF(Y20=3,((LEFT($E20,2))+(MID($E20,FIND("/",$E20)+2,2))+(RIGHT($E20,2))),0)))</f>
        <v>0</v>
      </c>
      <c r="BZ20" s="4">
        <f t="shared" ref="BZ20:BZ83" si="24">IF(Z20=1,(LEFT($E20,2))*1,IF(Z20=2,((LEFT($E20,2))+(MID($E20,FIND("/",$E20)+2,2))),IF(Z20=3,((LEFT($E20,2))+(MID($E20,FIND("/",$E20)+2,2))+(RIGHT($E20,2))),0)))</f>
        <v>0</v>
      </c>
      <c r="CA20" s="4">
        <f t="shared" ref="CA20:CA83" si="25">IF(AA20=1,(LEFT($E20,2))*1,IF(AA20=2,((LEFT($E20,2))+(MID($E20,FIND("/",$E20)+2,2))),IF(AA20=3,((LEFT($E20,2))+(MID($E20,FIND("/",$E20)+2,2))+(RIGHT($E20,2))),0)))</f>
        <v>0</v>
      </c>
      <c r="CB20" s="4">
        <f t="shared" ref="CB20:CB83" si="26">IF(AB20=1,(LEFT($E20,2))*1,IF(AB20=2,((LEFT($E20,2))+(MID($E20,FIND("/",$E20)+2,2))),IF(AB20=3,((LEFT($E20,2))+(MID($E20,FIND("/",$E20)+2,2))+(RIGHT($E20,2))),0)))</f>
        <v>0</v>
      </c>
      <c r="CC20" s="4">
        <f t="shared" ref="CC20:CC83" si="27">IF(AC20=1,(LEFT($E20,2))*1,IF(AC20=2,((LEFT($E20,2))+(MID($E20,FIND("/",$E20)+2,2))),IF(AC20=3,((LEFT($E20,2))+(MID($E20,FIND("/",$E20)+2,2))+(RIGHT($E20,2))),0)))</f>
        <v>0</v>
      </c>
      <c r="CD20" s="4">
        <f t="shared" ref="CD20:CD83" si="28">IF(AD20=1,(LEFT($E20,2))*1,IF(AD20=2,((LEFT($E20,2))+(MID($E20,FIND("/",$E20)+2,2))),IF(AD20=3,((LEFT($E20,2))+(MID($E20,FIND("/",$E20)+2,2))+(RIGHT($E20,2))),0)))</f>
        <v>0</v>
      </c>
      <c r="CE20" s="4">
        <f t="shared" ref="CE20:CE83" si="29">IF(AE20=1,(LEFT($E20,2))*1,IF(AE20=2,((LEFT($E20,2))+(MID($E20,FIND("/",$E20)+2,2))),IF(AE20=3,((LEFT($E20,2))+(MID($E20,FIND("/",$E20)+2,2))+(RIGHT($E20,2))),0)))</f>
        <v>0</v>
      </c>
      <c r="CF20" s="4">
        <f t="shared" ref="CF20:CF83" si="30">IF(AF20=1,(LEFT($E20,2))*1,IF(AF20=2,((LEFT($E20,2))+(MID($E20,FIND("/",$E20)+2,2))),IF(AF20=3,((LEFT($E20,2))+(MID($E20,FIND("/",$E20)+2,2))+(RIGHT($E20,2))),0)))</f>
        <v>0</v>
      </c>
      <c r="CG20" s="4">
        <f t="shared" ref="CG20:CG83" si="31">IF(AG20=1,(LEFT($E20,2))*1,IF(AG20=2,((LEFT($E20,2))+(MID($E20,FIND("/",$E20)+2,2))),IF(AG20=3,((LEFT($E20,2))+(MID($E20,FIND("/",$E20)+2,2))+(RIGHT($E20,2))),0)))</f>
        <v>0</v>
      </c>
      <c r="CH20" s="4">
        <f t="shared" ref="CH20:CH83" si="32">IF(AH20=1,(LEFT($E20,2))*1,IF(AH20=2,((LEFT($E20,2))+(MID($E20,FIND("/",$E20)+2,2))),IF(AH20=3,((LEFT($E20,2))+(MID($E20,FIND("/",$E20)+2,2))+(RIGHT($E20,2))),0)))</f>
        <v>0</v>
      </c>
      <c r="CI20" s="4">
        <f t="shared" ref="CI20:CI83" si="33">IF(AI20=1,(LEFT($E20,2))*1,IF(AI20=2,((LEFT($E20,2))+(MID($E20,FIND("/",$E20)+2,2))),IF(AI20=3,((LEFT($E20,2))+(MID($E20,FIND("/",$E20)+2,2))+(RIGHT($E20,2))),0)))</f>
        <v>0</v>
      </c>
      <c r="CJ20" s="4">
        <f t="shared" ref="CJ20:CJ83" si="34">IF(AJ20=1,(LEFT($E20,2))*1,IF(AJ20=2,((LEFT($E20,2))+(MID($E20,FIND("/",$E20)+2,2))),IF(AJ20=3,((LEFT($E20,2))+(MID($E20,FIND("/",$E20)+2,2))+(RIGHT($E20,2))),0)))</f>
        <v>0</v>
      </c>
      <c r="CK20" s="4">
        <f t="shared" ref="CK20:CK83" si="35">IF(AK20=1,(LEFT($E20,2))*1,IF(AK20=2,((LEFT($E20,2))+(MID($E20,FIND("/",$E20)+2,2))),IF(AK20=3,((LEFT($E20,2))+(MID($E20,FIND("/",$E20)+2,2))+(RIGHT($E20,2))),0)))</f>
        <v>0</v>
      </c>
      <c r="CL20" s="4">
        <f t="shared" ref="CL20:CL83" si="36">IF(AL20=1,(LEFT($E20,2))*1,IF(AL20=2,((LEFT($E20,2))+(MID($E20,FIND("/",$E20)+2,2))),IF(AL20=3,((LEFT($E20,2))+(MID($E20,FIND("/",$E20)+2,2))+(RIGHT($E20,2))),0)))</f>
        <v>0</v>
      </c>
      <c r="CM20" s="4">
        <f t="shared" ref="CM20:CM83" si="37">IF(AM20=1,(LEFT($E20,2))*1,IF(AM20=2,((LEFT($E20,2))+(MID($E20,FIND("/",$E20)+2,2))),IF(AM20=3,((LEFT($E20,2))+(MID($E20,FIND("/",$E20)+2,2))+(RIGHT($E20,2))),0)))</f>
        <v>0</v>
      </c>
      <c r="CN20" s="4">
        <f t="shared" ref="CN20:CN83" si="38">IF(AN20=1,(LEFT($E20,2))*1,IF(AN20=2,((LEFT($E20,2))+(MID($E20,FIND("/",$E20)+2,2))),IF(AN20=3,((LEFT($E20,2))+(MID($E20,FIND("/",$E20)+2,2))+(RIGHT($E20,2))),0)))</f>
        <v>0</v>
      </c>
      <c r="CO20" s="4">
        <f t="shared" ref="CO20:CO83" si="39">IF(AO20=1,(LEFT($E20,2))*1,IF(AO20=2,((LEFT($E20,2))+(MID($E20,FIND("/",$E20)+2,2))),IF(AO20=3,((LEFT($E20,2))+(MID($E20,FIND("/",$E20)+2,2))+(RIGHT($E20,2))),0)))</f>
        <v>0</v>
      </c>
      <c r="CP20" s="4">
        <f t="shared" ref="CP20:CP83" si="40">IF(AP20=1,(LEFT($E20,2))*1,IF(AP20=2,((LEFT($E20,2))+(MID($E20,FIND("/",$E20)+2,2))),IF(AP20=3,((LEFT($E20,2))+(MID($E20,FIND("/",$E20)+2,2))+(RIGHT($E20,2))),0)))</f>
        <v>0</v>
      </c>
      <c r="CQ20" s="4">
        <f t="shared" ref="CQ20:CQ83" si="41">IF(AQ20=1,(LEFT($E20,2))*1,IF(AQ20=2,((LEFT($E20,2))+(MID($E20,FIND("/",$E20)+2,2))),IF(AQ20=3,((LEFT($E20,2))+(MID($E20,FIND("/",$E20)+2,2))+(RIGHT($E20,2))),0)))</f>
        <v>0</v>
      </c>
      <c r="CR20" s="4">
        <f t="shared" ref="CR20:CR83" si="42">IF(AR20=1,(LEFT($E20,2))*1,IF(AR20=2,((LEFT($E20,2))+(MID($E20,FIND("/",$E20)+2,2))),IF(AR20=3,((LEFT($E20,2))+(MID($E20,FIND("/",$E20)+2,2))+(RIGHT($E20,2))),0)))</f>
        <v>0</v>
      </c>
      <c r="CS20" s="4">
        <f t="shared" ref="CS20:CS83" si="43">IF(AS20=1,(LEFT($E20,2))*1,IF(AS20=2,((LEFT($E20,2))+(MID($E20,FIND("/",$E20)+2,2))),IF(AS20=3,((LEFT($E20,2))+(MID($E20,FIND("/",$E20)+2,2))+(RIGHT($E20,2))),0)))</f>
        <v>0</v>
      </c>
      <c r="CT20" s="4">
        <f t="shared" ref="CT20:CT83" si="44">IF(AT20=1,(LEFT($E20,2))*1,IF(AT20=2,((LEFT($E20,2))+(MID($E20,FIND("/",$E20)+2,2))),IF(AT20=3,((LEFT($E20,2))+(MID($E20,FIND("/",$E20)+2,2))+(RIGHT($E20,2))),0)))</f>
        <v>0</v>
      </c>
      <c r="CU20" s="4">
        <f t="shared" ref="CU20:CU83" si="45">IF(AU20=1,(LEFT($E20,2))*1,IF(AU20=2,((LEFT($E20,2))+(MID($E20,FIND("/",$E20)+2,2))),IF(AU20=3,((LEFT($E20,2))+(MID($E20,FIND("/",$E20)+2,2))+(RIGHT($E20,2))),0)))</f>
        <v>0</v>
      </c>
      <c r="CV20" s="4">
        <f t="shared" ref="CV20:CV83" si="46">IF(AV20=1,(LEFT($E20,2))*1,IF(AV20=2,((LEFT($E20,2))+(MID($E20,FIND("/",$E20)+2,2))),IF(AV20=3,((LEFT($E20,2))+(MID($E20,FIND("/",$E20)+2,2))+(RIGHT($E20,2))),0)))</f>
        <v>0</v>
      </c>
      <c r="CW20" s="4">
        <f t="shared" ref="CW20:CW83" si="47">IF(AW20=1,(LEFT($E20,2))*1,IF(AW20=2,((LEFT($E20,2))+(MID($E20,FIND("/",$E20)+2,2))),IF(AW20=3,((LEFT($E20,2))+(MID($E20,FIND("/",$E20)+2,2))+(RIGHT($E20,2))),0)))</f>
        <v>0</v>
      </c>
      <c r="CX20" s="4">
        <f t="shared" ref="CX20:CX83" si="48">IF(AX20=1,(LEFT($E20,2))*1,IF(AX20=2,((LEFT($E20,2))+(MID($E20,FIND("/",$E20)+2,2))),IF(AX20=3,((LEFT($E20,2))+(MID($E20,FIND("/",$E20)+2,2))+(RIGHT($E20,2))),0)))</f>
        <v>0</v>
      </c>
      <c r="CY20" s="4">
        <f t="shared" ref="CY20:CY83" si="49">IF(AY20=1,(LEFT($E20,2))*1,IF(AY20=2,((LEFT($E20,2))+(MID($E20,FIND("/",$E20)+2,2))),IF(AY20=3,((LEFT($E20,2))+(MID($E20,FIND("/",$E20)+2,2))+(RIGHT($E20,2))),0)))</f>
        <v>0</v>
      </c>
      <c r="CZ20" s="4">
        <f t="shared" ref="CZ20:CZ83" si="50">IF(AZ20=1,(LEFT($E20,2))*1,IF(AZ20=2,((LEFT($E20,2))+(MID($E20,FIND("/",$E20)+2,2))),IF(AZ20=3,((LEFT($E20,2))+(MID($E20,FIND("/",$E20)+2,2))+(RIGHT($E20,2))),0)))</f>
        <v>0</v>
      </c>
      <c r="DA20" s="4">
        <f t="shared" ref="DA20:DA83" si="51">IF(BA20=1,(LEFT($E20,2))*1,IF(BA20=2,((LEFT($E20,2))+(MID($E20,FIND("/",$E20)+2,2))),IF(BA20=3,((LEFT($E20,2))+(MID($E20,FIND("/",$E20)+2,2))+(RIGHT($E20,2))),0)))</f>
        <v>0</v>
      </c>
      <c r="DB20" s="4">
        <f t="shared" ref="DB20:DB83" si="52">IF(BB20=1,(LEFT($E20,2))*1,IF(BB20=2,((LEFT($E20,2))+(MID($E20,FIND("/",$E20)+2,2))),IF(BB20=3,((LEFT($E20,2))+(MID($E20,FIND("/",$E20)+2,2))+(RIGHT($E20,2))),0)))</f>
        <v>0</v>
      </c>
      <c r="DC20" s="4">
        <f t="shared" ref="DC20:DC83" si="53">IF(BC20=1,(LEFT($E20,2))*1,IF(BC20=2,((LEFT($E20,2))+(MID($E20,FIND("/",$E20)+2,2))),IF(BC20=3,((LEFT($E20,2))+(MID($E20,FIND("/",$E20)+2,2))+(RIGHT($E20,2))),0)))</f>
        <v>0</v>
      </c>
      <c r="DD20" s="4">
        <f t="shared" ref="DD20:DD83" si="54">IF(BD20=1,(LEFT($E20,2))*1,IF(BD20=2,((LEFT($E20,2))+(MID($E20,FIND("/",$E20)+2,2))),IF(BD20=3,((LEFT($E20,2))+(MID($E20,FIND("/",$E20)+2,2))+(RIGHT($E20,2))),0)))</f>
        <v>0</v>
      </c>
    </row>
    <row r="21" spans="1:108" x14ac:dyDescent="0.25">
      <c r="A21" s="41">
        <f>Skills!M3</f>
        <v>0</v>
      </c>
      <c r="B21" s="57" t="str">
        <f>Skills!N3</f>
        <v>Animal Skills</v>
      </c>
      <c r="C21" s="24">
        <f>SUM(F21:BD21)</f>
        <v>0</v>
      </c>
      <c r="D21" s="110" t="str">
        <f>Skills!S3</f>
        <v>- -</v>
      </c>
      <c r="E21" s="111" t="s">
        <v>782</v>
      </c>
      <c r="F21" s="18"/>
      <c r="G21" s="18"/>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49"/>
      <c r="BF21" s="4">
        <f t="shared" si="5"/>
        <v>0</v>
      </c>
      <c r="BG21" s="4">
        <f t="shared" si="5"/>
        <v>0</v>
      </c>
      <c r="BH21" s="4">
        <f t="shared" si="6"/>
        <v>0</v>
      </c>
      <c r="BI21" s="4">
        <f t="shared" si="7"/>
        <v>0</v>
      </c>
      <c r="BJ21" s="4">
        <f t="shared" si="8"/>
        <v>0</v>
      </c>
      <c r="BK21" s="4">
        <f t="shared" si="9"/>
        <v>0</v>
      </c>
      <c r="BL21" s="4">
        <f t="shared" si="10"/>
        <v>0</v>
      </c>
      <c r="BM21" s="4">
        <f t="shared" si="11"/>
        <v>0</v>
      </c>
      <c r="BN21" s="4">
        <f t="shared" si="12"/>
        <v>0</v>
      </c>
      <c r="BO21" s="4">
        <f t="shared" si="13"/>
        <v>0</v>
      </c>
      <c r="BP21" s="4">
        <f t="shared" si="14"/>
        <v>0</v>
      </c>
      <c r="BQ21" s="4">
        <f t="shared" si="15"/>
        <v>0</v>
      </c>
      <c r="BR21" s="4">
        <f t="shared" si="16"/>
        <v>0</v>
      </c>
      <c r="BS21" s="4">
        <f t="shared" si="17"/>
        <v>0</v>
      </c>
      <c r="BT21" s="4">
        <f t="shared" si="18"/>
        <v>0</v>
      </c>
      <c r="BU21" s="4">
        <f t="shared" si="19"/>
        <v>0</v>
      </c>
      <c r="BV21" s="4">
        <f t="shared" si="20"/>
        <v>0</v>
      </c>
      <c r="BW21" s="4">
        <f t="shared" si="21"/>
        <v>0</v>
      </c>
      <c r="BX21" s="4">
        <f t="shared" si="22"/>
        <v>0</v>
      </c>
      <c r="BY21" s="4">
        <f t="shared" si="23"/>
        <v>0</v>
      </c>
      <c r="BZ21" s="4">
        <f t="shared" si="24"/>
        <v>0</v>
      </c>
      <c r="CA21" s="4">
        <f t="shared" si="25"/>
        <v>0</v>
      </c>
      <c r="CB21" s="4">
        <f t="shared" si="26"/>
        <v>0</v>
      </c>
      <c r="CC21" s="4">
        <f t="shared" si="27"/>
        <v>0</v>
      </c>
      <c r="CD21" s="4">
        <f t="shared" si="28"/>
        <v>0</v>
      </c>
      <c r="CE21" s="4">
        <f t="shared" si="29"/>
        <v>0</v>
      </c>
      <c r="CF21" s="4">
        <f t="shared" si="30"/>
        <v>0</v>
      </c>
      <c r="CG21" s="4">
        <f t="shared" si="31"/>
        <v>0</v>
      </c>
      <c r="CH21" s="4">
        <f t="shared" si="32"/>
        <v>0</v>
      </c>
      <c r="CI21" s="4">
        <f t="shared" si="33"/>
        <v>0</v>
      </c>
      <c r="CJ21" s="4">
        <f t="shared" si="34"/>
        <v>0</v>
      </c>
      <c r="CK21" s="4">
        <f t="shared" si="35"/>
        <v>0</v>
      </c>
      <c r="CL21" s="4">
        <f t="shared" si="36"/>
        <v>0</v>
      </c>
      <c r="CM21" s="4">
        <f t="shared" si="37"/>
        <v>0</v>
      </c>
      <c r="CN21" s="4">
        <f t="shared" si="38"/>
        <v>0</v>
      </c>
      <c r="CO21" s="4">
        <f t="shared" si="39"/>
        <v>0</v>
      </c>
      <c r="CP21" s="4">
        <f t="shared" si="40"/>
        <v>0</v>
      </c>
      <c r="CQ21" s="4">
        <f t="shared" si="41"/>
        <v>0</v>
      </c>
      <c r="CR21" s="4">
        <f t="shared" si="42"/>
        <v>0</v>
      </c>
      <c r="CS21" s="4">
        <f t="shared" si="43"/>
        <v>0</v>
      </c>
      <c r="CT21" s="4">
        <f t="shared" si="44"/>
        <v>0</v>
      </c>
      <c r="CU21" s="4">
        <f t="shared" si="45"/>
        <v>0</v>
      </c>
      <c r="CV21" s="4">
        <f t="shared" si="46"/>
        <v>0</v>
      </c>
      <c r="CW21" s="4">
        <f t="shared" si="47"/>
        <v>0</v>
      </c>
      <c r="CX21" s="4">
        <f t="shared" si="48"/>
        <v>0</v>
      </c>
      <c r="CY21" s="4">
        <f t="shared" si="49"/>
        <v>0</v>
      </c>
      <c r="CZ21" s="4">
        <f t="shared" si="50"/>
        <v>0</v>
      </c>
      <c r="DA21" s="4">
        <f t="shared" si="51"/>
        <v>0</v>
      </c>
      <c r="DB21" s="4">
        <f t="shared" si="52"/>
        <v>0</v>
      </c>
      <c r="DC21" s="4">
        <f t="shared" si="53"/>
        <v>0</v>
      </c>
      <c r="DD21" s="4">
        <f t="shared" si="54"/>
        <v>0</v>
      </c>
    </row>
    <row r="22" spans="1:108" x14ac:dyDescent="0.25">
      <c r="A22" s="41">
        <f>Skills!M4</f>
        <v>0</v>
      </c>
      <c r="B22" s="55" t="str">
        <f>Skills!N4</f>
        <v>Animal Handling Sub-category</v>
      </c>
      <c r="C22" s="22">
        <f>SUM(F22:BD22)</f>
        <v>0</v>
      </c>
      <c r="D22" s="112" t="str">
        <f>Skills!S4</f>
        <v>- -</v>
      </c>
      <c r="E22" s="113" t="s">
        <v>782</v>
      </c>
      <c r="F22" s="19"/>
      <c r="G22" s="19"/>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56"/>
      <c r="BF22" s="4">
        <f t="shared" si="5"/>
        <v>0</v>
      </c>
      <c r="BG22" s="4">
        <f t="shared" si="5"/>
        <v>0</v>
      </c>
      <c r="BH22" s="4">
        <f t="shared" si="6"/>
        <v>0</v>
      </c>
      <c r="BI22" s="4">
        <f t="shared" si="7"/>
        <v>0</v>
      </c>
      <c r="BJ22" s="4">
        <f t="shared" si="8"/>
        <v>0</v>
      </c>
      <c r="BK22" s="4">
        <f t="shared" si="9"/>
        <v>0</v>
      </c>
      <c r="BL22" s="4">
        <f t="shared" si="10"/>
        <v>0</v>
      </c>
      <c r="BM22" s="4">
        <f t="shared" si="11"/>
        <v>0</v>
      </c>
      <c r="BN22" s="4">
        <f t="shared" si="12"/>
        <v>0</v>
      </c>
      <c r="BO22" s="4">
        <f t="shared" si="13"/>
        <v>0</v>
      </c>
      <c r="BP22" s="4">
        <f t="shared" si="14"/>
        <v>0</v>
      </c>
      <c r="BQ22" s="4">
        <f t="shared" si="15"/>
        <v>0</v>
      </c>
      <c r="BR22" s="4">
        <f t="shared" si="16"/>
        <v>0</v>
      </c>
      <c r="BS22" s="4">
        <f t="shared" si="17"/>
        <v>0</v>
      </c>
      <c r="BT22" s="4">
        <f t="shared" si="18"/>
        <v>0</v>
      </c>
      <c r="BU22" s="4">
        <f t="shared" si="19"/>
        <v>0</v>
      </c>
      <c r="BV22" s="4">
        <f t="shared" si="20"/>
        <v>0</v>
      </c>
      <c r="BW22" s="4">
        <f t="shared" si="21"/>
        <v>0</v>
      </c>
      <c r="BX22" s="4">
        <f t="shared" si="22"/>
        <v>0</v>
      </c>
      <c r="BY22" s="4">
        <f t="shared" si="23"/>
        <v>0</v>
      </c>
      <c r="BZ22" s="4">
        <f t="shared" si="24"/>
        <v>0</v>
      </c>
      <c r="CA22" s="4">
        <f t="shared" si="25"/>
        <v>0</v>
      </c>
      <c r="CB22" s="4">
        <f t="shared" si="26"/>
        <v>0</v>
      </c>
      <c r="CC22" s="4">
        <f t="shared" si="27"/>
        <v>0</v>
      </c>
      <c r="CD22" s="4">
        <f t="shared" si="28"/>
        <v>0</v>
      </c>
      <c r="CE22" s="4">
        <f t="shared" si="29"/>
        <v>0</v>
      </c>
      <c r="CF22" s="4">
        <f t="shared" si="30"/>
        <v>0</v>
      </c>
      <c r="CG22" s="4">
        <f t="shared" si="31"/>
        <v>0</v>
      </c>
      <c r="CH22" s="4">
        <f t="shared" si="32"/>
        <v>0</v>
      </c>
      <c r="CI22" s="4">
        <f t="shared" si="33"/>
        <v>0</v>
      </c>
      <c r="CJ22" s="4">
        <f t="shared" si="34"/>
        <v>0</v>
      </c>
      <c r="CK22" s="4">
        <f t="shared" si="35"/>
        <v>0</v>
      </c>
      <c r="CL22" s="4">
        <f t="shared" si="36"/>
        <v>0</v>
      </c>
      <c r="CM22" s="4">
        <f t="shared" si="37"/>
        <v>0</v>
      </c>
      <c r="CN22" s="4">
        <f t="shared" si="38"/>
        <v>0</v>
      </c>
      <c r="CO22" s="4">
        <f t="shared" si="39"/>
        <v>0</v>
      </c>
      <c r="CP22" s="4">
        <f t="shared" si="40"/>
        <v>0</v>
      </c>
      <c r="CQ22" s="4">
        <f t="shared" si="41"/>
        <v>0</v>
      </c>
      <c r="CR22" s="4">
        <f t="shared" si="42"/>
        <v>0</v>
      </c>
      <c r="CS22" s="4">
        <f t="shared" si="43"/>
        <v>0</v>
      </c>
      <c r="CT22" s="4">
        <f t="shared" si="44"/>
        <v>0</v>
      </c>
      <c r="CU22" s="4">
        <f t="shared" si="45"/>
        <v>0</v>
      </c>
      <c r="CV22" s="4">
        <f t="shared" si="46"/>
        <v>0</v>
      </c>
      <c r="CW22" s="4">
        <f t="shared" si="47"/>
        <v>0</v>
      </c>
      <c r="CX22" s="4">
        <f t="shared" si="48"/>
        <v>0</v>
      </c>
      <c r="CY22" s="4">
        <f t="shared" si="49"/>
        <v>0</v>
      </c>
      <c r="CZ22" s="4">
        <f t="shared" si="50"/>
        <v>0</v>
      </c>
      <c r="DA22" s="4">
        <f t="shared" si="51"/>
        <v>0</v>
      </c>
      <c r="DB22" s="4">
        <f t="shared" si="52"/>
        <v>0</v>
      </c>
      <c r="DC22" s="4">
        <f t="shared" si="53"/>
        <v>0</v>
      </c>
      <c r="DD22" s="4">
        <f t="shared" si="54"/>
        <v>0</v>
      </c>
    </row>
    <row r="23" spans="1:108" x14ac:dyDescent="0.25">
      <c r="A23" s="41">
        <f>Skills!M5</f>
        <v>0</v>
      </c>
      <c r="B23" s="57" t="str">
        <f>Skills!N5</f>
        <v>Animal Handling Skills</v>
      </c>
      <c r="C23" s="24">
        <f t="shared" ref="C23:C86" si="55">SUM(F23:BD23)</f>
        <v>0</v>
      </c>
      <c r="D23" s="110" t="str">
        <f>Skills!S5</f>
        <v>- -</v>
      </c>
      <c r="E23" s="111" t="s">
        <v>782</v>
      </c>
      <c r="F23" s="18"/>
      <c r="G23" s="18"/>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49"/>
      <c r="BF23" s="4">
        <f t="shared" si="5"/>
        <v>0</v>
      </c>
      <c r="BG23" s="4">
        <f t="shared" si="5"/>
        <v>0</v>
      </c>
      <c r="BH23" s="4">
        <f t="shared" si="6"/>
        <v>0</v>
      </c>
      <c r="BI23" s="4">
        <f t="shared" si="7"/>
        <v>0</v>
      </c>
      <c r="BJ23" s="4">
        <f t="shared" si="8"/>
        <v>0</v>
      </c>
      <c r="BK23" s="4">
        <f t="shared" si="9"/>
        <v>0</v>
      </c>
      <c r="BL23" s="4">
        <f t="shared" si="10"/>
        <v>0</v>
      </c>
      <c r="BM23" s="4">
        <f t="shared" si="11"/>
        <v>0</v>
      </c>
      <c r="BN23" s="4">
        <f t="shared" si="12"/>
        <v>0</v>
      </c>
      <c r="BO23" s="4">
        <f t="shared" si="13"/>
        <v>0</v>
      </c>
      <c r="BP23" s="4">
        <f t="shared" si="14"/>
        <v>0</v>
      </c>
      <c r="BQ23" s="4">
        <f t="shared" si="15"/>
        <v>0</v>
      </c>
      <c r="BR23" s="4">
        <f t="shared" si="16"/>
        <v>0</v>
      </c>
      <c r="BS23" s="4">
        <f t="shared" si="17"/>
        <v>0</v>
      </c>
      <c r="BT23" s="4">
        <f t="shared" si="18"/>
        <v>0</v>
      </c>
      <c r="BU23" s="4">
        <f t="shared" si="19"/>
        <v>0</v>
      </c>
      <c r="BV23" s="4">
        <f t="shared" si="20"/>
        <v>0</v>
      </c>
      <c r="BW23" s="4">
        <f t="shared" si="21"/>
        <v>0</v>
      </c>
      <c r="BX23" s="4">
        <f t="shared" si="22"/>
        <v>0</v>
      </c>
      <c r="BY23" s="4">
        <f t="shared" si="23"/>
        <v>0</v>
      </c>
      <c r="BZ23" s="4">
        <f t="shared" si="24"/>
        <v>0</v>
      </c>
      <c r="CA23" s="4">
        <f t="shared" si="25"/>
        <v>0</v>
      </c>
      <c r="CB23" s="4">
        <f t="shared" si="26"/>
        <v>0</v>
      </c>
      <c r="CC23" s="4">
        <f t="shared" si="27"/>
        <v>0</v>
      </c>
      <c r="CD23" s="4">
        <f t="shared" si="28"/>
        <v>0</v>
      </c>
      <c r="CE23" s="4">
        <f t="shared" si="29"/>
        <v>0</v>
      </c>
      <c r="CF23" s="4">
        <f t="shared" si="30"/>
        <v>0</v>
      </c>
      <c r="CG23" s="4">
        <f t="shared" si="31"/>
        <v>0</v>
      </c>
      <c r="CH23" s="4">
        <f t="shared" si="32"/>
        <v>0</v>
      </c>
      <c r="CI23" s="4">
        <f t="shared" si="33"/>
        <v>0</v>
      </c>
      <c r="CJ23" s="4">
        <f t="shared" si="34"/>
        <v>0</v>
      </c>
      <c r="CK23" s="4">
        <f t="shared" si="35"/>
        <v>0</v>
      </c>
      <c r="CL23" s="4">
        <f t="shared" si="36"/>
        <v>0</v>
      </c>
      <c r="CM23" s="4">
        <f t="shared" si="37"/>
        <v>0</v>
      </c>
      <c r="CN23" s="4">
        <f t="shared" si="38"/>
        <v>0</v>
      </c>
      <c r="CO23" s="4">
        <f t="shared" si="39"/>
        <v>0</v>
      </c>
      <c r="CP23" s="4">
        <f t="shared" si="40"/>
        <v>0</v>
      </c>
      <c r="CQ23" s="4">
        <f t="shared" si="41"/>
        <v>0</v>
      </c>
      <c r="CR23" s="4">
        <f t="shared" si="42"/>
        <v>0</v>
      </c>
      <c r="CS23" s="4">
        <f t="shared" si="43"/>
        <v>0</v>
      </c>
      <c r="CT23" s="4">
        <f t="shared" si="44"/>
        <v>0</v>
      </c>
      <c r="CU23" s="4">
        <f t="shared" si="45"/>
        <v>0</v>
      </c>
      <c r="CV23" s="4">
        <f t="shared" si="46"/>
        <v>0</v>
      </c>
      <c r="CW23" s="4">
        <f t="shared" si="47"/>
        <v>0</v>
      </c>
      <c r="CX23" s="4">
        <f t="shared" si="48"/>
        <v>0</v>
      </c>
      <c r="CY23" s="4">
        <f t="shared" si="49"/>
        <v>0</v>
      </c>
      <c r="CZ23" s="4">
        <f t="shared" si="50"/>
        <v>0</v>
      </c>
      <c r="DA23" s="4">
        <f t="shared" si="51"/>
        <v>0</v>
      </c>
      <c r="DB23" s="4">
        <f t="shared" si="52"/>
        <v>0</v>
      </c>
      <c r="DC23" s="4">
        <f t="shared" si="53"/>
        <v>0</v>
      </c>
      <c r="DD23" s="4">
        <f t="shared" si="54"/>
        <v>0</v>
      </c>
    </row>
    <row r="24" spans="1:108" x14ac:dyDescent="0.25">
      <c r="A24" s="41" t="str">
        <f>Skills!M6</f>
        <v>Handling, Camel</v>
      </c>
      <c r="B24" s="55" t="str">
        <f>Skills!N6</f>
        <v>Camel</v>
      </c>
      <c r="C24" s="22">
        <f t="shared" si="55"/>
        <v>0</v>
      </c>
      <c r="D24" s="112" t="e">
        <f>Skills!S6</f>
        <v>#N/A</v>
      </c>
      <c r="E24" s="113" t="e">
        <f>Profession!$B$3</f>
        <v>#REF!</v>
      </c>
      <c r="F24" s="19"/>
      <c r="G24" s="19"/>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56"/>
      <c r="BF24" s="4">
        <f t="shared" si="5"/>
        <v>0</v>
      </c>
      <c r="BG24" s="4">
        <f t="shared" si="5"/>
        <v>0</v>
      </c>
      <c r="BH24" s="4">
        <f t="shared" si="6"/>
        <v>0</v>
      </c>
      <c r="BI24" s="4">
        <f t="shared" si="7"/>
        <v>0</v>
      </c>
      <c r="BJ24" s="4">
        <f t="shared" si="8"/>
        <v>0</v>
      </c>
      <c r="BK24" s="4">
        <f t="shared" si="9"/>
        <v>0</v>
      </c>
      <c r="BL24" s="4">
        <f t="shared" si="10"/>
        <v>0</v>
      </c>
      <c r="BM24" s="4">
        <f t="shared" si="11"/>
        <v>0</v>
      </c>
      <c r="BN24" s="4">
        <f t="shared" si="12"/>
        <v>0</v>
      </c>
      <c r="BO24" s="4">
        <f t="shared" si="13"/>
        <v>0</v>
      </c>
      <c r="BP24" s="4">
        <f t="shared" si="14"/>
        <v>0</v>
      </c>
      <c r="BQ24" s="4">
        <f t="shared" si="15"/>
        <v>0</v>
      </c>
      <c r="BR24" s="4">
        <f t="shared" si="16"/>
        <v>0</v>
      </c>
      <c r="BS24" s="4">
        <f t="shared" si="17"/>
        <v>0</v>
      </c>
      <c r="BT24" s="4">
        <f t="shared" si="18"/>
        <v>0</v>
      </c>
      <c r="BU24" s="4">
        <f t="shared" si="19"/>
        <v>0</v>
      </c>
      <c r="BV24" s="4">
        <f t="shared" si="20"/>
        <v>0</v>
      </c>
      <c r="BW24" s="4">
        <f t="shared" si="21"/>
        <v>0</v>
      </c>
      <c r="BX24" s="4">
        <f t="shared" si="22"/>
        <v>0</v>
      </c>
      <c r="BY24" s="4">
        <f t="shared" si="23"/>
        <v>0</v>
      </c>
      <c r="BZ24" s="4">
        <f t="shared" si="24"/>
        <v>0</v>
      </c>
      <c r="CA24" s="4">
        <f t="shared" si="25"/>
        <v>0</v>
      </c>
      <c r="CB24" s="4">
        <f t="shared" si="26"/>
        <v>0</v>
      </c>
      <c r="CC24" s="4">
        <f t="shared" si="27"/>
        <v>0</v>
      </c>
      <c r="CD24" s="4">
        <f t="shared" si="28"/>
        <v>0</v>
      </c>
      <c r="CE24" s="4">
        <f t="shared" si="29"/>
        <v>0</v>
      </c>
      <c r="CF24" s="4">
        <f t="shared" si="30"/>
        <v>0</v>
      </c>
      <c r="CG24" s="4">
        <f t="shared" si="31"/>
        <v>0</v>
      </c>
      <c r="CH24" s="4">
        <f t="shared" si="32"/>
        <v>0</v>
      </c>
      <c r="CI24" s="4">
        <f t="shared" si="33"/>
        <v>0</v>
      </c>
      <c r="CJ24" s="4">
        <f t="shared" si="34"/>
        <v>0</v>
      </c>
      <c r="CK24" s="4">
        <f t="shared" si="35"/>
        <v>0</v>
      </c>
      <c r="CL24" s="4">
        <f t="shared" si="36"/>
        <v>0</v>
      </c>
      <c r="CM24" s="4">
        <f t="shared" si="37"/>
        <v>0</v>
      </c>
      <c r="CN24" s="4">
        <f t="shared" si="38"/>
        <v>0</v>
      </c>
      <c r="CO24" s="4">
        <f t="shared" si="39"/>
        <v>0</v>
      </c>
      <c r="CP24" s="4">
        <f t="shared" si="40"/>
        <v>0</v>
      </c>
      <c r="CQ24" s="4">
        <f t="shared" si="41"/>
        <v>0</v>
      </c>
      <c r="CR24" s="4">
        <f t="shared" si="42"/>
        <v>0</v>
      </c>
      <c r="CS24" s="4">
        <f t="shared" si="43"/>
        <v>0</v>
      </c>
      <c r="CT24" s="4">
        <f t="shared" si="44"/>
        <v>0</v>
      </c>
      <c r="CU24" s="4">
        <f t="shared" si="45"/>
        <v>0</v>
      </c>
      <c r="CV24" s="4">
        <f t="shared" si="46"/>
        <v>0</v>
      </c>
      <c r="CW24" s="4">
        <f t="shared" si="47"/>
        <v>0</v>
      </c>
      <c r="CX24" s="4">
        <f t="shared" si="48"/>
        <v>0</v>
      </c>
      <c r="CY24" s="4">
        <f t="shared" si="49"/>
        <v>0</v>
      </c>
      <c r="CZ24" s="4">
        <f t="shared" si="50"/>
        <v>0</v>
      </c>
      <c r="DA24" s="4">
        <f t="shared" si="51"/>
        <v>0</v>
      </c>
      <c r="DB24" s="4">
        <f t="shared" si="52"/>
        <v>0</v>
      </c>
      <c r="DC24" s="4">
        <f t="shared" si="53"/>
        <v>0</v>
      </c>
      <c r="DD24" s="4">
        <f t="shared" si="54"/>
        <v>0</v>
      </c>
    </row>
    <row r="25" spans="1:108" x14ac:dyDescent="0.25">
      <c r="A25" s="41" t="str">
        <f>Skills!M7</f>
        <v>Handling, Horse</v>
      </c>
      <c r="B25" s="57" t="str">
        <f>Skills!N7</f>
        <v>Horse</v>
      </c>
      <c r="C25" s="24">
        <f t="shared" si="55"/>
        <v>0</v>
      </c>
      <c r="D25" s="110" t="e">
        <f>Skills!S7</f>
        <v>#N/A</v>
      </c>
      <c r="E25" s="111" t="e">
        <f>Profession!$B$3</f>
        <v>#REF!</v>
      </c>
      <c r="F25" s="18"/>
      <c r="G25" s="18"/>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49"/>
      <c r="BF25" s="4">
        <f t="shared" si="5"/>
        <v>0</v>
      </c>
      <c r="BG25" s="4">
        <f t="shared" si="5"/>
        <v>0</v>
      </c>
      <c r="BH25" s="4">
        <f t="shared" si="6"/>
        <v>0</v>
      </c>
      <c r="BI25" s="4">
        <f t="shared" si="7"/>
        <v>0</v>
      </c>
      <c r="BJ25" s="4">
        <f t="shared" si="8"/>
        <v>0</v>
      </c>
      <c r="BK25" s="4">
        <f t="shared" si="9"/>
        <v>0</v>
      </c>
      <c r="BL25" s="4">
        <f t="shared" si="10"/>
        <v>0</v>
      </c>
      <c r="BM25" s="4">
        <f t="shared" si="11"/>
        <v>0</v>
      </c>
      <c r="BN25" s="4">
        <f t="shared" si="12"/>
        <v>0</v>
      </c>
      <c r="BO25" s="4">
        <f t="shared" si="13"/>
        <v>0</v>
      </c>
      <c r="BP25" s="4">
        <f t="shared" si="14"/>
        <v>0</v>
      </c>
      <c r="BQ25" s="4">
        <f t="shared" si="15"/>
        <v>0</v>
      </c>
      <c r="BR25" s="4">
        <f t="shared" si="16"/>
        <v>0</v>
      </c>
      <c r="BS25" s="4">
        <f t="shared" si="17"/>
        <v>0</v>
      </c>
      <c r="BT25" s="4">
        <f t="shared" si="18"/>
        <v>0</v>
      </c>
      <c r="BU25" s="4">
        <f t="shared" si="19"/>
        <v>0</v>
      </c>
      <c r="BV25" s="4">
        <f t="shared" si="20"/>
        <v>0</v>
      </c>
      <c r="BW25" s="4">
        <f t="shared" si="21"/>
        <v>0</v>
      </c>
      <c r="BX25" s="4">
        <f t="shared" si="22"/>
        <v>0</v>
      </c>
      <c r="BY25" s="4">
        <f t="shared" si="23"/>
        <v>0</v>
      </c>
      <c r="BZ25" s="4">
        <f t="shared" si="24"/>
        <v>0</v>
      </c>
      <c r="CA25" s="4">
        <f t="shared" si="25"/>
        <v>0</v>
      </c>
      <c r="CB25" s="4">
        <f t="shared" si="26"/>
        <v>0</v>
      </c>
      <c r="CC25" s="4">
        <f t="shared" si="27"/>
        <v>0</v>
      </c>
      <c r="CD25" s="4">
        <f t="shared" si="28"/>
        <v>0</v>
      </c>
      <c r="CE25" s="4">
        <f t="shared" si="29"/>
        <v>0</v>
      </c>
      <c r="CF25" s="4">
        <f t="shared" si="30"/>
        <v>0</v>
      </c>
      <c r="CG25" s="4">
        <f t="shared" si="31"/>
        <v>0</v>
      </c>
      <c r="CH25" s="4">
        <f t="shared" si="32"/>
        <v>0</v>
      </c>
      <c r="CI25" s="4">
        <f t="shared" si="33"/>
        <v>0</v>
      </c>
      <c r="CJ25" s="4">
        <f t="shared" si="34"/>
        <v>0</v>
      </c>
      <c r="CK25" s="4">
        <f t="shared" si="35"/>
        <v>0</v>
      </c>
      <c r="CL25" s="4">
        <f t="shared" si="36"/>
        <v>0</v>
      </c>
      <c r="CM25" s="4">
        <f t="shared" si="37"/>
        <v>0</v>
      </c>
      <c r="CN25" s="4">
        <f t="shared" si="38"/>
        <v>0</v>
      </c>
      <c r="CO25" s="4">
        <f t="shared" si="39"/>
        <v>0</v>
      </c>
      <c r="CP25" s="4">
        <f t="shared" si="40"/>
        <v>0</v>
      </c>
      <c r="CQ25" s="4">
        <f t="shared" si="41"/>
        <v>0</v>
      </c>
      <c r="CR25" s="4">
        <f t="shared" si="42"/>
        <v>0</v>
      </c>
      <c r="CS25" s="4">
        <f t="shared" si="43"/>
        <v>0</v>
      </c>
      <c r="CT25" s="4">
        <f t="shared" si="44"/>
        <v>0</v>
      </c>
      <c r="CU25" s="4">
        <f t="shared" si="45"/>
        <v>0</v>
      </c>
      <c r="CV25" s="4">
        <f t="shared" si="46"/>
        <v>0</v>
      </c>
      <c r="CW25" s="4">
        <f t="shared" si="47"/>
        <v>0</v>
      </c>
      <c r="CX25" s="4">
        <f t="shared" si="48"/>
        <v>0</v>
      </c>
      <c r="CY25" s="4">
        <f t="shared" si="49"/>
        <v>0</v>
      </c>
      <c r="CZ25" s="4">
        <f t="shared" si="50"/>
        <v>0</v>
      </c>
      <c r="DA25" s="4">
        <f t="shared" si="51"/>
        <v>0</v>
      </c>
      <c r="DB25" s="4">
        <f t="shared" si="52"/>
        <v>0</v>
      </c>
      <c r="DC25" s="4">
        <f t="shared" si="53"/>
        <v>0</v>
      </c>
      <c r="DD25" s="4">
        <f t="shared" si="54"/>
        <v>0</v>
      </c>
    </row>
    <row r="26" spans="1:108" x14ac:dyDescent="0.25">
      <c r="A26" s="41" t="str">
        <f>Skills!M8</f>
        <v>Handling, 0</v>
      </c>
      <c r="B26" s="55">
        <f>Skills!N8</f>
        <v>0</v>
      </c>
      <c r="C26" s="22">
        <f t="shared" si="55"/>
        <v>0</v>
      </c>
      <c r="D26" s="112" t="e">
        <f>Skills!S8</f>
        <v>#N/A</v>
      </c>
      <c r="E26" s="113" t="e">
        <f>Profession!$B$3</f>
        <v>#REF!</v>
      </c>
      <c r="F26" s="19"/>
      <c r="G26" s="19"/>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56"/>
      <c r="BF26" s="4">
        <f t="shared" si="5"/>
        <v>0</v>
      </c>
      <c r="BG26" s="4">
        <f t="shared" si="5"/>
        <v>0</v>
      </c>
      <c r="BH26" s="4">
        <f t="shared" si="6"/>
        <v>0</v>
      </c>
      <c r="BI26" s="4">
        <f t="shared" si="7"/>
        <v>0</v>
      </c>
      <c r="BJ26" s="4">
        <f t="shared" si="8"/>
        <v>0</v>
      </c>
      <c r="BK26" s="4">
        <f t="shared" si="9"/>
        <v>0</v>
      </c>
      <c r="BL26" s="4">
        <f t="shared" si="10"/>
        <v>0</v>
      </c>
      <c r="BM26" s="4">
        <f t="shared" si="11"/>
        <v>0</v>
      </c>
      <c r="BN26" s="4">
        <f t="shared" si="12"/>
        <v>0</v>
      </c>
      <c r="BO26" s="4">
        <f t="shared" si="13"/>
        <v>0</v>
      </c>
      <c r="BP26" s="4">
        <f t="shared" si="14"/>
        <v>0</v>
      </c>
      <c r="BQ26" s="4">
        <f t="shared" si="15"/>
        <v>0</v>
      </c>
      <c r="BR26" s="4">
        <f t="shared" si="16"/>
        <v>0</v>
      </c>
      <c r="BS26" s="4">
        <f t="shared" si="17"/>
        <v>0</v>
      </c>
      <c r="BT26" s="4">
        <f t="shared" si="18"/>
        <v>0</v>
      </c>
      <c r="BU26" s="4">
        <f t="shared" si="19"/>
        <v>0</v>
      </c>
      <c r="BV26" s="4">
        <f t="shared" si="20"/>
        <v>0</v>
      </c>
      <c r="BW26" s="4">
        <f t="shared" si="21"/>
        <v>0</v>
      </c>
      <c r="BX26" s="4">
        <f t="shared" si="22"/>
        <v>0</v>
      </c>
      <c r="BY26" s="4">
        <f t="shared" si="23"/>
        <v>0</v>
      </c>
      <c r="BZ26" s="4">
        <f t="shared" si="24"/>
        <v>0</v>
      </c>
      <c r="CA26" s="4">
        <f t="shared" si="25"/>
        <v>0</v>
      </c>
      <c r="CB26" s="4">
        <f t="shared" si="26"/>
        <v>0</v>
      </c>
      <c r="CC26" s="4">
        <f t="shared" si="27"/>
        <v>0</v>
      </c>
      <c r="CD26" s="4">
        <f t="shared" si="28"/>
        <v>0</v>
      </c>
      <c r="CE26" s="4">
        <f t="shared" si="29"/>
        <v>0</v>
      </c>
      <c r="CF26" s="4">
        <f t="shared" si="30"/>
        <v>0</v>
      </c>
      <c r="CG26" s="4">
        <f t="shared" si="31"/>
        <v>0</v>
      </c>
      <c r="CH26" s="4">
        <f t="shared" si="32"/>
        <v>0</v>
      </c>
      <c r="CI26" s="4">
        <f t="shared" si="33"/>
        <v>0</v>
      </c>
      <c r="CJ26" s="4">
        <f t="shared" si="34"/>
        <v>0</v>
      </c>
      <c r="CK26" s="4">
        <f t="shared" si="35"/>
        <v>0</v>
      </c>
      <c r="CL26" s="4">
        <f t="shared" si="36"/>
        <v>0</v>
      </c>
      <c r="CM26" s="4">
        <f t="shared" si="37"/>
        <v>0</v>
      </c>
      <c r="CN26" s="4">
        <f t="shared" si="38"/>
        <v>0</v>
      </c>
      <c r="CO26" s="4">
        <f t="shared" si="39"/>
        <v>0</v>
      </c>
      <c r="CP26" s="4">
        <f t="shared" si="40"/>
        <v>0</v>
      </c>
      <c r="CQ26" s="4">
        <f t="shared" si="41"/>
        <v>0</v>
      </c>
      <c r="CR26" s="4">
        <f t="shared" si="42"/>
        <v>0</v>
      </c>
      <c r="CS26" s="4">
        <f t="shared" si="43"/>
        <v>0</v>
      </c>
      <c r="CT26" s="4">
        <f t="shared" si="44"/>
        <v>0</v>
      </c>
      <c r="CU26" s="4">
        <f t="shared" si="45"/>
        <v>0</v>
      </c>
      <c r="CV26" s="4">
        <f t="shared" si="46"/>
        <v>0</v>
      </c>
      <c r="CW26" s="4">
        <f t="shared" si="47"/>
        <v>0</v>
      </c>
      <c r="CX26" s="4">
        <f t="shared" si="48"/>
        <v>0</v>
      </c>
      <c r="CY26" s="4">
        <f t="shared" si="49"/>
        <v>0</v>
      </c>
      <c r="CZ26" s="4">
        <f t="shared" si="50"/>
        <v>0</v>
      </c>
      <c r="DA26" s="4">
        <f t="shared" si="51"/>
        <v>0</v>
      </c>
      <c r="DB26" s="4">
        <f t="shared" si="52"/>
        <v>0</v>
      </c>
      <c r="DC26" s="4">
        <f t="shared" si="53"/>
        <v>0</v>
      </c>
      <c r="DD26" s="4">
        <f t="shared" si="54"/>
        <v>0</v>
      </c>
    </row>
    <row r="27" spans="1:108" x14ac:dyDescent="0.25">
      <c r="A27" s="41" t="str">
        <f>Skills!M9</f>
        <v>Handling, 0</v>
      </c>
      <c r="B27" s="57">
        <f>Skills!N9</f>
        <v>0</v>
      </c>
      <c r="C27" s="24">
        <f t="shared" si="55"/>
        <v>0</v>
      </c>
      <c r="D27" s="110" t="e">
        <f>Skills!S9</f>
        <v>#N/A</v>
      </c>
      <c r="E27" s="111" t="e">
        <f>Profession!$B$3</f>
        <v>#REF!</v>
      </c>
      <c r="F27" s="18"/>
      <c r="G27" s="18"/>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49"/>
      <c r="BF27" s="4">
        <f t="shared" si="5"/>
        <v>0</v>
      </c>
      <c r="BG27" s="4">
        <f t="shared" si="5"/>
        <v>0</v>
      </c>
      <c r="BH27" s="4">
        <f t="shared" si="6"/>
        <v>0</v>
      </c>
      <c r="BI27" s="4">
        <f t="shared" si="7"/>
        <v>0</v>
      </c>
      <c r="BJ27" s="4">
        <f t="shared" si="8"/>
        <v>0</v>
      </c>
      <c r="BK27" s="4">
        <f t="shared" si="9"/>
        <v>0</v>
      </c>
      <c r="BL27" s="4">
        <f t="shared" si="10"/>
        <v>0</v>
      </c>
      <c r="BM27" s="4">
        <f t="shared" si="11"/>
        <v>0</v>
      </c>
      <c r="BN27" s="4">
        <f t="shared" si="12"/>
        <v>0</v>
      </c>
      <c r="BO27" s="4">
        <f t="shared" si="13"/>
        <v>0</v>
      </c>
      <c r="BP27" s="4">
        <f t="shared" si="14"/>
        <v>0</v>
      </c>
      <c r="BQ27" s="4">
        <f t="shared" si="15"/>
        <v>0</v>
      </c>
      <c r="BR27" s="4">
        <f t="shared" si="16"/>
        <v>0</v>
      </c>
      <c r="BS27" s="4">
        <f t="shared" si="17"/>
        <v>0</v>
      </c>
      <c r="BT27" s="4">
        <f t="shared" si="18"/>
        <v>0</v>
      </c>
      <c r="BU27" s="4">
        <f t="shared" si="19"/>
        <v>0</v>
      </c>
      <c r="BV27" s="4">
        <f t="shared" si="20"/>
        <v>0</v>
      </c>
      <c r="BW27" s="4">
        <f t="shared" si="21"/>
        <v>0</v>
      </c>
      <c r="BX27" s="4">
        <f t="shared" si="22"/>
        <v>0</v>
      </c>
      <c r="BY27" s="4">
        <f t="shared" si="23"/>
        <v>0</v>
      </c>
      <c r="BZ27" s="4">
        <f t="shared" si="24"/>
        <v>0</v>
      </c>
      <c r="CA27" s="4">
        <f t="shared" si="25"/>
        <v>0</v>
      </c>
      <c r="CB27" s="4">
        <f t="shared" si="26"/>
        <v>0</v>
      </c>
      <c r="CC27" s="4">
        <f t="shared" si="27"/>
        <v>0</v>
      </c>
      <c r="CD27" s="4">
        <f t="shared" si="28"/>
        <v>0</v>
      </c>
      <c r="CE27" s="4">
        <f t="shared" si="29"/>
        <v>0</v>
      </c>
      <c r="CF27" s="4">
        <f t="shared" si="30"/>
        <v>0</v>
      </c>
      <c r="CG27" s="4">
        <f t="shared" si="31"/>
        <v>0</v>
      </c>
      <c r="CH27" s="4">
        <f t="shared" si="32"/>
        <v>0</v>
      </c>
      <c r="CI27" s="4">
        <f t="shared" si="33"/>
        <v>0</v>
      </c>
      <c r="CJ27" s="4">
        <f t="shared" si="34"/>
        <v>0</v>
      </c>
      <c r="CK27" s="4">
        <f t="shared" si="35"/>
        <v>0</v>
      </c>
      <c r="CL27" s="4">
        <f t="shared" si="36"/>
        <v>0</v>
      </c>
      <c r="CM27" s="4">
        <f t="shared" si="37"/>
        <v>0</v>
      </c>
      <c r="CN27" s="4">
        <f t="shared" si="38"/>
        <v>0</v>
      </c>
      <c r="CO27" s="4">
        <f t="shared" si="39"/>
        <v>0</v>
      </c>
      <c r="CP27" s="4">
        <f t="shared" si="40"/>
        <v>0</v>
      </c>
      <c r="CQ27" s="4">
        <f t="shared" si="41"/>
        <v>0</v>
      </c>
      <c r="CR27" s="4">
        <f t="shared" si="42"/>
        <v>0</v>
      </c>
      <c r="CS27" s="4">
        <f t="shared" si="43"/>
        <v>0</v>
      </c>
      <c r="CT27" s="4">
        <f t="shared" si="44"/>
        <v>0</v>
      </c>
      <c r="CU27" s="4">
        <f t="shared" si="45"/>
        <v>0</v>
      </c>
      <c r="CV27" s="4">
        <f t="shared" si="46"/>
        <v>0</v>
      </c>
      <c r="CW27" s="4">
        <f t="shared" si="47"/>
        <v>0</v>
      </c>
      <c r="CX27" s="4">
        <f t="shared" si="48"/>
        <v>0</v>
      </c>
      <c r="CY27" s="4">
        <f t="shared" si="49"/>
        <v>0</v>
      </c>
      <c r="CZ27" s="4">
        <f t="shared" si="50"/>
        <v>0</v>
      </c>
      <c r="DA27" s="4">
        <f t="shared" si="51"/>
        <v>0</v>
      </c>
      <c r="DB27" s="4">
        <f t="shared" si="52"/>
        <v>0</v>
      </c>
      <c r="DC27" s="4">
        <f t="shared" si="53"/>
        <v>0</v>
      </c>
      <c r="DD27" s="4">
        <f t="shared" si="54"/>
        <v>0</v>
      </c>
    </row>
    <row r="28" spans="1:108" x14ac:dyDescent="0.25">
      <c r="A28" s="41">
        <f>Skills!M10</f>
        <v>0</v>
      </c>
      <c r="B28" s="55" t="str">
        <f>Skills!N10</f>
        <v>Animal Riding Sub-category</v>
      </c>
      <c r="C28" s="22">
        <f t="shared" si="55"/>
        <v>0</v>
      </c>
      <c r="D28" s="112" t="str">
        <f>Skills!S10</f>
        <v>- -</v>
      </c>
      <c r="E28" s="113" t="s">
        <v>782</v>
      </c>
      <c r="F28" s="19"/>
      <c r="G28" s="19"/>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56"/>
      <c r="BF28" s="4">
        <f t="shared" si="5"/>
        <v>0</v>
      </c>
      <c r="BG28" s="4">
        <f t="shared" si="5"/>
        <v>0</v>
      </c>
      <c r="BH28" s="4">
        <f t="shared" si="6"/>
        <v>0</v>
      </c>
      <c r="BI28" s="4">
        <f t="shared" si="7"/>
        <v>0</v>
      </c>
      <c r="BJ28" s="4">
        <f t="shared" si="8"/>
        <v>0</v>
      </c>
      <c r="BK28" s="4">
        <f t="shared" si="9"/>
        <v>0</v>
      </c>
      <c r="BL28" s="4">
        <f t="shared" si="10"/>
        <v>0</v>
      </c>
      <c r="BM28" s="4">
        <f t="shared" si="11"/>
        <v>0</v>
      </c>
      <c r="BN28" s="4">
        <f t="shared" si="12"/>
        <v>0</v>
      </c>
      <c r="BO28" s="4">
        <f t="shared" si="13"/>
        <v>0</v>
      </c>
      <c r="BP28" s="4">
        <f t="shared" si="14"/>
        <v>0</v>
      </c>
      <c r="BQ28" s="4">
        <f t="shared" si="15"/>
        <v>0</v>
      </c>
      <c r="BR28" s="4">
        <f t="shared" si="16"/>
        <v>0</v>
      </c>
      <c r="BS28" s="4">
        <f t="shared" si="17"/>
        <v>0</v>
      </c>
      <c r="BT28" s="4">
        <f t="shared" si="18"/>
        <v>0</v>
      </c>
      <c r="BU28" s="4">
        <f t="shared" si="19"/>
        <v>0</v>
      </c>
      <c r="BV28" s="4">
        <f t="shared" si="20"/>
        <v>0</v>
      </c>
      <c r="BW28" s="4">
        <f t="shared" si="21"/>
        <v>0</v>
      </c>
      <c r="BX28" s="4">
        <f t="shared" si="22"/>
        <v>0</v>
      </c>
      <c r="BY28" s="4">
        <f t="shared" si="23"/>
        <v>0</v>
      </c>
      <c r="BZ28" s="4">
        <f t="shared" si="24"/>
        <v>0</v>
      </c>
      <c r="CA28" s="4">
        <f t="shared" si="25"/>
        <v>0</v>
      </c>
      <c r="CB28" s="4">
        <f t="shared" si="26"/>
        <v>0</v>
      </c>
      <c r="CC28" s="4">
        <f t="shared" si="27"/>
        <v>0</v>
      </c>
      <c r="CD28" s="4">
        <f t="shared" si="28"/>
        <v>0</v>
      </c>
      <c r="CE28" s="4">
        <f t="shared" si="29"/>
        <v>0</v>
      </c>
      <c r="CF28" s="4">
        <f t="shared" si="30"/>
        <v>0</v>
      </c>
      <c r="CG28" s="4">
        <f t="shared" si="31"/>
        <v>0</v>
      </c>
      <c r="CH28" s="4">
        <f t="shared" si="32"/>
        <v>0</v>
      </c>
      <c r="CI28" s="4">
        <f t="shared" si="33"/>
        <v>0</v>
      </c>
      <c r="CJ28" s="4">
        <f t="shared" si="34"/>
        <v>0</v>
      </c>
      <c r="CK28" s="4">
        <f t="shared" si="35"/>
        <v>0</v>
      </c>
      <c r="CL28" s="4">
        <f t="shared" si="36"/>
        <v>0</v>
      </c>
      <c r="CM28" s="4">
        <f t="shared" si="37"/>
        <v>0</v>
      </c>
      <c r="CN28" s="4">
        <f t="shared" si="38"/>
        <v>0</v>
      </c>
      <c r="CO28" s="4">
        <f t="shared" si="39"/>
        <v>0</v>
      </c>
      <c r="CP28" s="4">
        <f t="shared" si="40"/>
        <v>0</v>
      </c>
      <c r="CQ28" s="4">
        <f t="shared" si="41"/>
        <v>0</v>
      </c>
      <c r="CR28" s="4">
        <f t="shared" si="42"/>
        <v>0</v>
      </c>
      <c r="CS28" s="4">
        <f t="shared" si="43"/>
        <v>0</v>
      </c>
      <c r="CT28" s="4">
        <f t="shared" si="44"/>
        <v>0</v>
      </c>
      <c r="CU28" s="4">
        <f t="shared" si="45"/>
        <v>0</v>
      </c>
      <c r="CV28" s="4">
        <f t="shared" si="46"/>
        <v>0</v>
      </c>
      <c r="CW28" s="4">
        <f t="shared" si="47"/>
        <v>0</v>
      </c>
      <c r="CX28" s="4">
        <f t="shared" si="48"/>
        <v>0</v>
      </c>
      <c r="CY28" s="4">
        <f t="shared" si="49"/>
        <v>0</v>
      </c>
      <c r="CZ28" s="4">
        <f t="shared" si="50"/>
        <v>0</v>
      </c>
      <c r="DA28" s="4">
        <f t="shared" si="51"/>
        <v>0</v>
      </c>
      <c r="DB28" s="4">
        <f t="shared" si="52"/>
        <v>0</v>
      </c>
      <c r="DC28" s="4">
        <f t="shared" si="53"/>
        <v>0</v>
      </c>
      <c r="DD28" s="4">
        <f t="shared" si="54"/>
        <v>0</v>
      </c>
    </row>
    <row r="29" spans="1:108" x14ac:dyDescent="0.25">
      <c r="A29" s="41">
        <f>Skills!M11</f>
        <v>0</v>
      </c>
      <c r="B29" s="57" t="str">
        <f>Skills!N11</f>
        <v>Animal Riding Skills</v>
      </c>
      <c r="C29" s="24">
        <f t="shared" si="55"/>
        <v>0</v>
      </c>
      <c r="D29" s="110" t="str">
        <f>Skills!S11</f>
        <v>- -</v>
      </c>
      <c r="E29" s="111" t="s">
        <v>782</v>
      </c>
      <c r="F29" s="18"/>
      <c r="G29" s="18"/>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49"/>
      <c r="BF29" s="4">
        <f t="shared" si="5"/>
        <v>0</v>
      </c>
      <c r="BG29" s="4">
        <f t="shared" si="5"/>
        <v>0</v>
      </c>
      <c r="BH29" s="4">
        <f t="shared" si="6"/>
        <v>0</v>
      </c>
      <c r="BI29" s="4">
        <f t="shared" si="7"/>
        <v>0</v>
      </c>
      <c r="BJ29" s="4">
        <f t="shared" si="8"/>
        <v>0</v>
      </c>
      <c r="BK29" s="4">
        <f t="shared" si="9"/>
        <v>0</v>
      </c>
      <c r="BL29" s="4">
        <f t="shared" si="10"/>
        <v>0</v>
      </c>
      <c r="BM29" s="4">
        <f t="shared" si="11"/>
        <v>0</v>
      </c>
      <c r="BN29" s="4">
        <f t="shared" si="12"/>
        <v>0</v>
      </c>
      <c r="BO29" s="4">
        <f t="shared" si="13"/>
        <v>0</v>
      </c>
      <c r="BP29" s="4">
        <f t="shared" si="14"/>
        <v>0</v>
      </c>
      <c r="BQ29" s="4">
        <f t="shared" si="15"/>
        <v>0</v>
      </c>
      <c r="BR29" s="4">
        <f t="shared" si="16"/>
        <v>0</v>
      </c>
      <c r="BS29" s="4">
        <f t="shared" si="17"/>
        <v>0</v>
      </c>
      <c r="BT29" s="4">
        <f t="shared" si="18"/>
        <v>0</v>
      </c>
      <c r="BU29" s="4">
        <f t="shared" si="19"/>
        <v>0</v>
      </c>
      <c r="BV29" s="4">
        <f t="shared" si="20"/>
        <v>0</v>
      </c>
      <c r="BW29" s="4">
        <f t="shared" si="21"/>
        <v>0</v>
      </c>
      <c r="BX29" s="4">
        <f t="shared" si="22"/>
        <v>0</v>
      </c>
      <c r="BY29" s="4">
        <f t="shared" si="23"/>
        <v>0</v>
      </c>
      <c r="BZ29" s="4">
        <f t="shared" si="24"/>
        <v>0</v>
      </c>
      <c r="CA29" s="4">
        <f t="shared" si="25"/>
        <v>0</v>
      </c>
      <c r="CB29" s="4">
        <f t="shared" si="26"/>
        <v>0</v>
      </c>
      <c r="CC29" s="4">
        <f t="shared" si="27"/>
        <v>0</v>
      </c>
      <c r="CD29" s="4">
        <f t="shared" si="28"/>
        <v>0</v>
      </c>
      <c r="CE29" s="4">
        <f t="shared" si="29"/>
        <v>0</v>
      </c>
      <c r="CF29" s="4">
        <f t="shared" si="30"/>
        <v>0</v>
      </c>
      <c r="CG29" s="4">
        <f t="shared" si="31"/>
        <v>0</v>
      </c>
      <c r="CH29" s="4">
        <f t="shared" si="32"/>
        <v>0</v>
      </c>
      <c r="CI29" s="4">
        <f t="shared" si="33"/>
        <v>0</v>
      </c>
      <c r="CJ29" s="4">
        <f t="shared" si="34"/>
        <v>0</v>
      </c>
      <c r="CK29" s="4">
        <f t="shared" si="35"/>
        <v>0</v>
      </c>
      <c r="CL29" s="4">
        <f t="shared" si="36"/>
        <v>0</v>
      </c>
      <c r="CM29" s="4">
        <f t="shared" si="37"/>
        <v>0</v>
      </c>
      <c r="CN29" s="4">
        <f t="shared" si="38"/>
        <v>0</v>
      </c>
      <c r="CO29" s="4">
        <f t="shared" si="39"/>
        <v>0</v>
      </c>
      <c r="CP29" s="4">
        <f t="shared" si="40"/>
        <v>0</v>
      </c>
      <c r="CQ29" s="4">
        <f t="shared" si="41"/>
        <v>0</v>
      </c>
      <c r="CR29" s="4">
        <f t="shared" si="42"/>
        <v>0</v>
      </c>
      <c r="CS29" s="4">
        <f t="shared" si="43"/>
        <v>0</v>
      </c>
      <c r="CT29" s="4">
        <f t="shared" si="44"/>
        <v>0</v>
      </c>
      <c r="CU29" s="4">
        <f t="shared" si="45"/>
        <v>0</v>
      </c>
      <c r="CV29" s="4">
        <f t="shared" si="46"/>
        <v>0</v>
      </c>
      <c r="CW29" s="4">
        <f t="shared" si="47"/>
        <v>0</v>
      </c>
      <c r="CX29" s="4">
        <f t="shared" si="48"/>
        <v>0</v>
      </c>
      <c r="CY29" s="4">
        <f t="shared" si="49"/>
        <v>0</v>
      </c>
      <c r="CZ29" s="4">
        <f t="shared" si="50"/>
        <v>0</v>
      </c>
      <c r="DA29" s="4">
        <f t="shared" si="51"/>
        <v>0</v>
      </c>
      <c r="DB29" s="4">
        <f t="shared" si="52"/>
        <v>0</v>
      </c>
      <c r="DC29" s="4">
        <f t="shared" si="53"/>
        <v>0</v>
      </c>
      <c r="DD29" s="4">
        <f t="shared" si="54"/>
        <v>0</v>
      </c>
    </row>
    <row r="30" spans="1:108" x14ac:dyDescent="0.25">
      <c r="A30" s="41" t="str">
        <f>Skills!M12</f>
        <v>Riding, Camel</v>
      </c>
      <c r="B30" s="55" t="str">
        <f>Skills!N12</f>
        <v>Camel</v>
      </c>
      <c r="C30" s="22">
        <f t="shared" si="55"/>
        <v>0</v>
      </c>
      <c r="D30" s="112" t="e">
        <f>Skills!S12</f>
        <v>#N/A</v>
      </c>
      <c r="E30" s="113" t="e">
        <f>Profession!$B$4</f>
        <v>#REF!</v>
      </c>
      <c r="F30" s="19"/>
      <c r="G30" s="19"/>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56"/>
      <c r="BF30" s="4">
        <f t="shared" si="5"/>
        <v>0</v>
      </c>
      <c r="BG30" s="4">
        <f t="shared" si="5"/>
        <v>0</v>
      </c>
      <c r="BH30" s="4">
        <f t="shared" si="6"/>
        <v>0</v>
      </c>
      <c r="BI30" s="4">
        <f t="shared" si="7"/>
        <v>0</v>
      </c>
      <c r="BJ30" s="4">
        <f t="shared" si="8"/>
        <v>0</v>
      </c>
      <c r="BK30" s="4">
        <f t="shared" si="9"/>
        <v>0</v>
      </c>
      <c r="BL30" s="4">
        <f t="shared" si="10"/>
        <v>0</v>
      </c>
      <c r="BM30" s="4">
        <f t="shared" si="11"/>
        <v>0</v>
      </c>
      <c r="BN30" s="4">
        <f t="shared" si="12"/>
        <v>0</v>
      </c>
      <c r="BO30" s="4">
        <f t="shared" si="13"/>
        <v>0</v>
      </c>
      <c r="BP30" s="4">
        <f t="shared" si="14"/>
        <v>0</v>
      </c>
      <c r="BQ30" s="4">
        <f t="shared" si="15"/>
        <v>0</v>
      </c>
      <c r="BR30" s="4">
        <f t="shared" si="16"/>
        <v>0</v>
      </c>
      <c r="BS30" s="4">
        <f t="shared" si="17"/>
        <v>0</v>
      </c>
      <c r="BT30" s="4">
        <f t="shared" si="18"/>
        <v>0</v>
      </c>
      <c r="BU30" s="4">
        <f t="shared" si="19"/>
        <v>0</v>
      </c>
      <c r="BV30" s="4">
        <f t="shared" si="20"/>
        <v>0</v>
      </c>
      <c r="BW30" s="4">
        <f t="shared" si="21"/>
        <v>0</v>
      </c>
      <c r="BX30" s="4">
        <f t="shared" si="22"/>
        <v>0</v>
      </c>
      <c r="BY30" s="4">
        <f t="shared" si="23"/>
        <v>0</v>
      </c>
      <c r="BZ30" s="4">
        <f t="shared" si="24"/>
        <v>0</v>
      </c>
      <c r="CA30" s="4">
        <f t="shared" si="25"/>
        <v>0</v>
      </c>
      <c r="CB30" s="4">
        <f t="shared" si="26"/>
        <v>0</v>
      </c>
      <c r="CC30" s="4">
        <f t="shared" si="27"/>
        <v>0</v>
      </c>
      <c r="CD30" s="4">
        <f t="shared" si="28"/>
        <v>0</v>
      </c>
      <c r="CE30" s="4">
        <f t="shared" si="29"/>
        <v>0</v>
      </c>
      <c r="CF30" s="4">
        <f t="shared" si="30"/>
        <v>0</v>
      </c>
      <c r="CG30" s="4">
        <f t="shared" si="31"/>
        <v>0</v>
      </c>
      <c r="CH30" s="4">
        <f t="shared" si="32"/>
        <v>0</v>
      </c>
      <c r="CI30" s="4">
        <f t="shared" si="33"/>
        <v>0</v>
      </c>
      <c r="CJ30" s="4">
        <f t="shared" si="34"/>
        <v>0</v>
      </c>
      <c r="CK30" s="4">
        <f t="shared" si="35"/>
        <v>0</v>
      </c>
      <c r="CL30" s="4">
        <f t="shared" si="36"/>
        <v>0</v>
      </c>
      <c r="CM30" s="4">
        <f t="shared" si="37"/>
        <v>0</v>
      </c>
      <c r="CN30" s="4">
        <f t="shared" si="38"/>
        <v>0</v>
      </c>
      <c r="CO30" s="4">
        <f t="shared" si="39"/>
        <v>0</v>
      </c>
      <c r="CP30" s="4">
        <f t="shared" si="40"/>
        <v>0</v>
      </c>
      <c r="CQ30" s="4">
        <f t="shared" si="41"/>
        <v>0</v>
      </c>
      <c r="CR30" s="4">
        <f t="shared" si="42"/>
        <v>0</v>
      </c>
      <c r="CS30" s="4">
        <f t="shared" si="43"/>
        <v>0</v>
      </c>
      <c r="CT30" s="4">
        <f t="shared" si="44"/>
        <v>0</v>
      </c>
      <c r="CU30" s="4">
        <f t="shared" si="45"/>
        <v>0</v>
      </c>
      <c r="CV30" s="4">
        <f t="shared" si="46"/>
        <v>0</v>
      </c>
      <c r="CW30" s="4">
        <f t="shared" si="47"/>
        <v>0</v>
      </c>
      <c r="CX30" s="4">
        <f t="shared" si="48"/>
        <v>0</v>
      </c>
      <c r="CY30" s="4">
        <f t="shared" si="49"/>
        <v>0</v>
      </c>
      <c r="CZ30" s="4">
        <f t="shared" si="50"/>
        <v>0</v>
      </c>
      <c r="DA30" s="4">
        <f t="shared" si="51"/>
        <v>0</v>
      </c>
      <c r="DB30" s="4">
        <f t="shared" si="52"/>
        <v>0</v>
      </c>
      <c r="DC30" s="4">
        <f t="shared" si="53"/>
        <v>0</v>
      </c>
      <c r="DD30" s="4">
        <f t="shared" si="54"/>
        <v>0</v>
      </c>
    </row>
    <row r="31" spans="1:108" x14ac:dyDescent="0.25">
      <c r="A31" s="41" t="str">
        <f>Skills!M13</f>
        <v>Riding, Horse</v>
      </c>
      <c r="B31" s="57" t="str">
        <f>Skills!N13</f>
        <v>Horse</v>
      </c>
      <c r="C31" s="24">
        <f t="shared" si="55"/>
        <v>0</v>
      </c>
      <c r="D31" s="110" t="e">
        <f>Skills!S13</f>
        <v>#N/A</v>
      </c>
      <c r="E31" s="111" t="e">
        <f>Profession!$B$4</f>
        <v>#REF!</v>
      </c>
      <c r="F31" s="18"/>
      <c r="G31" s="18"/>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49"/>
      <c r="BF31" s="4">
        <f t="shared" si="5"/>
        <v>0</v>
      </c>
      <c r="BG31" s="4">
        <f t="shared" si="5"/>
        <v>0</v>
      </c>
      <c r="BH31" s="4">
        <f t="shared" si="6"/>
        <v>0</v>
      </c>
      <c r="BI31" s="4">
        <f t="shared" si="7"/>
        <v>0</v>
      </c>
      <c r="BJ31" s="4">
        <f t="shared" si="8"/>
        <v>0</v>
      </c>
      <c r="BK31" s="4">
        <f t="shared" si="9"/>
        <v>0</v>
      </c>
      <c r="BL31" s="4">
        <f t="shared" si="10"/>
        <v>0</v>
      </c>
      <c r="BM31" s="4">
        <f t="shared" si="11"/>
        <v>0</v>
      </c>
      <c r="BN31" s="4">
        <f t="shared" si="12"/>
        <v>0</v>
      </c>
      <c r="BO31" s="4">
        <f t="shared" si="13"/>
        <v>0</v>
      </c>
      <c r="BP31" s="4">
        <f t="shared" si="14"/>
        <v>0</v>
      </c>
      <c r="BQ31" s="4">
        <f t="shared" si="15"/>
        <v>0</v>
      </c>
      <c r="BR31" s="4">
        <f t="shared" si="16"/>
        <v>0</v>
      </c>
      <c r="BS31" s="4">
        <f t="shared" si="17"/>
        <v>0</v>
      </c>
      <c r="BT31" s="4">
        <f t="shared" si="18"/>
        <v>0</v>
      </c>
      <c r="BU31" s="4">
        <f t="shared" si="19"/>
        <v>0</v>
      </c>
      <c r="BV31" s="4">
        <f t="shared" si="20"/>
        <v>0</v>
      </c>
      <c r="BW31" s="4">
        <f t="shared" si="21"/>
        <v>0</v>
      </c>
      <c r="BX31" s="4">
        <f t="shared" si="22"/>
        <v>0</v>
      </c>
      <c r="BY31" s="4">
        <f t="shared" si="23"/>
        <v>0</v>
      </c>
      <c r="BZ31" s="4">
        <f t="shared" si="24"/>
        <v>0</v>
      </c>
      <c r="CA31" s="4">
        <f t="shared" si="25"/>
        <v>0</v>
      </c>
      <c r="CB31" s="4">
        <f t="shared" si="26"/>
        <v>0</v>
      </c>
      <c r="CC31" s="4">
        <f t="shared" si="27"/>
        <v>0</v>
      </c>
      <c r="CD31" s="4">
        <f t="shared" si="28"/>
        <v>0</v>
      </c>
      <c r="CE31" s="4">
        <f t="shared" si="29"/>
        <v>0</v>
      </c>
      <c r="CF31" s="4">
        <f t="shared" si="30"/>
        <v>0</v>
      </c>
      <c r="CG31" s="4">
        <f t="shared" si="31"/>
        <v>0</v>
      </c>
      <c r="CH31" s="4">
        <f t="shared" si="32"/>
        <v>0</v>
      </c>
      <c r="CI31" s="4">
        <f t="shared" si="33"/>
        <v>0</v>
      </c>
      <c r="CJ31" s="4">
        <f t="shared" si="34"/>
        <v>0</v>
      </c>
      <c r="CK31" s="4">
        <f t="shared" si="35"/>
        <v>0</v>
      </c>
      <c r="CL31" s="4">
        <f t="shared" si="36"/>
        <v>0</v>
      </c>
      <c r="CM31" s="4">
        <f t="shared" si="37"/>
        <v>0</v>
      </c>
      <c r="CN31" s="4">
        <f t="shared" si="38"/>
        <v>0</v>
      </c>
      <c r="CO31" s="4">
        <f t="shared" si="39"/>
        <v>0</v>
      </c>
      <c r="CP31" s="4">
        <f t="shared" si="40"/>
        <v>0</v>
      </c>
      <c r="CQ31" s="4">
        <f t="shared" si="41"/>
        <v>0</v>
      </c>
      <c r="CR31" s="4">
        <f t="shared" si="42"/>
        <v>0</v>
      </c>
      <c r="CS31" s="4">
        <f t="shared" si="43"/>
        <v>0</v>
      </c>
      <c r="CT31" s="4">
        <f t="shared" si="44"/>
        <v>0</v>
      </c>
      <c r="CU31" s="4">
        <f t="shared" si="45"/>
        <v>0</v>
      </c>
      <c r="CV31" s="4">
        <f t="shared" si="46"/>
        <v>0</v>
      </c>
      <c r="CW31" s="4">
        <f t="shared" si="47"/>
        <v>0</v>
      </c>
      <c r="CX31" s="4">
        <f t="shared" si="48"/>
        <v>0</v>
      </c>
      <c r="CY31" s="4">
        <f t="shared" si="49"/>
        <v>0</v>
      </c>
      <c r="CZ31" s="4">
        <f t="shared" si="50"/>
        <v>0</v>
      </c>
      <c r="DA31" s="4">
        <f t="shared" si="51"/>
        <v>0</v>
      </c>
      <c r="DB31" s="4">
        <f t="shared" si="52"/>
        <v>0</v>
      </c>
      <c r="DC31" s="4">
        <f t="shared" si="53"/>
        <v>0</v>
      </c>
      <c r="DD31" s="4">
        <f t="shared" si="54"/>
        <v>0</v>
      </c>
    </row>
    <row r="32" spans="1:108" x14ac:dyDescent="0.25">
      <c r="A32" s="41" t="str">
        <f>Skills!M14</f>
        <v>Riding, 0</v>
      </c>
      <c r="B32" s="55">
        <f>Skills!N14</f>
        <v>0</v>
      </c>
      <c r="C32" s="22">
        <f t="shared" si="55"/>
        <v>0</v>
      </c>
      <c r="D32" s="112" t="e">
        <f>Skills!S14</f>
        <v>#N/A</v>
      </c>
      <c r="E32" s="113" t="e">
        <f>Profession!$B$4</f>
        <v>#REF!</v>
      </c>
      <c r="F32" s="19"/>
      <c r="G32" s="19"/>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56"/>
      <c r="BF32" s="4">
        <f t="shared" si="5"/>
        <v>0</v>
      </c>
      <c r="BG32" s="4">
        <f t="shared" si="5"/>
        <v>0</v>
      </c>
      <c r="BH32" s="4">
        <f t="shared" si="6"/>
        <v>0</v>
      </c>
      <c r="BI32" s="4">
        <f t="shared" si="7"/>
        <v>0</v>
      </c>
      <c r="BJ32" s="4">
        <f t="shared" si="8"/>
        <v>0</v>
      </c>
      <c r="BK32" s="4">
        <f t="shared" si="9"/>
        <v>0</v>
      </c>
      <c r="BL32" s="4">
        <f t="shared" si="10"/>
        <v>0</v>
      </c>
      <c r="BM32" s="4">
        <f t="shared" si="11"/>
        <v>0</v>
      </c>
      <c r="BN32" s="4">
        <f t="shared" si="12"/>
        <v>0</v>
      </c>
      <c r="BO32" s="4">
        <f t="shared" si="13"/>
        <v>0</v>
      </c>
      <c r="BP32" s="4">
        <f t="shared" si="14"/>
        <v>0</v>
      </c>
      <c r="BQ32" s="4">
        <f t="shared" si="15"/>
        <v>0</v>
      </c>
      <c r="BR32" s="4">
        <f t="shared" si="16"/>
        <v>0</v>
      </c>
      <c r="BS32" s="4">
        <f t="shared" si="17"/>
        <v>0</v>
      </c>
      <c r="BT32" s="4">
        <f t="shared" si="18"/>
        <v>0</v>
      </c>
      <c r="BU32" s="4">
        <f t="shared" si="19"/>
        <v>0</v>
      </c>
      <c r="BV32" s="4">
        <f t="shared" si="20"/>
        <v>0</v>
      </c>
      <c r="BW32" s="4">
        <f t="shared" si="21"/>
        <v>0</v>
      </c>
      <c r="BX32" s="4">
        <f t="shared" si="22"/>
        <v>0</v>
      </c>
      <c r="BY32" s="4">
        <f t="shared" si="23"/>
        <v>0</v>
      </c>
      <c r="BZ32" s="4">
        <f t="shared" si="24"/>
        <v>0</v>
      </c>
      <c r="CA32" s="4">
        <f t="shared" si="25"/>
        <v>0</v>
      </c>
      <c r="CB32" s="4">
        <f t="shared" si="26"/>
        <v>0</v>
      </c>
      <c r="CC32" s="4">
        <f t="shared" si="27"/>
        <v>0</v>
      </c>
      <c r="CD32" s="4">
        <f t="shared" si="28"/>
        <v>0</v>
      </c>
      <c r="CE32" s="4">
        <f t="shared" si="29"/>
        <v>0</v>
      </c>
      <c r="CF32" s="4">
        <f t="shared" si="30"/>
        <v>0</v>
      </c>
      <c r="CG32" s="4">
        <f t="shared" si="31"/>
        <v>0</v>
      </c>
      <c r="CH32" s="4">
        <f t="shared" si="32"/>
        <v>0</v>
      </c>
      <c r="CI32" s="4">
        <f t="shared" si="33"/>
        <v>0</v>
      </c>
      <c r="CJ32" s="4">
        <f t="shared" si="34"/>
        <v>0</v>
      </c>
      <c r="CK32" s="4">
        <f t="shared" si="35"/>
        <v>0</v>
      </c>
      <c r="CL32" s="4">
        <f t="shared" si="36"/>
        <v>0</v>
      </c>
      <c r="CM32" s="4">
        <f t="shared" si="37"/>
        <v>0</v>
      </c>
      <c r="CN32" s="4">
        <f t="shared" si="38"/>
        <v>0</v>
      </c>
      <c r="CO32" s="4">
        <f t="shared" si="39"/>
        <v>0</v>
      </c>
      <c r="CP32" s="4">
        <f t="shared" si="40"/>
        <v>0</v>
      </c>
      <c r="CQ32" s="4">
        <f t="shared" si="41"/>
        <v>0</v>
      </c>
      <c r="CR32" s="4">
        <f t="shared" si="42"/>
        <v>0</v>
      </c>
      <c r="CS32" s="4">
        <f t="shared" si="43"/>
        <v>0</v>
      </c>
      <c r="CT32" s="4">
        <f t="shared" si="44"/>
        <v>0</v>
      </c>
      <c r="CU32" s="4">
        <f t="shared" si="45"/>
        <v>0</v>
      </c>
      <c r="CV32" s="4">
        <f t="shared" si="46"/>
        <v>0</v>
      </c>
      <c r="CW32" s="4">
        <f t="shared" si="47"/>
        <v>0</v>
      </c>
      <c r="CX32" s="4">
        <f t="shared" si="48"/>
        <v>0</v>
      </c>
      <c r="CY32" s="4">
        <f t="shared" si="49"/>
        <v>0</v>
      </c>
      <c r="CZ32" s="4">
        <f t="shared" si="50"/>
        <v>0</v>
      </c>
      <c r="DA32" s="4">
        <f t="shared" si="51"/>
        <v>0</v>
      </c>
      <c r="DB32" s="4">
        <f t="shared" si="52"/>
        <v>0</v>
      </c>
      <c r="DC32" s="4">
        <f t="shared" si="53"/>
        <v>0</v>
      </c>
      <c r="DD32" s="4">
        <f t="shared" si="54"/>
        <v>0</v>
      </c>
    </row>
    <row r="33" spans="1:108" x14ac:dyDescent="0.25">
      <c r="A33" s="41" t="str">
        <f>Skills!M15</f>
        <v>Riding, 0</v>
      </c>
      <c r="B33" s="57">
        <f>Skills!N15</f>
        <v>0</v>
      </c>
      <c r="C33" s="24">
        <f t="shared" si="55"/>
        <v>0</v>
      </c>
      <c r="D33" s="110" t="e">
        <f>Skills!S15</f>
        <v>#N/A</v>
      </c>
      <c r="E33" s="111" t="e">
        <f>Profession!$B$4</f>
        <v>#REF!</v>
      </c>
      <c r="F33" s="18"/>
      <c r="G33" s="18"/>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49"/>
      <c r="BF33" s="4">
        <f t="shared" si="5"/>
        <v>0</v>
      </c>
      <c r="BG33" s="4">
        <f t="shared" si="5"/>
        <v>0</v>
      </c>
      <c r="BH33" s="4">
        <f t="shared" si="6"/>
        <v>0</v>
      </c>
      <c r="BI33" s="4">
        <f t="shared" si="7"/>
        <v>0</v>
      </c>
      <c r="BJ33" s="4">
        <f t="shared" si="8"/>
        <v>0</v>
      </c>
      <c r="BK33" s="4">
        <f t="shared" si="9"/>
        <v>0</v>
      </c>
      <c r="BL33" s="4">
        <f t="shared" si="10"/>
        <v>0</v>
      </c>
      <c r="BM33" s="4">
        <f t="shared" si="11"/>
        <v>0</v>
      </c>
      <c r="BN33" s="4">
        <f t="shared" si="12"/>
        <v>0</v>
      </c>
      <c r="BO33" s="4">
        <f t="shared" si="13"/>
        <v>0</v>
      </c>
      <c r="BP33" s="4">
        <f t="shared" si="14"/>
        <v>0</v>
      </c>
      <c r="BQ33" s="4">
        <f t="shared" si="15"/>
        <v>0</v>
      </c>
      <c r="BR33" s="4">
        <f t="shared" si="16"/>
        <v>0</v>
      </c>
      <c r="BS33" s="4">
        <f t="shared" si="17"/>
        <v>0</v>
      </c>
      <c r="BT33" s="4">
        <f t="shared" si="18"/>
        <v>0</v>
      </c>
      <c r="BU33" s="4">
        <f t="shared" si="19"/>
        <v>0</v>
      </c>
      <c r="BV33" s="4">
        <f t="shared" si="20"/>
        <v>0</v>
      </c>
      <c r="BW33" s="4">
        <f t="shared" si="21"/>
        <v>0</v>
      </c>
      <c r="BX33" s="4">
        <f t="shared" si="22"/>
        <v>0</v>
      </c>
      <c r="BY33" s="4">
        <f t="shared" si="23"/>
        <v>0</v>
      </c>
      <c r="BZ33" s="4">
        <f t="shared" si="24"/>
        <v>0</v>
      </c>
      <c r="CA33" s="4">
        <f t="shared" si="25"/>
        <v>0</v>
      </c>
      <c r="CB33" s="4">
        <f t="shared" si="26"/>
        <v>0</v>
      </c>
      <c r="CC33" s="4">
        <f t="shared" si="27"/>
        <v>0</v>
      </c>
      <c r="CD33" s="4">
        <f t="shared" si="28"/>
        <v>0</v>
      </c>
      <c r="CE33" s="4">
        <f t="shared" si="29"/>
        <v>0</v>
      </c>
      <c r="CF33" s="4">
        <f t="shared" si="30"/>
        <v>0</v>
      </c>
      <c r="CG33" s="4">
        <f t="shared" si="31"/>
        <v>0</v>
      </c>
      <c r="CH33" s="4">
        <f t="shared" si="32"/>
        <v>0</v>
      </c>
      <c r="CI33" s="4">
        <f t="shared" si="33"/>
        <v>0</v>
      </c>
      <c r="CJ33" s="4">
        <f t="shared" si="34"/>
        <v>0</v>
      </c>
      <c r="CK33" s="4">
        <f t="shared" si="35"/>
        <v>0</v>
      </c>
      <c r="CL33" s="4">
        <f t="shared" si="36"/>
        <v>0</v>
      </c>
      <c r="CM33" s="4">
        <f t="shared" si="37"/>
        <v>0</v>
      </c>
      <c r="CN33" s="4">
        <f t="shared" si="38"/>
        <v>0</v>
      </c>
      <c r="CO33" s="4">
        <f t="shared" si="39"/>
        <v>0</v>
      </c>
      <c r="CP33" s="4">
        <f t="shared" si="40"/>
        <v>0</v>
      </c>
      <c r="CQ33" s="4">
        <f t="shared" si="41"/>
        <v>0</v>
      </c>
      <c r="CR33" s="4">
        <f t="shared" si="42"/>
        <v>0</v>
      </c>
      <c r="CS33" s="4">
        <f t="shared" si="43"/>
        <v>0</v>
      </c>
      <c r="CT33" s="4">
        <f t="shared" si="44"/>
        <v>0</v>
      </c>
      <c r="CU33" s="4">
        <f t="shared" si="45"/>
        <v>0</v>
      </c>
      <c r="CV33" s="4">
        <f t="shared" si="46"/>
        <v>0</v>
      </c>
      <c r="CW33" s="4">
        <f t="shared" si="47"/>
        <v>0</v>
      </c>
      <c r="CX33" s="4">
        <f t="shared" si="48"/>
        <v>0</v>
      </c>
      <c r="CY33" s="4">
        <f t="shared" si="49"/>
        <v>0</v>
      </c>
      <c r="CZ33" s="4">
        <f t="shared" si="50"/>
        <v>0</v>
      </c>
      <c r="DA33" s="4">
        <f t="shared" si="51"/>
        <v>0</v>
      </c>
      <c r="DB33" s="4">
        <f t="shared" si="52"/>
        <v>0</v>
      </c>
      <c r="DC33" s="4">
        <f t="shared" si="53"/>
        <v>0</v>
      </c>
      <c r="DD33" s="4">
        <f t="shared" si="54"/>
        <v>0</v>
      </c>
    </row>
    <row r="34" spans="1:108" x14ac:dyDescent="0.25">
      <c r="A34" s="41">
        <f>Skills!M16</f>
        <v>0</v>
      </c>
      <c r="B34" s="55" t="str">
        <f>Skills!N16</f>
        <v>Animal Training Sub-category</v>
      </c>
      <c r="C34" s="22">
        <f t="shared" si="55"/>
        <v>0</v>
      </c>
      <c r="D34" s="112" t="str">
        <f>Skills!S16</f>
        <v>- -</v>
      </c>
      <c r="E34" s="113" t="s">
        <v>782</v>
      </c>
      <c r="F34" s="19"/>
      <c r="G34" s="19"/>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56"/>
      <c r="BF34" s="4">
        <f t="shared" si="5"/>
        <v>0</v>
      </c>
      <c r="BG34" s="4">
        <f t="shared" si="5"/>
        <v>0</v>
      </c>
      <c r="BH34" s="4">
        <f t="shared" si="6"/>
        <v>0</v>
      </c>
      <c r="BI34" s="4">
        <f t="shared" si="7"/>
        <v>0</v>
      </c>
      <c r="BJ34" s="4">
        <f t="shared" si="8"/>
        <v>0</v>
      </c>
      <c r="BK34" s="4">
        <f t="shared" si="9"/>
        <v>0</v>
      </c>
      <c r="BL34" s="4">
        <f t="shared" si="10"/>
        <v>0</v>
      </c>
      <c r="BM34" s="4">
        <f t="shared" si="11"/>
        <v>0</v>
      </c>
      <c r="BN34" s="4">
        <f t="shared" si="12"/>
        <v>0</v>
      </c>
      <c r="BO34" s="4">
        <f t="shared" si="13"/>
        <v>0</v>
      </c>
      <c r="BP34" s="4">
        <f t="shared" si="14"/>
        <v>0</v>
      </c>
      <c r="BQ34" s="4">
        <f t="shared" si="15"/>
        <v>0</v>
      </c>
      <c r="BR34" s="4">
        <f t="shared" si="16"/>
        <v>0</v>
      </c>
      <c r="BS34" s="4">
        <f t="shared" si="17"/>
        <v>0</v>
      </c>
      <c r="BT34" s="4">
        <f t="shared" si="18"/>
        <v>0</v>
      </c>
      <c r="BU34" s="4">
        <f t="shared" si="19"/>
        <v>0</v>
      </c>
      <c r="BV34" s="4">
        <f t="shared" si="20"/>
        <v>0</v>
      </c>
      <c r="BW34" s="4">
        <f t="shared" si="21"/>
        <v>0</v>
      </c>
      <c r="BX34" s="4">
        <f t="shared" si="22"/>
        <v>0</v>
      </c>
      <c r="BY34" s="4">
        <f t="shared" si="23"/>
        <v>0</v>
      </c>
      <c r="BZ34" s="4">
        <f t="shared" si="24"/>
        <v>0</v>
      </c>
      <c r="CA34" s="4">
        <f t="shared" si="25"/>
        <v>0</v>
      </c>
      <c r="CB34" s="4">
        <f t="shared" si="26"/>
        <v>0</v>
      </c>
      <c r="CC34" s="4">
        <f t="shared" si="27"/>
        <v>0</v>
      </c>
      <c r="CD34" s="4">
        <f t="shared" si="28"/>
        <v>0</v>
      </c>
      <c r="CE34" s="4">
        <f t="shared" si="29"/>
        <v>0</v>
      </c>
      <c r="CF34" s="4">
        <f t="shared" si="30"/>
        <v>0</v>
      </c>
      <c r="CG34" s="4">
        <f t="shared" si="31"/>
        <v>0</v>
      </c>
      <c r="CH34" s="4">
        <f t="shared" si="32"/>
        <v>0</v>
      </c>
      <c r="CI34" s="4">
        <f t="shared" si="33"/>
        <v>0</v>
      </c>
      <c r="CJ34" s="4">
        <f t="shared" si="34"/>
        <v>0</v>
      </c>
      <c r="CK34" s="4">
        <f t="shared" si="35"/>
        <v>0</v>
      </c>
      <c r="CL34" s="4">
        <f t="shared" si="36"/>
        <v>0</v>
      </c>
      <c r="CM34" s="4">
        <f t="shared" si="37"/>
        <v>0</v>
      </c>
      <c r="CN34" s="4">
        <f t="shared" si="38"/>
        <v>0</v>
      </c>
      <c r="CO34" s="4">
        <f t="shared" si="39"/>
        <v>0</v>
      </c>
      <c r="CP34" s="4">
        <f t="shared" si="40"/>
        <v>0</v>
      </c>
      <c r="CQ34" s="4">
        <f t="shared" si="41"/>
        <v>0</v>
      </c>
      <c r="CR34" s="4">
        <f t="shared" si="42"/>
        <v>0</v>
      </c>
      <c r="CS34" s="4">
        <f t="shared" si="43"/>
        <v>0</v>
      </c>
      <c r="CT34" s="4">
        <f t="shared" si="44"/>
        <v>0</v>
      </c>
      <c r="CU34" s="4">
        <f t="shared" si="45"/>
        <v>0</v>
      </c>
      <c r="CV34" s="4">
        <f t="shared" si="46"/>
        <v>0</v>
      </c>
      <c r="CW34" s="4">
        <f t="shared" si="47"/>
        <v>0</v>
      </c>
      <c r="CX34" s="4">
        <f t="shared" si="48"/>
        <v>0</v>
      </c>
      <c r="CY34" s="4">
        <f t="shared" si="49"/>
        <v>0</v>
      </c>
      <c r="CZ34" s="4">
        <f t="shared" si="50"/>
        <v>0</v>
      </c>
      <c r="DA34" s="4">
        <f t="shared" si="51"/>
        <v>0</v>
      </c>
      <c r="DB34" s="4">
        <f t="shared" si="52"/>
        <v>0</v>
      </c>
      <c r="DC34" s="4">
        <f t="shared" si="53"/>
        <v>0</v>
      </c>
      <c r="DD34" s="4">
        <f t="shared" si="54"/>
        <v>0</v>
      </c>
    </row>
    <row r="35" spans="1:108" x14ac:dyDescent="0.25">
      <c r="A35" s="41">
        <f>Skills!M17</f>
        <v>0</v>
      </c>
      <c r="B35" s="57" t="str">
        <f>Skills!N17</f>
        <v>Animal Training Skills</v>
      </c>
      <c r="C35" s="24">
        <f t="shared" si="55"/>
        <v>0</v>
      </c>
      <c r="D35" s="110" t="str">
        <f>Skills!S17</f>
        <v>- -</v>
      </c>
      <c r="E35" s="111" t="s">
        <v>782</v>
      </c>
      <c r="F35" s="18"/>
      <c r="G35" s="18"/>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49"/>
      <c r="BF35" s="4">
        <f t="shared" si="5"/>
        <v>0</v>
      </c>
      <c r="BG35" s="4">
        <f t="shared" si="5"/>
        <v>0</v>
      </c>
      <c r="BH35" s="4">
        <f t="shared" si="6"/>
        <v>0</v>
      </c>
      <c r="BI35" s="4">
        <f t="shared" si="7"/>
        <v>0</v>
      </c>
      <c r="BJ35" s="4">
        <f t="shared" si="8"/>
        <v>0</v>
      </c>
      <c r="BK35" s="4">
        <f t="shared" si="9"/>
        <v>0</v>
      </c>
      <c r="BL35" s="4">
        <f t="shared" si="10"/>
        <v>0</v>
      </c>
      <c r="BM35" s="4">
        <f t="shared" si="11"/>
        <v>0</v>
      </c>
      <c r="BN35" s="4">
        <f t="shared" si="12"/>
        <v>0</v>
      </c>
      <c r="BO35" s="4">
        <f t="shared" si="13"/>
        <v>0</v>
      </c>
      <c r="BP35" s="4">
        <f t="shared" si="14"/>
        <v>0</v>
      </c>
      <c r="BQ35" s="4">
        <f t="shared" si="15"/>
        <v>0</v>
      </c>
      <c r="BR35" s="4">
        <f t="shared" si="16"/>
        <v>0</v>
      </c>
      <c r="BS35" s="4">
        <f t="shared" si="17"/>
        <v>0</v>
      </c>
      <c r="BT35" s="4">
        <f t="shared" si="18"/>
        <v>0</v>
      </c>
      <c r="BU35" s="4">
        <f t="shared" si="19"/>
        <v>0</v>
      </c>
      <c r="BV35" s="4">
        <f t="shared" si="20"/>
        <v>0</v>
      </c>
      <c r="BW35" s="4">
        <f t="shared" si="21"/>
        <v>0</v>
      </c>
      <c r="BX35" s="4">
        <f t="shared" si="22"/>
        <v>0</v>
      </c>
      <c r="BY35" s="4">
        <f t="shared" si="23"/>
        <v>0</v>
      </c>
      <c r="BZ35" s="4">
        <f t="shared" si="24"/>
        <v>0</v>
      </c>
      <c r="CA35" s="4">
        <f t="shared" si="25"/>
        <v>0</v>
      </c>
      <c r="CB35" s="4">
        <f t="shared" si="26"/>
        <v>0</v>
      </c>
      <c r="CC35" s="4">
        <f t="shared" si="27"/>
        <v>0</v>
      </c>
      <c r="CD35" s="4">
        <f t="shared" si="28"/>
        <v>0</v>
      </c>
      <c r="CE35" s="4">
        <f t="shared" si="29"/>
        <v>0</v>
      </c>
      <c r="CF35" s="4">
        <f t="shared" si="30"/>
        <v>0</v>
      </c>
      <c r="CG35" s="4">
        <f t="shared" si="31"/>
        <v>0</v>
      </c>
      <c r="CH35" s="4">
        <f t="shared" si="32"/>
        <v>0</v>
      </c>
      <c r="CI35" s="4">
        <f t="shared" si="33"/>
        <v>0</v>
      </c>
      <c r="CJ35" s="4">
        <f t="shared" si="34"/>
        <v>0</v>
      </c>
      <c r="CK35" s="4">
        <f t="shared" si="35"/>
        <v>0</v>
      </c>
      <c r="CL35" s="4">
        <f t="shared" si="36"/>
        <v>0</v>
      </c>
      <c r="CM35" s="4">
        <f t="shared" si="37"/>
        <v>0</v>
      </c>
      <c r="CN35" s="4">
        <f t="shared" si="38"/>
        <v>0</v>
      </c>
      <c r="CO35" s="4">
        <f t="shared" si="39"/>
        <v>0</v>
      </c>
      <c r="CP35" s="4">
        <f t="shared" si="40"/>
        <v>0</v>
      </c>
      <c r="CQ35" s="4">
        <f t="shared" si="41"/>
        <v>0</v>
      </c>
      <c r="CR35" s="4">
        <f t="shared" si="42"/>
        <v>0</v>
      </c>
      <c r="CS35" s="4">
        <f t="shared" si="43"/>
        <v>0</v>
      </c>
      <c r="CT35" s="4">
        <f t="shared" si="44"/>
        <v>0</v>
      </c>
      <c r="CU35" s="4">
        <f t="shared" si="45"/>
        <v>0</v>
      </c>
      <c r="CV35" s="4">
        <f t="shared" si="46"/>
        <v>0</v>
      </c>
      <c r="CW35" s="4">
        <f t="shared" si="47"/>
        <v>0</v>
      </c>
      <c r="CX35" s="4">
        <f t="shared" si="48"/>
        <v>0</v>
      </c>
      <c r="CY35" s="4">
        <f t="shared" si="49"/>
        <v>0</v>
      </c>
      <c r="CZ35" s="4">
        <f t="shared" si="50"/>
        <v>0</v>
      </c>
      <c r="DA35" s="4">
        <f t="shared" si="51"/>
        <v>0</v>
      </c>
      <c r="DB35" s="4">
        <f t="shared" si="52"/>
        <v>0</v>
      </c>
      <c r="DC35" s="4">
        <f t="shared" si="53"/>
        <v>0</v>
      </c>
      <c r="DD35" s="4">
        <f t="shared" si="54"/>
        <v>0</v>
      </c>
    </row>
    <row r="36" spans="1:108" x14ac:dyDescent="0.25">
      <c r="A36" s="41" t="str">
        <f>Skills!M18</f>
        <v>Training, Camel</v>
      </c>
      <c r="B36" s="55" t="str">
        <f>Skills!N18</f>
        <v>Camel</v>
      </c>
      <c r="C36" s="22">
        <f t="shared" si="55"/>
        <v>0</v>
      </c>
      <c r="D36" s="112" t="e">
        <f>Skills!S18</f>
        <v>#N/A</v>
      </c>
      <c r="E36" s="113" t="e">
        <f>Profession!$B$5</f>
        <v>#REF!</v>
      </c>
      <c r="F36" s="19"/>
      <c r="G36" s="19"/>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56"/>
      <c r="BF36" s="4">
        <f t="shared" si="5"/>
        <v>0</v>
      </c>
      <c r="BG36" s="4">
        <f t="shared" si="5"/>
        <v>0</v>
      </c>
      <c r="BH36" s="4">
        <f t="shared" si="6"/>
        <v>0</v>
      </c>
      <c r="BI36" s="4">
        <f t="shared" si="7"/>
        <v>0</v>
      </c>
      <c r="BJ36" s="4">
        <f t="shared" si="8"/>
        <v>0</v>
      </c>
      <c r="BK36" s="4">
        <f t="shared" si="9"/>
        <v>0</v>
      </c>
      <c r="BL36" s="4">
        <f t="shared" si="10"/>
        <v>0</v>
      </c>
      <c r="BM36" s="4">
        <f t="shared" si="11"/>
        <v>0</v>
      </c>
      <c r="BN36" s="4">
        <f t="shared" si="12"/>
        <v>0</v>
      </c>
      <c r="BO36" s="4">
        <f t="shared" si="13"/>
        <v>0</v>
      </c>
      <c r="BP36" s="4">
        <f t="shared" si="14"/>
        <v>0</v>
      </c>
      <c r="BQ36" s="4">
        <f t="shared" si="15"/>
        <v>0</v>
      </c>
      <c r="BR36" s="4">
        <f t="shared" si="16"/>
        <v>0</v>
      </c>
      <c r="BS36" s="4">
        <f t="shared" si="17"/>
        <v>0</v>
      </c>
      <c r="BT36" s="4">
        <f t="shared" si="18"/>
        <v>0</v>
      </c>
      <c r="BU36" s="4">
        <f t="shared" si="19"/>
        <v>0</v>
      </c>
      <c r="BV36" s="4">
        <f t="shared" si="20"/>
        <v>0</v>
      </c>
      <c r="BW36" s="4">
        <f t="shared" si="21"/>
        <v>0</v>
      </c>
      <c r="BX36" s="4">
        <f t="shared" si="22"/>
        <v>0</v>
      </c>
      <c r="BY36" s="4">
        <f t="shared" si="23"/>
        <v>0</v>
      </c>
      <c r="BZ36" s="4">
        <f t="shared" si="24"/>
        <v>0</v>
      </c>
      <c r="CA36" s="4">
        <f t="shared" si="25"/>
        <v>0</v>
      </c>
      <c r="CB36" s="4">
        <f t="shared" si="26"/>
        <v>0</v>
      </c>
      <c r="CC36" s="4">
        <f t="shared" si="27"/>
        <v>0</v>
      </c>
      <c r="CD36" s="4">
        <f t="shared" si="28"/>
        <v>0</v>
      </c>
      <c r="CE36" s="4">
        <f t="shared" si="29"/>
        <v>0</v>
      </c>
      <c r="CF36" s="4">
        <f t="shared" si="30"/>
        <v>0</v>
      </c>
      <c r="CG36" s="4">
        <f t="shared" si="31"/>
        <v>0</v>
      </c>
      <c r="CH36" s="4">
        <f t="shared" si="32"/>
        <v>0</v>
      </c>
      <c r="CI36" s="4">
        <f t="shared" si="33"/>
        <v>0</v>
      </c>
      <c r="CJ36" s="4">
        <f t="shared" si="34"/>
        <v>0</v>
      </c>
      <c r="CK36" s="4">
        <f t="shared" si="35"/>
        <v>0</v>
      </c>
      <c r="CL36" s="4">
        <f t="shared" si="36"/>
        <v>0</v>
      </c>
      <c r="CM36" s="4">
        <f t="shared" si="37"/>
        <v>0</v>
      </c>
      <c r="CN36" s="4">
        <f t="shared" si="38"/>
        <v>0</v>
      </c>
      <c r="CO36" s="4">
        <f t="shared" si="39"/>
        <v>0</v>
      </c>
      <c r="CP36" s="4">
        <f t="shared" si="40"/>
        <v>0</v>
      </c>
      <c r="CQ36" s="4">
        <f t="shared" si="41"/>
        <v>0</v>
      </c>
      <c r="CR36" s="4">
        <f t="shared" si="42"/>
        <v>0</v>
      </c>
      <c r="CS36" s="4">
        <f t="shared" si="43"/>
        <v>0</v>
      </c>
      <c r="CT36" s="4">
        <f t="shared" si="44"/>
        <v>0</v>
      </c>
      <c r="CU36" s="4">
        <f t="shared" si="45"/>
        <v>0</v>
      </c>
      <c r="CV36" s="4">
        <f t="shared" si="46"/>
        <v>0</v>
      </c>
      <c r="CW36" s="4">
        <f t="shared" si="47"/>
        <v>0</v>
      </c>
      <c r="CX36" s="4">
        <f t="shared" si="48"/>
        <v>0</v>
      </c>
      <c r="CY36" s="4">
        <f t="shared" si="49"/>
        <v>0</v>
      </c>
      <c r="CZ36" s="4">
        <f t="shared" si="50"/>
        <v>0</v>
      </c>
      <c r="DA36" s="4">
        <f t="shared" si="51"/>
        <v>0</v>
      </c>
      <c r="DB36" s="4">
        <f t="shared" si="52"/>
        <v>0</v>
      </c>
      <c r="DC36" s="4">
        <f t="shared" si="53"/>
        <v>0</v>
      </c>
      <c r="DD36" s="4">
        <f t="shared" si="54"/>
        <v>0</v>
      </c>
    </row>
    <row r="37" spans="1:108" x14ac:dyDescent="0.25">
      <c r="A37" s="41" t="str">
        <f>Skills!M19</f>
        <v>Training, Horse</v>
      </c>
      <c r="B37" s="57" t="str">
        <f>Skills!N19</f>
        <v>Horse</v>
      </c>
      <c r="C37" s="24">
        <f t="shared" si="55"/>
        <v>0</v>
      </c>
      <c r="D37" s="110" t="e">
        <f>Skills!S19</f>
        <v>#N/A</v>
      </c>
      <c r="E37" s="111" t="e">
        <f>Profession!$B$5</f>
        <v>#REF!</v>
      </c>
      <c r="F37" s="18"/>
      <c r="G37" s="18"/>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49"/>
      <c r="BF37" s="4">
        <f t="shared" si="5"/>
        <v>0</v>
      </c>
      <c r="BG37" s="4">
        <f t="shared" si="5"/>
        <v>0</v>
      </c>
      <c r="BH37" s="4">
        <f t="shared" si="6"/>
        <v>0</v>
      </c>
      <c r="BI37" s="4">
        <f t="shared" si="7"/>
        <v>0</v>
      </c>
      <c r="BJ37" s="4">
        <f t="shared" si="8"/>
        <v>0</v>
      </c>
      <c r="BK37" s="4">
        <f t="shared" si="9"/>
        <v>0</v>
      </c>
      <c r="BL37" s="4">
        <f t="shared" si="10"/>
        <v>0</v>
      </c>
      <c r="BM37" s="4">
        <f t="shared" si="11"/>
        <v>0</v>
      </c>
      <c r="BN37" s="4">
        <f t="shared" si="12"/>
        <v>0</v>
      </c>
      <c r="BO37" s="4">
        <f t="shared" si="13"/>
        <v>0</v>
      </c>
      <c r="BP37" s="4">
        <f t="shared" si="14"/>
        <v>0</v>
      </c>
      <c r="BQ37" s="4">
        <f t="shared" si="15"/>
        <v>0</v>
      </c>
      <c r="BR37" s="4">
        <f t="shared" si="16"/>
        <v>0</v>
      </c>
      <c r="BS37" s="4">
        <f t="shared" si="17"/>
        <v>0</v>
      </c>
      <c r="BT37" s="4">
        <f t="shared" si="18"/>
        <v>0</v>
      </c>
      <c r="BU37" s="4">
        <f t="shared" si="19"/>
        <v>0</v>
      </c>
      <c r="BV37" s="4">
        <f t="shared" si="20"/>
        <v>0</v>
      </c>
      <c r="BW37" s="4">
        <f t="shared" si="21"/>
        <v>0</v>
      </c>
      <c r="BX37" s="4">
        <f t="shared" si="22"/>
        <v>0</v>
      </c>
      <c r="BY37" s="4">
        <f t="shared" si="23"/>
        <v>0</v>
      </c>
      <c r="BZ37" s="4">
        <f t="shared" si="24"/>
        <v>0</v>
      </c>
      <c r="CA37" s="4">
        <f t="shared" si="25"/>
        <v>0</v>
      </c>
      <c r="CB37" s="4">
        <f t="shared" si="26"/>
        <v>0</v>
      </c>
      <c r="CC37" s="4">
        <f t="shared" si="27"/>
        <v>0</v>
      </c>
      <c r="CD37" s="4">
        <f t="shared" si="28"/>
        <v>0</v>
      </c>
      <c r="CE37" s="4">
        <f t="shared" si="29"/>
        <v>0</v>
      </c>
      <c r="CF37" s="4">
        <f t="shared" si="30"/>
        <v>0</v>
      </c>
      <c r="CG37" s="4">
        <f t="shared" si="31"/>
        <v>0</v>
      </c>
      <c r="CH37" s="4">
        <f t="shared" si="32"/>
        <v>0</v>
      </c>
      <c r="CI37" s="4">
        <f t="shared" si="33"/>
        <v>0</v>
      </c>
      <c r="CJ37" s="4">
        <f t="shared" si="34"/>
        <v>0</v>
      </c>
      <c r="CK37" s="4">
        <f t="shared" si="35"/>
        <v>0</v>
      </c>
      <c r="CL37" s="4">
        <f t="shared" si="36"/>
        <v>0</v>
      </c>
      <c r="CM37" s="4">
        <f t="shared" si="37"/>
        <v>0</v>
      </c>
      <c r="CN37" s="4">
        <f t="shared" si="38"/>
        <v>0</v>
      </c>
      <c r="CO37" s="4">
        <f t="shared" si="39"/>
        <v>0</v>
      </c>
      <c r="CP37" s="4">
        <f t="shared" si="40"/>
        <v>0</v>
      </c>
      <c r="CQ37" s="4">
        <f t="shared" si="41"/>
        <v>0</v>
      </c>
      <c r="CR37" s="4">
        <f t="shared" si="42"/>
        <v>0</v>
      </c>
      <c r="CS37" s="4">
        <f t="shared" si="43"/>
        <v>0</v>
      </c>
      <c r="CT37" s="4">
        <f t="shared" si="44"/>
        <v>0</v>
      </c>
      <c r="CU37" s="4">
        <f t="shared" si="45"/>
        <v>0</v>
      </c>
      <c r="CV37" s="4">
        <f t="shared" si="46"/>
        <v>0</v>
      </c>
      <c r="CW37" s="4">
        <f t="shared" si="47"/>
        <v>0</v>
      </c>
      <c r="CX37" s="4">
        <f t="shared" si="48"/>
        <v>0</v>
      </c>
      <c r="CY37" s="4">
        <f t="shared" si="49"/>
        <v>0</v>
      </c>
      <c r="CZ37" s="4">
        <f t="shared" si="50"/>
        <v>0</v>
      </c>
      <c r="DA37" s="4">
        <f t="shared" si="51"/>
        <v>0</v>
      </c>
      <c r="DB37" s="4">
        <f t="shared" si="52"/>
        <v>0</v>
      </c>
      <c r="DC37" s="4">
        <f t="shared" si="53"/>
        <v>0</v>
      </c>
      <c r="DD37" s="4">
        <f t="shared" si="54"/>
        <v>0</v>
      </c>
    </row>
    <row r="38" spans="1:108" x14ac:dyDescent="0.25">
      <c r="A38" s="41" t="str">
        <f>Skills!M20</f>
        <v>Training, 0</v>
      </c>
      <c r="B38" s="55">
        <f>Skills!N20</f>
        <v>0</v>
      </c>
      <c r="C38" s="22">
        <f t="shared" si="55"/>
        <v>0</v>
      </c>
      <c r="D38" s="112" t="e">
        <f>Skills!S20</f>
        <v>#N/A</v>
      </c>
      <c r="E38" s="113" t="e">
        <f>Profession!$B$5</f>
        <v>#REF!</v>
      </c>
      <c r="F38" s="19"/>
      <c r="G38" s="19"/>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56"/>
      <c r="BF38" s="4">
        <f t="shared" si="5"/>
        <v>0</v>
      </c>
      <c r="BG38" s="4">
        <f t="shared" si="5"/>
        <v>0</v>
      </c>
      <c r="BH38" s="4">
        <f t="shared" si="6"/>
        <v>0</v>
      </c>
      <c r="BI38" s="4">
        <f t="shared" si="7"/>
        <v>0</v>
      </c>
      <c r="BJ38" s="4">
        <f t="shared" si="8"/>
        <v>0</v>
      </c>
      <c r="BK38" s="4">
        <f t="shared" si="9"/>
        <v>0</v>
      </c>
      <c r="BL38" s="4">
        <f t="shared" si="10"/>
        <v>0</v>
      </c>
      <c r="BM38" s="4">
        <f t="shared" si="11"/>
        <v>0</v>
      </c>
      <c r="BN38" s="4">
        <f t="shared" si="12"/>
        <v>0</v>
      </c>
      <c r="BO38" s="4">
        <f t="shared" si="13"/>
        <v>0</v>
      </c>
      <c r="BP38" s="4">
        <f t="shared" si="14"/>
        <v>0</v>
      </c>
      <c r="BQ38" s="4">
        <f t="shared" si="15"/>
        <v>0</v>
      </c>
      <c r="BR38" s="4">
        <f t="shared" si="16"/>
        <v>0</v>
      </c>
      <c r="BS38" s="4">
        <f t="shared" si="17"/>
        <v>0</v>
      </c>
      <c r="BT38" s="4">
        <f t="shared" si="18"/>
        <v>0</v>
      </c>
      <c r="BU38" s="4">
        <f t="shared" si="19"/>
        <v>0</v>
      </c>
      <c r="BV38" s="4">
        <f t="shared" si="20"/>
        <v>0</v>
      </c>
      <c r="BW38" s="4">
        <f t="shared" si="21"/>
        <v>0</v>
      </c>
      <c r="BX38" s="4">
        <f t="shared" si="22"/>
        <v>0</v>
      </c>
      <c r="BY38" s="4">
        <f t="shared" si="23"/>
        <v>0</v>
      </c>
      <c r="BZ38" s="4">
        <f t="shared" si="24"/>
        <v>0</v>
      </c>
      <c r="CA38" s="4">
        <f t="shared" si="25"/>
        <v>0</v>
      </c>
      <c r="CB38" s="4">
        <f t="shared" si="26"/>
        <v>0</v>
      </c>
      <c r="CC38" s="4">
        <f t="shared" si="27"/>
        <v>0</v>
      </c>
      <c r="CD38" s="4">
        <f t="shared" si="28"/>
        <v>0</v>
      </c>
      <c r="CE38" s="4">
        <f t="shared" si="29"/>
        <v>0</v>
      </c>
      <c r="CF38" s="4">
        <f t="shared" si="30"/>
        <v>0</v>
      </c>
      <c r="CG38" s="4">
        <f t="shared" si="31"/>
        <v>0</v>
      </c>
      <c r="CH38" s="4">
        <f t="shared" si="32"/>
        <v>0</v>
      </c>
      <c r="CI38" s="4">
        <f t="shared" si="33"/>
        <v>0</v>
      </c>
      <c r="CJ38" s="4">
        <f t="shared" si="34"/>
        <v>0</v>
      </c>
      <c r="CK38" s="4">
        <f t="shared" si="35"/>
        <v>0</v>
      </c>
      <c r="CL38" s="4">
        <f t="shared" si="36"/>
        <v>0</v>
      </c>
      <c r="CM38" s="4">
        <f t="shared" si="37"/>
        <v>0</v>
      </c>
      <c r="CN38" s="4">
        <f t="shared" si="38"/>
        <v>0</v>
      </c>
      <c r="CO38" s="4">
        <f t="shared" si="39"/>
        <v>0</v>
      </c>
      <c r="CP38" s="4">
        <f t="shared" si="40"/>
        <v>0</v>
      </c>
      <c r="CQ38" s="4">
        <f t="shared" si="41"/>
        <v>0</v>
      </c>
      <c r="CR38" s="4">
        <f t="shared" si="42"/>
        <v>0</v>
      </c>
      <c r="CS38" s="4">
        <f t="shared" si="43"/>
        <v>0</v>
      </c>
      <c r="CT38" s="4">
        <f t="shared" si="44"/>
        <v>0</v>
      </c>
      <c r="CU38" s="4">
        <f t="shared" si="45"/>
        <v>0</v>
      </c>
      <c r="CV38" s="4">
        <f t="shared" si="46"/>
        <v>0</v>
      </c>
      <c r="CW38" s="4">
        <f t="shared" si="47"/>
        <v>0</v>
      </c>
      <c r="CX38" s="4">
        <f t="shared" si="48"/>
        <v>0</v>
      </c>
      <c r="CY38" s="4">
        <f t="shared" si="49"/>
        <v>0</v>
      </c>
      <c r="CZ38" s="4">
        <f t="shared" si="50"/>
        <v>0</v>
      </c>
      <c r="DA38" s="4">
        <f t="shared" si="51"/>
        <v>0</v>
      </c>
      <c r="DB38" s="4">
        <f t="shared" si="52"/>
        <v>0</v>
      </c>
      <c r="DC38" s="4">
        <f t="shared" si="53"/>
        <v>0</v>
      </c>
      <c r="DD38" s="4">
        <f t="shared" si="54"/>
        <v>0</v>
      </c>
    </row>
    <row r="39" spans="1:108" x14ac:dyDescent="0.25">
      <c r="A39" s="41" t="str">
        <f>Skills!M21</f>
        <v>Training, 0</v>
      </c>
      <c r="B39" s="57">
        <f>Skills!N21</f>
        <v>0</v>
      </c>
      <c r="C39" s="24">
        <f t="shared" si="55"/>
        <v>0</v>
      </c>
      <c r="D39" s="110" t="e">
        <f>Skills!S21</f>
        <v>#N/A</v>
      </c>
      <c r="E39" s="111" t="e">
        <f>Profession!$B$5</f>
        <v>#REF!</v>
      </c>
      <c r="F39" s="18"/>
      <c r="G39" s="18"/>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49"/>
      <c r="BF39" s="4">
        <f t="shared" si="5"/>
        <v>0</v>
      </c>
      <c r="BG39" s="4">
        <f t="shared" si="5"/>
        <v>0</v>
      </c>
      <c r="BH39" s="4">
        <f t="shared" si="6"/>
        <v>0</v>
      </c>
      <c r="BI39" s="4">
        <f t="shared" si="7"/>
        <v>0</v>
      </c>
      <c r="BJ39" s="4">
        <f t="shared" si="8"/>
        <v>0</v>
      </c>
      <c r="BK39" s="4">
        <f t="shared" si="9"/>
        <v>0</v>
      </c>
      <c r="BL39" s="4">
        <f t="shared" si="10"/>
        <v>0</v>
      </c>
      <c r="BM39" s="4">
        <f t="shared" si="11"/>
        <v>0</v>
      </c>
      <c r="BN39" s="4">
        <f t="shared" si="12"/>
        <v>0</v>
      </c>
      <c r="BO39" s="4">
        <f t="shared" si="13"/>
        <v>0</v>
      </c>
      <c r="BP39" s="4">
        <f t="shared" si="14"/>
        <v>0</v>
      </c>
      <c r="BQ39" s="4">
        <f t="shared" si="15"/>
        <v>0</v>
      </c>
      <c r="BR39" s="4">
        <f t="shared" si="16"/>
        <v>0</v>
      </c>
      <c r="BS39" s="4">
        <f t="shared" si="17"/>
        <v>0</v>
      </c>
      <c r="BT39" s="4">
        <f t="shared" si="18"/>
        <v>0</v>
      </c>
      <c r="BU39" s="4">
        <f t="shared" si="19"/>
        <v>0</v>
      </c>
      <c r="BV39" s="4">
        <f t="shared" si="20"/>
        <v>0</v>
      </c>
      <c r="BW39" s="4">
        <f t="shared" si="21"/>
        <v>0</v>
      </c>
      <c r="BX39" s="4">
        <f t="shared" si="22"/>
        <v>0</v>
      </c>
      <c r="BY39" s="4">
        <f t="shared" si="23"/>
        <v>0</v>
      </c>
      <c r="BZ39" s="4">
        <f t="shared" si="24"/>
        <v>0</v>
      </c>
      <c r="CA39" s="4">
        <f t="shared" si="25"/>
        <v>0</v>
      </c>
      <c r="CB39" s="4">
        <f t="shared" si="26"/>
        <v>0</v>
      </c>
      <c r="CC39" s="4">
        <f t="shared" si="27"/>
        <v>0</v>
      </c>
      <c r="CD39" s="4">
        <f t="shared" si="28"/>
        <v>0</v>
      </c>
      <c r="CE39" s="4">
        <f t="shared" si="29"/>
        <v>0</v>
      </c>
      <c r="CF39" s="4">
        <f t="shared" si="30"/>
        <v>0</v>
      </c>
      <c r="CG39" s="4">
        <f t="shared" si="31"/>
        <v>0</v>
      </c>
      <c r="CH39" s="4">
        <f t="shared" si="32"/>
        <v>0</v>
      </c>
      <c r="CI39" s="4">
        <f t="shared" si="33"/>
        <v>0</v>
      </c>
      <c r="CJ39" s="4">
        <f t="shared" si="34"/>
        <v>0</v>
      </c>
      <c r="CK39" s="4">
        <f t="shared" si="35"/>
        <v>0</v>
      </c>
      <c r="CL39" s="4">
        <f t="shared" si="36"/>
        <v>0</v>
      </c>
      <c r="CM39" s="4">
        <f t="shared" si="37"/>
        <v>0</v>
      </c>
      <c r="CN39" s="4">
        <f t="shared" si="38"/>
        <v>0</v>
      </c>
      <c r="CO39" s="4">
        <f t="shared" si="39"/>
        <v>0</v>
      </c>
      <c r="CP39" s="4">
        <f t="shared" si="40"/>
        <v>0</v>
      </c>
      <c r="CQ39" s="4">
        <f t="shared" si="41"/>
        <v>0</v>
      </c>
      <c r="CR39" s="4">
        <f t="shared" si="42"/>
        <v>0</v>
      </c>
      <c r="CS39" s="4">
        <f t="shared" si="43"/>
        <v>0</v>
      </c>
      <c r="CT39" s="4">
        <f t="shared" si="44"/>
        <v>0</v>
      </c>
      <c r="CU39" s="4">
        <f t="shared" si="45"/>
        <v>0</v>
      </c>
      <c r="CV39" s="4">
        <f t="shared" si="46"/>
        <v>0</v>
      </c>
      <c r="CW39" s="4">
        <f t="shared" si="47"/>
        <v>0</v>
      </c>
      <c r="CX39" s="4">
        <f t="shared" si="48"/>
        <v>0</v>
      </c>
      <c r="CY39" s="4">
        <f t="shared" si="49"/>
        <v>0</v>
      </c>
      <c r="CZ39" s="4">
        <f t="shared" si="50"/>
        <v>0</v>
      </c>
      <c r="DA39" s="4">
        <f t="shared" si="51"/>
        <v>0</v>
      </c>
      <c r="DB39" s="4">
        <f t="shared" si="52"/>
        <v>0</v>
      </c>
      <c r="DC39" s="4">
        <f t="shared" si="53"/>
        <v>0</v>
      </c>
      <c r="DD39" s="4">
        <f t="shared" si="54"/>
        <v>0</v>
      </c>
    </row>
    <row r="40" spans="1:108" x14ac:dyDescent="0.25">
      <c r="A40" s="41">
        <f>Skills!M22</f>
        <v>0</v>
      </c>
      <c r="B40" s="55" t="str">
        <f>Skills!N22</f>
        <v>Animal Healing Sub-category</v>
      </c>
      <c r="C40" s="22">
        <f t="shared" si="55"/>
        <v>0</v>
      </c>
      <c r="D40" s="112" t="str">
        <f>Skills!S22</f>
        <v>- -</v>
      </c>
      <c r="E40" s="113" t="s">
        <v>782</v>
      </c>
      <c r="F40" s="19"/>
      <c r="G40" s="19"/>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56"/>
      <c r="BF40" s="4">
        <f t="shared" si="5"/>
        <v>0</v>
      </c>
      <c r="BG40" s="4">
        <f t="shared" si="5"/>
        <v>0</v>
      </c>
      <c r="BH40" s="4">
        <f t="shared" si="6"/>
        <v>0</v>
      </c>
      <c r="BI40" s="4">
        <f t="shared" si="7"/>
        <v>0</v>
      </c>
      <c r="BJ40" s="4">
        <f t="shared" si="8"/>
        <v>0</v>
      </c>
      <c r="BK40" s="4">
        <f t="shared" si="9"/>
        <v>0</v>
      </c>
      <c r="BL40" s="4">
        <f t="shared" si="10"/>
        <v>0</v>
      </c>
      <c r="BM40" s="4">
        <f t="shared" si="11"/>
        <v>0</v>
      </c>
      <c r="BN40" s="4">
        <f t="shared" si="12"/>
        <v>0</v>
      </c>
      <c r="BO40" s="4">
        <f t="shared" si="13"/>
        <v>0</v>
      </c>
      <c r="BP40" s="4">
        <f t="shared" si="14"/>
        <v>0</v>
      </c>
      <c r="BQ40" s="4">
        <f t="shared" si="15"/>
        <v>0</v>
      </c>
      <c r="BR40" s="4">
        <f t="shared" si="16"/>
        <v>0</v>
      </c>
      <c r="BS40" s="4">
        <f t="shared" si="17"/>
        <v>0</v>
      </c>
      <c r="BT40" s="4">
        <f t="shared" si="18"/>
        <v>0</v>
      </c>
      <c r="BU40" s="4">
        <f t="shared" si="19"/>
        <v>0</v>
      </c>
      <c r="BV40" s="4">
        <f t="shared" si="20"/>
        <v>0</v>
      </c>
      <c r="BW40" s="4">
        <f t="shared" si="21"/>
        <v>0</v>
      </c>
      <c r="BX40" s="4">
        <f t="shared" si="22"/>
        <v>0</v>
      </c>
      <c r="BY40" s="4">
        <f t="shared" si="23"/>
        <v>0</v>
      </c>
      <c r="BZ40" s="4">
        <f t="shared" si="24"/>
        <v>0</v>
      </c>
      <c r="CA40" s="4">
        <f t="shared" si="25"/>
        <v>0</v>
      </c>
      <c r="CB40" s="4">
        <f t="shared" si="26"/>
        <v>0</v>
      </c>
      <c r="CC40" s="4">
        <f t="shared" si="27"/>
        <v>0</v>
      </c>
      <c r="CD40" s="4">
        <f t="shared" si="28"/>
        <v>0</v>
      </c>
      <c r="CE40" s="4">
        <f t="shared" si="29"/>
        <v>0</v>
      </c>
      <c r="CF40" s="4">
        <f t="shared" si="30"/>
        <v>0</v>
      </c>
      <c r="CG40" s="4">
        <f t="shared" si="31"/>
        <v>0</v>
      </c>
      <c r="CH40" s="4">
        <f t="shared" si="32"/>
        <v>0</v>
      </c>
      <c r="CI40" s="4">
        <f t="shared" si="33"/>
        <v>0</v>
      </c>
      <c r="CJ40" s="4">
        <f t="shared" si="34"/>
        <v>0</v>
      </c>
      <c r="CK40" s="4">
        <f t="shared" si="35"/>
        <v>0</v>
      </c>
      <c r="CL40" s="4">
        <f t="shared" si="36"/>
        <v>0</v>
      </c>
      <c r="CM40" s="4">
        <f t="shared" si="37"/>
        <v>0</v>
      </c>
      <c r="CN40" s="4">
        <f t="shared" si="38"/>
        <v>0</v>
      </c>
      <c r="CO40" s="4">
        <f t="shared" si="39"/>
        <v>0</v>
      </c>
      <c r="CP40" s="4">
        <f t="shared" si="40"/>
        <v>0</v>
      </c>
      <c r="CQ40" s="4">
        <f t="shared" si="41"/>
        <v>0</v>
      </c>
      <c r="CR40" s="4">
        <f t="shared" si="42"/>
        <v>0</v>
      </c>
      <c r="CS40" s="4">
        <f t="shared" si="43"/>
        <v>0</v>
      </c>
      <c r="CT40" s="4">
        <f t="shared" si="44"/>
        <v>0</v>
      </c>
      <c r="CU40" s="4">
        <f t="shared" si="45"/>
        <v>0</v>
      </c>
      <c r="CV40" s="4">
        <f t="shared" si="46"/>
        <v>0</v>
      </c>
      <c r="CW40" s="4">
        <f t="shared" si="47"/>
        <v>0</v>
      </c>
      <c r="CX40" s="4">
        <f t="shared" si="48"/>
        <v>0</v>
      </c>
      <c r="CY40" s="4">
        <f t="shared" si="49"/>
        <v>0</v>
      </c>
      <c r="CZ40" s="4">
        <f t="shared" si="50"/>
        <v>0</v>
      </c>
      <c r="DA40" s="4">
        <f t="shared" si="51"/>
        <v>0</v>
      </c>
      <c r="DB40" s="4">
        <f t="shared" si="52"/>
        <v>0</v>
      </c>
      <c r="DC40" s="4">
        <f t="shared" si="53"/>
        <v>0</v>
      </c>
      <c r="DD40" s="4">
        <f t="shared" si="54"/>
        <v>0</v>
      </c>
    </row>
    <row r="41" spans="1:108" x14ac:dyDescent="0.25">
      <c r="A41" s="41">
        <f>Skills!M23</f>
        <v>0</v>
      </c>
      <c r="B41" s="57" t="str">
        <f>Skills!N23</f>
        <v>Animal Healing Skills</v>
      </c>
      <c r="C41" s="24">
        <f t="shared" si="55"/>
        <v>0</v>
      </c>
      <c r="D41" s="110" t="str">
        <f>Skills!S23</f>
        <v>- -</v>
      </c>
      <c r="E41" s="111" t="s">
        <v>782</v>
      </c>
      <c r="F41" s="18"/>
      <c r="G41" s="18"/>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49"/>
      <c r="BF41" s="4">
        <f t="shared" si="5"/>
        <v>0</v>
      </c>
      <c r="BG41" s="4">
        <f t="shared" si="5"/>
        <v>0</v>
      </c>
      <c r="BH41" s="4">
        <f t="shared" si="6"/>
        <v>0</v>
      </c>
      <c r="BI41" s="4">
        <f t="shared" si="7"/>
        <v>0</v>
      </c>
      <c r="BJ41" s="4">
        <f t="shared" si="8"/>
        <v>0</v>
      </c>
      <c r="BK41" s="4">
        <f t="shared" si="9"/>
        <v>0</v>
      </c>
      <c r="BL41" s="4">
        <f t="shared" si="10"/>
        <v>0</v>
      </c>
      <c r="BM41" s="4">
        <f t="shared" si="11"/>
        <v>0</v>
      </c>
      <c r="BN41" s="4">
        <f t="shared" si="12"/>
        <v>0</v>
      </c>
      <c r="BO41" s="4">
        <f t="shared" si="13"/>
        <v>0</v>
      </c>
      <c r="BP41" s="4">
        <f t="shared" si="14"/>
        <v>0</v>
      </c>
      <c r="BQ41" s="4">
        <f t="shared" si="15"/>
        <v>0</v>
      </c>
      <c r="BR41" s="4">
        <f t="shared" si="16"/>
        <v>0</v>
      </c>
      <c r="BS41" s="4">
        <f t="shared" si="17"/>
        <v>0</v>
      </c>
      <c r="BT41" s="4">
        <f t="shared" si="18"/>
        <v>0</v>
      </c>
      <c r="BU41" s="4">
        <f t="shared" si="19"/>
        <v>0</v>
      </c>
      <c r="BV41" s="4">
        <f t="shared" si="20"/>
        <v>0</v>
      </c>
      <c r="BW41" s="4">
        <f t="shared" si="21"/>
        <v>0</v>
      </c>
      <c r="BX41" s="4">
        <f t="shared" si="22"/>
        <v>0</v>
      </c>
      <c r="BY41" s="4">
        <f t="shared" si="23"/>
        <v>0</v>
      </c>
      <c r="BZ41" s="4">
        <f t="shared" si="24"/>
        <v>0</v>
      </c>
      <c r="CA41" s="4">
        <f t="shared" si="25"/>
        <v>0</v>
      </c>
      <c r="CB41" s="4">
        <f t="shared" si="26"/>
        <v>0</v>
      </c>
      <c r="CC41" s="4">
        <f t="shared" si="27"/>
        <v>0</v>
      </c>
      <c r="CD41" s="4">
        <f t="shared" si="28"/>
        <v>0</v>
      </c>
      <c r="CE41" s="4">
        <f t="shared" si="29"/>
        <v>0</v>
      </c>
      <c r="CF41" s="4">
        <f t="shared" si="30"/>
        <v>0</v>
      </c>
      <c r="CG41" s="4">
        <f t="shared" si="31"/>
        <v>0</v>
      </c>
      <c r="CH41" s="4">
        <f t="shared" si="32"/>
        <v>0</v>
      </c>
      <c r="CI41" s="4">
        <f t="shared" si="33"/>
        <v>0</v>
      </c>
      <c r="CJ41" s="4">
        <f t="shared" si="34"/>
        <v>0</v>
      </c>
      <c r="CK41" s="4">
        <f t="shared" si="35"/>
        <v>0</v>
      </c>
      <c r="CL41" s="4">
        <f t="shared" si="36"/>
        <v>0</v>
      </c>
      <c r="CM41" s="4">
        <f t="shared" si="37"/>
        <v>0</v>
      </c>
      <c r="CN41" s="4">
        <f t="shared" si="38"/>
        <v>0</v>
      </c>
      <c r="CO41" s="4">
        <f t="shared" si="39"/>
        <v>0</v>
      </c>
      <c r="CP41" s="4">
        <f t="shared" si="40"/>
        <v>0</v>
      </c>
      <c r="CQ41" s="4">
        <f t="shared" si="41"/>
        <v>0</v>
      </c>
      <c r="CR41" s="4">
        <f t="shared" si="42"/>
        <v>0</v>
      </c>
      <c r="CS41" s="4">
        <f t="shared" si="43"/>
        <v>0</v>
      </c>
      <c r="CT41" s="4">
        <f t="shared" si="44"/>
        <v>0</v>
      </c>
      <c r="CU41" s="4">
        <f t="shared" si="45"/>
        <v>0</v>
      </c>
      <c r="CV41" s="4">
        <f t="shared" si="46"/>
        <v>0</v>
      </c>
      <c r="CW41" s="4">
        <f t="shared" si="47"/>
        <v>0</v>
      </c>
      <c r="CX41" s="4">
        <f t="shared" si="48"/>
        <v>0</v>
      </c>
      <c r="CY41" s="4">
        <f t="shared" si="49"/>
        <v>0</v>
      </c>
      <c r="CZ41" s="4">
        <f t="shared" si="50"/>
        <v>0</v>
      </c>
      <c r="DA41" s="4">
        <f t="shared" si="51"/>
        <v>0</v>
      </c>
      <c r="DB41" s="4">
        <f t="shared" si="52"/>
        <v>0</v>
      </c>
      <c r="DC41" s="4">
        <f t="shared" si="53"/>
        <v>0</v>
      </c>
      <c r="DD41" s="4">
        <f t="shared" si="54"/>
        <v>0</v>
      </c>
    </row>
    <row r="42" spans="1:108" x14ac:dyDescent="0.25">
      <c r="A42" s="41" t="str">
        <f>Skills!M24</f>
        <v>Healing, Camel</v>
      </c>
      <c r="B42" s="55" t="str">
        <f>Skills!N24</f>
        <v>Camel</v>
      </c>
      <c r="C42" s="22">
        <f t="shared" si="55"/>
        <v>0</v>
      </c>
      <c r="D42" s="112" t="e">
        <f>Skills!S24</f>
        <v>#N/A</v>
      </c>
      <c r="E42" s="113" t="e">
        <f>Profession!$B$6</f>
        <v>#REF!</v>
      </c>
      <c r="F42" s="19"/>
      <c r="G42" s="19"/>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56"/>
      <c r="BF42" s="4">
        <f t="shared" si="5"/>
        <v>0</v>
      </c>
      <c r="BG42" s="4">
        <f t="shared" si="5"/>
        <v>0</v>
      </c>
      <c r="BH42" s="4">
        <f t="shared" si="6"/>
        <v>0</v>
      </c>
      <c r="BI42" s="4">
        <f t="shared" si="7"/>
        <v>0</v>
      </c>
      <c r="BJ42" s="4">
        <f t="shared" si="8"/>
        <v>0</v>
      </c>
      <c r="BK42" s="4">
        <f t="shared" si="9"/>
        <v>0</v>
      </c>
      <c r="BL42" s="4">
        <f t="shared" si="10"/>
        <v>0</v>
      </c>
      <c r="BM42" s="4">
        <f t="shared" si="11"/>
        <v>0</v>
      </c>
      <c r="BN42" s="4">
        <f t="shared" si="12"/>
        <v>0</v>
      </c>
      <c r="BO42" s="4">
        <f t="shared" si="13"/>
        <v>0</v>
      </c>
      <c r="BP42" s="4">
        <f t="shared" si="14"/>
        <v>0</v>
      </c>
      <c r="BQ42" s="4">
        <f t="shared" si="15"/>
        <v>0</v>
      </c>
      <c r="BR42" s="4">
        <f t="shared" si="16"/>
        <v>0</v>
      </c>
      <c r="BS42" s="4">
        <f t="shared" si="17"/>
        <v>0</v>
      </c>
      <c r="BT42" s="4">
        <f t="shared" si="18"/>
        <v>0</v>
      </c>
      <c r="BU42" s="4">
        <f t="shared" si="19"/>
        <v>0</v>
      </c>
      <c r="BV42" s="4">
        <f t="shared" si="20"/>
        <v>0</v>
      </c>
      <c r="BW42" s="4">
        <f t="shared" si="21"/>
        <v>0</v>
      </c>
      <c r="BX42" s="4">
        <f t="shared" si="22"/>
        <v>0</v>
      </c>
      <c r="BY42" s="4">
        <f t="shared" si="23"/>
        <v>0</v>
      </c>
      <c r="BZ42" s="4">
        <f t="shared" si="24"/>
        <v>0</v>
      </c>
      <c r="CA42" s="4">
        <f t="shared" si="25"/>
        <v>0</v>
      </c>
      <c r="CB42" s="4">
        <f t="shared" si="26"/>
        <v>0</v>
      </c>
      <c r="CC42" s="4">
        <f t="shared" si="27"/>
        <v>0</v>
      </c>
      <c r="CD42" s="4">
        <f t="shared" si="28"/>
        <v>0</v>
      </c>
      <c r="CE42" s="4">
        <f t="shared" si="29"/>
        <v>0</v>
      </c>
      <c r="CF42" s="4">
        <f t="shared" si="30"/>
        <v>0</v>
      </c>
      <c r="CG42" s="4">
        <f t="shared" si="31"/>
        <v>0</v>
      </c>
      <c r="CH42" s="4">
        <f t="shared" si="32"/>
        <v>0</v>
      </c>
      <c r="CI42" s="4">
        <f t="shared" si="33"/>
        <v>0</v>
      </c>
      <c r="CJ42" s="4">
        <f t="shared" si="34"/>
        <v>0</v>
      </c>
      <c r="CK42" s="4">
        <f t="shared" si="35"/>
        <v>0</v>
      </c>
      <c r="CL42" s="4">
        <f t="shared" si="36"/>
        <v>0</v>
      </c>
      <c r="CM42" s="4">
        <f t="shared" si="37"/>
        <v>0</v>
      </c>
      <c r="CN42" s="4">
        <f t="shared" si="38"/>
        <v>0</v>
      </c>
      <c r="CO42" s="4">
        <f t="shared" si="39"/>
        <v>0</v>
      </c>
      <c r="CP42" s="4">
        <f t="shared" si="40"/>
        <v>0</v>
      </c>
      <c r="CQ42" s="4">
        <f t="shared" si="41"/>
        <v>0</v>
      </c>
      <c r="CR42" s="4">
        <f t="shared" si="42"/>
        <v>0</v>
      </c>
      <c r="CS42" s="4">
        <f t="shared" si="43"/>
        <v>0</v>
      </c>
      <c r="CT42" s="4">
        <f t="shared" si="44"/>
        <v>0</v>
      </c>
      <c r="CU42" s="4">
        <f t="shared" si="45"/>
        <v>0</v>
      </c>
      <c r="CV42" s="4">
        <f t="shared" si="46"/>
        <v>0</v>
      </c>
      <c r="CW42" s="4">
        <f t="shared" si="47"/>
        <v>0</v>
      </c>
      <c r="CX42" s="4">
        <f t="shared" si="48"/>
        <v>0</v>
      </c>
      <c r="CY42" s="4">
        <f t="shared" si="49"/>
        <v>0</v>
      </c>
      <c r="CZ42" s="4">
        <f t="shared" si="50"/>
        <v>0</v>
      </c>
      <c r="DA42" s="4">
        <f t="shared" si="51"/>
        <v>0</v>
      </c>
      <c r="DB42" s="4">
        <f t="shared" si="52"/>
        <v>0</v>
      </c>
      <c r="DC42" s="4">
        <f t="shared" si="53"/>
        <v>0</v>
      </c>
      <c r="DD42" s="4">
        <f t="shared" si="54"/>
        <v>0</v>
      </c>
    </row>
    <row r="43" spans="1:108" x14ac:dyDescent="0.25">
      <c r="A43" s="41" t="str">
        <f>Skills!M25</f>
        <v>Healing, Horse</v>
      </c>
      <c r="B43" s="57" t="str">
        <f>Skills!N25</f>
        <v>Horse</v>
      </c>
      <c r="C43" s="24">
        <f t="shared" si="55"/>
        <v>0</v>
      </c>
      <c r="D43" s="110" t="e">
        <f>Skills!S25</f>
        <v>#N/A</v>
      </c>
      <c r="E43" s="111" t="e">
        <f>Profession!$B$6</f>
        <v>#REF!</v>
      </c>
      <c r="F43" s="18"/>
      <c r="G43" s="18"/>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49"/>
      <c r="BF43" s="4">
        <f t="shared" si="5"/>
        <v>0</v>
      </c>
      <c r="BG43" s="4">
        <f t="shared" si="5"/>
        <v>0</v>
      </c>
      <c r="BH43" s="4">
        <f t="shared" si="6"/>
        <v>0</v>
      </c>
      <c r="BI43" s="4">
        <f t="shared" si="7"/>
        <v>0</v>
      </c>
      <c r="BJ43" s="4">
        <f t="shared" si="8"/>
        <v>0</v>
      </c>
      <c r="BK43" s="4">
        <f t="shared" si="9"/>
        <v>0</v>
      </c>
      <c r="BL43" s="4">
        <f t="shared" si="10"/>
        <v>0</v>
      </c>
      <c r="BM43" s="4">
        <f t="shared" si="11"/>
        <v>0</v>
      </c>
      <c r="BN43" s="4">
        <f t="shared" si="12"/>
        <v>0</v>
      </c>
      <c r="BO43" s="4">
        <f t="shared" si="13"/>
        <v>0</v>
      </c>
      <c r="BP43" s="4">
        <f t="shared" si="14"/>
        <v>0</v>
      </c>
      <c r="BQ43" s="4">
        <f t="shared" si="15"/>
        <v>0</v>
      </c>
      <c r="BR43" s="4">
        <f t="shared" si="16"/>
        <v>0</v>
      </c>
      <c r="BS43" s="4">
        <f t="shared" si="17"/>
        <v>0</v>
      </c>
      <c r="BT43" s="4">
        <f t="shared" si="18"/>
        <v>0</v>
      </c>
      <c r="BU43" s="4">
        <f t="shared" si="19"/>
        <v>0</v>
      </c>
      <c r="BV43" s="4">
        <f t="shared" si="20"/>
        <v>0</v>
      </c>
      <c r="BW43" s="4">
        <f t="shared" si="21"/>
        <v>0</v>
      </c>
      <c r="BX43" s="4">
        <f t="shared" si="22"/>
        <v>0</v>
      </c>
      <c r="BY43" s="4">
        <f t="shared" si="23"/>
        <v>0</v>
      </c>
      <c r="BZ43" s="4">
        <f t="shared" si="24"/>
        <v>0</v>
      </c>
      <c r="CA43" s="4">
        <f t="shared" si="25"/>
        <v>0</v>
      </c>
      <c r="CB43" s="4">
        <f t="shared" si="26"/>
        <v>0</v>
      </c>
      <c r="CC43" s="4">
        <f t="shared" si="27"/>
        <v>0</v>
      </c>
      <c r="CD43" s="4">
        <f t="shared" si="28"/>
        <v>0</v>
      </c>
      <c r="CE43" s="4">
        <f t="shared" si="29"/>
        <v>0</v>
      </c>
      <c r="CF43" s="4">
        <f t="shared" si="30"/>
        <v>0</v>
      </c>
      <c r="CG43" s="4">
        <f t="shared" si="31"/>
        <v>0</v>
      </c>
      <c r="CH43" s="4">
        <f t="shared" si="32"/>
        <v>0</v>
      </c>
      <c r="CI43" s="4">
        <f t="shared" si="33"/>
        <v>0</v>
      </c>
      <c r="CJ43" s="4">
        <f t="shared" si="34"/>
        <v>0</v>
      </c>
      <c r="CK43" s="4">
        <f t="shared" si="35"/>
        <v>0</v>
      </c>
      <c r="CL43" s="4">
        <f t="shared" si="36"/>
        <v>0</v>
      </c>
      <c r="CM43" s="4">
        <f t="shared" si="37"/>
        <v>0</v>
      </c>
      <c r="CN43" s="4">
        <f t="shared" si="38"/>
        <v>0</v>
      </c>
      <c r="CO43" s="4">
        <f t="shared" si="39"/>
        <v>0</v>
      </c>
      <c r="CP43" s="4">
        <f t="shared" si="40"/>
        <v>0</v>
      </c>
      <c r="CQ43" s="4">
        <f t="shared" si="41"/>
        <v>0</v>
      </c>
      <c r="CR43" s="4">
        <f t="shared" si="42"/>
        <v>0</v>
      </c>
      <c r="CS43" s="4">
        <f t="shared" si="43"/>
        <v>0</v>
      </c>
      <c r="CT43" s="4">
        <f t="shared" si="44"/>
        <v>0</v>
      </c>
      <c r="CU43" s="4">
        <f t="shared" si="45"/>
        <v>0</v>
      </c>
      <c r="CV43" s="4">
        <f t="shared" si="46"/>
        <v>0</v>
      </c>
      <c r="CW43" s="4">
        <f t="shared" si="47"/>
        <v>0</v>
      </c>
      <c r="CX43" s="4">
        <f t="shared" si="48"/>
        <v>0</v>
      </c>
      <c r="CY43" s="4">
        <f t="shared" si="49"/>
        <v>0</v>
      </c>
      <c r="CZ43" s="4">
        <f t="shared" si="50"/>
        <v>0</v>
      </c>
      <c r="DA43" s="4">
        <f t="shared" si="51"/>
        <v>0</v>
      </c>
      <c r="DB43" s="4">
        <f t="shared" si="52"/>
        <v>0</v>
      </c>
      <c r="DC43" s="4">
        <f t="shared" si="53"/>
        <v>0</v>
      </c>
      <c r="DD43" s="4">
        <f t="shared" si="54"/>
        <v>0</v>
      </c>
    </row>
    <row r="44" spans="1:108" x14ac:dyDescent="0.25">
      <c r="A44" s="41" t="str">
        <f>Skills!M26</f>
        <v>Healing, 0</v>
      </c>
      <c r="B44" s="55">
        <f>Skills!N26</f>
        <v>0</v>
      </c>
      <c r="C44" s="22">
        <f t="shared" si="55"/>
        <v>0</v>
      </c>
      <c r="D44" s="112" t="e">
        <f>Skills!S26</f>
        <v>#N/A</v>
      </c>
      <c r="E44" s="113" t="e">
        <f>Profession!$B$6</f>
        <v>#REF!</v>
      </c>
      <c r="F44" s="19"/>
      <c r="G44" s="19"/>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56"/>
      <c r="BF44" s="4">
        <f t="shared" si="5"/>
        <v>0</v>
      </c>
      <c r="BG44" s="4">
        <f t="shared" si="5"/>
        <v>0</v>
      </c>
      <c r="BH44" s="4">
        <f t="shared" si="6"/>
        <v>0</v>
      </c>
      <c r="BI44" s="4">
        <f t="shared" si="7"/>
        <v>0</v>
      </c>
      <c r="BJ44" s="4">
        <f t="shared" si="8"/>
        <v>0</v>
      </c>
      <c r="BK44" s="4">
        <f t="shared" si="9"/>
        <v>0</v>
      </c>
      <c r="BL44" s="4">
        <f t="shared" si="10"/>
        <v>0</v>
      </c>
      <c r="BM44" s="4">
        <f t="shared" si="11"/>
        <v>0</v>
      </c>
      <c r="BN44" s="4">
        <f t="shared" si="12"/>
        <v>0</v>
      </c>
      <c r="BO44" s="4">
        <f t="shared" si="13"/>
        <v>0</v>
      </c>
      <c r="BP44" s="4">
        <f t="shared" si="14"/>
        <v>0</v>
      </c>
      <c r="BQ44" s="4">
        <f t="shared" si="15"/>
        <v>0</v>
      </c>
      <c r="BR44" s="4">
        <f t="shared" si="16"/>
        <v>0</v>
      </c>
      <c r="BS44" s="4">
        <f t="shared" si="17"/>
        <v>0</v>
      </c>
      <c r="BT44" s="4">
        <f t="shared" si="18"/>
        <v>0</v>
      </c>
      <c r="BU44" s="4">
        <f t="shared" si="19"/>
        <v>0</v>
      </c>
      <c r="BV44" s="4">
        <f t="shared" si="20"/>
        <v>0</v>
      </c>
      <c r="BW44" s="4">
        <f t="shared" si="21"/>
        <v>0</v>
      </c>
      <c r="BX44" s="4">
        <f t="shared" si="22"/>
        <v>0</v>
      </c>
      <c r="BY44" s="4">
        <f t="shared" si="23"/>
        <v>0</v>
      </c>
      <c r="BZ44" s="4">
        <f t="shared" si="24"/>
        <v>0</v>
      </c>
      <c r="CA44" s="4">
        <f t="shared" si="25"/>
        <v>0</v>
      </c>
      <c r="CB44" s="4">
        <f t="shared" si="26"/>
        <v>0</v>
      </c>
      <c r="CC44" s="4">
        <f t="shared" si="27"/>
        <v>0</v>
      </c>
      <c r="CD44" s="4">
        <f t="shared" si="28"/>
        <v>0</v>
      </c>
      <c r="CE44" s="4">
        <f t="shared" si="29"/>
        <v>0</v>
      </c>
      <c r="CF44" s="4">
        <f t="shared" si="30"/>
        <v>0</v>
      </c>
      <c r="CG44" s="4">
        <f t="shared" si="31"/>
        <v>0</v>
      </c>
      <c r="CH44" s="4">
        <f t="shared" si="32"/>
        <v>0</v>
      </c>
      <c r="CI44" s="4">
        <f t="shared" si="33"/>
        <v>0</v>
      </c>
      <c r="CJ44" s="4">
        <f t="shared" si="34"/>
        <v>0</v>
      </c>
      <c r="CK44" s="4">
        <f t="shared" si="35"/>
        <v>0</v>
      </c>
      <c r="CL44" s="4">
        <f t="shared" si="36"/>
        <v>0</v>
      </c>
      <c r="CM44" s="4">
        <f t="shared" si="37"/>
        <v>0</v>
      </c>
      <c r="CN44" s="4">
        <f t="shared" si="38"/>
        <v>0</v>
      </c>
      <c r="CO44" s="4">
        <f t="shared" si="39"/>
        <v>0</v>
      </c>
      <c r="CP44" s="4">
        <f t="shared" si="40"/>
        <v>0</v>
      </c>
      <c r="CQ44" s="4">
        <f t="shared" si="41"/>
        <v>0</v>
      </c>
      <c r="CR44" s="4">
        <f t="shared" si="42"/>
        <v>0</v>
      </c>
      <c r="CS44" s="4">
        <f t="shared" si="43"/>
        <v>0</v>
      </c>
      <c r="CT44" s="4">
        <f t="shared" si="44"/>
        <v>0</v>
      </c>
      <c r="CU44" s="4">
        <f t="shared" si="45"/>
        <v>0</v>
      </c>
      <c r="CV44" s="4">
        <f t="shared" si="46"/>
        <v>0</v>
      </c>
      <c r="CW44" s="4">
        <f t="shared" si="47"/>
        <v>0</v>
      </c>
      <c r="CX44" s="4">
        <f t="shared" si="48"/>
        <v>0</v>
      </c>
      <c r="CY44" s="4">
        <f t="shared" si="49"/>
        <v>0</v>
      </c>
      <c r="CZ44" s="4">
        <f t="shared" si="50"/>
        <v>0</v>
      </c>
      <c r="DA44" s="4">
        <f t="shared" si="51"/>
        <v>0</v>
      </c>
      <c r="DB44" s="4">
        <f t="shared" si="52"/>
        <v>0</v>
      </c>
      <c r="DC44" s="4">
        <f t="shared" si="53"/>
        <v>0</v>
      </c>
      <c r="DD44" s="4">
        <f t="shared" si="54"/>
        <v>0</v>
      </c>
    </row>
    <row r="45" spans="1:108" x14ac:dyDescent="0.25">
      <c r="A45" s="41" t="str">
        <f>Skills!M27</f>
        <v>Healing, 0</v>
      </c>
      <c r="B45" s="57">
        <f>Skills!N27</f>
        <v>0</v>
      </c>
      <c r="C45" s="24">
        <f t="shared" si="55"/>
        <v>0</v>
      </c>
      <c r="D45" s="110" t="e">
        <f>Skills!S27</f>
        <v>#N/A</v>
      </c>
      <c r="E45" s="111" t="e">
        <f>Profession!$B$6</f>
        <v>#REF!</v>
      </c>
      <c r="F45" s="18"/>
      <c r="G45" s="18"/>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49"/>
      <c r="BF45" s="4">
        <f t="shared" si="5"/>
        <v>0</v>
      </c>
      <c r="BG45" s="4">
        <f t="shared" si="5"/>
        <v>0</v>
      </c>
      <c r="BH45" s="4">
        <f t="shared" si="6"/>
        <v>0</v>
      </c>
      <c r="BI45" s="4">
        <f t="shared" si="7"/>
        <v>0</v>
      </c>
      <c r="BJ45" s="4">
        <f t="shared" si="8"/>
        <v>0</v>
      </c>
      <c r="BK45" s="4">
        <f t="shared" si="9"/>
        <v>0</v>
      </c>
      <c r="BL45" s="4">
        <f t="shared" si="10"/>
        <v>0</v>
      </c>
      <c r="BM45" s="4">
        <f t="shared" si="11"/>
        <v>0</v>
      </c>
      <c r="BN45" s="4">
        <f t="shared" si="12"/>
        <v>0</v>
      </c>
      <c r="BO45" s="4">
        <f t="shared" si="13"/>
        <v>0</v>
      </c>
      <c r="BP45" s="4">
        <f t="shared" si="14"/>
        <v>0</v>
      </c>
      <c r="BQ45" s="4">
        <f t="shared" si="15"/>
        <v>0</v>
      </c>
      <c r="BR45" s="4">
        <f t="shared" si="16"/>
        <v>0</v>
      </c>
      <c r="BS45" s="4">
        <f t="shared" si="17"/>
        <v>0</v>
      </c>
      <c r="BT45" s="4">
        <f t="shared" si="18"/>
        <v>0</v>
      </c>
      <c r="BU45" s="4">
        <f t="shared" si="19"/>
        <v>0</v>
      </c>
      <c r="BV45" s="4">
        <f t="shared" si="20"/>
        <v>0</v>
      </c>
      <c r="BW45" s="4">
        <f t="shared" si="21"/>
        <v>0</v>
      </c>
      <c r="BX45" s="4">
        <f t="shared" si="22"/>
        <v>0</v>
      </c>
      <c r="BY45" s="4">
        <f t="shared" si="23"/>
        <v>0</v>
      </c>
      <c r="BZ45" s="4">
        <f t="shared" si="24"/>
        <v>0</v>
      </c>
      <c r="CA45" s="4">
        <f t="shared" si="25"/>
        <v>0</v>
      </c>
      <c r="CB45" s="4">
        <f t="shared" si="26"/>
        <v>0</v>
      </c>
      <c r="CC45" s="4">
        <f t="shared" si="27"/>
        <v>0</v>
      </c>
      <c r="CD45" s="4">
        <f t="shared" si="28"/>
        <v>0</v>
      </c>
      <c r="CE45" s="4">
        <f t="shared" si="29"/>
        <v>0</v>
      </c>
      <c r="CF45" s="4">
        <f t="shared" si="30"/>
        <v>0</v>
      </c>
      <c r="CG45" s="4">
        <f t="shared" si="31"/>
        <v>0</v>
      </c>
      <c r="CH45" s="4">
        <f t="shared" si="32"/>
        <v>0</v>
      </c>
      <c r="CI45" s="4">
        <f t="shared" si="33"/>
        <v>0</v>
      </c>
      <c r="CJ45" s="4">
        <f t="shared" si="34"/>
        <v>0</v>
      </c>
      <c r="CK45" s="4">
        <f t="shared" si="35"/>
        <v>0</v>
      </c>
      <c r="CL45" s="4">
        <f t="shared" si="36"/>
        <v>0</v>
      </c>
      <c r="CM45" s="4">
        <f t="shared" si="37"/>
        <v>0</v>
      </c>
      <c r="CN45" s="4">
        <f t="shared" si="38"/>
        <v>0</v>
      </c>
      <c r="CO45" s="4">
        <f t="shared" si="39"/>
        <v>0</v>
      </c>
      <c r="CP45" s="4">
        <f t="shared" si="40"/>
        <v>0</v>
      </c>
      <c r="CQ45" s="4">
        <f t="shared" si="41"/>
        <v>0</v>
      </c>
      <c r="CR45" s="4">
        <f t="shared" si="42"/>
        <v>0</v>
      </c>
      <c r="CS45" s="4">
        <f t="shared" si="43"/>
        <v>0</v>
      </c>
      <c r="CT45" s="4">
        <f t="shared" si="44"/>
        <v>0</v>
      </c>
      <c r="CU45" s="4">
        <f t="shared" si="45"/>
        <v>0</v>
      </c>
      <c r="CV45" s="4">
        <f t="shared" si="46"/>
        <v>0</v>
      </c>
      <c r="CW45" s="4">
        <f t="shared" si="47"/>
        <v>0</v>
      </c>
      <c r="CX45" s="4">
        <f t="shared" si="48"/>
        <v>0</v>
      </c>
      <c r="CY45" s="4">
        <f t="shared" si="49"/>
        <v>0</v>
      </c>
      <c r="CZ45" s="4">
        <f t="shared" si="50"/>
        <v>0</v>
      </c>
      <c r="DA45" s="4">
        <f t="shared" si="51"/>
        <v>0</v>
      </c>
      <c r="DB45" s="4">
        <f t="shared" si="52"/>
        <v>0</v>
      </c>
      <c r="DC45" s="4">
        <f t="shared" si="53"/>
        <v>0</v>
      </c>
      <c r="DD45" s="4">
        <f t="shared" si="54"/>
        <v>0</v>
      </c>
    </row>
    <row r="46" spans="1:108" x14ac:dyDescent="0.25">
      <c r="A46" s="41">
        <f>Skills!M28</f>
        <v>0</v>
      </c>
      <c r="B46" s="55" t="str">
        <f>Skills!N28</f>
        <v>Awareness Category</v>
      </c>
      <c r="C46" s="22">
        <f t="shared" si="55"/>
        <v>0</v>
      </c>
      <c r="D46" s="112" t="str">
        <f>Skills!S28</f>
        <v>- -</v>
      </c>
      <c r="E46" s="113" t="s">
        <v>782</v>
      </c>
      <c r="F46" s="19"/>
      <c r="G46" s="19"/>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56"/>
      <c r="BF46" s="4">
        <f t="shared" si="5"/>
        <v>0</v>
      </c>
      <c r="BG46" s="4">
        <f t="shared" si="5"/>
        <v>0</v>
      </c>
      <c r="BH46" s="4">
        <f t="shared" si="6"/>
        <v>0</v>
      </c>
      <c r="BI46" s="4">
        <f t="shared" si="7"/>
        <v>0</v>
      </c>
      <c r="BJ46" s="4">
        <f t="shared" si="8"/>
        <v>0</v>
      </c>
      <c r="BK46" s="4">
        <f t="shared" si="9"/>
        <v>0</v>
      </c>
      <c r="BL46" s="4">
        <f t="shared" si="10"/>
        <v>0</v>
      </c>
      <c r="BM46" s="4">
        <f t="shared" si="11"/>
        <v>0</v>
      </c>
      <c r="BN46" s="4">
        <f t="shared" si="12"/>
        <v>0</v>
      </c>
      <c r="BO46" s="4">
        <f t="shared" si="13"/>
        <v>0</v>
      </c>
      <c r="BP46" s="4">
        <f t="shared" si="14"/>
        <v>0</v>
      </c>
      <c r="BQ46" s="4">
        <f t="shared" si="15"/>
        <v>0</v>
      </c>
      <c r="BR46" s="4">
        <f t="shared" si="16"/>
        <v>0</v>
      </c>
      <c r="BS46" s="4">
        <f t="shared" si="17"/>
        <v>0</v>
      </c>
      <c r="BT46" s="4">
        <f t="shared" si="18"/>
        <v>0</v>
      </c>
      <c r="BU46" s="4">
        <f t="shared" si="19"/>
        <v>0</v>
      </c>
      <c r="BV46" s="4">
        <f t="shared" si="20"/>
        <v>0</v>
      </c>
      <c r="BW46" s="4">
        <f t="shared" si="21"/>
        <v>0</v>
      </c>
      <c r="BX46" s="4">
        <f t="shared" si="22"/>
        <v>0</v>
      </c>
      <c r="BY46" s="4">
        <f t="shared" si="23"/>
        <v>0</v>
      </c>
      <c r="BZ46" s="4">
        <f t="shared" si="24"/>
        <v>0</v>
      </c>
      <c r="CA46" s="4">
        <f t="shared" si="25"/>
        <v>0</v>
      </c>
      <c r="CB46" s="4">
        <f t="shared" si="26"/>
        <v>0</v>
      </c>
      <c r="CC46" s="4">
        <f t="shared" si="27"/>
        <v>0</v>
      </c>
      <c r="CD46" s="4">
        <f t="shared" si="28"/>
        <v>0</v>
      </c>
      <c r="CE46" s="4">
        <f t="shared" si="29"/>
        <v>0</v>
      </c>
      <c r="CF46" s="4">
        <f t="shared" si="30"/>
        <v>0</v>
      </c>
      <c r="CG46" s="4">
        <f t="shared" si="31"/>
        <v>0</v>
      </c>
      <c r="CH46" s="4">
        <f t="shared" si="32"/>
        <v>0</v>
      </c>
      <c r="CI46" s="4">
        <f t="shared" si="33"/>
        <v>0</v>
      </c>
      <c r="CJ46" s="4">
        <f t="shared" si="34"/>
        <v>0</v>
      </c>
      <c r="CK46" s="4">
        <f t="shared" si="35"/>
        <v>0</v>
      </c>
      <c r="CL46" s="4">
        <f t="shared" si="36"/>
        <v>0</v>
      </c>
      <c r="CM46" s="4">
        <f t="shared" si="37"/>
        <v>0</v>
      </c>
      <c r="CN46" s="4">
        <f t="shared" si="38"/>
        <v>0</v>
      </c>
      <c r="CO46" s="4">
        <f t="shared" si="39"/>
        <v>0</v>
      </c>
      <c r="CP46" s="4">
        <f t="shared" si="40"/>
        <v>0</v>
      </c>
      <c r="CQ46" s="4">
        <f t="shared" si="41"/>
        <v>0</v>
      </c>
      <c r="CR46" s="4">
        <f t="shared" si="42"/>
        <v>0</v>
      </c>
      <c r="CS46" s="4">
        <f t="shared" si="43"/>
        <v>0</v>
      </c>
      <c r="CT46" s="4">
        <f t="shared" si="44"/>
        <v>0</v>
      </c>
      <c r="CU46" s="4">
        <f t="shared" si="45"/>
        <v>0</v>
      </c>
      <c r="CV46" s="4">
        <f t="shared" si="46"/>
        <v>0</v>
      </c>
      <c r="CW46" s="4">
        <f t="shared" si="47"/>
        <v>0</v>
      </c>
      <c r="CX46" s="4">
        <f t="shared" si="48"/>
        <v>0</v>
      </c>
      <c r="CY46" s="4">
        <f t="shared" si="49"/>
        <v>0</v>
      </c>
      <c r="CZ46" s="4">
        <f t="shared" si="50"/>
        <v>0</v>
      </c>
      <c r="DA46" s="4">
        <f t="shared" si="51"/>
        <v>0</v>
      </c>
      <c r="DB46" s="4">
        <f t="shared" si="52"/>
        <v>0</v>
      </c>
      <c r="DC46" s="4">
        <f t="shared" si="53"/>
        <v>0</v>
      </c>
      <c r="DD46" s="4">
        <f t="shared" si="54"/>
        <v>0</v>
      </c>
    </row>
    <row r="47" spans="1:108" x14ac:dyDescent="0.25">
      <c r="A47" s="41">
        <f>Skills!M29</f>
        <v>0</v>
      </c>
      <c r="B47" s="57" t="str">
        <f>Skills!N29</f>
        <v>Awareness Skills</v>
      </c>
      <c r="C47" s="24">
        <f t="shared" si="55"/>
        <v>0</v>
      </c>
      <c r="D47" s="110" t="str">
        <f>Skills!S29</f>
        <v>- -</v>
      </c>
      <c r="E47" s="111" t="s">
        <v>782</v>
      </c>
      <c r="F47" s="18"/>
      <c r="G47" s="18"/>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49"/>
      <c r="BF47" s="4">
        <f t="shared" si="5"/>
        <v>0</v>
      </c>
      <c r="BG47" s="4">
        <f t="shared" si="5"/>
        <v>0</v>
      </c>
      <c r="BH47" s="4">
        <f t="shared" si="6"/>
        <v>0</v>
      </c>
      <c r="BI47" s="4">
        <f t="shared" si="7"/>
        <v>0</v>
      </c>
      <c r="BJ47" s="4">
        <f t="shared" si="8"/>
        <v>0</v>
      </c>
      <c r="BK47" s="4">
        <f t="shared" si="9"/>
        <v>0</v>
      </c>
      <c r="BL47" s="4">
        <f t="shared" si="10"/>
        <v>0</v>
      </c>
      <c r="BM47" s="4">
        <f t="shared" si="11"/>
        <v>0</v>
      </c>
      <c r="BN47" s="4">
        <f t="shared" si="12"/>
        <v>0</v>
      </c>
      <c r="BO47" s="4">
        <f t="shared" si="13"/>
        <v>0</v>
      </c>
      <c r="BP47" s="4">
        <f t="shared" si="14"/>
        <v>0</v>
      </c>
      <c r="BQ47" s="4">
        <f t="shared" si="15"/>
        <v>0</v>
      </c>
      <c r="BR47" s="4">
        <f t="shared" si="16"/>
        <v>0</v>
      </c>
      <c r="BS47" s="4">
        <f t="shared" si="17"/>
        <v>0</v>
      </c>
      <c r="BT47" s="4">
        <f t="shared" si="18"/>
        <v>0</v>
      </c>
      <c r="BU47" s="4">
        <f t="shared" si="19"/>
        <v>0</v>
      </c>
      <c r="BV47" s="4">
        <f t="shared" si="20"/>
        <v>0</v>
      </c>
      <c r="BW47" s="4">
        <f t="shared" si="21"/>
        <v>0</v>
      </c>
      <c r="BX47" s="4">
        <f t="shared" si="22"/>
        <v>0</v>
      </c>
      <c r="BY47" s="4">
        <f t="shared" si="23"/>
        <v>0</v>
      </c>
      <c r="BZ47" s="4">
        <f t="shared" si="24"/>
        <v>0</v>
      </c>
      <c r="CA47" s="4">
        <f t="shared" si="25"/>
        <v>0</v>
      </c>
      <c r="CB47" s="4">
        <f t="shared" si="26"/>
        <v>0</v>
      </c>
      <c r="CC47" s="4">
        <f t="shared" si="27"/>
        <v>0</v>
      </c>
      <c r="CD47" s="4">
        <f t="shared" si="28"/>
        <v>0</v>
      </c>
      <c r="CE47" s="4">
        <f t="shared" si="29"/>
        <v>0</v>
      </c>
      <c r="CF47" s="4">
        <f t="shared" si="30"/>
        <v>0</v>
      </c>
      <c r="CG47" s="4">
        <f t="shared" si="31"/>
        <v>0</v>
      </c>
      <c r="CH47" s="4">
        <f t="shared" si="32"/>
        <v>0</v>
      </c>
      <c r="CI47" s="4">
        <f t="shared" si="33"/>
        <v>0</v>
      </c>
      <c r="CJ47" s="4">
        <f t="shared" si="34"/>
        <v>0</v>
      </c>
      <c r="CK47" s="4">
        <f t="shared" si="35"/>
        <v>0</v>
      </c>
      <c r="CL47" s="4">
        <f t="shared" si="36"/>
        <v>0</v>
      </c>
      <c r="CM47" s="4">
        <f t="shared" si="37"/>
        <v>0</v>
      </c>
      <c r="CN47" s="4">
        <f t="shared" si="38"/>
        <v>0</v>
      </c>
      <c r="CO47" s="4">
        <f t="shared" si="39"/>
        <v>0</v>
      </c>
      <c r="CP47" s="4">
        <f t="shared" si="40"/>
        <v>0</v>
      </c>
      <c r="CQ47" s="4">
        <f t="shared" si="41"/>
        <v>0</v>
      </c>
      <c r="CR47" s="4">
        <f t="shared" si="42"/>
        <v>0</v>
      </c>
      <c r="CS47" s="4">
        <f t="shared" si="43"/>
        <v>0</v>
      </c>
      <c r="CT47" s="4">
        <f t="shared" si="44"/>
        <v>0</v>
      </c>
      <c r="CU47" s="4">
        <f t="shared" si="45"/>
        <v>0</v>
      </c>
      <c r="CV47" s="4">
        <f t="shared" si="46"/>
        <v>0</v>
      </c>
      <c r="CW47" s="4">
        <f t="shared" si="47"/>
        <v>0</v>
      </c>
      <c r="CX47" s="4">
        <f t="shared" si="48"/>
        <v>0</v>
      </c>
      <c r="CY47" s="4">
        <f t="shared" si="49"/>
        <v>0</v>
      </c>
      <c r="CZ47" s="4">
        <f t="shared" si="50"/>
        <v>0</v>
      </c>
      <c r="DA47" s="4">
        <f t="shared" si="51"/>
        <v>0</v>
      </c>
      <c r="DB47" s="4">
        <f t="shared" si="52"/>
        <v>0</v>
      </c>
      <c r="DC47" s="4">
        <f t="shared" si="53"/>
        <v>0</v>
      </c>
      <c r="DD47" s="4">
        <f t="shared" si="54"/>
        <v>0</v>
      </c>
    </row>
    <row r="48" spans="1:108" x14ac:dyDescent="0.25">
      <c r="A48" s="41" t="str">
        <f>Skills!M30</f>
        <v>Perception</v>
      </c>
      <c r="B48" s="55" t="str">
        <f>Skills!N30</f>
        <v>Perception</v>
      </c>
      <c r="C48" s="22">
        <f t="shared" si="55"/>
        <v>0</v>
      </c>
      <c r="D48" s="112">
        <f>Skills!S30</f>
        <v>2</v>
      </c>
      <c r="E48" s="113" t="e">
        <f>Profession!$B$8</f>
        <v>#REF!</v>
      </c>
      <c r="F48" s="19"/>
      <c r="G48" s="19"/>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56"/>
      <c r="BF48" s="4">
        <f t="shared" si="5"/>
        <v>0</v>
      </c>
      <c r="BG48" s="4">
        <f t="shared" si="5"/>
        <v>0</v>
      </c>
      <c r="BH48" s="4">
        <f t="shared" si="6"/>
        <v>0</v>
      </c>
      <c r="BI48" s="4">
        <f t="shared" si="7"/>
        <v>0</v>
      </c>
      <c r="BJ48" s="4">
        <f t="shared" si="8"/>
        <v>0</v>
      </c>
      <c r="BK48" s="4">
        <f t="shared" si="9"/>
        <v>0</v>
      </c>
      <c r="BL48" s="4">
        <f t="shared" si="10"/>
        <v>0</v>
      </c>
      <c r="BM48" s="4">
        <f t="shared" si="11"/>
        <v>0</v>
      </c>
      <c r="BN48" s="4">
        <f t="shared" si="12"/>
        <v>0</v>
      </c>
      <c r="BO48" s="4">
        <f t="shared" si="13"/>
        <v>0</v>
      </c>
      <c r="BP48" s="4">
        <f t="shared" si="14"/>
        <v>0</v>
      </c>
      <c r="BQ48" s="4">
        <f t="shared" si="15"/>
        <v>0</v>
      </c>
      <c r="BR48" s="4">
        <f t="shared" si="16"/>
        <v>0</v>
      </c>
      <c r="BS48" s="4">
        <f t="shared" si="17"/>
        <v>0</v>
      </c>
      <c r="BT48" s="4">
        <f t="shared" si="18"/>
        <v>0</v>
      </c>
      <c r="BU48" s="4">
        <f t="shared" si="19"/>
        <v>0</v>
      </c>
      <c r="BV48" s="4">
        <f t="shared" si="20"/>
        <v>0</v>
      </c>
      <c r="BW48" s="4">
        <f t="shared" si="21"/>
        <v>0</v>
      </c>
      <c r="BX48" s="4">
        <f t="shared" si="22"/>
        <v>0</v>
      </c>
      <c r="BY48" s="4">
        <f t="shared" si="23"/>
        <v>0</v>
      </c>
      <c r="BZ48" s="4">
        <f t="shared" si="24"/>
        <v>0</v>
      </c>
      <c r="CA48" s="4">
        <f t="shared" si="25"/>
        <v>0</v>
      </c>
      <c r="CB48" s="4">
        <f t="shared" si="26"/>
        <v>0</v>
      </c>
      <c r="CC48" s="4">
        <f t="shared" si="27"/>
        <v>0</v>
      </c>
      <c r="CD48" s="4">
        <f t="shared" si="28"/>
        <v>0</v>
      </c>
      <c r="CE48" s="4">
        <f t="shared" si="29"/>
        <v>0</v>
      </c>
      <c r="CF48" s="4">
        <f t="shared" si="30"/>
        <v>0</v>
      </c>
      <c r="CG48" s="4">
        <f t="shared" si="31"/>
        <v>0</v>
      </c>
      <c r="CH48" s="4">
        <f t="shared" si="32"/>
        <v>0</v>
      </c>
      <c r="CI48" s="4">
        <f t="shared" si="33"/>
        <v>0</v>
      </c>
      <c r="CJ48" s="4">
        <f t="shared" si="34"/>
        <v>0</v>
      </c>
      <c r="CK48" s="4">
        <f t="shared" si="35"/>
        <v>0</v>
      </c>
      <c r="CL48" s="4">
        <f t="shared" si="36"/>
        <v>0</v>
      </c>
      <c r="CM48" s="4">
        <f t="shared" si="37"/>
        <v>0</v>
      </c>
      <c r="CN48" s="4">
        <f t="shared" si="38"/>
        <v>0</v>
      </c>
      <c r="CO48" s="4">
        <f t="shared" si="39"/>
        <v>0</v>
      </c>
      <c r="CP48" s="4">
        <f t="shared" si="40"/>
        <v>0</v>
      </c>
      <c r="CQ48" s="4">
        <f t="shared" si="41"/>
        <v>0</v>
      </c>
      <c r="CR48" s="4">
        <f t="shared" si="42"/>
        <v>0</v>
      </c>
      <c r="CS48" s="4">
        <f t="shared" si="43"/>
        <v>0</v>
      </c>
      <c r="CT48" s="4">
        <f t="shared" si="44"/>
        <v>0</v>
      </c>
      <c r="CU48" s="4">
        <f t="shared" si="45"/>
        <v>0</v>
      </c>
      <c r="CV48" s="4">
        <f t="shared" si="46"/>
        <v>0</v>
      </c>
      <c r="CW48" s="4">
        <f t="shared" si="47"/>
        <v>0</v>
      </c>
      <c r="CX48" s="4">
        <f t="shared" si="48"/>
        <v>0</v>
      </c>
      <c r="CY48" s="4">
        <f t="shared" si="49"/>
        <v>0</v>
      </c>
      <c r="CZ48" s="4">
        <f t="shared" si="50"/>
        <v>0</v>
      </c>
      <c r="DA48" s="4">
        <f t="shared" si="51"/>
        <v>0</v>
      </c>
      <c r="DB48" s="4">
        <f t="shared" si="52"/>
        <v>0</v>
      </c>
      <c r="DC48" s="4">
        <f t="shared" si="53"/>
        <v>0</v>
      </c>
      <c r="DD48" s="4">
        <f t="shared" si="54"/>
        <v>0</v>
      </c>
    </row>
    <row r="49" spans="1:108" x14ac:dyDescent="0.25">
      <c r="A49" s="41" t="str">
        <f>Skills!M31</f>
        <v>Perception, Sight</v>
      </c>
      <c r="B49" s="57" t="str">
        <f>Skills!N31</f>
        <v>Sight</v>
      </c>
      <c r="C49" s="24">
        <f t="shared" si="55"/>
        <v>0</v>
      </c>
      <c r="D49" s="110" t="s">
        <v>782</v>
      </c>
      <c r="E49" s="111" t="s">
        <v>782</v>
      </c>
      <c r="F49" s="18"/>
      <c r="G49" s="18"/>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49"/>
      <c r="BF49" s="4">
        <f t="shared" si="5"/>
        <v>0</v>
      </c>
      <c r="BG49" s="4">
        <f t="shared" si="5"/>
        <v>0</v>
      </c>
      <c r="BH49" s="4">
        <f t="shared" si="6"/>
        <v>0</v>
      </c>
      <c r="BI49" s="4">
        <f t="shared" si="7"/>
        <v>0</v>
      </c>
      <c r="BJ49" s="4">
        <f t="shared" si="8"/>
        <v>0</v>
      </c>
      <c r="BK49" s="4">
        <f t="shared" si="9"/>
        <v>0</v>
      </c>
      <c r="BL49" s="4">
        <f t="shared" si="10"/>
        <v>0</v>
      </c>
      <c r="BM49" s="4">
        <f t="shared" si="11"/>
        <v>0</v>
      </c>
      <c r="BN49" s="4">
        <f t="shared" si="12"/>
        <v>0</v>
      </c>
      <c r="BO49" s="4">
        <f t="shared" si="13"/>
        <v>0</v>
      </c>
      <c r="BP49" s="4">
        <f t="shared" si="14"/>
        <v>0</v>
      </c>
      <c r="BQ49" s="4">
        <f t="shared" si="15"/>
        <v>0</v>
      </c>
      <c r="BR49" s="4">
        <f t="shared" si="16"/>
        <v>0</v>
      </c>
      <c r="BS49" s="4">
        <f t="shared" si="17"/>
        <v>0</v>
      </c>
      <c r="BT49" s="4">
        <f t="shared" si="18"/>
        <v>0</v>
      </c>
      <c r="BU49" s="4">
        <f t="shared" si="19"/>
        <v>0</v>
      </c>
      <c r="BV49" s="4">
        <f t="shared" si="20"/>
        <v>0</v>
      </c>
      <c r="BW49" s="4">
        <f t="shared" si="21"/>
        <v>0</v>
      </c>
      <c r="BX49" s="4">
        <f t="shared" si="22"/>
        <v>0</v>
      </c>
      <c r="BY49" s="4">
        <f t="shared" si="23"/>
        <v>0</v>
      </c>
      <c r="BZ49" s="4">
        <f t="shared" si="24"/>
        <v>0</v>
      </c>
      <c r="CA49" s="4">
        <f t="shared" si="25"/>
        <v>0</v>
      </c>
      <c r="CB49" s="4">
        <f t="shared" si="26"/>
        <v>0</v>
      </c>
      <c r="CC49" s="4">
        <f t="shared" si="27"/>
        <v>0</v>
      </c>
      <c r="CD49" s="4">
        <f t="shared" si="28"/>
        <v>0</v>
      </c>
      <c r="CE49" s="4">
        <f t="shared" si="29"/>
        <v>0</v>
      </c>
      <c r="CF49" s="4">
        <f t="shared" si="30"/>
        <v>0</v>
      </c>
      <c r="CG49" s="4">
        <f t="shared" si="31"/>
        <v>0</v>
      </c>
      <c r="CH49" s="4">
        <f t="shared" si="32"/>
        <v>0</v>
      </c>
      <c r="CI49" s="4">
        <f t="shared" si="33"/>
        <v>0</v>
      </c>
      <c r="CJ49" s="4">
        <f t="shared" si="34"/>
        <v>0</v>
      </c>
      <c r="CK49" s="4">
        <f t="shared" si="35"/>
        <v>0</v>
      </c>
      <c r="CL49" s="4">
        <f t="shared" si="36"/>
        <v>0</v>
      </c>
      <c r="CM49" s="4">
        <f t="shared" si="37"/>
        <v>0</v>
      </c>
      <c r="CN49" s="4">
        <f t="shared" si="38"/>
        <v>0</v>
      </c>
      <c r="CO49" s="4">
        <f t="shared" si="39"/>
        <v>0</v>
      </c>
      <c r="CP49" s="4">
        <f t="shared" si="40"/>
        <v>0</v>
      </c>
      <c r="CQ49" s="4">
        <f t="shared" si="41"/>
        <v>0</v>
      </c>
      <c r="CR49" s="4">
        <f t="shared" si="42"/>
        <v>0</v>
      </c>
      <c r="CS49" s="4">
        <f t="shared" si="43"/>
        <v>0</v>
      </c>
      <c r="CT49" s="4">
        <f t="shared" si="44"/>
        <v>0</v>
      </c>
      <c r="CU49" s="4">
        <f t="shared" si="45"/>
        <v>0</v>
      </c>
      <c r="CV49" s="4">
        <f t="shared" si="46"/>
        <v>0</v>
      </c>
      <c r="CW49" s="4">
        <f t="shared" si="47"/>
        <v>0</v>
      </c>
      <c r="CX49" s="4">
        <f t="shared" si="48"/>
        <v>0</v>
      </c>
      <c r="CY49" s="4">
        <f t="shared" si="49"/>
        <v>0</v>
      </c>
      <c r="CZ49" s="4">
        <f t="shared" si="50"/>
        <v>0</v>
      </c>
      <c r="DA49" s="4">
        <f t="shared" si="51"/>
        <v>0</v>
      </c>
      <c r="DB49" s="4">
        <f t="shared" si="52"/>
        <v>0</v>
      </c>
      <c r="DC49" s="4">
        <f t="shared" si="53"/>
        <v>0</v>
      </c>
      <c r="DD49" s="4">
        <f t="shared" si="54"/>
        <v>0</v>
      </c>
    </row>
    <row r="50" spans="1:108" x14ac:dyDescent="0.25">
      <c r="A50" s="41" t="str">
        <f>Skills!M32</f>
        <v>Perception, Hearing</v>
      </c>
      <c r="B50" s="55" t="str">
        <f>Skills!N32</f>
        <v>Hearing</v>
      </c>
      <c r="C50" s="22">
        <f t="shared" si="55"/>
        <v>0</v>
      </c>
      <c r="D50" s="112" t="s">
        <v>782</v>
      </c>
      <c r="E50" s="113" t="s">
        <v>782</v>
      </c>
      <c r="F50" s="19"/>
      <c r="G50" s="19"/>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56"/>
      <c r="BF50" s="4">
        <f t="shared" si="5"/>
        <v>0</v>
      </c>
      <c r="BG50" s="4">
        <f t="shared" si="5"/>
        <v>0</v>
      </c>
      <c r="BH50" s="4">
        <f t="shared" si="6"/>
        <v>0</v>
      </c>
      <c r="BI50" s="4">
        <f t="shared" si="7"/>
        <v>0</v>
      </c>
      <c r="BJ50" s="4">
        <f t="shared" si="8"/>
        <v>0</v>
      </c>
      <c r="BK50" s="4">
        <f t="shared" si="9"/>
        <v>0</v>
      </c>
      <c r="BL50" s="4">
        <f t="shared" si="10"/>
        <v>0</v>
      </c>
      <c r="BM50" s="4">
        <f t="shared" si="11"/>
        <v>0</v>
      </c>
      <c r="BN50" s="4">
        <f t="shared" si="12"/>
        <v>0</v>
      </c>
      <c r="BO50" s="4">
        <f t="shared" si="13"/>
        <v>0</v>
      </c>
      <c r="BP50" s="4">
        <f t="shared" si="14"/>
        <v>0</v>
      </c>
      <c r="BQ50" s="4">
        <f t="shared" si="15"/>
        <v>0</v>
      </c>
      <c r="BR50" s="4">
        <f t="shared" si="16"/>
        <v>0</v>
      </c>
      <c r="BS50" s="4">
        <f t="shared" si="17"/>
        <v>0</v>
      </c>
      <c r="BT50" s="4">
        <f t="shared" si="18"/>
        <v>0</v>
      </c>
      <c r="BU50" s="4">
        <f t="shared" si="19"/>
        <v>0</v>
      </c>
      <c r="BV50" s="4">
        <f t="shared" si="20"/>
        <v>0</v>
      </c>
      <c r="BW50" s="4">
        <f t="shared" si="21"/>
        <v>0</v>
      </c>
      <c r="BX50" s="4">
        <f t="shared" si="22"/>
        <v>0</v>
      </c>
      <c r="BY50" s="4">
        <f t="shared" si="23"/>
        <v>0</v>
      </c>
      <c r="BZ50" s="4">
        <f t="shared" si="24"/>
        <v>0</v>
      </c>
      <c r="CA50" s="4">
        <f t="shared" si="25"/>
        <v>0</v>
      </c>
      <c r="CB50" s="4">
        <f t="shared" si="26"/>
        <v>0</v>
      </c>
      <c r="CC50" s="4">
        <f t="shared" si="27"/>
        <v>0</v>
      </c>
      <c r="CD50" s="4">
        <f t="shared" si="28"/>
        <v>0</v>
      </c>
      <c r="CE50" s="4">
        <f t="shared" si="29"/>
        <v>0</v>
      </c>
      <c r="CF50" s="4">
        <f t="shared" si="30"/>
        <v>0</v>
      </c>
      <c r="CG50" s="4">
        <f t="shared" si="31"/>
        <v>0</v>
      </c>
      <c r="CH50" s="4">
        <f t="shared" si="32"/>
        <v>0</v>
      </c>
      <c r="CI50" s="4">
        <f t="shared" si="33"/>
        <v>0</v>
      </c>
      <c r="CJ50" s="4">
        <f t="shared" si="34"/>
        <v>0</v>
      </c>
      <c r="CK50" s="4">
        <f t="shared" si="35"/>
        <v>0</v>
      </c>
      <c r="CL50" s="4">
        <f t="shared" si="36"/>
        <v>0</v>
      </c>
      <c r="CM50" s="4">
        <f t="shared" si="37"/>
        <v>0</v>
      </c>
      <c r="CN50" s="4">
        <f t="shared" si="38"/>
        <v>0</v>
      </c>
      <c r="CO50" s="4">
        <f t="shared" si="39"/>
        <v>0</v>
      </c>
      <c r="CP50" s="4">
        <f t="shared" si="40"/>
        <v>0</v>
      </c>
      <c r="CQ50" s="4">
        <f t="shared" si="41"/>
        <v>0</v>
      </c>
      <c r="CR50" s="4">
        <f t="shared" si="42"/>
        <v>0</v>
      </c>
      <c r="CS50" s="4">
        <f t="shared" si="43"/>
        <v>0</v>
      </c>
      <c r="CT50" s="4">
        <f t="shared" si="44"/>
        <v>0</v>
      </c>
      <c r="CU50" s="4">
        <f t="shared" si="45"/>
        <v>0</v>
      </c>
      <c r="CV50" s="4">
        <f t="shared" si="46"/>
        <v>0</v>
      </c>
      <c r="CW50" s="4">
        <f t="shared" si="47"/>
        <v>0</v>
      </c>
      <c r="CX50" s="4">
        <f t="shared" si="48"/>
        <v>0</v>
      </c>
      <c r="CY50" s="4">
        <f t="shared" si="49"/>
        <v>0</v>
      </c>
      <c r="CZ50" s="4">
        <f t="shared" si="50"/>
        <v>0</v>
      </c>
      <c r="DA50" s="4">
        <f t="shared" si="51"/>
        <v>0</v>
      </c>
      <c r="DB50" s="4">
        <f t="shared" si="52"/>
        <v>0</v>
      </c>
      <c r="DC50" s="4">
        <f t="shared" si="53"/>
        <v>0</v>
      </c>
      <c r="DD50" s="4">
        <f t="shared" si="54"/>
        <v>0</v>
      </c>
    </row>
    <row r="51" spans="1:108" x14ac:dyDescent="0.25">
      <c r="A51" s="41" t="str">
        <f>Skills!M33</f>
        <v>Perception, Smell</v>
      </c>
      <c r="B51" s="57" t="str">
        <f>Skills!N33</f>
        <v>Smell</v>
      </c>
      <c r="C51" s="24">
        <f t="shared" si="55"/>
        <v>0</v>
      </c>
      <c r="D51" s="110" t="s">
        <v>782</v>
      </c>
      <c r="E51" s="111" t="s">
        <v>782</v>
      </c>
      <c r="F51" s="18"/>
      <c r="G51" s="18"/>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49"/>
      <c r="BF51" s="4">
        <f t="shared" si="5"/>
        <v>0</v>
      </c>
      <c r="BG51" s="4">
        <f t="shared" si="5"/>
        <v>0</v>
      </c>
      <c r="BH51" s="4">
        <f t="shared" si="6"/>
        <v>0</v>
      </c>
      <c r="BI51" s="4">
        <f t="shared" si="7"/>
        <v>0</v>
      </c>
      <c r="BJ51" s="4">
        <f t="shared" si="8"/>
        <v>0</v>
      </c>
      <c r="BK51" s="4">
        <f t="shared" si="9"/>
        <v>0</v>
      </c>
      <c r="BL51" s="4">
        <f t="shared" si="10"/>
        <v>0</v>
      </c>
      <c r="BM51" s="4">
        <f t="shared" si="11"/>
        <v>0</v>
      </c>
      <c r="BN51" s="4">
        <f t="shared" si="12"/>
        <v>0</v>
      </c>
      <c r="BO51" s="4">
        <f t="shared" si="13"/>
        <v>0</v>
      </c>
      <c r="BP51" s="4">
        <f t="shared" si="14"/>
        <v>0</v>
      </c>
      <c r="BQ51" s="4">
        <f t="shared" si="15"/>
        <v>0</v>
      </c>
      <c r="BR51" s="4">
        <f t="shared" si="16"/>
        <v>0</v>
      </c>
      <c r="BS51" s="4">
        <f t="shared" si="17"/>
        <v>0</v>
      </c>
      <c r="BT51" s="4">
        <f t="shared" si="18"/>
        <v>0</v>
      </c>
      <c r="BU51" s="4">
        <f t="shared" si="19"/>
        <v>0</v>
      </c>
      <c r="BV51" s="4">
        <f t="shared" si="20"/>
        <v>0</v>
      </c>
      <c r="BW51" s="4">
        <f t="shared" si="21"/>
        <v>0</v>
      </c>
      <c r="BX51" s="4">
        <f t="shared" si="22"/>
        <v>0</v>
      </c>
      <c r="BY51" s="4">
        <f t="shared" si="23"/>
        <v>0</v>
      </c>
      <c r="BZ51" s="4">
        <f t="shared" si="24"/>
        <v>0</v>
      </c>
      <c r="CA51" s="4">
        <f t="shared" si="25"/>
        <v>0</v>
      </c>
      <c r="CB51" s="4">
        <f t="shared" si="26"/>
        <v>0</v>
      </c>
      <c r="CC51" s="4">
        <f t="shared" si="27"/>
        <v>0</v>
      </c>
      <c r="CD51" s="4">
        <f t="shared" si="28"/>
        <v>0</v>
      </c>
      <c r="CE51" s="4">
        <f t="shared" si="29"/>
        <v>0</v>
      </c>
      <c r="CF51" s="4">
        <f t="shared" si="30"/>
        <v>0</v>
      </c>
      <c r="CG51" s="4">
        <f t="shared" si="31"/>
        <v>0</v>
      </c>
      <c r="CH51" s="4">
        <f t="shared" si="32"/>
        <v>0</v>
      </c>
      <c r="CI51" s="4">
        <f t="shared" si="33"/>
        <v>0</v>
      </c>
      <c r="CJ51" s="4">
        <f t="shared" si="34"/>
        <v>0</v>
      </c>
      <c r="CK51" s="4">
        <f t="shared" si="35"/>
        <v>0</v>
      </c>
      <c r="CL51" s="4">
        <f t="shared" si="36"/>
        <v>0</v>
      </c>
      <c r="CM51" s="4">
        <f t="shared" si="37"/>
        <v>0</v>
      </c>
      <c r="CN51" s="4">
        <f t="shared" si="38"/>
        <v>0</v>
      </c>
      <c r="CO51" s="4">
        <f t="shared" si="39"/>
        <v>0</v>
      </c>
      <c r="CP51" s="4">
        <f t="shared" si="40"/>
        <v>0</v>
      </c>
      <c r="CQ51" s="4">
        <f t="shared" si="41"/>
        <v>0</v>
      </c>
      <c r="CR51" s="4">
        <f t="shared" si="42"/>
        <v>0</v>
      </c>
      <c r="CS51" s="4">
        <f t="shared" si="43"/>
        <v>0</v>
      </c>
      <c r="CT51" s="4">
        <f t="shared" si="44"/>
        <v>0</v>
      </c>
      <c r="CU51" s="4">
        <f t="shared" si="45"/>
        <v>0</v>
      </c>
      <c r="CV51" s="4">
        <f t="shared" si="46"/>
        <v>0</v>
      </c>
      <c r="CW51" s="4">
        <f t="shared" si="47"/>
        <v>0</v>
      </c>
      <c r="CX51" s="4">
        <f t="shared" si="48"/>
        <v>0</v>
      </c>
      <c r="CY51" s="4">
        <f t="shared" si="49"/>
        <v>0</v>
      </c>
      <c r="CZ51" s="4">
        <f t="shared" si="50"/>
        <v>0</v>
      </c>
      <c r="DA51" s="4">
        <f t="shared" si="51"/>
        <v>0</v>
      </c>
      <c r="DB51" s="4">
        <f t="shared" si="52"/>
        <v>0</v>
      </c>
      <c r="DC51" s="4">
        <f t="shared" si="53"/>
        <v>0</v>
      </c>
      <c r="DD51" s="4">
        <f t="shared" si="54"/>
        <v>0</v>
      </c>
    </row>
    <row r="52" spans="1:108" x14ac:dyDescent="0.25">
      <c r="A52" s="41" t="str">
        <f>Skills!M34</f>
        <v>Perception, Taste</v>
      </c>
      <c r="B52" s="55" t="str">
        <f>Skills!N34</f>
        <v>Taste</v>
      </c>
      <c r="C52" s="22">
        <f t="shared" si="55"/>
        <v>0</v>
      </c>
      <c r="D52" s="112" t="s">
        <v>782</v>
      </c>
      <c r="E52" s="113" t="s">
        <v>782</v>
      </c>
      <c r="F52" s="19"/>
      <c r="G52" s="19"/>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56"/>
      <c r="BF52" s="4">
        <f t="shared" si="5"/>
        <v>0</v>
      </c>
      <c r="BG52" s="4">
        <f t="shared" si="5"/>
        <v>0</v>
      </c>
      <c r="BH52" s="4">
        <f t="shared" si="6"/>
        <v>0</v>
      </c>
      <c r="BI52" s="4">
        <f t="shared" si="7"/>
        <v>0</v>
      </c>
      <c r="BJ52" s="4">
        <f t="shared" si="8"/>
        <v>0</v>
      </c>
      <c r="BK52" s="4">
        <f t="shared" si="9"/>
        <v>0</v>
      </c>
      <c r="BL52" s="4">
        <f t="shared" si="10"/>
        <v>0</v>
      </c>
      <c r="BM52" s="4">
        <f t="shared" si="11"/>
        <v>0</v>
      </c>
      <c r="BN52" s="4">
        <f t="shared" si="12"/>
        <v>0</v>
      </c>
      <c r="BO52" s="4">
        <f t="shared" si="13"/>
        <v>0</v>
      </c>
      <c r="BP52" s="4">
        <f t="shared" si="14"/>
        <v>0</v>
      </c>
      <c r="BQ52" s="4">
        <f t="shared" si="15"/>
        <v>0</v>
      </c>
      <c r="BR52" s="4">
        <f t="shared" si="16"/>
        <v>0</v>
      </c>
      <c r="BS52" s="4">
        <f t="shared" si="17"/>
        <v>0</v>
      </c>
      <c r="BT52" s="4">
        <f t="shared" si="18"/>
        <v>0</v>
      </c>
      <c r="BU52" s="4">
        <f t="shared" si="19"/>
        <v>0</v>
      </c>
      <c r="BV52" s="4">
        <f t="shared" si="20"/>
        <v>0</v>
      </c>
      <c r="BW52" s="4">
        <f t="shared" si="21"/>
        <v>0</v>
      </c>
      <c r="BX52" s="4">
        <f t="shared" si="22"/>
        <v>0</v>
      </c>
      <c r="BY52" s="4">
        <f t="shared" si="23"/>
        <v>0</v>
      </c>
      <c r="BZ52" s="4">
        <f t="shared" si="24"/>
        <v>0</v>
      </c>
      <c r="CA52" s="4">
        <f t="shared" si="25"/>
        <v>0</v>
      </c>
      <c r="CB52" s="4">
        <f t="shared" si="26"/>
        <v>0</v>
      </c>
      <c r="CC52" s="4">
        <f t="shared" si="27"/>
        <v>0</v>
      </c>
      <c r="CD52" s="4">
        <f t="shared" si="28"/>
        <v>0</v>
      </c>
      <c r="CE52" s="4">
        <f t="shared" si="29"/>
        <v>0</v>
      </c>
      <c r="CF52" s="4">
        <f t="shared" si="30"/>
        <v>0</v>
      </c>
      <c r="CG52" s="4">
        <f t="shared" si="31"/>
        <v>0</v>
      </c>
      <c r="CH52" s="4">
        <f t="shared" si="32"/>
        <v>0</v>
      </c>
      <c r="CI52" s="4">
        <f t="shared" si="33"/>
        <v>0</v>
      </c>
      <c r="CJ52" s="4">
        <f t="shared" si="34"/>
        <v>0</v>
      </c>
      <c r="CK52" s="4">
        <f t="shared" si="35"/>
        <v>0</v>
      </c>
      <c r="CL52" s="4">
        <f t="shared" si="36"/>
        <v>0</v>
      </c>
      <c r="CM52" s="4">
        <f t="shared" si="37"/>
        <v>0</v>
      </c>
      <c r="CN52" s="4">
        <f t="shared" si="38"/>
        <v>0</v>
      </c>
      <c r="CO52" s="4">
        <f t="shared" si="39"/>
        <v>0</v>
      </c>
      <c r="CP52" s="4">
        <f t="shared" si="40"/>
        <v>0</v>
      </c>
      <c r="CQ52" s="4">
        <f t="shared" si="41"/>
        <v>0</v>
      </c>
      <c r="CR52" s="4">
        <f t="shared" si="42"/>
        <v>0</v>
      </c>
      <c r="CS52" s="4">
        <f t="shared" si="43"/>
        <v>0</v>
      </c>
      <c r="CT52" s="4">
        <f t="shared" si="44"/>
        <v>0</v>
      </c>
      <c r="CU52" s="4">
        <f t="shared" si="45"/>
        <v>0</v>
      </c>
      <c r="CV52" s="4">
        <f t="shared" si="46"/>
        <v>0</v>
      </c>
      <c r="CW52" s="4">
        <f t="shared" si="47"/>
        <v>0</v>
      </c>
      <c r="CX52" s="4">
        <f t="shared" si="48"/>
        <v>0</v>
      </c>
      <c r="CY52" s="4">
        <f t="shared" si="49"/>
        <v>0</v>
      </c>
      <c r="CZ52" s="4">
        <f t="shared" si="50"/>
        <v>0</v>
      </c>
      <c r="DA52" s="4">
        <f t="shared" si="51"/>
        <v>0</v>
      </c>
      <c r="DB52" s="4">
        <f t="shared" si="52"/>
        <v>0</v>
      </c>
      <c r="DC52" s="4">
        <f t="shared" si="53"/>
        <v>0</v>
      </c>
      <c r="DD52" s="4">
        <f t="shared" si="54"/>
        <v>0</v>
      </c>
    </row>
    <row r="53" spans="1:108" x14ac:dyDescent="0.25">
      <c r="A53" s="41" t="str">
        <f>Skills!M35</f>
        <v>Perception, Touch</v>
      </c>
      <c r="B53" s="57" t="str">
        <f>Skills!N35</f>
        <v>Touch</v>
      </c>
      <c r="C53" s="24">
        <f t="shared" si="55"/>
        <v>0</v>
      </c>
      <c r="D53" s="110" t="s">
        <v>782</v>
      </c>
      <c r="E53" s="111" t="s">
        <v>782</v>
      </c>
      <c r="F53" s="18"/>
      <c r="G53" s="18"/>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49"/>
      <c r="BF53" s="4">
        <f t="shared" si="5"/>
        <v>0</v>
      </c>
      <c r="BG53" s="4">
        <f t="shared" si="5"/>
        <v>0</v>
      </c>
      <c r="BH53" s="4">
        <f t="shared" si="6"/>
        <v>0</v>
      </c>
      <c r="BI53" s="4">
        <f t="shared" si="7"/>
        <v>0</v>
      </c>
      <c r="BJ53" s="4">
        <f t="shared" si="8"/>
        <v>0</v>
      </c>
      <c r="BK53" s="4">
        <f t="shared" si="9"/>
        <v>0</v>
      </c>
      <c r="BL53" s="4">
        <f t="shared" si="10"/>
        <v>0</v>
      </c>
      <c r="BM53" s="4">
        <f t="shared" si="11"/>
        <v>0</v>
      </c>
      <c r="BN53" s="4">
        <f t="shared" si="12"/>
        <v>0</v>
      </c>
      <c r="BO53" s="4">
        <f t="shared" si="13"/>
        <v>0</v>
      </c>
      <c r="BP53" s="4">
        <f t="shared" si="14"/>
        <v>0</v>
      </c>
      <c r="BQ53" s="4">
        <f t="shared" si="15"/>
        <v>0</v>
      </c>
      <c r="BR53" s="4">
        <f t="shared" si="16"/>
        <v>0</v>
      </c>
      <c r="BS53" s="4">
        <f t="shared" si="17"/>
        <v>0</v>
      </c>
      <c r="BT53" s="4">
        <f t="shared" si="18"/>
        <v>0</v>
      </c>
      <c r="BU53" s="4">
        <f t="shared" si="19"/>
        <v>0</v>
      </c>
      <c r="BV53" s="4">
        <f t="shared" si="20"/>
        <v>0</v>
      </c>
      <c r="BW53" s="4">
        <f t="shared" si="21"/>
        <v>0</v>
      </c>
      <c r="BX53" s="4">
        <f t="shared" si="22"/>
        <v>0</v>
      </c>
      <c r="BY53" s="4">
        <f t="shared" si="23"/>
        <v>0</v>
      </c>
      <c r="BZ53" s="4">
        <f t="shared" si="24"/>
        <v>0</v>
      </c>
      <c r="CA53" s="4">
        <f t="shared" si="25"/>
        <v>0</v>
      </c>
      <c r="CB53" s="4">
        <f t="shared" si="26"/>
        <v>0</v>
      </c>
      <c r="CC53" s="4">
        <f t="shared" si="27"/>
        <v>0</v>
      </c>
      <c r="CD53" s="4">
        <f t="shared" si="28"/>
        <v>0</v>
      </c>
      <c r="CE53" s="4">
        <f t="shared" si="29"/>
        <v>0</v>
      </c>
      <c r="CF53" s="4">
        <f t="shared" si="30"/>
        <v>0</v>
      </c>
      <c r="CG53" s="4">
        <f t="shared" si="31"/>
        <v>0</v>
      </c>
      <c r="CH53" s="4">
        <f t="shared" si="32"/>
        <v>0</v>
      </c>
      <c r="CI53" s="4">
        <f t="shared" si="33"/>
        <v>0</v>
      </c>
      <c r="CJ53" s="4">
        <f t="shared" si="34"/>
        <v>0</v>
      </c>
      <c r="CK53" s="4">
        <f t="shared" si="35"/>
        <v>0</v>
      </c>
      <c r="CL53" s="4">
        <f t="shared" si="36"/>
        <v>0</v>
      </c>
      <c r="CM53" s="4">
        <f t="shared" si="37"/>
        <v>0</v>
      </c>
      <c r="CN53" s="4">
        <f t="shared" si="38"/>
        <v>0</v>
      </c>
      <c r="CO53" s="4">
        <f t="shared" si="39"/>
        <v>0</v>
      </c>
      <c r="CP53" s="4">
        <f t="shared" si="40"/>
        <v>0</v>
      </c>
      <c r="CQ53" s="4">
        <f t="shared" si="41"/>
        <v>0</v>
      </c>
      <c r="CR53" s="4">
        <f t="shared" si="42"/>
        <v>0</v>
      </c>
      <c r="CS53" s="4">
        <f t="shared" si="43"/>
        <v>0</v>
      </c>
      <c r="CT53" s="4">
        <f t="shared" si="44"/>
        <v>0</v>
      </c>
      <c r="CU53" s="4">
        <f t="shared" si="45"/>
        <v>0</v>
      </c>
      <c r="CV53" s="4">
        <f t="shared" si="46"/>
        <v>0</v>
      </c>
      <c r="CW53" s="4">
        <f t="shared" si="47"/>
        <v>0</v>
      </c>
      <c r="CX53" s="4">
        <f t="shared" si="48"/>
        <v>0</v>
      </c>
      <c r="CY53" s="4">
        <f t="shared" si="49"/>
        <v>0</v>
      </c>
      <c r="CZ53" s="4">
        <f t="shared" si="50"/>
        <v>0</v>
      </c>
      <c r="DA53" s="4">
        <f t="shared" si="51"/>
        <v>0</v>
      </c>
      <c r="DB53" s="4">
        <f t="shared" si="52"/>
        <v>0</v>
      </c>
      <c r="DC53" s="4">
        <f t="shared" si="53"/>
        <v>0</v>
      </c>
      <c r="DD53" s="4">
        <f t="shared" si="54"/>
        <v>0</v>
      </c>
    </row>
    <row r="54" spans="1:108" x14ac:dyDescent="0.25">
      <c r="A54" s="41" t="str">
        <f>Skills!M36</f>
        <v>Tracking</v>
      </c>
      <c r="B54" s="55" t="str">
        <f>Skills!N36</f>
        <v>Tracking</v>
      </c>
      <c r="C54" s="22">
        <f t="shared" si="55"/>
        <v>0</v>
      </c>
      <c r="D54" s="112">
        <f>Skills!S36</f>
        <v>1</v>
      </c>
      <c r="E54" s="113" t="e">
        <f>Profession!$B$9</f>
        <v>#REF!</v>
      </c>
      <c r="F54" s="19"/>
      <c r="G54" s="19"/>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56"/>
      <c r="BF54" s="4">
        <f t="shared" si="5"/>
        <v>0</v>
      </c>
      <c r="BG54" s="4">
        <f t="shared" si="5"/>
        <v>0</v>
      </c>
      <c r="BH54" s="4">
        <f t="shared" si="6"/>
        <v>0</v>
      </c>
      <c r="BI54" s="4">
        <f t="shared" si="7"/>
        <v>0</v>
      </c>
      <c r="BJ54" s="4">
        <f t="shared" si="8"/>
        <v>0</v>
      </c>
      <c r="BK54" s="4">
        <f t="shared" si="9"/>
        <v>0</v>
      </c>
      <c r="BL54" s="4">
        <f t="shared" si="10"/>
        <v>0</v>
      </c>
      <c r="BM54" s="4">
        <f t="shared" si="11"/>
        <v>0</v>
      </c>
      <c r="BN54" s="4">
        <f t="shared" si="12"/>
        <v>0</v>
      </c>
      <c r="BO54" s="4">
        <f t="shared" si="13"/>
        <v>0</v>
      </c>
      <c r="BP54" s="4">
        <f t="shared" si="14"/>
        <v>0</v>
      </c>
      <c r="BQ54" s="4">
        <f t="shared" si="15"/>
        <v>0</v>
      </c>
      <c r="BR54" s="4">
        <f t="shared" si="16"/>
        <v>0</v>
      </c>
      <c r="BS54" s="4">
        <f t="shared" si="17"/>
        <v>0</v>
      </c>
      <c r="BT54" s="4">
        <f t="shared" si="18"/>
        <v>0</v>
      </c>
      <c r="BU54" s="4">
        <f t="shared" si="19"/>
        <v>0</v>
      </c>
      <c r="BV54" s="4">
        <f t="shared" si="20"/>
        <v>0</v>
      </c>
      <c r="BW54" s="4">
        <f t="shared" si="21"/>
        <v>0</v>
      </c>
      <c r="BX54" s="4">
        <f t="shared" si="22"/>
        <v>0</v>
      </c>
      <c r="BY54" s="4">
        <f t="shared" si="23"/>
        <v>0</v>
      </c>
      <c r="BZ54" s="4">
        <f t="shared" si="24"/>
        <v>0</v>
      </c>
      <c r="CA54" s="4">
        <f t="shared" si="25"/>
        <v>0</v>
      </c>
      <c r="CB54" s="4">
        <f t="shared" si="26"/>
        <v>0</v>
      </c>
      <c r="CC54" s="4">
        <f t="shared" si="27"/>
        <v>0</v>
      </c>
      <c r="CD54" s="4">
        <f t="shared" si="28"/>
        <v>0</v>
      </c>
      <c r="CE54" s="4">
        <f t="shared" si="29"/>
        <v>0</v>
      </c>
      <c r="CF54" s="4">
        <f t="shared" si="30"/>
        <v>0</v>
      </c>
      <c r="CG54" s="4">
        <f t="shared" si="31"/>
        <v>0</v>
      </c>
      <c r="CH54" s="4">
        <f t="shared" si="32"/>
        <v>0</v>
      </c>
      <c r="CI54" s="4">
        <f t="shared" si="33"/>
        <v>0</v>
      </c>
      <c r="CJ54" s="4">
        <f t="shared" si="34"/>
        <v>0</v>
      </c>
      <c r="CK54" s="4">
        <f t="shared" si="35"/>
        <v>0</v>
      </c>
      <c r="CL54" s="4">
        <f t="shared" si="36"/>
        <v>0</v>
      </c>
      <c r="CM54" s="4">
        <f t="shared" si="37"/>
        <v>0</v>
      </c>
      <c r="CN54" s="4">
        <f t="shared" si="38"/>
        <v>0</v>
      </c>
      <c r="CO54" s="4">
        <f t="shared" si="39"/>
        <v>0</v>
      </c>
      <c r="CP54" s="4">
        <f t="shared" si="40"/>
        <v>0</v>
      </c>
      <c r="CQ54" s="4">
        <f t="shared" si="41"/>
        <v>0</v>
      </c>
      <c r="CR54" s="4">
        <f t="shared" si="42"/>
        <v>0</v>
      </c>
      <c r="CS54" s="4">
        <f t="shared" si="43"/>
        <v>0</v>
      </c>
      <c r="CT54" s="4">
        <f t="shared" si="44"/>
        <v>0</v>
      </c>
      <c r="CU54" s="4">
        <f t="shared" si="45"/>
        <v>0</v>
      </c>
      <c r="CV54" s="4">
        <f t="shared" si="46"/>
        <v>0</v>
      </c>
      <c r="CW54" s="4">
        <f t="shared" si="47"/>
        <v>0</v>
      </c>
      <c r="CX54" s="4">
        <f t="shared" si="48"/>
        <v>0</v>
      </c>
      <c r="CY54" s="4">
        <f t="shared" si="49"/>
        <v>0</v>
      </c>
      <c r="CZ54" s="4">
        <f t="shared" si="50"/>
        <v>0</v>
      </c>
      <c r="DA54" s="4">
        <f t="shared" si="51"/>
        <v>0</v>
      </c>
      <c r="DB54" s="4">
        <f t="shared" si="52"/>
        <v>0</v>
      </c>
      <c r="DC54" s="4">
        <f t="shared" si="53"/>
        <v>0</v>
      </c>
      <c r="DD54" s="4">
        <f t="shared" si="54"/>
        <v>0</v>
      </c>
    </row>
    <row r="55" spans="1:108" x14ac:dyDescent="0.25">
      <c r="A55" s="41">
        <f>Skills!M37</f>
        <v>0</v>
      </c>
      <c r="B55" s="57" t="str">
        <f>Skills!N37</f>
        <v>Battle Expertise Category</v>
      </c>
      <c r="C55" s="24">
        <f t="shared" si="55"/>
        <v>0</v>
      </c>
      <c r="D55" s="110" t="str">
        <f>Skills!S37</f>
        <v>- -</v>
      </c>
      <c r="E55" s="111" t="s">
        <v>782</v>
      </c>
      <c r="F55" s="18"/>
      <c r="G55" s="18"/>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49"/>
      <c r="BF55" s="4">
        <f t="shared" si="5"/>
        <v>0</v>
      </c>
      <c r="BG55" s="4">
        <f t="shared" si="5"/>
        <v>0</v>
      </c>
      <c r="BH55" s="4">
        <f t="shared" si="6"/>
        <v>0</v>
      </c>
      <c r="BI55" s="4">
        <f t="shared" si="7"/>
        <v>0</v>
      </c>
      <c r="BJ55" s="4">
        <f t="shared" si="8"/>
        <v>0</v>
      </c>
      <c r="BK55" s="4">
        <f t="shared" si="9"/>
        <v>0</v>
      </c>
      <c r="BL55" s="4">
        <f t="shared" si="10"/>
        <v>0</v>
      </c>
      <c r="BM55" s="4">
        <f t="shared" si="11"/>
        <v>0</v>
      </c>
      <c r="BN55" s="4">
        <f t="shared" si="12"/>
        <v>0</v>
      </c>
      <c r="BO55" s="4">
        <f t="shared" si="13"/>
        <v>0</v>
      </c>
      <c r="BP55" s="4">
        <f t="shared" si="14"/>
        <v>0</v>
      </c>
      <c r="BQ55" s="4">
        <f t="shared" si="15"/>
        <v>0</v>
      </c>
      <c r="BR55" s="4">
        <f t="shared" si="16"/>
        <v>0</v>
      </c>
      <c r="BS55" s="4">
        <f t="shared" si="17"/>
        <v>0</v>
      </c>
      <c r="BT55" s="4">
        <f t="shared" si="18"/>
        <v>0</v>
      </c>
      <c r="BU55" s="4">
        <f t="shared" si="19"/>
        <v>0</v>
      </c>
      <c r="BV55" s="4">
        <f t="shared" si="20"/>
        <v>0</v>
      </c>
      <c r="BW55" s="4">
        <f t="shared" si="21"/>
        <v>0</v>
      </c>
      <c r="BX55" s="4">
        <f t="shared" si="22"/>
        <v>0</v>
      </c>
      <c r="BY55" s="4">
        <f t="shared" si="23"/>
        <v>0</v>
      </c>
      <c r="BZ55" s="4">
        <f t="shared" si="24"/>
        <v>0</v>
      </c>
      <c r="CA55" s="4">
        <f t="shared" si="25"/>
        <v>0</v>
      </c>
      <c r="CB55" s="4">
        <f t="shared" si="26"/>
        <v>0</v>
      </c>
      <c r="CC55" s="4">
        <f t="shared" si="27"/>
        <v>0</v>
      </c>
      <c r="CD55" s="4">
        <f t="shared" si="28"/>
        <v>0</v>
      </c>
      <c r="CE55" s="4">
        <f t="shared" si="29"/>
        <v>0</v>
      </c>
      <c r="CF55" s="4">
        <f t="shared" si="30"/>
        <v>0</v>
      </c>
      <c r="CG55" s="4">
        <f t="shared" si="31"/>
        <v>0</v>
      </c>
      <c r="CH55" s="4">
        <f t="shared" si="32"/>
        <v>0</v>
      </c>
      <c r="CI55" s="4">
        <f t="shared" si="33"/>
        <v>0</v>
      </c>
      <c r="CJ55" s="4">
        <f t="shared" si="34"/>
        <v>0</v>
      </c>
      <c r="CK55" s="4">
        <f t="shared" si="35"/>
        <v>0</v>
      </c>
      <c r="CL55" s="4">
        <f t="shared" si="36"/>
        <v>0</v>
      </c>
      <c r="CM55" s="4">
        <f t="shared" si="37"/>
        <v>0</v>
      </c>
      <c r="CN55" s="4">
        <f t="shared" si="38"/>
        <v>0</v>
      </c>
      <c r="CO55" s="4">
        <f t="shared" si="39"/>
        <v>0</v>
      </c>
      <c r="CP55" s="4">
        <f t="shared" si="40"/>
        <v>0</v>
      </c>
      <c r="CQ55" s="4">
        <f t="shared" si="41"/>
        <v>0</v>
      </c>
      <c r="CR55" s="4">
        <f t="shared" si="42"/>
        <v>0</v>
      </c>
      <c r="CS55" s="4">
        <f t="shared" si="43"/>
        <v>0</v>
      </c>
      <c r="CT55" s="4">
        <f t="shared" si="44"/>
        <v>0</v>
      </c>
      <c r="CU55" s="4">
        <f t="shared" si="45"/>
        <v>0</v>
      </c>
      <c r="CV55" s="4">
        <f t="shared" si="46"/>
        <v>0</v>
      </c>
      <c r="CW55" s="4">
        <f t="shared" si="47"/>
        <v>0</v>
      </c>
      <c r="CX55" s="4">
        <f t="shared" si="48"/>
        <v>0</v>
      </c>
      <c r="CY55" s="4">
        <f t="shared" si="49"/>
        <v>0</v>
      </c>
      <c r="CZ55" s="4">
        <f t="shared" si="50"/>
        <v>0</v>
      </c>
      <c r="DA55" s="4">
        <f t="shared" si="51"/>
        <v>0</v>
      </c>
      <c r="DB55" s="4">
        <f t="shared" si="52"/>
        <v>0</v>
      </c>
      <c r="DC55" s="4">
        <f t="shared" si="53"/>
        <v>0</v>
      </c>
      <c r="DD55" s="4">
        <f t="shared" si="54"/>
        <v>0</v>
      </c>
    </row>
    <row r="56" spans="1:108" x14ac:dyDescent="0.25">
      <c r="A56" s="41">
        <f>Skills!M38</f>
        <v>0</v>
      </c>
      <c r="B56" s="55" t="str">
        <f>Skills!N38</f>
        <v>Battle Expertise Skills</v>
      </c>
      <c r="C56" s="22">
        <f t="shared" si="55"/>
        <v>0</v>
      </c>
      <c r="D56" s="112" t="str">
        <f>Skills!S38</f>
        <v>- -</v>
      </c>
      <c r="E56" s="113" t="s">
        <v>782</v>
      </c>
      <c r="F56" s="19"/>
      <c r="G56" s="19"/>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56"/>
      <c r="BF56" s="4">
        <f t="shared" si="5"/>
        <v>0</v>
      </c>
      <c r="BG56" s="4">
        <f t="shared" si="5"/>
        <v>0</v>
      </c>
      <c r="BH56" s="4">
        <f t="shared" si="6"/>
        <v>0</v>
      </c>
      <c r="BI56" s="4">
        <f t="shared" si="7"/>
        <v>0</v>
      </c>
      <c r="BJ56" s="4">
        <f t="shared" si="8"/>
        <v>0</v>
      </c>
      <c r="BK56" s="4">
        <f t="shared" si="9"/>
        <v>0</v>
      </c>
      <c r="BL56" s="4">
        <f t="shared" si="10"/>
        <v>0</v>
      </c>
      <c r="BM56" s="4">
        <f t="shared" si="11"/>
        <v>0</v>
      </c>
      <c r="BN56" s="4">
        <f t="shared" si="12"/>
        <v>0</v>
      </c>
      <c r="BO56" s="4">
        <f t="shared" si="13"/>
        <v>0</v>
      </c>
      <c r="BP56" s="4">
        <f t="shared" si="14"/>
        <v>0</v>
      </c>
      <c r="BQ56" s="4">
        <f t="shared" si="15"/>
        <v>0</v>
      </c>
      <c r="BR56" s="4">
        <f t="shared" si="16"/>
        <v>0</v>
      </c>
      <c r="BS56" s="4">
        <f t="shared" si="17"/>
        <v>0</v>
      </c>
      <c r="BT56" s="4">
        <f t="shared" si="18"/>
        <v>0</v>
      </c>
      <c r="BU56" s="4">
        <f t="shared" si="19"/>
        <v>0</v>
      </c>
      <c r="BV56" s="4">
        <f t="shared" si="20"/>
        <v>0</v>
      </c>
      <c r="BW56" s="4">
        <f t="shared" si="21"/>
        <v>0</v>
      </c>
      <c r="BX56" s="4">
        <f t="shared" si="22"/>
        <v>0</v>
      </c>
      <c r="BY56" s="4">
        <f t="shared" si="23"/>
        <v>0</v>
      </c>
      <c r="BZ56" s="4">
        <f t="shared" si="24"/>
        <v>0</v>
      </c>
      <c r="CA56" s="4">
        <f t="shared" si="25"/>
        <v>0</v>
      </c>
      <c r="CB56" s="4">
        <f t="shared" si="26"/>
        <v>0</v>
      </c>
      <c r="CC56" s="4">
        <f t="shared" si="27"/>
        <v>0</v>
      </c>
      <c r="CD56" s="4">
        <f t="shared" si="28"/>
        <v>0</v>
      </c>
      <c r="CE56" s="4">
        <f t="shared" si="29"/>
        <v>0</v>
      </c>
      <c r="CF56" s="4">
        <f t="shared" si="30"/>
        <v>0</v>
      </c>
      <c r="CG56" s="4">
        <f t="shared" si="31"/>
        <v>0</v>
      </c>
      <c r="CH56" s="4">
        <f t="shared" si="32"/>
        <v>0</v>
      </c>
      <c r="CI56" s="4">
        <f t="shared" si="33"/>
        <v>0</v>
      </c>
      <c r="CJ56" s="4">
        <f t="shared" si="34"/>
        <v>0</v>
      </c>
      <c r="CK56" s="4">
        <f t="shared" si="35"/>
        <v>0</v>
      </c>
      <c r="CL56" s="4">
        <f t="shared" si="36"/>
        <v>0</v>
      </c>
      <c r="CM56" s="4">
        <f t="shared" si="37"/>
        <v>0</v>
      </c>
      <c r="CN56" s="4">
        <f t="shared" si="38"/>
        <v>0</v>
      </c>
      <c r="CO56" s="4">
        <f t="shared" si="39"/>
        <v>0</v>
      </c>
      <c r="CP56" s="4">
        <f t="shared" si="40"/>
        <v>0</v>
      </c>
      <c r="CQ56" s="4">
        <f t="shared" si="41"/>
        <v>0</v>
      </c>
      <c r="CR56" s="4">
        <f t="shared" si="42"/>
        <v>0</v>
      </c>
      <c r="CS56" s="4">
        <f t="shared" si="43"/>
        <v>0</v>
      </c>
      <c r="CT56" s="4">
        <f t="shared" si="44"/>
        <v>0</v>
      </c>
      <c r="CU56" s="4">
        <f t="shared" si="45"/>
        <v>0</v>
      </c>
      <c r="CV56" s="4">
        <f t="shared" si="46"/>
        <v>0</v>
      </c>
      <c r="CW56" s="4">
        <f t="shared" si="47"/>
        <v>0</v>
      </c>
      <c r="CX56" s="4">
        <f t="shared" si="48"/>
        <v>0</v>
      </c>
      <c r="CY56" s="4">
        <f t="shared" si="49"/>
        <v>0</v>
      </c>
      <c r="CZ56" s="4">
        <f t="shared" si="50"/>
        <v>0</v>
      </c>
      <c r="DA56" s="4">
        <f t="shared" si="51"/>
        <v>0</v>
      </c>
      <c r="DB56" s="4">
        <f t="shared" si="52"/>
        <v>0</v>
      </c>
      <c r="DC56" s="4">
        <f t="shared" si="53"/>
        <v>0</v>
      </c>
      <c r="DD56" s="4">
        <f t="shared" si="54"/>
        <v>0</v>
      </c>
    </row>
    <row r="57" spans="1:108" x14ac:dyDescent="0.25">
      <c r="A57" s="41" t="str">
        <f>Skills!M39</f>
        <v>Maneuvering in Armour</v>
      </c>
      <c r="B57" s="57" t="str">
        <f>Skills!N39</f>
        <v>Maneuvering in Armour</v>
      </c>
      <c r="C57" s="24">
        <f t="shared" si="55"/>
        <v>0</v>
      </c>
      <c r="D57" s="110">
        <f>Skills!S39</f>
        <v>0</v>
      </c>
      <c r="E57" s="111" t="e">
        <f>Profession!$B$11</f>
        <v>#REF!</v>
      </c>
      <c r="F57" s="18"/>
      <c r="G57" s="18"/>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49"/>
      <c r="BF57" s="4">
        <f t="shared" si="5"/>
        <v>0</v>
      </c>
      <c r="BG57" s="4">
        <f t="shared" si="5"/>
        <v>0</v>
      </c>
      <c r="BH57" s="4">
        <f t="shared" si="6"/>
        <v>0</v>
      </c>
      <c r="BI57" s="4">
        <f t="shared" si="7"/>
        <v>0</v>
      </c>
      <c r="BJ57" s="4">
        <f t="shared" si="8"/>
        <v>0</v>
      </c>
      <c r="BK57" s="4">
        <f t="shared" si="9"/>
        <v>0</v>
      </c>
      <c r="BL57" s="4">
        <f t="shared" si="10"/>
        <v>0</v>
      </c>
      <c r="BM57" s="4">
        <f t="shared" si="11"/>
        <v>0</v>
      </c>
      <c r="BN57" s="4">
        <f t="shared" si="12"/>
        <v>0</v>
      </c>
      <c r="BO57" s="4">
        <f t="shared" si="13"/>
        <v>0</v>
      </c>
      <c r="BP57" s="4">
        <f t="shared" si="14"/>
        <v>0</v>
      </c>
      <c r="BQ57" s="4">
        <f t="shared" si="15"/>
        <v>0</v>
      </c>
      <c r="BR57" s="4">
        <f t="shared" si="16"/>
        <v>0</v>
      </c>
      <c r="BS57" s="4">
        <f t="shared" si="17"/>
        <v>0</v>
      </c>
      <c r="BT57" s="4">
        <f t="shared" si="18"/>
        <v>0</v>
      </c>
      <c r="BU57" s="4">
        <f t="shared" si="19"/>
        <v>0</v>
      </c>
      <c r="BV57" s="4">
        <f t="shared" si="20"/>
        <v>0</v>
      </c>
      <c r="BW57" s="4">
        <f t="shared" si="21"/>
        <v>0</v>
      </c>
      <c r="BX57" s="4">
        <f t="shared" si="22"/>
        <v>0</v>
      </c>
      <c r="BY57" s="4">
        <f t="shared" si="23"/>
        <v>0</v>
      </c>
      <c r="BZ57" s="4">
        <f t="shared" si="24"/>
        <v>0</v>
      </c>
      <c r="CA57" s="4">
        <f t="shared" si="25"/>
        <v>0</v>
      </c>
      <c r="CB57" s="4">
        <f t="shared" si="26"/>
        <v>0</v>
      </c>
      <c r="CC57" s="4">
        <f t="shared" si="27"/>
        <v>0</v>
      </c>
      <c r="CD57" s="4">
        <f t="shared" si="28"/>
        <v>0</v>
      </c>
      <c r="CE57" s="4">
        <f t="shared" si="29"/>
        <v>0</v>
      </c>
      <c r="CF57" s="4">
        <f t="shared" si="30"/>
        <v>0</v>
      </c>
      <c r="CG57" s="4">
        <f t="shared" si="31"/>
        <v>0</v>
      </c>
      <c r="CH57" s="4">
        <f t="shared" si="32"/>
        <v>0</v>
      </c>
      <c r="CI57" s="4">
        <f t="shared" si="33"/>
        <v>0</v>
      </c>
      <c r="CJ57" s="4">
        <f t="shared" si="34"/>
        <v>0</v>
      </c>
      <c r="CK57" s="4">
        <f t="shared" si="35"/>
        <v>0</v>
      </c>
      <c r="CL57" s="4">
        <f t="shared" si="36"/>
        <v>0</v>
      </c>
      <c r="CM57" s="4">
        <f t="shared" si="37"/>
        <v>0</v>
      </c>
      <c r="CN57" s="4">
        <f t="shared" si="38"/>
        <v>0</v>
      </c>
      <c r="CO57" s="4">
        <f t="shared" si="39"/>
        <v>0</v>
      </c>
      <c r="CP57" s="4">
        <f t="shared" si="40"/>
        <v>0</v>
      </c>
      <c r="CQ57" s="4">
        <f t="shared" si="41"/>
        <v>0</v>
      </c>
      <c r="CR57" s="4">
        <f t="shared" si="42"/>
        <v>0</v>
      </c>
      <c r="CS57" s="4">
        <f t="shared" si="43"/>
        <v>0</v>
      </c>
      <c r="CT57" s="4">
        <f t="shared" si="44"/>
        <v>0</v>
      </c>
      <c r="CU57" s="4">
        <f t="shared" si="45"/>
        <v>0</v>
      </c>
      <c r="CV57" s="4">
        <f t="shared" si="46"/>
        <v>0</v>
      </c>
      <c r="CW57" s="4">
        <f t="shared" si="47"/>
        <v>0</v>
      </c>
      <c r="CX57" s="4">
        <f t="shared" si="48"/>
        <v>0</v>
      </c>
      <c r="CY57" s="4">
        <f t="shared" si="49"/>
        <v>0</v>
      </c>
      <c r="CZ57" s="4">
        <f t="shared" si="50"/>
        <v>0</v>
      </c>
      <c r="DA57" s="4">
        <f t="shared" si="51"/>
        <v>0</v>
      </c>
      <c r="DB57" s="4">
        <f t="shared" si="52"/>
        <v>0</v>
      </c>
      <c r="DC57" s="4">
        <f t="shared" si="53"/>
        <v>0</v>
      </c>
      <c r="DD57" s="4">
        <f t="shared" si="54"/>
        <v>0</v>
      </c>
    </row>
    <row r="58" spans="1:108" x14ac:dyDescent="0.25">
      <c r="A58" s="41" t="str">
        <f>Skills!M40</f>
        <v>Mounted Combat</v>
      </c>
      <c r="B58" s="55" t="str">
        <f>Skills!N40</f>
        <v>Mounted Combat</v>
      </c>
      <c r="C58" s="22">
        <f t="shared" si="55"/>
        <v>0</v>
      </c>
      <c r="D58" s="112">
        <f>Skills!S40</f>
        <v>0</v>
      </c>
      <c r="E58" s="113" t="e">
        <f>Profession!$B$12</f>
        <v>#REF!</v>
      </c>
      <c r="F58" s="19"/>
      <c r="G58" s="19"/>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56"/>
      <c r="BF58" s="4">
        <f t="shared" si="5"/>
        <v>0</v>
      </c>
      <c r="BG58" s="4">
        <f t="shared" si="5"/>
        <v>0</v>
      </c>
      <c r="BH58" s="4">
        <f t="shared" si="6"/>
        <v>0</v>
      </c>
      <c r="BI58" s="4">
        <f t="shared" si="7"/>
        <v>0</v>
      </c>
      <c r="BJ58" s="4">
        <f t="shared" si="8"/>
        <v>0</v>
      </c>
      <c r="BK58" s="4">
        <f t="shared" si="9"/>
        <v>0</v>
      </c>
      <c r="BL58" s="4">
        <f t="shared" si="10"/>
        <v>0</v>
      </c>
      <c r="BM58" s="4">
        <f t="shared" si="11"/>
        <v>0</v>
      </c>
      <c r="BN58" s="4">
        <f t="shared" si="12"/>
        <v>0</v>
      </c>
      <c r="BO58" s="4">
        <f t="shared" si="13"/>
        <v>0</v>
      </c>
      <c r="BP58" s="4">
        <f t="shared" si="14"/>
        <v>0</v>
      </c>
      <c r="BQ58" s="4">
        <f t="shared" si="15"/>
        <v>0</v>
      </c>
      <c r="BR58" s="4">
        <f t="shared" si="16"/>
        <v>0</v>
      </c>
      <c r="BS58" s="4">
        <f t="shared" si="17"/>
        <v>0</v>
      </c>
      <c r="BT58" s="4">
        <f t="shared" si="18"/>
        <v>0</v>
      </c>
      <c r="BU58" s="4">
        <f t="shared" si="19"/>
        <v>0</v>
      </c>
      <c r="BV58" s="4">
        <f t="shared" si="20"/>
        <v>0</v>
      </c>
      <c r="BW58" s="4">
        <f t="shared" si="21"/>
        <v>0</v>
      </c>
      <c r="BX58" s="4">
        <f t="shared" si="22"/>
        <v>0</v>
      </c>
      <c r="BY58" s="4">
        <f t="shared" si="23"/>
        <v>0</v>
      </c>
      <c r="BZ58" s="4">
        <f t="shared" si="24"/>
        <v>0</v>
      </c>
      <c r="CA58" s="4">
        <f t="shared" si="25"/>
        <v>0</v>
      </c>
      <c r="CB58" s="4">
        <f t="shared" si="26"/>
        <v>0</v>
      </c>
      <c r="CC58" s="4">
        <f t="shared" si="27"/>
        <v>0</v>
      </c>
      <c r="CD58" s="4">
        <f t="shared" si="28"/>
        <v>0</v>
      </c>
      <c r="CE58" s="4">
        <f t="shared" si="29"/>
        <v>0</v>
      </c>
      <c r="CF58" s="4">
        <f t="shared" si="30"/>
        <v>0</v>
      </c>
      <c r="CG58" s="4">
        <f t="shared" si="31"/>
        <v>0</v>
      </c>
      <c r="CH58" s="4">
        <f t="shared" si="32"/>
        <v>0</v>
      </c>
      <c r="CI58" s="4">
        <f t="shared" si="33"/>
        <v>0</v>
      </c>
      <c r="CJ58" s="4">
        <f t="shared" si="34"/>
        <v>0</v>
      </c>
      <c r="CK58" s="4">
        <f t="shared" si="35"/>
        <v>0</v>
      </c>
      <c r="CL58" s="4">
        <f t="shared" si="36"/>
        <v>0</v>
      </c>
      <c r="CM58" s="4">
        <f t="shared" si="37"/>
        <v>0</v>
      </c>
      <c r="CN58" s="4">
        <f t="shared" si="38"/>
        <v>0</v>
      </c>
      <c r="CO58" s="4">
        <f t="shared" si="39"/>
        <v>0</v>
      </c>
      <c r="CP58" s="4">
        <f t="shared" si="40"/>
        <v>0</v>
      </c>
      <c r="CQ58" s="4">
        <f t="shared" si="41"/>
        <v>0</v>
      </c>
      <c r="CR58" s="4">
        <f t="shared" si="42"/>
        <v>0</v>
      </c>
      <c r="CS58" s="4">
        <f t="shared" si="43"/>
        <v>0</v>
      </c>
      <c r="CT58" s="4">
        <f t="shared" si="44"/>
        <v>0</v>
      </c>
      <c r="CU58" s="4">
        <f t="shared" si="45"/>
        <v>0</v>
      </c>
      <c r="CV58" s="4">
        <f t="shared" si="46"/>
        <v>0</v>
      </c>
      <c r="CW58" s="4">
        <f t="shared" si="47"/>
        <v>0</v>
      </c>
      <c r="CX58" s="4">
        <f t="shared" si="48"/>
        <v>0</v>
      </c>
      <c r="CY58" s="4">
        <f t="shared" si="49"/>
        <v>0</v>
      </c>
      <c r="CZ58" s="4">
        <f t="shared" si="50"/>
        <v>0</v>
      </c>
      <c r="DA58" s="4">
        <f t="shared" si="51"/>
        <v>0</v>
      </c>
      <c r="DB58" s="4">
        <f t="shared" si="52"/>
        <v>0</v>
      </c>
      <c r="DC58" s="4">
        <f t="shared" si="53"/>
        <v>0</v>
      </c>
      <c r="DD58" s="4">
        <f t="shared" si="54"/>
        <v>0</v>
      </c>
    </row>
    <row r="59" spans="1:108" x14ac:dyDescent="0.25">
      <c r="A59" s="41" t="str">
        <f>Skills!M41</f>
        <v>Protect</v>
      </c>
      <c r="B59" s="57" t="str">
        <f>Skills!N41</f>
        <v>Protect</v>
      </c>
      <c r="C59" s="24">
        <f t="shared" si="55"/>
        <v>0</v>
      </c>
      <c r="D59" s="110">
        <f>Skills!S41</f>
        <v>0</v>
      </c>
      <c r="E59" s="111" t="e">
        <f>Profession!$B$13</f>
        <v>#REF!</v>
      </c>
      <c r="F59" s="18"/>
      <c r="G59" s="18"/>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49"/>
      <c r="BF59" s="4">
        <f t="shared" si="5"/>
        <v>0</v>
      </c>
      <c r="BG59" s="4">
        <f t="shared" si="5"/>
        <v>0</v>
      </c>
      <c r="BH59" s="4">
        <f t="shared" si="6"/>
        <v>0</v>
      </c>
      <c r="BI59" s="4">
        <f t="shared" si="7"/>
        <v>0</v>
      </c>
      <c r="BJ59" s="4">
        <f t="shared" si="8"/>
        <v>0</v>
      </c>
      <c r="BK59" s="4">
        <f t="shared" si="9"/>
        <v>0</v>
      </c>
      <c r="BL59" s="4">
        <f t="shared" si="10"/>
        <v>0</v>
      </c>
      <c r="BM59" s="4">
        <f t="shared" si="11"/>
        <v>0</v>
      </c>
      <c r="BN59" s="4">
        <f t="shared" si="12"/>
        <v>0</v>
      </c>
      <c r="BO59" s="4">
        <f t="shared" si="13"/>
        <v>0</v>
      </c>
      <c r="BP59" s="4">
        <f t="shared" si="14"/>
        <v>0</v>
      </c>
      <c r="BQ59" s="4">
        <f t="shared" si="15"/>
        <v>0</v>
      </c>
      <c r="BR59" s="4">
        <f t="shared" si="16"/>
        <v>0</v>
      </c>
      <c r="BS59" s="4">
        <f t="shared" si="17"/>
        <v>0</v>
      </c>
      <c r="BT59" s="4">
        <f t="shared" si="18"/>
        <v>0</v>
      </c>
      <c r="BU59" s="4">
        <f t="shared" si="19"/>
        <v>0</v>
      </c>
      <c r="BV59" s="4">
        <f t="shared" si="20"/>
        <v>0</v>
      </c>
      <c r="BW59" s="4">
        <f t="shared" si="21"/>
        <v>0</v>
      </c>
      <c r="BX59" s="4">
        <f t="shared" si="22"/>
        <v>0</v>
      </c>
      <c r="BY59" s="4">
        <f t="shared" si="23"/>
        <v>0</v>
      </c>
      <c r="BZ59" s="4">
        <f t="shared" si="24"/>
        <v>0</v>
      </c>
      <c r="CA59" s="4">
        <f t="shared" si="25"/>
        <v>0</v>
      </c>
      <c r="CB59" s="4">
        <f t="shared" si="26"/>
        <v>0</v>
      </c>
      <c r="CC59" s="4">
        <f t="shared" si="27"/>
        <v>0</v>
      </c>
      <c r="CD59" s="4">
        <f t="shared" si="28"/>
        <v>0</v>
      </c>
      <c r="CE59" s="4">
        <f t="shared" si="29"/>
        <v>0</v>
      </c>
      <c r="CF59" s="4">
        <f t="shared" si="30"/>
        <v>0</v>
      </c>
      <c r="CG59" s="4">
        <f t="shared" si="31"/>
        <v>0</v>
      </c>
      <c r="CH59" s="4">
        <f t="shared" si="32"/>
        <v>0</v>
      </c>
      <c r="CI59" s="4">
        <f t="shared" si="33"/>
        <v>0</v>
      </c>
      <c r="CJ59" s="4">
        <f t="shared" si="34"/>
        <v>0</v>
      </c>
      <c r="CK59" s="4">
        <f t="shared" si="35"/>
        <v>0</v>
      </c>
      <c r="CL59" s="4">
        <f t="shared" si="36"/>
        <v>0</v>
      </c>
      <c r="CM59" s="4">
        <f t="shared" si="37"/>
        <v>0</v>
      </c>
      <c r="CN59" s="4">
        <f t="shared" si="38"/>
        <v>0</v>
      </c>
      <c r="CO59" s="4">
        <f t="shared" si="39"/>
        <v>0</v>
      </c>
      <c r="CP59" s="4">
        <f t="shared" si="40"/>
        <v>0</v>
      </c>
      <c r="CQ59" s="4">
        <f t="shared" si="41"/>
        <v>0</v>
      </c>
      <c r="CR59" s="4">
        <f t="shared" si="42"/>
        <v>0</v>
      </c>
      <c r="CS59" s="4">
        <f t="shared" si="43"/>
        <v>0</v>
      </c>
      <c r="CT59" s="4">
        <f t="shared" si="44"/>
        <v>0</v>
      </c>
      <c r="CU59" s="4">
        <f t="shared" si="45"/>
        <v>0</v>
      </c>
      <c r="CV59" s="4">
        <f t="shared" si="46"/>
        <v>0</v>
      </c>
      <c r="CW59" s="4">
        <f t="shared" si="47"/>
        <v>0</v>
      </c>
      <c r="CX59" s="4">
        <f t="shared" si="48"/>
        <v>0</v>
      </c>
      <c r="CY59" s="4">
        <f t="shared" si="49"/>
        <v>0</v>
      </c>
      <c r="CZ59" s="4">
        <f t="shared" si="50"/>
        <v>0</v>
      </c>
      <c r="DA59" s="4">
        <f t="shared" si="51"/>
        <v>0</v>
      </c>
      <c r="DB59" s="4">
        <f t="shared" si="52"/>
        <v>0</v>
      </c>
      <c r="DC59" s="4">
        <f t="shared" si="53"/>
        <v>0</v>
      </c>
      <c r="DD59" s="4">
        <f t="shared" si="54"/>
        <v>0</v>
      </c>
    </row>
    <row r="60" spans="1:108" x14ac:dyDescent="0.25">
      <c r="A60" s="41" t="str">
        <f>Skills!M42</f>
        <v>Restricted Quarters</v>
      </c>
      <c r="B60" s="55" t="str">
        <f>Skills!N42</f>
        <v>Restricted Quarters</v>
      </c>
      <c r="C60" s="22">
        <f t="shared" si="55"/>
        <v>0</v>
      </c>
      <c r="D60" s="112">
        <f>Skills!S42</f>
        <v>0</v>
      </c>
      <c r="E60" s="113" t="e">
        <f>Profession!$B$14</f>
        <v>#REF!</v>
      </c>
      <c r="F60" s="19"/>
      <c r="G60" s="19"/>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56"/>
      <c r="BF60" s="4">
        <f t="shared" si="5"/>
        <v>0</v>
      </c>
      <c r="BG60" s="4">
        <f t="shared" si="5"/>
        <v>0</v>
      </c>
      <c r="BH60" s="4">
        <f t="shared" si="6"/>
        <v>0</v>
      </c>
      <c r="BI60" s="4">
        <f t="shared" si="7"/>
        <v>0</v>
      </c>
      <c r="BJ60" s="4">
        <f t="shared" si="8"/>
        <v>0</v>
      </c>
      <c r="BK60" s="4">
        <f t="shared" si="9"/>
        <v>0</v>
      </c>
      <c r="BL60" s="4">
        <f t="shared" si="10"/>
        <v>0</v>
      </c>
      <c r="BM60" s="4">
        <f t="shared" si="11"/>
        <v>0</v>
      </c>
      <c r="BN60" s="4">
        <f t="shared" si="12"/>
        <v>0</v>
      </c>
      <c r="BO60" s="4">
        <f t="shared" si="13"/>
        <v>0</v>
      </c>
      <c r="BP60" s="4">
        <f t="shared" si="14"/>
        <v>0</v>
      </c>
      <c r="BQ60" s="4">
        <f t="shared" si="15"/>
        <v>0</v>
      </c>
      <c r="BR60" s="4">
        <f t="shared" si="16"/>
        <v>0</v>
      </c>
      <c r="BS60" s="4">
        <f t="shared" si="17"/>
        <v>0</v>
      </c>
      <c r="BT60" s="4">
        <f t="shared" si="18"/>
        <v>0</v>
      </c>
      <c r="BU60" s="4">
        <f t="shared" si="19"/>
        <v>0</v>
      </c>
      <c r="BV60" s="4">
        <f t="shared" si="20"/>
        <v>0</v>
      </c>
      <c r="BW60" s="4">
        <f t="shared" si="21"/>
        <v>0</v>
      </c>
      <c r="BX60" s="4">
        <f t="shared" si="22"/>
        <v>0</v>
      </c>
      <c r="BY60" s="4">
        <f t="shared" si="23"/>
        <v>0</v>
      </c>
      <c r="BZ60" s="4">
        <f t="shared" si="24"/>
        <v>0</v>
      </c>
      <c r="CA60" s="4">
        <f t="shared" si="25"/>
        <v>0</v>
      </c>
      <c r="CB60" s="4">
        <f t="shared" si="26"/>
        <v>0</v>
      </c>
      <c r="CC60" s="4">
        <f t="shared" si="27"/>
        <v>0</v>
      </c>
      <c r="CD60" s="4">
        <f t="shared" si="28"/>
        <v>0</v>
      </c>
      <c r="CE60" s="4">
        <f t="shared" si="29"/>
        <v>0</v>
      </c>
      <c r="CF60" s="4">
        <f t="shared" si="30"/>
        <v>0</v>
      </c>
      <c r="CG60" s="4">
        <f t="shared" si="31"/>
        <v>0</v>
      </c>
      <c r="CH60" s="4">
        <f t="shared" si="32"/>
        <v>0</v>
      </c>
      <c r="CI60" s="4">
        <f t="shared" si="33"/>
        <v>0</v>
      </c>
      <c r="CJ60" s="4">
        <f t="shared" si="34"/>
        <v>0</v>
      </c>
      <c r="CK60" s="4">
        <f t="shared" si="35"/>
        <v>0</v>
      </c>
      <c r="CL60" s="4">
        <f t="shared" si="36"/>
        <v>0</v>
      </c>
      <c r="CM60" s="4">
        <f t="shared" si="37"/>
        <v>0</v>
      </c>
      <c r="CN60" s="4">
        <f t="shared" si="38"/>
        <v>0</v>
      </c>
      <c r="CO60" s="4">
        <f t="shared" si="39"/>
        <v>0</v>
      </c>
      <c r="CP60" s="4">
        <f t="shared" si="40"/>
        <v>0</v>
      </c>
      <c r="CQ60" s="4">
        <f t="shared" si="41"/>
        <v>0</v>
      </c>
      <c r="CR60" s="4">
        <f t="shared" si="42"/>
        <v>0</v>
      </c>
      <c r="CS60" s="4">
        <f t="shared" si="43"/>
        <v>0</v>
      </c>
      <c r="CT60" s="4">
        <f t="shared" si="44"/>
        <v>0</v>
      </c>
      <c r="CU60" s="4">
        <f t="shared" si="45"/>
        <v>0</v>
      </c>
      <c r="CV60" s="4">
        <f t="shared" si="46"/>
        <v>0</v>
      </c>
      <c r="CW60" s="4">
        <f t="shared" si="47"/>
        <v>0</v>
      </c>
      <c r="CX60" s="4">
        <f t="shared" si="48"/>
        <v>0</v>
      </c>
      <c r="CY60" s="4">
        <f t="shared" si="49"/>
        <v>0</v>
      </c>
      <c r="CZ60" s="4">
        <f t="shared" si="50"/>
        <v>0</v>
      </c>
      <c r="DA60" s="4">
        <f t="shared" si="51"/>
        <v>0</v>
      </c>
      <c r="DB60" s="4">
        <f t="shared" si="52"/>
        <v>0</v>
      </c>
      <c r="DC60" s="4">
        <f t="shared" si="53"/>
        <v>0</v>
      </c>
      <c r="DD60" s="4">
        <f t="shared" si="54"/>
        <v>0</v>
      </c>
    </row>
    <row r="61" spans="1:108" x14ac:dyDescent="0.25">
      <c r="A61" s="41" t="str">
        <f>Skills!M43</f>
        <v>Subduing</v>
      </c>
      <c r="B61" s="57" t="str">
        <f>Skills!N43</f>
        <v>Subduing</v>
      </c>
      <c r="C61" s="24">
        <f t="shared" si="55"/>
        <v>0</v>
      </c>
      <c r="D61" s="110">
        <f>Skills!S43</f>
        <v>0</v>
      </c>
      <c r="E61" s="111" t="e">
        <f>Profession!$B$15</f>
        <v>#REF!</v>
      </c>
      <c r="F61" s="18"/>
      <c r="G61" s="18"/>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49"/>
      <c r="BF61" s="4">
        <f t="shared" si="5"/>
        <v>0</v>
      </c>
      <c r="BG61" s="4">
        <f t="shared" si="5"/>
        <v>0</v>
      </c>
      <c r="BH61" s="4">
        <f t="shared" si="6"/>
        <v>0</v>
      </c>
      <c r="BI61" s="4">
        <f t="shared" si="7"/>
        <v>0</v>
      </c>
      <c r="BJ61" s="4">
        <f t="shared" si="8"/>
        <v>0</v>
      </c>
      <c r="BK61" s="4">
        <f t="shared" si="9"/>
        <v>0</v>
      </c>
      <c r="BL61" s="4">
        <f t="shared" si="10"/>
        <v>0</v>
      </c>
      <c r="BM61" s="4">
        <f t="shared" si="11"/>
        <v>0</v>
      </c>
      <c r="BN61" s="4">
        <f t="shared" si="12"/>
        <v>0</v>
      </c>
      <c r="BO61" s="4">
        <f t="shared" si="13"/>
        <v>0</v>
      </c>
      <c r="BP61" s="4">
        <f t="shared" si="14"/>
        <v>0</v>
      </c>
      <c r="BQ61" s="4">
        <f t="shared" si="15"/>
        <v>0</v>
      </c>
      <c r="BR61" s="4">
        <f t="shared" si="16"/>
        <v>0</v>
      </c>
      <c r="BS61" s="4">
        <f t="shared" si="17"/>
        <v>0</v>
      </c>
      <c r="BT61" s="4">
        <f t="shared" si="18"/>
        <v>0</v>
      </c>
      <c r="BU61" s="4">
        <f t="shared" si="19"/>
        <v>0</v>
      </c>
      <c r="BV61" s="4">
        <f t="shared" si="20"/>
        <v>0</v>
      </c>
      <c r="BW61" s="4">
        <f t="shared" si="21"/>
        <v>0</v>
      </c>
      <c r="BX61" s="4">
        <f t="shared" si="22"/>
        <v>0</v>
      </c>
      <c r="BY61" s="4">
        <f t="shared" si="23"/>
        <v>0</v>
      </c>
      <c r="BZ61" s="4">
        <f t="shared" si="24"/>
        <v>0</v>
      </c>
      <c r="CA61" s="4">
        <f t="shared" si="25"/>
        <v>0</v>
      </c>
      <c r="CB61" s="4">
        <f t="shared" si="26"/>
        <v>0</v>
      </c>
      <c r="CC61" s="4">
        <f t="shared" si="27"/>
        <v>0</v>
      </c>
      <c r="CD61" s="4">
        <f t="shared" si="28"/>
        <v>0</v>
      </c>
      <c r="CE61" s="4">
        <f t="shared" si="29"/>
        <v>0</v>
      </c>
      <c r="CF61" s="4">
        <f t="shared" si="30"/>
        <v>0</v>
      </c>
      <c r="CG61" s="4">
        <f t="shared" si="31"/>
        <v>0</v>
      </c>
      <c r="CH61" s="4">
        <f t="shared" si="32"/>
        <v>0</v>
      </c>
      <c r="CI61" s="4">
        <f t="shared" si="33"/>
        <v>0</v>
      </c>
      <c r="CJ61" s="4">
        <f t="shared" si="34"/>
        <v>0</v>
      </c>
      <c r="CK61" s="4">
        <f t="shared" si="35"/>
        <v>0</v>
      </c>
      <c r="CL61" s="4">
        <f t="shared" si="36"/>
        <v>0</v>
      </c>
      <c r="CM61" s="4">
        <f t="shared" si="37"/>
        <v>0</v>
      </c>
      <c r="CN61" s="4">
        <f t="shared" si="38"/>
        <v>0</v>
      </c>
      <c r="CO61" s="4">
        <f t="shared" si="39"/>
        <v>0</v>
      </c>
      <c r="CP61" s="4">
        <f t="shared" si="40"/>
        <v>0</v>
      </c>
      <c r="CQ61" s="4">
        <f t="shared" si="41"/>
        <v>0</v>
      </c>
      <c r="CR61" s="4">
        <f t="shared" si="42"/>
        <v>0</v>
      </c>
      <c r="CS61" s="4">
        <f t="shared" si="43"/>
        <v>0</v>
      </c>
      <c r="CT61" s="4">
        <f t="shared" si="44"/>
        <v>0</v>
      </c>
      <c r="CU61" s="4">
        <f t="shared" si="45"/>
        <v>0</v>
      </c>
      <c r="CV61" s="4">
        <f t="shared" si="46"/>
        <v>0</v>
      </c>
      <c r="CW61" s="4">
        <f t="shared" si="47"/>
        <v>0</v>
      </c>
      <c r="CX61" s="4">
        <f t="shared" si="48"/>
        <v>0</v>
      </c>
      <c r="CY61" s="4">
        <f t="shared" si="49"/>
        <v>0</v>
      </c>
      <c r="CZ61" s="4">
        <f t="shared" si="50"/>
        <v>0</v>
      </c>
      <c r="DA61" s="4">
        <f t="shared" si="51"/>
        <v>0</v>
      </c>
      <c r="DB61" s="4">
        <f t="shared" si="52"/>
        <v>0</v>
      </c>
      <c r="DC61" s="4">
        <f t="shared" si="53"/>
        <v>0</v>
      </c>
      <c r="DD61" s="4">
        <f t="shared" si="54"/>
        <v>0</v>
      </c>
    </row>
    <row r="62" spans="1:108" x14ac:dyDescent="0.25">
      <c r="A62" s="41">
        <f>Skills!M44</f>
        <v>0</v>
      </c>
      <c r="B62" s="55" t="str">
        <f>Skills!N44</f>
        <v>Body Discipline Category</v>
      </c>
      <c r="C62" s="22">
        <f t="shared" si="55"/>
        <v>0</v>
      </c>
      <c r="D62" s="112" t="str">
        <f>Skills!S44</f>
        <v>- -</v>
      </c>
      <c r="E62" s="113" t="s">
        <v>782</v>
      </c>
      <c r="F62" s="19"/>
      <c r="G62" s="19"/>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56"/>
      <c r="BF62" s="4">
        <f t="shared" si="5"/>
        <v>0</v>
      </c>
      <c r="BG62" s="4">
        <f t="shared" si="5"/>
        <v>0</v>
      </c>
      <c r="BH62" s="4">
        <f t="shared" si="6"/>
        <v>0</v>
      </c>
      <c r="BI62" s="4">
        <f t="shared" si="7"/>
        <v>0</v>
      </c>
      <c r="BJ62" s="4">
        <f t="shared" si="8"/>
        <v>0</v>
      </c>
      <c r="BK62" s="4">
        <f t="shared" si="9"/>
        <v>0</v>
      </c>
      <c r="BL62" s="4">
        <f t="shared" si="10"/>
        <v>0</v>
      </c>
      <c r="BM62" s="4">
        <f t="shared" si="11"/>
        <v>0</v>
      </c>
      <c r="BN62" s="4">
        <f t="shared" si="12"/>
        <v>0</v>
      </c>
      <c r="BO62" s="4">
        <f t="shared" si="13"/>
        <v>0</v>
      </c>
      <c r="BP62" s="4">
        <f t="shared" si="14"/>
        <v>0</v>
      </c>
      <c r="BQ62" s="4">
        <f t="shared" si="15"/>
        <v>0</v>
      </c>
      <c r="BR62" s="4">
        <f t="shared" si="16"/>
        <v>0</v>
      </c>
      <c r="BS62" s="4">
        <f t="shared" si="17"/>
        <v>0</v>
      </c>
      <c r="BT62" s="4">
        <f t="shared" si="18"/>
        <v>0</v>
      </c>
      <c r="BU62" s="4">
        <f t="shared" si="19"/>
        <v>0</v>
      </c>
      <c r="BV62" s="4">
        <f t="shared" si="20"/>
        <v>0</v>
      </c>
      <c r="BW62" s="4">
        <f t="shared" si="21"/>
        <v>0</v>
      </c>
      <c r="BX62" s="4">
        <f t="shared" si="22"/>
        <v>0</v>
      </c>
      <c r="BY62" s="4">
        <f t="shared" si="23"/>
        <v>0</v>
      </c>
      <c r="BZ62" s="4">
        <f t="shared" si="24"/>
        <v>0</v>
      </c>
      <c r="CA62" s="4">
        <f t="shared" si="25"/>
        <v>0</v>
      </c>
      <c r="CB62" s="4">
        <f t="shared" si="26"/>
        <v>0</v>
      </c>
      <c r="CC62" s="4">
        <f t="shared" si="27"/>
        <v>0</v>
      </c>
      <c r="CD62" s="4">
        <f t="shared" si="28"/>
        <v>0</v>
      </c>
      <c r="CE62" s="4">
        <f t="shared" si="29"/>
        <v>0</v>
      </c>
      <c r="CF62" s="4">
        <f t="shared" si="30"/>
        <v>0</v>
      </c>
      <c r="CG62" s="4">
        <f t="shared" si="31"/>
        <v>0</v>
      </c>
      <c r="CH62" s="4">
        <f t="shared" si="32"/>
        <v>0</v>
      </c>
      <c r="CI62" s="4">
        <f t="shared" si="33"/>
        <v>0</v>
      </c>
      <c r="CJ62" s="4">
        <f t="shared" si="34"/>
        <v>0</v>
      </c>
      <c r="CK62" s="4">
        <f t="shared" si="35"/>
        <v>0</v>
      </c>
      <c r="CL62" s="4">
        <f t="shared" si="36"/>
        <v>0</v>
      </c>
      <c r="CM62" s="4">
        <f t="shared" si="37"/>
        <v>0</v>
      </c>
      <c r="CN62" s="4">
        <f t="shared" si="38"/>
        <v>0</v>
      </c>
      <c r="CO62" s="4">
        <f t="shared" si="39"/>
        <v>0</v>
      </c>
      <c r="CP62" s="4">
        <f t="shared" si="40"/>
        <v>0</v>
      </c>
      <c r="CQ62" s="4">
        <f t="shared" si="41"/>
        <v>0</v>
      </c>
      <c r="CR62" s="4">
        <f t="shared" si="42"/>
        <v>0</v>
      </c>
      <c r="CS62" s="4">
        <f t="shared" si="43"/>
        <v>0</v>
      </c>
      <c r="CT62" s="4">
        <f t="shared" si="44"/>
        <v>0</v>
      </c>
      <c r="CU62" s="4">
        <f t="shared" si="45"/>
        <v>0</v>
      </c>
      <c r="CV62" s="4">
        <f t="shared" si="46"/>
        <v>0</v>
      </c>
      <c r="CW62" s="4">
        <f t="shared" si="47"/>
        <v>0</v>
      </c>
      <c r="CX62" s="4">
        <f t="shared" si="48"/>
        <v>0</v>
      </c>
      <c r="CY62" s="4">
        <f t="shared" si="49"/>
        <v>0</v>
      </c>
      <c r="CZ62" s="4">
        <f t="shared" si="50"/>
        <v>0</v>
      </c>
      <c r="DA62" s="4">
        <f t="shared" si="51"/>
        <v>0</v>
      </c>
      <c r="DB62" s="4">
        <f t="shared" si="52"/>
        <v>0</v>
      </c>
      <c r="DC62" s="4">
        <f t="shared" si="53"/>
        <v>0</v>
      </c>
      <c r="DD62" s="4">
        <f t="shared" si="54"/>
        <v>0</v>
      </c>
    </row>
    <row r="63" spans="1:108" x14ac:dyDescent="0.25">
      <c r="A63" s="41">
        <f>Skills!M45</f>
        <v>0</v>
      </c>
      <c r="B63" s="57" t="str">
        <f>Skills!N45</f>
        <v>Body Discipline Skills</v>
      </c>
      <c r="C63" s="24">
        <f t="shared" si="55"/>
        <v>0</v>
      </c>
      <c r="D63" s="110" t="str">
        <f>Skills!S45</f>
        <v>- -</v>
      </c>
      <c r="E63" s="111" t="s">
        <v>782</v>
      </c>
      <c r="F63" s="18"/>
      <c r="G63" s="18"/>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49"/>
      <c r="BF63" s="4">
        <f t="shared" si="5"/>
        <v>0</v>
      </c>
      <c r="BG63" s="4">
        <f t="shared" si="5"/>
        <v>0</v>
      </c>
      <c r="BH63" s="4">
        <f t="shared" si="6"/>
        <v>0</v>
      </c>
      <c r="BI63" s="4">
        <f t="shared" si="7"/>
        <v>0</v>
      </c>
      <c r="BJ63" s="4">
        <f t="shared" si="8"/>
        <v>0</v>
      </c>
      <c r="BK63" s="4">
        <f t="shared" si="9"/>
        <v>0</v>
      </c>
      <c r="BL63" s="4">
        <f t="shared" si="10"/>
        <v>0</v>
      </c>
      <c r="BM63" s="4">
        <f t="shared" si="11"/>
        <v>0</v>
      </c>
      <c r="BN63" s="4">
        <f t="shared" si="12"/>
        <v>0</v>
      </c>
      <c r="BO63" s="4">
        <f t="shared" si="13"/>
        <v>0</v>
      </c>
      <c r="BP63" s="4">
        <f t="shared" si="14"/>
        <v>0</v>
      </c>
      <c r="BQ63" s="4">
        <f t="shared" si="15"/>
        <v>0</v>
      </c>
      <c r="BR63" s="4">
        <f t="shared" si="16"/>
        <v>0</v>
      </c>
      <c r="BS63" s="4">
        <f t="shared" si="17"/>
        <v>0</v>
      </c>
      <c r="BT63" s="4">
        <f t="shared" si="18"/>
        <v>0</v>
      </c>
      <c r="BU63" s="4">
        <f t="shared" si="19"/>
        <v>0</v>
      </c>
      <c r="BV63" s="4">
        <f t="shared" si="20"/>
        <v>0</v>
      </c>
      <c r="BW63" s="4">
        <f t="shared" si="21"/>
        <v>0</v>
      </c>
      <c r="BX63" s="4">
        <f t="shared" si="22"/>
        <v>0</v>
      </c>
      <c r="BY63" s="4">
        <f t="shared" si="23"/>
        <v>0</v>
      </c>
      <c r="BZ63" s="4">
        <f t="shared" si="24"/>
        <v>0</v>
      </c>
      <c r="CA63" s="4">
        <f t="shared" si="25"/>
        <v>0</v>
      </c>
      <c r="CB63" s="4">
        <f t="shared" si="26"/>
        <v>0</v>
      </c>
      <c r="CC63" s="4">
        <f t="shared" si="27"/>
        <v>0</v>
      </c>
      <c r="CD63" s="4">
        <f t="shared" si="28"/>
        <v>0</v>
      </c>
      <c r="CE63" s="4">
        <f t="shared" si="29"/>
        <v>0</v>
      </c>
      <c r="CF63" s="4">
        <f t="shared" si="30"/>
        <v>0</v>
      </c>
      <c r="CG63" s="4">
        <f t="shared" si="31"/>
        <v>0</v>
      </c>
      <c r="CH63" s="4">
        <f t="shared" si="32"/>
        <v>0</v>
      </c>
      <c r="CI63" s="4">
        <f t="shared" si="33"/>
        <v>0</v>
      </c>
      <c r="CJ63" s="4">
        <f t="shared" si="34"/>
        <v>0</v>
      </c>
      <c r="CK63" s="4">
        <f t="shared" si="35"/>
        <v>0</v>
      </c>
      <c r="CL63" s="4">
        <f t="shared" si="36"/>
        <v>0</v>
      </c>
      <c r="CM63" s="4">
        <f t="shared" si="37"/>
        <v>0</v>
      </c>
      <c r="CN63" s="4">
        <f t="shared" si="38"/>
        <v>0</v>
      </c>
      <c r="CO63" s="4">
        <f t="shared" si="39"/>
        <v>0</v>
      </c>
      <c r="CP63" s="4">
        <f t="shared" si="40"/>
        <v>0</v>
      </c>
      <c r="CQ63" s="4">
        <f t="shared" si="41"/>
        <v>0</v>
      </c>
      <c r="CR63" s="4">
        <f t="shared" si="42"/>
        <v>0</v>
      </c>
      <c r="CS63" s="4">
        <f t="shared" si="43"/>
        <v>0</v>
      </c>
      <c r="CT63" s="4">
        <f t="shared" si="44"/>
        <v>0</v>
      </c>
      <c r="CU63" s="4">
        <f t="shared" si="45"/>
        <v>0</v>
      </c>
      <c r="CV63" s="4">
        <f t="shared" si="46"/>
        <v>0</v>
      </c>
      <c r="CW63" s="4">
        <f t="shared" si="47"/>
        <v>0</v>
      </c>
      <c r="CX63" s="4">
        <f t="shared" si="48"/>
        <v>0</v>
      </c>
      <c r="CY63" s="4">
        <f t="shared" si="49"/>
        <v>0</v>
      </c>
      <c r="CZ63" s="4">
        <f t="shared" si="50"/>
        <v>0</v>
      </c>
      <c r="DA63" s="4">
        <f t="shared" si="51"/>
        <v>0</v>
      </c>
      <c r="DB63" s="4">
        <f t="shared" si="52"/>
        <v>0</v>
      </c>
      <c r="DC63" s="4">
        <f t="shared" si="53"/>
        <v>0</v>
      </c>
      <c r="DD63" s="4">
        <f t="shared" si="54"/>
        <v>0</v>
      </c>
    </row>
    <row r="64" spans="1:108" x14ac:dyDescent="0.25">
      <c r="A64" s="41" t="str">
        <f>Skills!M46</f>
        <v>Adrenal Defense</v>
      </c>
      <c r="B64" s="55" t="str">
        <f>Skills!N46</f>
        <v>Adrenal Defense</v>
      </c>
      <c r="C64" s="22">
        <f t="shared" si="55"/>
        <v>0</v>
      </c>
      <c r="D64" s="112">
        <f>Skills!S46</f>
        <v>0</v>
      </c>
      <c r="E64" s="113" t="e">
        <f>Profession!$B$17</f>
        <v>#REF!</v>
      </c>
      <c r="F64" s="19"/>
      <c r="G64" s="19"/>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56"/>
      <c r="BF64" s="4">
        <f t="shared" si="5"/>
        <v>0</v>
      </c>
      <c r="BG64" s="4">
        <f t="shared" si="5"/>
        <v>0</v>
      </c>
      <c r="BH64" s="4">
        <f t="shared" si="6"/>
        <v>0</v>
      </c>
      <c r="BI64" s="4">
        <f t="shared" si="7"/>
        <v>0</v>
      </c>
      <c r="BJ64" s="4">
        <f t="shared" si="8"/>
        <v>0</v>
      </c>
      <c r="BK64" s="4">
        <f t="shared" si="9"/>
        <v>0</v>
      </c>
      <c r="BL64" s="4">
        <f t="shared" si="10"/>
        <v>0</v>
      </c>
      <c r="BM64" s="4">
        <f t="shared" si="11"/>
        <v>0</v>
      </c>
      <c r="BN64" s="4">
        <f t="shared" si="12"/>
        <v>0</v>
      </c>
      <c r="BO64" s="4">
        <f t="shared" si="13"/>
        <v>0</v>
      </c>
      <c r="BP64" s="4">
        <f t="shared" si="14"/>
        <v>0</v>
      </c>
      <c r="BQ64" s="4">
        <f t="shared" si="15"/>
        <v>0</v>
      </c>
      <c r="BR64" s="4">
        <f t="shared" si="16"/>
        <v>0</v>
      </c>
      <c r="BS64" s="4">
        <f t="shared" si="17"/>
        <v>0</v>
      </c>
      <c r="BT64" s="4">
        <f t="shared" si="18"/>
        <v>0</v>
      </c>
      <c r="BU64" s="4">
        <f t="shared" si="19"/>
        <v>0</v>
      </c>
      <c r="BV64" s="4">
        <f t="shared" si="20"/>
        <v>0</v>
      </c>
      <c r="BW64" s="4">
        <f t="shared" si="21"/>
        <v>0</v>
      </c>
      <c r="BX64" s="4">
        <f t="shared" si="22"/>
        <v>0</v>
      </c>
      <c r="BY64" s="4">
        <f t="shared" si="23"/>
        <v>0</v>
      </c>
      <c r="BZ64" s="4">
        <f t="shared" si="24"/>
        <v>0</v>
      </c>
      <c r="CA64" s="4">
        <f t="shared" si="25"/>
        <v>0</v>
      </c>
      <c r="CB64" s="4">
        <f t="shared" si="26"/>
        <v>0</v>
      </c>
      <c r="CC64" s="4">
        <f t="shared" si="27"/>
        <v>0</v>
      </c>
      <c r="CD64" s="4">
        <f t="shared" si="28"/>
        <v>0</v>
      </c>
      <c r="CE64" s="4">
        <f t="shared" si="29"/>
        <v>0</v>
      </c>
      <c r="CF64" s="4">
        <f t="shared" si="30"/>
        <v>0</v>
      </c>
      <c r="CG64" s="4">
        <f t="shared" si="31"/>
        <v>0</v>
      </c>
      <c r="CH64" s="4">
        <f t="shared" si="32"/>
        <v>0</v>
      </c>
      <c r="CI64" s="4">
        <f t="shared" si="33"/>
        <v>0</v>
      </c>
      <c r="CJ64" s="4">
        <f t="shared" si="34"/>
        <v>0</v>
      </c>
      <c r="CK64" s="4">
        <f t="shared" si="35"/>
        <v>0</v>
      </c>
      <c r="CL64" s="4">
        <f t="shared" si="36"/>
        <v>0</v>
      </c>
      <c r="CM64" s="4">
        <f t="shared" si="37"/>
        <v>0</v>
      </c>
      <c r="CN64" s="4">
        <f t="shared" si="38"/>
        <v>0</v>
      </c>
      <c r="CO64" s="4">
        <f t="shared" si="39"/>
        <v>0</v>
      </c>
      <c r="CP64" s="4">
        <f t="shared" si="40"/>
        <v>0</v>
      </c>
      <c r="CQ64" s="4">
        <f t="shared" si="41"/>
        <v>0</v>
      </c>
      <c r="CR64" s="4">
        <f t="shared" si="42"/>
        <v>0</v>
      </c>
      <c r="CS64" s="4">
        <f t="shared" si="43"/>
        <v>0</v>
      </c>
      <c r="CT64" s="4">
        <f t="shared" si="44"/>
        <v>0</v>
      </c>
      <c r="CU64" s="4">
        <f t="shared" si="45"/>
        <v>0</v>
      </c>
      <c r="CV64" s="4">
        <f t="shared" si="46"/>
        <v>0</v>
      </c>
      <c r="CW64" s="4">
        <f t="shared" si="47"/>
        <v>0</v>
      </c>
      <c r="CX64" s="4">
        <f t="shared" si="48"/>
        <v>0</v>
      </c>
      <c r="CY64" s="4">
        <f t="shared" si="49"/>
        <v>0</v>
      </c>
      <c r="CZ64" s="4">
        <f t="shared" si="50"/>
        <v>0</v>
      </c>
      <c r="DA64" s="4">
        <f t="shared" si="51"/>
        <v>0</v>
      </c>
      <c r="DB64" s="4">
        <f t="shared" si="52"/>
        <v>0</v>
      </c>
      <c r="DC64" s="4">
        <f t="shared" si="53"/>
        <v>0</v>
      </c>
      <c r="DD64" s="4">
        <f t="shared" si="54"/>
        <v>0</v>
      </c>
    </row>
    <row r="65" spans="1:108" x14ac:dyDescent="0.25">
      <c r="A65" s="41" t="str">
        <f>Skills!M47</f>
        <v>Adrenal Focus</v>
      </c>
      <c r="B65" s="57" t="str">
        <f>Skills!N47</f>
        <v>Adrenal Focus</v>
      </c>
      <c r="C65" s="24">
        <f t="shared" si="55"/>
        <v>0</v>
      </c>
      <c r="D65" s="110">
        <f>Skills!S47</f>
        <v>0</v>
      </c>
      <c r="E65" s="111" t="e">
        <f>Profession!$B$18</f>
        <v>#REF!</v>
      </c>
      <c r="F65" s="18"/>
      <c r="G65" s="18"/>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49"/>
      <c r="BF65" s="4">
        <f t="shared" si="5"/>
        <v>0</v>
      </c>
      <c r="BG65" s="4">
        <f t="shared" si="5"/>
        <v>0</v>
      </c>
      <c r="BH65" s="4">
        <f t="shared" si="6"/>
        <v>0</v>
      </c>
      <c r="BI65" s="4">
        <f t="shared" si="7"/>
        <v>0</v>
      </c>
      <c r="BJ65" s="4">
        <f t="shared" si="8"/>
        <v>0</v>
      </c>
      <c r="BK65" s="4">
        <f t="shared" si="9"/>
        <v>0</v>
      </c>
      <c r="BL65" s="4">
        <f t="shared" si="10"/>
        <v>0</v>
      </c>
      <c r="BM65" s="4">
        <f t="shared" si="11"/>
        <v>0</v>
      </c>
      <c r="BN65" s="4">
        <f t="shared" si="12"/>
        <v>0</v>
      </c>
      <c r="BO65" s="4">
        <f t="shared" si="13"/>
        <v>0</v>
      </c>
      <c r="BP65" s="4">
        <f t="shared" si="14"/>
        <v>0</v>
      </c>
      <c r="BQ65" s="4">
        <f t="shared" si="15"/>
        <v>0</v>
      </c>
      <c r="BR65" s="4">
        <f t="shared" si="16"/>
        <v>0</v>
      </c>
      <c r="BS65" s="4">
        <f t="shared" si="17"/>
        <v>0</v>
      </c>
      <c r="BT65" s="4">
        <f t="shared" si="18"/>
        <v>0</v>
      </c>
      <c r="BU65" s="4">
        <f t="shared" si="19"/>
        <v>0</v>
      </c>
      <c r="BV65" s="4">
        <f t="shared" si="20"/>
        <v>0</v>
      </c>
      <c r="BW65" s="4">
        <f t="shared" si="21"/>
        <v>0</v>
      </c>
      <c r="BX65" s="4">
        <f t="shared" si="22"/>
        <v>0</v>
      </c>
      <c r="BY65" s="4">
        <f t="shared" si="23"/>
        <v>0</v>
      </c>
      <c r="BZ65" s="4">
        <f t="shared" si="24"/>
        <v>0</v>
      </c>
      <c r="CA65" s="4">
        <f t="shared" si="25"/>
        <v>0</v>
      </c>
      <c r="CB65" s="4">
        <f t="shared" si="26"/>
        <v>0</v>
      </c>
      <c r="CC65" s="4">
        <f t="shared" si="27"/>
        <v>0</v>
      </c>
      <c r="CD65" s="4">
        <f t="shared" si="28"/>
        <v>0</v>
      </c>
      <c r="CE65" s="4">
        <f t="shared" si="29"/>
        <v>0</v>
      </c>
      <c r="CF65" s="4">
        <f t="shared" si="30"/>
        <v>0</v>
      </c>
      <c r="CG65" s="4">
        <f t="shared" si="31"/>
        <v>0</v>
      </c>
      <c r="CH65" s="4">
        <f t="shared" si="32"/>
        <v>0</v>
      </c>
      <c r="CI65" s="4">
        <f t="shared" si="33"/>
        <v>0</v>
      </c>
      <c r="CJ65" s="4">
        <f t="shared" si="34"/>
        <v>0</v>
      </c>
      <c r="CK65" s="4">
        <f t="shared" si="35"/>
        <v>0</v>
      </c>
      <c r="CL65" s="4">
        <f t="shared" si="36"/>
        <v>0</v>
      </c>
      <c r="CM65" s="4">
        <f t="shared" si="37"/>
        <v>0</v>
      </c>
      <c r="CN65" s="4">
        <f t="shared" si="38"/>
        <v>0</v>
      </c>
      <c r="CO65" s="4">
        <f t="shared" si="39"/>
        <v>0</v>
      </c>
      <c r="CP65" s="4">
        <f t="shared" si="40"/>
        <v>0</v>
      </c>
      <c r="CQ65" s="4">
        <f t="shared" si="41"/>
        <v>0</v>
      </c>
      <c r="CR65" s="4">
        <f t="shared" si="42"/>
        <v>0</v>
      </c>
      <c r="CS65" s="4">
        <f t="shared" si="43"/>
        <v>0</v>
      </c>
      <c r="CT65" s="4">
        <f t="shared" si="44"/>
        <v>0</v>
      </c>
      <c r="CU65" s="4">
        <f t="shared" si="45"/>
        <v>0</v>
      </c>
      <c r="CV65" s="4">
        <f t="shared" si="46"/>
        <v>0</v>
      </c>
      <c r="CW65" s="4">
        <f t="shared" si="47"/>
        <v>0</v>
      </c>
      <c r="CX65" s="4">
        <f t="shared" si="48"/>
        <v>0</v>
      </c>
      <c r="CY65" s="4">
        <f t="shared" si="49"/>
        <v>0</v>
      </c>
      <c r="CZ65" s="4">
        <f t="shared" si="50"/>
        <v>0</v>
      </c>
      <c r="DA65" s="4">
        <f t="shared" si="51"/>
        <v>0</v>
      </c>
      <c r="DB65" s="4">
        <f t="shared" si="52"/>
        <v>0</v>
      </c>
      <c r="DC65" s="4">
        <f t="shared" si="53"/>
        <v>0</v>
      </c>
      <c r="DD65" s="4">
        <f t="shared" si="54"/>
        <v>0</v>
      </c>
    </row>
    <row r="66" spans="1:108" x14ac:dyDescent="0.25">
      <c r="A66" s="41" t="str">
        <f>Skills!M48</f>
        <v>Adrenal Speed</v>
      </c>
      <c r="B66" s="55" t="str">
        <f>Skills!N48</f>
        <v>Adrenal Speed</v>
      </c>
      <c r="C66" s="22">
        <f t="shared" si="55"/>
        <v>0</v>
      </c>
      <c r="D66" s="112">
        <f>Skills!S48</f>
        <v>0</v>
      </c>
      <c r="E66" s="113" t="e">
        <f>Profession!$B$19</f>
        <v>#REF!</v>
      </c>
      <c r="F66" s="19"/>
      <c r="G66" s="19"/>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56"/>
      <c r="BF66" s="4">
        <f t="shared" si="5"/>
        <v>0</v>
      </c>
      <c r="BG66" s="4">
        <f t="shared" si="5"/>
        <v>0</v>
      </c>
      <c r="BH66" s="4">
        <f t="shared" si="6"/>
        <v>0</v>
      </c>
      <c r="BI66" s="4">
        <f t="shared" si="7"/>
        <v>0</v>
      </c>
      <c r="BJ66" s="4">
        <f t="shared" si="8"/>
        <v>0</v>
      </c>
      <c r="BK66" s="4">
        <f t="shared" si="9"/>
        <v>0</v>
      </c>
      <c r="BL66" s="4">
        <f t="shared" si="10"/>
        <v>0</v>
      </c>
      <c r="BM66" s="4">
        <f t="shared" si="11"/>
        <v>0</v>
      </c>
      <c r="BN66" s="4">
        <f t="shared" si="12"/>
        <v>0</v>
      </c>
      <c r="BO66" s="4">
        <f t="shared" si="13"/>
        <v>0</v>
      </c>
      <c r="BP66" s="4">
        <f t="shared" si="14"/>
        <v>0</v>
      </c>
      <c r="BQ66" s="4">
        <f t="shared" si="15"/>
        <v>0</v>
      </c>
      <c r="BR66" s="4">
        <f t="shared" si="16"/>
        <v>0</v>
      </c>
      <c r="BS66" s="4">
        <f t="shared" si="17"/>
        <v>0</v>
      </c>
      <c r="BT66" s="4">
        <f t="shared" si="18"/>
        <v>0</v>
      </c>
      <c r="BU66" s="4">
        <f t="shared" si="19"/>
        <v>0</v>
      </c>
      <c r="BV66" s="4">
        <f t="shared" si="20"/>
        <v>0</v>
      </c>
      <c r="BW66" s="4">
        <f t="shared" si="21"/>
        <v>0</v>
      </c>
      <c r="BX66" s="4">
        <f t="shared" si="22"/>
        <v>0</v>
      </c>
      <c r="BY66" s="4">
        <f t="shared" si="23"/>
        <v>0</v>
      </c>
      <c r="BZ66" s="4">
        <f t="shared" si="24"/>
        <v>0</v>
      </c>
      <c r="CA66" s="4">
        <f t="shared" si="25"/>
        <v>0</v>
      </c>
      <c r="CB66" s="4">
        <f t="shared" si="26"/>
        <v>0</v>
      </c>
      <c r="CC66" s="4">
        <f t="shared" si="27"/>
        <v>0</v>
      </c>
      <c r="CD66" s="4">
        <f t="shared" si="28"/>
        <v>0</v>
      </c>
      <c r="CE66" s="4">
        <f t="shared" si="29"/>
        <v>0</v>
      </c>
      <c r="CF66" s="4">
        <f t="shared" si="30"/>
        <v>0</v>
      </c>
      <c r="CG66" s="4">
        <f t="shared" si="31"/>
        <v>0</v>
      </c>
      <c r="CH66" s="4">
        <f t="shared" si="32"/>
        <v>0</v>
      </c>
      <c r="CI66" s="4">
        <f t="shared" si="33"/>
        <v>0</v>
      </c>
      <c r="CJ66" s="4">
        <f t="shared" si="34"/>
        <v>0</v>
      </c>
      <c r="CK66" s="4">
        <f t="shared" si="35"/>
        <v>0</v>
      </c>
      <c r="CL66" s="4">
        <f t="shared" si="36"/>
        <v>0</v>
      </c>
      <c r="CM66" s="4">
        <f t="shared" si="37"/>
        <v>0</v>
      </c>
      <c r="CN66" s="4">
        <f t="shared" si="38"/>
        <v>0</v>
      </c>
      <c r="CO66" s="4">
        <f t="shared" si="39"/>
        <v>0</v>
      </c>
      <c r="CP66" s="4">
        <f t="shared" si="40"/>
        <v>0</v>
      </c>
      <c r="CQ66" s="4">
        <f t="shared" si="41"/>
        <v>0</v>
      </c>
      <c r="CR66" s="4">
        <f t="shared" si="42"/>
        <v>0</v>
      </c>
      <c r="CS66" s="4">
        <f t="shared" si="43"/>
        <v>0</v>
      </c>
      <c r="CT66" s="4">
        <f t="shared" si="44"/>
        <v>0</v>
      </c>
      <c r="CU66" s="4">
        <f t="shared" si="45"/>
        <v>0</v>
      </c>
      <c r="CV66" s="4">
        <f t="shared" si="46"/>
        <v>0</v>
      </c>
      <c r="CW66" s="4">
        <f t="shared" si="47"/>
        <v>0</v>
      </c>
      <c r="CX66" s="4">
        <f t="shared" si="48"/>
        <v>0</v>
      </c>
      <c r="CY66" s="4">
        <f t="shared" si="49"/>
        <v>0</v>
      </c>
      <c r="CZ66" s="4">
        <f t="shared" si="50"/>
        <v>0</v>
      </c>
      <c r="DA66" s="4">
        <f t="shared" si="51"/>
        <v>0</v>
      </c>
      <c r="DB66" s="4">
        <f t="shared" si="52"/>
        <v>0</v>
      </c>
      <c r="DC66" s="4">
        <f t="shared" si="53"/>
        <v>0</v>
      </c>
      <c r="DD66" s="4">
        <f t="shared" si="54"/>
        <v>0</v>
      </c>
    </row>
    <row r="67" spans="1:108" x14ac:dyDescent="0.25">
      <c r="A67" s="41" t="str">
        <f>Skills!M49</f>
        <v>Adrenal Strength</v>
      </c>
      <c r="B67" s="57" t="str">
        <f>Skills!N49</f>
        <v>Adrenal Strength</v>
      </c>
      <c r="C67" s="24">
        <f t="shared" si="55"/>
        <v>0</v>
      </c>
      <c r="D67" s="110">
        <f>Skills!S49</f>
        <v>0</v>
      </c>
      <c r="E67" s="111" t="e">
        <f>Profession!$B$20</f>
        <v>#REF!</v>
      </c>
      <c r="F67" s="18"/>
      <c r="G67" s="18"/>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49"/>
      <c r="BF67" s="4">
        <f t="shared" si="5"/>
        <v>0</v>
      </c>
      <c r="BG67" s="4">
        <f t="shared" si="5"/>
        <v>0</v>
      </c>
      <c r="BH67" s="4">
        <f t="shared" si="6"/>
        <v>0</v>
      </c>
      <c r="BI67" s="4">
        <f t="shared" si="7"/>
        <v>0</v>
      </c>
      <c r="BJ67" s="4">
        <f t="shared" si="8"/>
        <v>0</v>
      </c>
      <c r="BK67" s="4">
        <f t="shared" si="9"/>
        <v>0</v>
      </c>
      <c r="BL67" s="4">
        <f t="shared" si="10"/>
        <v>0</v>
      </c>
      <c r="BM67" s="4">
        <f t="shared" si="11"/>
        <v>0</v>
      </c>
      <c r="BN67" s="4">
        <f t="shared" si="12"/>
        <v>0</v>
      </c>
      <c r="BO67" s="4">
        <f t="shared" si="13"/>
        <v>0</v>
      </c>
      <c r="BP67" s="4">
        <f t="shared" si="14"/>
        <v>0</v>
      </c>
      <c r="BQ67" s="4">
        <f t="shared" si="15"/>
        <v>0</v>
      </c>
      <c r="BR67" s="4">
        <f t="shared" si="16"/>
        <v>0</v>
      </c>
      <c r="BS67" s="4">
        <f t="shared" si="17"/>
        <v>0</v>
      </c>
      <c r="BT67" s="4">
        <f t="shared" si="18"/>
        <v>0</v>
      </c>
      <c r="BU67" s="4">
        <f t="shared" si="19"/>
        <v>0</v>
      </c>
      <c r="BV67" s="4">
        <f t="shared" si="20"/>
        <v>0</v>
      </c>
      <c r="BW67" s="4">
        <f t="shared" si="21"/>
        <v>0</v>
      </c>
      <c r="BX67" s="4">
        <f t="shared" si="22"/>
        <v>0</v>
      </c>
      <c r="BY67" s="4">
        <f t="shared" si="23"/>
        <v>0</v>
      </c>
      <c r="BZ67" s="4">
        <f t="shared" si="24"/>
        <v>0</v>
      </c>
      <c r="CA67" s="4">
        <f t="shared" si="25"/>
        <v>0</v>
      </c>
      <c r="CB67" s="4">
        <f t="shared" si="26"/>
        <v>0</v>
      </c>
      <c r="CC67" s="4">
        <f t="shared" si="27"/>
        <v>0</v>
      </c>
      <c r="CD67" s="4">
        <f t="shared" si="28"/>
        <v>0</v>
      </c>
      <c r="CE67" s="4">
        <f t="shared" si="29"/>
        <v>0</v>
      </c>
      <c r="CF67" s="4">
        <f t="shared" si="30"/>
        <v>0</v>
      </c>
      <c r="CG67" s="4">
        <f t="shared" si="31"/>
        <v>0</v>
      </c>
      <c r="CH67" s="4">
        <f t="shared" si="32"/>
        <v>0</v>
      </c>
      <c r="CI67" s="4">
        <f t="shared" si="33"/>
        <v>0</v>
      </c>
      <c r="CJ67" s="4">
        <f t="shared" si="34"/>
        <v>0</v>
      </c>
      <c r="CK67" s="4">
        <f t="shared" si="35"/>
        <v>0</v>
      </c>
      <c r="CL67" s="4">
        <f t="shared" si="36"/>
        <v>0</v>
      </c>
      <c r="CM67" s="4">
        <f t="shared" si="37"/>
        <v>0</v>
      </c>
      <c r="CN67" s="4">
        <f t="shared" si="38"/>
        <v>0</v>
      </c>
      <c r="CO67" s="4">
        <f t="shared" si="39"/>
        <v>0</v>
      </c>
      <c r="CP67" s="4">
        <f t="shared" si="40"/>
        <v>0</v>
      </c>
      <c r="CQ67" s="4">
        <f t="shared" si="41"/>
        <v>0</v>
      </c>
      <c r="CR67" s="4">
        <f t="shared" si="42"/>
        <v>0</v>
      </c>
      <c r="CS67" s="4">
        <f t="shared" si="43"/>
        <v>0</v>
      </c>
      <c r="CT67" s="4">
        <f t="shared" si="44"/>
        <v>0</v>
      </c>
      <c r="CU67" s="4">
        <f t="shared" si="45"/>
        <v>0</v>
      </c>
      <c r="CV67" s="4">
        <f t="shared" si="46"/>
        <v>0</v>
      </c>
      <c r="CW67" s="4">
        <f t="shared" si="47"/>
        <v>0</v>
      </c>
      <c r="CX67" s="4">
        <f t="shared" si="48"/>
        <v>0</v>
      </c>
      <c r="CY67" s="4">
        <f t="shared" si="49"/>
        <v>0</v>
      </c>
      <c r="CZ67" s="4">
        <f t="shared" si="50"/>
        <v>0</v>
      </c>
      <c r="DA67" s="4">
        <f t="shared" si="51"/>
        <v>0</v>
      </c>
      <c r="DB67" s="4">
        <f t="shared" si="52"/>
        <v>0</v>
      </c>
      <c r="DC67" s="4">
        <f t="shared" si="53"/>
        <v>0</v>
      </c>
      <c r="DD67" s="4">
        <f t="shared" si="54"/>
        <v>0</v>
      </c>
    </row>
    <row r="68" spans="1:108" x14ac:dyDescent="0.25">
      <c r="A68" s="41" t="str">
        <f>Skills!M50</f>
        <v>Quick-draw</v>
      </c>
      <c r="B68" s="55" t="str">
        <f>Skills!N50</f>
        <v>Quick-draw</v>
      </c>
      <c r="C68" s="22">
        <f t="shared" si="55"/>
        <v>0</v>
      </c>
      <c r="D68" s="112">
        <f>Skills!S50</f>
        <v>0</v>
      </c>
      <c r="E68" s="113" t="e">
        <f>Profession!$B$21</f>
        <v>#REF!</v>
      </c>
      <c r="F68" s="19"/>
      <c r="G68" s="19"/>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56"/>
      <c r="BF68" s="4">
        <f t="shared" si="5"/>
        <v>0</v>
      </c>
      <c r="BG68" s="4">
        <f t="shared" si="5"/>
        <v>0</v>
      </c>
      <c r="BH68" s="4">
        <f t="shared" si="6"/>
        <v>0</v>
      </c>
      <c r="BI68" s="4">
        <f t="shared" si="7"/>
        <v>0</v>
      </c>
      <c r="BJ68" s="4">
        <f t="shared" si="8"/>
        <v>0</v>
      </c>
      <c r="BK68" s="4">
        <f t="shared" si="9"/>
        <v>0</v>
      </c>
      <c r="BL68" s="4">
        <f t="shared" si="10"/>
        <v>0</v>
      </c>
      <c r="BM68" s="4">
        <f t="shared" si="11"/>
        <v>0</v>
      </c>
      <c r="BN68" s="4">
        <f t="shared" si="12"/>
        <v>0</v>
      </c>
      <c r="BO68" s="4">
        <f t="shared" si="13"/>
        <v>0</v>
      </c>
      <c r="BP68" s="4">
        <f t="shared" si="14"/>
        <v>0</v>
      </c>
      <c r="BQ68" s="4">
        <f t="shared" si="15"/>
        <v>0</v>
      </c>
      <c r="BR68" s="4">
        <f t="shared" si="16"/>
        <v>0</v>
      </c>
      <c r="BS68" s="4">
        <f t="shared" si="17"/>
        <v>0</v>
      </c>
      <c r="BT68" s="4">
        <f t="shared" si="18"/>
        <v>0</v>
      </c>
      <c r="BU68" s="4">
        <f t="shared" si="19"/>
        <v>0</v>
      </c>
      <c r="BV68" s="4">
        <f t="shared" si="20"/>
        <v>0</v>
      </c>
      <c r="BW68" s="4">
        <f t="shared" si="21"/>
        <v>0</v>
      </c>
      <c r="BX68" s="4">
        <f t="shared" si="22"/>
        <v>0</v>
      </c>
      <c r="BY68" s="4">
        <f t="shared" si="23"/>
        <v>0</v>
      </c>
      <c r="BZ68" s="4">
        <f t="shared" si="24"/>
        <v>0</v>
      </c>
      <c r="CA68" s="4">
        <f t="shared" si="25"/>
        <v>0</v>
      </c>
      <c r="CB68" s="4">
        <f t="shared" si="26"/>
        <v>0</v>
      </c>
      <c r="CC68" s="4">
        <f t="shared" si="27"/>
        <v>0</v>
      </c>
      <c r="CD68" s="4">
        <f t="shared" si="28"/>
        <v>0</v>
      </c>
      <c r="CE68" s="4">
        <f t="shared" si="29"/>
        <v>0</v>
      </c>
      <c r="CF68" s="4">
        <f t="shared" si="30"/>
        <v>0</v>
      </c>
      <c r="CG68" s="4">
        <f t="shared" si="31"/>
        <v>0</v>
      </c>
      <c r="CH68" s="4">
        <f t="shared" si="32"/>
        <v>0</v>
      </c>
      <c r="CI68" s="4">
        <f t="shared" si="33"/>
        <v>0</v>
      </c>
      <c r="CJ68" s="4">
        <f t="shared" si="34"/>
        <v>0</v>
      </c>
      <c r="CK68" s="4">
        <f t="shared" si="35"/>
        <v>0</v>
      </c>
      <c r="CL68" s="4">
        <f t="shared" si="36"/>
        <v>0</v>
      </c>
      <c r="CM68" s="4">
        <f t="shared" si="37"/>
        <v>0</v>
      </c>
      <c r="CN68" s="4">
        <f t="shared" si="38"/>
        <v>0</v>
      </c>
      <c r="CO68" s="4">
        <f t="shared" si="39"/>
        <v>0</v>
      </c>
      <c r="CP68" s="4">
        <f t="shared" si="40"/>
        <v>0</v>
      </c>
      <c r="CQ68" s="4">
        <f t="shared" si="41"/>
        <v>0</v>
      </c>
      <c r="CR68" s="4">
        <f t="shared" si="42"/>
        <v>0</v>
      </c>
      <c r="CS68" s="4">
        <f t="shared" si="43"/>
        <v>0</v>
      </c>
      <c r="CT68" s="4">
        <f t="shared" si="44"/>
        <v>0</v>
      </c>
      <c r="CU68" s="4">
        <f t="shared" si="45"/>
        <v>0</v>
      </c>
      <c r="CV68" s="4">
        <f t="shared" si="46"/>
        <v>0</v>
      </c>
      <c r="CW68" s="4">
        <f t="shared" si="47"/>
        <v>0</v>
      </c>
      <c r="CX68" s="4">
        <f t="shared" si="48"/>
        <v>0</v>
      </c>
      <c r="CY68" s="4">
        <f t="shared" si="49"/>
        <v>0</v>
      </c>
      <c r="CZ68" s="4">
        <f t="shared" si="50"/>
        <v>0</v>
      </c>
      <c r="DA68" s="4">
        <f t="shared" si="51"/>
        <v>0</v>
      </c>
      <c r="DB68" s="4">
        <f t="shared" si="52"/>
        <v>0</v>
      </c>
      <c r="DC68" s="4">
        <f t="shared" si="53"/>
        <v>0</v>
      </c>
      <c r="DD68" s="4">
        <f t="shared" si="54"/>
        <v>0</v>
      </c>
    </row>
    <row r="69" spans="1:108" x14ac:dyDescent="0.25">
      <c r="A69" s="41">
        <f>Skills!M51</f>
        <v>0</v>
      </c>
      <c r="B69" s="57" t="str">
        <f>Skills!N51</f>
        <v>Brawn Category</v>
      </c>
      <c r="C69" s="24">
        <f t="shared" si="55"/>
        <v>0</v>
      </c>
      <c r="D69" s="110" t="str">
        <f>Skills!S51</f>
        <v>- -</v>
      </c>
      <c r="E69" s="111" t="s">
        <v>782</v>
      </c>
      <c r="F69" s="18"/>
      <c r="G69" s="18"/>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49"/>
      <c r="BF69" s="4">
        <f t="shared" si="5"/>
        <v>0</v>
      </c>
      <c r="BG69" s="4">
        <f t="shared" si="5"/>
        <v>0</v>
      </c>
      <c r="BH69" s="4">
        <f t="shared" si="6"/>
        <v>0</v>
      </c>
      <c r="BI69" s="4">
        <f t="shared" si="7"/>
        <v>0</v>
      </c>
      <c r="BJ69" s="4">
        <f t="shared" si="8"/>
        <v>0</v>
      </c>
      <c r="BK69" s="4">
        <f t="shared" si="9"/>
        <v>0</v>
      </c>
      <c r="BL69" s="4">
        <f t="shared" si="10"/>
        <v>0</v>
      </c>
      <c r="BM69" s="4">
        <f t="shared" si="11"/>
        <v>0</v>
      </c>
      <c r="BN69" s="4">
        <f t="shared" si="12"/>
        <v>0</v>
      </c>
      <c r="BO69" s="4">
        <f t="shared" si="13"/>
        <v>0</v>
      </c>
      <c r="BP69" s="4">
        <f t="shared" si="14"/>
        <v>0</v>
      </c>
      <c r="BQ69" s="4">
        <f t="shared" si="15"/>
        <v>0</v>
      </c>
      <c r="BR69" s="4">
        <f t="shared" si="16"/>
        <v>0</v>
      </c>
      <c r="BS69" s="4">
        <f t="shared" si="17"/>
        <v>0</v>
      </c>
      <c r="BT69" s="4">
        <f t="shared" si="18"/>
        <v>0</v>
      </c>
      <c r="BU69" s="4">
        <f t="shared" si="19"/>
        <v>0</v>
      </c>
      <c r="BV69" s="4">
        <f t="shared" si="20"/>
        <v>0</v>
      </c>
      <c r="BW69" s="4">
        <f t="shared" si="21"/>
        <v>0</v>
      </c>
      <c r="BX69" s="4">
        <f t="shared" si="22"/>
        <v>0</v>
      </c>
      <c r="BY69" s="4">
        <f t="shared" si="23"/>
        <v>0</v>
      </c>
      <c r="BZ69" s="4">
        <f t="shared" si="24"/>
        <v>0</v>
      </c>
      <c r="CA69" s="4">
        <f t="shared" si="25"/>
        <v>0</v>
      </c>
      <c r="CB69" s="4">
        <f t="shared" si="26"/>
        <v>0</v>
      </c>
      <c r="CC69" s="4">
        <f t="shared" si="27"/>
        <v>0</v>
      </c>
      <c r="CD69" s="4">
        <f t="shared" si="28"/>
        <v>0</v>
      </c>
      <c r="CE69" s="4">
        <f t="shared" si="29"/>
        <v>0</v>
      </c>
      <c r="CF69" s="4">
        <f t="shared" si="30"/>
        <v>0</v>
      </c>
      <c r="CG69" s="4">
        <f t="shared" si="31"/>
        <v>0</v>
      </c>
      <c r="CH69" s="4">
        <f t="shared" si="32"/>
        <v>0</v>
      </c>
      <c r="CI69" s="4">
        <f t="shared" si="33"/>
        <v>0</v>
      </c>
      <c r="CJ69" s="4">
        <f t="shared" si="34"/>
        <v>0</v>
      </c>
      <c r="CK69" s="4">
        <f t="shared" si="35"/>
        <v>0</v>
      </c>
      <c r="CL69" s="4">
        <f t="shared" si="36"/>
        <v>0</v>
      </c>
      <c r="CM69" s="4">
        <f t="shared" si="37"/>
        <v>0</v>
      </c>
      <c r="CN69" s="4">
        <f t="shared" si="38"/>
        <v>0</v>
      </c>
      <c r="CO69" s="4">
        <f t="shared" si="39"/>
        <v>0</v>
      </c>
      <c r="CP69" s="4">
        <f t="shared" si="40"/>
        <v>0</v>
      </c>
      <c r="CQ69" s="4">
        <f t="shared" si="41"/>
        <v>0</v>
      </c>
      <c r="CR69" s="4">
        <f t="shared" si="42"/>
        <v>0</v>
      </c>
      <c r="CS69" s="4">
        <f t="shared" si="43"/>
        <v>0</v>
      </c>
      <c r="CT69" s="4">
        <f t="shared" si="44"/>
        <v>0</v>
      </c>
      <c r="CU69" s="4">
        <f t="shared" si="45"/>
        <v>0</v>
      </c>
      <c r="CV69" s="4">
        <f t="shared" si="46"/>
        <v>0</v>
      </c>
      <c r="CW69" s="4">
        <f t="shared" si="47"/>
        <v>0</v>
      </c>
      <c r="CX69" s="4">
        <f t="shared" si="48"/>
        <v>0</v>
      </c>
      <c r="CY69" s="4">
        <f t="shared" si="49"/>
        <v>0</v>
      </c>
      <c r="CZ69" s="4">
        <f t="shared" si="50"/>
        <v>0</v>
      </c>
      <c r="DA69" s="4">
        <f t="shared" si="51"/>
        <v>0</v>
      </c>
      <c r="DB69" s="4">
        <f t="shared" si="52"/>
        <v>0</v>
      </c>
      <c r="DC69" s="4">
        <f t="shared" si="53"/>
        <v>0</v>
      </c>
      <c r="DD69" s="4">
        <f t="shared" si="54"/>
        <v>0</v>
      </c>
    </row>
    <row r="70" spans="1:108" x14ac:dyDescent="0.25">
      <c r="A70" s="41">
        <f>Skills!M52</f>
        <v>0</v>
      </c>
      <c r="B70" s="55" t="str">
        <f>Skills!N52</f>
        <v>Brawn Skills</v>
      </c>
      <c r="C70" s="22">
        <f t="shared" si="55"/>
        <v>0</v>
      </c>
      <c r="D70" s="112" t="str">
        <f>Skills!S52</f>
        <v>- -</v>
      </c>
      <c r="E70" s="113" t="s">
        <v>782</v>
      </c>
      <c r="F70" s="19"/>
      <c r="G70" s="19"/>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56"/>
      <c r="BF70" s="4">
        <f t="shared" si="5"/>
        <v>0</v>
      </c>
      <c r="BG70" s="4">
        <f t="shared" si="5"/>
        <v>0</v>
      </c>
      <c r="BH70" s="4">
        <f t="shared" si="6"/>
        <v>0</v>
      </c>
      <c r="BI70" s="4">
        <f t="shared" si="7"/>
        <v>0</v>
      </c>
      <c r="BJ70" s="4">
        <f t="shared" si="8"/>
        <v>0</v>
      </c>
      <c r="BK70" s="4">
        <f t="shared" si="9"/>
        <v>0</v>
      </c>
      <c r="BL70" s="4">
        <f t="shared" si="10"/>
        <v>0</v>
      </c>
      <c r="BM70" s="4">
        <f t="shared" si="11"/>
        <v>0</v>
      </c>
      <c r="BN70" s="4">
        <f t="shared" si="12"/>
        <v>0</v>
      </c>
      <c r="BO70" s="4">
        <f t="shared" si="13"/>
        <v>0</v>
      </c>
      <c r="BP70" s="4">
        <f t="shared" si="14"/>
        <v>0</v>
      </c>
      <c r="BQ70" s="4">
        <f t="shared" si="15"/>
        <v>0</v>
      </c>
      <c r="BR70" s="4">
        <f t="shared" si="16"/>
        <v>0</v>
      </c>
      <c r="BS70" s="4">
        <f t="shared" si="17"/>
        <v>0</v>
      </c>
      <c r="BT70" s="4">
        <f t="shared" si="18"/>
        <v>0</v>
      </c>
      <c r="BU70" s="4">
        <f t="shared" si="19"/>
        <v>0</v>
      </c>
      <c r="BV70" s="4">
        <f t="shared" si="20"/>
        <v>0</v>
      </c>
      <c r="BW70" s="4">
        <f t="shared" si="21"/>
        <v>0</v>
      </c>
      <c r="BX70" s="4">
        <f t="shared" si="22"/>
        <v>0</v>
      </c>
      <c r="BY70" s="4">
        <f t="shared" si="23"/>
        <v>0</v>
      </c>
      <c r="BZ70" s="4">
        <f t="shared" si="24"/>
        <v>0</v>
      </c>
      <c r="CA70" s="4">
        <f t="shared" si="25"/>
        <v>0</v>
      </c>
      <c r="CB70" s="4">
        <f t="shared" si="26"/>
        <v>0</v>
      </c>
      <c r="CC70" s="4">
        <f t="shared" si="27"/>
        <v>0</v>
      </c>
      <c r="CD70" s="4">
        <f t="shared" si="28"/>
        <v>0</v>
      </c>
      <c r="CE70" s="4">
        <f t="shared" si="29"/>
        <v>0</v>
      </c>
      <c r="CF70" s="4">
        <f t="shared" si="30"/>
        <v>0</v>
      </c>
      <c r="CG70" s="4">
        <f t="shared" si="31"/>
        <v>0</v>
      </c>
      <c r="CH70" s="4">
        <f t="shared" si="32"/>
        <v>0</v>
      </c>
      <c r="CI70" s="4">
        <f t="shared" si="33"/>
        <v>0</v>
      </c>
      <c r="CJ70" s="4">
        <f t="shared" si="34"/>
        <v>0</v>
      </c>
      <c r="CK70" s="4">
        <f t="shared" si="35"/>
        <v>0</v>
      </c>
      <c r="CL70" s="4">
        <f t="shared" si="36"/>
        <v>0</v>
      </c>
      <c r="CM70" s="4">
        <f t="shared" si="37"/>
        <v>0</v>
      </c>
      <c r="CN70" s="4">
        <f t="shared" si="38"/>
        <v>0</v>
      </c>
      <c r="CO70" s="4">
        <f t="shared" si="39"/>
        <v>0</v>
      </c>
      <c r="CP70" s="4">
        <f t="shared" si="40"/>
        <v>0</v>
      </c>
      <c r="CQ70" s="4">
        <f t="shared" si="41"/>
        <v>0</v>
      </c>
      <c r="CR70" s="4">
        <f t="shared" si="42"/>
        <v>0</v>
      </c>
      <c r="CS70" s="4">
        <f t="shared" si="43"/>
        <v>0</v>
      </c>
      <c r="CT70" s="4">
        <f t="shared" si="44"/>
        <v>0</v>
      </c>
      <c r="CU70" s="4">
        <f t="shared" si="45"/>
        <v>0</v>
      </c>
      <c r="CV70" s="4">
        <f t="shared" si="46"/>
        <v>0</v>
      </c>
      <c r="CW70" s="4">
        <f t="shared" si="47"/>
        <v>0</v>
      </c>
      <c r="CX70" s="4">
        <f t="shared" si="48"/>
        <v>0</v>
      </c>
      <c r="CY70" s="4">
        <f t="shared" si="49"/>
        <v>0</v>
      </c>
      <c r="CZ70" s="4">
        <f t="shared" si="50"/>
        <v>0</v>
      </c>
      <c r="DA70" s="4">
        <f t="shared" si="51"/>
        <v>0</v>
      </c>
      <c r="DB70" s="4">
        <f t="shared" si="52"/>
        <v>0</v>
      </c>
      <c r="DC70" s="4">
        <f t="shared" si="53"/>
        <v>0</v>
      </c>
      <c r="DD70" s="4">
        <f t="shared" si="54"/>
        <v>0</v>
      </c>
    </row>
    <row r="71" spans="1:108" x14ac:dyDescent="0.25">
      <c r="A71" s="41" t="str">
        <f>Skills!M53</f>
        <v>Body Development</v>
      </c>
      <c r="B71" s="57" t="str">
        <f>Skills!N53</f>
        <v>Body Development</v>
      </c>
      <c r="C71" s="24">
        <f t="shared" si="55"/>
        <v>0</v>
      </c>
      <c r="D71" s="110">
        <f>Skills!S53</f>
        <v>3</v>
      </c>
      <c r="E71" s="111" t="e">
        <f>Profession!$B$23</f>
        <v>#REF!</v>
      </c>
      <c r="F71" s="18"/>
      <c r="G71" s="18"/>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49"/>
      <c r="BF71" s="4">
        <f t="shared" si="5"/>
        <v>0</v>
      </c>
      <c r="BG71" s="4">
        <f t="shared" si="5"/>
        <v>0</v>
      </c>
      <c r="BH71" s="4">
        <f t="shared" si="6"/>
        <v>0</v>
      </c>
      <c r="BI71" s="4">
        <f t="shared" si="7"/>
        <v>0</v>
      </c>
      <c r="BJ71" s="4">
        <f t="shared" si="8"/>
        <v>0</v>
      </c>
      <c r="BK71" s="4">
        <f t="shared" si="9"/>
        <v>0</v>
      </c>
      <c r="BL71" s="4">
        <f t="shared" si="10"/>
        <v>0</v>
      </c>
      <c r="BM71" s="4">
        <f t="shared" si="11"/>
        <v>0</v>
      </c>
      <c r="BN71" s="4">
        <f t="shared" si="12"/>
        <v>0</v>
      </c>
      <c r="BO71" s="4">
        <f t="shared" si="13"/>
        <v>0</v>
      </c>
      <c r="BP71" s="4">
        <f t="shared" si="14"/>
        <v>0</v>
      </c>
      <c r="BQ71" s="4">
        <f t="shared" si="15"/>
        <v>0</v>
      </c>
      <c r="BR71" s="4">
        <f t="shared" si="16"/>
        <v>0</v>
      </c>
      <c r="BS71" s="4">
        <f t="shared" si="17"/>
        <v>0</v>
      </c>
      <c r="BT71" s="4">
        <f t="shared" si="18"/>
        <v>0</v>
      </c>
      <c r="BU71" s="4">
        <f t="shared" si="19"/>
        <v>0</v>
      </c>
      <c r="BV71" s="4">
        <f t="shared" si="20"/>
        <v>0</v>
      </c>
      <c r="BW71" s="4">
        <f t="shared" si="21"/>
        <v>0</v>
      </c>
      <c r="BX71" s="4">
        <f t="shared" si="22"/>
        <v>0</v>
      </c>
      <c r="BY71" s="4">
        <f t="shared" si="23"/>
        <v>0</v>
      </c>
      <c r="BZ71" s="4">
        <f t="shared" si="24"/>
        <v>0</v>
      </c>
      <c r="CA71" s="4">
        <f t="shared" si="25"/>
        <v>0</v>
      </c>
      <c r="CB71" s="4">
        <f t="shared" si="26"/>
        <v>0</v>
      </c>
      <c r="CC71" s="4">
        <f t="shared" si="27"/>
        <v>0</v>
      </c>
      <c r="CD71" s="4">
        <f t="shared" si="28"/>
        <v>0</v>
      </c>
      <c r="CE71" s="4">
        <f t="shared" si="29"/>
        <v>0</v>
      </c>
      <c r="CF71" s="4">
        <f t="shared" si="30"/>
        <v>0</v>
      </c>
      <c r="CG71" s="4">
        <f t="shared" si="31"/>
        <v>0</v>
      </c>
      <c r="CH71" s="4">
        <f t="shared" si="32"/>
        <v>0</v>
      </c>
      <c r="CI71" s="4">
        <f t="shared" si="33"/>
        <v>0</v>
      </c>
      <c r="CJ71" s="4">
        <f t="shared" si="34"/>
        <v>0</v>
      </c>
      <c r="CK71" s="4">
        <f t="shared" si="35"/>
        <v>0</v>
      </c>
      <c r="CL71" s="4">
        <f t="shared" si="36"/>
        <v>0</v>
      </c>
      <c r="CM71" s="4">
        <f t="shared" si="37"/>
        <v>0</v>
      </c>
      <c r="CN71" s="4">
        <f t="shared" si="38"/>
        <v>0</v>
      </c>
      <c r="CO71" s="4">
        <f t="shared" si="39"/>
        <v>0</v>
      </c>
      <c r="CP71" s="4">
        <f t="shared" si="40"/>
        <v>0</v>
      </c>
      <c r="CQ71" s="4">
        <f t="shared" si="41"/>
        <v>0</v>
      </c>
      <c r="CR71" s="4">
        <f t="shared" si="42"/>
        <v>0</v>
      </c>
      <c r="CS71" s="4">
        <f t="shared" si="43"/>
        <v>0</v>
      </c>
      <c r="CT71" s="4">
        <f t="shared" si="44"/>
        <v>0</v>
      </c>
      <c r="CU71" s="4">
        <f t="shared" si="45"/>
        <v>0</v>
      </c>
      <c r="CV71" s="4">
        <f t="shared" si="46"/>
        <v>0</v>
      </c>
      <c r="CW71" s="4">
        <f t="shared" si="47"/>
        <v>0</v>
      </c>
      <c r="CX71" s="4">
        <f t="shared" si="48"/>
        <v>0</v>
      </c>
      <c r="CY71" s="4">
        <f t="shared" si="49"/>
        <v>0</v>
      </c>
      <c r="CZ71" s="4">
        <f t="shared" si="50"/>
        <v>0</v>
      </c>
      <c r="DA71" s="4">
        <f t="shared" si="51"/>
        <v>0</v>
      </c>
      <c r="DB71" s="4">
        <f t="shared" si="52"/>
        <v>0</v>
      </c>
      <c r="DC71" s="4">
        <f t="shared" si="53"/>
        <v>0</v>
      </c>
      <c r="DD71" s="4">
        <f t="shared" si="54"/>
        <v>0</v>
      </c>
    </row>
    <row r="72" spans="1:108" x14ac:dyDescent="0.25">
      <c r="A72" s="41" t="str">
        <f>Skills!M54</f>
        <v>Fortitude</v>
      </c>
      <c r="B72" s="55" t="str">
        <f>Skills!N54</f>
        <v>Fortitude</v>
      </c>
      <c r="C72" s="22">
        <f t="shared" si="55"/>
        <v>0</v>
      </c>
      <c r="D72" s="112">
        <f>Skills!S54</f>
        <v>0</v>
      </c>
      <c r="E72" s="113" t="e">
        <f>Profession!$B$24</f>
        <v>#REF!</v>
      </c>
      <c r="F72" s="19"/>
      <c r="G72" s="19"/>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56"/>
      <c r="BF72" s="4">
        <f t="shared" si="5"/>
        <v>0</v>
      </c>
      <c r="BG72" s="4">
        <f t="shared" si="5"/>
        <v>0</v>
      </c>
      <c r="BH72" s="4">
        <f t="shared" si="6"/>
        <v>0</v>
      </c>
      <c r="BI72" s="4">
        <f t="shared" si="7"/>
        <v>0</v>
      </c>
      <c r="BJ72" s="4">
        <f t="shared" si="8"/>
        <v>0</v>
      </c>
      <c r="BK72" s="4">
        <f t="shared" si="9"/>
        <v>0</v>
      </c>
      <c r="BL72" s="4">
        <f t="shared" si="10"/>
        <v>0</v>
      </c>
      <c r="BM72" s="4">
        <f t="shared" si="11"/>
        <v>0</v>
      </c>
      <c r="BN72" s="4">
        <f t="shared" si="12"/>
        <v>0</v>
      </c>
      <c r="BO72" s="4">
        <f t="shared" si="13"/>
        <v>0</v>
      </c>
      <c r="BP72" s="4">
        <f t="shared" si="14"/>
        <v>0</v>
      </c>
      <c r="BQ72" s="4">
        <f t="shared" si="15"/>
        <v>0</v>
      </c>
      <c r="BR72" s="4">
        <f t="shared" si="16"/>
        <v>0</v>
      </c>
      <c r="BS72" s="4">
        <f t="shared" si="17"/>
        <v>0</v>
      </c>
      <c r="BT72" s="4">
        <f t="shared" si="18"/>
        <v>0</v>
      </c>
      <c r="BU72" s="4">
        <f t="shared" si="19"/>
        <v>0</v>
      </c>
      <c r="BV72" s="4">
        <f t="shared" si="20"/>
        <v>0</v>
      </c>
      <c r="BW72" s="4">
        <f t="shared" si="21"/>
        <v>0</v>
      </c>
      <c r="BX72" s="4">
        <f t="shared" si="22"/>
        <v>0</v>
      </c>
      <c r="BY72" s="4">
        <f t="shared" si="23"/>
        <v>0</v>
      </c>
      <c r="BZ72" s="4">
        <f t="shared" si="24"/>
        <v>0</v>
      </c>
      <c r="CA72" s="4">
        <f t="shared" si="25"/>
        <v>0</v>
      </c>
      <c r="CB72" s="4">
        <f t="shared" si="26"/>
        <v>0</v>
      </c>
      <c r="CC72" s="4">
        <f t="shared" si="27"/>
        <v>0</v>
      </c>
      <c r="CD72" s="4">
        <f t="shared" si="28"/>
        <v>0</v>
      </c>
      <c r="CE72" s="4">
        <f t="shared" si="29"/>
        <v>0</v>
      </c>
      <c r="CF72" s="4">
        <f t="shared" si="30"/>
        <v>0</v>
      </c>
      <c r="CG72" s="4">
        <f t="shared" si="31"/>
        <v>0</v>
      </c>
      <c r="CH72" s="4">
        <f t="shared" si="32"/>
        <v>0</v>
      </c>
      <c r="CI72" s="4">
        <f t="shared" si="33"/>
        <v>0</v>
      </c>
      <c r="CJ72" s="4">
        <f t="shared" si="34"/>
        <v>0</v>
      </c>
      <c r="CK72" s="4">
        <f t="shared" si="35"/>
        <v>0</v>
      </c>
      <c r="CL72" s="4">
        <f t="shared" si="36"/>
        <v>0</v>
      </c>
      <c r="CM72" s="4">
        <f t="shared" si="37"/>
        <v>0</v>
      </c>
      <c r="CN72" s="4">
        <f t="shared" si="38"/>
        <v>0</v>
      </c>
      <c r="CO72" s="4">
        <f t="shared" si="39"/>
        <v>0</v>
      </c>
      <c r="CP72" s="4">
        <f t="shared" si="40"/>
        <v>0</v>
      </c>
      <c r="CQ72" s="4">
        <f t="shared" si="41"/>
        <v>0</v>
      </c>
      <c r="CR72" s="4">
        <f t="shared" si="42"/>
        <v>0</v>
      </c>
      <c r="CS72" s="4">
        <f t="shared" si="43"/>
        <v>0</v>
      </c>
      <c r="CT72" s="4">
        <f t="shared" si="44"/>
        <v>0</v>
      </c>
      <c r="CU72" s="4">
        <f t="shared" si="45"/>
        <v>0</v>
      </c>
      <c r="CV72" s="4">
        <f t="shared" si="46"/>
        <v>0</v>
      </c>
      <c r="CW72" s="4">
        <f t="shared" si="47"/>
        <v>0</v>
      </c>
      <c r="CX72" s="4">
        <f t="shared" si="48"/>
        <v>0</v>
      </c>
      <c r="CY72" s="4">
        <f t="shared" si="49"/>
        <v>0</v>
      </c>
      <c r="CZ72" s="4">
        <f t="shared" si="50"/>
        <v>0</v>
      </c>
      <c r="DA72" s="4">
        <f t="shared" si="51"/>
        <v>0</v>
      </c>
      <c r="DB72" s="4">
        <f t="shared" si="52"/>
        <v>0</v>
      </c>
      <c r="DC72" s="4">
        <f t="shared" si="53"/>
        <v>0</v>
      </c>
      <c r="DD72" s="4">
        <f t="shared" si="54"/>
        <v>0</v>
      </c>
    </row>
    <row r="73" spans="1:108" x14ac:dyDescent="0.25">
      <c r="A73" s="41" t="str">
        <f>Skills!M55</f>
        <v>Weight-training</v>
      </c>
      <c r="B73" s="57" t="str">
        <f>Skills!N55</f>
        <v>Weight-training</v>
      </c>
      <c r="C73" s="24">
        <f t="shared" si="55"/>
        <v>0</v>
      </c>
      <c r="D73" s="110">
        <f>Skills!S55</f>
        <v>0</v>
      </c>
      <c r="E73" s="111" t="e">
        <f>Profession!$B$25</f>
        <v>#REF!</v>
      </c>
      <c r="F73" s="18"/>
      <c r="G73" s="18"/>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49"/>
      <c r="BF73" s="4">
        <f t="shared" si="5"/>
        <v>0</v>
      </c>
      <c r="BG73" s="4">
        <f t="shared" si="5"/>
        <v>0</v>
      </c>
      <c r="BH73" s="4">
        <f t="shared" si="6"/>
        <v>0</v>
      </c>
      <c r="BI73" s="4">
        <f t="shared" si="7"/>
        <v>0</v>
      </c>
      <c r="BJ73" s="4">
        <f t="shared" si="8"/>
        <v>0</v>
      </c>
      <c r="BK73" s="4">
        <f t="shared" si="9"/>
        <v>0</v>
      </c>
      <c r="BL73" s="4">
        <f t="shared" si="10"/>
        <v>0</v>
      </c>
      <c r="BM73" s="4">
        <f t="shared" si="11"/>
        <v>0</v>
      </c>
      <c r="BN73" s="4">
        <f t="shared" si="12"/>
        <v>0</v>
      </c>
      <c r="BO73" s="4">
        <f t="shared" si="13"/>
        <v>0</v>
      </c>
      <c r="BP73" s="4">
        <f t="shared" si="14"/>
        <v>0</v>
      </c>
      <c r="BQ73" s="4">
        <f t="shared" si="15"/>
        <v>0</v>
      </c>
      <c r="BR73" s="4">
        <f t="shared" si="16"/>
        <v>0</v>
      </c>
      <c r="BS73" s="4">
        <f t="shared" si="17"/>
        <v>0</v>
      </c>
      <c r="BT73" s="4">
        <f t="shared" si="18"/>
        <v>0</v>
      </c>
      <c r="BU73" s="4">
        <f t="shared" si="19"/>
        <v>0</v>
      </c>
      <c r="BV73" s="4">
        <f t="shared" si="20"/>
        <v>0</v>
      </c>
      <c r="BW73" s="4">
        <f t="shared" si="21"/>
        <v>0</v>
      </c>
      <c r="BX73" s="4">
        <f t="shared" si="22"/>
        <v>0</v>
      </c>
      <c r="BY73" s="4">
        <f t="shared" si="23"/>
        <v>0</v>
      </c>
      <c r="BZ73" s="4">
        <f t="shared" si="24"/>
        <v>0</v>
      </c>
      <c r="CA73" s="4">
        <f t="shared" si="25"/>
        <v>0</v>
      </c>
      <c r="CB73" s="4">
        <f t="shared" si="26"/>
        <v>0</v>
      </c>
      <c r="CC73" s="4">
        <f t="shared" si="27"/>
        <v>0</v>
      </c>
      <c r="CD73" s="4">
        <f t="shared" si="28"/>
        <v>0</v>
      </c>
      <c r="CE73" s="4">
        <f t="shared" si="29"/>
        <v>0</v>
      </c>
      <c r="CF73" s="4">
        <f t="shared" si="30"/>
        <v>0</v>
      </c>
      <c r="CG73" s="4">
        <f t="shared" si="31"/>
        <v>0</v>
      </c>
      <c r="CH73" s="4">
        <f t="shared" si="32"/>
        <v>0</v>
      </c>
      <c r="CI73" s="4">
        <f t="shared" si="33"/>
        <v>0</v>
      </c>
      <c r="CJ73" s="4">
        <f t="shared" si="34"/>
        <v>0</v>
      </c>
      <c r="CK73" s="4">
        <f t="shared" si="35"/>
        <v>0</v>
      </c>
      <c r="CL73" s="4">
        <f t="shared" si="36"/>
        <v>0</v>
      </c>
      <c r="CM73" s="4">
        <f t="shared" si="37"/>
        <v>0</v>
      </c>
      <c r="CN73" s="4">
        <f t="shared" si="38"/>
        <v>0</v>
      </c>
      <c r="CO73" s="4">
        <f t="shared" si="39"/>
        <v>0</v>
      </c>
      <c r="CP73" s="4">
        <f t="shared" si="40"/>
        <v>0</v>
      </c>
      <c r="CQ73" s="4">
        <f t="shared" si="41"/>
        <v>0</v>
      </c>
      <c r="CR73" s="4">
        <f t="shared" si="42"/>
        <v>0</v>
      </c>
      <c r="CS73" s="4">
        <f t="shared" si="43"/>
        <v>0</v>
      </c>
      <c r="CT73" s="4">
        <f t="shared" si="44"/>
        <v>0</v>
      </c>
      <c r="CU73" s="4">
        <f t="shared" si="45"/>
        <v>0</v>
      </c>
      <c r="CV73" s="4">
        <f t="shared" si="46"/>
        <v>0</v>
      </c>
      <c r="CW73" s="4">
        <f t="shared" si="47"/>
        <v>0</v>
      </c>
      <c r="CX73" s="4">
        <f t="shared" si="48"/>
        <v>0</v>
      </c>
      <c r="CY73" s="4">
        <f t="shared" si="49"/>
        <v>0</v>
      </c>
      <c r="CZ73" s="4">
        <f t="shared" si="50"/>
        <v>0</v>
      </c>
      <c r="DA73" s="4">
        <f t="shared" si="51"/>
        <v>0</v>
      </c>
      <c r="DB73" s="4">
        <f t="shared" si="52"/>
        <v>0</v>
      </c>
      <c r="DC73" s="4">
        <f t="shared" si="53"/>
        <v>0</v>
      </c>
      <c r="DD73" s="4">
        <f t="shared" si="54"/>
        <v>0</v>
      </c>
    </row>
    <row r="74" spans="1:108" x14ac:dyDescent="0.25">
      <c r="A74" s="41">
        <f>Skills!M56</f>
        <v>0</v>
      </c>
      <c r="B74" s="55" t="str">
        <f>Skills!N56</f>
        <v>Substance Tolerance Sub-category</v>
      </c>
      <c r="C74" s="22">
        <f t="shared" si="55"/>
        <v>0</v>
      </c>
      <c r="D74" s="112" t="str">
        <f>Skills!S56</f>
        <v>- -</v>
      </c>
      <c r="E74" s="113" t="s">
        <v>782</v>
      </c>
      <c r="F74" s="19"/>
      <c r="G74" s="19"/>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56"/>
      <c r="BF74" s="4">
        <f t="shared" si="5"/>
        <v>0</v>
      </c>
      <c r="BG74" s="4">
        <f t="shared" si="5"/>
        <v>0</v>
      </c>
      <c r="BH74" s="4">
        <f t="shared" si="6"/>
        <v>0</v>
      </c>
      <c r="BI74" s="4">
        <f t="shared" si="7"/>
        <v>0</v>
      </c>
      <c r="BJ74" s="4">
        <f t="shared" si="8"/>
        <v>0</v>
      </c>
      <c r="BK74" s="4">
        <f t="shared" si="9"/>
        <v>0</v>
      </c>
      <c r="BL74" s="4">
        <f t="shared" si="10"/>
        <v>0</v>
      </c>
      <c r="BM74" s="4">
        <f t="shared" si="11"/>
        <v>0</v>
      </c>
      <c r="BN74" s="4">
        <f t="shared" si="12"/>
        <v>0</v>
      </c>
      <c r="BO74" s="4">
        <f t="shared" si="13"/>
        <v>0</v>
      </c>
      <c r="BP74" s="4">
        <f t="shared" si="14"/>
        <v>0</v>
      </c>
      <c r="BQ74" s="4">
        <f t="shared" si="15"/>
        <v>0</v>
      </c>
      <c r="BR74" s="4">
        <f t="shared" si="16"/>
        <v>0</v>
      </c>
      <c r="BS74" s="4">
        <f t="shared" si="17"/>
        <v>0</v>
      </c>
      <c r="BT74" s="4">
        <f t="shared" si="18"/>
        <v>0</v>
      </c>
      <c r="BU74" s="4">
        <f t="shared" si="19"/>
        <v>0</v>
      </c>
      <c r="BV74" s="4">
        <f t="shared" si="20"/>
        <v>0</v>
      </c>
      <c r="BW74" s="4">
        <f t="shared" si="21"/>
        <v>0</v>
      </c>
      <c r="BX74" s="4">
        <f t="shared" si="22"/>
        <v>0</v>
      </c>
      <c r="BY74" s="4">
        <f t="shared" si="23"/>
        <v>0</v>
      </c>
      <c r="BZ74" s="4">
        <f t="shared" si="24"/>
        <v>0</v>
      </c>
      <c r="CA74" s="4">
        <f t="shared" si="25"/>
        <v>0</v>
      </c>
      <c r="CB74" s="4">
        <f t="shared" si="26"/>
        <v>0</v>
      </c>
      <c r="CC74" s="4">
        <f t="shared" si="27"/>
        <v>0</v>
      </c>
      <c r="CD74" s="4">
        <f t="shared" si="28"/>
        <v>0</v>
      </c>
      <c r="CE74" s="4">
        <f t="shared" si="29"/>
        <v>0</v>
      </c>
      <c r="CF74" s="4">
        <f t="shared" si="30"/>
        <v>0</v>
      </c>
      <c r="CG74" s="4">
        <f t="shared" si="31"/>
        <v>0</v>
      </c>
      <c r="CH74" s="4">
        <f t="shared" si="32"/>
        <v>0</v>
      </c>
      <c r="CI74" s="4">
        <f t="shared" si="33"/>
        <v>0</v>
      </c>
      <c r="CJ74" s="4">
        <f t="shared" si="34"/>
        <v>0</v>
      </c>
      <c r="CK74" s="4">
        <f t="shared" si="35"/>
        <v>0</v>
      </c>
      <c r="CL74" s="4">
        <f t="shared" si="36"/>
        <v>0</v>
      </c>
      <c r="CM74" s="4">
        <f t="shared" si="37"/>
        <v>0</v>
      </c>
      <c r="CN74" s="4">
        <f t="shared" si="38"/>
        <v>0</v>
      </c>
      <c r="CO74" s="4">
        <f t="shared" si="39"/>
        <v>0</v>
      </c>
      <c r="CP74" s="4">
        <f t="shared" si="40"/>
        <v>0</v>
      </c>
      <c r="CQ74" s="4">
        <f t="shared" si="41"/>
        <v>0</v>
      </c>
      <c r="CR74" s="4">
        <f t="shared" si="42"/>
        <v>0</v>
      </c>
      <c r="CS74" s="4">
        <f t="shared" si="43"/>
        <v>0</v>
      </c>
      <c r="CT74" s="4">
        <f t="shared" si="44"/>
        <v>0</v>
      </c>
      <c r="CU74" s="4">
        <f t="shared" si="45"/>
        <v>0</v>
      </c>
      <c r="CV74" s="4">
        <f t="shared" si="46"/>
        <v>0</v>
      </c>
      <c r="CW74" s="4">
        <f t="shared" si="47"/>
        <v>0</v>
      </c>
      <c r="CX74" s="4">
        <f t="shared" si="48"/>
        <v>0</v>
      </c>
      <c r="CY74" s="4">
        <f t="shared" si="49"/>
        <v>0</v>
      </c>
      <c r="CZ74" s="4">
        <f t="shared" si="50"/>
        <v>0</v>
      </c>
      <c r="DA74" s="4">
        <f t="shared" si="51"/>
        <v>0</v>
      </c>
      <c r="DB74" s="4">
        <f t="shared" si="52"/>
        <v>0</v>
      </c>
      <c r="DC74" s="4">
        <f t="shared" si="53"/>
        <v>0</v>
      </c>
      <c r="DD74" s="4">
        <f t="shared" si="54"/>
        <v>0</v>
      </c>
    </row>
    <row r="75" spans="1:108" x14ac:dyDescent="0.25">
      <c r="A75" s="41">
        <f>Skills!M57</f>
        <v>0</v>
      </c>
      <c r="B75" s="57" t="str">
        <f>Skills!N57</f>
        <v>Substance Tolerance Skills</v>
      </c>
      <c r="C75" s="24">
        <f t="shared" si="55"/>
        <v>0</v>
      </c>
      <c r="D75" s="110" t="str">
        <f>Skills!S57</f>
        <v>- -</v>
      </c>
      <c r="E75" s="111" t="s">
        <v>782</v>
      </c>
      <c r="F75" s="18"/>
      <c r="G75" s="18"/>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49"/>
      <c r="BF75" s="4">
        <f t="shared" si="5"/>
        <v>0</v>
      </c>
      <c r="BG75" s="4">
        <f t="shared" si="5"/>
        <v>0</v>
      </c>
      <c r="BH75" s="4">
        <f t="shared" si="6"/>
        <v>0</v>
      </c>
      <c r="BI75" s="4">
        <f t="shared" si="7"/>
        <v>0</v>
      </c>
      <c r="BJ75" s="4">
        <f t="shared" si="8"/>
        <v>0</v>
      </c>
      <c r="BK75" s="4">
        <f t="shared" si="9"/>
        <v>0</v>
      </c>
      <c r="BL75" s="4">
        <f t="shared" si="10"/>
        <v>0</v>
      </c>
      <c r="BM75" s="4">
        <f t="shared" si="11"/>
        <v>0</v>
      </c>
      <c r="BN75" s="4">
        <f t="shared" si="12"/>
        <v>0</v>
      </c>
      <c r="BO75" s="4">
        <f t="shared" si="13"/>
        <v>0</v>
      </c>
      <c r="BP75" s="4">
        <f t="shared" si="14"/>
        <v>0</v>
      </c>
      <c r="BQ75" s="4">
        <f t="shared" si="15"/>
        <v>0</v>
      </c>
      <c r="BR75" s="4">
        <f t="shared" si="16"/>
        <v>0</v>
      </c>
      <c r="BS75" s="4">
        <f t="shared" si="17"/>
        <v>0</v>
      </c>
      <c r="BT75" s="4">
        <f t="shared" si="18"/>
        <v>0</v>
      </c>
      <c r="BU75" s="4">
        <f t="shared" si="19"/>
        <v>0</v>
      </c>
      <c r="BV75" s="4">
        <f t="shared" si="20"/>
        <v>0</v>
      </c>
      <c r="BW75" s="4">
        <f t="shared" si="21"/>
        <v>0</v>
      </c>
      <c r="BX75" s="4">
        <f t="shared" si="22"/>
        <v>0</v>
      </c>
      <c r="BY75" s="4">
        <f t="shared" si="23"/>
        <v>0</v>
      </c>
      <c r="BZ75" s="4">
        <f t="shared" si="24"/>
        <v>0</v>
      </c>
      <c r="CA75" s="4">
        <f t="shared" si="25"/>
        <v>0</v>
      </c>
      <c r="CB75" s="4">
        <f t="shared" si="26"/>
        <v>0</v>
      </c>
      <c r="CC75" s="4">
        <f t="shared" si="27"/>
        <v>0</v>
      </c>
      <c r="CD75" s="4">
        <f t="shared" si="28"/>
        <v>0</v>
      </c>
      <c r="CE75" s="4">
        <f t="shared" si="29"/>
        <v>0</v>
      </c>
      <c r="CF75" s="4">
        <f t="shared" si="30"/>
        <v>0</v>
      </c>
      <c r="CG75" s="4">
        <f t="shared" si="31"/>
        <v>0</v>
      </c>
      <c r="CH75" s="4">
        <f t="shared" si="32"/>
        <v>0</v>
      </c>
      <c r="CI75" s="4">
        <f t="shared" si="33"/>
        <v>0</v>
      </c>
      <c r="CJ75" s="4">
        <f t="shared" si="34"/>
        <v>0</v>
      </c>
      <c r="CK75" s="4">
        <f t="shared" si="35"/>
        <v>0</v>
      </c>
      <c r="CL75" s="4">
        <f t="shared" si="36"/>
        <v>0</v>
      </c>
      <c r="CM75" s="4">
        <f t="shared" si="37"/>
        <v>0</v>
      </c>
      <c r="CN75" s="4">
        <f t="shared" si="38"/>
        <v>0</v>
      </c>
      <c r="CO75" s="4">
        <f t="shared" si="39"/>
        <v>0</v>
      </c>
      <c r="CP75" s="4">
        <f t="shared" si="40"/>
        <v>0</v>
      </c>
      <c r="CQ75" s="4">
        <f t="shared" si="41"/>
        <v>0</v>
      </c>
      <c r="CR75" s="4">
        <f t="shared" si="42"/>
        <v>0</v>
      </c>
      <c r="CS75" s="4">
        <f t="shared" si="43"/>
        <v>0</v>
      </c>
      <c r="CT75" s="4">
        <f t="shared" si="44"/>
        <v>0</v>
      </c>
      <c r="CU75" s="4">
        <f t="shared" si="45"/>
        <v>0</v>
      </c>
      <c r="CV75" s="4">
        <f t="shared" si="46"/>
        <v>0</v>
      </c>
      <c r="CW75" s="4">
        <f t="shared" si="47"/>
        <v>0</v>
      </c>
      <c r="CX75" s="4">
        <f t="shared" si="48"/>
        <v>0</v>
      </c>
      <c r="CY75" s="4">
        <f t="shared" si="49"/>
        <v>0</v>
      </c>
      <c r="CZ75" s="4">
        <f t="shared" si="50"/>
        <v>0</v>
      </c>
      <c r="DA75" s="4">
        <f t="shared" si="51"/>
        <v>0</v>
      </c>
      <c r="DB75" s="4">
        <f t="shared" si="52"/>
        <v>0</v>
      </c>
      <c r="DC75" s="4">
        <f t="shared" si="53"/>
        <v>0</v>
      </c>
      <c r="DD75" s="4">
        <f t="shared" si="54"/>
        <v>0</v>
      </c>
    </row>
    <row r="76" spans="1:108" x14ac:dyDescent="0.25">
      <c r="A76" s="41" t="str">
        <f>Skills!M58</f>
        <v>Substance Tolerance, Alcohol</v>
      </c>
      <c r="B76" s="55" t="str">
        <f>Skills!N58</f>
        <v>Alcohol</v>
      </c>
      <c r="C76" s="22">
        <f t="shared" si="55"/>
        <v>0</v>
      </c>
      <c r="D76" s="112" t="e">
        <f>Skills!S58</f>
        <v>#N/A</v>
      </c>
      <c r="E76" s="113" t="e">
        <f>Profession!$B$26</f>
        <v>#REF!</v>
      </c>
      <c r="F76" s="19"/>
      <c r="G76" s="19"/>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56"/>
      <c r="BF76" s="4">
        <f t="shared" si="5"/>
        <v>0</v>
      </c>
      <c r="BG76" s="4">
        <f t="shared" si="5"/>
        <v>0</v>
      </c>
      <c r="BH76" s="4">
        <f t="shared" si="6"/>
        <v>0</v>
      </c>
      <c r="BI76" s="4">
        <f t="shared" si="7"/>
        <v>0</v>
      </c>
      <c r="BJ76" s="4">
        <f t="shared" si="8"/>
        <v>0</v>
      </c>
      <c r="BK76" s="4">
        <f t="shared" si="9"/>
        <v>0</v>
      </c>
      <c r="BL76" s="4">
        <f t="shared" si="10"/>
        <v>0</v>
      </c>
      <c r="BM76" s="4">
        <f t="shared" si="11"/>
        <v>0</v>
      </c>
      <c r="BN76" s="4">
        <f t="shared" si="12"/>
        <v>0</v>
      </c>
      <c r="BO76" s="4">
        <f t="shared" si="13"/>
        <v>0</v>
      </c>
      <c r="BP76" s="4">
        <f t="shared" si="14"/>
        <v>0</v>
      </c>
      <c r="BQ76" s="4">
        <f t="shared" si="15"/>
        <v>0</v>
      </c>
      <c r="BR76" s="4">
        <f t="shared" si="16"/>
        <v>0</v>
      </c>
      <c r="BS76" s="4">
        <f t="shared" si="17"/>
        <v>0</v>
      </c>
      <c r="BT76" s="4">
        <f t="shared" si="18"/>
        <v>0</v>
      </c>
      <c r="BU76" s="4">
        <f t="shared" si="19"/>
        <v>0</v>
      </c>
      <c r="BV76" s="4">
        <f t="shared" si="20"/>
        <v>0</v>
      </c>
      <c r="BW76" s="4">
        <f t="shared" si="21"/>
        <v>0</v>
      </c>
      <c r="BX76" s="4">
        <f t="shared" si="22"/>
        <v>0</v>
      </c>
      <c r="BY76" s="4">
        <f t="shared" si="23"/>
        <v>0</v>
      </c>
      <c r="BZ76" s="4">
        <f t="shared" si="24"/>
        <v>0</v>
      </c>
      <c r="CA76" s="4">
        <f t="shared" si="25"/>
        <v>0</v>
      </c>
      <c r="CB76" s="4">
        <f t="shared" si="26"/>
        <v>0</v>
      </c>
      <c r="CC76" s="4">
        <f t="shared" si="27"/>
        <v>0</v>
      </c>
      <c r="CD76" s="4">
        <f t="shared" si="28"/>
        <v>0</v>
      </c>
      <c r="CE76" s="4">
        <f t="shared" si="29"/>
        <v>0</v>
      </c>
      <c r="CF76" s="4">
        <f t="shared" si="30"/>
        <v>0</v>
      </c>
      <c r="CG76" s="4">
        <f t="shared" si="31"/>
        <v>0</v>
      </c>
      <c r="CH76" s="4">
        <f t="shared" si="32"/>
        <v>0</v>
      </c>
      <c r="CI76" s="4">
        <f t="shared" si="33"/>
        <v>0</v>
      </c>
      <c r="CJ76" s="4">
        <f t="shared" si="34"/>
        <v>0</v>
      </c>
      <c r="CK76" s="4">
        <f t="shared" si="35"/>
        <v>0</v>
      </c>
      <c r="CL76" s="4">
        <f t="shared" si="36"/>
        <v>0</v>
      </c>
      <c r="CM76" s="4">
        <f t="shared" si="37"/>
        <v>0</v>
      </c>
      <c r="CN76" s="4">
        <f t="shared" si="38"/>
        <v>0</v>
      </c>
      <c r="CO76" s="4">
        <f t="shared" si="39"/>
        <v>0</v>
      </c>
      <c r="CP76" s="4">
        <f t="shared" si="40"/>
        <v>0</v>
      </c>
      <c r="CQ76" s="4">
        <f t="shared" si="41"/>
        <v>0</v>
      </c>
      <c r="CR76" s="4">
        <f t="shared" si="42"/>
        <v>0</v>
      </c>
      <c r="CS76" s="4">
        <f t="shared" si="43"/>
        <v>0</v>
      </c>
      <c r="CT76" s="4">
        <f t="shared" si="44"/>
        <v>0</v>
      </c>
      <c r="CU76" s="4">
        <f t="shared" si="45"/>
        <v>0</v>
      </c>
      <c r="CV76" s="4">
        <f t="shared" si="46"/>
        <v>0</v>
      </c>
      <c r="CW76" s="4">
        <f t="shared" si="47"/>
        <v>0</v>
      </c>
      <c r="CX76" s="4">
        <f t="shared" si="48"/>
        <v>0</v>
      </c>
      <c r="CY76" s="4">
        <f t="shared" si="49"/>
        <v>0</v>
      </c>
      <c r="CZ76" s="4">
        <f t="shared" si="50"/>
        <v>0</v>
      </c>
      <c r="DA76" s="4">
        <f t="shared" si="51"/>
        <v>0</v>
      </c>
      <c r="DB76" s="4">
        <f t="shared" si="52"/>
        <v>0</v>
      </c>
      <c r="DC76" s="4">
        <f t="shared" si="53"/>
        <v>0</v>
      </c>
      <c r="DD76" s="4">
        <f t="shared" si="54"/>
        <v>0</v>
      </c>
    </row>
    <row r="77" spans="1:108" x14ac:dyDescent="0.25">
      <c r="A77" s="41" t="str">
        <f>Skills!M59</f>
        <v>Substance Tolerance, Drugs</v>
      </c>
      <c r="B77" s="57" t="str">
        <f>Skills!N59</f>
        <v>Drugs</v>
      </c>
      <c r="C77" s="24">
        <f t="shared" si="55"/>
        <v>0</v>
      </c>
      <c r="D77" s="110" t="e">
        <f>Skills!S59</f>
        <v>#N/A</v>
      </c>
      <c r="E77" s="111" t="e">
        <f>Profession!$B$26</f>
        <v>#REF!</v>
      </c>
      <c r="F77" s="18"/>
      <c r="G77" s="18"/>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49"/>
      <c r="BF77" s="4">
        <f t="shared" si="5"/>
        <v>0</v>
      </c>
      <c r="BG77" s="4">
        <f t="shared" si="5"/>
        <v>0</v>
      </c>
      <c r="BH77" s="4">
        <f t="shared" si="6"/>
        <v>0</v>
      </c>
      <c r="BI77" s="4">
        <f t="shared" si="7"/>
        <v>0</v>
      </c>
      <c r="BJ77" s="4">
        <f t="shared" si="8"/>
        <v>0</v>
      </c>
      <c r="BK77" s="4">
        <f t="shared" si="9"/>
        <v>0</v>
      </c>
      <c r="BL77" s="4">
        <f t="shared" si="10"/>
        <v>0</v>
      </c>
      <c r="BM77" s="4">
        <f t="shared" si="11"/>
        <v>0</v>
      </c>
      <c r="BN77" s="4">
        <f t="shared" si="12"/>
        <v>0</v>
      </c>
      <c r="BO77" s="4">
        <f t="shared" si="13"/>
        <v>0</v>
      </c>
      <c r="BP77" s="4">
        <f t="shared" si="14"/>
        <v>0</v>
      </c>
      <c r="BQ77" s="4">
        <f t="shared" si="15"/>
        <v>0</v>
      </c>
      <c r="BR77" s="4">
        <f t="shared" si="16"/>
        <v>0</v>
      </c>
      <c r="BS77" s="4">
        <f t="shared" si="17"/>
        <v>0</v>
      </c>
      <c r="BT77" s="4">
        <f t="shared" si="18"/>
        <v>0</v>
      </c>
      <c r="BU77" s="4">
        <f t="shared" si="19"/>
        <v>0</v>
      </c>
      <c r="BV77" s="4">
        <f t="shared" si="20"/>
        <v>0</v>
      </c>
      <c r="BW77" s="4">
        <f t="shared" si="21"/>
        <v>0</v>
      </c>
      <c r="BX77" s="4">
        <f t="shared" si="22"/>
        <v>0</v>
      </c>
      <c r="BY77" s="4">
        <f t="shared" si="23"/>
        <v>0</v>
      </c>
      <c r="BZ77" s="4">
        <f t="shared" si="24"/>
        <v>0</v>
      </c>
      <c r="CA77" s="4">
        <f t="shared" si="25"/>
        <v>0</v>
      </c>
      <c r="CB77" s="4">
        <f t="shared" si="26"/>
        <v>0</v>
      </c>
      <c r="CC77" s="4">
        <f t="shared" si="27"/>
        <v>0</v>
      </c>
      <c r="CD77" s="4">
        <f t="shared" si="28"/>
        <v>0</v>
      </c>
      <c r="CE77" s="4">
        <f t="shared" si="29"/>
        <v>0</v>
      </c>
      <c r="CF77" s="4">
        <f t="shared" si="30"/>
        <v>0</v>
      </c>
      <c r="CG77" s="4">
        <f t="shared" si="31"/>
        <v>0</v>
      </c>
      <c r="CH77" s="4">
        <f t="shared" si="32"/>
        <v>0</v>
      </c>
      <c r="CI77" s="4">
        <f t="shared" si="33"/>
        <v>0</v>
      </c>
      <c r="CJ77" s="4">
        <f t="shared" si="34"/>
        <v>0</v>
      </c>
      <c r="CK77" s="4">
        <f t="shared" si="35"/>
        <v>0</v>
      </c>
      <c r="CL77" s="4">
        <f t="shared" si="36"/>
        <v>0</v>
      </c>
      <c r="CM77" s="4">
        <f t="shared" si="37"/>
        <v>0</v>
      </c>
      <c r="CN77" s="4">
        <f t="shared" si="38"/>
        <v>0</v>
      </c>
      <c r="CO77" s="4">
        <f t="shared" si="39"/>
        <v>0</v>
      </c>
      <c r="CP77" s="4">
        <f t="shared" si="40"/>
        <v>0</v>
      </c>
      <c r="CQ77" s="4">
        <f t="shared" si="41"/>
        <v>0</v>
      </c>
      <c r="CR77" s="4">
        <f t="shared" si="42"/>
        <v>0</v>
      </c>
      <c r="CS77" s="4">
        <f t="shared" si="43"/>
        <v>0</v>
      </c>
      <c r="CT77" s="4">
        <f t="shared" si="44"/>
        <v>0</v>
      </c>
      <c r="CU77" s="4">
        <f t="shared" si="45"/>
        <v>0</v>
      </c>
      <c r="CV77" s="4">
        <f t="shared" si="46"/>
        <v>0</v>
      </c>
      <c r="CW77" s="4">
        <f t="shared" si="47"/>
        <v>0</v>
      </c>
      <c r="CX77" s="4">
        <f t="shared" si="48"/>
        <v>0</v>
      </c>
      <c r="CY77" s="4">
        <f t="shared" si="49"/>
        <v>0</v>
      </c>
      <c r="CZ77" s="4">
        <f t="shared" si="50"/>
        <v>0</v>
      </c>
      <c r="DA77" s="4">
        <f t="shared" si="51"/>
        <v>0</v>
      </c>
      <c r="DB77" s="4">
        <f t="shared" si="52"/>
        <v>0</v>
      </c>
      <c r="DC77" s="4">
        <f t="shared" si="53"/>
        <v>0</v>
      </c>
      <c r="DD77" s="4">
        <f t="shared" si="54"/>
        <v>0</v>
      </c>
    </row>
    <row r="78" spans="1:108" x14ac:dyDescent="0.25">
      <c r="A78" s="41" t="str">
        <f>Skills!M60</f>
        <v>Substance Tolerance, Tobacco</v>
      </c>
      <c r="B78" s="55" t="str">
        <f>Skills!N60</f>
        <v>Tobacco</v>
      </c>
      <c r="C78" s="22">
        <f t="shared" si="55"/>
        <v>0</v>
      </c>
      <c r="D78" s="112" t="e">
        <f>Skills!S60</f>
        <v>#N/A</v>
      </c>
      <c r="E78" s="113" t="e">
        <f>Profession!$B$26</f>
        <v>#REF!</v>
      </c>
      <c r="F78" s="19"/>
      <c r="G78" s="19"/>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56"/>
      <c r="BF78" s="4">
        <f t="shared" si="5"/>
        <v>0</v>
      </c>
      <c r="BG78" s="4">
        <f t="shared" si="5"/>
        <v>0</v>
      </c>
      <c r="BH78" s="4">
        <f t="shared" si="6"/>
        <v>0</v>
      </c>
      <c r="BI78" s="4">
        <f t="shared" si="7"/>
        <v>0</v>
      </c>
      <c r="BJ78" s="4">
        <f t="shared" si="8"/>
        <v>0</v>
      </c>
      <c r="BK78" s="4">
        <f t="shared" si="9"/>
        <v>0</v>
      </c>
      <c r="BL78" s="4">
        <f t="shared" si="10"/>
        <v>0</v>
      </c>
      <c r="BM78" s="4">
        <f t="shared" si="11"/>
        <v>0</v>
      </c>
      <c r="BN78" s="4">
        <f t="shared" si="12"/>
        <v>0</v>
      </c>
      <c r="BO78" s="4">
        <f t="shared" si="13"/>
        <v>0</v>
      </c>
      <c r="BP78" s="4">
        <f t="shared" si="14"/>
        <v>0</v>
      </c>
      <c r="BQ78" s="4">
        <f t="shared" si="15"/>
        <v>0</v>
      </c>
      <c r="BR78" s="4">
        <f t="shared" si="16"/>
        <v>0</v>
      </c>
      <c r="BS78" s="4">
        <f t="shared" si="17"/>
        <v>0</v>
      </c>
      <c r="BT78" s="4">
        <f t="shared" si="18"/>
        <v>0</v>
      </c>
      <c r="BU78" s="4">
        <f t="shared" si="19"/>
        <v>0</v>
      </c>
      <c r="BV78" s="4">
        <f t="shared" si="20"/>
        <v>0</v>
      </c>
      <c r="BW78" s="4">
        <f t="shared" si="21"/>
        <v>0</v>
      </c>
      <c r="BX78" s="4">
        <f t="shared" si="22"/>
        <v>0</v>
      </c>
      <c r="BY78" s="4">
        <f t="shared" si="23"/>
        <v>0</v>
      </c>
      <c r="BZ78" s="4">
        <f t="shared" si="24"/>
        <v>0</v>
      </c>
      <c r="CA78" s="4">
        <f t="shared" si="25"/>
        <v>0</v>
      </c>
      <c r="CB78" s="4">
        <f t="shared" si="26"/>
        <v>0</v>
      </c>
      <c r="CC78" s="4">
        <f t="shared" si="27"/>
        <v>0</v>
      </c>
      <c r="CD78" s="4">
        <f t="shared" si="28"/>
        <v>0</v>
      </c>
      <c r="CE78" s="4">
        <f t="shared" si="29"/>
        <v>0</v>
      </c>
      <c r="CF78" s="4">
        <f t="shared" si="30"/>
        <v>0</v>
      </c>
      <c r="CG78" s="4">
        <f t="shared" si="31"/>
        <v>0</v>
      </c>
      <c r="CH78" s="4">
        <f t="shared" si="32"/>
        <v>0</v>
      </c>
      <c r="CI78" s="4">
        <f t="shared" si="33"/>
        <v>0</v>
      </c>
      <c r="CJ78" s="4">
        <f t="shared" si="34"/>
        <v>0</v>
      </c>
      <c r="CK78" s="4">
        <f t="shared" si="35"/>
        <v>0</v>
      </c>
      <c r="CL78" s="4">
        <f t="shared" si="36"/>
        <v>0</v>
      </c>
      <c r="CM78" s="4">
        <f t="shared" si="37"/>
        <v>0</v>
      </c>
      <c r="CN78" s="4">
        <f t="shared" si="38"/>
        <v>0</v>
      </c>
      <c r="CO78" s="4">
        <f t="shared" si="39"/>
        <v>0</v>
      </c>
      <c r="CP78" s="4">
        <f t="shared" si="40"/>
        <v>0</v>
      </c>
      <c r="CQ78" s="4">
        <f t="shared" si="41"/>
        <v>0</v>
      </c>
      <c r="CR78" s="4">
        <f t="shared" si="42"/>
        <v>0</v>
      </c>
      <c r="CS78" s="4">
        <f t="shared" si="43"/>
        <v>0</v>
      </c>
      <c r="CT78" s="4">
        <f t="shared" si="44"/>
        <v>0</v>
      </c>
      <c r="CU78" s="4">
        <f t="shared" si="45"/>
        <v>0</v>
      </c>
      <c r="CV78" s="4">
        <f t="shared" si="46"/>
        <v>0</v>
      </c>
      <c r="CW78" s="4">
        <f t="shared" si="47"/>
        <v>0</v>
      </c>
      <c r="CX78" s="4">
        <f t="shared" si="48"/>
        <v>0</v>
      </c>
      <c r="CY78" s="4">
        <f t="shared" si="49"/>
        <v>0</v>
      </c>
      <c r="CZ78" s="4">
        <f t="shared" si="50"/>
        <v>0</v>
      </c>
      <c r="DA78" s="4">
        <f t="shared" si="51"/>
        <v>0</v>
      </c>
      <c r="DB78" s="4">
        <f t="shared" si="52"/>
        <v>0</v>
      </c>
      <c r="DC78" s="4">
        <f t="shared" si="53"/>
        <v>0</v>
      </c>
      <c r="DD78" s="4">
        <f t="shared" si="54"/>
        <v>0</v>
      </c>
    </row>
    <row r="79" spans="1:108" x14ac:dyDescent="0.25">
      <c r="A79" s="41">
        <f>Skills!M61</f>
        <v>0</v>
      </c>
      <c r="B79" s="57" t="str">
        <f>Skills!N61</f>
        <v>Combat Expertise Category</v>
      </c>
      <c r="C79" s="24">
        <f t="shared" si="55"/>
        <v>0</v>
      </c>
      <c r="D79" s="110" t="str">
        <f>Skills!S61</f>
        <v>- -</v>
      </c>
      <c r="E79" s="111" t="s">
        <v>782</v>
      </c>
      <c r="F79" s="18"/>
      <c r="G79" s="18"/>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49"/>
      <c r="BF79" s="4">
        <f t="shared" si="5"/>
        <v>0</v>
      </c>
      <c r="BG79" s="4">
        <f t="shared" si="5"/>
        <v>0</v>
      </c>
      <c r="BH79" s="4">
        <f t="shared" si="6"/>
        <v>0</v>
      </c>
      <c r="BI79" s="4">
        <f t="shared" si="7"/>
        <v>0</v>
      </c>
      <c r="BJ79" s="4">
        <f t="shared" si="8"/>
        <v>0</v>
      </c>
      <c r="BK79" s="4">
        <f t="shared" si="9"/>
        <v>0</v>
      </c>
      <c r="BL79" s="4">
        <f t="shared" si="10"/>
        <v>0</v>
      </c>
      <c r="BM79" s="4">
        <f t="shared" si="11"/>
        <v>0</v>
      </c>
      <c r="BN79" s="4">
        <f t="shared" si="12"/>
        <v>0</v>
      </c>
      <c r="BO79" s="4">
        <f t="shared" si="13"/>
        <v>0</v>
      </c>
      <c r="BP79" s="4">
        <f t="shared" si="14"/>
        <v>0</v>
      </c>
      <c r="BQ79" s="4">
        <f t="shared" si="15"/>
        <v>0</v>
      </c>
      <c r="BR79" s="4">
        <f t="shared" si="16"/>
        <v>0</v>
      </c>
      <c r="BS79" s="4">
        <f t="shared" si="17"/>
        <v>0</v>
      </c>
      <c r="BT79" s="4">
        <f t="shared" si="18"/>
        <v>0</v>
      </c>
      <c r="BU79" s="4">
        <f t="shared" si="19"/>
        <v>0</v>
      </c>
      <c r="BV79" s="4">
        <f t="shared" si="20"/>
        <v>0</v>
      </c>
      <c r="BW79" s="4">
        <f t="shared" si="21"/>
        <v>0</v>
      </c>
      <c r="BX79" s="4">
        <f t="shared" si="22"/>
        <v>0</v>
      </c>
      <c r="BY79" s="4">
        <f t="shared" si="23"/>
        <v>0</v>
      </c>
      <c r="BZ79" s="4">
        <f t="shared" si="24"/>
        <v>0</v>
      </c>
      <c r="CA79" s="4">
        <f t="shared" si="25"/>
        <v>0</v>
      </c>
      <c r="CB79" s="4">
        <f t="shared" si="26"/>
        <v>0</v>
      </c>
      <c r="CC79" s="4">
        <f t="shared" si="27"/>
        <v>0</v>
      </c>
      <c r="CD79" s="4">
        <f t="shared" si="28"/>
        <v>0</v>
      </c>
      <c r="CE79" s="4">
        <f t="shared" si="29"/>
        <v>0</v>
      </c>
      <c r="CF79" s="4">
        <f t="shared" si="30"/>
        <v>0</v>
      </c>
      <c r="CG79" s="4">
        <f t="shared" si="31"/>
        <v>0</v>
      </c>
      <c r="CH79" s="4">
        <f t="shared" si="32"/>
        <v>0</v>
      </c>
      <c r="CI79" s="4">
        <f t="shared" si="33"/>
        <v>0</v>
      </c>
      <c r="CJ79" s="4">
        <f t="shared" si="34"/>
        <v>0</v>
      </c>
      <c r="CK79" s="4">
        <f t="shared" si="35"/>
        <v>0</v>
      </c>
      <c r="CL79" s="4">
        <f t="shared" si="36"/>
        <v>0</v>
      </c>
      <c r="CM79" s="4">
        <f t="shared" si="37"/>
        <v>0</v>
      </c>
      <c r="CN79" s="4">
        <f t="shared" si="38"/>
        <v>0</v>
      </c>
      <c r="CO79" s="4">
        <f t="shared" si="39"/>
        <v>0</v>
      </c>
      <c r="CP79" s="4">
        <f t="shared" si="40"/>
        <v>0</v>
      </c>
      <c r="CQ79" s="4">
        <f t="shared" si="41"/>
        <v>0</v>
      </c>
      <c r="CR79" s="4">
        <f t="shared" si="42"/>
        <v>0</v>
      </c>
      <c r="CS79" s="4">
        <f t="shared" si="43"/>
        <v>0</v>
      </c>
      <c r="CT79" s="4">
        <f t="shared" si="44"/>
        <v>0</v>
      </c>
      <c r="CU79" s="4">
        <f t="shared" si="45"/>
        <v>0</v>
      </c>
      <c r="CV79" s="4">
        <f t="shared" si="46"/>
        <v>0</v>
      </c>
      <c r="CW79" s="4">
        <f t="shared" si="47"/>
        <v>0</v>
      </c>
      <c r="CX79" s="4">
        <f t="shared" si="48"/>
        <v>0</v>
      </c>
      <c r="CY79" s="4">
        <f t="shared" si="49"/>
        <v>0</v>
      </c>
      <c r="CZ79" s="4">
        <f t="shared" si="50"/>
        <v>0</v>
      </c>
      <c r="DA79" s="4">
        <f t="shared" si="51"/>
        <v>0</v>
      </c>
      <c r="DB79" s="4">
        <f t="shared" si="52"/>
        <v>0</v>
      </c>
      <c r="DC79" s="4">
        <f t="shared" si="53"/>
        <v>0</v>
      </c>
      <c r="DD79" s="4">
        <f t="shared" si="54"/>
        <v>0</v>
      </c>
    </row>
    <row r="80" spans="1:108" x14ac:dyDescent="0.25">
      <c r="A80" s="41">
        <f>Skills!M62</f>
        <v>0</v>
      </c>
      <c r="B80" s="55" t="str">
        <f>Skills!N62</f>
        <v>Combat Expertise Skills</v>
      </c>
      <c r="C80" s="22">
        <f t="shared" si="55"/>
        <v>0</v>
      </c>
      <c r="D80" s="112" t="str">
        <f>Skills!S62</f>
        <v>- -</v>
      </c>
      <c r="E80" s="113" t="s">
        <v>782</v>
      </c>
      <c r="F80" s="19"/>
      <c r="G80" s="19"/>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56"/>
      <c r="BF80" s="4">
        <f t="shared" si="5"/>
        <v>0</v>
      </c>
      <c r="BG80" s="4">
        <f t="shared" si="5"/>
        <v>0</v>
      </c>
      <c r="BH80" s="4">
        <f t="shared" si="6"/>
        <v>0</v>
      </c>
      <c r="BI80" s="4">
        <f t="shared" si="7"/>
        <v>0</v>
      </c>
      <c r="BJ80" s="4">
        <f t="shared" si="8"/>
        <v>0</v>
      </c>
      <c r="BK80" s="4">
        <f t="shared" si="9"/>
        <v>0</v>
      </c>
      <c r="BL80" s="4">
        <f t="shared" si="10"/>
        <v>0</v>
      </c>
      <c r="BM80" s="4">
        <f t="shared" si="11"/>
        <v>0</v>
      </c>
      <c r="BN80" s="4">
        <f t="shared" si="12"/>
        <v>0</v>
      </c>
      <c r="BO80" s="4">
        <f t="shared" si="13"/>
        <v>0</v>
      </c>
      <c r="BP80" s="4">
        <f t="shared" si="14"/>
        <v>0</v>
      </c>
      <c r="BQ80" s="4">
        <f t="shared" si="15"/>
        <v>0</v>
      </c>
      <c r="BR80" s="4">
        <f t="shared" si="16"/>
        <v>0</v>
      </c>
      <c r="BS80" s="4">
        <f t="shared" si="17"/>
        <v>0</v>
      </c>
      <c r="BT80" s="4">
        <f t="shared" si="18"/>
        <v>0</v>
      </c>
      <c r="BU80" s="4">
        <f t="shared" si="19"/>
        <v>0</v>
      </c>
      <c r="BV80" s="4">
        <f t="shared" si="20"/>
        <v>0</v>
      </c>
      <c r="BW80" s="4">
        <f t="shared" si="21"/>
        <v>0</v>
      </c>
      <c r="BX80" s="4">
        <f t="shared" si="22"/>
        <v>0</v>
      </c>
      <c r="BY80" s="4">
        <f t="shared" si="23"/>
        <v>0</v>
      </c>
      <c r="BZ80" s="4">
        <f t="shared" si="24"/>
        <v>0</v>
      </c>
      <c r="CA80" s="4">
        <f t="shared" si="25"/>
        <v>0</v>
      </c>
      <c r="CB80" s="4">
        <f t="shared" si="26"/>
        <v>0</v>
      </c>
      <c r="CC80" s="4">
        <f t="shared" si="27"/>
        <v>0</v>
      </c>
      <c r="CD80" s="4">
        <f t="shared" si="28"/>
        <v>0</v>
      </c>
      <c r="CE80" s="4">
        <f t="shared" si="29"/>
        <v>0</v>
      </c>
      <c r="CF80" s="4">
        <f t="shared" si="30"/>
        <v>0</v>
      </c>
      <c r="CG80" s="4">
        <f t="shared" si="31"/>
        <v>0</v>
      </c>
      <c r="CH80" s="4">
        <f t="shared" si="32"/>
        <v>0</v>
      </c>
      <c r="CI80" s="4">
        <f t="shared" si="33"/>
        <v>0</v>
      </c>
      <c r="CJ80" s="4">
        <f t="shared" si="34"/>
        <v>0</v>
      </c>
      <c r="CK80" s="4">
        <f t="shared" si="35"/>
        <v>0</v>
      </c>
      <c r="CL80" s="4">
        <f t="shared" si="36"/>
        <v>0</v>
      </c>
      <c r="CM80" s="4">
        <f t="shared" si="37"/>
        <v>0</v>
      </c>
      <c r="CN80" s="4">
        <f t="shared" si="38"/>
        <v>0</v>
      </c>
      <c r="CO80" s="4">
        <f t="shared" si="39"/>
        <v>0</v>
      </c>
      <c r="CP80" s="4">
        <f t="shared" si="40"/>
        <v>0</v>
      </c>
      <c r="CQ80" s="4">
        <f t="shared" si="41"/>
        <v>0</v>
      </c>
      <c r="CR80" s="4">
        <f t="shared" si="42"/>
        <v>0</v>
      </c>
      <c r="CS80" s="4">
        <f t="shared" si="43"/>
        <v>0</v>
      </c>
      <c r="CT80" s="4">
        <f t="shared" si="44"/>
        <v>0</v>
      </c>
      <c r="CU80" s="4">
        <f t="shared" si="45"/>
        <v>0</v>
      </c>
      <c r="CV80" s="4">
        <f t="shared" si="46"/>
        <v>0</v>
      </c>
      <c r="CW80" s="4">
        <f t="shared" si="47"/>
        <v>0</v>
      </c>
      <c r="CX80" s="4">
        <f t="shared" si="48"/>
        <v>0</v>
      </c>
      <c r="CY80" s="4">
        <f t="shared" si="49"/>
        <v>0</v>
      </c>
      <c r="CZ80" s="4">
        <f t="shared" si="50"/>
        <v>0</v>
      </c>
      <c r="DA80" s="4">
        <f t="shared" si="51"/>
        <v>0</v>
      </c>
      <c r="DB80" s="4">
        <f t="shared" si="52"/>
        <v>0</v>
      </c>
      <c r="DC80" s="4">
        <f t="shared" si="53"/>
        <v>0</v>
      </c>
      <c r="DD80" s="4">
        <f t="shared" si="54"/>
        <v>0</v>
      </c>
    </row>
    <row r="81" spans="1:108" x14ac:dyDescent="0.25">
      <c r="A81" s="41" t="str">
        <f>Skills!M63</f>
        <v>Blind Fighting</v>
      </c>
      <c r="B81" s="57" t="str">
        <f>Skills!N63</f>
        <v>Blind Fighting</v>
      </c>
      <c r="C81" s="24">
        <f t="shared" si="55"/>
        <v>0</v>
      </c>
      <c r="D81" s="110">
        <f>Skills!S63</f>
        <v>0</v>
      </c>
      <c r="E81" s="111" t="e">
        <f>Profession!$B$28</f>
        <v>#REF!</v>
      </c>
      <c r="F81" s="18"/>
      <c r="G81" s="18"/>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49"/>
      <c r="BF81" s="4">
        <f t="shared" si="5"/>
        <v>0</v>
      </c>
      <c r="BG81" s="4">
        <f t="shared" si="5"/>
        <v>0</v>
      </c>
      <c r="BH81" s="4">
        <f t="shared" si="6"/>
        <v>0</v>
      </c>
      <c r="BI81" s="4">
        <f t="shared" si="7"/>
        <v>0</v>
      </c>
      <c r="BJ81" s="4">
        <f t="shared" si="8"/>
        <v>0</v>
      </c>
      <c r="BK81" s="4">
        <f t="shared" si="9"/>
        <v>0</v>
      </c>
      <c r="BL81" s="4">
        <f t="shared" si="10"/>
        <v>0</v>
      </c>
      <c r="BM81" s="4">
        <f t="shared" si="11"/>
        <v>0</v>
      </c>
      <c r="BN81" s="4">
        <f t="shared" si="12"/>
        <v>0</v>
      </c>
      <c r="BO81" s="4">
        <f t="shared" si="13"/>
        <v>0</v>
      </c>
      <c r="BP81" s="4">
        <f t="shared" si="14"/>
        <v>0</v>
      </c>
      <c r="BQ81" s="4">
        <f t="shared" si="15"/>
        <v>0</v>
      </c>
      <c r="BR81" s="4">
        <f t="shared" si="16"/>
        <v>0</v>
      </c>
      <c r="BS81" s="4">
        <f t="shared" si="17"/>
        <v>0</v>
      </c>
      <c r="BT81" s="4">
        <f t="shared" si="18"/>
        <v>0</v>
      </c>
      <c r="BU81" s="4">
        <f t="shared" si="19"/>
        <v>0</v>
      </c>
      <c r="BV81" s="4">
        <f t="shared" si="20"/>
        <v>0</v>
      </c>
      <c r="BW81" s="4">
        <f t="shared" si="21"/>
        <v>0</v>
      </c>
      <c r="BX81" s="4">
        <f t="shared" si="22"/>
        <v>0</v>
      </c>
      <c r="BY81" s="4">
        <f t="shared" si="23"/>
        <v>0</v>
      </c>
      <c r="BZ81" s="4">
        <f t="shared" si="24"/>
        <v>0</v>
      </c>
      <c r="CA81" s="4">
        <f t="shared" si="25"/>
        <v>0</v>
      </c>
      <c r="CB81" s="4">
        <f t="shared" si="26"/>
        <v>0</v>
      </c>
      <c r="CC81" s="4">
        <f t="shared" si="27"/>
        <v>0</v>
      </c>
      <c r="CD81" s="4">
        <f t="shared" si="28"/>
        <v>0</v>
      </c>
      <c r="CE81" s="4">
        <f t="shared" si="29"/>
        <v>0</v>
      </c>
      <c r="CF81" s="4">
        <f t="shared" si="30"/>
        <v>0</v>
      </c>
      <c r="CG81" s="4">
        <f t="shared" si="31"/>
        <v>0</v>
      </c>
      <c r="CH81" s="4">
        <f t="shared" si="32"/>
        <v>0</v>
      </c>
      <c r="CI81" s="4">
        <f t="shared" si="33"/>
        <v>0</v>
      </c>
      <c r="CJ81" s="4">
        <f t="shared" si="34"/>
        <v>0</v>
      </c>
      <c r="CK81" s="4">
        <f t="shared" si="35"/>
        <v>0</v>
      </c>
      <c r="CL81" s="4">
        <f t="shared" si="36"/>
        <v>0</v>
      </c>
      <c r="CM81" s="4">
        <f t="shared" si="37"/>
        <v>0</v>
      </c>
      <c r="CN81" s="4">
        <f t="shared" si="38"/>
        <v>0</v>
      </c>
      <c r="CO81" s="4">
        <f t="shared" si="39"/>
        <v>0</v>
      </c>
      <c r="CP81" s="4">
        <f t="shared" si="40"/>
        <v>0</v>
      </c>
      <c r="CQ81" s="4">
        <f t="shared" si="41"/>
        <v>0</v>
      </c>
      <c r="CR81" s="4">
        <f t="shared" si="42"/>
        <v>0</v>
      </c>
      <c r="CS81" s="4">
        <f t="shared" si="43"/>
        <v>0</v>
      </c>
      <c r="CT81" s="4">
        <f t="shared" si="44"/>
        <v>0</v>
      </c>
      <c r="CU81" s="4">
        <f t="shared" si="45"/>
        <v>0</v>
      </c>
      <c r="CV81" s="4">
        <f t="shared" si="46"/>
        <v>0</v>
      </c>
      <c r="CW81" s="4">
        <f t="shared" si="47"/>
        <v>0</v>
      </c>
      <c r="CX81" s="4">
        <f t="shared" si="48"/>
        <v>0</v>
      </c>
      <c r="CY81" s="4">
        <f t="shared" si="49"/>
        <v>0</v>
      </c>
      <c r="CZ81" s="4">
        <f t="shared" si="50"/>
        <v>0</v>
      </c>
      <c r="DA81" s="4">
        <f t="shared" si="51"/>
        <v>0</v>
      </c>
      <c r="DB81" s="4">
        <f t="shared" si="52"/>
        <v>0</v>
      </c>
      <c r="DC81" s="4">
        <f t="shared" si="53"/>
        <v>0</v>
      </c>
      <c r="DD81" s="4">
        <f t="shared" si="54"/>
        <v>0</v>
      </c>
    </row>
    <row r="82" spans="1:108" x14ac:dyDescent="0.25">
      <c r="A82" s="41" t="str">
        <f>Skills!M64</f>
        <v>Disarm</v>
      </c>
      <c r="B82" s="55" t="str">
        <f>Skills!N64</f>
        <v>Disarm</v>
      </c>
      <c r="C82" s="22">
        <f t="shared" si="55"/>
        <v>0</v>
      </c>
      <c r="D82" s="112">
        <f>Skills!S64</f>
        <v>0</v>
      </c>
      <c r="E82" s="113" t="e">
        <f>Profession!$B$29</f>
        <v>#REF!</v>
      </c>
      <c r="F82" s="19"/>
      <c r="G82" s="19"/>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56"/>
      <c r="BF82" s="4">
        <f t="shared" si="5"/>
        <v>0</v>
      </c>
      <c r="BG82" s="4">
        <f t="shared" si="5"/>
        <v>0</v>
      </c>
      <c r="BH82" s="4">
        <f t="shared" si="6"/>
        <v>0</v>
      </c>
      <c r="BI82" s="4">
        <f t="shared" si="7"/>
        <v>0</v>
      </c>
      <c r="BJ82" s="4">
        <f t="shared" si="8"/>
        <v>0</v>
      </c>
      <c r="BK82" s="4">
        <f t="shared" si="9"/>
        <v>0</v>
      </c>
      <c r="BL82" s="4">
        <f t="shared" si="10"/>
        <v>0</v>
      </c>
      <c r="BM82" s="4">
        <f t="shared" si="11"/>
        <v>0</v>
      </c>
      <c r="BN82" s="4">
        <f t="shared" si="12"/>
        <v>0</v>
      </c>
      <c r="BO82" s="4">
        <f t="shared" si="13"/>
        <v>0</v>
      </c>
      <c r="BP82" s="4">
        <f t="shared" si="14"/>
        <v>0</v>
      </c>
      <c r="BQ82" s="4">
        <f t="shared" si="15"/>
        <v>0</v>
      </c>
      <c r="BR82" s="4">
        <f t="shared" si="16"/>
        <v>0</v>
      </c>
      <c r="BS82" s="4">
        <f t="shared" si="17"/>
        <v>0</v>
      </c>
      <c r="BT82" s="4">
        <f t="shared" si="18"/>
        <v>0</v>
      </c>
      <c r="BU82" s="4">
        <f t="shared" si="19"/>
        <v>0</v>
      </c>
      <c r="BV82" s="4">
        <f t="shared" si="20"/>
        <v>0</v>
      </c>
      <c r="BW82" s="4">
        <f t="shared" si="21"/>
        <v>0</v>
      </c>
      <c r="BX82" s="4">
        <f t="shared" si="22"/>
        <v>0</v>
      </c>
      <c r="BY82" s="4">
        <f t="shared" si="23"/>
        <v>0</v>
      </c>
      <c r="BZ82" s="4">
        <f t="shared" si="24"/>
        <v>0</v>
      </c>
      <c r="CA82" s="4">
        <f t="shared" si="25"/>
        <v>0</v>
      </c>
      <c r="CB82" s="4">
        <f t="shared" si="26"/>
        <v>0</v>
      </c>
      <c r="CC82" s="4">
        <f t="shared" si="27"/>
        <v>0</v>
      </c>
      <c r="CD82" s="4">
        <f t="shared" si="28"/>
        <v>0</v>
      </c>
      <c r="CE82" s="4">
        <f t="shared" si="29"/>
        <v>0</v>
      </c>
      <c r="CF82" s="4">
        <f t="shared" si="30"/>
        <v>0</v>
      </c>
      <c r="CG82" s="4">
        <f t="shared" si="31"/>
        <v>0</v>
      </c>
      <c r="CH82" s="4">
        <f t="shared" si="32"/>
        <v>0</v>
      </c>
      <c r="CI82" s="4">
        <f t="shared" si="33"/>
        <v>0</v>
      </c>
      <c r="CJ82" s="4">
        <f t="shared" si="34"/>
        <v>0</v>
      </c>
      <c r="CK82" s="4">
        <f t="shared" si="35"/>
        <v>0</v>
      </c>
      <c r="CL82" s="4">
        <f t="shared" si="36"/>
        <v>0</v>
      </c>
      <c r="CM82" s="4">
        <f t="shared" si="37"/>
        <v>0</v>
      </c>
      <c r="CN82" s="4">
        <f t="shared" si="38"/>
        <v>0</v>
      </c>
      <c r="CO82" s="4">
        <f t="shared" si="39"/>
        <v>0</v>
      </c>
      <c r="CP82" s="4">
        <f t="shared" si="40"/>
        <v>0</v>
      </c>
      <c r="CQ82" s="4">
        <f t="shared" si="41"/>
        <v>0</v>
      </c>
      <c r="CR82" s="4">
        <f t="shared" si="42"/>
        <v>0</v>
      </c>
      <c r="CS82" s="4">
        <f t="shared" si="43"/>
        <v>0</v>
      </c>
      <c r="CT82" s="4">
        <f t="shared" si="44"/>
        <v>0</v>
      </c>
      <c r="CU82" s="4">
        <f t="shared" si="45"/>
        <v>0</v>
      </c>
      <c r="CV82" s="4">
        <f t="shared" si="46"/>
        <v>0</v>
      </c>
      <c r="CW82" s="4">
        <f t="shared" si="47"/>
        <v>0</v>
      </c>
      <c r="CX82" s="4">
        <f t="shared" si="48"/>
        <v>0</v>
      </c>
      <c r="CY82" s="4">
        <f t="shared" si="49"/>
        <v>0</v>
      </c>
      <c r="CZ82" s="4">
        <f t="shared" si="50"/>
        <v>0</v>
      </c>
      <c r="DA82" s="4">
        <f t="shared" si="51"/>
        <v>0</v>
      </c>
      <c r="DB82" s="4">
        <f t="shared" si="52"/>
        <v>0</v>
      </c>
      <c r="DC82" s="4">
        <f t="shared" si="53"/>
        <v>0</v>
      </c>
      <c r="DD82" s="4">
        <f t="shared" si="54"/>
        <v>0</v>
      </c>
    </row>
    <row r="83" spans="1:108" x14ac:dyDescent="0.25">
      <c r="A83" s="41" t="str">
        <f>Skills!M65</f>
        <v>Footwork</v>
      </c>
      <c r="B83" s="57" t="str">
        <f>Skills!N65</f>
        <v>Footwork</v>
      </c>
      <c r="C83" s="24">
        <f t="shared" si="55"/>
        <v>0</v>
      </c>
      <c r="D83" s="110">
        <f>Skills!S65</f>
        <v>0</v>
      </c>
      <c r="E83" s="111" t="e">
        <f>Profession!$B$30</f>
        <v>#REF!</v>
      </c>
      <c r="F83" s="18"/>
      <c r="G83" s="18"/>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49"/>
      <c r="BF83" s="4">
        <f t="shared" si="5"/>
        <v>0</v>
      </c>
      <c r="BG83" s="4">
        <f t="shared" si="5"/>
        <v>0</v>
      </c>
      <c r="BH83" s="4">
        <f t="shared" si="6"/>
        <v>0</v>
      </c>
      <c r="BI83" s="4">
        <f t="shared" si="7"/>
        <v>0</v>
      </c>
      <c r="BJ83" s="4">
        <f t="shared" si="8"/>
        <v>0</v>
      </c>
      <c r="BK83" s="4">
        <f t="shared" si="9"/>
        <v>0</v>
      </c>
      <c r="BL83" s="4">
        <f t="shared" si="10"/>
        <v>0</v>
      </c>
      <c r="BM83" s="4">
        <f t="shared" si="11"/>
        <v>0</v>
      </c>
      <c r="BN83" s="4">
        <f t="shared" si="12"/>
        <v>0</v>
      </c>
      <c r="BO83" s="4">
        <f t="shared" si="13"/>
        <v>0</v>
      </c>
      <c r="BP83" s="4">
        <f t="shared" si="14"/>
        <v>0</v>
      </c>
      <c r="BQ83" s="4">
        <f t="shared" si="15"/>
        <v>0</v>
      </c>
      <c r="BR83" s="4">
        <f t="shared" si="16"/>
        <v>0</v>
      </c>
      <c r="BS83" s="4">
        <f t="shared" si="17"/>
        <v>0</v>
      </c>
      <c r="BT83" s="4">
        <f t="shared" si="18"/>
        <v>0</v>
      </c>
      <c r="BU83" s="4">
        <f t="shared" si="19"/>
        <v>0</v>
      </c>
      <c r="BV83" s="4">
        <f t="shared" si="20"/>
        <v>0</v>
      </c>
      <c r="BW83" s="4">
        <f t="shared" si="21"/>
        <v>0</v>
      </c>
      <c r="BX83" s="4">
        <f t="shared" si="22"/>
        <v>0</v>
      </c>
      <c r="BY83" s="4">
        <f t="shared" si="23"/>
        <v>0</v>
      </c>
      <c r="BZ83" s="4">
        <f t="shared" si="24"/>
        <v>0</v>
      </c>
      <c r="CA83" s="4">
        <f t="shared" si="25"/>
        <v>0</v>
      </c>
      <c r="CB83" s="4">
        <f t="shared" si="26"/>
        <v>0</v>
      </c>
      <c r="CC83" s="4">
        <f t="shared" si="27"/>
        <v>0</v>
      </c>
      <c r="CD83" s="4">
        <f t="shared" si="28"/>
        <v>0</v>
      </c>
      <c r="CE83" s="4">
        <f t="shared" si="29"/>
        <v>0</v>
      </c>
      <c r="CF83" s="4">
        <f t="shared" si="30"/>
        <v>0</v>
      </c>
      <c r="CG83" s="4">
        <f t="shared" si="31"/>
        <v>0</v>
      </c>
      <c r="CH83" s="4">
        <f t="shared" si="32"/>
        <v>0</v>
      </c>
      <c r="CI83" s="4">
        <f t="shared" si="33"/>
        <v>0</v>
      </c>
      <c r="CJ83" s="4">
        <f t="shared" si="34"/>
        <v>0</v>
      </c>
      <c r="CK83" s="4">
        <f t="shared" si="35"/>
        <v>0</v>
      </c>
      <c r="CL83" s="4">
        <f t="shared" si="36"/>
        <v>0</v>
      </c>
      <c r="CM83" s="4">
        <f t="shared" si="37"/>
        <v>0</v>
      </c>
      <c r="CN83" s="4">
        <f t="shared" si="38"/>
        <v>0</v>
      </c>
      <c r="CO83" s="4">
        <f t="shared" si="39"/>
        <v>0</v>
      </c>
      <c r="CP83" s="4">
        <f t="shared" si="40"/>
        <v>0</v>
      </c>
      <c r="CQ83" s="4">
        <f t="shared" si="41"/>
        <v>0</v>
      </c>
      <c r="CR83" s="4">
        <f t="shared" si="42"/>
        <v>0</v>
      </c>
      <c r="CS83" s="4">
        <f t="shared" si="43"/>
        <v>0</v>
      </c>
      <c r="CT83" s="4">
        <f t="shared" si="44"/>
        <v>0</v>
      </c>
      <c r="CU83" s="4">
        <f t="shared" si="45"/>
        <v>0</v>
      </c>
      <c r="CV83" s="4">
        <f t="shared" si="46"/>
        <v>0</v>
      </c>
      <c r="CW83" s="4">
        <f t="shared" si="47"/>
        <v>0</v>
      </c>
      <c r="CX83" s="4">
        <f t="shared" si="48"/>
        <v>0</v>
      </c>
      <c r="CY83" s="4">
        <f t="shared" si="49"/>
        <v>0</v>
      </c>
      <c r="CZ83" s="4">
        <f t="shared" si="50"/>
        <v>0</v>
      </c>
      <c r="DA83" s="4">
        <f t="shared" si="51"/>
        <v>0</v>
      </c>
      <c r="DB83" s="4">
        <f t="shared" si="52"/>
        <v>0</v>
      </c>
      <c r="DC83" s="4">
        <f t="shared" si="53"/>
        <v>0</v>
      </c>
      <c r="DD83" s="4">
        <f t="shared" si="54"/>
        <v>0</v>
      </c>
    </row>
    <row r="84" spans="1:108" x14ac:dyDescent="0.25">
      <c r="A84" s="41" t="str">
        <f>Skills!M66</f>
        <v>Multiple Attacks</v>
      </c>
      <c r="B84" s="55" t="str">
        <f>Skills!N66</f>
        <v>Multiple Attacks</v>
      </c>
      <c r="C84" s="22">
        <f t="shared" si="55"/>
        <v>0</v>
      </c>
      <c r="D84" s="112">
        <f>Skills!S66</f>
        <v>0</v>
      </c>
      <c r="E84" s="113" t="e">
        <f>Profession!$B$31</f>
        <v>#REF!</v>
      </c>
      <c r="F84" s="19"/>
      <c r="G84" s="19"/>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56"/>
      <c r="BF84" s="4">
        <f t="shared" ref="BF84:BG147" si="56">IF(F84=1,(LEFT($E84,2))*1,IF(F84=2,((LEFT($E84,2))+(MID($E84,FIND("/",$E84)+2,2))),IF(F84=3,((LEFT($E84,2))+(MID($E84,FIND("/",$E84)+2,2))+(RIGHT($E84,2))),0)))</f>
        <v>0</v>
      </c>
      <c r="BG84" s="4">
        <f t="shared" si="56"/>
        <v>0</v>
      </c>
      <c r="BH84" s="4">
        <f t="shared" ref="BH84:BH147" si="57">IF(H84=1,(LEFT($E84,2))*1,IF(H84=2,((LEFT($E84,2))+(MID($E84,FIND("/",$E84)+2,2))),IF(H84=3,((LEFT($E84,2))+(MID($E84,FIND("/",$E84)+2,2))+(RIGHT($E84,2))),0)))</f>
        <v>0</v>
      </c>
      <c r="BI84" s="4">
        <f t="shared" ref="BI84:BI147" si="58">IF(I84=1,(LEFT($E84,2))*1,IF(I84=2,((LEFT($E84,2))+(MID($E84,FIND("/",$E84)+2,2))),IF(I84=3,((LEFT($E84,2))+(MID($E84,FIND("/",$E84)+2,2))+(RIGHT($E84,2))),0)))</f>
        <v>0</v>
      </c>
      <c r="BJ84" s="4">
        <f t="shared" ref="BJ84:BJ147" si="59">IF(J84=1,(LEFT($E84,2))*1,IF(J84=2,((LEFT($E84,2))+(MID($E84,FIND("/",$E84)+2,2))),IF(J84=3,((LEFT($E84,2))+(MID($E84,FIND("/",$E84)+2,2))+(RIGHT($E84,2))),0)))</f>
        <v>0</v>
      </c>
      <c r="BK84" s="4">
        <f t="shared" ref="BK84:BK147" si="60">IF(K84=1,(LEFT($E84,2))*1,IF(K84=2,((LEFT($E84,2))+(MID($E84,FIND("/",$E84)+2,2))),IF(K84=3,((LEFT($E84,2))+(MID($E84,FIND("/",$E84)+2,2))+(RIGHT($E84,2))),0)))</f>
        <v>0</v>
      </c>
      <c r="BL84" s="4">
        <f t="shared" ref="BL84:BL147" si="61">IF(L84=1,(LEFT($E84,2))*1,IF(L84=2,((LEFT($E84,2))+(MID($E84,FIND("/",$E84)+2,2))),IF(L84=3,((LEFT($E84,2))+(MID($E84,FIND("/",$E84)+2,2))+(RIGHT($E84,2))),0)))</f>
        <v>0</v>
      </c>
      <c r="BM84" s="4">
        <f t="shared" ref="BM84:BM147" si="62">IF(M84=1,(LEFT($E84,2))*1,IF(M84=2,((LEFT($E84,2))+(MID($E84,FIND("/",$E84)+2,2))),IF(M84=3,((LEFT($E84,2))+(MID($E84,FIND("/",$E84)+2,2))+(RIGHT($E84,2))),0)))</f>
        <v>0</v>
      </c>
      <c r="BN84" s="4">
        <f t="shared" ref="BN84:BN147" si="63">IF(N84=1,(LEFT($E84,2))*1,IF(N84=2,((LEFT($E84,2))+(MID($E84,FIND("/",$E84)+2,2))),IF(N84=3,((LEFT($E84,2))+(MID($E84,FIND("/",$E84)+2,2))+(RIGHT($E84,2))),0)))</f>
        <v>0</v>
      </c>
      <c r="BO84" s="4">
        <f t="shared" ref="BO84:BO147" si="64">IF(O84=1,(LEFT($E84,2))*1,IF(O84=2,((LEFT($E84,2))+(MID($E84,FIND("/",$E84)+2,2))),IF(O84=3,((LEFT($E84,2))+(MID($E84,FIND("/",$E84)+2,2))+(RIGHT($E84,2))),0)))</f>
        <v>0</v>
      </c>
      <c r="BP84" s="4">
        <f t="shared" ref="BP84:BP147" si="65">IF(P84=1,(LEFT($E84,2))*1,IF(P84=2,((LEFT($E84,2))+(MID($E84,FIND("/",$E84)+2,2))),IF(P84=3,((LEFT($E84,2))+(MID($E84,FIND("/",$E84)+2,2))+(RIGHT($E84,2))),0)))</f>
        <v>0</v>
      </c>
      <c r="BQ84" s="4">
        <f t="shared" ref="BQ84:BQ147" si="66">IF(Q84=1,(LEFT($E84,2))*1,IF(Q84=2,((LEFT($E84,2))+(MID($E84,FIND("/",$E84)+2,2))),IF(Q84=3,((LEFT($E84,2))+(MID($E84,FIND("/",$E84)+2,2))+(RIGHT($E84,2))),0)))</f>
        <v>0</v>
      </c>
      <c r="BR84" s="4">
        <f t="shared" ref="BR84:BR147" si="67">IF(R84=1,(LEFT($E84,2))*1,IF(R84=2,((LEFT($E84,2))+(MID($E84,FIND("/",$E84)+2,2))),IF(R84=3,((LEFT($E84,2))+(MID($E84,FIND("/",$E84)+2,2))+(RIGHT($E84,2))),0)))</f>
        <v>0</v>
      </c>
      <c r="BS84" s="4">
        <f t="shared" ref="BS84:BS147" si="68">IF(S84=1,(LEFT($E84,2))*1,IF(S84=2,((LEFT($E84,2))+(MID($E84,FIND("/",$E84)+2,2))),IF(S84=3,((LEFT($E84,2))+(MID($E84,FIND("/",$E84)+2,2))+(RIGHT($E84,2))),0)))</f>
        <v>0</v>
      </c>
      <c r="BT84" s="4">
        <f t="shared" ref="BT84:BT147" si="69">IF(T84=1,(LEFT($E84,2))*1,IF(T84=2,((LEFT($E84,2))+(MID($E84,FIND("/",$E84)+2,2))),IF(T84=3,((LEFT($E84,2))+(MID($E84,FIND("/",$E84)+2,2))+(RIGHT($E84,2))),0)))</f>
        <v>0</v>
      </c>
      <c r="BU84" s="4">
        <f t="shared" ref="BU84:BU147" si="70">IF(U84=1,(LEFT($E84,2))*1,IF(U84=2,((LEFT($E84,2))+(MID($E84,FIND("/",$E84)+2,2))),IF(U84=3,((LEFT($E84,2))+(MID($E84,FIND("/",$E84)+2,2))+(RIGHT($E84,2))),0)))</f>
        <v>0</v>
      </c>
      <c r="BV84" s="4">
        <f t="shared" ref="BV84:BV147" si="71">IF(V84=1,(LEFT($E84,2))*1,IF(V84=2,((LEFT($E84,2))+(MID($E84,FIND("/",$E84)+2,2))),IF(V84=3,((LEFT($E84,2))+(MID($E84,FIND("/",$E84)+2,2))+(RIGHT($E84,2))),0)))</f>
        <v>0</v>
      </c>
      <c r="BW84" s="4">
        <f t="shared" ref="BW84:BW147" si="72">IF(W84=1,(LEFT($E84,2))*1,IF(W84=2,((LEFT($E84,2))+(MID($E84,FIND("/",$E84)+2,2))),IF(W84=3,((LEFT($E84,2))+(MID($E84,FIND("/",$E84)+2,2))+(RIGHT($E84,2))),0)))</f>
        <v>0</v>
      </c>
      <c r="BX84" s="4">
        <f t="shared" ref="BX84:BX147" si="73">IF(X84=1,(LEFT($E84,2))*1,IF(X84=2,((LEFT($E84,2))+(MID($E84,FIND("/",$E84)+2,2))),IF(X84=3,((LEFT($E84,2))+(MID($E84,FIND("/",$E84)+2,2))+(RIGHT($E84,2))),0)))</f>
        <v>0</v>
      </c>
      <c r="BY84" s="4">
        <f t="shared" ref="BY84:BY147" si="74">IF(Y84=1,(LEFT($E84,2))*1,IF(Y84=2,((LEFT($E84,2))+(MID($E84,FIND("/",$E84)+2,2))),IF(Y84=3,((LEFT($E84,2))+(MID($E84,FIND("/",$E84)+2,2))+(RIGHT($E84,2))),0)))</f>
        <v>0</v>
      </c>
      <c r="BZ84" s="4">
        <f t="shared" ref="BZ84:BZ147" si="75">IF(Z84=1,(LEFT($E84,2))*1,IF(Z84=2,((LEFT($E84,2))+(MID($E84,FIND("/",$E84)+2,2))),IF(Z84=3,((LEFT($E84,2))+(MID($E84,FIND("/",$E84)+2,2))+(RIGHT($E84,2))),0)))</f>
        <v>0</v>
      </c>
      <c r="CA84" s="4">
        <f t="shared" ref="CA84:CA147" si="76">IF(AA84=1,(LEFT($E84,2))*1,IF(AA84=2,((LEFT($E84,2))+(MID($E84,FIND("/",$E84)+2,2))),IF(AA84=3,((LEFT($E84,2))+(MID($E84,FIND("/",$E84)+2,2))+(RIGHT($E84,2))),0)))</f>
        <v>0</v>
      </c>
      <c r="CB84" s="4">
        <f t="shared" ref="CB84:CB147" si="77">IF(AB84=1,(LEFT($E84,2))*1,IF(AB84=2,((LEFT($E84,2))+(MID($E84,FIND("/",$E84)+2,2))),IF(AB84=3,((LEFT($E84,2))+(MID($E84,FIND("/",$E84)+2,2))+(RIGHT($E84,2))),0)))</f>
        <v>0</v>
      </c>
      <c r="CC84" s="4">
        <f t="shared" ref="CC84:CC147" si="78">IF(AC84=1,(LEFT($E84,2))*1,IF(AC84=2,((LEFT($E84,2))+(MID($E84,FIND("/",$E84)+2,2))),IF(AC84=3,((LEFT($E84,2))+(MID($E84,FIND("/",$E84)+2,2))+(RIGHT($E84,2))),0)))</f>
        <v>0</v>
      </c>
      <c r="CD84" s="4">
        <f t="shared" ref="CD84:CD147" si="79">IF(AD84=1,(LEFT($E84,2))*1,IF(AD84=2,((LEFT($E84,2))+(MID($E84,FIND("/",$E84)+2,2))),IF(AD84=3,((LEFT($E84,2))+(MID($E84,FIND("/",$E84)+2,2))+(RIGHT($E84,2))),0)))</f>
        <v>0</v>
      </c>
      <c r="CE84" s="4">
        <f t="shared" ref="CE84:CE147" si="80">IF(AE84=1,(LEFT($E84,2))*1,IF(AE84=2,((LEFT($E84,2))+(MID($E84,FIND("/",$E84)+2,2))),IF(AE84=3,((LEFT($E84,2))+(MID($E84,FIND("/",$E84)+2,2))+(RIGHT($E84,2))),0)))</f>
        <v>0</v>
      </c>
      <c r="CF84" s="4">
        <f t="shared" ref="CF84:CF147" si="81">IF(AF84=1,(LEFT($E84,2))*1,IF(AF84=2,((LEFT($E84,2))+(MID($E84,FIND("/",$E84)+2,2))),IF(AF84=3,((LEFT($E84,2))+(MID($E84,FIND("/",$E84)+2,2))+(RIGHT($E84,2))),0)))</f>
        <v>0</v>
      </c>
      <c r="CG84" s="4">
        <f t="shared" ref="CG84:CG147" si="82">IF(AG84=1,(LEFT($E84,2))*1,IF(AG84=2,((LEFT($E84,2))+(MID($E84,FIND("/",$E84)+2,2))),IF(AG84=3,((LEFT($E84,2))+(MID($E84,FIND("/",$E84)+2,2))+(RIGHT($E84,2))),0)))</f>
        <v>0</v>
      </c>
      <c r="CH84" s="4">
        <f t="shared" ref="CH84:CH147" si="83">IF(AH84=1,(LEFT($E84,2))*1,IF(AH84=2,((LEFT($E84,2))+(MID($E84,FIND("/",$E84)+2,2))),IF(AH84=3,((LEFT($E84,2))+(MID($E84,FIND("/",$E84)+2,2))+(RIGHT($E84,2))),0)))</f>
        <v>0</v>
      </c>
      <c r="CI84" s="4">
        <f t="shared" ref="CI84:CI147" si="84">IF(AI84=1,(LEFT($E84,2))*1,IF(AI84=2,((LEFT($E84,2))+(MID($E84,FIND("/",$E84)+2,2))),IF(AI84=3,((LEFT($E84,2))+(MID($E84,FIND("/",$E84)+2,2))+(RIGHT($E84,2))),0)))</f>
        <v>0</v>
      </c>
      <c r="CJ84" s="4">
        <f t="shared" ref="CJ84:CJ147" si="85">IF(AJ84=1,(LEFT($E84,2))*1,IF(AJ84=2,((LEFT($E84,2))+(MID($E84,FIND("/",$E84)+2,2))),IF(AJ84=3,((LEFT($E84,2))+(MID($E84,FIND("/",$E84)+2,2))+(RIGHT($E84,2))),0)))</f>
        <v>0</v>
      </c>
      <c r="CK84" s="4">
        <f t="shared" ref="CK84:CK147" si="86">IF(AK84=1,(LEFT($E84,2))*1,IF(AK84=2,((LEFT($E84,2))+(MID($E84,FIND("/",$E84)+2,2))),IF(AK84=3,((LEFT($E84,2))+(MID($E84,FIND("/",$E84)+2,2))+(RIGHT($E84,2))),0)))</f>
        <v>0</v>
      </c>
      <c r="CL84" s="4">
        <f t="shared" ref="CL84:CL147" si="87">IF(AL84=1,(LEFT($E84,2))*1,IF(AL84=2,((LEFT($E84,2))+(MID($E84,FIND("/",$E84)+2,2))),IF(AL84=3,((LEFT($E84,2))+(MID($E84,FIND("/",$E84)+2,2))+(RIGHT($E84,2))),0)))</f>
        <v>0</v>
      </c>
      <c r="CM84" s="4">
        <f t="shared" ref="CM84:CM147" si="88">IF(AM84=1,(LEFT($E84,2))*1,IF(AM84=2,((LEFT($E84,2))+(MID($E84,FIND("/",$E84)+2,2))),IF(AM84=3,((LEFT($E84,2))+(MID($E84,FIND("/",$E84)+2,2))+(RIGHT($E84,2))),0)))</f>
        <v>0</v>
      </c>
      <c r="CN84" s="4">
        <f t="shared" ref="CN84:CN147" si="89">IF(AN84=1,(LEFT($E84,2))*1,IF(AN84=2,((LEFT($E84,2))+(MID($E84,FIND("/",$E84)+2,2))),IF(AN84=3,((LEFT($E84,2))+(MID($E84,FIND("/",$E84)+2,2))+(RIGHT($E84,2))),0)))</f>
        <v>0</v>
      </c>
      <c r="CO84" s="4">
        <f t="shared" ref="CO84:CO147" si="90">IF(AO84=1,(LEFT($E84,2))*1,IF(AO84=2,((LEFT($E84,2))+(MID($E84,FIND("/",$E84)+2,2))),IF(AO84=3,((LEFT($E84,2))+(MID($E84,FIND("/",$E84)+2,2))+(RIGHT($E84,2))),0)))</f>
        <v>0</v>
      </c>
      <c r="CP84" s="4">
        <f t="shared" ref="CP84:CP147" si="91">IF(AP84=1,(LEFT($E84,2))*1,IF(AP84=2,((LEFT($E84,2))+(MID($E84,FIND("/",$E84)+2,2))),IF(AP84=3,((LEFT($E84,2))+(MID($E84,FIND("/",$E84)+2,2))+(RIGHT($E84,2))),0)))</f>
        <v>0</v>
      </c>
      <c r="CQ84" s="4">
        <f t="shared" ref="CQ84:CQ147" si="92">IF(AQ84=1,(LEFT($E84,2))*1,IF(AQ84=2,((LEFT($E84,2))+(MID($E84,FIND("/",$E84)+2,2))),IF(AQ84=3,((LEFT($E84,2))+(MID($E84,FIND("/",$E84)+2,2))+(RIGHT($E84,2))),0)))</f>
        <v>0</v>
      </c>
      <c r="CR84" s="4">
        <f t="shared" ref="CR84:CR147" si="93">IF(AR84=1,(LEFT($E84,2))*1,IF(AR84=2,((LEFT($E84,2))+(MID($E84,FIND("/",$E84)+2,2))),IF(AR84=3,((LEFT($E84,2))+(MID($E84,FIND("/",$E84)+2,2))+(RIGHT($E84,2))),0)))</f>
        <v>0</v>
      </c>
      <c r="CS84" s="4">
        <f t="shared" ref="CS84:CS147" si="94">IF(AS84=1,(LEFT($E84,2))*1,IF(AS84=2,((LEFT($E84,2))+(MID($E84,FIND("/",$E84)+2,2))),IF(AS84=3,((LEFT($E84,2))+(MID($E84,FIND("/",$E84)+2,2))+(RIGHT($E84,2))),0)))</f>
        <v>0</v>
      </c>
      <c r="CT84" s="4">
        <f t="shared" ref="CT84:CT147" si="95">IF(AT84=1,(LEFT($E84,2))*1,IF(AT84=2,((LEFT($E84,2))+(MID($E84,FIND("/",$E84)+2,2))),IF(AT84=3,((LEFT($E84,2))+(MID($E84,FIND("/",$E84)+2,2))+(RIGHT($E84,2))),0)))</f>
        <v>0</v>
      </c>
      <c r="CU84" s="4">
        <f t="shared" ref="CU84:CU147" si="96">IF(AU84=1,(LEFT($E84,2))*1,IF(AU84=2,((LEFT($E84,2))+(MID($E84,FIND("/",$E84)+2,2))),IF(AU84=3,((LEFT($E84,2))+(MID($E84,FIND("/",$E84)+2,2))+(RIGHT($E84,2))),0)))</f>
        <v>0</v>
      </c>
      <c r="CV84" s="4">
        <f t="shared" ref="CV84:CV147" si="97">IF(AV84=1,(LEFT($E84,2))*1,IF(AV84=2,((LEFT($E84,2))+(MID($E84,FIND("/",$E84)+2,2))),IF(AV84=3,((LEFT($E84,2))+(MID($E84,FIND("/",$E84)+2,2))+(RIGHT($E84,2))),0)))</f>
        <v>0</v>
      </c>
      <c r="CW84" s="4">
        <f t="shared" ref="CW84:CW147" si="98">IF(AW84=1,(LEFT($E84,2))*1,IF(AW84=2,((LEFT($E84,2))+(MID($E84,FIND("/",$E84)+2,2))),IF(AW84=3,((LEFT($E84,2))+(MID($E84,FIND("/",$E84)+2,2))+(RIGHT($E84,2))),0)))</f>
        <v>0</v>
      </c>
      <c r="CX84" s="4">
        <f t="shared" ref="CX84:CX147" si="99">IF(AX84=1,(LEFT($E84,2))*1,IF(AX84=2,((LEFT($E84,2))+(MID($E84,FIND("/",$E84)+2,2))),IF(AX84=3,((LEFT($E84,2))+(MID($E84,FIND("/",$E84)+2,2))+(RIGHT($E84,2))),0)))</f>
        <v>0</v>
      </c>
      <c r="CY84" s="4">
        <f t="shared" ref="CY84:CY147" si="100">IF(AY84=1,(LEFT($E84,2))*1,IF(AY84=2,((LEFT($E84,2))+(MID($E84,FIND("/",$E84)+2,2))),IF(AY84=3,((LEFT($E84,2))+(MID($E84,FIND("/",$E84)+2,2))+(RIGHT($E84,2))),0)))</f>
        <v>0</v>
      </c>
      <c r="CZ84" s="4">
        <f t="shared" ref="CZ84:CZ147" si="101">IF(AZ84=1,(LEFT($E84,2))*1,IF(AZ84=2,((LEFT($E84,2))+(MID($E84,FIND("/",$E84)+2,2))),IF(AZ84=3,((LEFT($E84,2))+(MID($E84,FIND("/",$E84)+2,2))+(RIGHT($E84,2))),0)))</f>
        <v>0</v>
      </c>
      <c r="DA84" s="4">
        <f t="shared" ref="DA84:DA147" si="102">IF(BA84=1,(LEFT($E84,2))*1,IF(BA84=2,((LEFT($E84,2))+(MID($E84,FIND("/",$E84)+2,2))),IF(BA84=3,((LEFT($E84,2))+(MID($E84,FIND("/",$E84)+2,2))+(RIGHT($E84,2))),0)))</f>
        <v>0</v>
      </c>
      <c r="DB84" s="4">
        <f t="shared" ref="DB84:DB147" si="103">IF(BB84=1,(LEFT($E84,2))*1,IF(BB84=2,((LEFT($E84,2))+(MID($E84,FIND("/",$E84)+2,2))),IF(BB84=3,((LEFT($E84,2))+(MID($E84,FIND("/",$E84)+2,2))+(RIGHT($E84,2))),0)))</f>
        <v>0</v>
      </c>
      <c r="DC84" s="4">
        <f t="shared" ref="DC84:DC147" si="104">IF(BC84=1,(LEFT($E84,2))*1,IF(BC84=2,((LEFT($E84,2))+(MID($E84,FIND("/",$E84)+2,2))),IF(BC84=3,((LEFT($E84,2))+(MID($E84,FIND("/",$E84)+2,2))+(RIGHT($E84,2))),0)))</f>
        <v>0</v>
      </c>
      <c r="DD84" s="4">
        <f t="shared" ref="DD84:DD147" si="105">IF(BD84=1,(LEFT($E84,2))*1,IF(BD84=2,((LEFT($E84,2))+(MID($E84,FIND("/",$E84)+2,2))),IF(BD84=3,((LEFT($E84,2))+(MID($E84,FIND("/",$E84)+2,2))+(RIGHT($E84,2))),0)))</f>
        <v>0</v>
      </c>
    </row>
    <row r="85" spans="1:108" x14ac:dyDescent="0.25">
      <c r="A85" s="41" t="str">
        <f>Skills!M67</f>
        <v>Reverse Strike</v>
      </c>
      <c r="B85" s="57" t="str">
        <f>Skills!N67</f>
        <v>Reverse Strike</v>
      </c>
      <c r="C85" s="24">
        <f t="shared" si="55"/>
        <v>0</v>
      </c>
      <c r="D85" s="110">
        <f>Skills!S67</f>
        <v>0</v>
      </c>
      <c r="E85" s="111" t="e">
        <f>Profession!$B$32</f>
        <v>#REF!</v>
      </c>
      <c r="F85" s="18"/>
      <c r="G85" s="18"/>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49"/>
      <c r="BF85" s="4">
        <f t="shared" si="56"/>
        <v>0</v>
      </c>
      <c r="BG85" s="4">
        <f t="shared" si="56"/>
        <v>0</v>
      </c>
      <c r="BH85" s="4">
        <f t="shared" si="57"/>
        <v>0</v>
      </c>
      <c r="BI85" s="4">
        <f t="shared" si="58"/>
        <v>0</v>
      </c>
      <c r="BJ85" s="4">
        <f t="shared" si="59"/>
        <v>0</v>
      </c>
      <c r="BK85" s="4">
        <f t="shared" si="60"/>
        <v>0</v>
      </c>
      <c r="BL85" s="4">
        <f t="shared" si="61"/>
        <v>0</v>
      </c>
      <c r="BM85" s="4">
        <f t="shared" si="62"/>
        <v>0</v>
      </c>
      <c r="BN85" s="4">
        <f t="shared" si="63"/>
        <v>0</v>
      </c>
      <c r="BO85" s="4">
        <f t="shared" si="64"/>
        <v>0</v>
      </c>
      <c r="BP85" s="4">
        <f t="shared" si="65"/>
        <v>0</v>
      </c>
      <c r="BQ85" s="4">
        <f t="shared" si="66"/>
        <v>0</v>
      </c>
      <c r="BR85" s="4">
        <f t="shared" si="67"/>
        <v>0</v>
      </c>
      <c r="BS85" s="4">
        <f t="shared" si="68"/>
        <v>0</v>
      </c>
      <c r="BT85" s="4">
        <f t="shared" si="69"/>
        <v>0</v>
      </c>
      <c r="BU85" s="4">
        <f t="shared" si="70"/>
        <v>0</v>
      </c>
      <c r="BV85" s="4">
        <f t="shared" si="71"/>
        <v>0</v>
      </c>
      <c r="BW85" s="4">
        <f t="shared" si="72"/>
        <v>0</v>
      </c>
      <c r="BX85" s="4">
        <f t="shared" si="73"/>
        <v>0</v>
      </c>
      <c r="BY85" s="4">
        <f t="shared" si="74"/>
        <v>0</v>
      </c>
      <c r="BZ85" s="4">
        <f t="shared" si="75"/>
        <v>0</v>
      </c>
      <c r="CA85" s="4">
        <f t="shared" si="76"/>
        <v>0</v>
      </c>
      <c r="CB85" s="4">
        <f t="shared" si="77"/>
        <v>0</v>
      </c>
      <c r="CC85" s="4">
        <f t="shared" si="78"/>
        <v>0</v>
      </c>
      <c r="CD85" s="4">
        <f t="shared" si="79"/>
        <v>0</v>
      </c>
      <c r="CE85" s="4">
        <f t="shared" si="80"/>
        <v>0</v>
      </c>
      <c r="CF85" s="4">
        <f t="shared" si="81"/>
        <v>0</v>
      </c>
      <c r="CG85" s="4">
        <f t="shared" si="82"/>
        <v>0</v>
      </c>
      <c r="CH85" s="4">
        <f t="shared" si="83"/>
        <v>0</v>
      </c>
      <c r="CI85" s="4">
        <f t="shared" si="84"/>
        <v>0</v>
      </c>
      <c r="CJ85" s="4">
        <f t="shared" si="85"/>
        <v>0</v>
      </c>
      <c r="CK85" s="4">
        <f t="shared" si="86"/>
        <v>0</v>
      </c>
      <c r="CL85" s="4">
        <f t="shared" si="87"/>
        <v>0</v>
      </c>
      <c r="CM85" s="4">
        <f t="shared" si="88"/>
        <v>0</v>
      </c>
      <c r="CN85" s="4">
        <f t="shared" si="89"/>
        <v>0</v>
      </c>
      <c r="CO85" s="4">
        <f t="shared" si="90"/>
        <v>0</v>
      </c>
      <c r="CP85" s="4">
        <f t="shared" si="91"/>
        <v>0</v>
      </c>
      <c r="CQ85" s="4">
        <f t="shared" si="92"/>
        <v>0</v>
      </c>
      <c r="CR85" s="4">
        <f t="shared" si="93"/>
        <v>0</v>
      </c>
      <c r="CS85" s="4">
        <f t="shared" si="94"/>
        <v>0</v>
      </c>
      <c r="CT85" s="4">
        <f t="shared" si="95"/>
        <v>0</v>
      </c>
      <c r="CU85" s="4">
        <f t="shared" si="96"/>
        <v>0</v>
      </c>
      <c r="CV85" s="4">
        <f t="shared" si="97"/>
        <v>0</v>
      </c>
      <c r="CW85" s="4">
        <f t="shared" si="98"/>
        <v>0</v>
      </c>
      <c r="CX85" s="4">
        <f t="shared" si="99"/>
        <v>0</v>
      </c>
      <c r="CY85" s="4">
        <f t="shared" si="100"/>
        <v>0</v>
      </c>
      <c r="CZ85" s="4">
        <f t="shared" si="101"/>
        <v>0</v>
      </c>
      <c r="DA85" s="4">
        <f t="shared" si="102"/>
        <v>0</v>
      </c>
      <c r="DB85" s="4">
        <f t="shared" si="103"/>
        <v>0</v>
      </c>
      <c r="DC85" s="4">
        <f t="shared" si="104"/>
        <v>0</v>
      </c>
      <c r="DD85" s="4">
        <f t="shared" si="105"/>
        <v>0</v>
      </c>
    </row>
    <row r="86" spans="1:108" x14ac:dyDescent="0.25">
      <c r="A86" s="41">
        <f>Skills!M68</f>
        <v>0</v>
      </c>
      <c r="B86" s="55" t="str">
        <f>Skills!N68</f>
        <v>Combat Training Category</v>
      </c>
      <c r="C86" s="22">
        <f t="shared" si="55"/>
        <v>0</v>
      </c>
      <c r="D86" s="112" t="str">
        <f>Skills!S68</f>
        <v>- -</v>
      </c>
      <c r="E86" s="113" t="s">
        <v>782</v>
      </c>
      <c r="F86" s="19"/>
      <c r="G86" s="19"/>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56"/>
      <c r="BF86" s="4">
        <f t="shared" si="56"/>
        <v>0</v>
      </c>
      <c r="BG86" s="4">
        <f t="shared" si="56"/>
        <v>0</v>
      </c>
      <c r="BH86" s="4">
        <f t="shared" si="57"/>
        <v>0</v>
      </c>
      <c r="BI86" s="4">
        <f t="shared" si="58"/>
        <v>0</v>
      </c>
      <c r="BJ86" s="4">
        <f t="shared" si="59"/>
        <v>0</v>
      </c>
      <c r="BK86" s="4">
        <f t="shared" si="60"/>
        <v>0</v>
      </c>
      <c r="BL86" s="4">
        <f t="shared" si="61"/>
        <v>0</v>
      </c>
      <c r="BM86" s="4">
        <f t="shared" si="62"/>
        <v>0</v>
      </c>
      <c r="BN86" s="4">
        <f t="shared" si="63"/>
        <v>0</v>
      </c>
      <c r="BO86" s="4">
        <f t="shared" si="64"/>
        <v>0</v>
      </c>
      <c r="BP86" s="4">
        <f t="shared" si="65"/>
        <v>0</v>
      </c>
      <c r="BQ86" s="4">
        <f t="shared" si="66"/>
        <v>0</v>
      </c>
      <c r="BR86" s="4">
        <f t="shared" si="67"/>
        <v>0</v>
      </c>
      <c r="BS86" s="4">
        <f t="shared" si="68"/>
        <v>0</v>
      </c>
      <c r="BT86" s="4">
        <f t="shared" si="69"/>
        <v>0</v>
      </c>
      <c r="BU86" s="4">
        <f t="shared" si="70"/>
        <v>0</v>
      </c>
      <c r="BV86" s="4">
        <f t="shared" si="71"/>
        <v>0</v>
      </c>
      <c r="BW86" s="4">
        <f t="shared" si="72"/>
        <v>0</v>
      </c>
      <c r="BX86" s="4">
        <f t="shared" si="73"/>
        <v>0</v>
      </c>
      <c r="BY86" s="4">
        <f t="shared" si="74"/>
        <v>0</v>
      </c>
      <c r="BZ86" s="4">
        <f t="shared" si="75"/>
        <v>0</v>
      </c>
      <c r="CA86" s="4">
        <f t="shared" si="76"/>
        <v>0</v>
      </c>
      <c r="CB86" s="4">
        <f t="shared" si="77"/>
        <v>0</v>
      </c>
      <c r="CC86" s="4">
        <f t="shared" si="78"/>
        <v>0</v>
      </c>
      <c r="CD86" s="4">
        <f t="shared" si="79"/>
        <v>0</v>
      </c>
      <c r="CE86" s="4">
        <f t="shared" si="80"/>
        <v>0</v>
      </c>
      <c r="CF86" s="4">
        <f t="shared" si="81"/>
        <v>0</v>
      </c>
      <c r="CG86" s="4">
        <f t="shared" si="82"/>
        <v>0</v>
      </c>
      <c r="CH86" s="4">
        <f t="shared" si="83"/>
        <v>0</v>
      </c>
      <c r="CI86" s="4">
        <f t="shared" si="84"/>
        <v>0</v>
      </c>
      <c r="CJ86" s="4">
        <f t="shared" si="85"/>
        <v>0</v>
      </c>
      <c r="CK86" s="4">
        <f t="shared" si="86"/>
        <v>0</v>
      </c>
      <c r="CL86" s="4">
        <f t="shared" si="87"/>
        <v>0</v>
      </c>
      <c r="CM86" s="4">
        <f t="shared" si="88"/>
        <v>0</v>
      </c>
      <c r="CN86" s="4">
        <f t="shared" si="89"/>
        <v>0</v>
      </c>
      <c r="CO86" s="4">
        <f t="shared" si="90"/>
        <v>0</v>
      </c>
      <c r="CP86" s="4">
        <f t="shared" si="91"/>
        <v>0</v>
      </c>
      <c r="CQ86" s="4">
        <f t="shared" si="92"/>
        <v>0</v>
      </c>
      <c r="CR86" s="4">
        <f t="shared" si="93"/>
        <v>0</v>
      </c>
      <c r="CS86" s="4">
        <f t="shared" si="94"/>
        <v>0</v>
      </c>
      <c r="CT86" s="4">
        <f t="shared" si="95"/>
        <v>0</v>
      </c>
      <c r="CU86" s="4">
        <f t="shared" si="96"/>
        <v>0</v>
      </c>
      <c r="CV86" s="4">
        <f t="shared" si="97"/>
        <v>0</v>
      </c>
      <c r="CW86" s="4">
        <f t="shared" si="98"/>
        <v>0</v>
      </c>
      <c r="CX86" s="4">
        <f t="shared" si="99"/>
        <v>0</v>
      </c>
      <c r="CY86" s="4">
        <f t="shared" si="100"/>
        <v>0</v>
      </c>
      <c r="CZ86" s="4">
        <f t="shared" si="101"/>
        <v>0</v>
      </c>
      <c r="DA86" s="4">
        <f t="shared" si="102"/>
        <v>0</v>
      </c>
      <c r="DB86" s="4">
        <f t="shared" si="103"/>
        <v>0</v>
      </c>
      <c r="DC86" s="4">
        <f t="shared" si="104"/>
        <v>0</v>
      </c>
      <c r="DD86" s="4">
        <f t="shared" si="105"/>
        <v>0</v>
      </c>
    </row>
    <row r="87" spans="1:108" x14ac:dyDescent="0.25">
      <c r="A87" s="41">
        <f>Skills!M69</f>
        <v>0</v>
      </c>
      <c r="B87" s="57" t="str">
        <f>Skills!N69</f>
        <v>Combat Training Skills</v>
      </c>
      <c r="C87" s="24">
        <f t="shared" ref="C87:C150" si="106">SUM(F87:BD87)</f>
        <v>0</v>
      </c>
      <c r="D87" s="110" t="str">
        <f>Skills!S69</f>
        <v>- -</v>
      </c>
      <c r="E87" s="111" t="s">
        <v>782</v>
      </c>
      <c r="F87" s="18"/>
      <c r="G87" s="18"/>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49"/>
      <c r="BF87" s="4">
        <f t="shared" si="56"/>
        <v>0</v>
      </c>
      <c r="BG87" s="4">
        <f t="shared" si="56"/>
        <v>0</v>
      </c>
      <c r="BH87" s="4">
        <f t="shared" si="57"/>
        <v>0</v>
      </c>
      <c r="BI87" s="4">
        <f t="shared" si="58"/>
        <v>0</v>
      </c>
      <c r="BJ87" s="4">
        <f t="shared" si="59"/>
        <v>0</v>
      </c>
      <c r="BK87" s="4">
        <f t="shared" si="60"/>
        <v>0</v>
      </c>
      <c r="BL87" s="4">
        <f t="shared" si="61"/>
        <v>0</v>
      </c>
      <c r="BM87" s="4">
        <f t="shared" si="62"/>
        <v>0</v>
      </c>
      <c r="BN87" s="4">
        <f t="shared" si="63"/>
        <v>0</v>
      </c>
      <c r="BO87" s="4">
        <f t="shared" si="64"/>
        <v>0</v>
      </c>
      <c r="BP87" s="4">
        <f t="shared" si="65"/>
        <v>0</v>
      </c>
      <c r="BQ87" s="4">
        <f t="shared" si="66"/>
        <v>0</v>
      </c>
      <c r="BR87" s="4">
        <f t="shared" si="67"/>
        <v>0</v>
      </c>
      <c r="BS87" s="4">
        <f t="shared" si="68"/>
        <v>0</v>
      </c>
      <c r="BT87" s="4">
        <f t="shared" si="69"/>
        <v>0</v>
      </c>
      <c r="BU87" s="4">
        <f t="shared" si="70"/>
        <v>0</v>
      </c>
      <c r="BV87" s="4">
        <f t="shared" si="71"/>
        <v>0</v>
      </c>
      <c r="BW87" s="4">
        <f t="shared" si="72"/>
        <v>0</v>
      </c>
      <c r="BX87" s="4">
        <f t="shared" si="73"/>
        <v>0</v>
      </c>
      <c r="BY87" s="4">
        <f t="shared" si="74"/>
        <v>0</v>
      </c>
      <c r="BZ87" s="4">
        <f t="shared" si="75"/>
        <v>0</v>
      </c>
      <c r="CA87" s="4">
        <f t="shared" si="76"/>
        <v>0</v>
      </c>
      <c r="CB87" s="4">
        <f t="shared" si="77"/>
        <v>0</v>
      </c>
      <c r="CC87" s="4">
        <f t="shared" si="78"/>
        <v>0</v>
      </c>
      <c r="CD87" s="4">
        <f t="shared" si="79"/>
        <v>0</v>
      </c>
      <c r="CE87" s="4">
        <f t="shared" si="80"/>
        <v>0</v>
      </c>
      <c r="CF87" s="4">
        <f t="shared" si="81"/>
        <v>0</v>
      </c>
      <c r="CG87" s="4">
        <f t="shared" si="82"/>
        <v>0</v>
      </c>
      <c r="CH87" s="4">
        <f t="shared" si="83"/>
        <v>0</v>
      </c>
      <c r="CI87" s="4">
        <f t="shared" si="84"/>
        <v>0</v>
      </c>
      <c r="CJ87" s="4">
        <f t="shared" si="85"/>
        <v>0</v>
      </c>
      <c r="CK87" s="4">
        <f t="shared" si="86"/>
        <v>0</v>
      </c>
      <c r="CL87" s="4">
        <f t="shared" si="87"/>
        <v>0</v>
      </c>
      <c r="CM87" s="4">
        <f t="shared" si="88"/>
        <v>0</v>
      </c>
      <c r="CN87" s="4">
        <f t="shared" si="89"/>
        <v>0</v>
      </c>
      <c r="CO87" s="4">
        <f t="shared" si="90"/>
        <v>0</v>
      </c>
      <c r="CP87" s="4">
        <f t="shared" si="91"/>
        <v>0</v>
      </c>
      <c r="CQ87" s="4">
        <f t="shared" si="92"/>
        <v>0</v>
      </c>
      <c r="CR87" s="4">
        <f t="shared" si="93"/>
        <v>0</v>
      </c>
      <c r="CS87" s="4">
        <f t="shared" si="94"/>
        <v>0</v>
      </c>
      <c r="CT87" s="4">
        <f t="shared" si="95"/>
        <v>0</v>
      </c>
      <c r="CU87" s="4">
        <f t="shared" si="96"/>
        <v>0</v>
      </c>
      <c r="CV87" s="4">
        <f t="shared" si="97"/>
        <v>0</v>
      </c>
      <c r="CW87" s="4">
        <f t="shared" si="98"/>
        <v>0</v>
      </c>
      <c r="CX87" s="4">
        <f t="shared" si="99"/>
        <v>0</v>
      </c>
      <c r="CY87" s="4">
        <f t="shared" si="100"/>
        <v>0</v>
      </c>
      <c r="CZ87" s="4">
        <f t="shared" si="101"/>
        <v>0</v>
      </c>
      <c r="DA87" s="4">
        <f t="shared" si="102"/>
        <v>0</v>
      </c>
      <c r="DB87" s="4">
        <f t="shared" si="103"/>
        <v>0</v>
      </c>
      <c r="DC87" s="4">
        <f t="shared" si="104"/>
        <v>0</v>
      </c>
      <c r="DD87" s="4">
        <f t="shared" si="105"/>
        <v>0</v>
      </c>
    </row>
    <row r="88" spans="1:108" x14ac:dyDescent="0.25">
      <c r="A88" s="41">
        <f>Skills!M70</f>
        <v>0</v>
      </c>
      <c r="B88" s="55" t="str">
        <f>Skills!N70</f>
        <v>Melee Weapons Sub-category</v>
      </c>
      <c r="C88" s="22">
        <f t="shared" si="106"/>
        <v>0</v>
      </c>
      <c r="D88" s="112" t="str">
        <f>Skills!S70</f>
        <v>- -</v>
      </c>
      <c r="E88" s="113" t="s">
        <v>782</v>
      </c>
      <c r="F88" s="19"/>
      <c r="G88" s="19"/>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56"/>
      <c r="BF88" s="4">
        <f t="shared" si="56"/>
        <v>0</v>
      </c>
      <c r="BG88" s="4">
        <f t="shared" si="56"/>
        <v>0</v>
      </c>
      <c r="BH88" s="4">
        <f t="shared" si="57"/>
        <v>0</v>
      </c>
      <c r="BI88" s="4">
        <f t="shared" si="58"/>
        <v>0</v>
      </c>
      <c r="BJ88" s="4">
        <f t="shared" si="59"/>
        <v>0</v>
      </c>
      <c r="BK88" s="4">
        <f t="shared" si="60"/>
        <v>0</v>
      </c>
      <c r="BL88" s="4">
        <f t="shared" si="61"/>
        <v>0</v>
      </c>
      <c r="BM88" s="4">
        <f t="shared" si="62"/>
        <v>0</v>
      </c>
      <c r="BN88" s="4">
        <f t="shared" si="63"/>
        <v>0</v>
      </c>
      <c r="BO88" s="4">
        <f t="shared" si="64"/>
        <v>0</v>
      </c>
      <c r="BP88" s="4">
        <f t="shared" si="65"/>
        <v>0</v>
      </c>
      <c r="BQ88" s="4">
        <f t="shared" si="66"/>
        <v>0</v>
      </c>
      <c r="BR88" s="4">
        <f t="shared" si="67"/>
        <v>0</v>
      </c>
      <c r="BS88" s="4">
        <f t="shared" si="68"/>
        <v>0</v>
      </c>
      <c r="BT88" s="4">
        <f t="shared" si="69"/>
        <v>0</v>
      </c>
      <c r="BU88" s="4">
        <f t="shared" si="70"/>
        <v>0</v>
      </c>
      <c r="BV88" s="4">
        <f t="shared" si="71"/>
        <v>0</v>
      </c>
      <c r="BW88" s="4">
        <f t="shared" si="72"/>
        <v>0</v>
      </c>
      <c r="BX88" s="4">
        <f t="shared" si="73"/>
        <v>0</v>
      </c>
      <c r="BY88" s="4">
        <f t="shared" si="74"/>
        <v>0</v>
      </c>
      <c r="BZ88" s="4">
        <f t="shared" si="75"/>
        <v>0</v>
      </c>
      <c r="CA88" s="4">
        <f t="shared" si="76"/>
        <v>0</v>
      </c>
      <c r="CB88" s="4">
        <f t="shared" si="77"/>
        <v>0</v>
      </c>
      <c r="CC88" s="4">
        <f t="shared" si="78"/>
        <v>0</v>
      </c>
      <c r="CD88" s="4">
        <f t="shared" si="79"/>
        <v>0</v>
      </c>
      <c r="CE88" s="4">
        <f t="shared" si="80"/>
        <v>0</v>
      </c>
      <c r="CF88" s="4">
        <f t="shared" si="81"/>
        <v>0</v>
      </c>
      <c r="CG88" s="4">
        <f t="shared" si="82"/>
        <v>0</v>
      </c>
      <c r="CH88" s="4">
        <f t="shared" si="83"/>
        <v>0</v>
      </c>
      <c r="CI88" s="4">
        <f t="shared" si="84"/>
        <v>0</v>
      </c>
      <c r="CJ88" s="4">
        <f t="shared" si="85"/>
        <v>0</v>
      </c>
      <c r="CK88" s="4">
        <f t="shared" si="86"/>
        <v>0</v>
      </c>
      <c r="CL88" s="4">
        <f t="shared" si="87"/>
        <v>0</v>
      </c>
      <c r="CM88" s="4">
        <f t="shared" si="88"/>
        <v>0</v>
      </c>
      <c r="CN88" s="4">
        <f t="shared" si="89"/>
        <v>0</v>
      </c>
      <c r="CO88" s="4">
        <f t="shared" si="90"/>
        <v>0</v>
      </c>
      <c r="CP88" s="4">
        <f t="shared" si="91"/>
        <v>0</v>
      </c>
      <c r="CQ88" s="4">
        <f t="shared" si="92"/>
        <v>0</v>
      </c>
      <c r="CR88" s="4">
        <f t="shared" si="93"/>
        <v>0</v>
      </c>
      <c r="CS88" s="4">
        <f t="shared" si="94"/>
        <v>0</v>
      </c>
      <c r="CT88" s="4">
        <f t="shared" si="95"/>
        <v>0</v>
      </c>
      <c r="CU88" s="4">
        <f t="shared" si="96"/>
        <v>0</v>
      </c>
      <c r="CV88" s="4">
        <f t="shared" si="97"/>
        <v>0</v>
      </c>
      <c r="CW88" s="4">
        <f t="shared" si="98"/>
        <v>0</v>
      </c>
      <c r="CX88" s="4">
        <f t="shared" si="99"/>
        <v>0</v>
      </c>
      <c r="CY88" s="4">
        <f t="shared" si="100"/>
        <v>0</v>
      </c>
      <c r="CZ88" s="4">
        <f t="shared" si="101"/>
        <v>0</v>
      </c>
      <c r="DA88" s="4">
        <f t="shared" si="102"/>
        <v>0</v>
      </c>
      <c r="DB88" s="4">
        <f t="shared" si="103"/>
        <v>0</v>
      </c>
      <c r="DC88" s="4">
        <f t="shared" si="104"/>
        <v>0</v>
      </c>
      <c r="DD88" s="4">
        <f t="shared" si="105"/>
        <v>0</v>
      </c>
    </row>
    <row r="89" spans="1:108" x14ac:dyDescent="0.25">
      <c r="A89" s="41">
        <f>Skills!M71</f>
        <v>0</v>
      </c>
      <c r="B89" s="57" t="str">
        <f>Skills!N71</f>
        <v>Melee Weapons Skills</v>
      </c>
      <c r="C89" s="24">
        <f t="shared" si="106"/>
        <v>0</v>
      </c>
      <c r="D89" s="110" t="str">
        <f>Skills!S71</f>
        <v>- -</v>
      </c>
      <c r="E89" s="111" t="s">
        <v>782</v>
      </c>
      <c r="F89" s="18"/>
      <c r="G89" s="18"/>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49"/>
      <c r="BF89" s="4">
        <f t="shared" si="56"/>
        <v>0</v>
      </c>
      <c r="BG89" s="4">
        <f t="shared" si="56"/>
        <v>0</v>
      </c>
      <c r="BH89" s="4">
        <f t="shared" si="57"/>
        <v>0</v>
      </c>
      <c r="BI89" s="4">
        <f t="shared" si="58"/>
        <v>0</v>
      </c>
      <c r="BJ89" s="4">
        <f t="shared" si="59"/>
        <v>0</v>
      </c>
      <c r="BK89" s="4">
        <f t="shared" si="60"/>
        <v>0</v>
      </c>
      <c r="BL89" s="4">
        <f t="shared" si="61"/>
        <v>0</v>
      </c>
      <c r="BM89" s="4">
        <f t="shared" si="62"/>
        <v>0</v>
      </c>
      <c r="BN89" s="4">
        <f t="shared" si="63"/>
        <v>0</v>
      </c>
      <c r="BO89" s="4">
        <f t="shared" si="64"/>
        <v>0</v>
      </c>
      <c r="BP89" s="4">
        <f t="shared" si="65"/>
        <v>0</v>
      </c>
      <c r="BQ89" s="4">
        <f t="shared" si="66"/>
        <v>0</v>
      </c>
      <c r="BR89" s="4">
        <f t="shared" si="67"/>
        <v>0</v>
      </c>
      <c r="BS89" s="4">
        <f t="shared" si="68"/>
        <v>0</v>
      </c>
      <c r="BT89" s="4">
        <f t="shared" si="69"/>
        <v>0</v>
      </c>
      <c r="BU89" s="4">
        <f t="shared" si="70"/>
        <v>0</v>
      </c>
      <c r="BV89" s="4">
        <f t="shared" si="71"/>
        <v>0</v>
      </c>
      <c r="BW89" s="4">
        <f t="shared" si="72"/>
        <v>0</v>
      </c>
      <c r="BX89" s="4">
        <f t="shared" si="73"/>
        <v>0</v>
      </c>
      <c r="BY89" s="4">
        <f t="shared" si="74"/>
        <v>0</v>
      </c>
      <c r="BZ89" s="4">
        <f t="shared" si="75"/>
        <v>0</v>
      </c>
      <c r="CA89" s="4">
        <f t="shared" si="76"/>
        <v>0</v>
      </c>
      <c r="CB89" s="4">
        <f t="shared" si="77"/>
        <v>0</v>
      </c>
      <c r="CC89" s="4">
        <f t="shared" si="78"/>
        <v>0</v>
      </c>
      <c r="CD89" s="4">
        <f t="shared" si="79"/>
        <v>0</v>
      </c>
      <c r="CE89" s="4">
        <f t="shared" si="80"/>
        <v>0</v>
      </c>
      <c r="CF89" s="4">
        <f t="shared" si="81"/>
        <v>0</v>
      </c>
      <c r="CG89" s="4">
        <f t="shared" si="82"/>
        <v>0</v>
      </c>
      <c r="CH89" s="4">
        <f t="shared" si="83"/>
        <v>0</v>
      </c>
      <c r="CI89" s="4">
        <f t="shared" si="84"/>
        <v>0</v>
      </c>
      <c r="CJ89" s="4">
        <f t="shared" si="85"/>
        <v>0</v>
      </c>
      <c r="CK89" s="4">
        <f t="shared" si="86"/>
        <v>0</v>
      </c>
      <c r="CL89" s="4">
        <f t="shared" si="87"/>
        <v>0</v>
      </c>
      <c r="CM89" s="4">
        <f t="shared" si="88"/>
        <v>0</v>
      </c>
      <c r="CN89" s="4">
        <f t="shared" si="89"/>
        <v>0</v>
      </c>
      <c r="CO89" s="4">
        <f t="shared" si="90"/>
        <v>0</v>
      </c>
      <c r="CP89" s="4">
        <f t="shared" si="91"/>
        <v>0</v>
      </c>
      <c r="CQ89" s="4">
        <f t="shared" si="92"/>
        <v>0</v>
      </c>
      <c r="CR89" s="4">
        <f t="shared" si="93"/>
        <v>0</v>
      </c>
      <c r="CS89" s="4">
        <f t="shared" si="94"/>
        <v>0</v>
      </c>
      <c r="CT89" s="4">
        <f t="shared" si="95"/>
        <v>0</v>
      </c>
      <c r="CU89" s="4">
        <f t="shared" si="96"/>
        <v>0</v>
      </c>
      <c r="CV89" s="4">
        <f t="shared" si="97"/>
        <v>0</v>
      </c>
      <c r="CW89" s="4">
        <f t="shared" si="98"/>
        <v>0</v>
      </c>
      <c r="CX89" s="4">
        <f t="shared" si="99"/>
        <v>0</v>
      </c>
      <c r="CY89" s="4">
        <f t="shared" si="100"/>
        <v>0</v>
      </c>
      <c r="CZ89" s="4">
        <f t="shared" si="101"/>
        <v>0</v>
      </c>
      <c r="DA89" s="4">
        <f t="shared" si="102"/>
        <v>0</v>
      </c>
      <c r="DB89" s="4">
        <f t="shared" si="103"/>
        <v>0</v>
      </c>
      <c r="DC89" s="4">
        <f t="shared" si="104"/>
        <v>0</v>
      </c>
      <c r="DD89" s="4">
        <f t="shared" si="105"/>
        <v>0</v>
      </c>
    </row>
    <row r="90" spans="1:108" x14ac:dyDescent="0.25">
      <c r="A90" s="41" t="str">
        <f>Skills!M72</f>
        <v>Melee, Blade</v>
      </c>
      <c r="B90" s="55" t="str">
        <f>Skills!N72</f>
        <v>Blade</v>
      </c>
      <c r="C90" s="22">
        <f t="shared" si="106"/>
        <v>0</v>
      </c>
      <c r="D90" s="112" t="e">
        <f>Skills!S72</f>
        <v>#N/A</v>
      </c>
      <c r="E90" s="113" t="e">
        <f>VLOOKUP("Melee",Calculations!$W$2:$X$6,2,FALSE)</f>
        <v>#REF!</v>
      </c>
      <c r="F90" s="19"/>
      <c r="G90" s="19"/>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56"/>
      <c r="BF90" s="4">
        <f t="shared" si="56"/>
        <v>0</v>
      </c>
      <c r="BG90" s="4">
        <f t="shared" si="56"/>
        <v>0</v>
      </c>
      <c r="BH90" s="4">
        <f t="shared" si="57"/>
        <v>0</v>
      </c>
      <c r="BI90" s="4">
        <f t="shared" si="58"/>
        <v>0</v>
      </c>
      <c r="BJ90" s="4">
        <f t="shared" si="59"/>
        <v>0</v>
      </c>
      <c r="BK90" s="4">
        <f t="shared" si="60"/>
        <v>0</v>
      </c>
      <c r="BL90" s="4">
        <f t="shared" si="61"/>
        <v>0</v>
      </c>
      <c r="BM90" s="4">
        <f t="shared" si="62"/>
        <v>0</v>
      </c>
      <c r="BN90" s="4">
        <f t="shared" si="63"/>
        <v>0</v>
      </c>
      <c r="BO90" s="4">
        <f t="shared" si="64"/>
        <v>0</v>
      </c>
      <c r="BP90" s="4">
        <f t="shared" si="65"/>
        <v>0</v>
      </c>
      <c r="BQ90" s="4">
        <f t="shared" si="66"/>
        <v>0</v>
      </c>
      <c r="BR90" s="4">
        <f t="shared" si="67"/>
        <v>0</v>
      </c>
      <c r="BS90" s="4">
        <f t="shared" si="68"/>
        <v>0</v>
      </c>
      <c r="BT90" s="4">
        <f t="shared" si="69"/>
        <v>0</v>
      </c>
      <c r="BU90" s="4">
        <f t="shared" si="70"/>
        <v>0</v>
      </c>
      <c r="BV90" s="4">
        <f t="shared" si="71"/>
        <v>0</v>
      </c>
      <c r="BW90" s="4">
        <f t="shared" si="72"/>
        <v>0</v>
      </c>
      <c r="BX90" s="4">
        <f t="shared" si="73"/>
        <v>0</v>
      </c>
      <c r="BY90" s="4">
        <f t="shared" si="74"/>
        <v>0</v>
      </c>
      <c r="BZ90" s="4">
        <f t="shared" si="75"/>
        <v>0</v>
      </c>
      <c r="CA90" s="4">
        <f t="shared" si="76"/>
        <v>0</v>
      </c>
      <c r="CB90" s="4">
        <f t="shared" si="77"/>
        <v>0</v>
      </c>
      <c r="CC90" s="4">
        <f t="shared" si="78"/>
        <v>0</v>
      </c>
      <c r="CD90" s="4">
        <f t="shared" si="79"/>
        <v>0</v>
      </c>
      <c r="CE90" s="4">
        <f t="shared" si="80"/>
        <v>0</v>
      </c>
      <c r="CF90" s="4">
        <f t="shared" si="81"/>
        <v>0</v>
      </c>
      <c r="CG90" s="4">
        <f t="shared" si="82"/>
        <v>0</v>
      </c>
      <c r="CH90" s="4">
        <f t="shared" si="83"/>
        <v>0</v>
      </c>
      <c r="CI90" s="4">
        <f t="shared" si="84"/>
        <v>0</v>
      </c>
      <c r="CJ90" s="4">
        <f t="shared" si="85"/>
        <v>0</v>
      </c>
      <c r="CK90" s="4">
        <f t="shared" si="86"/>
        <v>0</v>
      </c>
      <c r="CL90" s="4">
        <f t="shared" si="87"/>
        <v>0</v>
      </c>
      <c r="CM90" s="4">
        <f t="shared" si="88"/>
        <v>0</v>
      </c>
      <c r="CN90" s="4">
        <f t="shared" si="89"/>
        <v>0</v>
      </c>
      <c r="CO90" s="4">
        <f t="shared" si="90"/>
        <v>0</v>
      </c>
      <c r="CP90" s="4">
        <f t="shared" si="91"/>
        <v>0</v>
      </c>
      <c r="CQ90" s="4">
        <f t="shared" si="92"/>
        <v>0</v>
      </c>
      <c r="CR90" s="4">
        <f t="shared" si="93"/>
        <v>0</v>
      </c>
      <c r="CS90" s="4">
        <f t="shared" si="94"/>
        <v>0</v>
      </c>
      <c r="CT90" s="4">
        <f t="shared" si="95"/>
        <v>0</v>
      </c>
      <c r="CU90" s="4">
        <f t="shared" si="96"/>
        <v>0</v>
      </c>
      <c r="CV90" s="4">
        <f t="shared" si="97"/>
        <v>0</v>
      </c>
      <c r="CW90" s="4">
        <f t="shared" si="98"/>
        <v>0</v>
      </c>
      <c r="CX90" s="4">
        <f t="shared" si="99"/>
        <v>0</v>
      </c>
      <c r="CY90" s="4">
        <f t="shared" si="100"/>
        <v>0</v>
      </c>
      <c r="CZ90" s="4">
        <f t="shared" si="101"/>
        <v>0</v>
      </c>
      <c r="DA90" s="4">
        <f t="shared" si="102"/>
        <v>0</v>
      </c>
      <c r="DB90" s="4">
        <f t="shared" si="103"/>
        <v>0</v>
      </c>
      <c r="DC90" s="4">
        <f t="shared" si="104"/>
        <v>0</v>
      </c>
      <c r="DD90" s="4">
        <f t="shared" si="105"/>
        <v>0</v>
      </c>
    </row>
    <row r="91" spans="1:108" x14ac:dyDescent="0.25">
      <c r="A91" s="41" t="str">
        <f>Skills!M73</f>
        <v>Melee, Greater Blade</v>
      </c>
      <c r="B91" s="57" t="str">
        <f>Skills!N73</f>
        <v>Greater Blade</v>
      </c>
      <c r="C91" s="24">
        <f t="shared" si="106"/>
        <v>0</v>
      </c>
      <c r="D91" s="110" t="e">
        <f>Skills!S73</f>
        <v>#N/A</v>
      </c>
      <c r="E91" s="111" t="e">
        <f>VLOOKUP("Melee",Calculations!$W$2:$X$6,2,FALSE)</f>
        <v>#REF!</v>
      </c>
      <c r="F91" s="18"/>
      <c r="G91" s="18"/>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49"/>
      <c r="BF91" s="4">
        <f t="shared" si="56"/>
        <v>0</v>
      </c>
      <c r="BG91" s="4">
        <f t="shared" si="56"/>
        <v>0</v>
      </c>
      <c r="BH91" s="4">
        <f t="shared" si="57"/>
        <v>0</v>
      </c>
      <c r="BI91" s="4">
        <f t="shared" si="58"/>
        <v>0</v>
      </c>
      <c r="BJ91" s="4">
        <f t="shared" si="59"/>
        <v>0</v>
      </c>
      <c r="BK91" s="4">
        <f t="shared" si="60"/>
        <v>0</v>
      </c>
      <c r="BL91" s="4">
        <f t="shared" si="61"/>
        <v>0</v>
      </c>
      <c r="BM91" s="4">
        <f t="shared" si="62"/>
        <v>0</v>
      </c>
      <c r="BN91" s="4">
        <f t="shared" si="63"/>
        <v>0</v>
      </c>
      <c r="BO91" s="4">
        <f t="shared" si="64"/>
        <v>0</v>
      </c>
      <c r="BP91" s="4">
        <f t="shared" si="65"/>
        <v>0</v>
      </c>
      <c r="BQ91" s="4">
        <f t="shared" si="66"/>
        <v>0</v>
      </c>
      <c r="BR91" s="4">
        <f t="shared" si="67"/>
        <v>0</v>
      </c>
      <c r="BS91" s="4">
        <f t="shared" si="68"/>
        <v>0</v>
      </c>
      <c r="BT91" s="4">
        <f t="shared" si="69"/>
        <v>0</v>
      </c>
      <c r="BU91" s="4">
        <f t="shared" si="70"/>
        <v>0</v>
      </c>
      <c r="BV91" s="4">
        <f t="shared" si="71"/>
        <v>0</v>
      </c>
      <c r="BW91" s="4">
        <f t="shared" si="72"/>
        <v>0</v>
      </c>
      <c r="BX91" s="4">
        <f t="shared" si="73"/>
        <v>0</v>
      </c>
      <c r="BY91" s="4">
        <f t="shared" si="74"/>
        <v>0</v>
      </c>
      <c r="BZ91" s="4">
        <f t="shared" si="75"/>
        <v>0</v>
      </c>
      <c r="CA91" s="4">
        <f t="shared" si="76"/>
        <v>0</v>
      </c>
      <c r="CB91" s="4">
        <f t="shared" si="77"/>
        <v>0</v>
      </c>
      <c r="CC91" s="4">
        <f t="shared" si="78"/>
        <v>0</v>
      </c>
      <c r="CD91" s="4">
        <f t="shared" si="79"/>
        <v>0</v>
      </c>
      <c r="CE91" s="4">
        <f t="shared" si="80"/>
        <v>0</v>
      </c>
      <c r="CF91" s="4">
        <f t="shared" si="81"/>
        <v>0</v>
      </c>
      <c r="CG91" s="4">
        <f t="shared" si="82"/>
        <v>0</v>
      </c>
      <c r="CH91" s="4">
        <f t="shared" si="83"/>
        <v>0</v>
      </c>
      <c r="CI91" s="4">
        <f t="shared" si="84"/>
        <v>0</v>
      </c>
      <c r="CJ91" s="4">
        <f t="shared" si="85"/>
        <v>0</v>
      </c>
      <c r="CK91" s="4">
        <f t="shared" si="86"/>
        <v>0</v>
      </c>
      <c r="CL91" s="4">
        <f t="shared" si="87"/>
        <v>0</v>
      </c>
      <c r="CM91" s="4">
        <f t="shared" si="88"/>
        <v>0</v>
      </c>
      <c r="CN91" s="4">
        <f t="shared" si="89"/>
        <v>0</v>
      </c>
      <c r="CO91" s="4">
        <f t="shared" si="90"/>
        <v>0</v>
      </c>
      <c r="CP91" s="4">
        <f t="shared" si="91"/>
        <v>0</v>
      </c>
      <c r="CQ91" s="4">
        <f t="shared" si="92"/>
        <v>0</v>
      </c>
      <c r="CR91" s="4">
        <f t="shared" si="93"/>
        <v>0</v>
      </c>
      <c r="CS91" s="4">
        <f t="shared" si="94"/>
        <v>0</v>
      </c>
      <c r="CT91" s="4">
        <f t="shared" si="95"/>
        <v>0</v>
      </c>
      <c r="CU91" s="4">
        <f t="shared" si="96"/>
        <v>0</v>
      </c>
      <c r="CV91" s="4">
        <f t="shared" si="97"/>
        <v>0</v>
      </c>
      <c r="CW91" s="4">
        <f t="shared" si="98"/>
        <v>0</v>
      </c>
      <c r="CX91" s="4">
        <f t="shared" si="99"/>
        <v>0</v>
      </c>
      <c r="CY91" s="4">
        <f t="shared" si="100"/>
        <v>0</v>
      </c>
      <c r="CZ91" s="4">
        <f t="shared" si="101"/>
        <v>0</v>
      </c>
      <c r="DA91" s="4">
        <f t="shared" si="102"/>
        <v>0</v>
      </c>
      <c r="DB91" s="4">
        <f t="shared" si="103"/>
        <v>0</v>
      </c>
      <c r="DC91" s="4">
        <f t="shared" si="104"/>
        <v>0</v>
      </c>
      <c r="DD91" s="4">
        <f t="shared" si="105"/>
        <v>0</v>
      </c>
    </row>
    <row r="92" spans="1:108" x14ac:dyDescent="0.25">
      <c r="A92" s="41" t="str">
        <f>Skills!M74</f>
        <v>Melee, Chain</v>
      </c>
      <c r="B92" s="55" t="str">
        <f>Skills!N74</f>
        <v>Chain</v>
      </c>
      <c r="C92" s="22">
        <f t="shared" si="106"/>
        <v>0</v>
      </c>
      <c r="D92" s="112" t="e">
        <f>Skills!S74</f>
        <v>#N/A</v>
      </c>
      <c r="E92" s="113" t="e">
        <f>VLOOKUP("Melee",Calculations!$W$2:$X$6,2,FALSE)</f>
        <v>#REF!</v>
      </c>
      <c r="F92" s="19"/>
      <c r="G92" s="19"/>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56"/>
      <c r="BF92" s="4">
        <f t="shared" si="56"/>
        <v>0</v>
      </c>
      <c r="BG92" s="4">
        <f t="shared" si="56"/>
        <v>0</v>
      </c>
      <c r="BH92" s="4">
        <f t="shared" si="57"/>
        <v>0</v>
      </c>
      <c r="BI92" s="4">
        <f t="shared" si="58"/>
        <v>0</v>
      </c>
      <c r="BJ92" s="4">
        <f t="shared" si="59"/>
        <v>0</v>
      </c>
      <c r="BK92" s="4">
        <f t="shared" si="60"/>
        <v>0</v>
      </c>
      <c r="BL92" s="4">
        <f t="shared" si="61"/>
        <v>0</v>
      </c>
      <c r="BM92" s="4">
        <f t="shared" si="62"/>
        <v>0</v>
      </c>
      <c r="BN92" s="4">
        <f t="shared" si="63"/>
        <v>0</v>
      </c>
      <c r="BO92" s="4">
        <f t="shared" si="64"/>
        <v>0</v>
      </c>
      <c r="BP92" s="4">
        <f t="shared" si="65"/>
        <v>0</v>
      </c>
      <c r="BQ92" s="4">
        <f t="shared" si="66"/>
        <v>0</v>
      </c>
      <c r="BR92" s="4">
        <f t="shared" si="67"/>
        <v>0</v>
      </c>
      <c r="BS92" s="4">
        <f t="shared" si="68"/>
        <v>0</v>
      </c>
      <c r="BT92" s="4">
        <f t="shared" si="69"/>
        <v>0</v>
      </c>
      <c r="BU92" s="4">
        <f t="shared" si="70"/>
        <v>0</v>
      </c>
      <c r="BV92" s="4">
        <f t="shared" si="71"/>
        <v>0</v>
      </c>
      <c r="BW92" s="4">
        <f t="shared" si="72"/>
        <v>0</v>
      </c>
      <c r="BX92" s="4">
        <f t="shared" si="73"/>
        <v>0</v>
      </c>
      <c r="BY92" s="4">
        <f t="shared" si="74"/>
        <v>0</v>
      </c>
      <c r="BZ92" s="4">
        <f t="shared" si="75"/>
        <v>0</v>
      </c>
      <c r="CA92" s="4">
        <f t="shared" si="76"/>
        <v>0</v>
      </c>
      <c r="CB92" s="4">
        <f t="shared" si="77"/>
        <v>0</v>
      </c>
      <c r="CC92" s="4">
        <f t="shared" si="78"/>
        <v>0</v>
      </c>
      <c r="CD92" s="4">
        <f t="shared" si="79"/>
        <v>0</v>
      </c>
      <c r="CE92" s="4">
        <f t="shared" si="80"/>
        <v>0</v>
      </c>
      <c r="CF92" s="4">
        <f t="shared" si="81"/>
        <v>0</v>
      </c>
      <c r="CG92" s="4">
        <f t="shared" si="82"/>
        <v>0</v>
      </c>
      <c r="CH92" s="4">
        <f t="shared" si="83"/>
        <v>0</v>
      </c>
      <c r="CI92" s="4">
        <f t="shared" si="84"/>
        <v>0</v>
      </c>
      <c r="CJ92" s="4">
        <f t="shared" si="85"/>
        <v>0</v>
      </c>
      <c r="CK92" s="4">
        <f t="shared" si="86"/>
        <v>0</v>
      </c>
      <c r="CL92" s="4">
        <f t="shared" si="87"/>
        <v>0</v>
      </c>
      <c r="CM92" s="4">
        <f t="shared" si="88"/>
        <v>0</v>
      </c>
      <c r="CN92" s="4">
        <f t="shared" si="89"/>
        <v>0</v>
      </c>
      <c r="CO92" s="4">
        <f t="shared" si="90"/>
        <v>0</v>
      </c>
      <c r="CP92" s="4">
        <f t="shared" si="91"/>
        <v>0</v>
      </c>
      <c r="CQ92" s="4">
        <f t="shared" si="92"/>
        <v>0</v>
      </c>
      <c r="CR92" s="4">
        <f t="shared" si="93"/>
        <v>0</v>
      </c>
      <c r="CS92" s="4">
        <f t="shared" si="94"/>
        <v>0</v>
      </c>
      <c r="CT92" s="4">
        <f t="shared" si="95"/>
        <v>0</v>
      </c>
      <c r="CU92" s="4">
        <f t="shared" si="96"/>
        <v>0</v>
      </c>
      <c r="CV92" s="4">
        <f t="shared" si="97"/>
        <v>0</v>
      </c>
      <c r="CW92" s="4">
        <f t="shared" si="98"/>
        <v>0</v>
      </c>
      <c r="CX92" s="4">
        <f t="shared" si="99"/>
        <v>0</v>
      </c>
      <c r="CY92" s="4">
        <f t="shared" si="100"/>
        <v>0</v>
      </c>
      <c r="CZ92" s="4">
        <f t="shared" si="101"/>
        <v>0</v>
      </c>
      <c r="DA92" s="4">
        <f t="shared" si="102"/>
        <v>0</v>
      </c>
      <c r="DB92" s="4">
        <f t="shared" si="103"/>
        <v>0</v>
      </c>
      <c r="DC92" s="4">
        <f t="shared" si="104"/>
        <v>0</v>
      </c>
      <c r="DD92" s="4">
        <f t="shared" si="105"/>
        <v>0</v>
      </c>
    </row>
    <row r="93" spans="1:108" x14ac:dyDescent="0.25">
      <c r="A93" s="41" t="str">
        <f>Skills!M75</f>
        <v>Melee, Greater Chain</v>
      </c>
      <c r="B93" s="57" t="str">
        <f>Skills!N75</f>
        <v>Greater Chain</v>
      </c>
      <c r="C93" s="24">
        <f t="shared" si="106"/>
        <v>0</v>
      </c>
      <c r="D93" s="110" t="e">
        <f>Skills!S75</f>
        <v>#N/A</v>
      </c>
      <c r="E93" s="111" t="e">
        <f>VLOOKUP("Melee",Calculations!$W$2:$X$6,2,FALSE)</f>
        <v>#REF!</v>
      </c>
      <c r="F93" s="18"/>
      <c r="G93" s="18"/>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49"/>
      <c r="BF93" s="4">
        <f t="shared" si="56"/>
        <v>0</v>
      </c>
      <c r="BG93" s="4">
        <f t="shared" si="56"/>
        <v>0</v>
      </c>
      <c r="BH93" s="4">
        <f t="shared" si="57"/>
        <v>0</v>
      </c>
      <c r="BI93" s="4">
        <f t="shared" si="58"/>
        <v>0</v>
      </c>
      <c r="BJ93" s="4">
        <f t="shared" si="59"/>
        <v>0</v>
      </c>
      <c r="BK93" s="4">
        <f t="shared" si="60"/>
        <v>0</v>
      </c>
      <c r="BL93" s="4">
        <f t="shared" si="61"/>
        <v>0</v>
      </c>
      <c r="BM93" s="4">
        <f t="shared" si="62"/>
        <v>0</v>
      </c>
      <c r="BN93" s="4">
        <f t="shared" si="63"/>
        <v>0</v>
      </c>
      <c r="BO93" s="4">
        <f t="shared" si="64"/>
        <v>0</v>
      </c>
      <c r="BP93" s="4">
        <f t="shared" si="65"/>
        <v>0</v>
      </c>
      <c r="BQ93" s="4">
        <f t="shared" si="66"/>
        <v>0</v>
      </c>
      <c r="BR93" s="4">
        <f t="shared" si="67"/>
        <v>0</v>
      </c>
      <c r="BS93" s="4">
        <f t="shared" si="68"/>
        <v>0</v>
      </c>
      <c r="BT93" s="4">
        <f t="shared" si="69"/>
        <v>0</v>
      </c>
      <c r="BU93" s="4">
        <f t="shared" si="70"/>
        <v>0</v>
      </c>
      <c r="BV93" s="4">
        <f t="shared" si="71"/>
        <v>0</v>
      </c>
      <c r="BW93" s="4">
        <f t="shared" si="72"/>
        <v>0</v>
      </c>
      <c r="BX93" s="4">
        <f t="shared" si="73"/>
        <v>0</v>
      </c>
      <c r="BY93" s="4">
        <f t="shared" si="74"/>
        <v>0</v>
      </c>
      <c r="BZ93" s="4">
        <f t="shared" si="75"/>
        <v>0</v>
      </c>
      <c r="CA93" s="4">
        <f t="shared" si="76"/>
        <v>0</v>
      </c>
      <c r="CB93" s="4">
        <f t="shared" si="77"/>
        <v>0</v>
      </c>
      <c r="CC93" s="4">
        <f t="shared" si="78"/>
        <v>0</v>
      </c>
      <c r="CD93" s="4">
        <f t="shared" si="79"/>
        <v>0</v>
      </c>
      <c r="CE93" s="4">
        <f t="shared" si="80"/>
        <v>0</v>
      </c>
      <c r="CF93" s="4">
        <f t="shared" si="81"/>
        <v>0</v>
      </c>
      <c r="CG93" s="4">
        <f t="shared" si="82"/>
        <v>0</v>
      </c>
      <c r="CH93" s="4">
        <f t="shared" si="83"/>
        <v>0</v>
      </c>
      <c r="CI93" s="4">
        <f t="shared" si="84"/>
        <v>0</v>
      </c>
      <c r="CJ93" s="4">
        <f t="shared" si="85"/>
        <v>0</v>
      </c>
      <c r="CK93" s="4">
        <f t="shared" si="86"/>
        <v>0</v>
      </c>
      <c r="CL93" s="4">
        <f t="shared" si="87"/>
        <v>0</v>
      </c>
      <c r="CM93" s="4">
        <f t="shared" si="88"/>
        <v>0</v>
      </c>
      <c r="CN93" s="4">
        <f t="shared" si="89"/>
        <v>0</v>
      </c>
      <c r="CO93" s="4">
        <f t="shared" si="90"/>
        <v>0</v>
      </c>
      <c r="CP93" s="4">
        <f t="shared" si="91"/>
        <v>0</v>
      </c>
      <c r="CQ93" s="4">
        <f t="shared" si="92"/>
        <v>0</v>
      </c>
      <c r="CR93" s="4">
        <f t="shared" si="93"/>
        <v>0</v>
      </c>
      <c r="CS93" s="4">
        <f t="shared" si="94"/>
        <v>0</v>
      </c>
      <c r="CT93" s="4">
        <f t="shared" si="95"/>
        <v>0</v>
      </c>
      <c r="CU93" s="4">
        <f t="shared" si="96"/>
        <v>0</v>
      </c>
      <c r="CV93" s="4">
        <f t="shared" si="97"/>
        <v>0</v>
      </c>
      <c r="CW93" s="4">
        <f t="shared" si="98"/>
        <v>0</v>
      </c>
      <c r="CX93" s="4">
        <f t="shared" si="99"/>
        <v>0</v>
      </c>
      <c r="CY93" s="4">
        <f t="shared" si="100"/>
        <v>0</v>
      </c>
      <c r="CZ93" s="4">
        <f t="shared" si="101"/>
        <v>0</v>
      </c>
      <c r="DA93" s="4">
        <f t="shared" si="102"/>
        <v>0</v>
      </c>
      <c r="DB93" s="4">
        <f t="shared" si="103"/>
        <v>0</v>
      </c>
      <c r="DC93" s="4">
        <f t="shared" si="104"/>
        <v>0</v>
      </c>
      <c r="DD93" s="4">
        <f t="shared" si="105"/>
        <v>0</v>
      </c>
    </row>
    <row r="94" spans="1:108" x14ac:dyDescent="0.25">
      <c r="A94" s="41" t="str">
        <f>Skills!M76</f>
        <v>Melee, Hafted</v>
      </c>
      <c r="B94" s="55" t="str">
        <f>Skills!N76</f>
        <v>Hafted</v>
      </c>
      <c r="C94" s="22">
        <f t="shared" si="106"/>
        <v>0</v>
      </c>
      <c r="D94" s="112" t="e">
        <f>Skills!S76</f>
        <v>#N/A</v>
      </c>
      <c r="E94" s="113" t="e">
        <f>VLOOKUP("Melee",Calculations!$W$2:$X$6,2,FALSE)</f>
        <v>#REF!</v>
      </c>
      <c r="F94" s="19"/>
      <c r="G94" s="19"/>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56"/>
      <c r="BF94" s="4">
        <f t="shared" si="56"/>
        <v>0</v>
      </c>
      <c r="BG94" s="4">
        <f t="shared" si="56"/>
        <v>0</v>
      </c>
      <c r="BH94" s="4">
        <f t="shared" si="57"/>
        <v>0</v>
      </c>
      <c r="BI94" s="4">
        <f t="shared" si="58"/>
        <v>0</v>
      </c>
      <c r="BJ94" s="4">
        <f t="shared" si="59"/>
        <v>0</v>
      </c>
      <c r="BK94" s="4">
        <f t="shared" si="60"/>
        <v>0</v>
      </c>
      <c r="BL94" s="4">
        <f t="shared" si="61"/>
        <v>0</v>
      </c>
      <c r="BM94" s="4">
        <f t="shared" si="62"/>
        <v>0</v>
      </c>
      <c r="BN94" s="4">
        <f t="shared" si="63"/>
        <v>0</v>
      </c>
      <c r="BO94" s="4">
        <f t="shared" si="64"/>
        <v>0</v>
      </c>
      <c r="BP94" s="4">
        <f t="shared" si="65"/>
        <v>0</v>
      </c>
      <c r="BQ94" s="4">
        <f t="shared" si="66"/>
        <v>0</v>
      </c>
      <c r="BR94" s="4">
        <f t="shared" si="67"/>
        <v>0</v>
      </c>
      <c r="BS94" s="4">
        <f t="shared" si="68"/>
        <v>0</v>
      </c>
      <c r="BT94" s="4">
        <f t="shared" si="69"/>
        <v>0</v>
      </c>
      <c r="BU94" s="4">
        <f t="shared" si="70"/>
        <v>0</v>
      </c>
      <c r="BV94" s="4">
        <f t="shared" si="71"/>
        <v>0</v>
      </c>
      <c r="BW94" s="4">
        <f t="shared" si="72"/>
        <v>0</v>
      </c>
      <c r="BX94" s="4">
        <f t="shared" si="73"/>
        <v>0</v>
      </c>
      <c r="BY94" s="4">
        <f t="shared" si="74"/>
        <v>0</v>
      </c>
      <c r="BZ94" s="4">
        <f t="shared" si="75"/>
        <v>0</v>
      </c>
      <c r="CA94" s="4">
        <f t="shared" si="76"/>
        <v>0</v>
      </c>
      <c r="CB94" s="4">
        <f t="shared" si="77"/>
        <v>0</v>
      </c>
      <c r="CC94" s="4">
        <f t="shared" si="78"/>
        <v>0</v>
      </c>
      <c r="CD94" s="4">
        <f t="shared" si="79"/>
        <v>0</v>
      </c>
      <c r="CE94" s="4">
        <f t="shared" si="80"/>
        <v>0</v>
      </c>
      <c r="CF94" s="4">
        <f t="shared" si="81"/>
        <v>0</v>
      </c>
      <c r="CG94" s="4">
        <f t="shared" si="82"/>
        <v>0</v>
      </c>
      <c r="CH94" s="4">
        <f t="shared" si="83"/>
        <v>0</v>
      </c>
      <c r="CI94" s="4">
        <f t="shared" si="84"/>
        <v>0</v>
      </c>
      <c r="CJ94" s="4">
        <f t="shared" si="85"/>
        <v>0</v>
      </c>
      <c r="CK94" s="4">
        <f t="shared" si="86"/>
        <v>0</v>
      </c>
      <c r="CL94" s="4">
        <f t="shared" si="87"/>
        <v>0</v>
      </c>
      <c r="CM94" s="4">
        <f t="shared" si="88"/>
        <v>0</v>
      </c>
      <c r="CN94" s="4">
        <f t="shared" si="89"/>
        <v>0</v>
      </c>
      <c r="CO94" s="4">
        <f t="shared" si="90"/>
        <v>0</v>
      </c>
      <c r="CP94" s="4">
        <f t="shared" si="91"/>
        <v>0</v>
      </c>
      <c r="CQ94" s="4">
        <f t="shared" si="92"/>
        <v>0</v>
      </c>
      <c r="CR94" s="4">
        <f t="shared" si="93"/>
        <v>0</v>
      </c>
      <c r="CS94" s="4">
        <f t="shared" si="94"/>
        <v>0</v>
      </c>
      <c r="CT94" s="4">
        <f t="shared" si="95"/>
        <v>0</v>
      </c>
      <c r="CU94" s="4">
        <f t="shared" si="96"/>
        <v>0</v>
      </c>
      <c r="CV94" s="4">
        <f t="shared" si="97"/>
        <v>0</v>
      </c>
      <c r="CW94" s="4">
        <f t="shared" si="98"/>
        <v>0</v>
      </c>
      <c r="CX94" s="4">
        <f t="shared" si="99"/>
        <v>0</v>
      </c>
      <c r="CY94" s="4">
        <f t="shared" si="100"/>
        <v>0</v>
      </c>
      <c r="CZ94" s="4">
        <f t="shared" si="101"/>
        <v>0</v>
      </c>
      <c r="DA94" s="4">
        <f t="shared" si="102"/>
        <v>0</v>
      </c>
      <c r="DB94" s="4">
        <f t="shared" si="103"/>
        <v>0</v>
      </c>
      <c r="DC94" s="4">
        <f t="shared" si="104"/>
        <v>0</v>
      </c>
      <c r="DD94" s="4">
        <f t="shared" si="105"/>
        <v>0</v>
      </c>
    </row>
    <row r="95" spans="1:108" x14ac:dyDescent="0.25">
      <c r="A95" s="41" t="str">
        <f>Skills!M77</f>
        <v>Melee, Greater Hafted</v>
      </c>
      <c r="B95" s="57" t="str">
        <f>Skills!N77</f>
        <v>Greater Hafted</v>
      </c>
      <c r="C95" s="24">
        <f t="shared" si="106"/>
        <v>0</v>
      </c>
      <c r="D95" s="110" t="e">
        <f>Skills!S77</f>
        <v>#N/A</v>
      </c>
      <c r="E95" s="111" t="e">
        <f>VLOOKUP("Melee",Calculations!$W$2:$X$6,2,FALSE)</f>
        <v>#REF!</v>
      </c>
      <c r="F95" s="18"/>
      <c r="G95" s="18"/>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49"/>
      <c r="BF95" s="4">
        <f t="shared" si="56"/>
        <v>0</v>
      </c>
      <c r="BG95" s="4">
        <f t="shared" si="56"/>
        <v>0</v>
      </c>
      <c r="BH95" s="4">
        <f t="shared" si="57"/>
        <v>0</v>
      </c>
      <c r="BI95" s="4">
        <f t="shared" si="58"/>
        <v>0</v>
      </c>
      <c r="BJ95" s="4">
        <f t="shared" si="59"/>
        <v>0</v>
      </c>
      <c r="BK95" s="4">
        <f t="shared" si="60"/>
        <v>0</v>
      </c>
      <c r="BL95" s="4">
        <f t="shared" si="61"/>
        <v>0</v>
      </c>
      <c r="BM95" s="4">
        <f t="shared" si="62"/>
        <v>0</v>
      </c>
      <c r="BN95" s="4">
        <f t="shared" si="63"/>
        <v>0</v>
      </c>
      <c r="BO95" s="4">
        <f t="shared" si="64"/>
        <v>0</v>
      </c>
      <c r="BP95" s="4">
        <f t="shared" si="65"/>
        <v>0</v>
      </c>
      <c r="BQ95" s="4">
        <f t="shared" si="66"/>
        <v>0</v>
      </c>
      <c r="BR95" s="4">
        <f t="shared" si="67"/>
        <v>0</v>
      </c>
      <c r="BS95" s="4">
        <f t="shared" si="68"/>
        <v>0</v>
      </c>
      <c r="BT95" s="4">
        <f t="shared" si="69"/>
        <v>0</v>
      </c>
      <c r="BU95" s="4">
        <f t="shared" si="70"/>
        <v>0</v>
      </c>
      <c r="BV95" s="4">
        <f t="shared" si="71"/>
        <v>0</v>
      </c>
      <c r="BW95" s="4">
        <f t="shared" si="72"/>
        <v>0</v>
      </c>
      <c r="BX95" s="4">
        <f t="shared" si="73"/>
        <v>0</v>
      </c>
      <c r="BY95" s="4">
        <f t="shared" si="74"/>
        <v>0</v>
      </c>
      <c r="BZ95" s="4">
        <f t="shared" si="75"/>
        <v>0</v>
      </c>
      <c r="CA95" s="4">
        <f t="shared" si="76"/>
        <v>0</v>
      </c>
      <c r="CB95" s="4">
        <f t="shared" si="77"/>
        <v>0</v>
      </c>
      <c r="CC95" s="4">
        <f t="shared" si="78"/>
        <v>0</v>
      </c>
      <c r="CD95" s="4">
        <f t="shared" si="79"/>
        <v>0</v>
      </c>
      <c r="CE95" s="4">
        <f t="shared" si="80"/>
        <v>0</v>
      </c>
      <c r="CF95" s="4">
        <f t="shared" si="81"/>
        <v>0</v>
      </c>
      <c r="CG95" s="4">
        <f t="shared" si="82"/>
        <v>0</v>
      </c>
      <c r="CH95" s="4">
        <f t="shared" si="83"/>
        <v>0</v>
      </c>
      <c r="CI95" s="4">
        <f t="shared" si="84"/>
        <v>0</v>
      </c>
      <c r="CJ95" s="4">
        <f t="shared" si="85"/>
        <v>0</v>
      </c>
      <c r="CK95" s="4">
        <f t="shared" si="86"/>
        <v>0</v>
      </c>
      <c r="CL95" s="4">
        <f t="shared" si="87"/>
        <v>0</v>
      </c>
      <c r="CM95" s="4">
        <f t="shared" si="88"/>
        <v>0</v>
      </c>
      <c r="CN95" s="4">
        <f t="shared" si="89"/>
        <v>0</v>
      </c>
      <c r="CO95" s="4">
        <f t="shared" si="90"/>
        <v>0</v>
      </c>
      <c r="CP95" s="4">
        <f t="shared" si="91"/>
        <v>0</v>
      </c>
      <c r="CQ95" s="4">
        <f t="shared" si="92"/>
        <v>0</v>
      </c>
      <c r="CR95" s="4">
        <f t="shared" si="93"/>
        <v>0</v>
      </c>
      <c r="CS95" s="4">
        <f t="shared" si="94"/>
        <v>0</v>
      </c>
      <c r="CT95" s="4">
        <f t="shared" si="95"/>
        <v>0</v>
      </c>
      <c r="CU95" s="4">
        <f t="shared" si="96"/>
        <v>0</v>
      </c>
      <c r="CV95" s="4">
        <f t="shared" si="97"/>
        <v>0</v>
      </c>
      <c r="CW95" s="4">
        <f t="shared" si="98"/>
        <v>0</v>
      </c>
      <c r="CX95" s="4">
        <f t="shared" si="99"/>
        <v>0</v>
      </c>
      <c r="CY95" s="4">
        <f t="shared" si="100"/>
        <v>0</v>
      </c>
      <c r="CZ95" s="4">
        <f t="shared" si="101"/>
        <v>0</v>
      </c>
      <c r="DA95" s="4">
        <f t="shared" si="102"/>
        <v>0</v>
      </c>
      <c r="DB95" s="4">
        <f t="shared" si="103"/>
        <v>0</v>
      </c>
      <c r="DC95" s="4">
        <f t="shared" si="104"/>
        <v>0</v>
      </c>
      <c r="DD95" s="4">
        <f t="shared" si="105"/>
        <v>0</v>
      </c>
    </row>
    <row r="96" spans="1:108" x14ac:dyDescent="0.25">
      <c r="A96" s="41" t="str">
        <f>Skills!M78</f>
        <v>Melee, Pole-arm</v>
      </c>
      <c r="B96" s="55" t="str">
        <f>Skills!N78</f>
        <v>Pole-arm</v>
      </c>
      <c r="C96" s="22">
        <f t="shared" si="106"/>
        <v>0</v>
      </c>
      <c r="D96" s="112" t="e">
        <f>Skills!S78</f>
        <v>#N/A</v>
      </c>
      <c r="E96" s="113" t="e">
        <f>VLOOKUP("Melee",Calculations!$W$2:$X$6,2,FALSE)</f>
        <v>#REF!</v>
      </c>
      <c r="F96" s="19"/>
      <c r="G96" s="19"/>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56"/>
      <c r="BF96" s="4">
        <f t="shared" si="56"/>
        <v>0</v>
      </c>
      <c r="BG96" s="4">
        <f t="shared" si="56"/>
        <v>0</v>
      </c>
      <c r="BH96" s="4">
        <f t="shared" si="57"/>
        <v>0</v>
      </c>
      <c r="BI96" s="4">
        <f t="shared" si="58"/>
        <v>0</v>
      </c>
      <c r="BJ96" s="4">
        <f t="shared" si="59"/>
        <v>0</v>
      </c>
      <c r="BK96" s="4">
        <f t="shared" si="60"/>
        <v>0</v>
      </c>
      <c r="BL96" s="4">
        <f t="shared" si="61"/>
        <v>0</v>
      </c>
      <c r="BM96" s="4">
        <f t="shared" si="62"/>
        <v>0</v>
      </c>
      <c r="BN96" s="4">
        <f t="shared" si="63"/>
        <v>0</v>
      </c>
      <c r="BO96" s="4">
        <f t="shared" si="64"/>
        <v>0</v>
      </c>
      <c r="BP96" s="4">
        <f t="shared" si="65"/>
        <v>0</v>
      </c>
      <c r="BQ96" s="4">
        <f t="shared" si="66"/>
        <v>0</v>
      </c>
      <c r="BR96" s="4">
        <f t="shared" si="67"/>
        <v>0</v>
      </c>
      <c r="BS96" s="4">
        <f t="shared" si="68"/>
        <v>0</v>
      </c>
      <c r="BT96" s="4">
        <f t="shared" si="69"/>
        <v>0</v>
      </c>
      <c r="BU96" s="4">
        <f t="shared" si="70"/>
        <v>0</v>
      </c>
      <c r="BV96" s="4">
        <f t="shared" si="71"/>
        <v>0</v>
      </c>
      <c r="BW96" s="4">
        <f t="shared" si="72"/>
        <v>0</v>
      </c>
      <c r="BX96" s="4">
        <f t="shared" si="73"/>
        <v>0</v>
      </c>
      <c r="BY96" s="4">
        <f t="shared" si="74"/>
        <v>0</v>
      </c>
      <c r="BZ96" s="4">
        <f t="shared" si="75"/>
        <v>0</v>
      </c>
      <c r="CA96" s="4">
        <f t="shared" si="76"/>
        <v>0</v>
      </c>
      <c r="CB96" s="4">
        <f t="shared" si="77"/>
        <v>0</v>
      </c>
      <c r="CC96" s="4">
        <f t="shared" si="78"/>
        <v>0</v>
      </c>
      <c r="CD96" s="4">
        <f t="shared" si="79"/>
        <v>0</v>
      </c>
      <c r="CE96" s="4">
        <f t="shared" si="80"/>
        <v>0</v>
      </c>
      <c r="CF96" s="4">
        <f t="shared" si="81"/>
        <v>0</v>
      </c>
      <c r="CG96" s="4">
        <f t="shared" si="82"/>
        <v>0</v>
      </c>
      <c r="CH96" s="4">
        <f t="shared" si="83"/>
        <v>0</v>
      </c>
      <c r="CI96" s="4">
        <f t="shared" si="84"/>
        <v>0</v>
      </c>
      <c r="CJ96" s="4">
        <f t="shared" si="85"/>
        <v>0</v>
      </c>
      <c r="CK96" s="4">
        <f t="shared" si="86"/>
        <v>0</v>
      </c>
      <c r="CL96" s="4">
        <f t="shared" si="87"/>
        <v>0</v>
      </c>
      <c r="CM96" s="4">
        <f t="shared" si="88"/>
        <v>0</v>
      </c>
      <c r="CN96" s="4">
        <f t="shared" si="89"/>
        <v>0</v>
      </c>
      <c r="CO96" s="4">
        <f t="shared" si="90"/>
        <v>0</v>
      </c>
      <c r="CP96" s="4">
        <f t="shared" si="91"/>
        <v>0</v>
      </c>
      <c r="CQ96" s="4">
        <f t="shared" si="92"/>
        <v>0</v>
      </c>
      <c r="CR96" s="4">
        <f t="shared" si="93"/>
        <v>0</v>
      </c>
      <c r="CS96" s="4">
        <f t="shared" si="94"/>
        <v>0</v>
      </c>
      <c r="CT96" s="4">
        <f t="shared" si="95"/>
        <v>0</v>
      </c>
      <c r="CU96" s="4">
        <f t="shared" si="96"/>
        <v>0</v>
      </c>
      <c r="CV96" s="4">
        <f t="shared" si="97"/>
        <v>0</v>
      </c>
      <c r="CW96" s="4">
        <f t="shared" si="98"/>
        <v>0</v>
      </c>
      <c r="CX96" s="4">
        <f t="shared" si="99"/>
        <v>0</v>
      </c>
      <c r="CY96" s="4">
        <f t="shared" si="100"/>
        <v>0</v>
      </c>
      <c r="CZ96" s="4">
        <f t="shared" si="101"/>
        <v>0</v>
      </c>
      <c r="DA96" s="4">
        <f t="shared" si="102"/>
        <v>0</v>
      </c>
      <c r="DB96" s="4">
        <f t="shared" si="103"/>
        <v>0</v>
      </c>
      <c r="DC96" s="4">
        <f t="shared" si="104"/>
        <v>0</v>
      </c>
      <c r="DD96" s="4">
        <f t="shared" si="105"/>
        <v>0</v>
      </c>
    </row>
    <row r="97" spans="1:108" x14ac:dyDescent="0.25">
      <c r="A97" s="41" t="str">
        <f>Skills!M79</f>
        <v>Melee, Shield Bash</v>
      </c>
      <c r="B97" s="57" t="str">
        <f>Skills!N79</f>
        <v>Shield Bash</v>
      </c>
      <c r="C97" s="24">
        <f t="shared" si="106"/>
        <v>0</v>
      </c>
      <c r="D97" s="110" t="e">
        <f>Skills!S79</f>
        <v>#N/A</v>
      </c>
      <c r="E97" s="111" t="e">
        <f>VLOOKUP("Melee",Calculations!$W$2:$X$6,2,FALSE)</f>
        <v>#REF!</v>
      </c>
      <c r="F97" s="18"/>
      <c r="G97" s="18"/>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49"/>
      <c r="BF97" s="4">
        <f t="shared" si="56"/>
        <v>0</v>
      </c>
      <c r="BG97" s="4">
        <f t="shared" si="56"/>
        <v>0</v>
      </c>
      <c r="BH97" s="4">
        <f t="shared" si="57"/>
        <v>0</v>
      </c>
      <c r="BI97" s="4">
        <f t="shared" si="58"/>
        <v>0</v>
      </c>
      <c r="BJ97" s="4">
        <f t="shared" si="59"/>
        <v>0</v>
      </c>
      <c r="BK97" s="4">
        <f t="shared" si="60"/>
        <v>0</v>
      </c>
      <c r="BL97" s="4">
        <f t="shared" si="61"/>
        <v>0</v>
      </c>
      <c r="BM97" s="4">
        <f t="shared" si="62"/>
        <v>0</v>
      </c>
      <c r="BN97" s="4">
        <f t="shared" si="63"/>
        <v>0</v>
      </c>
      <c r="BO97" s="4">
        <f t="shared" si="64"/>
        <v>0</v>
      </c>
      <c r="BP97" s="4">
        <f t="shared" si="65"/>
        <v>0</v>
      </c>
      <c r="BQ97" s="4">
        <f t="shared" si="66"/>
        <v>0</v>
      </c>
      <c r="BR97" s="4">
        <f t="shared" si="67"/>
        <v>0</v>
      </c>
      <c r="BS97" s="4">
        <f t="shared" si="68"/>
        <v>0</v>
      </c>
      <c r="BT97" s="4">
        <f t="shared" si="69"/>
        <v>0</v>
      </c>
      <c r="BU97" s="4">
        <f t="shared" si="70"/>
        <v>0</v>
      </c>
      <c r="BV97" s="4">
        <f t="shared" si="71"/>
        <v>0</v>
      </c>
      <c r="BW97" s="4">
        <f t="shared" si="72"/>
        <v>0</v>
      </c>
      <c r="BX97" s="4">
        <f t="shared" si="73"/>
        <v>0</v>
      </c>
      <c r="BY97" s="4">
        <f t="shared" si="74"/>
        <v>0</v>
      </c>
      <c r="BZ97" s="4">
        <f t="shared" si="75"/>
        <v>0</v>
      </c>
      <c r="CA97" s="4">
        <f t="shared" si="76"/>
        <v>0</v>
      </c>
      <c r="CB97" s="4">
        <f t="shared" si="77"/>
        <v>0</v>
      </c>
      <c r="CC97" s="4">
        <f t="shared" si="78"/>
        <v>0</v>
      </c>
      <c r="CD97" s="4">
        <f t="shared" si="79"/>
        <v>0</v>
      </c>
      <c r="CE97" s="4">
        <f t="shared" si="80"/>
        <v>0</v>
      </c>
      <c r="CF97" s="4">
        <f t="shared" si="81"/>
        <v>0</v>
      </c>
      <c r="CG97" s="4">
        <f t="shared" si="82"/>
        <v>0</v>
      </c>
      <c r="CH97" s="4">
        <f t="shared" si="83"/>
        <v>0</v>
      </c>
      <c r="CI97" s="4">
        <f t="shared" si="84"/>
        <v>0</v>
      </c>
      <c r="CJ97" s="4">
        <f t="shared" si="85"/>
        <v>0</v>
      </c>
      <c r="CK97" s="4">
        <f t="shared" si="86"/>
        <v>0</v>
      </c>
      <c r="CL97" s="4">
        <f t="shared" si="87"/>
        <v>0</v>
      </c>
      <c r="CM97" s="4">
        <f t="shared" si="88"/>
        <v>0</v>
      </c>
      <c r="CN97" s="4">
        <f t="shared" si="89"/>
        <v>0</v>
      </c>
      <c r="CO97" s="4">
        <f t="shared" si="90"/>
        <v>0</v>
      </c>
      <c r="CP97" s="4">
        <f t="shared" si="91"/>
        <v>0</v>
      </c>
      <c r="CQ97" s="4">
        <f t="shared" si="92"/>
        <v>0</v>
      </c>
      <c r="CR97" s="4">
        <f t="shared" si="93"/>
        <v>0</v>
      </c>
      <c r="CS97" s="4">
        <f t="shared" si="94"/>
        <v>0</v>
      </c>
      <c r="CT97" s="4">
        <f t="shared" si="95"/>
        <v>0</v>
      </c>
      <c r="CU97" s="4">
        <f t="shared" si="96"/>
        <v>0</v>
      </c>
      <c r="CV97" s="4">
        <f t="shared" si="97"/>
        <v>0</v>
      </c>
      <c r="CW97" s="4">
        <f t="shared" si="98"/>
        <v>0</v>
      </c>
      <c r="CX97" s="4">
        <f t="shared" si="99"/>
        <v>0</v>
      </c>
      <c r="CY97" s="4">
        <f t="shared" si="100"/>
        <v>0</v>
      </c>
      <c r="CZ97" s="4">
        <f t="shared" si="101"/>
        <v>0</v>
      </c>
      <c r="DA97" s="4">
        <f t="shared" si="102"/>
        <v>0</v>
      </c>
      <c r="DB97" s="4">
        <f t="shared" si="103"/>
        <v>0</v>
      </c>
      <c r="DC97" s="4">
        <f t="shared" si="104"/>
        <v>0</v>
      </c>
      <c r="DD97" s="4">
        <f t="shared" si="105"/>
        <v>0</v>
      </c>
    </row>
    <row r="98" spans="1:108" x14ac:dyDescent="0.25">
      <c r="A98" s="41" t="str">
        <f>Skills!M80</f>
        <v>Melee, Net</v>
      </c>
      <c r="B98" s="55" t="str">
        <f>Skills!N80</f>
        <v>Net</v>
      </c>
      <c r="C98" s="22">
        <f t="shared" si="106"/>
        <v>0</v>
      </c>
      <c r="D98" s="112" t="e">
        <f>Skills!S80</f>
        <v>#N/A</v>
      </c>
      <c r="E98" s="113" t="e">
        <f>VLOOKUP("Melee",Calculations!$W$2:$X$6,2,FALSE)</f>
        <v>#REF!</v>
      </c>
      <c r="F98" s="19"/>
      <c r="G98" s="19"/>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56"/>
      <c r="BF98" s="4">
        <f t="shared" si="56"/>
        <v>0</v>
      </c>
      <c r="BG98" s="4">
        <f t="shared" si="56"/>
        <v>0</v>
      </c>
      <c r="BH98" s="4">
        <f t="shared" si="57"/>
        <v>0</v>
      </c>
      <c r="BI98" s="4">
        <f t="shared" si="58"/>
        <v>0</v>
      </c>
      <c r="BJ98" s="4">
        <f t="shared" si="59"/>
        <v>0</v>
      </c>
      <c r="BK98" s="4">
        <f t="shared" si="60"/>
        <v>0</v>
      </c>
      <c r="BL98" s="4">
        <f t="shared" si="61"/>
        <v>0</v>
      </c>
      <c r="BM98" s="4">
        <f t="shared" si="62"/>
        <v>0</v>
      </c>
      <c r="BN98" s="4">
        <f t="shared" si="63"/>
        <v>0</v>
      </c>
      <c r="BO98" s="4">
        <f t="shared" si="64"/>
        <v>0</v>
      </c>
      <c r="BP98" s="4">
        <f t="shared" si="65"/>
        <v>0</v>
      </c>
      <c r="BQ98" s="4">
        <f t="shared" si="66"/>
        <v>0</v>
      </c>
      <c r="BR98" s="4">
        <f t="shared" si="67"/>
        <v>0</v>
      </c>
      <c r="BS98" s="4">
        <f t="shared" si="68"/>
        <v>0</v>
      </c>
      <c r="BT98" s="4">
        <f t="shared" si="69"/>
        <v>0</v>
      </c>
      <c r="BU98" s="4">
        <f t="shared" si="70"/>
        <v>0</v>
      </c>
      <c r="BV98" s="4">
        <f t="shared" si="71"/>
        <v>0</v>
      </c>
      <c r="BW98" s="4">
        <f t="shared" si="72"/>
        <v>0</v>
      </c>
      <c r="BX98" s="4">
        <f t="shared" si="73"/>
        <v>0</v>
      </c>
      <c r="BY98" s="4">
        <f t="shared" si="74"/>
        <v>0</v>
      </c>
      <c r="BZ98" s="4">
        <f t="shared" si="75"/>
        <v>0</v>
      </c>
      <c r="CA98" s="4">
        <f t="shared" si="76"/>
        <v>0</v>
      </c>
      <c r="CB98" s="4">
        <f t="shared" si="77"/>
        <v>0</v>
      </c>
      <c r="CC98" s="4">
        <f t="shared" si="78"/>
        <v>0</v>
      </c>
      <c r="CD98" s="4">
        <f t="shared" si="79"/>
        <v>0</v>
      </c>
      <c r="CE98" s="4">
        <f t="shared" si="80"/>
        <v>0</v>
      </c>
      <c r="CF98" s="4">
        <f t="shared" si="81"/>
        <v>0</v>
      </c>
      <c r="CG98" s="4">
        <f t="shared" si="82"/>
        <v>0</v>
      </c>
      <c r="CH98" s="4">
        <f t="shared" si="83"/>
        <v>0</v>
      </c>
      <c r="CI98" s="4">
        <f t="shared" si="84"/>
        <v>0</v>
      </c>
      <c r="CJ98" s="4">
        <f t="shared" si="85"/>
        <v>0</v>
      </c>
      <c r="CK98" s="4">
        <f t="shared" si="86"/>
        <v>0</v>
      </c>
      <c r="CL98" s="4">
        <f t="shared" si="87"/>
        <v>0</v>
      </c>
      <c r="CM98" s="4">
        <f t="shared" si="88"/>
        <v>0</v>
      </c>
      <c r="CN98" s="4">
        <f t="shared" si="89"/>
        <v>0</v>
      </c>
      <c r="CO98" s="4">
        <f t="shared" si="90"/>
        <v>0</v>
      </c>
      <c r="CP98" s="4">
        <f t="shared" si="91"/>
        <v>0</v>
      </c>
      <c r="CQ98" s="4">
        <f t="shared" si="92"/>
        <v>0</v>
      </c>
      <c r="CR98" s="4">
        <f t="shared" si="93"/>
        <v>0</v>
      </c>
      <c r="CS98" s="4">
        <f t="shared" si="94"/>
        <v>0</v>
      </c>
      <c r="CT98" s="4">
        <f t="shared" si="95"/>
        <v>0</v>
      </c>
      <c r="CU98" s="4">
        <f t="shared" si="96"/>
        <v>0</v>
      </c>
      <c r="CV98" s="4">
        <f t="shared" si="97"/>
        <v>0</v>
      </c>
      <c r="CW98" s="4">
        <f t="shared" si="98"/>
        <v>0</v>
      </c>
      <c r="CX98" s="4">
        <f t="shared" si="99"/>
        <v>0</v>
      </c>
      <c r="CY98" s="4">
        <f t="shared" si="100"/>
        <v>0</v>
      </c>
      <c r="CZ98" s="4">
        <f t="shared" si="101"/>
        <v>0</v>
      </c>
      <c r="DA98" s="4">
        <f t="shared" si="102"/>
        <v>0</v>
      </c>
      <c r="DB98" s="4">
        <f t="shared" si="103"/>
        <v>0</v>
      </c>
      <c r="DC98" s="4">
        <f t="shared" si="104"/>
        <v>0</v>
      </c>
      <c r="DD98" s="4">
        <f t="shared" si="105"/>
        <v>0</v>
      </c>
    </row>
    <row r="99" spans="1:108" x14ac:dyDescent="0.25">
      <c r="A99" s="41" t="str">
        <f>Skills!M81</f>
        <v>Melee, Rock</v>
      </c>
      <c r="B99" s="57" t="str">
        <f>Skills!N81</f>
        <v>Rock</v>
      </c>
      <c r="C99" s="24">
        <f t="shared" si="106"/>
        <v>0</v>
      </c>
      <c r="D99" s="110" t="e">
        <f>Skills!S81</f>
        <v>#N/A</v>
      </c>
      <c r="E99" s="111" t="e">
        <f>VLOOKUP("Melee",Calculations!$W$2:$X$6,2,FALSE)</f>
        <v>#REF!</v>
      </c>
      <c r="F99" s="18"/>
      <c r="G99" s="18"/>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49"/>
      <c r="BF99" s="4">
        <f t="shared" si="56"/>
        <v>0</v>
      </c>
      <c r="BG99" s="4">
        <f t="shared" si="56"/>
        <v>0</v>
      </c>
      <c r="BH99" s="4">
        <f t="shared" si="57"/>
        <v>0</v>
      </c>
      <c r="BI99" s="4">
        <f t="shared" si="58"/>
        <v>0</v>
      </c>
      <c r="BJ99" s="4">
        <f t="shared" si="59"/>
        <v>0</v>
      </c>
      <c r="BK99" s="4">
        <f t="shared" si="60"/>
        <v>0</v>
      </c>
      <c r="BL99" s="4">
        <f t="shared" si="61"/>
        <v>0</v>
      </c>
      <c r="BM99" s="4">
        <f t="shared" si="62"/>
        <v>0</v>
      </c>
      <c r="BN99" s="4">
        <f t="shared" si="63"/>
        <v>0</v>
      </c>
      <c r="BO99" s="4">
        <f t="shared" si="64"/>
        <v>0</v>
      </c>
      <c r="BP99" s="4">
        <f t="shared" si="65"/>
        <v>0</v>
      </c>
      <c r="BQ99" s="4">
        <f t="shared" si="66"/>
        <v>0</v>
      </c>
      <c r="BR99" s="4">
        <f t="shared" si="67"/>
        <v>0</v>
      </c>
      <c r="BS99" s="4">
        <f t="shared" si="68"/>
        <v>0</v>
      </c>
      <c r="BT99" s="4">
        <f t="shared" si="69"/>
        <v>0</v>
      </c>
      <c r="BU99" s="4">
        <f t="shared" si="70"/>
        <v>0</v>
      </c>
      <c r="BV99" s="4">
        <f t="shared" si="71"/>
        <v>0</v>
      </c>
      <c r="BW99" s="4">
        <f t="shared" si="72"/>
        <v>0</v>
      </c>
      <c r="BX99" s="4">
        <f t="shared" si="73"/>
        <v>0</v>
      </c>
      <c r="BY99" s="4">
        <f t="shared" si="74"/>
        <v>0</v>
      </c>
      <c r="BZ99" s="4">
        <f t="shared" si="75"/>
        <v>0</v>
      </c>
      <c r="CA99" s="4">
        <f t="shared" si="76"/>
        <v>0</v>
      </c>
      <c r="CB99" s="4">
        <f t="shared" si="77"/>
        <v>0</v>
      </c>
      <c r="CC99" s="4">
        <f t="shared" si="78"/>
        <v>0</v>
      </c>
      <c r="CD99" s="4">
        <f t="shared" si="79"/>
        <v>0</v>
      </c>
      <c r="CE99" s="4">
        <f t="shared" si="80"/>
        <v>0</v>
      </c>
      <c r="CF99" s="4">
        <f t="shared" si="81"/>
        <v>0</v>
      </c>
      <c r="CG99" s="4">
        <f t="shared" si="82"/>
        <v>0</v>
      </c>
      <c r="CH99" s="4">
        <f t="shared" si="83"/>
        <v>0</v>
      </c>
      <c r="CI99" s="4">
        <f t="shared" si="84"/>
        <v>0</v>
      </c>
      <c r="CJ99" s="4">
        <f t="shared" si="85"/>
        <v>0</v>
      </c>
      <c r="CK99" s="4">
        <f t="shared" si="86"/>
        <v>0</v>
      </c>
      <c r="CL99" s="4">
        <f t="shared" si="87"/>
        <v>0</v>
      </c>
      <c r="CM99" s="4">
        <f t="shared" si="88"/>
        <v>0</v>
      </c>
      <c r="CN99" s="4">
        <f t="shared" si="89"/>
        <v>0</v>
      </c>
      <c r="CO99" s="4">
        <f t="shared" si="90"/>
        <v>0</v>
      </c>
      <c r="CP99" s="4">
        <f t="shared" si="91"/>
        <v>0</v>
      </c>
      <c r="CQ99" s="4">
        <f t="shared" si="92"/>
        <v>0</v>
      </c>
      <c r="CR99" s="4">
        <f t="shared" si="93"/>
        <v>0</v>
      </c>
      <c r="CS99" s="4">
        <f t="shared" si="94"/>
        <v>0</v>
      </c>
      <c r="CT99" s="4">
        <f t="shared" si="95"/>
        <v>0</v>
      </c>
      <c r="CU99" s="4">
        <f t="shared" si="96"/>
        <v>0</v>
      </c>
      <c r="CV99" s="4">
        <f t="shared" si="97"/>
        <v>0</v>
      </c>
      <c r="CW99" s="4">
        <f t="shared" si="98"/>
        <v>0</v>
      </c>
      <c r="CX99" s="4">
        <f t="shared" si="99"/>
        <v>0</v>
      </c>
      <c r="CY99" s="4">
        <f t="shared" si="100"/>
        <v>0</v>
      </c>
      <c r="CZ99" s="4">
        <f t="shared" si="101"/>
        <v>0</v>
      </c>
      <c r="DA99" s="4">
        <f t="shared" si="102"/>
        <v>0</v>
      </c>
      <c r="DB99" s="4">
        <f t="shared" si="103"/>
        <v>0</v>
      </c>
      <c r="DC99" s="4">
        <f t="shared" si="104"/>
        <v>0</v>
      </c>
      <c r="DD99" s="4">
        <f t="shared" si="105"/>
        <v>0</v>
      </c>
    </row>
    <row r="100" spans="1:108" x14ac:dyDescent="0.25">
      <c r="A100" s="41" t="str">
        <f>Skills!M82</f>
        <v>Melee, Whip</v>
      </c>
      <c r="B100" s="55" t="str">
        <f>Skills!N82</f>
        <v>Whip</v>
      </c>
      <c r="C100" s="22">
        <f t="shared" si="106"/>
        <v>0</v>
      </c>
      <c r="D100" s="112" t="e">
        <f>Skills!S82</f>
        <v>#N/A</v>
      </c>
      <c r="E100" s="113" t="e">
        <f>VLOOKUP("Melee",Calculations!$W$2:$X$6,2,FALSE)</f>
        <v>#REF!</v>
      </c>
      <c r="F100" s="19"/>
      <c r="G100" s="19"/>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56"/>
      <c r="BF100" s="4">
        <f t="shared" si="56"/>
        <v>0</v>
      </c>
      <c r="BG100" s="4">
        <f t="shared" si="56"/>
        <v>0</v>
      </c>
      <c r="BH100" s="4">
        <f t="shared" si="57"/>
        <v>0</v>
      </c>
      <c r="BI100" s="4">
        <f t="shared" si="58"/>
        <v>0</v>
      </c>
      <c r="BJ100" s="4">
        <f t="shared" si="59"/>
        <v>0</v>
      </c>
      <c r="BK100" s="4">
        <f t="shared" si="60"/>
        <v>0</v>
      </c>
      <c r="BL100" s="4">
        <f t="shared" si="61"/>
        <v>0</v>
      </c>
      <c r="BM100" s="4">
        <f t="shared" si="62"/>
        <v>0</v>
      </c>
      <c r="BN100" s="4">
        <f t="shared" si="63"/>
        <v>0</v>
      </c>
      <c r="BO100" s="4">
        <f t="shared" si="64"/>
        <v>0</v>
      </c>
      <c r="BP100" s="4">
        <f t="shared" si="65"/>
        <v>0</v>
      </c>
      <c r="BQ100" s="4">
        <f t="shared" si="66"/>
        <v>0</v>
      </c>
      <c r="BR100" s="4">
        <f t="shared" si="67"/>
        <v>0</v>
      </c>
      <c r="BS100" s="4">
        <f t="shared" si="68"/>
        <v>0</v>
      </c>
      <c r="BT100" s="4">
        <f t="shared" si="69"/>
        <v>0</v>
      </c>
      <c r="BU100" s="4">
        <f t="shared" si="70"/>
        <v>0</v>
      </c>
      <c r="BV100" s="4">
        <f t="shared" si="71"/>
        <v>0</v>
      </c>
      <c r="BW100" s="4">
        <f t="shared" si="72"/>
        <v>0</v>
      </c>
      <c r="BX100" s="4">
        <f t="shared" si="73"/>
        <v>0</v>
      </c>
      <c r="BY100" s="4">
        <f t="shared" si="74"/>
        <v>0</v>
      </c>
      <c r="BZ100" s="4">
        <f t="shared" si="75"/>
        <v>0</v>
      </c>
      <c r="CA100" s="4">
        <f t="shared" si="76"/>
        <v>0</v>
      </c>
      <c r="CB100" s="4">
        <f t="shared" si="77"/>
        <v>0</v>
      </c>
      <c r="CC100" s="4">
        <f t="shared" si="78"/>
        <v>0</v>
      </c>
      <c r="CD100" s="4">
        <f t="shared" si="79"/>
        <v>0</v>
      </c>
      <c r="CE100" s="4">
        <f t="shared" si="80"/>
        <v>0</v>
      </c>
      <c r="CF100" s="4">
        <f t="shared" si="81"/>
        <v>0</v>
      </c>
      <c r="CG100" s="4">
        <f t="shared" si="82"/>
        <v>0</v>
      </c>
      <c r="CH100" s="4">
        <f t="shared" si="83"/>
        <v>0</v>
      </c>
      <c r="CI100" s="4">
        <f t="shared" si="84"/>
        <v>0</v>
      </c>
      <c r="CJ100" s="4">
        <f t="shared" si="85"/>
        <v>0</v>
      </c>
      <c r="CK100" s="4">
        <f t="shared" si="86"/>
        <v>0</v>
      </c>
      <c r="CL100" s="4">
        <f t="shared" si="87"/>
        <v>0</v>
      </c>
      <c r="CM100" s="4">
        <f t="shared" si="88"/>
        <v>0</v>
      </c>
      <c r="CN100" s="4">
        <f t="shared" si="89"/>
        <v>0</v>
      </c>
      <c r="CO100" s="4">
        <f t="shared" si="90"/>
        <v>0</v>
      </c>
      <c r="CP100" s="4">
        <f t="shared" si="91"/>
        <v>0</v>
      </c>
      <c r="CQ100" s="4">
        <f t="shared" si="92"/>
        <v>0</v>
      </c>
      <c r="CR100" s="4">
        <f t="shared" si="93"/>
        <v>0</v>
      </c>
      <c r="CS100" s="4">
        <f t="shared" si="94"/>
        <v>0</v>
      </c>
      <c r="CT100" s="4">
        <f t="shared" si="95"/>
        <v>0</v>
      </c>
      <c r="CU100" s="4">
        <f t="shared" si="96"/>
        <v>0</v>
      </c>
      <c r="CV100" s="4">
        <f t="shared" si="97"/>
        <v>0</v>
      </c>
      <c r="CW100" s="4">
        <f t="shared" si="98"/>
        <v>0</v>
      </c>
      <c r="CX100" s="4">
        <f t="shared" si="99"/>
        <v>0</v>
      </c>
      <c r="CY100" s="4">
        <f t="shared" si="100"/>
        <v>0</v>
      </c>
      <c r="CZ100" s="4">
        <f t="shared" si="101"/>
        <v>0</v>
      </c>
      <c r="DA100" s="4">
        <f t="shared" si="102"/>
        <v>0</v>
      </c>
      <c r="DB100" s="4">
        <f t="shared" si="103"/>
        <v>0</v>
      </c>
      <c r="DC100" s="4">
        <f t="shared" si="104"/>
        <v>0</v>
      </c>
      <c r="DD100" s="4">
        <f t="shared" si="105"/>
        <v>0</v>
      </c>
    </row>
    <row r="101" spans="1:108" x14ac:dyDescent="0.25">
      <c r="A101" s="41">
        <f>Skills!M83</f>
        <v>0</v>
      </c>
      <c r="B101" s="57" t="str">
        <f>Skills!N83</f>
        <v>Shield Sub-category</v>
      </c>
      <c r="C101" s="24">
        <f t="shared" si="106"/>
        <v>0</v>
      </c>
      <c r="D101" s="110" t="str">
        <f>Skills!S83</f>
        <v>- -</v>
      </c>
      <c r="E101" s="111" t="s">
        <v>782</v>
      </c>
      <c r="F101" s="18"/>
      <c r="G101" s="18"/>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49"/>
      <c r="BF101" s="4">
        <f t="shared" si="56"/>
        <v>0</v>
      </c>
      <c r="BG101" s="4">
        <f t="shared" si="56"/>
        <v>0</v>
      </c>
      <c r="BH101" s="4">
        <f t="shared" si="57"/>
        <v>0</v>
      </c>
      <c r="BI101" s="4">
        <f t="shared" si="58"/>
        <v>0</v>
      </c>
      <c r="BJ101" s="4">
        <f t="shared" si="59"/>
        <v>0</v>
      </c>
      <c r="BK101" s="4">
        <f t="shared" si="60"/>
        <v>0</v>
      </c>
      <c r="BL101" s="4">
        <f t="shared" si="61"/>
        <v>0</v>
      </c>
      <c r="BM101" s="4">
        <f t="shared" si="62"/>
        <v>0</v>
      </c>
      <c r="BN101" s="4">
        <f t="shared" si="63"/>
        <v>0</v>
      </c>
      <c r="BO101" s="4">
        <f t="shared" si="64"/>
        <v>0</v>
      </c>
      <c r="BP101" s="4">
        <f t="shared" si="65"/>
        <v>0</v>
      </c>
      <c r="BQ101" s="4">
        <f t="shared" si="66"/>
        <v>0</v>
      </c>
      <c r="BR101" s="4">
        <f t="shared" si="67"/>
        <v>0</v>
      </c>
      <c r="BS101" s="4">
        <f t="shared" si="68"/>
        <v>0</v>
      </c>
      <c r="BT101" s="4">
        <f t="shared" si="69"/>
        <v>0</v>
      </c>
      <c r="BU101" s="4">
        <f t="shared" si="70"/>
        <v>0</v>
      </c>
      <c r="BV101" s="4">
        <f t="shared" si="71"/>
        <v>0</v>
      </c>
      <c r="BW101" s="4">
        <f t="shared" si="72"/>
        <v>0</v>
      </c>
      <c r="BX101" s="4">
        <f t="shared" si="73"/>
        <v>0</v>
      </c>
      <c r="BY101" s="4">
        <f t="shared" si="74"/>
        <v>0</v>
      </c>
      <c r="BZ101" s="4">
        <f t="shared" si="75"/>
        <v>0</v>
      </c>
      <c r="CA101" s="4">
        <f t="shared" si="76"/>
        <v>0</v>
      </c>
      <c r="CB101" s="4">
        <f t="shared" si="77"/>
        <v>0</v>
      </c>
      <c r="CC101" s="4">
        <f t="shared" si="78"/>
        <v>0</v>
      </c>
      <c r="CD101" s="4">
        <f t="shared" si="79"/>
        <v>0</v>
      </c>
      <c r="CE101" s="4">
        <f t="shared" si="80"/>
        <v>0</v>
      </c>
      <c r="CF101" s="4">
        <f t="shared" si="81"/>
        <v>0</v>
      </c>
      <c r="CG101" s="4">
        <f t="shared" si="82"/>
        <v>0</v>
      </c>
      <c r="CH101" s="4">
        <f t="shared" si="83"/>
        <v>0</v>
      </c>
      <c r="CI101" s="4">
        <f t="shared" si="84"/>
        <v>0</v>
      </c>
      <c r="CJ101" s="4">
        <f t="shared" si="85"/>
        <v>0</v>
      </c>
      <c r="CK101" s="4">
        <f t="shared" si="86"/>
        <v>0</v>
      </c>
      <c r="CL101" s="4">
        <f t="shared" si="87"/>
        <v>0</v>
      </c>
      <c r="CM101" s="4">
        <f t="shared" si="88"/>
        <v>0</v>
      </c>
      <c r="CN101" s="4">
        <f t="shared" si="89"/>
        <v>0</v>
      </c>
      <c r="CO101" s="4">
        <f t="shared" si="90"/>
        <v>0</v>
      </c>
      <c r="CP101" s="4">
        <f t="shared" si="91"/>
        <v>0</v>
      </c>
      <c r="CQ101" s="4">
        <f t="shared" si="92"/>
        <v>0</v>
      </c>
      <c r="CR101" s="4">
        <f t="shared" si="93"/>
        <v>0</v>
      </c>
      <c r="CS101" s="4">
        <f t="shared" si="94"/>
        <v>0</v>
      </c>
      <c r="CT101" s="4">
        <f t="shared" si="95"/>
        <v>0</v>
      </c>
      <c r="CU101" s="4">
        <f t="shared" si="96"/>
        <v>0</v>
      </c>
      <c r="CV101" s="4">
        <f t="shared" si="97"/>
        <v>0</v>
      </c>
      <c r="CW101" s="4">
        <f t="shared" si="98"/>
        <v>0</v>
      </c>
      <c r="CX101" s="4">
        <f t="shared" si="99"/>
        <v>0</v>
      </c>
      <c r="CY101" s="4">
        <f t="shared" si="100"/>
        <v>0</v>
      </c>
      <c r="CZ101" s="4">
        <f t="shared" si="101"/>
        <v>0</v>
      </c>
      <c r="DA101" s="4">
        <f t="shared" si="102"/>
        <v>0</v>
      </c>
      <c r="DB101" s="4">
        <f t="shared" si="103"/>
        <v>0</v>
      </c>
      <c r="DC101" s="4">
        <f t="shared" si="104"/>
        <v>0</v>
      </c>
      <c r="DD101" s="4">
        <f t="shared" si="105"/>
        <v>0</v>
      </c>
    </row>
    <row r="102" spans="1:108" x14ac:dyDescent="0.25">
      <c r="A102" s="41">
        <f>Skills!M84</f>
        <v>0</v>
      </c>
      <c r="B102" s="55" t="str">
        <f>Skills!N84</f>
        <v>Shield Skills</v>
      </c>
      <c r="C102" s="22">
        <f t="shared" si="106"/>
        <v>0</v>
      </c>
      <c r="D102" s="112" t="str">
        <f>Skills!S84</f>
        <v>- -</v>
      </c>
      <c r="E102" s="113" t="s">
        <v>782</v>
      </c>
      <c r="F102" s="19"/>
      <c r="G102" s="19"/>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56"/>
      <c r="BF102" s="4">
        <f t="shared" si="56"/>
        <v>0</v>
      </c>
      <c r="BG102" s="4">
        <f t="shared" si="56"/>
        <v>0</v>
      </c>
      <c r="BH102" s="4">
        <f t="shared" si="57"/>
        <v>0</v>
      </c>
      <c r="BI102" s="4">
        <f t="shared" si="58"/>
        <v>0</v>
      </c>
      <c r="BJ102" s="4">
        <f t="shared" si="59"/>
        <v>0</v>
      </c>
      <c r="BK102" s="4">
        <f t="shared" si="60"/>
        <v>0</v>
      </c>
      <c r="BL102" s="4">
        <f t="shared" si="61"/>
        <v>0</v>
      </c>
      <c r="BM102" s="4">
        <f t="shared" si="62"/>
        <v>0</v>
      </c>
      <c r="BN102" s="4">
        <f t="shared" si="63"/>
        <v>0</v>
      </c>
      <c r="BO102" s="4">
        <f t="shared" si="64"/>
        <v>0</v>
      </c>
      <c r="BP102" s="4">
        <f t="shared" si="65"/>
        <v>0</v>
      </c>
      <c r="BQ102" s="4">
        <f t="shared" si="66"/>
        <v>0</v>
      </c>
      <c r="BR102" s="4">
        <f t="shared" si="67"/>
        <v>0</v>
      </c>
      <c r="BS102" s="4">
        <f t="shared" si="68"/>
        <v>0</v>
      </c>
      <c r="BT102" s="4">
        <f t="shared" si="69"/>
        <v>0</v>
      </c>
      <c r="BU102" s="4">
        <f t="shared" si="70"/>
        <v>0</v>
      </c>
      <c r="BV102" s="4">
        <f t="shared" si="71"/>
        <v>0</v>
      </c>
      <c r="BW102" s="4">
        <f t="shared" si="72"/>
        <v>0</v>
      </c>
      <c r="BX102" s="4">
        <f t="shared" si="73"/>
        <v>0</v>
      </c>
      <c r="BY102" s="4">
        <f t="shared" si="74"/>
        <v>0</v>
      </c>
      <c r="BZ102" s="4">
        <f t="shared" si="75"/>
        <v>0</v>
      </c>
      <c r="CA102" s="4">
        <f t="shared" si="76"/>
        <v>0</v>
      </c>
      <c r="CB102" s="4">
        <f t="shared" si="77"/>
        <v>0</v>
      </c>
      <c r="CC102" s="4">
        <f t="shared" si="78"/>
        <v>0</v>
      </c>
      <c r="CD102" s="4">
        <f t="shared" si="79"/>
        <v>0</v>
      </c>
      <c r="CE102" s="4">
        <f t="shared" si="80"/>
        <v>0</v>
      </c>
      <c r="CF102" s="4">
        <f t="shared" si="81"/>
        <v>0</v>
      </c>
      <c r="CG102" s="4">
        <f t="shared" si="82"/>
        <v>0</v>
      </c>
      <c r="CH102" s="4">
        <f t="shared" si="83"/>
        <v>0</v>
      </c>
      <c r="CI102" s="4">
        <f t="shared" si="84"/>
        <v>0</v>
      </c>
      <c r="CJ102" s="4">
        <f t="shared" si="85"/>
        <v>0</v>
      </c>
      <c r="CK102" s="4">
        <f t="shared" si="86"/>
        <v>0</v>
      </c>
      <c r="CL102" s="4">
        <f t="shared" si="87"/>
        <v>0</v>
      </c>
      <c r="CM102" s="4">
        <f t="shared" si="88"/>
        <v>0</v>
      </c>
      <c r="CN102" s="4">
        <f t="shared" si="89"/>
        <v>0</v>
      </c>
      <c r="CO102" s="4">
        <f t="shared" si="90"/>
        <v>0</v>
      </c>
      <c r="CP102" s="4">
        <f t="shared" si="91"/>
        <v>0</v>
      </c>
      <c r="CQ102" s="4">
        <f t="shared" si="92"/>
        <v>0</v>
      </c>
      <c r="CR102" s="4">
        <f t="shared" si="93"/>
        <v>0</v>
      </c>
      <c r="CS102" s="4">
        <f t="shared" si="94"/>
        <v>0</v>
      </c>
      <c r="CT102" s="4">
        <f t="shared" si="95"/>
        <v>0</v>
      </c>
      <c r="CU102" s="4">
        <f t="shared" si="96"/>
        <v>0</v>
      </c>
      <c r="CV102" s="4">
        <f t="shared" si="97"/>
        <v>0</v>
      </c>
      <c r="CW102" s="4">
        <f t="shared" si="98"/>
        <v>0</v>
      </c>
      <c r="CX102" s="4">
        <f t="shared" si="99"/>
        <v>0</v>
      </c>
      <c r="CY102" s="4">
        <f t="shared" si="100"/>
        <v>0</v>
      </c>
      <c r="CZ102" s="4">
        <f t="shared" si="101"/>
        <v>0</v>
      </c>
      <c r="DA102" s="4">
        <f t="shared" si="102"/>
        <v>0</v>
      </c>
      <c r="DB102" s="4">
        <f t="shared" si="103"/>
        <v>0</v>
      </c>
      <c r="DC102" s="4">
        <f t="shared" si="104"/>
        <v>0</v>
      </c>
      <c r="DD102" s="4">
        <f t="shared" si="105"/>
        <v>0</v>
      </c>
    </row>
    <row r="103" spans="1:108" x14ac:dyDescent="0.25">
      <c r="A103" s="41" t="str">
        <f>Skills!M85</f>
        <v>Shield</v>
      </c>
      <c r="B103" s="57" t="str">
        <f>Skills!N85</f>
        <v>Shield</v>
      </c>
      <c r="C103" s="24">
        <f t="shared" si="106"/>
        <v>0</v>
      </c>
      <c r="D103" s="110" t="e">
        <f>Skills!S85</f>
        <v>#N/A</v>
      </c>
      <c r="E103" s="111" t="e">
        <f>VLOOKUP("Shield",Calculations!$W$2:$X$6,2,FALSE)</f>
        <v>#REF!</v>
      </c>
      <c r="F103" s="18"/>
      <c r="G103" s="18"/>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49"/>
      <c r="BF103" s="4">
        <f t="shared" si="56"/>
        <v>0</v>
      </c>
      <c r="BG103" s="4">
        <f t="shared" si="56"/>
        <v>0</v>
      </c>
      <c r="BH103" s="4">
        <f t="shared" si="57"/>
        <v>0</v>
      </c>
      <c r="BI103" s="4">
        <f t="shared" si="58"/>
        <v>0</v>
      </c>
      <c r="BJ103" s="4">
        <f t="shared" si="59"/>
        <v>0</v>
      </c>
      <c r="BK103" s="4">
        <f t="shared" si="60"/>
        <v>0</v>
      </c>
      <c r="BL103" s="4">
        <f t="shared" si="61"/>
        <v>0</v>
      </c>
      <c r="BM103" s="4">
        <f t="shared" si="62"/>
        <v>0</v>
      </c>
      <c r="BN103" s="4">
        <f t="shared" si="63"/>
        <v>0</v>
      </c>
      <c r="BO103" s="4">
        <f t="shared" si="64"/>
        <v>0</v>
      </c>
      <c r="BP103" s="4">
        <f t="shared" si="65"/>
        <v>0</v>
      </c>
      <c r="BQ103" s="4">
        <f t="shared" si="66"/>
        <v>0</v>
      </c>
      <c r="BR103" s="4">
        <f t="shared" si="67"/>
        <v>0</v>
      </c>
      <c r="BS103" s="4">
        <f t="shared" si="68"/>
        <v>0</v>
      </c>
      <c r="BT103" s="4">
        <f t="shared" si="69"/>
        <v>0</v>
      </c>
      <c r="BU103" s="4">
        <f t="shared" si="70"/>
        <v>0</v>
      </c>
      <c r="BV103" s="4">
        <f t="shared" si="71"/>
        <v>0</v>
      </c>
      <c r="BW103" s="4">
        <f t="shared" si="72"/>
        <v>0</v>
      </c>
      <c r="BX103" s="4">
        <f t="shared" si="73"/>
        <v>0</v>
      </c>
      <c r="BY103" s="4">
        <f t="shared" si="74"/>
        <v>0</v>
      </c>
      <c r="BZ103" s="4">
        <f t="shared" si="75"/>
        <v>0</v>
      </c>
      <c r="CA103" s="4">
        <f t="shared" si="76"/>
        <v>0</v>
      </c>
      <c r="CB103" s="4">
        <f t="shared" si="77"/>
        <v>0</v>
      </c>
      <c r="CC103" s="4">
        <f t="shared" si="78"/>
        <v>0</v>
      </c>
      <c r="CD103" s="4">
        <f t="shared" si="79"/>
        <v>0</v>
      </c>
      <c r="CE103" s="4">
        <f t="shared" si="80"/>
        <v>0</v>
      </c>
      <c r="CF103" s="4">
        <f t="shared" si="81"/>
        <v>0</v>
      </c>
      <c r="CG103" s="4">
        <f t="shared" si="82"/>
        <v>0</v>
      </c>
      <c r="CH103" s="4">
        <f t="shared" si="83"/>
        <v>0</v>
      </c>
      <c r="CI103" s="4">
        <f t="shared" si="84"/>
        <v>0</v>
      </c>
      <c r="CJ103" s="4">
        <f t="shared" si="85"/>
        <v>0</v>
      </c>
      <c r="CK103" s="4">
        <f t="shared" si="86"/>
        <v>0</v>
      </c>
      <c r="CL103" s="4">
        <f t="shared" si="87"/>
        <v>0</v>
      </c>
      <c r="CM103" s="4">
        <f t="shared" si="88"/>
        <v>0</v>
      </c>
      <c r="CN103" s="4">
        <f t="shared" si="89"/>
        <v>0</v>
      </c>
      <c r="CO103" s="4">
        <f t="shared" si="90"/>
        <v>0</v>
      </c>
      <c r="CP103" s="4">
        <f t="shared" si="91"/>
        <v>0</v>
      </c>
      <c r="CQ103" s="4">
        <f t="shared" si="92"/>
        <v>0</v>
      </c>
      <c r="CR103" s="4">
        <f t="shared" si="93"/>
        <v>0</v>
      </c>
      <c r="CS103" s="4">
        <f t="shared" si="94"/>
        <v>0</v>
      </c>
      <c r="CT103" s="4">
        <f t="shared" si="95"/>
        <v>0</v>
      </c>
      <c r="CU103" s="4">
        <f t="shared" si="96"/>
        <v>0</v>
      </c>
      <c r="CV103" s="4">
        <f t="shared" si="97"/>
        <v>0</v>
      </c>
      <c r="CW103" s="4">
        <f t="shared" si="98"/>
        <v>0</v>
      </c>
      <c r="CX103" s="4">
        <f t="shared" si="99"/>
        <v>0</v>
      </c>
      <c r="CY103" s="4">
        <f t="shared" si="100"/>
        <v>0</v>
      </c>
      <c r="CZ103" s="4">
        <f t="shared" si="101"/>
        <v>0</v>
      </c>
      <c r="DA103" s="4">
        <f t="shared" si="102"/>
        <v>0</v>
      </c>
      <c r="DB103" s="4">
        <f t="shared" si="103"/>
        <v>0</v>
      </c>
      <c r="DC103" s="4">
        <f t="shared" si="104"/>
        <v>0</v>
      </c>
      <c r="DD103" s="4">
        <f t="shared" si="105"/>
        <v>0</v>
      </c>
    </row>
    <row r="104" spans="1:108" x14ac:dyDescent="0.25">
      <c r="A104" s="41">
        <f>Skills!M86</f>
        <v>0</v>
      </c>
      <c r="B104" s="55" t="str">
        <f>Skills!N86</f>
        <v>Ranged Weapons Sub-category</v>
      </c>
      <c r="C104" s="22">
        <f t="shared" si="106"/>
        <v>0</v>
      </c>
      <c r="D104" s="112" t="str">
        <f>Skills!S86</f>
        <v>- -</v>
      </c>
      <c r="E104" s="113" t="s">
        <v>782</v>
      </c>
      <c r="F104" s="19"/>
      <c r="G104" s="19"/>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56"/>
      <c r="BF104" s="4">
        <f t="shared" si="56"/>
        <v>0</v>
      </c>
      <c r="BG104" s="4">
        <f t="shared" si="56"/>
        <v>0</v>
      </c>
      <c r="BH104" s="4">
        <f t="shared" si="57"/>
        <v>0</v>
      </c>
      <c r="BI104" s="4">
        <f t="shared" si="58"/>
        <v>0</v>
      </c>
      <c r="BJ104" s="4">
        <f t="shared" si="59"/>
        <v>0</v>
      </c>
      <c r="BK104" s="4">
        <f t="shared" si="60"/>
        <v>0</v>
      </c>
      <c r="BL104" s="4">
        <f t="shared" si="61"/>
        <v>0</v>
      </c>
      <c r="BM104" s="4">
        <f t="shared" si="62"/>
        <v>0</v>
      </c>
      <c r="BN104" s="4">
        <f t="shared" si="63"/>
        <v>0</v>
      </c>
      <c r="BO104" s="4">
        <f t="shared" si="64"/>
        <v>0</v>
      </c>
      <c r="BP104" s="4">
        <f t="shared" si="65"/>
        <v>0</v>
      </c>
      <c r="BQ104" s="4">
        <f t="shared" si="66"/>
        <v>0</v>
      </c>
      <c r="BR104" s="4">
        <f t="shared" si="67"/>
        <v>0</v>
      </c>
      <c r="BS104" s="4">
        <f t="shared" si="68"/>
        <v>0</v>
      </c>
      <c r="BT104" s="4">
        <f t="shared" si="69"/>
        <v>0</v>
      </c>
      <c r="BU104" s="4">
        <f t="shared" si="70"/>
        <v>0</v>
      </c>
      <c r="BV104" s="4">
        <f t="shared" si="71"/>
        <v>0</v>
      </c>
      <c r="BW104" s="4">
        <f t="shared" si="72"/>
        <v>0</v>
      </c>
      <c r="BX104" s="4">
        <f t="shared" si="73"/>
        <v>0</v>
      </c>
      <c r="BY104" s="4">
        <f t="shared" si="74"/>
        <v>0</v>
      </c>
      <c r="BZ104" s="4">
        <f t="shared" si="75"/>
        <v>0</v>
      </c>
      <c r="CA104" s="4">
        <f t="shared" si="76"/>
        <v>0</v>
      </c>
      <c r="CB104" s="4">
        <f t="shared" si="77"/>
        <v>0</v>
      </c>
      <c r="CC104" s="4">
        <f t="shared" si="78"/>
        <v>0</v>
      </c>
      <c r="CD104" s="4">
        <f t="shared" si="79"/>
        <v>0</v>
      </c>
      <c r="CE104" s="4">
        <f t="shared" si="80"/>
        <v>0</v>
      </c>
      <c r="CF104" s="4">
        <f t="shared" si="81"/>
        <v>0</v>
      </c>
      <c r="CG104" s="4">
        <f t="shared" si="82"/>
        <v>0</v>
      </c>
      <c r="CH104" s="4">
        <f t="shared" si="83"/>
        <v>0</v>
      </c>
      <c r="CI104" s="4">
        <f t="shared" si="84"/>
        <v>0</v>
      </c>
      <c r="CJ104" s="4">
        <f t="shared" si="85"/>
        <v>0</v>
      </c>
      <c r="CK104" s="4">
        <f t="shared" si="86"/>
        <v>0</v>
      </c>
      <c r="CL104" s="4">
        <f t="shared" si="87"/>
        <v>0</v>
      </c>
      <c r="CM104" s="4">
        <f t="shared" si="88"/>
        <v>0</v>
      </c>
      <c r="CN104" s="4">
        <f t="shared" si="89"/>
        <v>0</v>
      </c>
      <c r="CO104" s="4">
        <f t="shared" si="90"/>
        <v>0</v>
      </c>
      <c r="CP104" s="4">
        <f t="shared" si="91"/>
        <v>0</v>
      </c>
      <c r="CQ104" s="4">
        <f t="shared" si="92"/>
        <v>0</v>
      </c>
      <c r="CR104" s="4">
        <f t="shared" si="93"/>
        <v>0</v>
      </c>
      <c r="CS104" s="4">
        <f t="shared" si="94"/>
        <v>0</v>
      </c>
      <c r="CT104" s="4">
        <f t="shared" si="95"/>
        <v>0</v>
      </c>
      <c r="CU104" s="4">
        <f t="shared" si="96"/>
        <v>0</v>
      </c>
      <c r="CV104" s="4">
        <f t="shared" si="97"/>
        <v>0</v>
      </c>
      <c r="CW104" s="4">
        <f t="shared" si="98"/>
        <v>0</v>
      </c>
      <c r="CX104" s="4">
        <f t="shared" si="99"/>
        <v>0</v>
      </c>
      <c r="CY104" s="4">
        <f t="shared" si="100"/>
        <v>0</v>
      </c>
      <c r="CZ104" s="4">
        <f t="shared" si="101"/>
        <v>0</v>
      </c>
      <c r="DA104" s="4">
        <f t="shared" si="102"/>
        <v>0</v>
      </c>
      <c r="DB104" s="4">
        <f t="shared" si="103"/>
        <v>0</v>
      </c>
      <c r="DC104" s="4">
        <f t="shared" si="104"/>
        <v>0</v>
      </c>
      <c r="DD104" s="4">
        <f t="shared" si="105"/>
        <v>0</v>
      </c>
    </row>
    <row r="105" spans="1:108" x14ac:dyDescent="0.25">
      <c r="A105" s="41">
        <f>Skills!M87</f>
        <v>0</v>
      </c>
      <c r="B105" s="57" t="str">
        <f>Skills!N87</f>
        <v>Ranged Weapons Skills</v>
      </c>
      <c r="C105" s="24">
        <f t="shared" si="106"/>
        <v>0</v>
      </c>
      <c r="D105" s="110" t="str">
        <f>Skills!S87</f>
        <v>- -</v>
      </c>
      <c r="E105" s="111" t="s">
        <v>782</v>
      </c>
      <c r="F105" s="18"/>
      <c r="G105" s="18"/>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49"/>
      <c r="BF105" s="4">
        <f t="shared" si="56"/>
        <v>0</v>
      </c>
      <c r="BG105" s="4">
        <f t="shared" si="56"/>
        <v>0</v>
      </c>
      <c r="BH105" s="4">
        <f t="shared" si="57"/>
        <v>0</v>
      </c>
      <c r="BI105" s="4">
        <f t="shared" si="58"/>
        <v>0</v>
      </c>
      <c r="BJ105" s="4">
        <f t="shared" si="59"/>
        <v>0</v>
      </c>
      <c r="BK105" s="4">
        <f t="shared" si="60"/>
        <v>0</v>
      </c>
      <c r="BL105" s="4">
        <f t="shared" si="61"/>
        <v>0</v>
      </c>
      <c r="BM105" s="4">
        <f t="shared" si="62"/>
        <v>0</v>
      </c>
      <c r="BN105" s="4">
        <f t="shared" si="63"/>
        <v>0</v>
      </c>
      <c r="BO105" s="4">
        <f t="shared" si="64"/>
        <v>0</v>
      </c>
      <c r="BP105" s="4">
        <f t="shared" si="65"/>
        <v>0</v>
      </c>
      <c r="BQ105" s="4">
        <f t="shared" si="66"/>
        <v>0</v>
      </c>
      <c r="BR105" s="4">
        <f t="shared" si="67"/>
        <v>0</v>
      </c>
      <c r="BS105" s="4">
        <f t="shared" si="68"/>
        <v>0</v>
      </c>
      <c r="BT105" s="4">
        <f t="shared" si="69"/>
        <v>0</v>
      </c>
      <c r="BU105" s="4">
        <f t="shared" si="70"/>
        <v>0</v>
      </c>
      <c r="BV105" s="4">
        <f t="shared" si="71"/>
        <v>0</v>
      </c>
      <c r="BW105" s="4">
        <f t="shared" si="72"/>
        <v>0</v>
      </c>
      <c r="BX105" s="4">
        <f t="shared" si="73"/>
        <v>0</v>
      </c>
      <c r="BY105" s="4">
        <f t="shared" si="74"/>
        <v>0</v>
      </c>
      <c r="BZ105" s="4">
        <f t="shared" si="75"/>
        <v>0</v>
      </c>
      <c r="CA105" s="4">
        <f t="shared" si="76"/>
        <v>0</v>
      </c>
      <c r="CB105" s="4">
        <f t="shared" si="77"/>
        <v>0</v>
      </c>
      <c r="CC105" s="4">
        <f t="shared" si="78"/>
        <v>0</v>
      </c>
      <c r="CD105" s="4">
        <f t="shared" si="79"/>
        <v>0</v>
      </c>
      <c r="CE105" s="4">
        <f t="shared" si="80"/>
        <v>0</v>
      </c>
      <c r="CF105" s="4">
        <f t="shared" si="81"/>
        <v>0</v>
      </c>
      <c r="CG105" s="4">
        <f t="shared" si="82"/>
        <v>0</v>
      </c>
      <c r="CH105" s="4">
        <f t="shared" si="83"/>
        <v>0</v>
      </c>
      <c r="CI105" s="4">
        <f t="shared" si="84"/>
        <v>0</v>
      </c>
      <c r="CJ105" s="4">
        <f t="shared" si="85"/>
        <v>0</v>
      </c>
      <c r="CK105" s="4">
        <f t="shared" si="86"/>
        <v>0</v>
      </c>
      <c r="CL105" s="4">
        <f t="shared" si="87"/>
        <v>0</v>
      </c>
      <c r="CM105" s="4">
        <f t="shared" si="88"/>
        <v>0</v>
      </c>
      <c r="CN105" s="4">
        <f t="shared" si="89"/>
        <v>0</v>
      </c>
      <c r="CO105" s="4">
        <f t="shared" si="90"/>
        <v>0</v>
      </c>
      <c r="CP105" s="4">
        <f t="shared" si="91"/>
        <v>0</v>
      </c>
      <c r="CQ105" s="4">
        <f t="shared" si="92"/>
        <v>0</v>
      </c>
      <c r="CR105" s="4">
        <f t="shared" si="93"/>
        <v>0</v>
      </c>
      <c r="CS105" s="4">
        <f t="shared" si="94"/>
        <v>0</v>
      </c>
      <c r="CT105" s="4">
        <f t="shared" si="95"/>
        <v>0</v>
      </c>
      <c r="CU105" s="4">
        <f t="shared" si="96"/>
        <v>0</v>
      </c>
      <c r="CV105" s="4">
        <f t="shared" si="97"/>
        <v>0</v>
      </c>
      <c r="CW105" s="4">
        <f t="shared" si="98"/>
        <v>0</v>
      </c>
      <c r="CX105" s="4">
        <f t="shared" si="99"/>
        <v>0</v>
      </c>
      <c r="CY105" s="4">
        <f t="shared" si="100"/>
        <v>0</v>
      </c>
      <c r="CZ105" s="4">
        <f t="shared" si="101"/>
        <v>0</v>
      </c>
      <c r="DA105" s="4">
        <f t="shared" si="102"/>
        <v>0</v>
      </c>
      <c r="DB105" s="4">
        <f t="shared" si="103"/>
        <v>0</v>
      </c>
      <c r="DC105" s="4">
        <f t="shared" si="104"/>
        <v>0</v>
      </c>
      <c r="DD105" s="4">
        <f t="shared" si="105"/>
        <v>0</v>
      </c>
    </row>
    <row r="106" spans="1:108" x14ac:dyDescent="0.25">
      <c r="A106" s="41" t="str">
        <f>Skills!M88</f>
        <v>Ranged, Bow</v>
      </c>
      <c r="B106" s="55" t="str">
        <f>Skills!N88</f>
        <v>Bow</v>
      </c>
      <c r="C106" s="22">
        <f t="shared" si="106"/>
        <v>0</v>
      </c>
      <c r="D106" s="112" t="e">
        <f>Skills!S88</f>
        <v>#N/A</v>
      </c>
      <c r="E106" s="113" t="e">
        <f>VLOOKUP("Ranged",Calculations!$W$2:$X$6,2,FALSE)</f>
        <v>#REF!</v>
      </c>
      <c r="F106" s="19"/>
      <c r="G106" s="19"/>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56"/>
      <c r="BF106" s="4">
        <f t="shared" si="56"/>
        <v>0</v>
      </c>
      <c r="BG106" s="4">
        <f t="shared" si="56"/>
        <v>0</v>
      </c>
      <c r="BH106" s="4">
        <f t="shared" si="57"/>
        <v>0</v>
      </c>
      <c r="BI106" s="4">
        <f t="shared" si="58"/>
        <v>0</v>
      </c>
      <c r="BJ106" s="4">
        <f t="shared" si="59"/>
        <v>0</v>
      </c>
      <c r="BK106" s="4">
        <f t="shared" si="60"/>
        <v>0</v>
      </c>
      <c r="BL106" s="4">
        <f t="shared" si="61"/>
        <v>0</v>
      </c>
      <c r="BM106" s="4">
        <f t="shared" si="62"/>
        <v>0</v>
      </c>
      <c r="BN106" s="4">
        <f t="shared" si="63"/>
        <v>0</v>
      </c>
      <c r="BO106" s="4">
        <f t="shared" si="64"/>
        <v>0</v>
      </c>
      <c r="BP106" s="4">
        <f t="shared" si="65"/>
        <v>0</v>
      </c>
      <c r="BQ106" s="4">
        <f t="shared" si="66"/>
        <v>0</v>
      </c>
      <c r="BR106" s="4">
        <f t="shared" si="67"/>
        <v>0</v>
      </c>
      <c r="BS106" s="4">
        <f t="shared" si="68"/>
        <v>0</v>
      </c>
      <c r="BT106" s="4">
        <f t="shared" si="69"/>
        <v>0</v>
      </c>
      <c r="BU106" s="4">
        <f t="shared" si="70"/>
        <v>0</v>
      </c>
      <c r="BV106" s="4">
        <f t="shared" si="71"/>
        <v>0</v>
      </c>
      <c r="BW106" s="4">
        <f t="shared" si="72"/>
        <v>0</v>
      </c>
      <c r="BX106" s="4">
        <f t="shared" si="73"/>
        <v>0</v>
      </c>
      <c r="BY106" s="4">
        <f t="shared" si="74"/>
        <v>0</v>
      </c>
      <c r="BZ106" s="4">
        <f t="shared" si="75"/>
        <v>0</v>
      </c>
      <c r="CA106" s="4">
        <f t="shared" si="76"/>
        <v>0</v>
      </c>
      <c r="CB106" s="4">
        <f t="shared" si="77"/>
        <v>0</v>
      </c>
      <c r="CC106" s="4">
        <f t="shared" si="78"/>
        <v>0</v>
      </c>
      <c r="CD106" s="4">
        <f t="shared" si="79"/>
        <v>0</v>
      </c>
      <c r="CE106" s="4">
        <f t="shared" si="80"/>
        <v>0</v>
      </c>
      <c r="CF106" s="4">
        <f t="shared" si="81"/>
        <v>0</v>
      </c>
      <c r="CG106" s="4">
        <f t="shared" si="82"/>
        <v>0</v>
      </c>
      <c r="CH106" s="4">
        <f t="shared" si="83"/>
        <v>0</v>
      </c>
      <c r="CI106" s="4">
        <f t="shared" si="84"/>
        <v>0</v>
      </c>
      <c r="CJ106" s="4">
        <f t="shared" si="85"/>
        <v>0</v>
      </c>
      <c r="CK106" s="4">
        <f t="shared" si="86"/>
        <v>0</v>
      </c>
      <c r="CL106" s="4">
        <f t="shared" si="87"/>
        <v>0</v>
      </c>
      <c r="CM106" s="4">
        <f t="shared" si="88"/>
        <v>0</v>
      </c>
      <c r="CN106" s="4">
        <f t="shared" si="89"/>
        <v>0</v>
      </c>
      <c r="CO106" s="4">
        <f t="shared" si="90"/>
        <v>0</v>
      </c>
      <c r="CP106" s="4">
        <f t="shared" si="91"/>
        <v>0</v>
      </c>
      <c r="CQ106" s="4">
        <f t="shared" si="92"/>
        <v>0</v>
      </c>
      <c r="CR106" s="4">
        <f t="shared" si="93"/>
        <v>0</v>
      </c>
      <c r="CS106" s="4">
        <f t="shared" si="94"/>
        <v>0</v>
      </c>
      <c r="CT106" s="4">
        <f t="shared" si="95"/>
        <v>0</v>
      </c>
      <c r="CU106" s="4">
        <f t="shared" si="96"/>
        <v>0</v>
      </c>
      <c r="CV106" s="4">
        <f t="shared" si="97"/>
        <v>0</v>
      </c>
      <c r="CW106" s="4">
        <f t="shared" si="98"/>
        <v>0</v>
      </c>
      <c r="CX106" s="4">
        <f t="shared" si="99"/>
        <v>0</v>
      </c>
      <c r="CY106" s="4">
        <f t="shared" si="100"/>
        <v>0</v>
      </c>
      <c r="CZ106" s="4">
        <f t="shared" si="101"/>
        <v>0</v>
      </c>
      <c r="DA106" s="4">
        <f t="shared" si="102"/>
        <v>0</v>
      </c>
      <c r="DB106" s="4">
        <f t="shared" si="103"/>
        <v>0</v>
      </c>
      <c r="DC106" s="4">
        <f t="shared" si="104"/>
        <v>0</v>
      </c>
      <c r="DD106" s="4">
        <f t="shared" si="105"/>
        <v>0</v>
      </c>
    </row>
    <row r="107" spans="1:108" x14ac:dyDescent="0.25">
      <c r="A107" s="41" t="str">
        <f>Skills!M89</f>
        <v>Ranged, Crossbow</v>
      </c>
      <c r="B107" s="57" t="str">
        <f>Skills!N89</f>
        <v>Crossbow</v>
      </c>
      <c r="C107" s="24">
        <f t="shared" si="106"/>
        <v>0</v>
      </c>
      <c r="D107" s="110" t="e">
        <f>Skills!S89</f>
        <v>#N/A</v>
      </c>
      <c r="E107" s="111" t="e">
        <f>VLOOKUP("Ranged",Calculations!$W$2:$X$6,2,FALSE)</f>
        <v>#REF!</v>
      </c>
      <c r="F107" s="18"/>
      <c r="G107" s="18"/>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49"/>
      <c r="BF107" s="4">
        <f t="shared" si="56"/>
        <v>0</v>
      </c>
      <c r="BG107" s="4">
        <f t="shared" si="56"/>
        <v>0</v>
      </c>
      <c r="BH107" s="4">
        <f t="shared" si="57"/>
        <v>0</v>
      </c>
      <c r="BI107" s="4">
        <f t="shared" si="58"/>
        <v>0</v>
      </c>
      <c r="BJ107" s="4">
        <f t="shared" si="59"/>
        <v>0</v>
      </c>
      <c r="BK107" s="4">
        <f t="shared" si="60"/>
        <v>0</v>
      </c>
      <c r="BL107" s="4">
        <f t="shared" si="61"/>
        <v>0</v>
      </c>
      <c r="BM107" s="4">
        <f t="shared" si="62"/>
        <v>0</v>
      </c>
      <c r="BN107" s="4">
        <f t="shared" si="63"/>
        <v>0</v>
      </c>
      <c r="BO107" s="4">
        <f t="shared" si="64"/>
        <v>0</v>
      </c>
      <c r="BP107" s="4">
        <f t="shared" si="65"/>
        <v>0</v>
      </c>
      <c r="BQ107" s="4">
        <f t="shared" si="66"/>
        <v>0</v>
      </c>
      <c r="BR107" s="4">
        <f t="shared" si="67"/>
        <v>0</v>
      </c>
      <c r="BS107" s="4">
        <f t="shared" si="68"/>
        <v>0</v>
      </c>
      <c r="BT107" s="4">
        <f t="shared" si="69"/>
        <v>0</v>
      </c>
      <c r="BU107" s="4">
        <f t="shared" si="70"/>
        <v>0</v>
      </c>
      <c r="BV107" s="4">
        <f t="shared" si="71"/>
        <v>0</v>
      </c>
      <c r="BW107" s="4">
        <f t="shared" si="72"/>
        <v>0</v>
      </c>
      <c r="BX107" s="4">
        <f t="shared" si="73"/>
        <v>0</v>
      </c>
      <c r="BY107" s="4">
        <f t="shared" si="74"/>
        <v>0</v>
      </c>
      <c r="BZ107" s="4">
        <f t="shared" si="75"/>
        <v>0</v>
      </c>
      <c r="CA107" s="4">
        <f t="shared" si="76"/>
        <v>0</v>
      </c>
      <c r="CB107" s="4">
        <f t="shared" si="77"/>
        <v>0</v>
      </c>
      <c r="CC107" s="4">
        <f t="shared" si="78"/>
        <v>0</v>
      </c>
      <c r="CD107" s="4">
        <f t="shared" si="79"/>
        <v>0</v>
      </c>
      <c r="CE107" s="4">
        <f t="shared" si="80"/>
        <v>0</v>
      </c>
      <c r="CF107" s="4">
        <f t="shared" si="81"/>
        <v>0</v>
      </c>
      <c r="CG107" s="4">
        <f t="shared" si="82"/>
        <v>0</v>
      </c>
      <c r="CH107" s="4">
        <f t="shared" si="83"/>
        <v>0</v>
      </c>
      <c r="CI107" s="4">
        <f t="shared" si="84"/>
        <v>0</v>
      </c>
      <c r="CJ107" s="4">
        <f t="shared" si="85"/>
        <v>0</v>
      </c>
      <c r="CK107" s="4">
        <f t="shared" si="86"/>
        <v>0</v>
      </c>
      <c r="CL107" s="4">
        <f t="shared" si="87"/>
        <v>0</v>
      </c>
      <c r="CM107" s="4">
        <f t="shared" si="88"/>
        <v>0</v>
      </c>
      <c r="CN107" s="4">
        <f t="shared" si="89"/>
        <v>0</v>
      </c>
      <c r="CO107" s="4">
        <f t="shared" si="90"/>
        <v>0</v>
      </c>
      <c r="CP107" s="4">
        <f t="shared" si="91"/>
        <v>0</v>
      </c>
      <c r="CQ107" s="4">
        <f t="shared" si="92"/>
        <v>0</v>
      </c>
      <c r="CR107" s="4">
        <f t="shared" si="93"/>
        <v>0</v>
      </c>
      <c r="CS107" s="4">
        <f t="shared" si="94"/>
        <v>0</v>
      </c>
      <c r="CT107" s="4">
        <f t="shared" si="95"/>
        <v>0</v>
      </c>
      <c r="CU107" s="4">
        <f t="shared" si="96"/>
        <v>0</v>
      </c>
      <c r="CV107" s="4">
        <f t="shared" si="97"/>
        <v>0</v>
      </c>
      <c r="CW107" s="4">
        <f t="shared" si="98"/>
        <v>0</v>
      </c>
      <c r="CX107" s="4">
        <f t="shared" si="99"/>
        <v>0</v>
      </c>
      <c r="CY107" s="4">
        <f t="shared" si="100"/>
        <v>0</v>
      </c>
      <c r="CZ107" s="4">
        <f t="shared" si="101"/>
        <v>0</v>
      </c>
      <c r="DA107" s="4">
        <f t="shared" si="102"/>
        <v>0</v>
      </c>
      <c r="DB107" s="4">
        <f t="shared" si="103"/>
        <v>0</v>
      </c>
      <c r="DC107" s="4">
        <f t="shared" si="104"/>
        <v>0</v>
      </c>
      <c r="DD107" s="4">
        <f t="shared" si="105"/>
        <v>0</v>
      </c>
    </row>
    <row r="108" spans="1:108" x14ac:dyDescent="0.25">
      <c r="A108" s="41" t="str">
        <f>Skills!M90</f>
        <v>Ranged, Sling</v>
      </c>
      <c r="B108" s="55" t="str">
        <f>Skills!N90</f>
        <v>Sling</v>
      </c>
      <c r="C108" s="22">
        <f t="shared" si="106"/>
        <v>0</v>
      </c>
      <c r="D108" s="112" t="e">
        <f>Skills!S90</f>
        <v>#N/A</v>
      </c>
      <c r="E108" s="113" t="e">
        <f>VLOOKUP("Ranged",Calculations!$W$2:$X$6,2,FALSE)</f>
        <v>#REF!</v>
      </c>
      <c r="F108" s="19"/>
      <c r="G108" s="19"/>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56"/>
      <c r="BF108" s="4">
        <f t="shared" si="56"/>
        <v>0</v>
      </c>
      <c r="BG108" s="4">
        <f t="shared" si="56"/>
        <v>0</v>
      </c>
      <c r="BH108" s="4">
        <f t="shared" si="57"/>
        <v>0</v>
      </c>
      <c r="BI108" s="4">
        <f t="shared" si="58"/>
        <v>0</v>
      </c>
      <c r="BJ108" s="4">
        <f t="shared" si="59"/>
        <v>0</v>
      </c>
      <c r="BK108" s="4">
        <f t="shared" si="60"/>
        <v>0</v>
      </c>
      <c r="BL108" s="4">
        <f t="shared" si="61"/>
        <v>0</v>
      </c>
      <c r="BM108" s="4">
        <f t="shared" si="62"/>
        <v>0</v>
      </c>
      <c r="BN108" s="4">
        <f t="shared" si="63"/>
        <v>0</v>
      </c>
      <c r="BO108" s="4">
        <f t="shared" si="64"/>
        <v>0</v>
      </c>
      <c r="BP108" s="4">
        <f t="shared" si="65"/>
        <v>0</v>
      </c>
      <c r="BQ108" s="4">
        <f t="shared" si="66"/>
        <v>0</v>
      </c>
      <c r="BR108" s="4">
        <f t="shared" si="67"/>
        <v>0</v>
      </c>
      <c r="BS108" s="4">
        <f t="shared" si="68"/>
        <v>0</v>
      </c>
      <c r="BT108" s="4">
        <f t="shared" si="69"/>
        <v>0</v>
      </c>
      <c r="BU108" s="4">
        <f t="shared" si="70"/>
        <v>0</v>
      </c>
      <c r="BV108" s="4">
        <f t="shared" si="71"/>
        <v>0</v>
      </c>
      <c r="BW108" s="4">
        <f t="shared" si="72"/>
        <v>0</v>
      </c>
      <c r="BX108" s="4">
        <f t="shared" si="73"/>
        <v>0</v>
      </c>
      <c r="BY108" s="4">
        <f t="shared" si="74"/>
        <v>0</v>
      </c>
      <c r="BZ108" s="4">
        <f t="shared" si="75"/>
        <v>0</v>
      </c>
      <c r="CA108" s="4">
        <f t="shared" si="76"/>
        <v>0</v>
      </c>
      <c r="CB108" s="4">
        <f t="shared" si="77"/>
        <v>0</v>
      </c>
      <c r="CC108" s="4">
        <f t="shared" si="78"/>
        <v>0</v>
      </c>
      <c r="CD108" s="4">
        <f t="shared" si="79"/>
        <v>0</v>
      </c>
      <c r="CE108" s="4">
        <f t="shared" si="80"/>
        <v>0</v>
      </c>
      <c r="CF108" s="4">
        <f t="shared" si="81"/>
        <v>0</v>
      </c>
      <c r="CG108" s="4">
        <f t="shared" si="82"/>
        <v>0</v>
      </c>
      <c r="CH108" s="4">
        <f t="shared" si="83"/>
        <v>0</v>
      </c>
      <c r="CI108" s="4">
        <f t="shared" si="84"/>
        <v>0</v>
      </c>
      <c r="CJ108" s="4">
        <f t="shared" si="85"/>
        <v>0</v>
      </c>
      <c r="CK108" s="4">
        <f t="shared" si="86"/>
        <v>0</v>
      </c>
      <c r="CL108" s="4">
        <f t="shared" si="87"/>
        <v>0</v>
      </c>
      <c r="CM108" s="4">
        <f t="shared" si="88"/>
        <v>0</v>
      </c>
      <c r="CN108" s="4">
        <f t="shared" si="89"/>
        <v>0</v>
      </c>
      <c r="CO108" s="4">
        <f t="shared" si="90"/>
        <v>0</v>
      </c>
      <c r="CP108" s="4">
        <f t="shared" si="91"/>
        <v>0</v>
      </c>
      <c r="CQ108" s="4">
        <f t="shared" si="92"/>
        <v>0</v>
      </c>
      <c r="CR108" s="4">
        <f t="shared" si="93"/>
        <v>0</v>
      </c>
      <c r="CS108" s="4">
        <f t="shared" si="94"/>
        <v>0</v>
      </c>
      <c r="CT108" s="4">
        <f t="shared" si="95"/>
        <v>0</v>
      </c>
      <c r="CU108" s="4">
        <f t="shared" si="96"/>
        <v>0</v>
      </c>
      <c r="CV108" s="4">
        <f t="shared" si="97"/>
        <v>0</v>
      </c>
      <c r="CW108" s="4">
        <f t="shared" si="98"/>
        <v>0</v>
      </c>
      <c r="CX108" s="4">
        <f t="shared" si="99"/>
        <v>0</v>
      </c>
      <c r="CY108" s="4">
        <f t="shared" si="100"/>
        <v>0</v>
      </c>
      <c r="CZ108" s="4">
        <f t="shared" si="101"/>
        <v>0</v>
      </c>
      <c r="DA108" s="4">
        <f t="shared" si="102"/>
        <v>0</v>
      </c>
      <c r="DB108" s="4">
        <f t="shared" si="103"/>
        <v>0</v>
      </c>
      <c r="DC108" s="4">
        <f t="shared" si="104"/>
        <v>0</v>
      </c>
      <c r="DD108" s="4">
        <f t="shared" si="105"/>
        <v>0</v>
      </c>
    </row>
    <row r="109" spans="1:108" x14ac:dyDescent="0.25">
      <c r="A109" s="41" t="str">
        <f>Skills!M91</f>
        <v>Ranged, Thrown</v>
      </c>
      <c r="B109" s="57" t="str">
        <f>Skills!N91</f>
        <v>Thrown</v>
      </c>
      <c r="C109" s="24">
        <f t="shared" si="106"/>
        <v>0</v>
      </c>
      <c r="D109" s="110" t="e">
        <f>Skills!S91</f>
        <v>#N/A</v>
      </c>
      <c r="E109" s="111" t="e">
        <f>VLOOKUP("Ranged",Calculations!$W$2:$X$6,2,FALSE)</f>
        <v>#REF!</v>
      </c>
      <c r="F109" s="18"/>
      <c r="G109" s="18"/>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49"/>
      <c r="BF109" s="4">
        <f t="shared" si="56"/>
        <v>0</v>
      </c>
      <c r="BG109" s="4">
        <f t="shared" si="56"/>
        <v>0</v>
      </c>
      <c r="BH109" s="4">
        <f t="shared" si="57"/>
        <v>0</v>
      </c>
      <c r="BI109" s="4">
        <f t="shared" si="58"/>
        <v>0</v>
      </c>
      <c r="BJ109" s="4">
        <f t="shared" si="59"/>
        <v>0</v>
      </c>
      <c r="BK109" s="4">
        <f t="shared" si="60"/>
        <v>0</v>
      </c>
      <c r="BL109" s="4">
        <f t="shared" si="61"/>
        <v>0</v>
      </c>
      <c r="BM109" s="4">
        <f t="shared" si="62"/>
        <v>0</v>
      </c>
      <c r="BN109" s="4">
        <f t="shared" si="63"/>
        <v>0</v>
      </c>
      <c r="BO109" s="4">
        <f t="shared" si="64"/>
        <v>0</v>
      </c>
      <c r="BP109" s="4">
        <f t="shared" si="65"/>
        <v>0</v>
      </c>
      <c r="BQ109" s="4">
        <f t="shared" si="66"/>
        <v>0</v>
      </c>
      <c r="BR109" s="4">
        <f t="shared" si="67"/>
        <v>0</v>
      </c>
      <c r="BS109" s="4">
        <f t="shared" si="68"/>
        <v>0</v>
      </c>
      <c r="BT109" s="4">
        <f t="shared" si="69"/>
        <v>0</v>
      </c>
      <c r="BU109" s="4">
        <f t="shared" si="70"/>
        <v>0</v>
      </c>
      <c r="BV109" s="4">
        <f t="shared" si="71"/>
        <v>0</v>
      </c>
      <c r="BW109" s="4">
        <f t="shared" si="72"/>
        <v>0</v>
      </c>
      <c r="BX109" s="4">
        <f t="shared" si="73"/>
        <v>0</v>
      </c>
      <c r="BY109" s="4">
        <f t="shared" si="74"/>
        <v>0</v>
      </c>
      <c r="BZ109" s="4">
        <f t="shared" si="75"/>
        <v>0</v>
      </c>
      <c r="CA109" s="4">
        <f t="shared" si="76"/>
        <v>0</v>
      </c>
      <c r="CB109" s="4">
        <f t="shared" si="77"/>
        <v>0</v>
      </c>
      <c r="CC109" s="4">
        <f t="shared" si="78"/>
        <v>0</v>
      </c>
      <c r="CD109" s="4">
        <f t="shared" si="79"/>
        <v>0</v>
      </c>
      <c r="CE109" s="4">
        <f t="shared" si="80"/>
        <v>0</v>
      </c>
      <c r="CF109" s="4">
        <f t="shared" si="81"/>
        <v>0</v>
      </c>
      <c r="CG109" s="4">
        <f t="shared" si="82"/>
        <v>0</v>
      </c>
      <c r="CH109" s="4">
        <f t="shared" si="83"/>
        <v>0</v>
      </c>
      <c r="CI109" s="4">
        <f t="shared" si="84"/>
        <v>0</v>
      </c>
      <c r="CJ109" s="4">
        <f t="shared" si="85"/>
        <v>0</v>
      </c>
      <c r="CK109" s="4">
        <f t="shared" si="86"/>
        <v>0</v>
      </c>
      <c r="CL109" s="4">
        <f t="shared" si="87"/>
        <v>0</v>
      </c>
      <c r="CM109" s="4">
        <f t="shared" si="88"/>
        <v>0</v>
      </c>
      <c r="CN109" s="4">
        <f t="shared" si="89"/>
        <v>0</v>
      </c>
      <c r="CO109" s="4">
        <f t="shared" si="90"/>
        <v>0</v>
      </c>
      <c r="CP109" s="4">
        <f t="shared" si="91"/>
        <v>0</v>
      </c>
      <c r="CQ109" s="4">
        <f t="shared" si="92"/>
        <v>0</v>
      </c>
      <c r="CR109" s="4">
        <f t="shared" si="93"/>
        <v>0</v>
      </c>
      <c r="CS109" s="4">
        <f t="shared" si="94"/>
        <v>0</v>
      </c>
      <c r="CT109" s="4">
        <f t="shared" si="95"/>
        <v>0</v>
      </c>
      <c r="CU109" s="4">
        <f t="shared" si="96"/>
        <v>0</v>
      </c>
      <c r="CV109" s="4">
        <f t="shared" si="97"/>
        <v>0</v>
      </c>
      <c r="CW109" s="4">
        <f t="shared" si="98"/>
        <v>0</v>
      </c>
      <c r="CX109" s="4">
        <f t="shared" si="99"/>
        <v>0</v>
      </c>
      <c r="CY109" s="4">
        <f t="shared" si="100"/>
        <v>0</v>
      </c>
      <c r="CZ109" s="4">
        <f t="shared" si="101"/>
        <v>0</v>
      </c>
      <c r="DA109" s="4">
        <f t="shared" si="102"/>
        <v>0</v>
      </c>
      <c r="DB109" s="4">
        <f t="shared" si="103"/>
        <v>0</v>
      </c>
      <c r="DC109" s="4">
        <f t="shared" si="104"/>
        <v>0</v>
      </c>
      <c r="DD109" s="4">
        <f t="shared" si="105"/>
        <v>0</v>
      </c>
    </row>
    <row r="110" spans="1:108" x14ac:dyDescent="0.25">
      <c r="A110" s="41" t="str">
        <f>Skills!M92</f>
        <v>Ranged, Blowpipe</v>
      </c>
      <c r="B110" s="55" t="str">
        <f>Skills!N92</f>
        <v>Blowpipe</v>
      </c>
      <c r="C110" s="22">
        <f t="shared" si="106"/>
        <v>0</v>
      </c>
      <c r="D110" s="112" t="e">
        <f>Skills!S92</f>
        <v>#N/A</v>
      </c>
      <c r="E110" s="113" t="e">
        <f>VLOOKUP("Ranged",Calculations!$W$2:$X$6,2,FALSE)</f>
        <v>#REF!</v>
      </c>
      <c r="F110" s="19"/>
      <c r="G110" s="19"/>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56"/>
      <c r="BF110" s="4">
        <f t="shared" si="56"/>
        <v>0</v>
      </c>
      <c r="BG110" s="4">
        <f t="shared" si="56"/>
        <v>0</v>
      </c>
      <c r="BH110" s="4">
        <f t="shared" si="57"/>
        <v>0</v>
      </c>
      <c r="BI110" s="4">
        <f t="shared" si="58"/>
        <v>0</v>
      </c>
      <c r="BJ110" s="4">
        <f t="shared" si="59"/>
        <v>0</v>
      </c>
      <c r="BK110" s="4">
        <f t="shared" si="60"/>
        <v>0</v>
      </c>
      <c r="BL110" s="4">
        <f t="shared" si="61"/>
        <v>0</v>
      </c>
      <c r="BM110" s="4">
        <f t="shared" si="62"/>
        <v>0</v>
      </c>
      <c r="BN110" s="4">
        <f t="shared" si="63"/>
        <v>0</v>
      </c>
      <c r="BO110" s="4">
        <f t="shared" si="64"/>
        <v>0</v>
      </c>
      <c r="BP110" s="4">
        <f t="shared" si="65"/>
        <v>0</v>
      </c>
      <c r="BQ110" s="4">
        <f t="shared" si="66"/>
        <v>0</v>
      </c>
      <c r="BR110" s="4">
        <f t="shared" si="67"/>
        <v>0</v>
      </c>
      <c r="BS110" s="4">
        <f t="shared" si="68"/>
        <v>0</v>
      </c>
      <c r="BT110" s="4">
        <f t="shared" si="69"/>
        <v>0</v>
      </c>
      <c r="BU110" s="4">
        <f t="shared" si="70"/>
        <v>0</v>
      </c>
      <c r="BV110" s="4">
        <f t="shared" si="71"/>
        <v>0</v>
      </c>
      <c r="BW110" s="4">
        <f t="shared" si="72"/>
        <v>0</v>
      </c>
      <c r="BX110" s="4">
        <f t="shared" si="73"/>
        <v>0</v>
      </c>
      <c r="BY110" s="4">
        <f t="shared" si="74"/>
        <v>0</v>
      </c>
      <c r="BZ110" s="4">
        <f t="shared" si="75"/>
        <v>0</v>
      </c>
      <c r="CA110" s="4">
        <f t="shared" si="76"/>
        <v>0</v>
      </c>
      <c r="CB110" s="4">
        <f t="shared" si="77"/>
        <v>0</v>
      </c>
      <c r="CC110" s="4">
        <f t="shared" si="78"/>
        <v>0</v>
      </c>
      <c r="CD110" s="4">
        <f t="shared" si="79"/>
        <v>0</v>
      </c>
      <c r="CE110" s="4">
        <f t="shared" si="80"/>
        <v>0</v>
      </c>
      <c r="CF110" s="4">
        <f t="shared" si="81"/>
        <v>0</v>
      </c>
      <c r="CG110" s="4">
        <f t="shared" si="82"/>
        <v>0</v>
      </c>
      <c r="CH110" s="4">
        <f t="shared" si="83"/>
        <v>0</v>
      </c>
      <c r="CI110" s="4">
        <f t="shared" si="84"/>
        <v>0</v>
      </c>
      <c r="CJ110" s="4">
        <f t="shared" si="85"/>
        <v>0</v>
      </c>
      <c r="CK110" s="4">
        <f t="shared" si="86"/>
        <v>0</v>
      </c>
      <c r="CL110" s="4">
        <f t="shared" si="87"/>
        <v>0</v>
      </c>
      <c r="CM110" s="4">
        <f t="shared" si="88"/>
        <v>0</v>
      </c>
      <c r="CN110" s="4">
        <f t="shared" si="89"/>
        <v>0</v>
      </c>
      <c r="CO110" s="4">
        <f t="shared" si="90"/>
        <v>0</v>
      </c>
      <c r="CP110" s="4">
        <f t="shared" si="91"/>
        <v>0</v>
      </c>
      <c r="CQ110" s="4">
        <f t="shared" si="92"/>
        <v>0</v>
      </c>
      <c r="CR110" s="4">
        <f t="shared" si="93"/>
        <v>0</v>
      </c>
      <c r="CS110" s="4">
        <f t="shared" si="94"/>
        <v>0</v>
      </c>
      <c r="CT110" s="4">
        <f t="shared" si="95"/>
        <v>0</v>
      </c>
      <c r="CU110" s="4">
        <f t="shared" si="96"/>
        <v>0</v>
      </c>
      <c r="CV110" s="4">
        <f t="shared" si="97"/>
        <v>0</v>
      </c>
      <c r="CW110" s="4">
        <f t="shared" si="98"/>
        <v>0</v>
      </c>
      <c r="CX110" s="4">
        <f t="shared" si="99"/>
        <v>0</v>
      </c>
      <c r="CY110" s="4">
        <f t="shared" si="100"/>
        <v>0</v>
      </c>
      <c r="CZ110" s="4">
        <f t="shared" si="101"/>
        <v>0</v>
      </c>
      <c r="DA110" s="4">
        <f t="shared" si="102"/>
        <v>0</v>
      </c>
      <c r="DB110" s="4">
        <f t="shared" si="103"/>
        <v>0</v>
      </c>
      <c r="DC110" s="4">
        <f t="shared" si="104"/>
        <v>0</v>
      </c>
      <c r="DD110" s="4">
        <f t="shared" si="105"/>
        <v>0</v>
      </c>
    </row>
    <row r="111" spans="1:108" x14ac:dyDescent="0.25">
      <c r="A111" s="41" t="str">
        <f>Skills!M93</f>
        <v>Ranged, Bola</v>
      </c>
      <c r="B111" s="57" t="str">
        <f>Skills!N93</f>
        <v>Bola</v>
      </c>
      <c r="C111" s="24">
        <f t="shared" si="106"/>
        <v>0</v>
      </c>
      <c r="D111" s="110" t="e">
        <f>Skills!S93</f>
        <v>#N/A</v>
      </c>
      <c r="E111" s="111" t="e">
        <f>VLOOKUP("Ranged",Calculations!$W$2:$X$6,2,FALSE)</f>
        <v>#REF!</v>
      </c>
      <c r="F111" s="18"/>
      <c r="G111" s="18"/>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49"/>
      <c r="BF111" s="4">
        <f t="shared" si="56"/>
        <v>0</v>
      </c>
      <c r="BG111" s="4">
        <f t="shared" si="56"/>
        <v>0</v>
      </c>
      <c r="BH111" s="4">
        <f t="shared" si="57"/>
        <v>0</v>
      </c>
      <c r="BI111" s="4">
        <f t="shared" si="58"/>
        <v>0</v>
      </c>
      <c r="BJ111" s="4">
        <f t="shared" si="59"/>
        <v>0</v>
      </c>
      <c r="BK111" s="4">
        <f t="shared" si="60"/>
        <v>0</v>
      </c>
      <c r="BL111" s="4">
        <f t="shared" si="61"/>
        <v>0</v>
      </c>
      <c r="BM111" s="4">
        <f t="shared" si="62"/>
        <v>0</v>
      </c>
      <c r="BN111" s="4">
        <f t="shared" si="63"/>
        <v>0</v>
      </c>
      <c r="BO111" s="4">
        <f t="shared" si="64"/>
        <v>0</v>
      </c>
      <c r="BP111" s="4">
        <f t="shared" si="65"/>
        <v>0</v>
      </c>
      <c r="BQ111" s="4">
        <f t="shared" si="66"/>
        <v>0</v>
      </c>
      <c r="BR111" s="4">
        <f t="shared" si="67"/>
        <v>0</v>
      </c>
      <c r="BS111" s="4">
        <f t="shared" si="68"/>
        <v>0</v>
      </c>
      <c r="BT111" s="4">
        <f t="shared" si="69"/>
        <v>0</v>
      </c>
      <c r="BU111" s="4">
        <f t="shared" si="70"/>
        <v>0</v>
      </c>
      <c r="BV111" s="4">
        <f t="shared" si="71"/>
        <v>0</v>
      </c>
      <c r="BW111" s="4">
        <f t="shared" si="72"/>
        <v>0</v>
      </c>
      <c r="BX111" s="4">
        <f t="shared" si="73"/>
        <v>0</v>
      </c>
      <c r="BY111" s="4">
        <f t="shared" si="74"/>
        <v>0</v>
      </c>
      <c r="BZ111" s="4">
        <f t="shared" si="75"/>
        <v>0</v>
      </c>
      <c r="CA111" s="4">
        <f t="shared" si="76"/>
        <v>0</v>
      </c>
      <c r="CB111" s="4">
        <f t="shared" si="77"/>
        <v>0</v>
      </c>
      <c r="CC111" s="4">
        <f t="shared" si="78"/>
        <v>0</v>
      </c>
      <c r="CD111" s="4">
        <f t="shared" si="79"/>
        <v>0</v>
      </c>
      <c r="CE111" s="4">
        <f t="shared" si="80"/>
        <v>0</v>
      </c>
      <c r="CF111" s="4">
        <f t="shared" si="81"/>
        <v>0</v>
      </c>
      <c r="CG111" s="4">
        <f t="shared" si="82"/>
        <v>0</v>
      </c>
      <c r="CH111" s="4">
        <f t="shared" si="83"/>
        <v>0</v>
      </c>
      <c r="CI111" s="4">
        <f t="shared" si="84"/>
        <v>0</v>
      </c>
      <c r="CJ111" s="4">
        <f t="shared" si="85"/>
        <v>0</v>
      </c>
      <c r="CK111" s="4">
        <f t="shared" si="86"/>
        <v>0</v>
      </c>
      <c r="CL111" s="4">
        <f t="shared" si="87"/>
        <v>0</v>
      </c>
      <c r="CM111" s="4">
        <f t="shared" si="88"/>
        <v>0</v>
      </c>
      <c r="CN111" s="4">
        <f t="shared" si="89"/>
        <v>0</v>
      </c>
      <c r="CO111" s="4">
        <f t="shared" si="90"/>
        <v>0</v>
      </c>
      <c r="CP111" s="4">
        <f t="shared" si="91"/>
        <v>0</v>
      </c>
      <c r="CQ111" s="4">
        <f t="shared" si="92"/>
        <v>0</v>
      </c>
      <c r="CR111" s="4">
        <f t="shared" si="93"/>
        <v>0</v>
      </c>
      <c r="CS111" s="4">
        <f t="shared" si="94"/>
        <v>0</v>
      </c>
      <c r="CT111" s="4">
        <f t="shared" si="95"/>
        <v>0</v>
      </c>
      <c r="CU111" s="4">
        <f t="shared" si="96"/>
        <v>0</v>
      </c>
      <c r="CV111" s="4">
        <f t="shared" si="97"/>
        <v>0</v>
      </c>
      <c r="CW111" s="4">
        <f t="shared" si="98"/>
        <v>0</v>
      </c>
      <c r="CX111" s="4">
        <f t="shared" si="99"/>
        <v>0</v>
      </c>
      <c r="CY111" s="4">
        <f t="shared" si="100"/>
        <v>0</v>
      </c>
      <c r="CZ111" s="4">
        <f t="shared" si="101"/>
        <v>0</v>
      </c>
      <c r="DA111" s="4">
        <f t="shared" si="102"/>
        <v>0</v>
      </c>
      <c r="DB111" s="4">
        <f t="shared" si="103"/>
        <v>0</v>
      </c>
      <c r="DC111" s="4">
        <f t="shared" si="104"/>
        <v>0</v>
      </c>
      <c r="DD111" s="4">
        <f t="shared" si="105"/>
        <v>0</v>
      </c>
    </row>
    <row r="112" spans="1:108" x14ac:dyDescent="0.25">
      <c r="A112" s="41" t="str">
        <f>Skills!M94</f>
        <v>Ranged, Boomerang</v>
      </c>
      <c r="B112" s="55" t="str">
        <f>Skills!N94</f>
        <v>Boomerang</v>
      </c>
      <c r="C112" s="22">
        <f t="shared" si="106"/>
        <v>0</v>
      </c>
      <c r="D112" s="112" t="e">
        <f>Skills!S94</f>
        <v>#N/A</v>
      </c>
      <c r="E112" s="113" t="e">
        <f>VLOOKUP("Ranged",Calculations!$W$2:$X$6,2,FALSE)</f>
        <v>#REF!</v>
      </c>
      <c r="F112" s="19"/>
      <c r="G112" s="19"/>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56"/>
      <c r="BF112" s="4">
        <f t="shared" si="56"/>
        <v>0</v>
      </c>
      <c r="BG112" s="4">
        <f t="shared" si="56"/>
        <v>0</v>
      </c>
      <c r="BH112" s="4">
        <f t="shared" si="57"/>
        <v>0</v>
      </c>
      <c r="BI112" s="4">
        <f t="shared" si="58"/>
        <v>0</v>
      </c>
      <c r="BJ112" s="4">
        <f t="shared" si="59"/>
        <v>0</v>
      </c>
      <c r="BK112" s="4">
        <f t="shared" si="60"/>
        <v>0</v>
      </c>
      <c r="BL112" s="4">
        <f t="shared" si="61"/>
        <v>0</v>
      </c>
      <c r="BM112" s="4">
        <f t="shared" si="62"/>
        <v>0</v>
      </c>
      <c r="BN112" s="4">
        <f t="shared" si="63"/>
        <v>0</v>
      </c>
      <c r="BO112" s="4">
        <f t="shared" si="64"/>
        <v>0</v>
      </c>
      <c r="BP112" s="4">
        <f t="shared" si="65"/>
        <v>0</v>
      </c>
      <c r="BQ112" s="4">
        <f t="shared" si="66"/>
        <v>0</v>
      </c>
      <c r="BR112" s="4">
        <f t="shared" si="67"/>
        <v>0</v>
      </c>
      <c r="BS112" s="4">
        <f t="shared" si="68"/>
        <v>0</v>
      </c>
      <c r="BT112" s="4">
        <f t="shared" si="69"/>
        <v>0</v>
      </c>
      <c r="BU112" s="4">
        <f t="shared" si="70"/>
        <v>0</v>
      </c>
      <c r="BV112" s="4">
        <f t="shared" si="71"/>
        <v>0</v>
      </c>
      <c r="BW112" s="4">
        <f t="shared" si="72"/>
        <v>0</v>
      </c>
      <c r="BX112" s="4">
        <f t="shared" si="73"/>
        <v>0</v>
      </c>
      <c r="BY112" s="4">
        <f t="shared" si="74"/>
        <v>0</v>
      </c>
      <c r="BZ112" s="4">
        <f t="shared" si="75"/>
        <v>0</v>
      </c>
      <c r="CA112" s="4">
        <f t="shared" si="76"/>
        <v>0</v>
      </c>
      <c r="CB112" s="4">
        <f t="shared" si="77"/>
        <v>0</v>
      </c>
      <c r="CC112" s="4">
        <f t="shared" si="78"/>
        <v>0</v>
      </c>
      <c r="CD112" s="4">
        <f t="shared" si="79"/>
        <v>0</v>
      </c>
      <c r="CE112" s="4">
        <f t="shared" si="80"/>
        <v>0</v>
      </c>
      <c r="CF112" s="4">
        <f t="shared" si="81"/>
        <v>0</v>
      </c>
      <c r="CG112" s="4">
        <f t="shared" si="82"/>
        <v>0</v>
      </c>
      <c r="CH112" s="4">
        <f t="shared" si="83"/>
        <v>0</v>
      </c>
      <c r="CI112" s="4">
        <f t="shared" si="84"/>
        <v>0</v>
      </c>
      <c r="CJ112" s="4">
        <f t="shared" si="85"/>
        <v>0</v>
      </c>
      <c r="CK112" s="4">
        <f t="shared" si="86"/>
        <v>0</v>
      </c>
      <c r="CL112" s="4">
        <f t="shared" si="87"/>
        <v>0</v>
      </c>
      <c r="CM112" s="4">
        <f t="shared" si="88"/>
        <v>0</v>
      </c>
      <c r="CN112" s="4">
        <f t="shared" si="89"/>
        <v>0</v>
      </c>
      <c r="CO112" s="4">
        <f t="shared" si="90"/>
        <v>0</v>
      </c>
      <c r="CP112" s="4">
        <f t="shared" si="91"/>
        <v>0</v>
      </c>
      <c r="CQ112" s="4">
        <f t="shared" si="92"/>
        <v>0</v>
      </c>
      <c r="CR112" s="4">
        <f t="shared" si="93"/>
        <v>0</v>
      </c>
      <c r="CS112" s="4">
        <f t="shared" si="94"/>
        <v>0</v>
      </c>
      <c r="CT112" s="4">
        <f t="shared" si="95"/>
        <v>0</v>
      </c>
      <c r="CU112" s="4">
        <f t="shared" si="96"/>
        <v>0</v>
      </c>
      <c r="CV112" s="4">
        <f t="shared" si="97"/>
        <v>0</v>
      </c>
      <c r="CW112" s="4">
        <f t="shared" si="98"/>
        <v>0</v>
      </c>
      <c r="CX112" s="4">
        <f t="shared" si="99"/>
        <v>0</v>
      </c>
      <c r="CY112" s="4">
        <f t="shared" si="100"/>
        <v>0</v>
      </c>
      <c r="CZ112" s="4">
        <f t="shared" si="101"/>
        <v>0</v>
      </c>
      <c r="DA112" s="4">
        <f t="shared" si="102"/>
        <v>0</v>
      </c>
      <c r="DB112" s="4">
        <f t="shared" si="103"/>
        <v>0</v>
      </c>
      <c r="DC112" s="4">
        <f t="shared" si="104"/>
        <v>0</v>
      </c>
      <c r="DD112" s="4">
        <f t="shared" si="105"/>
        <v>0</v>
      </c>
    </row>
    <row r="113" spans="1:108" x14ac:dyDescent="0.25">
      <c r="A113" s="41" t="str">
        <f>Skills!M95</f>
        <v>Ranged, Firearm</v>
      </c>
      <c r="B113" s="57" t="str">
        <f>Skills!N95</f>
        <v>Firearm</v>
      </c>
      <c r="C113" s="24">
        <f t="shared" si="106"/>
        <v>0</v>
      </c>
      <c r="D113" s="110" t="e">
        <f>Skills!S95</f>
        <v>#N/A</v>
      </c>
      <c r="E113" s="111" t="e">
        <f>VLOOKUP("Ranged",Calculations!$W$2:$X$6,2,FALSE)</f>
        <v>#REF!</v>
      </c>
      <c r="F113" s="18"/>
      <c r="G113" s="18"/>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49"/>
      <c r="BF113" s="4">
        <f t="shared" si="56"/>
        <v>0</v>
      </c>
      <c r="BG113" s="4">
        <f t="shared" si="56"/>
        <v>0</v>
      </c>
      <c r="BH113" s="4">
        <f t="shared" si="57"/>
        <v>0</v>
      </c>
      <c r="BI113" s="4">
        <f t="shared" si="58"/>
        <v>0</v>
      </c>
      <c r="BJ113" s="4">
        <f t="shared" si="59"/>
        <v>0</v>
      </c>
      <c r="BK113" s="4">
        <f t="shared" si="60"/>
        <v>0</v>
      </c>
      <c r="BL113" s="4">
        <f t="shared" si="61"/>
        <v>0</v>
      </c>
      <c r="BM113" s="4">
        <f t="shared" si="62"/>
        <v>0</v>
      </c>
      <c r="BN113" s="4">
        <f t="shared" si="63"/>
        <v>0</v>
      </c>
      <c r="BO113" s="4">
        <f t="shared" si="64"/>
        <v>0</v>
      </c>
      <c r="BP113" s="4">
        <f t="shared" si="65"/>
        <v>0</v>
      </c>
      <c r="BQ113" s="4">
        <f t="shared" si="66"/>
        <v>0</v>
      </c>
      <c r="BR113" s="4">
        <f t="shared" si="67"/>
        <v>0</v>
      </c>
      <c r="BS113" s="4">
        <f t="shared" si="68"/>
        <v>0</v>
      </c>
      <c r="BT113" s="4">
        <f t="shared" si="69"/>
        <v>0</v>
      </c>
      <c r="BU113" s="4">
        <f t="shared" si="70"/>
        <v>0</v>
      </c>
      <c r="BV113" s="4">
        <f t="shared" si="71"/>
        <v>0</v>
      </c>
      <c r="BW113" s="4">
        <f t="shared" si="72"/>
        <v>0</v>
      </c>
      <c r="BX113" s="4">
        <f t="shared" si="73"/>
        <v>0</v>
      </c>
      <c r="BY113" s="4">
        <f t="shared" si="74"/>
        <v>0</v>
      </c>
      <c r="BZ113" s="4">
        <f t="shared" si="75"/>
        <v>0</v>
      </c>
      <c r="CA113" s="4">
        <f t="shared" si="76"/>
        <v>0</v>
      </c>
      <c r="CB113" s="4">
        <f t="shared" si="77"/>
        <v>0</v>
      </c>
      <c r="CC113" s="4">
        <f t="shared" si="78"/>
        <v>0</v>
      </c>
      <c r="CD113" s="4">
        <f t="shared" si="79"/>
        <v>0</v>
      </c>
      <c r="CE113" s="4">
        <f t="shared" si="80"/>
        <v>0</v>
      </c>
      <c r="CF113" s="4">
        <f t="shared" si="81"/>
        <v>0</v>
      </c>
      <c r="CG113" s="4">
        <f t="shared" si="82"/>
        <v>0</v>
      </c>
      <c r="CH113" s="4">
        <f t="shared" si="83"/>
        <v>0</v>
      </c>
      <c r="CI113" s="4">
        <f t="shared" si="84"/>
        <v>0</v>
      </c>
      <c r="CJ113" s="4">
        <f t="shared" si="85"/>
        <v>0</v>
      </c>
      <c r="CK113" s="4">
        <f t="shared" si="86"/>
        <v>0</v>
      </c>
      <c r="CL113" s="4">
        <f t="shared" si="87"/>
        <v>0</v>
      </c>
      <c r="CM113" s="4">
        <f t="shared" si="88"/>
        <v>0</v>
      </c>
      <c r="CN113" s="4">
        <f t="shared" si="89"/>
        <v>0</v>
      </c>
      <c r="CO113" s="4">
        <f t="shared" si="90"/>
        <v>0</v>
      </c>
      <c r="CP113" s="4">
        <f t="shared" si="91"/>
        <v>0</v>
      </c>
      <c r="CQ113" s="4">
        <f t="shared" si="92"/>
        <v>0</v>
      </c>
      <c r="CR113" s="4">
        <f t="shared" si="93"/>
        <v>0</v>
      </c>
      <c r="CS113" s="4">
        <f t="shared" si="94"/>
        <v>0</v>
      </c>
      <c r="CT113" s="4">
        <f t="shared" si="95"/>
        <v>0</v>
      </c>
      <c r="CU113" s="4">
        <f t="shared" si="96"/>
        <v>0</v>
      </c>
      <c r="CV113" s="4">
        <f t="shared" si="97"/>
        <v>0</v>
      </c>
      <c r="CW113" s="4">
        <f t="shared" si="98"/>
        <v>0</v>
      </c>
      <c r="CX113" s="4">
        <f t="shared" si="99"/>
        <v>0</v>
      </c>
      <c r="CY113" s="4">
        <f t="shared" si="100"/>
        <v>0</v>
      </c>
      <c r="CZ113" s="4">
        <f t="shared" si="101"/>
        <v>0</v>
      </c>
      <c r="DA113" s="4">
        <f t="shared" si="102"/>
        <v>0</v>
      </c>
      <c r="DB113" s="4">
        <f t="shared" si="103"/>
        <v>0</v>
      </c>
      <c r="DC113" s="4">
        <f t="shared" si="104"/>
        <v>0</v>
      </c>
      <c r="DD113" s="4">
        <f t="shared" si="105"/>
        <v>0</v>
      </c>
    </row>
    <row r="114" spans="1:108" x14ac:dyDescent="0.25">
      <c r="A114" s="41" t="str">
        <f>Skills!M96</f>
        <v>Ranged, Greater Firearm</v>
      </c>
      <c r="B114" s="55" t="str">
        <f>Skills!N96</f>
        <v>Greater Firearm</v>
      </c>
      <c r="C114" s="22">
        <f t="shared" si="106"/>
        <v>0</v>
      </c>
      <c r="D114" s="112" t="e">
        <f>Skills!S96</f>
        <v>#N/A</v>
      </c>
      <c r="E114" s="113" t="e">
        <f>VLOOKUP("Ranged",Calculations!$W$2:$X$6,2,FALSE)</f>
        <v>#REF!</v>
      </c>
      <c r="F114" s="19"/>
      <c r="G114" s="19"/>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56"/>
      <c r="BF114" s="4">
        <f t="shared" si="56"/>
        <v>0</v>
      </c>
      <c r="BG114" s="4">
        <f t="shared" si="56"/>
        <v>0</v>
      </c>
      <c r="BH114" s="4">
        <f t="shared" si="57"/>
        <v>0</v>
      </c>
      <c r="BI114" s="4">
        <f t="shared" si="58"/>
        <v>0</v>
      </c>
      <c r="BJ114" s="4">
        <f t="shared" si="59"/>
        <v>0</v>
      </c>
      <c r="BK114" s="4">
        <f t="shared" si="60"/>
        <v>0</v>
      </c>
      <c r="BL114" s="4">
        <f t="shared" si="61"/>
        <v>0</v>
      </c>
      <c r="BM114" s="4">
        <f t="shared" si="62"/>
        <v>0</v>
      </c>
      <c r="BN114" s="4">
        <f t="shared" si="63"/>
        <v>0</v>
      </c>
      <c r="BO114" s="4">
        <f t="shared" si="64"/>
        <v>0</v>
      </c>
      <c r="BP114" s="4">
        <f t="shared" si="65"/>
        <v>0</v>
      </c>
      <c r="BQ114" s="4">
        <f t="shared" si="66"/>
        <v>0</v>
      </c>
      <c r="BR114" s="4">
        <f t="shared" si="67"/>
        <v>0</v>
      </c>
      <c r="BS114" s="4">
        <f t="shared" si="68"/>
        <v>0</v>
      </c>
      <c r="BT114" s="4">
        <f t="shared" si="69"/>
        <v>0</v>
      </c>
      <c r="BU114" s="4">
        <f t="shared" si="70"/>
        <v>0</v>
      </c>
      <c r="BV114" s="4">
        <f t="shared" si="71"/>
        <v>0</v>
      </c>
      <c r="BW114" s="4">
        <f t="shared" si="72"/>
        <v>0</v>
      </c>
      <c r="BX114" s="4">
        <f t="shared" si="73"/>
        <v>0</v>
      </c>
      <c r="BY114" s="4">
        <f t="shared" si="74"/>
        <v>0</v>
      </c>
      <c r="BZ114" s="4">
        <f t="shared" si="75"/>
        <v>0</v>
      </c>
      <c r="CA114" s="4">
        <f t="shared" si="76"/>
        <v>0</v>
      </c>
      <c r="CB114" s="4">
        <f t="shared" si="77"/>
        <v>0</v>
      </c>
      <c r="CC114" s="4">
        <f t="shared" si="78"/>
        <v>0</v>
      </c>
      <c r="CD114" s="4">
        <f t="shared" si="79"/>
        <v>0</v>
      </c>
      <c r="CE114" s="4">
        <f t="shared" si="80"/>
        <v>0</v>
      </c>
      <c r="CF114" s="4">
        <f t="shared" si="81"/>
        <v>0</v>
      </c>
      <c r="CG114" s="4">
        <f t="shared" si="82"/>
        <v>0</v>
      </c>
      <c r="CH114" s="4">
        <f t="shared" si="83"/>
        <v>0</v>
      </c>
      <c r="CI114" s="4">
        <f t="shared" si="84"/>
        <v>0</v>
      </c>
      <c r="CJ114" s="4">
        <f t="shared" si="85"/>
        <v>0</v>
      </c>
      <c r="CK114" s="4">
        <f t="shared" si="86"/>
        <v>0</v>
      </c>
      <c r="CL114" s="4">
        <f t="shared" si="87"/>
        <v>0</v>
      </c>
      <c r="CM114" s="4">
        <f t="shared" si="88"/>
        <v>0</v>
      </c>
      <c r="CN114" s="4">
        <f t="shared" si="89"/>
        <v>0</v>
      </c>
      <c r="CO114" s="4">
        <f t="shared" si="90"/>
        <v>0</v>
      </c>
      <c r="CP114" s="4">
        <f t="shared" si="91"/>
        <v>0</v>
      </c>
      <c r="CQ114" s="4">
        <f t="shared" si="92"/>
        <v>0</v>
      </c>
      <c r="CR114" s="4">
        <f t="shared" si="93"/>
        <v>0</v>
      </c>
      <c r="CS114" s="4">
        <f t="shared" si="94"/>
        <v>0</v>
      </c>
      <c r="CT114" s="4">
        <f t="shared" si="95"/>
        <v>0</v>
      </c>
      <c r="CU114" s="4">
        <f t="shared" si="96"/>
        <v>0</v>
      </c>
      <c r="CV114" s="4">
        <f t="shared" si="97"/>
        <v>0</v>
      </c>
      <c r="CW114" s="4">
        <f t="shared" si="98"/>
        <v>0</v>
      </c>
      <c r="CX114" s="4">
        <f t="shared" si="99"/>
        <v>0</v>
      </c>
      <c r="CY114" s="4">
        <f t="shared" si="100"/>
        <v>0</v>
      </c>
      <c r="CZ114" s="4">
        <f t="shared" si="101"/>
        <v>0</v>
      </c>
      <c r="DA114" s="4">
        <f t="shared" si="102"/>
        <v>0</v>
      </c>
      <c r="DB114" s="4">
        <f t="shared" si="103"/>
        <v>0</v>
      </c>
      <c r="DC114" s="4">
        <f t="shared" si="104"/>
        <v>0</v>
      </c>
      <c r="DD114" s="4">
        <f t="shared" si="105"/>
        <v>0</v>
      </c>
    </row>
    <row r="115" spans="1:108" x14ac:dyDescent="0.25">
      <c r="A115" s="41">
        <f>Skills!M97</f>
        <v>0</v>
      </c>
      <c r="B115" s="57" t="str">
        <f>Skills!N97</f>
        <v>Unarmed Sub-category</v>
      </c>
      <c r="C115" s="24">
        <f t="shared" si="106"/>
        <v>0</v>
      </c>
      <c r="D115" s="110" t="str">
        <f>Skills!S97</f>
        <v>- -</v>
      </c>
      <c r="E115" s="111" t="s">
        <v>782</v>
      </c>
      <c r="F115" s="18"/>
      <c r="G115" s="18"/>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49"/>
      <c r="BF115" s="4">
        <f t="shared" si="56"/>
        <v>0</v>
      </c>
      <c r="BG115" s="4">
        <f t="shared" si="56"/>
        <v>0</v>
      </c>
      <c r="BH115" s="4">
        <f t="shared" si="57"/>
        <v>0</v>
      </c>
      <c r="BI115" s="4">
        <f t="shared" si="58"/>
        <v>0</v>
      </c>
      <c r="BJ115" s="4">
        <f t="shared" si="59"/>
        <v>0</v>
      </c>
      <c r="BK115" s="4">
        <f t="shared" si="60"/>
        <v>0</v>
      </c>
      <c r="BL115" s="4">
        <f t="shared" si="61"/>
        <v>0</v>
      </c>
      <c r="BM115" s="4">
        <f t="shared" si="62"/>
        <v>0</v>
      </c>
      <c r="BN115" s="4">
        <f t="shared" si="63"/>
        <v>0</v>
      </c>
      <c r="BO115" s="4">
        <f t="shared" si="64"/>
        <v>0</v>
      </c>
      <c r="BP115" s="4">
        <f t="shared" si="65"/>
        <v>0</v>
      </c>
      <c r="BQ115" s="4">
        <f t="shared" si="66"/>
        <v>0</v>
      </c>
      <c r="BR115" s="4">
        <f t="shared" si="67"/>
        <v>0</v>
      </c>
      <c r="BS115" s="4">
        <f t="shared" si="68"/>
        <v>0</v>
      </c>
      <c r="BT115" s="4">
        <f t="shared" si="69"/>
        <v>0</v>
      </c>
      <c r="BU115" s="4">
        <f t="shared" si="70"/>
        <v>0</v>
      </c>
      <c r="BV115" s="4">
        <f t="shared" si="71"/>
        <v>0</v>
      </c>
      <c r="BW115" s="4">
        <f t="shared" si="72"/>
        <v>0</v>
      </c>
      <c r="BX115" s="4">
        <f t="shared" si="73"/>
        <v>0</v>
      </c>
      <c r="BY115" s="4">
        <f t="shared" si="74"/>
        <v>0</v>
      </c>
      <c r="BZ115" s="4">
        <f t="shared" si="75"/>
        <v>0</v>
      </c>
      <c r="CA115" s="4">
        <f t="shared" si="76"/>
        <v>0</v>
      </c>
      <c r="CB115" s="4">
        <f t="shared" si="77"/>
        <v>0</v>
      </c>
      <c r="CC115" s="4">
        <f t="shared" si="78"/>
        <v>0</v>
      </c>
      <c r="CD115" s="4">
        <f t="shared" si="79"/>
        <v>0</v>
      </c>
      <c r="CE115" s="4">
        <f t="shared" si="80"/>
        <v>0</v>
      </c>
      <c r="CF115" s="4">
        <f t="shared" si="81"/>
        <v>0</v>
      </c>
      <c r="CG115" s="4">
        <f t="shared" si="82"/>
        <v>0</v>
      </c>
      <c r="CH115" s="4">
        <f t="shared" si="83"/>
        <v>0</v>
      </c>
      <c r="CI115" s="4">
        <f t="shared" si="84"/>
        <v>0</v>
      </c>
      <c r="CJ115" s="4">
        <f t="shared" si="85"/>
        <v>0</v>
      </c>
      <c r="CK115" s="4">
        <f t="shared" si="86"/>
        <v>0</v>
      </c>
      <c r="CL115" s="4">
        <f t="shared" si="87"/>
        <v>0</v>
      </c>
      <c r="CM115" s="4">
        <f t="shared" si="88"/>
        <v>0</v>
      </c>
      <c r="CN115" s="4">
        <f t="shared" si="89"/>
        <v>0</v>
      </c>
      <c r="CO115" s="4">
        <f t="shared" si="90"/>
        <v>0</v>
      </c>
      <c r="CP115" s="4">
        <f t="shared" si="91"/>
        <v>0</v>
      </c>
      <c r="CQ115" s="4">
        <f t="shared" si="92"/>
        <v>0</v>
      </c>
      <c r="CR115" s="4">
        <f t="shared" si="93"/>
        <v>0</v>
      </c>
      <c r="CS115" s="4">
        <f t="shared" si="94"/>
        <v>0</v>
      </c>
      <c r="CT115" s="4">
        <f t="shared" si="95"/>
        <v>0</v>
      </c>
      <c r="CU115" s="4">
        <f t="shared" si="96"/>
        <v>0</v>
      </c>
      <c r="CV115" s="4">
        <f t="shared" si="97"/>
        <v>0</v>
      </c>
      <c r="CW115" s="4">
        <f t="shared" si="98"/>
        <v>0</v>
      </c>
      <c r="CX115" s="4">
        <f t="shared" si="99"/>
        <v>0</v>
      </c>
      <c r="CY115" s="4">
        <f t="shared" si="100"/>
        <v>0</v>
      </c>
      <c r="CZ115" s="4">
        <f t="shared" si="101"/>
        <v>0</v>
      </c>
      <c r="DA115" s="4">
        <f t="shared" si="102"/>
        <v>0</v>
      </c>
      <c r="DB115" s="4">
        <f t="shared" si="103"/>
        <v>0</v>
      </c>
      <c r="DC115" s="4">
        <f t="shared" si="104"/>
        <v>0</v>
      </c>
      <c r="DD115" s="4">
        <f t="shared" si="105"/>
        <v>0</v>
      </c>
    </row>
    <row r="116" spans="1:108" x14ac:dyDescent="0.25">
      <c r="A116" s="41">
        <f>Skills!M98</f>
        <v>0</v>
      </c>
      <c r="B116" s="55" t="str">
        <f>Skills!N98</f>
        <v>Unarmed Skills</v>
      </c>
      <c r="C116" s="22">
        <f t="shared" si="106"/>
        <v>0</v>
      </c>
      <c r="D116" s="112" t="str">
        <f>Skills!S98</f>
        <v>- -</v>
      </c>
      <c r="E116" s="113" t="s">
        <v>782</v>
      </c>
      <c r="F116" s="19"/>
      <c r="G116" s="19"/>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56"/>
      <c r="BF116" s="4">
        <f t="shared" si="56"/>
        <v>0</v>
      </c>
      <c r="BG116" s="4">
        <f t="shared" si="56"/>
        <v>0</v>
      </c>
      <c r="BH116" s="4">
        <f t="shared" si="57"/>
        <v>0</v>
      </c>
      <c r="BI116" s="4">
        <f t="shared" si="58"/>
        <v>0</v>
      </c>
      <c r="BJ116" s="4">
        <f t="shared" si="59"/>
        <v>0</v>
      </c>
      <c r="BK116" s="4">
        <f t="shared" si="60"/>
        <v>0</v>
      </c>
      <c r="BL116" s="4">
        <f t="shared" si="61"/>
        <v>0</v>
      </c>
      <c r="BM116" s="4">
        <f t="shared" si="62"/>
        <v>0</v>
      </c>
      <c r="BN116" s="4">
        <f t="shared" si="63"/>
        <v>0</v>
      </c>
      <c r="BO116" s="4">
        <f t="shared" si="64"/>
        <v>0</v>
      </c>
      <c r="BP116" s="4">
        <f t="shared" si="65"/>
        <v>0</v>
      </c>
      <c r="BQ116" s="4">
        <f t="shared" si="66"/>
        <v>0</v>
      </c>
      <c r="BR116" s="4">
        <f t="shared" si="67"/>
        <v>0</v>
      </c>
      <c r="BS116" s="4">
        <f t="shared" si="68"/>
        <v>0</v>
      </c>
      <c r="BT116" s="4">
        <f t="shared" si="69"/>
        <v>0</v>
      </c>
      <c r="BU116" s="4">
        <f t="shared" si="70"/>
        <v>0</v>
      </c>
      <c r="BV116" s="4">
        <f t="shared" si="71"/>
        <v>0</v>
      </c>
      <c r="BW116" s="4">
        <f t="shared" si="72"/>
        <v>0</v>
      </c>
      <c r="BX116" s="4">
        <f t="shared" si="73"/>
        <v>0</v>
      </c>
      <c r="BY116" s="4">
        <f t="shared" si="74"/>
        <v>0</v>
      </c>
      <c r="BZ116" s="4">
        <f t="shared" si="75"/>
        <v>0</v>
      </c>
      <c r="CA116" s="4">
        <f t="shared" si="76"/>
        <v>0</v>
      </c>
      <c r="CB116" s="4">
        <f t="shared" si="77"/>
        <v>0</v>
      </c>
      <c r="CC116" s="4">
        <f t="shared" si="78"/>
        <v>0</v>
      </c>
      <c r="CD116" s="4">
        <f t="shared" si="79"/>
        <v>0</v>
      </c>
      <c r="CE116" s="4">
        <f t="shared" si="80"/>
        <v>0</v>
      </c>
      <c r="CF116" s="4">
        <f t="shared" si="81"/>
        <v>0</v>
      </c>
      <c r="CG116" s="4">
        <f t="shared" si="82"/>
        <v>0</v>
      </c>
      <c r="CH116" s="4">
        <f t="shared" si="83"/>
        <v>0</v>
      </c>
      <c r="CI116" s="4">
        <f t="shared" si="84"/>
        <v>0</v>
      </c>
      <c r="CJ116" s="4">
        <f t="shared" si="85"/>
        <v>0</v>
      </c>
      <c r="CK116" s="4">
        <f t="shared" si="86"/>
        <v>0</v>
      </c>
      <c r="CL116" s="4">
        <f t="shared" si="87"/>
        <v>0</v>
      </c>
      <c r="CM116" s="4">
        <f t="shared" si="88"/>
        <v>0</v>
      </c>
      <c r="CN116" s="4">
        <f t="shared" si="89"/>
        <v>0</v>
      </c>
      <c r="CO116" s="4">
        <f t="shared" si="90"/>
        <v>0</v>
      </c>
      <c r="CP116" s="4">
        <f t="shared" si="91"/>
        <v>0</v>
      </c>
      <c r="CQ116" s="4">
        <f t="shared" si="92"/>
        <v>0</v>
      </c>
      <c r="CR116" s="4">
        <f t="shared" si="93"/>
        <v>0</v>
      </c>
      <c r="CS116" s="4">
        <f t="shared" si="94"/>
        <v>0</v>
      </c>
      <c r="CT116" s="4">
        <f t="shared" si="95"/>
        <v>0</v>
      </c>
      <c r="CU116" s="4">
        <f t="shared" si="96"/>
        <v>0</v>
      </c>
      <c r="CV116" s="4">
        <f t="shared" si="97"/>
        <v>0</v>
      </c>
      <c r="CW116" s="4">
        <f t="shared" si="98"/>
        <v>0</v>
      </c>
      <c r="CX116" s="4">
        <f t="shared" si="99"/>
        <v>0</v>
      </c>
      <c r="CY116" s="4">
        <f t="shared" si="100"/>
        <v>0</v>
      </c>
      <c r="CZ116" s="4">
        <f t="shared" si="101"/>
        <v>0</v>
      </c>
      <c r="DA116" s="4">
        <f t="shared" si="102"/>
        <v>0</v>
      </c>
      <c r="DB116" s="4">
        <f t="shared" si="103"/>
        <v>0</v>
      </c>
      <c r="DC116" s="4">
        <f t="shared" si="104"/>
        <v>0</v>
      </c>
      <c r="DD116" s="4">
        <f t="shared" si="105"/>
        <v>0</v>
      </c>
    </row>
    <row r="117" spans="1:108" x14ac:dyDescent="0.25">
      <c r="A117" s="41" t="str">
        <f>Skills!M99</f>
        <v>Unarmed, Strikes</v>
      </c>
      <c r="B117" s="57" t="str">
        <f>Skills!N99</f>
        <v>Strikes</v>
      </c>
      <c r="C117" s="24">
        <f t="shared" si="106"/>
        <v>0</v>
      </c>
      <c r="D117" s="110" t="e">
        <f>Skills!S99</f>
        <v>#N/A</v>
      </c>
      <c r="E117" s="111" t="e">
        <f>VLOOKUP("Unarmed",Calculations!$W$2:$X$6,2,FALSE)</f>
        <v>#REF!</v>
      </c>
      <c r="F117" s="18"/>
      <c r="G117" s="18"/>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49"/>
      <c r="BF117" s="4">
        <f t="shared" si="56"/>
        <v>0</v>
      </c>
      <c r="BG117" s="4">
        <f t="shared" si="56"/>
        <v>0</v>
      </c>
      <c r="BH117" s="4">
        <f t="shared" si="57"/>
        <v>0</v>
      </c>
      <c r="BI117" s="4">
        <f t="shared" si="58"/>
        <v>0</v>
      </c>
      <c r="BJ117" s="4">
        <f t="shared" si="59"/>
        <v>0</v>
      </c>
      <c r="BK117" s="4">
        <f t="shared" si="60"/>
        <v>0</v>
      </c>
      <c r="BL117" s="4">
        <f t="shared" si="61"/>
        <v>0</v>
      </c>
      <c r="BM117" s="4">
        <f t="shared" si="62"/>
        <v>0</v>
      </c>
      <c r="BN117" s="4">
        <f t="shared" si="63"/>
        <v>0</v>
      </c>
      <c r="BO117" s="4">
        <f t="shared" si="64"/>
        <v>0</v>
      </c>
      <c r="BP117" s="4">
        <f t="shared" si="65"/>
        <v>0</v>
      </c>
      <c r="BQ117" s="4">
        <f t="shared" si="66"/>
        <v>0</v>
      </c>
      <c r="BR117" s="4">
        <f t="shared" si="67"/>
        <v>0</v>
      </c>
      <c r="BS117" s="4">
        <f t="shared" si="68"/>
        <v>0</v>
      </c>
      <c r="BT117" s="4">
        <f t="shared" si="69"/>
        <v>0</v>
      </c>
      <c r="BU117" s="4">
        <f t="shared" si="70"/>
        <v>0</v>
      </c>
      <c r="BV117" s="4">
        <f t="shared" si="71"/>
        <v>0</v>
      </c>
      <c r="BW117" s="4">
        <f t="shared" si="72"/>
        <v>0</v>
      </c>
      <c r="BX117" s="4">
        <f t="shared" si="73"/>
        <v>0</v>
      </c>
      <c r="BY117" s="4">
        <f t="shared" si="74"/>
        <v>0</v>
      </c>
      <c r="BZ117" s="4">
        <f t="shared" si="75"/>
        <v>0</v>
      </c>
      <c r="CA117" s="4">
        <f t="shared" si="76"/>
        <v>0</v>
      </c>
      <c r="CB117" s="4">
        <f t="shared" si="77"/>
        <v>0</v>
      </c>
      <c r="CC117" s="4">
        <f t="shared" si="78"/>
        <v>0</v>
      </c>
      <c r="CD117" s="4">
        <f t="shared" si="79"/>
        <v>0</v>
      </c>
      <c r="CE117" s="4">
        <f t="shared" si="80"/>
        <v>0</v>
      </c>
      <c r="CF117" s="4">
        <f t="shared" si="81"/>
        <v>0</v>
      </c>
      <c r="CG117" s="4">
        <f t="shared" si="82"/>
        <v>0</v>
      </c>
      <c r="CH117" s="4">
        <f t="shared" si="83"/>
        <v>0</v>
      </c>
      <c r="CI117" s="4">
        <f t="shared" si="84"/>
        <v>0</v>
      </c>
      <c r="CJ117" s="4">
        <f t="shared" si="85"/>
        <v>0</v>
      </c>
      <c r="CK117" s="4">
        <f t="shared" si="86"/>
        <v>0</v>
      </c>
      <c r="CL117" s="4">
        <f t="shared" si="87"/>
        <v>0</v>
      </c>
      <c r="CM117" s="4">
        <f t="shared" si="88"/>
        <v>0</v>
      </c>
      <c r="CN117" s="4">
        <f t="shared" si="89"/>
        <v>0</v>
      </c>
      <c r="CO117" s="4">
        <f t="shared" si="90"/>
        <v>0</v>
      </c>
      <c r="CP117" s="4">
        <f t="shared" si="91"/>
        <v>0</v>
      </c>
      <c r="CQ117" s="4">
        <f t="shared" si="92"/>
        <v>0</v>
      </c>
      <c r="CR117" s="4">
        <f t="shared" si="93"/>
        <v>0</v>
      </c>
      <c r="CS117" s="4">
        <f t="shared" si="94"/>
        <v>0</v>
      </c>
      <c r="CT117" s="4">
        <f t="shared" si="95"/>
        <v>0</v>
      </c>
      <c r="CU117" s="4">
        <f t="shared" si="96"/>
        <v>0</v>
      </c>
      <c r="CV117" s="4">
        <f t="shared" si="97"/>
        <v>0</v>
      </c>
      <c r="CW117" s="4">
        <f t="shared" si="98"/>
        <v>0</v>
      </c>
      <c r="CX117" s="4">
        <f t="shared" si="99"/>
        <v>0</v>
      </c>
      <c r="CY117" s="4">
        <f t="shared" si="100"/>
        <v>0</v>
      </c>
      <c r="CZ117" s="4">
        <f t="shared" si="101"/>
        <v>0</v>
      </c>
      <c r="DA117" s="4">
        <f t="shared" si="102"/>
        <v>0</v>
      </c>
      <c r="DB117" s="4">
        <f t="shared" si="103"/>
        <v>0</v>
      </c>
      <c r="DC117" s="4">
        <f t="shared" si="104"/>
        <v>0</v>
      </c>
      <c r="DD117" s="4">
        <f t="shared" si="105"/>
        <v>0</v>
      </c>
    </row>
    <row r="118" spans="1:108" x14ac:dyDescent="0.25">
      <c r="A118" s="41" t="str">
        <f>Skills!M100</f>
        <v>Unarmed, Sweeps &amp; Throws</v>
      </c>
      <c r="B118" s="55" t="str">
        <f>Skills!N100</f>
        <v>Sweeps &amp; Throws</v>
      </c>
      <c r="C118" s="22">
        <f t="shared" si="106"/>
        <v>0</v>
      </c>
      <c r="D118" s="112" t="e">
        <f>Skills!S100</f>
        <v>#N/A</v>
      </c>
      <c r="E118" s="113" t="e">
        <f>VLOOKUP("Unarmed",Calculations!$W$2:$X$6,2,FALSE)</f>
        <v>#REF!</v>
      </c>
      <c r="F118" s="19"/>
      <c r="G118" s="19"/>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56"/>
      <c r="BF118" s="4">
        <f t="shared" si="56"/>
        <v>0</v>
      </c>
      <c r="BG118" s="4">
        <f t="shared" si="56"/>
        <v>0</v>
      </c>
      <c r="BH118" s="4">
        <f t="shared" si="57"/>
        <v>0</v>
      </c>
      <c r="BI118" s="4">
        <f t="shared" si="58"/>
        <v>0</v>
      </c>
      <c r="BJ118" s="4">
        <f t="shared" si="59"/>
        <v>0</v>
      </c>
      <c r="BK118" s="4">
        <f t="shared" si="60"/>
        <v>0</v>
      </c>
      <c r="BL118" s="4">
        <f t="shared" si="61"/>
        <v>0</v>
      </c>
      <c r="BM118" s="4">
        <f t="shared" si="62"/>
        <v>0</v>
      </c>
      <c r="BN118" s="4">
        <f t="shared" si="63"/>
        <v>0</v>
      </c>
      <c r="BO118" s="4">
        <f t="shared" si="64"/>
        <v>0</v>
      </c>
      <c r="BP118" s="4">
        <f t="shared" si="65"/>
        <v>0</v>
      </c>
      <c r="BQ118" s="4">
        <f t="shared" si="66"/>
        <v>0</v>
      </c>
      <c r="BR118" s="4">
        <f t="shared" si="67"/>
        <v>0</v>
      </c>
      <c r="BS118" s="4">
        <f t="shared" si="68"/>
        <v>0</v>
      </c>
      <c r="BT118" s="4">
        <f t="shared" si="69"/>
        <v>0</v>
      </c>
      <c r="BU118" s="4">
        <f t="shared" si="70"/>
        <v>0</v>
      </c>
      <c r="BV118" s="4">
        <f t="shared" si="71"/>
        <v>0</v>
      </c>
      <c r="BW118" s="4">
        <f t="shared" si="72"/>
        <v>0</v>
      </c>
      <c r="BX118" s="4">
        <f t="shared" si="73"/>
        <v>0</v>
      </c>
      <c r="BY118" s="4">
        <f t="shared" si="74"/>
        <v>0</v>
      </c>
      <c r="BZ118" s="4">
        <f t="shared" si="75"/>
        <v>0</v>
      </c>
      <c r="CA118" s="4">
        <f t="shared" si="76"/>
        <v>0</v>
      </c>
      <c r="CB118" s="4">
        <f t="shared" si="77"/>
        <v>0</v>
      </c>
      <c r="CC118" s="4">
        <f t="shared" si="78"/>
        <v>0</v>
      </c>
      <c r="CD118" s="4">
        <f t="shared" si="79"/>
        <v>0</v>
      </c>
      <c r="CE118" s="4">
        <f t="shared" si="80"/>
        <v>0</v>
      </c>
      <c r="CF118" s="4">
        <f t="shared" si="81"/>
        <v>0</v>
      </c>
      <c r="CG118" s="4">
        <f t="shared" si="82"/>
        <v>0</v>
      </c>
      <c r="CH118" s="4">
        <f t="shared" si="83"/>
        <v>0</v>
      </c>
      <c r="CI118" s="4">
        <f t="shared" si="84"/>
        <v>0</v>
      </c>
      <c r="CJ118" s="4">
        <f t="shared" si="85"/>
        <v>0</v>
      </c>
      <c r="CK118" s="4">
        <f t="shared" si="86"/>
        <v>0</v>
      </c>
      <c r="CL118" s="4">
        <f t="shared" si="87"/>
        <v>0</v>
      </c>
      <c r="CM118" s="4">
        <f t="shared" si="88"/>
        <v>0</v>
      </c>
      <c r="CN118" s="4">
        <f t="shared" si="89"/>
        <v>0</v>
      </c>
      <c r="CO118" s="4">
        <f t="shared" si="90"/>
        <v>0</v>
      </c>
      <c r="CP118" s="4">
        <f t="shared" si="91"/>
        <v>0</v>
      </c>
      <c r="CQ118" s="4">
        <f t="shared" si="92"/>
        <v>0</v>
      </c>
      <c r="CR118" s="4">
        <f t="shared" si="93"/>
        <v>0</v>
      </c>
      <c r="CS118" s="4">
        <f t="shared" si="94"/>
        <v>0</v>
      </c>
      <c r="CT118" s="4">
        <f t="shared" si="95"/>
        <v>0</v>
      </c>
      <c r="CU118" s="4">
        <f t="shared" si="96"/>
        <v>0</v>
      </c>
      <c r="CV118" s="4">
        <f t="shared" si="97"/>
        <v>0</v>
      </c>
      <c r="CW118" s="4">
        <f t="shared" si="98"/>
        <v>0</v>
      </c>
      <c r="CX118" s="4">
        <f t="shared" si="99"/>
        <v>0</v>
      </c>
      <c r="CY118" s="4">
        <f t="shared" si="100"/>
        <v>0</v>
      </c>
      <c r="CZ118" s="4">
        <f t="shared" si="101"/>
        <v>0</v>
      </c>
      <c r="DA118" s="4">
        <f t="shared" si="102"/>
        <v>0</v>
      </c>
      <c r="DB118" s="4">
        <f t="shared" si="103"/>
        <v>0</v>
      </c>
      <c r="DC118" s="4">
        <f t="shared" si="104"/>
        <v>0</v>
      </c>
      <c r="DD118" s="4">
        <f t="shared" si="105"/>
        <v>0</v>
      </c>
    </row>
    <row r="119" spans="1:108" x14ac:dyDescent="0.25">
      <c r="A119" s="41" t="str">
        <f>Skills!M101</f>
        <v>Unarmed, Wrestling</v>
      </c>
      <c r="B119" s="57" t="str">
        <f>Skills!N101</f>
        <v>Wrestling</v>
      </c>
      <c r="C119" s="24">
        <f t="shared" si="106"/>
        <v>0</v>
      </c>
      <c r="D119" s="110" t="e">
        <f>Skills!S101</f>
        <v>#N/A</v>
      </c>
      <c r="E119" s="111" t="e">
        <f>VLOOKUP("Unarmed",Calculations!$W$2:$X$6,2,FALSE)</f>
        <v>#REF!</v>
      </c>
      <c r="F119" s="18"/>
      <c r="G119" s="18"/>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49"/>
      <c r="BF119" s="4">
        <f t="shared" si="56"/>
        <v>0</v>
      </c>
      <c r="BG119" s="4">
        <f t="shared" si="56"/>
        <v>0</v>
      </c>
      <c r="BH119" s="4">
        <f t="shared" si="57"/>
        <v>0</v>
      </c>
      <c r="BI119" s="4">
        <f t="shared" si="58"/>
        <v>0</v>
      </c>
      <c r="BJ119" s="4">
        <f t="shared" si="59"/>
        <v>0</v>
      </c>
      <c r="BK119" s="4">
        <f t="shared" si="60"/>
        <v>0</v>
      </c>
      <c r="BL119" s="4">
        <f t="shared" si="61"/>
        <v>0</v>
      </c>
      <c r="BM119" s="4">
        <f t="shared" si="62"/>
        <v>0</v>
      </c>
      <c r="BN119" s="4">
        <f t="shared" si="63"/>
        <v>0</v>
      </c>
      <c r="BO119" s="4">
        <f t="shared" si="64"/>
        <v>0</v>
      </c>
      <c r="BP119" s="4">
        <f t="shared" si="65"/>
        <v>0</v>
      </c>
      <c r="BQ119" s="4">
        <f t="shared" si="66"/>
        <v>0</v>
      </c>
      <c r="BR119" s="4">
        <f t="shared" si="67"/>
        <v>0</v>
      </c>
      <c r="BS119" s="4">
        <f t="shared" si="68"/>
        <v>0</v>
      </c>
      <c r="BT119" s="4">
        <f t="shared" si="69"/>
        <v>0</v>
      </c>
      <c r="BU119" s="4">
        <f t="shared" si="70"/>
        <v>0</v>
      </c>
      <c r="BV119" s="4">
        <f t="shared" si="71"/>
        <v>0</v>
      </c>
      <c r="BW119" s="4">
        <f t="shared" si="72"/>
        <v>0</v>
      </c>
      <c r="BX119" s="4">
        <f t="shared" si="73"/>
        <v>0</v>
      </c>
      <c r="BY119" s="4">
        <f t="shared" si="74"/>
        <v>0</v>
      </c>
      <c r="BZ119" s="4">
        <f t="shared" si="75"/>
        <v>0</v>
      </c>
      <c r="CA119" s="4">
        <f t="shared" si="76"/>
        <v>0</v>
      </c>
      <c r="CB119" s="4">
        <f t="shared" si="77"/>
        <v>0</v>
      </c>
      <c r="CC119" s="4">
        <f t="shared" si="78"/>
        <v>0</v>
      </c>
      <c r="CD119" s="4">
        <f t="shared" si="79"/>
        <v>0</v>
      </c>
      <c r="CE119" s="4">
        <f t="shared" si="80"/>
        <v>0</v>
      </c>
      <c r="CF119" s="4">
        <f t="shared" si="81"/>
        <v>0</v>
      </c>
      <c r="CG119" s="4">
        <f t="shared" si="82"/>
        <v>0</v>
      </c>
      <c r="CH119" s="4">
        <f t="shared" si="83"/>
        <v>0</v>
      </c>
      <c r="CI119" s="4">
        <f t="shared" si="84"/>
        <v>0</v>
      </c>
      <c r="CJ119" s="4">
        <f t="shared" si="85"/>
        <v>0</v>
      </c>
      <c r="CK119" s="4">
        <f t="shared" si="86"/>
        <v>0</v>
      </c>
      <c r="CL119" s="4">
        <f t="shared" si="87"/>
        <v>0</v>
      </c>
      <c r="CM119" s="4">
        <f t="shared" si="88"/>
        <v>0</v>
      </c>
      <c r="CN119" s="4">
        <f t="shared" si="89"/>
        <v>0</v>
      </c>
      <c r="CO119" s="4">
        <f t="shared" si="90"/>
        <v>0</v>
      </c>
      <c r="CP119" s="4">
        <f t="shared" si="91"/>
        <v>0</v>
      </c>
      <c r="CQ119" s="4">
        <f t="shared" si="92"/>
        <v>0</v>
      </c>
      <c r="CR119" s="4">
        <f t="shared" si="93"/>
        <v>0</v>
      </c>
      <c r="CS119" s="4">
        <f t="shared" si="94"/>
        <v>0</v>
      </c>
      <c r="CT119" s="4">
        <f t="shared" si="95"/>
        <v>0</v>
      </c>
      <c r="CU119" s="4">
        <f t="shared" si="96"/>
        <v>0</v>
      </c>
      <c r="CV119" s="4">
        <f t="shared" si="97"/>
        <v>0</v>
      </c>
      <c r="CW119" s="4">
        <f t="shared" si="98"/>
        <v>0</v>
      </c>
      <c r="CX119" s="4">
        <f t="shared" si="99"/>
        <v>0</v>
      </c>
      <c r="CY119" s="4">
        <f t="shared" si="100"/>
        <v>0</v>
      </c>
      <c r="CZ119" s="4">
        <f t="shared" si="101"/>
        <v>0</v>
      </c>
      <c r="DA119" s="4">
        <f t="shared" si="102"/>
        <v>0</v>
      </c>
      <c r="DB119" s="4">
        <f t="shared" si="103"/>
        <v>0</v>
      </c>
      <c r="DC119" s="4">
        <f t="shared" si="104"/>
        <v>0</v>
      </c>
      <c r="DD119" s="4">
        <f t="shared" si="105"/>
        <v>0</v>
      </c>
    </row>
    <row r="120" spans="1:108" x14ac:dyDescent="0.25">
      <c r="A120" s="41">
        <f>Skills!M102</f>
        <v>0</v>
      </c>
      <c r="B120" s="55" t="str">
        <f>Skills!N102</f>
        <v>Heavy Weapons Sub-category</v>
      </c>
      <c r="C120" s="22">
        <f t="shared" si="106"/>
        <v>0</v>
      </c>
      <c r="D120" s="112" t="str">
        <f>Skills!S102</f>
        <v>- -</v>
      </c>
      <c r="E120" s="113" t="s">
        <v>782</v>
      </c>
      <c r="F120" s="19"/>
      <c r="G120" s="19"/>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56"/>
      <c r="BF120" s="4">
        <f t="shared" si="56"/>
        <v>0</v>
      </c>
      <c r="BG120" s="4">
        <f t="shared" si="56"/>
        <v>0</v>
      </c>
      <c r="BH120" s="4">
        <f t="shared" si="57"/>
        <v>0</v>
      </c>
      <c r="BI120" s="4">
        <f t="shared" si="58"/>
        <v>0</v>
      </c>
      <c r="BJ120" s="4">
        <f t="shared" si="59"/>
        <v>0</v>
      </c>
      <c r="BK120" s="4">
        <f t="shared" si="60"/>
        <v>0</v>
      </c>
      <c r="BL120" s="4">
        <f t="shared" si="61"/>
        <v>0</v>
      </c>
      <c r="BM120" s="4">
        <f t="shared" si="62"/>
        <v>0</v>
      </c>
      <c r="BN120" s="4">
        <f t="shared" si="63"/>
        <v>0</v>
      </c>
      <c r="BO120" s="4">
        <f t="shared" si="64"/>
        <v>0</v>
      </c>
      <c r="BP120" s="4">
        <f t="shared" si="65"/>
        <v>0</v>
      </c>
      <c r="BQ120" s="4">
        <f t="shared" si="66"/>
        <v>0</v>
      </c>
      <c r="BR120" s="4">
        <f t="shared" si="67"/>
        <v>0</v>
      </c>
      <c r="BS120" s="4">
        <f t="shared" si="68"/>
        <v>0</v>
      </c>
      <c r="BT120" s="4">
        <f t="shared" si="69"/>
        <v>0</v>
      </c>
      <c r="BU120" s="4">
        <f t="shared" si="70"/>
        <v>0</v>
      </c>
      <c r="BV120" s="4">
        <f t="shared" si="71"/>
        <v>0</v>
      </c>
      <c r="BW120" s="4">
        <f t="shared" si="72"/>
        <v>0</v>
      </c>
      <c r="BX120" s="4">
        <f t="shared" si="73"/>
        <v>0</v>
      </c>
      <c r="BY120" s="4">
        <f t="shared" si="74"/>
        <v>0</v>
      </c>
      <c r="BZ120" s="4">
        <f t="shared" si="75"/>
        <v>0</v>
      </c>
      <c r="CA120" s="4">
        <f t="shared" si="76"/>
        <v>0</v>
      </c>
      <c r="CB120" s="4">
        <f t="shared" si="77"/>
        <v>0</v>
      </c>
      <c r="CC120" s="4">
        <f t="shared" si="78"/>
        <v>0</v>
      </c>
      <c r="CD120" s="4">
        <f t="shared" si="79"/>
        <v>0</v>
      </c>
      <c r="CE120" s="4">
        <f t="shared" si="80"/>
        <v>0</v>
      </c>
      <c r="CF120" s="4">
        <f t="shared" si="81"/>
        <v>0</v>
      </c>
      <c r="CG120" s="4">
        <f t="shared" si="82"/>
        <v>0</v>
      </c>
      <c r="CH120" s="4">
        <f t="shared" si="83"/>
        <v>0</v>
      </c>
      <c r="CI120" s="4">
        <f t="shared" si="84"/>
        <v>0</v>
      </c>
      <c r="CJ120" s="4">
        <f t="shared" si="85"/>
        <v>0</v>
      </c>
      <c r="CK120" s="4">
        <f t="shared" si="86"/>
        <v>0</v>
      </c>
      <c r="CL120" s="4">
        <f t="shared" si="87"/>
        <v>0</v>
      </c>
      <c r="CM120" s="4">
        <f t="shared" si="88"/>
        <v>0</v>
      </c>
      <c r="CN120" s="4">
        <f t="shared" si="89"/>
        <v>0</v>
      </c>
      <c r="CO120" s="4">
        <f t="shared" si="90"/>
        <v>0</v>
      </c>
      <c r="CP120" s="4">
        <f t="shared" si="91"/>
        <v>0</v>
      </c>
      <c r="CQ120" s="4">
        <f t="shared" si="92"/>
        <v>0</v>
      </c>
      <c r="CR120" s="4">
        <f t="shared" si="93"/>
        <v>0</v>
      </c>
      <c r="CS120" s="4">
        <f t="shared" si="94"/>
        <v>0</v>
      </c>
      <c r="CT120" s="4">
        <f t="shared" si="95"/>
        <v>0</v>
      </c>
      <c r="CU120" s="4">
        <f t="shared" si="96"/>
        <v>0</v>
      </c>
      <c r="CV120" s="4">
        <f t="shared" si="97"/>
        <v>0</v>
      </c>
      <c r="CW120" s="4">
        <f t="shared" si="98"/>
        <v>0</v>
      </c>
      <c r="CX120" s="4">
        <f t="shared" si="99"/>
        <v>0</v>
      </c>
      <c r="CY120" s="4">
        <f t="shared" si="100"/>
        <v>0</v>
      </c>
      <c r="CZ120" s="4">
        <f t="shared" si="101"/>
        <v>0</v>
      </c>
      <c r="DA120" s="4">
        <f t="shared" si="102"/>
        <v>0</v>
      </c>
      <c r="DB120" s="4">
        <f t="shared" si="103"/>
        <v>0</v>
      </c>
      <c r="DC120" s="4">
        <f t="shared" si="104"/>
        <v>0</v>
      </c>
      <c r="DD120" s="4">
        <f t="shared" si="105"/>
        <v>0</v>
      </c>
    </row>
    <row r="121" spans="1:108" x14ac:dyDescent="0.25">
      <c r="A121" s="41">
        <f>Skills!M103</f>
        <v>0</v>
      </c>
      <c r="B121" s="57" t="str">
        <f>Skills!N103</f>
        <v>Heavy Weapons Skills</v>
      </c>
      <c r="C121" s="24">
        <f t="shared" si="106"/>
        <v>0</v>
      </c>
      <c r="D121" s="110" t="str">
        <f>Skills!S103</f>
        <v>- -</v>
      </c>
      <c r="E121" s="111" t="s">
        <v>782</v>
      </c>
      <c r="F121" s="18"/>
      <c r="G121" s="18"/>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49"/>
      <c r="BF121" s="4">
        <f t="shared" si="56"/>
        <v>0</v>
      </c>
      <c r="BG121" s="4">
        <f t="shared" si="56"/>
        <v>0</v>
      </c>
      <c r="BH121" s="4">
        <f t="shared" si="57"/>
        <v>0</v>
      </c>
      <c r="BI121" s="4">
        <f t="shared" si="58"/>
        <v>0</v>
      </c>
      <c r="BJ121" s="4">
        <f t="shared" si="59"/>
        <v>0</v>
      </c>
      <c r="BK121" s="4">
        <f t="shared" si="60"/>
        <v>0</v>
      </c>
      <c r="BL121" s="4">
        <f t="shared" si="61"/>
        <v>0</v>
      </c>
      <c r="BM121" s="4">
        <f t="shared" si="62"/>
        <v>0</v>
      </c>
      <c r="BN121" s="4">
        <f t="shared" si="63"/>
        <v>0</v>
      </c>
      <c r="BO121" s="4">
        <f t="shared" si="64"/>
        <v>0</v>
      </c>
      <c r="BP121" s="4">
        <f t="shared" si="65"/>
        <v>0</v>
      </c>
      <c r="BQ121" s="4">
        <f t="shared" si="66"/>
        <v>0</v>
      </c>
      <c r="BR121" s="4">
        <f t="shared" si="67"/>
        <v>0</v>
      </c>
      <c r="BS121" s="4">
        <f t="shared" si="68"/>
        <v>0</v>
      </c>
      <c r="BT121" s="4">
        <f t="shared" si="69"/>
        <v>0</v>
      </c>
      <c r="BU121" s="4">
        <f t="shared" si="70"/>
        <v>0</v>
      </c>
      <c r="BV121" s="4">
        <f t="shared" si="71"/>
        <v>0</v>
      </c>
      <c r="BW121" s="4">
        <f t="shared" si="72"/>
        <v>0</v>
      </c>
      <c r="BX121" s="4">
        <f t="shared" si="73"/>
        <v>0</v>
      </c>
      <c r="BY121" s="4">
        <f t="shared" si="74"/>
        <v>0</v>
      </c>
      <c r="BZ121" s="4">
        <f t="shared" si="75"/>
        <v>0</v>
      </c>
      <c r="CA121" s="4">
        <f t="shared" si="76"/>
        <v>0</v>
      </c>
      <c r="CB121" s="4">
        <f t="shared" si="77"/>
        <v>0</v>
      </c>
      <c r="CC121" s="4">
        <f t="shared" si="78"/>
        <v>0</v>
      </c>
      <c r="CD121" s="4">
        <f t="shared" si="79"/>
        <v>0</v>
      </c>
      <c r="CE121" s="4">
        <f t="shared" si="80"/>
        <v>0</v>
      </c>
      <c r="CF121" s="4">
        <f t="shared" si="81"/>
        <v>0</v>
      </c>
      <c r="CG121" s="4">
        <f t="shared" si="82"/>
        <v>0</v>
      </c>
      <c r="CH121" s="4">
        <f t="shared" si="83"/>
        <v>0</v>
      </c>
      <c r="CI121" s="4">
        <f t="shared" si="84"/>
        <v>0</v>
      </c>
      <c r="CJ121" s="4">
        <f t="shared" si="85"/>
        <v>0</v>
      </c>
      <c r="CK121" s="4">
        <f t="shared" si="86"/>
        <v>0</v>
      </c>
      <c r="CL121" s="4">
        <f t="shared" si="87"/>
        <v>0</v>
      </c>
      <c r="CM121" s="4">
        <f t="shared" si="88"/>
        <v>0</v>
      </c>
      <c r="CN121" s="4">
        <f t="shared" si="89"/>
        <v>0</v>
      </c>
      <c r="CO121" s="4">
        <f t="shared" si="90"/>
        <v>0</v>
      </c>
      <c r="CP121" s="4">
        <f t="shared" si="91"/>
        <v>0</v>
      </c>
      <c r="CQ121" s="4">
        <f t="shared" si="92"/>
        <v>0</v>
      </c>
      <c r="CR121" s="4">
        <f t="shared" si="93"/>
        <v>0</v>
      </c>
      <c r="CS121" s="4">
        <f t="shared" si="94"/>
        <v>0</v>
      </c>
      <c r="CT121" s="4">
        <f t="shared" si="95"/>
        <v>0</v>
      </c>
      <c r="CU121" s="4">
        <f t="shared" si="96"/>
        <v>0</v>
      </c>
      <c r="CV121" s="4">
        <f t="shared" si="97"/>
        <v>0</v>
      </c>
      <c r="CW121" s="4">
        <f t="shared" si="98"/>
        <v>0</v>
      </c>
      <c r="CX121" s="4">
        <f t="shared" si="99"/>
        <v>0</v>
      </c>
      <c r="CY121" s="4">
        <f t="shared" si="100"/>
        <v>0</v>
      </c>
      <c r="CZ121" s="4">
        <f t="shared" si="101"/>
        <v>0</v>
      </c>
      <c r="DA121" s="4">
        <f t="shared" si="102"/>
        <v>0</v>
      </c>
      <c r="DB121" s="4">
        <f t="shared" si="103"/>
        <v>0</v>
      </c>
      <c r="DC121" s="4">
        <f t="shared" si="104"/>
        <v>0</v>
      </c>
      <c r="DD121" s="4">
        <f t="shared" si="105"/>
        <v>0</v>
      </c>
    </row>
    <row r="122" spans="1:108" x14ac:dyDescent="0.25">
      <c r="A122" s="41" t="str">
        <f>Skills!M104</f>
        <v>Heavy Weapons, 0</v>
      </c>
      <c r="B122" s="55">
        <f>Skills!N104</f>
        <v>0</v>
      </c>
      <c r="C122" s="22">
        <f t="shared" si="106"/>
        <v>0</v>
      </c>
      <c r="D122" s="112" t="e">
        <f>Skills!S104</f>
        <v>#N/A</v>
      </c>
      <c r="E122" s="113" t="e">
        <f>VLOOKUP("Heavy Weapons",Calculations!$W$2:$X$6,2,FALSE)</f>
        <v>#REF!</v>
      </c>
      <c r="F122" s="19"/>
      <c r="G122" s="19"/>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56"/>
      <c r="BF122" s="4">
        <f t="shared" si="56"/>
        <v>0</v>
      </c>
      <c r="BG122" s="4">
        <f t="shared" si="56"/>
        <v>0</v>
      </c>
      <c r="BH122" s="4">
        <f t="shared" si="57"/>
        <v>0</v>
      </c>
      <c r="BI122" s="4">
        <f t="shared" si="58"/>
        <v>0</v>
      </c>
      <c r="BJ122" s="4">
        <f t="shared" si="59"/>
        <v>0</v>
      </c>
      <c r="BK122" s="4">
        <f t="shared" si="60"/>
        <v>0</v>
      </c>
      <c r="BL122" s="4">
        <f t="shared" si="61"/>
        <v>0</v>
      </c>
      <c r="BM122" s="4">
        <f t="shared" si="62"/>
        <v>0</v>
      </c>
      <c r="BN122" s="4">
        <f t="shared" si="63"/>
        <v>0</v>
      </c>
      <c r="BO122" s="4">
        <f t="shared" si="64"/>
        <v>0</v>
      </c>
      <c r="BP122" s="4">
        <f t="shared" si="65"/>
        <v>0</v>
      </c>
      <c r="BQ122" s="4">
        <f t="shared" si="66"/>
        <v>0</v>
      </c>
      <c r="BR122" s="4">
        <f t="shared" si="67"/>
        <v>0</v>
      </c>
      <c r="BS122" s="4">
        <f t="shared" si="68"/>
        <v>0</v>
      </c>
      <c r="BT122" s="4">
        <f t="shared" si="69"/>
        <v>0</v>
      </c>
      <c r="BU122" s="4">
        <f t="shared" si="70"/>
        <v>0</v>
      </c>
      <c r="BV122" s="4">
        <f t="shared" si="71"/>
        <v>0</v>
      </c>
      <c r="BW122" s="4">
        <f t="shared" si="72"/>
        <v>0</v>
      </c>
      <c r="BX122" s="4">
        <f t="shared" si="73"/>
        <v>0</v>
      </c>
      <c r="BY122" s="4">
        <f t="shared" si="74"/>
        <v>0</v>
      </c>
      <c r="BZ122" s="4">
        <f t="shared" si="75"/>
        <v>0</v>
      </c>
      <c r="CA122" s="4">
        <f t="shared" si="76"/>
        <v>0</v>
      </c>
      <c r="CB122" s="4">
        <f t="shared" si="77"/>
        <v>0</v>
      </c>
      <c r="CC122" s="4">
        <f t="shared" si="78"/>
        <v>0</v>
      </c>
      <c r="CD122" s="4">
        <f t="shared" si="79"/>
        <v>0</v>
      </c>
      <c r="CE122" s="4">
        <f t="shared" si="80"/>
        <v>0</v>
      </c>
      <c r="CF122" s="4">
        <f t="shared" si="81"/>
        <v>0</v>
      </c>
      <c r="CG122" s="4">
        <f t="shared" si="82"/>
        <v>0</v>
      </c>
      <c r="CH122" s="4">
        <f t="shared" si="83"/>
        <v>0</v>
      </c>
      <c r="CI122" s="4">
        <f t="shared" si="84"/>
        <v>0</v>
      </c>
      <c r="CJ122" s="4">
        <f t="shared" si="85"/>
        <v>0</v>
      </c>
      <c r="CK122" s="4">
        <f t="shared" si="86"/>
        <v>0</v>
      </c>
      <c r="CL122" s="4">
        <f t="shared" si="87"/>
        <v>0</v>
      </c>
      <c r="CM122" s="4">
        <f t="shared" si="88"/>
        <v>0</v>
      </c>
      <c r="CN122" s="4">
        <f t="shared" si="89"/>
        <v>0</v>
      </c>
      <c r="CO122" s="4">
        <f t="shared" si="90"/>
        <v>0</v>
      </c>
      <c r="CP122" s="4">
        <f t="shared" si="91"/>
        <v>0</v>
      </c>
      <c r="CQ122" s="4">
        <f t="shared" si="92"/>
        <v>0</v>
      </c>
      <c r="CR122" s="4">
        <f t="shared" si="93"/>
        <v>0</v>
      </c>
      <c r="CS122" s="4">
        <f t="shared" si="94"/>
        <v>0</v>
      </c>
      <c r="CT122" s="4">
        <f t="shared" si="95"/>
        <v>0</v>
      </c>
      <c r="CU122" s="4">
        <f t="shared" si="96"/>
        <v>0</v>
      </c>
      <c r="CV122" s="4">
        <f t="shared" si="97"/>
        <v>0</v>
      </c>
      <c r="CW122" s="4">
        <f t="shared" si="98"/>
        <v>0</v>
      </c>
      <c r="CX122" s="4">
        <f t="shared" si="99"/>
        <v>0</v>
      </c>
      <c r="CY122" s="4">
        <f t="shared" si="100"/>
        <v>0</v>
      </c>
      <c r="CZ122" s="4">
        <f t="shared" si="101"/>
        <v>0</v>
      </c>
      <c r="DA122" s="4">
        <f t="shared" si="102"/>
        <v>0</v>
      </c>
      <c r="DB122" s="4">
        <f t="shared" si="103"/>
        <v>0</v>
      </c>
      <c r="DC122" s="4">
        <f t="shared" si="104"/>
        <v>0</v>
      </c>
      <c r="DD122" s="4">
        <f t="shared" si="105"/>
        <v>0</v>
      </c>
    </row>
    <row r="123" spans="1:108" x14ac:dyDescent="0.25">
      <c r="A123" s="41" t="str">
        <f>Skills!M105</f>
        <v>Heavy Weapons, 0</v>
      </c>
      <c r="B123" s="57">
        <f>Skills!N105</f>
        <v>0</v>
      </c>
      <c r="C123" s="24">
        <f t="shared" si="106"/>
        <v>0</v>
      </c>
      <c r="D123" s="110" t="e">
        <f>Skills!S105</f>
        <v>#N/A</v>
      </c>
      <c r="E123" s="111" t="e">
        <f>VLOOKUP("Heavy Weapons",Calculations!$W$2:$X$6,2,FALSE)</f>
        <v>#REF!</v>
      </c>
      <c r="F123" s="18"/>
      <c r="G123" s="18"/>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49"/>
      <c r="BF123" s="4">
        <f t="shared" si="56"/>
        <v>0</v>
      </c>
      <c r="BG123" s="4">
        <f t="shared" si="56"/>
        <v>0</v>
      </c>
      <c r="BH123" s="4">
        <f t="shared" si="57"/>
        <v>0</v>
      </c>
      <c r="BI123" s="4">
        <f t="shared" si="58"/>
        <v>0</v>
      </c>
      <c r="BJ123" s="4">
        <f t="shared" si="59"/>
        <v>0</v>
      </c>
      <c r="BK123" s="4">
        <f t="shared" si="60"/>
        <v>0</v>
      </c>
      <c r="BL123" s="4">
        <f t="shared" si="61"/>
        <v>0</v>
      </c>
      <c r="BM123" s="4">
        <f t="shared" si="62"/>
        <v>0</v>
      </c>
      <c r="BN123" s="4">
        <f t="shared" si="63"/>
        <v>0</v>
      </c>
      <c r="BO123" s="4">
        <f t="shared" si="64"/>
        <v>0</v>
      </c>
      <c r="BP123" s="4">
        <f t="shared" si="65"/>
        <v>0</v>
      </c>
      <c r="BQ123" s="4">
        <f t="shared" si="66"/>
        <v>0</v>
      </c>
      <c r="BR123" s="4">
        <f t="shared" si="67"/>
        <v>0</v>
      </c>
      <c r="BS123" s="4">
        <f t="shared" si="68"/>
        <v>0</v>
      </c>
      <c r="BT123" s="4">
        <f t="shared" si="69"/>
        <v>0</v>
      </c>
      <c r="BU123" s="4">
        <f t="shared" si="70"/>
        <v>0</v>
      </c>
      <c r="BV123" s="4">
        <f t="shared" si="71"/>
        <v>0</v>
      </c>
      <c r="BW123" s="4">
        <f t="shared" si="72"/>
        <v>0</v>
      </c>
      <c r="BX123" s="4">
        <f t="shared" si="73"/>
        <v>0</v>
      </c>
      <c r="BY123" s="4">
        <f t="shared" si="74"/>
        <v>0</v>
      </c>
      <c r="BZ123" s="4">
        <f t="shared" si="75"/>
        <v>0</v>
      </c>
      <c r="CA123" s="4">
        <f t="shared" si="76"/>
        <v>0</v>
      </c>
      <c r="CB123" s="4">
        <f t="shared" si="77"/>
        <v>0</v>
      </c>
      <c r="CC123" s="4">
        <f t="shared" si="78"/>
        <v>0</v>
      </c>
      <c r="CD123" s="4">
        <f t="shared" si="79"/>
        <v>0</v>
      </c>
      <c r="CE123" s="4">
        <f t="shared" si="80"/>
        <v>0</v>
      </c>
      <c r="CF123" s="4">
        <f t="shared" si="81"/>
        <v>0</v>
      </c>
      <c r="CG123" s="4">
        <f t="shared" si="82"/>
        <v>0</v>
      </c>
      <c r="CH123" s="4">
        <f t="shared" si="83"/>
        <v>0</v>
      </c>
      <c r="CI123" s="4">
        <f t="shared" si="84"/>
        <v>0</v>
      </c>
      <c r="CJ123" s="4">
        <f t="shared" si="85"/>
        <v>0</v>
      </c>
      <c r="CK123" s="4">
        <f t="shared" si="86"/>
        <v>0</v>
      </c>
      <c r="CL123" s="4">
        <f t="shared" si="87"/>
        <v>0</v>
      </c>
      <c r="CM123" s="4">
        <f t="shared" si="88"/>
        <v>0</v>
      </c>
      <c r="CN123" s="4">
        <f t="shared" si="89"/>
        <v>0</v>
      </c>
      <c r="CO123" s="4">
        <f t="shared" si="90"/>
        <v>0</v>
      </c>
      <c r="CP123" s="4">
        <f t="shared" si="91"/>
        <v>0</v>
      </c>
      <c r="CQ123" s="4">
        <f t="shared" si="92"/>
        <v>0</v>
      </c>
      <c r="CR123" s="4">
        <f t="shared" si="93"/>
        <v>0</v>
      </c>
      <c r="CS123" s="4">
        <f t="shared" si="94"/>
        <v>0</v>
      </c>
      <c r="CT123" s="4">
        <f t="shared" si="95"/>
        <v>0</v>
      </c>
      <c r="CU123" s="4">
        <f t="shared" si="96"/>
        <v>0</v>
      </c>
      <c r="CV123" s="4">
        <f t="shared" si="97"/>
        <v>0</v>
      </c>
      <c r="CW123" s="4">
        <f t="shared" si="98"/>
        <v>0</v>
      </c>
      <c r="CX123" s="4">
        <f t="shared" si="99"/>
        <v>0</v>
      </c>
      <c r="CY123" s="4">
        <f t="shared" si="100"/>
        <v>0</v>
      </c>
      <c r="CZ123" s="4">
        <f t="shared" si="101"/>
        <v>0</v>
      </c>
      <c r="DA123" s="4">
        <f t="shared" si="102"/>
        <v>0</v>
      </c>
      <c r="DB123" s="4">
        <f t="shared" si="103"/>
        <v>0</v>
      </c>
      <c r="DC123" s="4">
        <f t="shared" si="104"/>
        <v>0</v>
      </c>
      <c r="DD123" s="4">
        <f t="shared" si="105"/>
        <v>0</v>
      </c>
    </row>
    <row r="124" spans="1:108" x14ac:dyDescent="0.25">
      <c r="A124" s="41" t="str">
        <f>Skills!M106</f>
        <v>Heavy Weapons, 0</v>
      </c>
      <c r="B124" s="55">
        <f>Skills!N106</f>
        <v>0</v>
      </c>
      <c r="C124" s="22">
        <f t="shared" si="106"/>
        <v>0</v>
      </c>
      <c r="D124" s="112" t="e">
        <f>Skills!S106</f>
        <v>#N/A</v>
      </c>
      <c r="E124" s="113" t="e">
        <f>VLOOKUP("Heavy Weapons",Calculations!$W$2:$X$6,2,FALSE)</f>
        <v>#REF!</v>
      </c>
      <c r="F124" s="19"/>
      <c r="G124" s="19"/>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56"/>
      <c r="BF124" s="4">
        <f t="shared" si="56"/>
        <v>0</v>
      </c>
      <c r="BG124" s="4">
        <f t="shared" si="56"/>
        <v>0</v>
      </c>
      <c r="BH124" s="4">
        <f t="shared" si="57"/>
        <v>0</v>
      </c>
      <c r="BI124" s="4">
        <f t="shared" si="58"/>
        <v>0</v>
      </c>
      <c r="BJ124" s="4">
        <f t="shared" si="59"/>
        <v>0</v>
      </c>
      <c r="BK124" s="4">
        <f t="shared" si="60"/>
        <v>0</v>
      </c>
      <c r="BL124" s="4">
        <f t="shared" si="61"/>
        <v>0</v>
      </c>
      <c r="BM124" s="4">
        <f t="shared" si="62"/>
        <v>0</v>
      </c>
      <c r="BN124" s="4">
        <f t="shared" si="63"/>
        <v>0</v>
      </c>
      <c r="BO124" s="4">
        <f t="shared" si="64"/>
        <v>0</v>
      </c>
      <c r="BP124" s="4">
        <f t="shared" si="65"/>
        <v>0</v>
      </c>
      <c r="BQ124" s="4">
        <f t="shared" si="66"/>
        <v>0</v>
      </c>
      <c r="BR124" s="4">
        <f t="shared" si="67"/>
        <v>0</v>
      </c>
      <c r="BS124" s="4">
        <f t="shared" si="68"/>
        <v>0</v>
      </c>
      <c r="BT124" s="4">
        <f t="shared" si="69"/>
        <v>0</v>
      </c>
      <c r="BU124" s="4">
        <f t="shared" si="70"/>
        <v>0</v>
      </c>
      <c r="BV124" s="4">
        <f t="shared" si="71"/>
        <v>0</v>
      </c>
      <c r="BW124" s="4">
        <f t="shared" si="72"/>
        <v>0</v>
      </c>
      <c r="BX124" s="4">
        <f t="shared" si="73"/>
        <v>0</v>
      </c>
      <c r="BY124" s="4">
        <f t="shared" si="74"/>
        <v>0</v>
      </c>
      <c r="BZ124" s="4">
        <f t="shared" si="75"/>
        <v>0</v>
      </c>
      <c r="CA124" s="4">
        <f t="shared" si="76"/>
        <v>0</v>
      </c>
      <c r="CB124" s="4">
        <f t="shared" si="77"/>
        <v>0</v>
      </c>
      <c r="CC124" s="4">
        <f t="shared" si="78"/>
        <v>0</v>
      </c>
      <c r="CD124" s="4">
        <f t="shared" si="79"/>
        <v>0</v>
      </c>
      <c r="CE124" s="4">
        <f t="shared" si="80"/>
        <v>0</v>
      </c>
      <c r="CF124" s="4">
        <f t="shared" si="81"/>
        <v>0</v>
      </c>
      <c r="CG124" s="4">
        <f t="shared" si="82"/>
        <v>0</v>
      </c>
      <c r="CH124" s="4">
        <f t="shared" si="83"/>
        <v>0</v>
      </c>
      <c r="CI124" s="4">
        <f t="shared" si="84"/>
        <v>0</v>
      </c>
      <c r="CJ124" s="4">
        <f t="shared" si="85"/>
        <v>0</v>
      </c>
      <c r="CK124" s="4">
        <f t="shared" si="86"/>
        <v>0</v>
      </c>
      <c r="CL124" s="4">
        <f t="shared" si="87"/>
        <v>0</v>
      </c>
      <c r="CM124" s="4">
        <f t="shared" si="88"/>
        <v>0</v>
      </c>
      <c r="CN124" s="4">
        <f t="shared" si="89"/>
        <v>0</v>
      </c>
      <c r="CO124" s="4">
        <f t="shared" si="90"/>
        <v>0</v>
      </c>
      <c r="CP124" s="4">
        <f t="shared" si="91"/>
        <v>0</v>
      </c>
      <c r="CQ124" s="4">
        <f t="shared" si="92"/>
        <v>0</v>
      </c>
      <c r="CR124" s="4">
        <f t="shared" si="93"/>
        <v>0</v>
      </c>
      <c r="CS124" s="4">
        <f t="shared" si="94"/>
        <v>0</v>
      </c>
      <c r="CT124" s="4">
        <f t="shared" si="95"/>
        <v>0</v>
      </c>
      <c r="CU124" s="4">
        <f t="shared" si="96"/>
        <v>0</v>
      </c>
      <c r="CV124" s="4">
        <f t="shared" si="97"/>
        <v>0</v>
      </c>
      <c r="CW124" s="4">
        <f t="shared" si="98"/>
        <v>0</v>
      </c>
      <c r="CX124" s="4">
        <f t="shared" si="99"/>
        <v>0</v>
      </c>
      <c r="CY124" s="4">
        <f t="shared" si="100"/>
        <v>0</v>
      </c>
      <c r="CZ124" s="4">
        <f t="shared" si="101"/>
        <v>0</v>
      </c>
      <c r="DA124" s="4">
        <f t="shared" si="102"/>
        <v>0</v>
      </c>
      <c r="DB124" s="4">
        <f t="shared" si="103"/>
        <v>0</v>
      </c>
      <c r="DC124" s="4">
        <f t="shared" si="104"/>
        <v>0</v>
      </c>
      <c r="DD124" s="4">
        <f t="shared" si="105"/>
        <v>0</v>
      </c>
    </row>
    <row r="125" spans="1:108" x14ac:dyDescent="0.25">
      <c r="A125" s="41" t="str">
        <f>Skills!M107</f>
        <v>Heavy Weapons, 0</v>
      </c>
      <c r="B125" s="57">
        <f>Skills!N107</f>
        <v>0</v>
      </c>
      <c r="C125" s="24">
        <f t="shared" si="106"/>
        <v>0</v>
      </c>
      <c r="D125" s="110" t="e">
        <f>Skills!S107</f>
        <v>#N/A</v>
      </c>
      <c r="E125" s="111" t="e">
        <f>VLOOKUP("Heavy Weapons",Calculations!$W$2:$X$6,2,FALSE)</f>
        <v>#REF!</v>
      </c>
      <c r="F125" s="18"/>
      <c r="G125" s="18"/>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49"/>
      <c r="BF125" s="4">
        <f t="shared" si="56"/>
        <v>0</v>
      </c>
      <c r="BG125" s="4">
        <f t="shared" si="56"/>
        <v>0</v>
      </c>
      <c r="BH125" s="4">
        <f t="shared" si="57"/>
        <v>0</v>
      </c>
      <c r="BI125" s="4">
        <f t="shared" si="58"/>
        <v>0</v>
      </c>
      <c r="BJ125" s="4">
        <f t="shared" si="59"/>
        <v>0</v>
      </c>
      <c r="BK125" s="4">
        <f t="shared" si="60"/>
        <v>0</v>
      </c>
      <c r="BL125" s="4">
        <f t="shared" si="61"/>
        <v>0</v>
      </c>
      <c r="BM125" s="4">
        <f t="shared" si="62"/>
        <v>0</v>
      </c>
      <c r="BN125" s="4">
        <f t="shared" si="63"/>
        <v>0</v>
      </c>
      <c r="BO125" s="4">
        <f t="shared" si="64"/>
        <v>0</v>
      </c>
      <c r="BP125" s="4">
        <f t="shared" si="65"/>
        <v>0</v>
      </c>
      <c r="BQ125" s="4">
        <f t="shared" si="66"/>
        <v>0</v>
      </c>
      <c r="BR125" s="4">
        <f t="shared" si="67"/>
        <v>0</v>
      </c>
      <c r="BS125" s="4">
        <f t="shared" si="68"/>
        <v>0</v>
      </c>
      <c r="BT125" s="4">
        <f t="shared" si="69"/>
        <v>0</v>
      </c>
      <c r="BU125" s="4">
        <f t="shared" si="70"/>
        <v>0</v>
      </c>
      <c r="BV125" s="4">
        <f t="shared" si="71"/>
        <v>0</v>
      </c>
      <c r="BW125" s="4">
        <f t="shared" si="72"/>
        <v>0</v>
      </c>
      <c r="BX125" s="4">
        <f t="shared" si="73"/>
        <v>0</v>
      </c>
      <c r="BY125" s="4">
        <f t="shared" si="74"/>
        <v>0</v>
      </c>
      <c r="BZ125" s="4">
        <f t="shared" si="75"/>
        <v>0</v>
      </c>
      <c r="CA125" s="4">
        <f t="shared" si="76"/>
        <v>0</v>
      </c>
      <c r="CB125" s="4">
        <f t="shared" si="77"/>
        <v>0</v>
      </c>
      <c r="CC125" s="4">
        <f t="shared" si="78"/>
        <v>0</v>
      </c>
      <c r="CD125" s="4">
        <f t="shared" si="79"/>
        <v>0</v>
      </c>
      <c r="CE125" s="4">
        <f t="shared" si="80"/>
        <v>0</v>
      </c>
      <c r="CF125" s="4">
        <f t="shared" si="81"/>
        <v>0</v>
      </c>
      <c r="CG125" s="4">
        <f t="shared" si="82"/>
        <v>0</v>
      </c>
      <c r="CH125" s="4">
        <f t="shared" si="83"/>
        <v>0</v>
      </c>
      <c r="CI125" s="4">
        <f t="shared" si="84"/>
        <v>0</v>
      </c>
      <c r="CJ125" s="4">
        <f t="shared" si="85"/>
        <v>0</v>
      </c>
      <c r="CK125" s="4">
        <f t="shared" si="86"/>
        <v>0</v>
      </c>
      <c r="CL125" s="4">
        <f t="shared" si="87"/>
        <v>0</v>
      </c>
      <c r="CM125" s="4">
        <f t="shared" si="88"/>
        <v>0</v>
      </c>
      <c r="CN125" s="4">
        <f t="shared" si="89"/>
        <v>0</v>
      </c>
      <c r="CO125" s="4">
        <f t="shared" si="90"/>
        <v>0</v>
      </c>
      <c r="CP125" s="4">
        <f t="shared" si="91"/>
        <v>0</v>
      </c>
      <c r="CQ125" s="4">
        <f t="shared" si="92"/>
        <v>0</v>
      </c>
      <c r="CR125" s="4">
        <f t="shared" si="93"/>
        <v>0</v>
      </c>
      <c r="CS125" s="4">
        <f t="shared" si="94"/>
        <v>0</v>
      </c>
      <c r="CT125" s="4">
        <f t="shared" si="95"/>
        <v>0</v>
      </c>
      <c r="CU125" s="4">
        <f t="shared" si="96"/>
        <v>0</v>
      </c>
      <c r="CV125" s="4">
        <f t="shared" si="97"/>
        <v>0</v>
      </c>
      <c r="CW125" s="4">
        <f t="shared" si="98"/>
        <v>0</v>
      </c>
      <c r="CX125" s="4">
        <f t="shared" si="99"/>
        <v>0</v>
      </c>
      <c r="CY125" s="4">
        <f t="shared" si="100"/>
        <v>0</v>
      </c>
      <c r="CZ125" s="4">
        <f t="shared" si="101"/>
        <v>0</v>
      </c>
      <c r="DA125" s="4">
        <f t="shared" si="102"/>
        <v>0</v>
      </c>
      <c r="DB125" s="4">
        <f t="shared" si="103"/>
        <v>0</v>
      </c>
      <c r="DC125" s="4">
        <f t="shared" si="104"/>
        <v>0</v>
      </c>
      <c r="DD125" s="4">
        <f t="shared" si="105"/>
        <v>0</v>
      </c>
    </row>
    <row r="126" spans="1:108" x14ac:dyDescent="0.25">
      <c r="A126" s="41">
        <f>Skills!M108</f>
        <v>0</v>
      </c>
      <c r="B126" s="55" t="str">
        <f>Skills!N108</f>
        <v>Composition &amp; Performance Art Skills</v>
      </c>
      <c r="C126" s="22">
        <f t="shared" si="106"/>
        <v>0</v>
      </c>
      <c r="D126" s="112" t="str">
        <f>Skills!S108</f>
        <v>- -</v>
      </c>
      <c r="E126" s="113" t="s">
        <v>782</v>
      </c>
      <c r="F126" s="19"/>
      <c r="G126" s="19"/>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56"/>
      <c r="BF126" s="4">
        <f t="shared" si="56"/>
        <v>0</v>
      </c>
      <c r="BG126" s="4">
        <f t="shared" si="56"/>
        <v>0</v>
      </c>
      <c r="BH126" s="4">
        <f t="shared" si="57"/>
        <v>0</v>
      </c>
      <c r="BI126" s="4">
        <f t="shared" si="58"/>
        <v>0</v>
      </c>
      <c r="BJ126" s="4">
        <f t="shared" si="59"/>
        <v>0</v>
      </c>
      <c r="BK126" s="4">
        <f t="shared" si="60"/>
        <v>0</v>
      </c>
      <c r="BL126" s="4">
        <f t="shared" si="61"/>
        <v>0</v>
      </c>
      <c r="BM126" s="4">
        <f t="shared" si="62"/>
        <v>0</v>
      </c>
      <c r="BN126" s="4">
        <f t="shared" si="63"/>
        <v>0</v>
      </c>
      <c r="BO126" s="4">
        <f t="shared" si="64"/>
        <v>0</v>
      </c>
      <c r="BP126" s="4">
        <f t="shared" si="65"/>
        <v>0</v>
      </c>
      <c r="BQ126" s="4">
        <f t="shared" si="66"/>
        <v>0</v>
      </c>
      <c r="BR126" s="4">
        <f t="shared" si="67"/>
        <v>0</v>
      </c>
      <c r="BS126" s="4">
        <f t="shared" si="68"/>
        <v>0</v>
      </c>
      <c r="BT126" s="4">
        <f t="shared" si="69"/>
        <v>0</v>
      </c>
      <c r="BU126" s="4">
        <f t="shared" si="70"/>
        <v>0</v>
      </c>
      <c r="BV126" s="4">
        <f t="shared" si="71"/>
        <v>0</v>
      </c>
      <c r="BW126" s="4">
        <f t="shared" si="72"/>
        <v>0</v>
      </c>
      <c r="BX126" s="4">
        <f t="shared" si="73"/>
        <v>0</v>
      </c>
      <c r="BY126" s="4">
        <f t="shared" si="74"/>
        <v>0</v>
      </c>
      <c r="BZ126" s="4">
        <f t="shared" si="75"/>
        <v>0</v>
      </c>
      <c r="CA126" s="4">
        <f t="shared" si="76"/>
        <v>0</v>
      </c>
      <c r="CB126" s="4">
        <f t="shared" si="77"/>
        <v>0</v>
      </c>
      <c r="CC126" s="4">
        <f t="shared" si="78"/>
        <v>0</v>
      </c>
      <c r="CD126" s="4">
        <f t="shared" si="79"/>
        <v>0</v>
      </c>
      <c r="CE126" s="4">
        <f t="shared" si="80"/>
        <v>0</v>
      </c>
      <c r="CF126" s="4">
        <f t="shared" si="81"/>
        <v>0</v>
      </c>
      <c r="CG126" s="4">
        <f t="shared" si="82"/>
        <v>0</v>
      </c>
      <c r="CH126" s="4">
        <f t="shared" si="83"/>
        <v>0</v>
      </c>
      <c r="CI126" s="4">
        <f t="shared" si="84"/>
        <v>0</v>
      </c>
      <c r="CJ126" s="4">
        <f t="shared" si="85"/>
        <v>0</v>
      </c>
      <c r="CK126" s="4">
        <f t="shared" si="86"/>
        <v>0</v>
      </c>
      <c r="CL126" s="4">
        <f t="shared" si="87"/>
        <v>0</v>
      </c>
      <c r="CM126" s="4">
        <f t="shared" si="88"/>
        <v>0</v>
      </c>
      <c r="CN126" s="4">
        <f t="shared" si="89"/>
        <v>0</v>
      </c>
      <c r="CO126" s="4">
        <f t="shared" si="90"/>
        <v>0</v>
      </c>
      <c r="CP126" s="4">
        <f t="shared" si="91"/>
        <v>0</v>
      </c>
      <c r="CQ126" s="4">
        <f t="shared" si="92"/>
        <v>0</v>
      </c>
      <c r="CR126" s="4">
        <f t="shared" si="93"/>
        <v>0</v>
      </c>
      <c r="CS126" s="4">
        <f t="shared" si="94"/>
        <v>0</v>
      </c>
      <c r="CT126" s="4">
        <f t="shared" si="95"/>
        <v>0</v>
      </c>
      <c r="CU126" s="4">
        <f t="shared" si="96"/>
        <v>0</v>
      </c>
      <c r="CV126" s="4">
        <f t="shared" si="97"/>
        <v>0</v>
      </c>
      <c r="CW126" s="4">
        <f t="shared" si="98"/>
        <v>0</v>
      </c>
      <c r="CX126" s="4">
        <f t="shared" si="99"/>
        <v>0</v>
      </c>
      <c r="CY126" s="4">
        <f t="shared" si="100"/>
        <v>0</v>
      </c>
      <c r="CZ126" s="4">
        <f t="shared" si="101"/>
        <v>0</v>
      </c>
      <c r="DA126" s="4">
        <f t="shared" si="102"/>
        <v>0</v>
      </c>
      <c r="DB126" s="4">
        <f t="shared" si="103"/>
        <v>0</v>
      </c>
      <c r="DC126" s="4">
        <f t="shared" si="104"/>
        <v>0</v>
      </c>
      <c r="DD126" s="4">
        <f t="shared" si="105"/>
        <v>0</v>
      </c>
    </row>
    <row r="127" spans="1:108" x14ac:dyDescent="0.25">
      <c r="A127" s="41">
        <f>Skills!M109</f>
        <v>0</v>
      </c>
      <c r="B127" s="57" t="str">
        <f>Skills!N109</f>
        <v>Composition Category</v>
      </c>
      <c r="C127" s="24">
        <f t="shared" si="106"/>
        <v>0</v>
      </c>
      <c r="D127" s="110" t="str">
        <f>Skills!S109</f>
        <v>- -</v>
      </c>
      <c r="E127" s="111" t="s">
        <v>782</v>
      </c>
      <c r="F127" s="18"/>
      <c r="G127" s="18"/>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49"/>
      <c r="BF127" s="4">
        <f t="shared" si="56"/>
        <v>0</v>
      </c>
      <c r="BG127" s="4">
        <f t="shared" si="56"/>
        <v>0</v>
      </c>
      <c r="BH127" s="4">
        <f t="shared" si="57"/>
        <v>0</v>
      </c>
      <c r="BI127" s="4">
        <f t="shared" si="58"/>
        <v>0</v>
      </c>
      <c r="BJ127" s="4">
        <f t="shared" si="59"/>
        <v>0</v>
      </c>
      <c r="BK127" s="4">
        <f t="shared" si="60"/>
        <v>0</v>
      </c>
      <c r="BL127" s="4">
        <f t="shared" si="61"/>
        <v>0</v>
      </c>
      <c r="BM127" s="4">
        <f t="shared" si="62"/>
        <v>0</v>
      </c>
      <c r="BN127" s="4">
        <f t="shared" si="63"/>
        <v>0</v>
      </c>
      <c r="BO127" s="4">
        <f t="shared" si="64"/>
        <v>0</v>
      </c>
      <c r="BP127" s="4">
        <f t="shared" si="65"/>
        <v>0</v>
      </c>
      <c r="BQ127" s="4">
        <f t="shared" si="66"/>
        <v>0</v>
      </c>
      <c r="BR127" s="4">
        <f t="shared" si="67"/>
        <v>0</v>
      </c>
      <c r="BS127" s="4">
        <f t="shared" si="68"/>
        <v>0</v>
      </c>
      <c r="BT127" s="4">
        <f t="shared" si="69"/>
        <v>0</v>
      </c>
      <c r="BU127" s="4">
        <f t="shared" si="70"/>
        <v>0</v>
      </c>
      <c r="BV127" s="4">
        <f t="shared" si="71"/>
        <v>0</v>
      </c>
      <c r="BW127" s="4">
        <f t="shared" si="72"/>
        <v>0</v>
      </c>
      <c r="BX127" s="4">
        <f t="shared" si="73"/>
        <v>0</v>
      </c>
      <c r="BY127" s="4">
        <f t="shared" si="74"/>
        <v>0</v>
      </c>
      <c r="BZ127" s="4">
        <f t="shared" si="75"/>
        <v>0</v>
      </c>
      <c r="CA127" s="4">
        <f t="shared" si="76"/>
        <v>0</v>
      </c>
      <c r="CB127" s="4">
        <f t="shared" si="77"/>
        <v>0</v>
      </c>
      <c r="CC127" s="4">
        <f t="shared" si="78"/>
        <v>0</v>
      </c>
      <c r="CD127" s="4">
        <f t="shared" si="79"/>
        <v>0</v>
      </c>
      <c r="CE127" s="4">
        <f t="shared" si="80"/>
        <v>0</v>
      </c>
      <c r="CF127" s="4">
        <f t="shared" si="81"/>
        <v>0</v>
      </c>
      <c r="CG127" s="4">
        <f t="shared" si="82"/>
        <v>0</v>
      </c>
      <c r="CH127" s="4">
        <f t="shared" si="83"/>
        <v>0</v>
      </c>
      <c r="CI127" s="4">
        <f t="shared" si="84"/>
        <v>0</v>
      </c>
      <c r="CJ127" s="4">
        <f t="shared" si="85"/>
        <v>0</v>
      </c>
      <c r="CK127" s="4">
        <f t="shared" si="86"/>
        <v>0</v>
      </c>
      <c r="CL127" s="4">
        <f t="shared" si="87"/>
        <v>0</v>
      </c>
      <c r="CM127" s="4">
        <f t="shared" si="88"/>
        <v>0</v>
      </c>
      <c r="CN127" s="4">
        <f t="shared" si="89"/>
        <v>0</v>
      </c>
      <c r="CO127" s="4">
        <f t="shared" si="90"/>
        <v>0</v>
      </c>
      <c r="CP127" s="4">
        <f t="shared" si="91"/>
        <v>0</v>
      </c>
      <c r="CQ127" s="4">
        <f t="shared" si="92"/>
        <v>0</v>
      </c>
      <c r="CR127" s="4">
        <f t="shared" si="93"/>
        <v>0</v>
      </c>
      <c r="CS127" s="4">
        <f t="shared" si="94"/>
        <v>0</v>
      </c>
      <c r="CT127" s="4">
        <f t="shared" si="95"/>
        <v>0</v>
      </c>
      <c r="CU127" s="4">
        <f t="shared" si="96"/>
        <v>0</v>
      </c>
      <c r="CV127" s="4">
        <f t="shared" si="97"/>
        <v>0</v>
      </c>
      <c r="CW127" s="4">
        <f t="shared" si="98"/>
        <v>0</v>
      </c>
      <c r="CX127" s="4">
        <f t="shared" si="99"/>
        <v>0</v>
      </c>
      <c r="CY127" s="4">
        <f t="shared" si="100"/>
        <v>0</v>
      </c>
      <c r="CZ127" s="4">
        <f t="shared" si="101"/>
        <v>0</v>
      </c>
      <c r="DA127" s="4">
        <f t="shared" si="102"/>
        <v>0</v>
      </c>
      <c r="DB127" s="4">
        <f t="shared" si="103"/>
        <v>0</v>
      </c>
      <c r="DC127" s="4">
        <f t="shared" si="104"/>
        <v>0</v>
      </c>
      <c r="DD127" s="4">
        <f t="shared" si="105"/>
        <v>0</v>
      </c>
    </row>
    <row r="128" spans="1:108" x14ac:dyDescent="0.25">
      <c r="A128" s="41">
        <f>Skills!M110</f>
        <v>0</v>
      </c>
      <c r="B128" s="55" t="str">
        <f>Skills!N110</f>
        <v>Composition Skills</v>
      </c>
      <c r="C128" s="22">
        <f t="shared" si="106"/>
        <v>0</v>
      </c>
      <c r="D128" s="112" t="str">
        <f>Skills!S110</f>
        <v>- -</v>
      </c>
      <c r="E128" s="113" t="s">
        <v>782</v>
      </c>
      <c r="F128" s="19"/>
      <c r="G128" s="19"/>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56"/>
      <c r="BF128" s="4">
        <f t="shared" si="56"/>
        <v>0</v>
      </c>
      <c r="BG128" s="4">
        <f t="shared" si="56"/>
        <v>0</v>
      </c>
      <c r="BH128" s="4">
        <f t="shared" si="57"/>
        <v>0</v>
      </c>
      <c r="BI128" s="4">
        <f t="shared" si="58"/>
        <v>0</v>
      </c>
      <c r="BJ128" s="4">
        <f t="shared" si="59"/>
        <v>0</v>
      </c>
      <c r="BK128" s="4">
        <f t="shared" si="60"/>
        <v>0</v>
      </c>
      <c r="BL128" s="4">
        <f t="shared" si="61"/>
        <v>0</v>
      </c>
      <c r="BM128" s="4">
        <f t="shared" si="62"/>
        <v>0</v>
      </c>
      <c r="BN128" s="4">
        <f t="shared" si="63"/>
        <v>0</v>
      </c>
      <c r="BO128" s="4">
        <f t="shared" si="64"/>
        <v>0</v>
      </c>
      <c r="BP128" s="4">
        <f t="shared" si="65"/>
        <v>0</v>
      </c>
      <c r="BQ128" s="4">
        <f t="shared" si="66"/>
        <v>0</v>
      </c>
      <c r="BR128" s="4">
        <f t="shared" si="67"/>
        <v>0</v>
      </c>
      <c r="BS128" s="4">
        <f t="shared" si="68"/>
        <v>0</v>
      </c>
      <c r="BT128" s="4">
        <f t="shared" si="69"/>
        <v>0</v>
      </c>
      <c r="BU128" s="4">
        <f t="shared" si="70"/>
        <v>0</v>
      </c>
      <c r="BV128" s="4">
        <f t="shared" si="71"/>
        <v>0</v>
      </c>
      <c r="BW128" s="4">
        <f t="shared" si="72"/>
        <v>0</v>
      </c>
      <c r="BX128" s="4">
        <f t="shared" si="73"/>
        <v>0</v>
      </c>
      <c r="BY128" s="4">
        <f t="shared" si="74"/>
        <v>0</v>
      </c>
      <c r="BZ128" s="4">
        <f t="shared" si="75"/>
        <v>0</v>
      </c>
      <c r="CA128" s="4">
        <f t="shared" si="76"/>
        <v>0</v>
      </c>
      <c r="CB128" s="4">
        <f t="shared" si="77"/>
        <v>0</v>
      </c>
      <c r="CC128" s="4">
        <f t="shared" si="78"/>
        <v>0</v>
      </c>
      <c r="CD128" s="4">
        <f t="shared" si="79"/>
        <v>0</v>
      </c>
      <c r="CE128" s="4">
        <f t="shared" si="80"/>
        <v>0</v>
      </c>
      <c r="CF128" s="4">
        <f t="shared" si="81"/>
        <v>0</v>
      </c>
      <c r="CG128" s="4">
        <f t="shared" si="82"/>
        <v>0</v>
      </c>
      <c r="CH128" s="4">
        <f t="shared" si="83"/>
        <v>0</v>
      </c>
      <c r="CI128" s="4">
        <f t="shared" si="84"/>
        <v>0</v>
      </c>
      <c r="CJ128" s="4">
        <f t="shared" si="85"/>
        <v>0</v>
      </c>
      <c r="CK128" s="4">
        <f t="shared" si="86"/>
        <v>0</v>
      </c>
      <c r="CL128" s="4">
        <f t="shared" si="87"/>
        <v>0</v>
      </c>
      <c r="CM128" s="4">
        <f t="shared" si="88"/>
        <v>0</v>
      </c>
      <c r="CN128" s="4">
        <f t="shared" si="89"/>
        <v>0</v>
      </c>
      <c r="CO128" s="4">
        <f t="shared" si="90"/>
        <v>0</v>
      </c>
      <c r="CP128" s="4">
        <f t="shared" si="91"/>
        <v>0</v>
      </c>
      <c r="CQ128" s="4">
        <f t="shared" si="92"/>
        <v>0</v>
      </c>
      <c r="CR128" s="4">
        <f t="shared" si="93"/>
        <v>0</v>
      </c>
      <c r="CS128" s="4">
        <f t="shared" si="94"/>
        <v>0</v>
      </c>
      <c r="CT128" s="4">
        <f t="shared" si="95"/>
        <v>0</v>
      </c>
      <c r="CU128" s="4">
        <f t="shared" si="96"/>
        <v>0</v>
      </c>
      <c r="CV128" s="4">
        <f t="shared" si="97"/>
        <v>0</v>
      </c>
      <c r="CW128" s="4">
        <f t="shared" si="98"/>
        <v>0</v>
      </c>
      <c r="CX128" s="4">
        <f t="shared" si="99"/>
        <v>0</v>
      </c>
      <c r="CY128" s="4">
        <f t="shared" si="100"/>
        <v>0</v>
      </c>
      <c r="CZ128" s="4">
        <f t="shared" si="101"/>
        <v>0</v>
      </c>
      <c r="DA128" s="4">
        <f t="shared" si="102"/>
        <v>0</v>
      </c>
      <c r="DB128" s="4">
        <f t="shared" si="103"/>
        <v>0</v>
      </c>
      <c r="DC128" s="4">
        <f t="shared" si="104"/>
        <v>0</v>
      </c>
      <c r="DD128" s="4">
        <f t="shared" si="105"/>
        <v>0</v>
      </c>
    </row>
    <row r="129" spans="1:108" x14ac:dyDescent="0.25">
      <c r="A129" s="41" t="str">
        <f>Skills!M111</f>
        <v>Illusion Crafting</v>
      </c>
      <c r="B129" s="57" t="str">
        <f>Skills!N111</f>
        <v>Illusion Crafting</v>
      </c>
      <c r="C129" s="24">
        <f t="shared" si="106"/>
        <v>0</v>
      </c>
      <c r="D129" s="110">
        <f>Skills!S111</f>
        <v>0</v>
      </c>
      <c r="E129" s="111" t="e">
        <f>Profession!B39</f>
        <v>#REF!</v>
      </c>
      <c r="F129" s="18"/>
      <c r="G129" s="18"/>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49"/>
      <c r="BF129" s="4">
        <f t="shared" si="56"/>
        <v>0</v>
      </c>
      <c r="BG129" s="4">
        <f t="shared" si="56"/>
        <v>0</v>
      </c>
      <c r="BH129" s="4">
        <f t="shared" si="57"/>
        <v>0</v>
      </c>
      <c r="BI129" s="4">
        <f t="shared" si="58"/>
        <v>0</v>
      </c>
      <c r="BJ129" s="4">
        <f t="shared" si="59"/>
        <v>0</v>
      </c>
      <c r="BK129" s="4">
        <f t="shared" si="60"/>
        <v>0</v>
      </c>
      <c r="BL129" s="4">
        <f t="shared" si="61"/>
        <v>0</v>
      </c>
      <c r="BM129" s="4">
        <f t="shared" si="62"/>
        <v>0</v>
      </c>
      <c r="BN129" s="4">
        <f t="shared" si="63"/>
        <v>0</v>
      </c>
      <c r="BO129" s="4">
        <f t="shared" si="64"/>
        <v>0</v>
      </c>
      <c r="BP129" s="4">
        <f t="shared" si="65"/>
        <v>0</v>
      </c>
      <c r="BQ129" s="4">
        <f t="shared" si="66"/>
        <v>0</v>
      </c>
      <c r="BR129" s="4">
        <f t="shared" si="67"/>
        <v>0</v>
      </c>
      <c r="BS129" s="4">
        <f t="shared" si="68"/>
        <v>0</v>
      </c>
      <c r="BT129" s="4">
        <f t="shared" si="69"/>
        <v>0</v>
      </c>
      <c r="BU129" s="4">
        <f t="shared" si="70"/>
        <v>0</v>
      </c>
      <c r="BV129" s="4">
        <f t="shared" si="71"/>
        <v>0</v>
      </c>
      <c r="BW129" s="4">
        <f t="shared" si="72"/>
        <v>0</v>
      </c>
      <c r="BX129" s="4">
        <f t="shared" si="73"/>
        <v>0</v>
      </c>
      <c r="BY129" s="4">
        <f t="shared" si="74"/>
        <v>0</v>
      </c>
      <c r="BZ129" s="4">
        <f t="shared" si="75"/>
        <v>0</v>
      </c>
      <c r="CA129" s="4">
        <f t="shared" si="76"/>
        <v>0</v>
      </c>
      <c r="CB129" s="4">
        <f t="shared" si="77"/>
        <v>0</v>
      </c>
      <c r="CC129" s="4">
        <f t="shared" si="78"/>
        <v>0</v>
      </c>
      <c r="CD129" s="4">
        <f t="shared" si="79"/>
        <v>0</v>
      </c>
      <c r="CE129" s="4">
        <f t="shared" si="80"/>
        <v>0</v>
      </c>
      <c r="CF129" s="4">
        <f t="shared" si="81"/>
        <v>0</v>
      </c>
      <c r="CG129" s="4">
        <f t="shared" si="82"/>
        <v>0</v>
      </c>
      <c r="CH129" s="4">
        <f t="shared" si="83"/>
        <v>0</v>
      </c>
      <c r="CI129" s="4">
        <f t="shared" si="84"/>
        <v>0</v>
      </c>
      <c r="CJ129" s="4">
        <f t="shared" si="85"/>
        <v>0</v>
      </c>
      <c r="CK129" s="4">
        <f t="shared" si="86"/>
        <v>0</v>
      </c>
      <c r="CL129" s="4">
        <f t="shared" si="87"/>
        <v>0</v>
      </c>
      <c r="CM129" s="4">
        <f t="shared" si="88"/>
        <v>0</v>
      </c>
      <c r="CN129" s="4">
        <f t="shared" si="89"/>
        <v>0</v>
      </c>
      <c r="CO129" s="4">
        <f t="shared" si="90"/>
        <v>0</v>
      </c>
      <c r="CP129" s="4">
        <f t="shared" si="91"/>
        <v>0</v>
      </c>
      <c r="CQ129" s="4">
        <f t="shared" si="92"/>
        <v>0</v>
      </c>
      <c r="CR129" s="4">
        <f t="shared" si="93"/>
        <v>0</v>
      </c>
      <c r="CS129" s="4">
        <f t="shared" si="94"/>
        <v>0</v>
      </c>
      <c r="CT129" s="4">
        <f t="shared" si="95"/>
        <v>0</v>
      </c>
      <c r="CU129" s="4">
        <f t="shared" si="96"/>
        <v>0</v>
      </c>
      <c r="CV129" s="4">
        <f t="shared" si="97"/>
        <v>0</v>
      </c>
      <c r="CW129" s="4">
        <f t="shared" si="98"/>
        <v>0</v>
      </c>
      <c r="CX129" s="4">
        <f t="shared" si="99"/>
        <v>0</v>
      </c>
      <c r="CY129" s="4">
        <f t="shared" si="100"/>
        <v>0</v>
      </c>
      <c r="CZ129" s="4">
        <f t="shared" si="101"/>
        <v>0</v>
      </c>
      <c r="DA129" s="4">
        <f t="shared" si="102"/>
        <v>0</v>
      </c>
      <c r="DB129" s="4">
        <f t="shared" si="103"/>
        <v>0</v>
      </c>
      <c r="DC129" s="4">
        <f t="shared" si="104"/>
        <v>0</v>
      </c>
      <c r="DD129" s="4">
        <f t="shared" si="105"/>
        <v>0</v>
      </c>
    </row>
    <row r="130" spans="1:108" x14ac:dyDescent="0.25">
      <c r="A130" s="41" t="str">
        <f>Skills!M112</f>
        <v>Journalism</v>
      </c>
      <c r="B130" s="55" t="str">
        <f>Skills!N112</f>
        <v>Journalism</v>
      </c>
      <c r="C130" s="22">
        <f t="shared" si="106"/>
        <v>0</v>
      </c>
      <c r="D130" s="112">
        <f>Skills!S112</f>
        <v>0</v>
      </c>
      <c r="E130" s="113" t="e">
        <f>Profession!B40</f>
        <v>#REF!</v>
      </c>
      <c r="F130" s="19"/>
      <c r="G130" s="19"/>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56"/>
      <c r="BF130" s="4">
        <f t="shared" si="56"/>
        <v>0</v>
      </c>
      <c r="BG130" s="4">
        <f t="shared" si="56"/>
        <v>0</v>
      </c>
      <c r="BH130" s="4">
        <f t="shared" si="57"/>
        <v>0</v>
      </c>
      <c r="BI130" s="4">
        <f t="shared" si="58"/>
        <v>0</v>
      </c>
      <c r="BJ130" s="4">
        <f t="shared" si="59"/>
        <v>0</v>
      </c>
      <c r="BK130" s="4">
        <f t="shared" si="60"/>
        <v>0</v>
      </c>
      <c r="BL130" s="4">
        <f t="shared" si="61"/>
        <v>0</v>
      </c>
      <c r="BM130" s="4">
        <f t="shared" si="62"/>
        <v>0</v>
      </c>
      <c r="BN130" s="4">
        <f t="shared" si="63"/>
        <v>0</v>
      </c>
      <c r="BO130" s="4">
        <f t="shared" si="64"/>
        <v>0</v>
      </c>
      <c r="BP130" s="4">
        <f t="shared" si="65"/>
        <v>0</v>
      </c>
      <c r="BQ130" s="4">
        <f t="shared" si="66"/>
        <v>0</v>
      </c>
      <c r="BR130" s="4">
        <f t="shared" si="67"/>
        <v>0</v>
      </c>
      <c r="BS130" s="4">
        <f t="shared" si="68"/>
        <v>0</v>
      </c>
      <c r="BT130" s="4">
        <f t="shared" si="69"/>
        <v>0</v>
      </c>
      <c r="BU130" s="4">
        <f t="shared" si="70"/>
        <v>0</v>
      </c>
      <c r="BV130" s="4">
        <f t="shared" si="71"/>
        <v>0</v>
      </c>
      <c r="BW130" s="4">
        <f t="shared" si="72"/>
        <v>0</v>
      </c>
      <c r="BX130" s="4">
        <f t="shared" si="73"/>
        <v>0</v>
      </c>
      <c r="BY130" s="4">
        <f t="shared" si="74"/>
        <v>0</v>
      </c>
      <c r="BZ130" s="4">
        <f t="shared" si="75"/>
        <v>0</v>
      </c>
      <c r="CA130" s="4">
        <f t="shared" si="76"/>
        <v>0</v>
      </c>
      <c r="CB130" s="4">
        <f t="shared" si="77"/>
        <v>0</v>
      </c>
      <c r="CC130" s="4">
        <f t="shared" si="78"/>
        <v>0</v>
      </c>
      <c r="CD130" s="4">
        <f t="shared" si="79"/>
        <v>0</v>
      </c>
      <c r="CE130" s="4">
        <f t="shared" si="80"/>
        <v>0</v>
      </c>
      <c r="CF130" s="4">
        <f t="shared" si="81"/>
        <v>0</v>
      </c>
      <c r="CG130" s="4">
        <f t="shared" si="82"/>
        <v>0</v>
      </c>
      <c r="CH130" s="4">
        <f t="shared" si="83"/>
        <v>0</v>
      </c>
      <c r="CI130" s="4">
        <f t="shared" si="84"/>
        <v>0</v>
      </c>
      <c r="CJ130" s="4">
        <f t="shared" si="85"/>
        <v>0</v>
      </c>
      <c r="CK130" s="4">
        <f t="shared" si="86"/>
        <v>0</v>
      </c>
      <c r="CL130" s="4">
        <f t="shared" si="87"/>
        <v>0</v>
      </c>
      <c r="CM130" s="4">
        <f t="shared" si="88"/>
        <v>0</v>
      </c>
      <c r="CN130" s="4">
        <f t="shared" si="89"/>
        <v>0</v>
      </c>
      <c r="CO130" s="4">
        <f t="shared" si="90"/>
        <v>0</v>
      </c>
      <c r="CP130" s="4">
        <f t="shared" si="91"/>
        <v>0</v>
      </c>
      <c r="CQ130" s="4">
        <f t="shared" si="92"/>
        <v>0</v>
      </c>
      <c r="CR130" s="4">
        <f t="shared" si="93"/>
        <v>0</v>
      </c>
      <c r="CS130" s="4">
        <f t="shared" si="94"/>
        <v>0</v>
      </c>
      <c r="CT130" s="4">
        <f t="shared" si="95"/>
        <v>0</v>
      </c>
      <c r="CU130" s="4">
        <f t="shared" si="96"/>
        <v>0</v>
      </c>
      <c r="CV130" s="4">
        <f t="shared" si="97"/>
        <v>0</v>
      </c>
      <c r="CW130" s="4">
        <f t="shared" si="98"/>
        <v>0</v>
      </c>
      <c r="CX130" s="4">
        <f t="shared" si="99"/>
        <v>0</v>
      </c>
      <c r="CY130" s="4">
        <f t="shared" si="100"/>
        <v>0</v>
      </c>
      <c r="CZ130" s="4">
        <f t="shared" si="101"/>
        <v>0</v>
      </c>
      <c r="DA130" s="4">
        <f t="shared" si="102"/>
        <v>0</v>
      </c>
      <c r="DB130" s="4">
        <f t="shared" si="103"/>
        <v>0</v>
      </c>
      <c r="DC130" s="4">
        <f t="shared" si="104"/>
        <v>0</v>
      </c>
      <c r="DD130" s="4">
        <f t="shared" si="105"/>
        <v>0</v>
      </c>
    </row>
    <row r="131" spans="1:108" x14ac:dyDescent="0.25">
      <c r="A131" s="41" t="str">
        <f>Skills!M113</f>
        <v>Musical Composition</v>
      </c>
      <c r="B131" s="57" t="str">
        <f>Skills!N113</f>
        <v>Musical Composition</v>
      </c>
      <c r="C131" s="24">
        <f t="shared" si="106"/>
        <v>0</v>
      </c>
      <c r="D131" s="110">
        <f>Skills!S113</f>
        <v>0</v>
      </c>
      <c r="E131" s="111" t="e">
        <f>Profession!B41</f>
        <v>#REF!</v>
      </c>
      <c r="F131" s="18"/>
      <c r="G131" s="18"/>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49"/>
      <c r="BF131" s="4">
        <f t="shared" si="56"/>
        <v>0</v>
      </c>
      <c r="BG131" s="4">
        <f t="shared" si="56"/>
        <v>0</v>
      </c>
      <c r="BH131" s="4">
        <f t="shared" si="57"/>
        <v>0</v>
      </c>
      <c r="BI131" s="4">
        <f t="shared" si="58"/>
        <v>0</v>
      </c>
      <c r="BJ131" s="4">
        <f t="shared" si="59"/>
        <v>0</v>
      </c>
      <c r="BK131" s="4">
        <f t="shared" si="60"/>
        <v>0</v>
      </c>
      <c r="BL131" s="4">
        <f t="shared" si="61"/>
        <v>0</v>
      </c>
      <c r="BM131" s="4">
        <f t="shared" si="62"/>
        <v>0</v>
      </c>
      <c r="BN131" s="4">
        <f t="shared" si="63"/>
        <v>0</v>
      </c>
      <c r="BO131" s="4">
        <f t="shared" si="64"/>
        <v>0</v>
      </c>
      <c r="BP131" s="4">
        <f t="shared" si="65"/>
        <v>0</v>
      </c>
      <c r="BQ131" s="4">
        <f t="shared" si="66"/>
        <v>0</v>
      </c>
      <c r="BR131" s="4">
        <f t="shared" si="67"/>
        <v>0</v>
      </c>
      <c r="BS131" s="4">
        <f t="shared" si="68"/>
        <v>0</v>
      </c>
      <c r="BT131" s="4">
        <f t="shared" si="69"/>
        <v>0</v>
      </c>
      <c r="BU131" s="4">
        <f t="shared" si="70"/>
        <v>0</v>
      </c>
      <c r="BV131" s="4">
        <f t="shared" si="71"/>
        <v>0</v>
      </c>
      <c r="BW131" s="4">
        <f t="shared" si="72"/>
        <v>0</v>
      </c>
      <c r="BX131" s="4">
        <f t="shared" si="73"/>
        <v>0</v>
      </c>
      <c r="BY131" s="4">
        <f t="shared" si="74"/>
        <v>0</v>
      </c>
      <c r="BZ131" s="4">
        <f t="shared" si="75"/>
        <v>0</v>
      </c>
      <c r="CA131" s="4">
        <f t="shared" si="76"/>
        <v>0</v>
      </c>
      <c r="CB131" s="4">
        <f t="shared" si="77"/>
        <v>0</v>
      </c>
      <c r="CC131" s="4">
        <f t="shared" si="78"/>
        <v>0</v>
      </c>
      <c r="CD131" s="4">
        <f t="shared" si="79"/>
        <v>0</v>
      </c>
      <c r="CE131" s="4">
        <f t="shared" si="80"/>
        <v>0</v>
      </c>
      <c r="CF131" s="4">
        <f t="shared" si="81"/>
        <v>0</v>
      </c>
      <c r="CG131" s="4">
        <f t="shared" si="82"/>
        <v>0</v>
      </c>
      <c r="CH131" s="4">
        <f t="shared" si="83"/>
        <v>0</v>
      </c>
      <c r="CI131" s="4">
        <f t="shared" si="84"/>
        <v>0</v>
      </c>
      <c r="CJ131" s="4">
        <f t="shared" si="85"/>
        <v>0</v>
      </c>
      <c r="CK131" s="4">
        <f t="shared" si="86"/>
        <v>0</v>
      </c>
      <c r="CL131" s="4">
        <f t="shared" si="87"/>
        <v>0</v>
      </c>
      <c r="CM131" s="4">
        <f t="shared" si="88"/>
        <v>0</v>
      </c>
      <c r="CN131" s="4">
        <f t="shared" si="89"/>
        <v>0</v>
      </c>
      <c r="CO131" s="4">
        <f t="shared" si="90"/>
        <v>0</v>
      </c>
      <c r="CP131" s="4">
        <f t="shared" si="91"/>
        <v>0</v>
      </c>
      <c r="CQ131" s="4">
        <f t="shared" si="92"/>
        <v>0</v>
      </c>
      <c r="CR131" s="4">
        <f t="shared" si="93"/>
        <v>0</v>
      </c>
      <c r="CS131" s="4">
        <f t="shared" si="94"/>
        <v>0</v>
      </c>
      <c r="CT131" s="4">
        <f t="shared" si="95"/>
        <v>0</v>
      </c>
      <c r="CU131" s="4">
        <f t="shared" si="96"/>
        <v>0</v>
      </c>
      <c r="CV131" s="4">
        <f t="shared" si="97"/>
        <v>0</v>
      </c>
      <c r="CW131" s="4">
        <f t="shared" si="98"/>
        <v>0</v>
      </c>
      <c r="CX131" s="4">
        <f t="shared" si="99"/>
        <v>0</v>
      </c>
      <c r="CY131" s="4">
        <f t="shared" si="100"/>
        <v>0</v>
      </c>
      <c r="CZ131" s="4">
        <f t="shared" si="101"/>
        <v>0</v>
      </c>
      <c r="DA131" s="4">
        <f t="shared" si="102"/>
        <v>0</v>
      </c>
      <c r="DB131" s="4">
        <f t="shared" si="103"/>
        <v>0</v>
      </c>
      <c r="DC131" s="4">
        <f t="shared" si="104"/>
        <v>0</v>
      </c>
      <c r="DD131" s="4">
        <f t="shared" si="105"/>
        <v>0</v>
      </c>
    </row>
    <row r="132" spans="1:108" x14ac:dyDescent="0.25">
      <c r="A132" s="41" t="str">
        <f>Skills!M114</f>
        <v>Playright</v>
      </c>
      <c r="B132" s="55" t="str">
        <f>Skills!N114</f>
        <v>Playright</v>
      </c>
      <c r="C132" s="22">
        <f t="shared" si="106"/>
        <v>0</v>
      </c>
      <c r="D132" s="112">
        <f>Skills!S114</f>
        <v>0</v>
      </c>
      <c r="E132" s="113" t="e">
        <f>Profession!B42</f>
        <v>#REF!</v>
      </c>
      <c r="F132" s="19"/>
      <c r="G132" s="19"/>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56"/>
      <c r="BF132" s="4">
        <f t="shared" si="56"/>
        <v>0</v>
      </c>
      <c r="BG132" s="4">
        <f t="shared" si="56"/>
        <v>0</v>
      </c>
      <c r="BH132" s="4">
        <f t="shared" si="57"/>
        <v>0</v>
      </c>
      <c r="BI132" s="4">
        <f t="shared" si="58"/>
        <v>0</v>
      </c>
      <c r="BJ132" s="4">
        <f t="shared" si="59"/>
        <v>0</v>
      </c>
      <c r="BK132" s="4">
        <f t="shared" si="60"/>
        <v>0</v>
      </c>
      <c r="BL132" s="4">
        <f t="shared" si="61"/>
        <v>0</v>
      </c>
      <c r="BM132" s="4">
        <f t="shared" si="62"/>
        <v>0</v>
      </c>
      <c r="BN132" s="4">
        <f t="shared" si="63"/>
        <v>0</v>
      </c>
      <c r="BO132" s="4">
        <f t="shared" si="64"/>
        <v>0</v>
      </c>
      <c r="BP132" s="4">
        <f t="shared" si="65"/>
        <v>0</v>
      </c>
      <c r="BQ132" s="4">
        <f t="shared" si="66"/>
        <v>0</v>
      </c>
      <c r="BR132" s="4">
        <f t="shared" si="67"/>
        <v>0</v>
      </c>
      <c r="BS132" s="4">
        <f t="shared" si="68"/>
        <v>0</v>
      </c>
      <c r="BT132" s="4">
        <f t="shared" si="69"/>
        <v>0</v>
      </c>
      <c r="BU132" s="4">
        <f t="shared" si="70"/>
        <v>0</v>
      </c>
      <c r="BV132" s="4">
        <f t="shared" si="71"/>
        <v>0</v>
      </c>
      <c r="BW132" s="4">
        <f t="shared" si="72"/>
        <v>0</v>
      </c>
      <c r="BX132" s="4">
        <f t="shared" si="73"/>
        <v>0</v>
      </c>
      <c r="BY132" s="4">
        <f t="shared" si="74"/>
        <v>0</v>
      </c>
      <c r="BZ132" s="4">
        <f t="shared" si="75"/>
        <v>0</v>
      </c>
      <c r="CA132" s="4">
        <f t="shared" si="76"/>
        <v>0</v>
      </c>
      <c r="CB132" s="4">
        <f t="shared" si="77"/>
        <v>0</v>
      </c>
      <c r="CC132" s="4">
        <f t="shared" si="78"/>
        <v>0</v>
      </c>
      <c r="CD132" s="4">
        <f t="shared" si="79"/>
        <v>0</v>
      </c>
      <c r="CE132" s="4">
        <f t="shared" si="80"/>
        <v>0</v>
      </c>
      <c r="CF132" s="4">
        <f t="shared" si="81"/>
        <v>0</v>
      </c>
      <c r="CG132" s="4">
        <f t="shared" si="82"/>
        <v>0</v>
      </c>
      <c r="CH132" s="4">
        <f t="shared" si="83"/>
        <v>0</v>
      </c>
      <c r="CI132" s="4">
        <f t="shared" si="84"/>
        <v>0</v>
      </c>
      <c r="CJ132" s="4">
        <f t="shared" si="85"/>
        <v>0</v>
      </c>
      <c r="CK132" s="4">
        <f t="shared" si="86"/>
        <v>0</v>
      </c>
      <c r="CL132" s="4">
        <f t="shared" si="87"/>
        <v>0</v>
      </c>
      <c r="CM132" s="4">
        <f t="shared" si="88"/>
        <v>0</v>
      </c>
      <c r="CN132" s="4">
        <f t="shared" si="89"/>
        <v>0</v>
      </c>
      <c r="CO132" s="4">
        <f t="shared" si="90"/>
        <v>0</v>
      </c>
      <c r="CP132" s="4">
        <f t="shared" si="91"/>
        <v>0</v>
      </c>
      <c r="CQ132" s="4">
        <f t="shared" si="92"/>
        <v>0</v>
      </c>
      <c r="CR132" s="4">
        <f t="shared" si="93"/>
        <v>0</v>
      </c>
      <c r="CS132" s="4">
        <f t="shared" si="94"/>
        <v>0</v>
      </c>
      <c r="CT132" s="4">
        <f t="shared" si="95"/>
        <v>0</v>
      </c>
      <c r="CU132" s="4">
        <f t="shared" si="96"/>
        <v>0</v>
      </c>
      <c r="CV132" s="4">
        <f t="shared" si="97"/>
        <v>0</v>
      </c>
      <c r="CW132" s="4">
        <f t="shared" si="98"/>
        <v>0</v>
      </c>
      <c r="CX132" s="4">
        <f t="shared" si="99"/>
        <v>0</v>
      </c>
      <c r="CY132" s="4">
        <f t="shared" si="100"/>
        <v>0</v>
      </c>
      <c r="CZ132" s="4">
        <f t="shared" si="101"/>
        <v>0</v>
      </c>
      <c r="DA132" s="4">
        <f t="shared" si="102"/>
        <v>0</v>
      </c>
      <c r="DB132" s="4">
        <f t="shared" si="103"/>
        <v>0</v>
      </c>
      <c r="DC132" s="4">
        <f t="shared" si="104"/>
        <v>0</v>
      </c>
      <c r="DD132" s="4">
        <f t="shared" si="105"/>
        <v>0</v>
      </c>
    </row>
    <row r="133" spans="1:108" x14ac:dyDescent="0.25">
      <c r="A133" s="41" t="str">
        <f>Skills!M115</f>
        <v>Poetic Improvisation</v>
      </c>
      <c r="B133" s="57" t="str">
        <f>Skills!N115</f>
        <v>Poetic Improvisation</v>
      </c>
      <c r="C133" s="24">
        <f t="shared" si="106"/>
        <v>0</v>
      </c>
      <c r="D133" s="110">
        <f>Skills!S115</f>
        <v>0</v>
      </c>
      <c r="E133" s="111" t="e">
        <f>Profession!B43</f>
        <v>#REF!</v>
      </c>
      <c r="F133" s="18"/>
      <c r="G133" s="18"/>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49"/>
      <c r="BF133" s="4">
        <f t="shared" si="56"/>
        <v>0</v>
      </c>
      <c r="BG133" s="4">
        <f t="shared" si="56"/>
        <v>0</v>
      </c>
      <c r="BH133" s="4">
        <f t="shared" si="57"/>
        <v>0</v>
      </c>
      <c r="BI133" s="4">
        <f t="shared" si="58"/>
        <v>0</v>
      </c>
      <c r="BJ133" s="4">
        <f t="shared" si="59"/>
        <v>0</v>
      </c>
      <c r="BK133" s="4">
        <f t="shared" si="60"/>
        <v>0</v>
      </c>
      <c r="BL133" s="4">
        <f t="shared" si="61"/>
        <v>0</v>
      </c>
      <c r="BM133" s="4">
        <f t="shared" si="62"/>
        <v>0</v>
      </c>
      <c r="BN133" s="4">
        <f t="shared" si="63"/>
        <v>0</v>
      </c>
      <c r="BO133" s="4">
        <f t="shared" si="64"/>
        <v>0</v>
      </c>
      <c r="BP133" s="4">
        <f t="shared" si="65"/>
        <v>0</v>
      </c>
      <c r="BQ133" s="4">
        <f t="shared" si="66"/>
        <v>0</v>
      </c>
      <c r="BR133" s="4">
        <f t="shared" si="67"/>
        <v>0</v>
      </c>
      <c r="BS133" s="4">
        <f t="shared" si="68"/>
        <v>0</v>
      </c>
      <c r="BT133" s="4">
        <f t="shared" si="69"/>
        <v>0</v>
      </c>
      <c r="BU133" s="4">
        <f t="shared" si="70"/>
        <v>0</v>
      </c>
      <c r="BV133" s="4">
        <f t="shared" si="71"/>
        <v>0</v>
      </c>
      <c r="BW133" s="4">
        <f t="shared" si="72"/>
        <v>0</v>
      </c>
      <c r="BX133" s="4">
        <f t="shared" si="73"/>
        <v>0</v>
      </c>
      <c r="BY133" s="4">
        <f t="shared" si="74"/>
        <v>0</v>
      </c>
      <c r="BZ133" s="4">
        <f t="shared" si="75"/>
        <v>0</v>
      </c>
      <c r="CA133" s="4">
        <f t="shared" si="76"/>
        <v>0</v>
      </c>
      <c r="CB133" s="4">
        <f t="shared" si="77"/>
        <v>0</v>
      </c>
      <c r="CC133" s="4">
        <f t="shared" si="78"/>
        <v>0</v>
      </c>
      <c r="CD133" s="4">
        <f t="shared" si="79"/>
        <v>0</v>
      </c>
      <c r="CE133" s="4">
        <f t="shared" si="80"/>
        <v>0</v>
      </c>
      <c r="CF133" s="4">
        <f t="shared" si="81"/>
        <v>0</v>
      </c>
      <c r="CG133" s="4">
        <f t="shared" si="82"/>
        <v>0</v>
      </c>
      <c r="CH133" s="4">
        <f t="shared" si="83"/>
        <v>0</v>
      </c>
      <c r="CI133" s="4">
        <f t="shared" si="84"/>
        <v>0</v>
      </c>
      <c r="CJ133" s="4">
        <f t="shared" si="85"/>
        <v>0</v>
      </c>
      <c r="CK133" s="4">
        <f t="shared" si="86"/>
        <v>0</v>
      </c>
      <c r="CL133" s="4">
        <f t="shared" si="87"/>
        <v>0</v>
      </c>
      <c r="CM133" s="4">
        <f t="shared" si="88"/>
        <v>0</v>
      </c>
      <c r="CN133" s="4">
        <f t="shared" si="89"/>
        <v>0</v>
      </c>
      <c r="CO133" s="4">
        <f t="shared" si="90"/>
        <v>0</v>
      </c>
      <c r="CP133" s="4">
        <f t="shared" si="91"/>
        <v>0</v>
      </c>
      <c r="CQ133" s="4">
        <f t="shared" si="92"/>
        <v>0</v>
      </c>
      <c r="CR133" s="4">
        <f t="shared" si="93"/>
        <v>0</v>
      </c>
      <c r="CS133" s="4">
        <f t="shared" si="94"/>
        <v>0</v>
      </c>
      <c r="CT133" s="4">
        <f t="shared" si="95"/>
        <v>0</v>
      </c>
      <c r="CU133" s="4">
        <f t="shared" si="96"/>
        <v>0</v>
      </c>
      <c r="CV133" s="4">
        <f t="shared" si="97"/>
        <v>0</v>
      </c>
      <c r="CW133" s="4">
        <f t="shared" si="98"/>
        <v>0</v>
      </c>
      <c r="CX133" s="4">
        <f t="shared" si="99"/>
        <v>0</v>
      </c>
      <c r="CY133" s="4">
        <f t="shared" si="100"/>
        <v>0</v>
      </c>
      <c r="CZ133" s="4">
        <f t="shared" si="101"/>
        <v>0</v>
      </c>
      <c r="DA133" s="4">
        <f t="shared" si="102"/>
        <v>0</v>
      </c>
      <c r="DB133" s="4">
        <f t="shared" si="103"/>
        <v>0</v>
      </c>
      <c r="DC133" s="4">
        <f t="shared" si="104"/>
        <v>0</v>
      </c>
      <c r="DD133" s="4">
        <f t="shared" si="105"/>
        <v>0</v>
      </c>
    </row>
    <row r="134" spans="1:108" x14ac:dyDescent="0.25">
      <c r="A134" s="41" t="str">
        <f>Skills!M116</f>
        <v>Reporting</v>
      </c>
      <c r="B134" s="55" t="str">
        <f>Skills!N116</f>
        <v>Reporting</v>
      </c>
      <c r="C134" s="22">
        <f t="shared" si="106"/>
        <v>0</v>
      </c>
      <c r="D134" s="112">
        <f>Skills!S116</f>
        <v>0</v>
      </c>
      <c r="E134" s="113" t="e">
        <f>Profession!B44</f>
        <v>#REF!</v>
      </c>
      <c r="F134" s="19"/>
      <c r="G134" s="19"/>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56"/>
      <c r="BF134" s="4">
        <f t="shared" si="56"/>
        <v>0</v>
      </c>
      <c r="BG134" s="4">
        <f t="shared" si="56"/>
        <v>0</v>
      </c>
      <c r="BH134" s="4">
        <f t="shared" si="57"/>
        <v>0</v>
      </c>
      <c r="BI134" s="4">
        <f t="shared" si="58"/>
        <v>0</v>
      </c>
      <c r="BJ134" s="4">
        <f t="shared" si="59"/>
        <v>0</v>
      </c>
      <c r="BK134" s="4">
        <f t="shared" si="60"/>
        <v>0</v>
      </c>
      <c r="BL134" s="4">
        <f t="shared" si="61"/>
        <v>0</v>
      </c>
      <c r="BM134" s="4">
        <f t="shared" si="62"/>
        <v>0</v>
      </c>
      <c r="BN134" s="4">
        <f t="shared" si="63"/>
        <v>0</v>
      </c>
      <c r="BO134" s="4">
        <f t="shared" si="64"/>
        <v>0</v>
      </c>
      <c r="BP134" s="4">
        <f t="shared" si="65"/>
        <v>0</v>
      </c>
      <c r="BQ134" s="4">
        <f t="shared" si="66"/>
        <v>0</v>
      </c>
      <c r="BR134" s="4">
        <f t="shared" si="67"/>
        <v>0</v>
      </c>
      <c r="BS134" s="4">
        <f t="shared" si="68"/>
        <v>0</v>
      </c>
      <c r="BT134" s="4">
        <f t="shared" si="69"/>
        <v>0</v>
      </c>
      <c r="BU134" s="4">
        <f t="shared" si="70"/>
        <v>0</v>
      </c>
      <c r="BV134" s="4">
        <f t="shared" si="71"/>
        <v>0</v>
      </c>
      <c r="BW134" s="4">
        <f t="shared" si="72"/>
        <v>0</v>
      </c>
      <c r="BX134" s="4">
        <f t="shared" si="73"/>
        <v>0</v>
      </c>
      <c r="BY134" s="4">
        <f t="shared" si="74"/>
        <v>0</v>
      </c>
      <c r="BZ134" s="4">
        <f t="shared" si="75"/>
        <v>0</v>
      </c>
      <c r="CA134" s="4">
        <f t="shared" si="76"/>
        <v>0</v>
      </c>
      <c r="CB134" s="4">
        <f t="shared" si="77"/>
        <v>0</v>
      </c>
      <c r="CC134" s="4">
        <f t="shared" si="78"/>
        <v>0</v>
      </c>
      <c r="CD134" s="4">
        <f t="shared" si="79"/>
        <v>0</v>
      </c>
      <c r="CE134" s="4">
        <f t="shared" si="80"/>
        <v>0</v>
      </c>
      <c r="CF134" s="4">
        <f t="shared" si="81"/>
        <v>0</v>
      </c>
      <c r="CG134" s="4">
        <f t="shared" si="82"/>
        <v>0</v>
      </c>
      <c r="CH134" s="4">
        <f t="shared" si="83"/>
        <v>0</v>
      </c>
      <c r="CI134" s="4">
        <f t="shared" si="84"/>
        <v>0</v>
      </c>
      <c r="CJ134" s="4">
        <f t="shared" si="85"/>
        <v>0</v>
      </c>
      <c r="CK134" s="4">
        <f t="shared" si="86"/>
        <v>0</v>
      </c>
      <c r="CL134" s="4">
        <f t="shared" si="87"/>
        <v>0</v>
      </c>
      <c r="CM134" s="4">
        <f t="shared" si="88"/>
        <v>0</v>
      </c>
      <c r="CN134" s="4">
        <f t="shared" si="89"/>
        <v>0</v>
      </c>
      <c r="CO134" s="4">
        <f t="shared" si="90"/>
        <v>0</v>
      </c>
      <c r="CP134" s="4">
        <f t="shared" si="91"/>
        <v>0</v>
      </c>
      <c r="CQ134" s="4">
        <f t="shared" si="92"/>
        <v>0</v>
      </c>
      <c r="CR134" s="4">
        <f t="shared" si="93"/>
        <v>0</v>
      </c>
      <c r="CS134" s="4">
        <f t="shared" si="94"/>
        <v>0</v>
      </c>
      <c r="CT134" s="4">
        <f t="shared" si="95"/>
        <v>0</v>
      </c>
      <c r="CU134" s="4">
        <f t="shared" si="96"/>
        <v>0</v>
      </c>
      <c r="CV134" s="4">
        <f t="shared" si="97"/>
        <v>0</v>
      </c>
      <c r="CW134" s="4">
        <f t="shared" si="98"/>
        <v>0</v>
      </c>
      <c r="CX134" s="4">
        <f t="shared" si="99"/>
        <v>0</v>
      </c>
      <c r="CY134" s="4">
        <f t="shared" si="100"/>
        <v>0</v>
      </c>
      <c r="CZ134" s="4">
        <f t="shared" si="101"/>
        <v>0</v>
      </c>
      <c r="DA134" s="4">
        <f t="shared" si="102"/>
        <v>0</v>
      </c>
      <c r="DB134" s="4">
        <f t="shared" si="103"/>
        <v>0</v>
      </c>
      <c r="DC134" s="4">
        <f t="shared" si="104"/>
        <v>0</v>
      </c>
      <c r="DD134" s="4">
        <f t="shared" si="105"/>
        <v>0</v>
      </c>
    </row>
    <row r="135" spans="1:108" x14ac:dyDescent="0.25">
      <c r="A135" s="41" t="str">
        <f>Skills!M117</f>
        <v>Writing</v>
      </c>
      <c r="B135" s="57" t="str">
        <f>Skills!N117</f>
        <v>Writing</v>
      </c>
      <c r="C135" s="24">
        <f t="shared" si="106"/>
        <v>0</v>
      </c>
      <c r="D135" s="110">
        <f>Skills!S117</f>
        <v>0</v>
      </c>
      <c r="E135" s="111" t="e">
        <f>Profession!B45</f>
        <v>#REF!</v>
      </c>
      <c r="F135" s="18"/>
      <c r="G135" s="18"/>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49"/>
      <c r="BF135" s="4">
        <f t="shared" si="56"/>
        <v>0</v>
      </c>
      <c r="BG135" s="4">
        <f t="shared" si="56"/>
        <v>0</v>
      </c>
      <c r="BH135" s="4">
        <f t="shared" si="57"/>
        <v>0</v>
      </c>
      <c r="BI135" s="4">
        <f t="shared" si="58"/>
        <v>0</v>
      </c>
      <c r="BJ135" s="4">
        <f t="shared" si="59"/>
        <v>0</v>
      </c>
      <c r="BK135" s="4">
        <f t="shared" si="60"/>
        <v>0</v>
      </c>
      <c r="BL135" s="4">
        <f t="shared" si="61"/>
        <v>0</v>
      </c>
      <c r="BM135" s="4">
        <f t="shared" si="62"/>
        <v>0</v>
      </c>
      <c r="BN135" s="4">
        <f t="shared" si="63"/>
        <v>0</v>
      </c>
      <c r="BO135" s="4">
        <f t="shared" si="64"/>
        <v>0</v>
      </c>
      <c r="BP135" s="4">
        <f t="shared" si="65"/>
        <v>0</v>
      </c>
      <c r="BQ135" s="4">
        <f t="shared" si="66"/>
        <v>0</v>
      </c>
      <c r="BR135" s="4">
        <f t="shared" si="67"/>
        <v>0</v>
      </c>
      <c r="BS135" s="4">
        <f t="shared" si="68"/>
        <v>0</v>
      </c>
      <c r="BT135" s="4">
        <f t="shared" si="69"/>
        <v>0</v>
      </c>
      <c r="BU135" s="4">
        <f t="shared" si="70"/>
        <v>0</v>
      </c>
      <c r="BV135" s="4">
        <f t="shared" si="71"/>
        <v>0</v>
      </c>
      <c r="BW135" s="4">
        <f t="shared" si="72"/>
        <v>0</v>
      </c>
      <c r="BX135" s="4">
        <f t="shared" si="73"/>
        <v>0</v>
      </c>
      <c r="BY135" s="4">
        <f t="shared" si="74"/>
        <v>0</v>
      </c>
      <c r="BZ135" s="4">
        <f t="shared" si="75"/>
        <v>0</v>
      </c>
      <c r="CA135" s="4">
        <f t="shared" si="76"/>
        <v>0</v>
      </c>
      <c r="CB135" s="4">
        <f t="shared" si="77"/>
        <v>0</v>
      </c>
      <c r="CC135" s="4">
        <f t="shared" si="78"/>
        <v>0</v>
      </c>
      <c r="CD135" s="4">
        <f t="shared" si="79"/>
        <v>0</v>
      </c>
      <c r="CE135" s="4">
        <f t="shared" si="80"/>
        <v>0</v>
      </c>
      <c r="CF135" s="4">
        <f t="shared" si="81"/>
        <v>0</v>
      </c>
      <c r="CG135" s="4">
        <f t="shared" si="82"/>
        <v>0</v>
      </c>
      <c r="CH135" s="4">
        <f t="shared" si="83"/>
        <v>0</v>
      </c>
      <c r="CI135" s="4">
        <f t="shared" si="84"/>
        <v>0</v>
      </c>
      <c r="CJ135" s="4">
        <f t="shared" si="85"/>
        <v>0</v>
      </c>
      <c r="CK135" s="4">
        <f t="shared" si="86"/>
        <v>0</v>
      </c>
      <c r="CL135" s="4">
        <f t="shared" si="87"/>
        <v>0</v>
      </c>
      <c r="CM135" s="4">
        <f t="shared" si="88"/>
        <v>0</v>
      </c>
      <c r="CN135" s="4">
        <f t="shared" si="89"/>
        <v>0</v>
      </c>
      <c r="CO135" s="4">
        <f t="shared" si="90"/>
        <v>0</v>
      </c>
      <c r="CP135" s="4">
        <f t="shared" si="91"/>
        <v>0</v>
      </c>
      <c r="CQ135" s="4">
        <f t="shared" si="92"/>
        <v>0</v>
      </c>
      <c r="CR135" s="4">
        <f t="shared" si="93"/>
        <v>0</v>
      </c>
      <c r="CS135" s="4">
        <f t="shared" si="94"/>
        <v>0</v>
      </c>
      <c r="CT135" s="4">
        <f t="shared" si="95"/>
        <v>0</v>
      </c>
      <c r="CU135" s="4">
        <f t="shared" si="96"/>
        <v>0</v>
      </c>
      <c r="CV135" s="4">
        <f t="shared" si="97"/>
        <v>0</v>
      </c>
      <c r="CW135" s="4">
        <f t="shared" si="98"/>
        <v>0</v>
      </c>
      <c r="CX135" s="4">
        <f t="shared" si="99"/>
        <v>0</v>
      </c>
      <c r="CY135" s="4">
        <f t="shared" si="100"/>
        <v>0</v>
      </c>
      <c r="CZ135" s="4">
        <f t="shared" si="101"/>
        <v>0</v>
      </c>
      <c r="DA135" s="4">
        <f t="shared" si="102"/>
        <v>0</v>
      </c>
      <c r="DB135" s="4">
        <f t="shared" si="103"/>
        <v>0</v>
      </c>
      <c r="DC135" s="4">
        <f t="shared" si="104"/>
        <v>0</v>
      </c>
      <c r="DD135" s="4">
        <f t="shared" si="105"/>
        <v>0</v>
      </c>
    </row>
    <row r="136" spans="1:108" x14ac:dyDescent="0.25">
      <c r="A136" s="41">
        <f>Skills!M118</f>
        <v>0</v>
      </c>
      <c r="B136" s="55" t="str">
        <f>Skills!N118</f>
        <v>Crafting &amp; Vocation Skills</v>
      </c>
      <c r="C136" s="22">
        <f t="shared" si="106"/>
        <v>0</v>
      </c>
      <c r="D136" s="112" t="str">
        <f>Skills!S118</f>
        <v>- -</v>
      </c>
      <c r="E136" s="113" t="s">
        <v>782</v>
      </c>
      <c r="F136" s="19"/>
      <c r="G136" s="19"/>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56"/>
      <c r="BF136" s="4">
        <f t="shared" si="56"/>
        <v>0</v>
      </c>
      <c r="BG136" s="4">
        <f t="shared" si="56"/>
        <v>0</v>
      </c>
      <c r="BH136" s="4">
        <f t="shared" si="57"/>
        <v>0</v>
      </c>
      <c r="BI136" s="4">
        <f t="shared" si="58"/>
        <v>0</v>
      </c>
      <c r="BJ136" s="4">
        <f t="shared" si="59"/>
        <v>0</v>
      </c>
      <c r="BK136" s="4">
        <f t="shared" si="60"/>
        <v>0</v>
      </c>
      <c r="BL136" s="4">
        <f t="shared" si="61"/>
        <v>0</v>
      </c>
      <c r="BM136" s="4">
        <f t="shared" si="62"/>
        <v>0</v>
      </c>
      <c r="BN136" s="4">
        <f t="shared" si="63"/>
        <v>0</v>
      </c>
      <c r="BO136" s="4">
        <f t="shared" si="64"/>
        <v>0</v>
      </c>
      <c r="BP136" s="4">
        <f t="shared" si="65"/>
        <v>0</v>
      </c>
      <c r="BQ136" s="4">
        <f t="shared" si="66"/>
        <v>0</v>
      </c>
      <c r="BR136" s="4">
        <f t="shared" si="67"/>
        <v>0</v>
      </c>
      <c r="BS136" s="4">
        <f t="shared" si="68"/>
        <v>0</v>
      </c>
      <c r="BT136" s="4">
        <f t="shared" si="69"/>
        <v>0</v>
      </c>
      <c r="BU136" s="4">
        <f t="shared" si="70"/>
        <v>0</v>
      </c>
      <c r="BV136" s="4">
        <f t="shared" si="71"/>
        <v>0</v>
      </c>
      <c r="BW136" s="4">
        <f t="shared" si="72"/>
        <v>0</v>
      </c>
      <c r="BX136" s="4">
        <f t="shared" si="73"/>
        <v>0</v>
      </c>
      <c r="BY136" s="4">
        <f t="shared" si="74"/>
        <v>0</v>
      </c>
      <c r="BZ136" s="4">
        <f t="shared" si="75"/>
        <v>0</v>
      </c>
      <c r="CA136" s="4">
        <f t="shared" si="76"/>
        <v>0</v>
      </c>
      <c r="CB136" s="4">
        <f t="shared" si="77"/>
        <v>0</v>
      </c>
      <c r="CC136" s="4">
        <f t="shared" si="78"/>
        <v>0</v>
      </c>
      <c r="CD136" s="4">
        <f t="shared" si="79"/>
        <v>0</v>
      </c>
      <c r="CE136" s="4">
        <f t="shared" si="80"/>
        <v>0</v>
      </c>
      <c r="CF136" s="4">
        <f t="shared" si="81"/>
        <v>0</v>
      </c>
      <c r="CG136" s="4">
        <f t="shared" si="82"/>
        <v>0</v>
      </c>
      <c r="CH136" s="4">
        <f t="shared" si="83"/>
        <v>0</v>
      </c>
      <c r="CI136" s="4">
        <f t="shared" si="84"/>
        <v>0</v>
      </c>
      <c r="CJ136" s="4">
        <f t="shared" si="85"/>
        <v>0</v>
      </c>
      <c r="CK136" s="4">
        <f t="shared" si="86"/>
        <v>0</v>
      </c>
      <c r="CL136" s="4">
        <f t="shared" si="87"/>
        <v>0</v>
      </c>
      <c r="CM136" s="4">
        <f t="shared" si="88"/>
        <v>0</v>
      </c>
      <c r="CN136" s="4">
        <f t="shared" si="89"/>
        <v>0</v>
      </c>
      <c r="CO136" s="4">
        <f t="shared" si="90"/>
        <v>0</v>
      </c>
      <c r="CP136" s="4">
        <f t="shared" si="91"/>
        <v>0</v>
      </c>
      <c r="CQ136" s="4">
        <f t="shared" si="92"/>
        <v>0</v>
      </c>
      <c r="CR136" s="4">
        <f t="shared" si="93"/>
        <v>0</v>
      </c>
      <c r="CS136" s="4">
        <f t="shared" si="94"/>
        <v>0</v>
      </c>
      <c r="CT136" s="4">
        <f t="shared" si="95"/>
        <v>0</v>
      </c>
      <c r="CU136" s="4">
        <f t="shared" si="96"/>
        <v>0</v>
      </c>
      <c r="CV136" s="4">
        <f t="shared" si="97"/>
        <v>0</v>
      </c>
      <c r="CW136" s="4">
        <f t="shared" si="98"/>
        <v>0</v>
      </c>
      <c r="CX136" s="4">
        <f t="shared" si="99"/>
        <v>0</v>
      </c>
      <c r="CY136" s="4">
        <f t="shared" si="100"/>
        <v>0</v>
      </c>
      <c r="CZ136" s="4">
        <f t="shared" si="101"/>
        <v>0</v>
      </c>
      <c r="DA136" s="4">
        <f t="shared" si="102"/>
        <v>0</v>
      </c>
      <c r="DB136" s="4">
        <f t="shared" si="103"/>
        <v>0</v>
      </c>
      <c r="DC136" s="4">
        <f t="shared" si="104"/>
        <v>0</v>
      </c>
      <c r="DD136" s="4">
        <f t="shared" si="105"/>
        <v>0</v>
      </c>
    </row>
    <row r="137" spans="1:108" x14ac:dyDescent="0.25">
      <c r="A137" s="41">
        <f>Skills!M119</f>
        <v>0</v>
      </c>
      <c r="B137" s="57" t="str">
        <f>Skills!N119</f>
        <v>Crafting Category</v>
      </c>
      <c r="C137" s="24">
        <f t="shared" si="106"/>
        <v>0</v>
      </c>
      <c r="D137" s="110" t="str">
        <f>Skills!S119</f>
        <v>- -</v>
      </c>
      <c r="E137" s="111" t="s">
        <v>782</v>
      </c>
      <c r="F137" s="18"/>
      <c r="G137" s="18"/>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49"/>
      <c r="BF137" s="4">
        <f t="shared" si="56"/>
        <v>0</v>
      </c>
      <c r="BG137" s="4">
        <f t="shared" si="56"/>
        <v>0</v>
      </c>
      <c r="BH137" s="4">
        <f t="shared" si="57"/>
        <v>0</v>
      </c>
      <c r="BI137" s="4">
        <f t="shared" si="58"/>
        <v>0</v>
      </c>
      <c r="BJ137" s="4">
        <f t="shared" si="59"/>
        <v>0</v>
      </c>
      <c r="BK137" s="4">
        <f t="shared" si="60"/>
        <v>0</v>
      </c>
      <c r="BL137" s="4">
        <f t="shared" si="61"/>
        <v>0</v>
      </c>
      <c r="BM137" s="4">
        <f t="shared" si="62"/>
        <v>0</v>
      </c>
      <c r="BN137" s="4">
        <f t="shared" si="63"/>
        <v>0</v>
      </c>
      <c r="BO137" s="4">
        <f t="shared" si="64"/>
        <v>0</v>
      </c>
      <c r="BP137" s="4">
        <f t="shared" si="65"/>
        <v>0</v>
      </c>
      <c r="BQ137" s="4">
        <f t="shared" si="66"/>
        <v>0</v>
      </c>
      <c r="BR137" s="4">
        <f t="shared" si="67"/>
        <v>0</v>
      </c>
      <c r="BS137" s="4">
        <f t="shared" si="68"/>
        <v>0</v>
      </c>
      <c r="BT137" s="4">
        <f t="shared" si="69"/>
        <v>0</v>
      </c>
      <c r="BU137" s="4">
        <f t="shared" si="70"/>
        <v>0</v>
      </c>
      <c r="BV137" s="4">
        <f t="shared" si="71"/>
        <v>0</v>
      </c>
      <c r="BW137" s="4">
        <f t="shared" si="72"/>
        <v>0</v>
      </c>
      <c r="BX137" s="4">
        <f t="shared" si="73"/>
        <v>0</v>
      </c>
      <c r="BY137" s="4">
        <f t="shared" si="74"/>
        <v>0</v>
      </c>
      <c r="BZ137" s="4">
        <f t="shared" si="75"/>
        <v>0</v>
      </c>
      <c r="CA137" s="4">
        <f t="shared" si="76"/>
        <v>0</v>
      </c>
      <c r="CB137" s="4">
        <f t="shared" si="77"/>
        <v>0</v>
      </c>
      <c r="CC137" s="4">
        <f t="shared" si="78"/>
        <v>0</v>
      </c>
      <c r="CD137" s="4">
        <f t="shared" si="79"/>
        <v>0</v>
      </c>
      <c r="CE137" s="4">
        <f t="shared" si="80"/>
        <v>0</v>
      </c>
      <c r="CF137" s="4">
        <f t="shared" si="81"/>
        <v>0</v>
      </c>
      <c r="CG137" s="4">
        <f t="shared" si="82"/>
        <v>0</v>
      </c>
      <c r="CH137" s="4">
        <f t="shared" si="83"/>
        <v>0</v>
      </c>
      <c r="CI137" s="4">
        <f t="shared" si="84"/>
        <v>0</v>
      </c>
      <c r="CJ137" s="4">
        <f t="shared" si="85"/>
        <v>0</v>
      </c>
      <c r="CK137" s="4">
        <f t="shared" si="86"/>
        <v>0</v>
      </c>
      <c r="CL137" s="4">
        <f t="shared" si="87"/>
        <v>0</v>
      </c>
      <c r="CM137" s="4">
        <f t="shared" si="88"/>
        <v>0</v>
      </c>
      <c r="CN137" s="4">
        <f t="shared" si="89"/>
        <v>0</v>
      </c>
      <c r="CO137" s="4">
        <f t="shared" si="90"/>
        <v>0</v>
      </c>
      <c r="CP137" s="4">
        <f t="shared" si="91"/>
        <v>0</v>
      </c>
      <c r="CQ137" s="4">
        <f t="shared" si="92"/>
        <v>0</v>
      </c>
      <c r="CR137" s="4">
        <f t="shared" si="93"/>
        <v>0</v>
      </c>
      <c r="CS137" s="4">
        <f t="shared" si="94"/>
        <v>0</v>
      </c>
      <c r="CT137" s="4">
        <f t="shared" si="95"/>
        <v>0</v>
      </c>
      <c r="CU137" s="4">
        <f t="shared" si="96"/>
        <v>0</v>
      </c>
      <c r="CV137" s="4">
        <f t="shared" si="97"/>
        <v>0</v>
      </c>
      <c r="CW137" s="4">
        <f t="shared" si="98"/>
        <v>0</v>
      </c>
      <c r="CX137" s="4">
        <f t="shared" si="99"/>
        <v>0</v>
      </c>
      <c r="CY137" s="4">
        <f t="shared" si="100"/>
        <v>0</v>
      </c>
      <c r="CZ137" s="4">
        <f t="shared" si="101"/>
        <v>0</v>
      </c>
      <c r="DA137" s="4">
        <f t="shared" si="102"/>
        <v>0</v>
      </c>
      <c r="DB137" s="4">
        <f t="shared" si="103"/>
        <v>0</v>
      </c>
      <c r="DC137" s="4">
        <f t="shared" si="104"/>
        <v>0</v>
      </c>
      <c r="DD137" s="4">
        <f t="shared" si="105"/>
        <v>0</v>
      </c>
    </row>
    <row r="138" spans="1:108" x14ac:dyDescent="0.25">
      <c r="A138" s="41">
        <f>Skills!M120</f>
        <v>0</v>
      </c>
      <c r="B138" s="55" t="str">
        <f>Skills!N120</f>
        <v>Crafting Skills</v>
      </c>
      <c r="C138" s="22">
        <f t="shared" si="106"/>
        <v>0</v>
      </c>
      <c r="D138" s="112" t="str">
        <f>Skills!S120</f>
        <v>- -</v>
      </c>
      <c r="E138" s="113" t="s">
        <v>782</v>
      </c>
      <c r="F138" s="19"/>
      <c r="G138" s="19"/>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56"/>
      <c r="BF138" s="4">
        <f t="shared" si="56"/>
        <v>0</v>
      </c>
      <c r="BG138" s="4">
        <f t="shared" si="56"/>
        <v>0</v>
      </c>
      <c r="BH138" s="4">
        <f t="shared" si="57"/>
        <v>0</v>
      </c>
      <c r="BI138" s="4">
        <f t="shared" si="58"/>
        <v>0</v>
      </c>
      <c r="BJ138" s="4">
        <f t="shared" si="59"/>
        <v>0</v>
      </c>
      <c r="BK138" s="4">
        <f t="shared" si="60"/>
        <v>0</v>
      </c>
      <c r="BL138" s="4">
        <f t="shared" si="61"/>
        <v>0</v>
      </c>
      <c r="BM138" s="4">
        <f t="shared" si="62"/>
        <v>0</v>
      </c>
      <c r="BN138" s="4">
        <f t="shared" si="63"/>
        <v>0</v>
      </c>
      <c r="BO138" s="4">
        <f t="shared" si="64"/>
        <v>0</v>
      </c>
      <c r="BP138" s="4">
        <f t="shared" si="65"/>
        <v>0</v>
      </c>
      <c r="BQ138" s="4">
        <f t="shared" si="66"/>
        <v>0</v>
      </c>
      <c r="BR138" s="4">
        <f t="shared" si="67"/>
        <v>0</v>
      </c>
      <c r="BS138" s="4">
        <f t="shared" si="68"/>
        <v>0</v>
      </c>
      <c r="BT138" s="4">
        <f t="shared" si="69"/>
        <v>0</v>
      </c>
      <c r="BU138" s="4">
        <f t="shared" si="70"/>
        <v>0</v>
      </c>
      <c r="BV138" s="4">
        <f t="shared" si="71"/>
        <v>0</v>
      </c>
      <c r="BW138" s="4">
        <f t="shared" si="72"/>
        <v>0</v>
      </c>
      <c r="BX138" s="4">
        <f t="shared" si="73"/>
        <v>0</v>
      </c>
      <c r="BY138" s="4">
        <f t="shared" si="74"/>
        <v>0</v>
      </c>
      <c r="BZ138" s="4">
        <f t="shared" si="75"/>
        <v>0</v>
      </c>
      <c r="CA138" s="4">
        <f t="shared" si="76"/>
        <v>0</v>
      </c>
      <c r="CB138" s="4">
        <f t="shared" si="77"/>
        <v>0</v>
      </c>
      <c r="CC138" s="4">
        <f t="shared" si="78"/>
        <v>0</v>
      </c>
      <c r="CD138" s="4">
        <f t="shared" si="79"/>
        <v>0</v>
      </c>
      <c r="CE138" s="4">
        <f t="shared" si="80"/>
        <v>0</v>
      </c>
      <c r="CF138" s="4">
        <f t="shared" si="81"/>
        <v>0</v>
      </c>
      <c r="CG138" s="4">
        <f t="shared" si="82"/>
        <v>0</v>
      </c>
      <c r="CH138" s="4">
        <f t="shared" si="83"/>
        <v>0</v>
      </c>
      <c r="CI138" s="4">
        <f t="shared" si="84"/>
        <v>0</v>
      </c>
      <c r="CJ138" s="4">
        <f t="shared" si="85"/>
        <v>0</v>
      </c>
      <c r="CK138" s="4">
        <f t="shared" si="86"/>
        <v>0</v>
      </c>
      <c r="CL138" s="4">
        <f t="shared" si="87"/>
        <v>0</v>
      </c>
      <c r="CM138" s="4">
        <f t="shared" si="88"/>
        <v>0</v>
      </c>
      <c r="CN138" s="4">
        <f t="shared" si="89"/>
        <v>0</v>
      </c>
      <c r="CO138" s="4">
        <f t="shared" si="90"/>
        <v>0</v>
      </c>
      <c r="CP138" s="4">
        <f t="shared" si="91"/>
        <v>0</v>
      </c>
      <c r="CQ138" s="4">
        <f t="shared" si="92"/>
        <v>0</v>
      </c>
      <c r="CR138" s="4">
        <f t="shared" si="93"/>
        <v>0</v>
      </c>
      <c r="CS138" s="4">
        <f t="shared" si="94"/>
        <v>0</v>
      </c>
      <c r="CT138" s="4">
        <f t="shared" si="95"/>
        <v>0</v>
      </c>
      <c r="CU138" s="4">
        <f t="shared" si="96"/>
        <v>0</v>
      </c>
      <c r="CV138" s="4">
        <f t="shared" si="97"/>
        <v>0</v>
      </c>
      <c r="CW138" s="4">
        <f t="shared" si="98"/>
        <v>0</v>
      </c>
      <c r="CX138" s="4">
        <f t="shared" si="99"/>
        <v>0</v>
      </c>
      <c r="CY138" s="4">
        <f t="shared" si="100"/>
        <v>0</v>
      </c>
      <c r="CZ138" s="4">
        <f t="shared" si="101"/>
        <v>0</v>
      </c>
      <c r="DA138" s="4">
        <f t="shared" si="102"/>
        <v>0</v>
      </c>
      <c r="DB138" s="4">
        <f t="shared" si="103"/>
        <v>0</v>
      </c>
      <c r="DC138" s="4">
        <f t="shared" si="104"/>
        <v>0</v>
      </c>
      <c r="DD138" s="4">
        <f t="shared" si="105"/>
        <v>0</v>
      </c>
    </row>
    <row r="139" spans="1:108" x14ac:dyDescent="0.25">
      <c r="A139" s="41" t="str">
        <f>Skills!M121</f>
        <v>Barbering</v>
      </c>
      <c r="B139" s="57" t="str">
        <f>Skills!N121</f>
        <v>Barbering</v>
      </c>
      <c r="C139" s="24">
        <f t="shared" si="106"/>
        <v>0</v>
      </c>
      <c r="D139" s="110">
        <f>Skills!S121</f>
        <v>0</v>
      </c>
      <c r="E139" s="111" t="e">
        <f>Profession!B47</f>
        <v>#REF!</v>
      </c>
      <c r="F139" s="18"/>
      <c r="G139" s="18"/>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49"/>
      <c r="BF139" s="4">
        <f t="shared" si="56"/>
        <v>0</v>
      </c>
      <c r="BG139" s="4">
        <f t="shared" si="56"/>
        <v>0</v>
      </c>
      <c r="BH139" s="4">
        <f t="shared" si="57"/>
        <v>0</v>
      </c>
      <c r="BI139" s="4">
        <f t="shared" si="58"/>
        <v>0</v>
      </c>
      <c r="BJ139" s="4">
        <f t="shared" si="59"/>
        <v>0</v>
      </c>
      <c r="BK139" s="4">
        <f t="shared" si="60"/>
        <v>0</v>
      </c>
      <c r="BL139" s="4">
        <f t="shared" si="61"/>
        <v>0</v>
      </c>
      <c r="BM139" s="4">
        <f t="shared" si="62"/>
        <v>0</v>
      </c>
      <c r="BN139" s="4">
        <f t="shared" si="63"/>
        <v>0</v>
      </c>
      <c r="BO139" s="4">
        <f t="shared" si="64"/>
        <v>0</v>
      </c>
      <c r="BP139" s="4">
        <f t="shared" si="65"/>
        <v>0</v>
      </c>
      <c r="BQ139" s="4">
        <f t="shared" si="66"/>
        <v>0</v>
      </c>
      <c r="BR139" s="4">
        <f t="shared" si="67"/>
        <v>0</v>
      </c>
      <c r="BS139" s="4">
        <f t="shared" si="68"/>
        <v>0</v>
      </c>
      <c r="BT139" s="4">
        <f t="shared" si="69"/>
        <v>0</v>
      </c>
      <c r="BU139" s="4">
        <f t="shared" si="70"/>
        <v>0</v>
      </c>
      <c r="BV139" s="4">
        <f t="shared" si="71"/>
        <v>0</v>
      </c>
      <c r="BW139" s="4">
        <f t="shared" si="72"/>
        <v>0</v>
      </c>
      <c r="BX139" s="4">
        <f t="shared" si="73"/>
        <v>0</v>
      </c>
      <c r="BY139" s="4">
        <f t="shared" si="74"/>
        <v>0</v>
      </c>
      <c r="BZ139" s="4">
        <f t="shared" si="75"/>
        <v>0</v>
      </c>
      <c r="CA139" s="4">
        <f t="shared" si="76"/>
        <v>0</v>
      </c>
      <c r="CB139" s="4">
        <f t="shared" si="77"/>
        <v>0</v>
      </c>
      <c r="CC139" s="4">
        <f t="shared" si="78"/>
        <v>0</v>
      </c>
      <c r="CD139" s="4">
        <f t="shared" si="79"/>
        <v>0</v>
      </c>
      <c r="CE139" s="4">
        <f t="shared" si="80"/>
        <v>0</v>
      </c>
      <c r="CF139" s="4">
        <f t="shared" si="81"/>
        <v>0</v>
      </c>
      <c r="CG139" s="4">
        <f t="shared" si="82"/>
        <v>0</v>
      </c>
      <c r="CH139" s="4">
        <f t="shared" si="83"/>
        <v>0</v>
      </c>
      <c r="CI139" s="4">
        <f t="shared" si="84"/>
        <v>0</v>
      </c>
      <c r="CJ139" s="4">
        <f t="shared" si="85"/>
        <v>0</v>
      </c>
      <c r="CK139" s="4">
        <f t="shared" si="86"/>
        <v>0</v>
      </c>
      <c r="CL139" s="4">
        <f t="shared" si="87"/>
        <v>0</v>
      </c>
      <c r="CM139" s="4">
        <f t="shared" si="88"/>
        <v>0</v>
      </c>
      <c r="CN139" s="4">
        <f t="shared" si="89"/>
        <v>0</v>
      </c>
      <c r="CO139" s="4">
        <f t="shared" si="90"/>
        <v>0</v>
      </c>
      <c r="CP139" s="4">
        <f t="shared" si="91"/>
        <v>0</v>
      </c>
      <c r="CQ139" s="4">
        <f t="shared" si="92"/>
        <v>0</v>
      </c>
      <c r="CR139" s="4">
        <f t="shared" si="93"/>
        <v>0</v>
      </c>
      <c r="CS139" s="4">
        <f t="shared" si="94"/>
        <v>0</v>
      </c>
      <c r="CT139" s="4">
        <f t="shared" si="95"/>
        <v>0</v>
      </c>
      <c r="CU139" s="4">
        <f t="shared" si="96"/>
        <v>0</v>
      </c>
      <c r="CV139" s="4">
        <f t="shared" si="97"/>
        <v>0</v>
      </c>
      <c r="CW139" s="4">
        <f t="shared" si="98"/>
        <v>0</v>
      </c>
      <c r="CX139" s="4">
        <f t="shared" si="99"/>
        <v>0</v>
      </c>
      <c r="CY139" s="4">
        <f t="shared" si="100"/>
        <v>0</v>
      </c>
      <c r="CZ139" s="4">
        <f t="shared" si="101"/>
        <v>0</v>
      </c>
      <c r="DA139" s="4">
        <f t="shared" si="102"/>
        <v>0</v>
      </c>
      <c r="DB139" s="4">
        <f t="shared" si="103"/>
        <v>0</v>
      </c>
      <c r="DC139" s="4">
        <f t="shared" si="104"/>
        <v>0</v>
      </c>
      <c r="DD139" s="4">
        <f t="shared" si="105"/>
        <v>0</v>
      </c>
    </row>
    <row r="140" spans="1:108" x14ac:dyDescent="0.25">
      <c r="A140" s="41" t="str">
        <f>Skills!M122</f>
        <v>Building Wright</v>
      </c>
      <c r="B140" s="55" t="str">
        <f>Skills!N122</f>
        <v>Building Wright</v>
      </c>
      <c r="C140" s="22">
        <f t="shared" si="106"/>
        <v>0</v>
      </c>
      <c r="D140" s="112">
        <f>Skills!S122</f>
        <v>0</v>
      </c>
      <c r="E140" s="113" t="e">
        <f>Profession!B48</f>
        <v>#REF!</v>
      </c>
      <c r="F140" s="19"/>
      <c r="G140" s="19"/>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56"/>
      <c r="BF140" s="4">
        <f t="shared" si="56"/>
        <v>0</v>
      </c>
      <c r="BG140" s="4">
        <f t="shared" si="56"/>
        <v>0</v>
      </c>
      <c r="BH140" s="4">
        <f t="shared" si="57"/>
        <v>0</v>
      </c>
      <c r="BI140" s="4">
        <f t="shared" si="58"/>
        <v>0</v>
      </c>
      <c r="BJ140" s="4">
        <f t="shared" si="59"/>
        <v>0</v>
      </c>
      <c r="BK140" s="4">
        <f t="shared" si="60"/>
        <v>0</v>
      </c>
      <c r="BL140" s="4">
        <f t="shared" si="61"/>
        <v>0</v>
      </c>
      <c r="BM140" s="4">
        <f t="shared" si="62"/>
        <v>0</v>
      </c>
      <c r="BN140" s="4">
        <f t="shared" si="63"/>
        <v>0</v>
      </c>
      <c r="BO140" s="4">
        <f t="shared" si="64"/>
        <v>0</v>
      </c>
      <c r="BP140" s="4">
        <f t="shared" si="65"/>
        <v>0</v>
      </c>
      <c r="BQ140" s="4">
        <f t="shared" si="66"/>
        <v>0</v>
      </c>
      <c r="BR140" s="4">
        <f t="shared" si="67"/>
        <v>0</v>
      </c>
      <c r="BS140" s="4">
        <f t="shared" si="68"/>
        <v>0</v>
      </c>
      <c r="BT140" s="4">
        <f t="shared" si="69"/>
        <v>0</v>
      </c>
      <c r="BU140" s="4">
        <f t="shared" si="70"/>
        <v>0</v>
      </c>
      <c r="BV140" s="4">
        <f t="shared" si="71"/>
        <v>0</v>
      </c>
      <c r="BW140" s="4">
        <f t="shared" si="72"/>
        <v>0</v>
      </c>
      <c r="BX140" s="4">
        <f t="shared" si="73"/>
        <v>0</v>
      </c>
      <c r="BY140" s="4">
        <f t="shared" si="74"/>
        <v>0</v>
      </c>
      <c r="BZ140" s="4">
        <f t="shared" si="75"/>
        <v>0</v>
      </c>
      <c r="CA140" s="4">
        <f t="shared" si="76"/>
        <v>0</v>
      </c>
      <c r="CB140" s="4">
        <f t="shared" si="77"/>
        <v>0</v>
      </c>
      <c r="CC140" s="4">
        <f t="shared" si="78"/>
        <v>0</v>
      </c>
      <c r="CD140" s="4">
        <f t="shared" si="79"/>
        <v>0</v>
      </c>
      <c r="CE140" s="4">
        <f t="shared" si="80"/>
        <v>0</v>
      </c>
      <c r="CF140" s="4">
        <f t="shared" si="81"/>
        <v>0</v>
      </c>
      <c r="CG140" s="4">
        <f t="shared" si="82"/>
        <v>0</v>
      </c>
      <c r="CH140" s="4">
        <f t="shared" si="83"/>
        <v>0</v>
      </c>
      <c r="CI140" s="4">
        <f t="shared" si="84"/>
        <v>0</v>
      </c>
      <c r="CJ140" s="4">
        <f t="shared" si="85"/>
        <v>0</v>
      </c>
      <c r="CK140" s="4">
        <f t="shared" si="86"/>
        <v>0</v>
      </c>
      <c r="CL140" s="4">
        <f t="shared" si="87"/>
        <v>0</v>
      </c>
      <c r="CM140" s="4">
        <f t="shared" si="88"/>
        <v>0</v>
      </c>
      <c r="CN140" s="4">
        <f t="shared" si="89"/>
        <v>0</v>
      </c>
      <c r="CO140" s="4">
        <f t="shared" si="90"/>
        <v>0</v>
      </c>
      <c r="CP140" s="4">
        <f t="shared" si="91"/>
        <v>0</v>
      </c>
      <c r="CQ140" s="4">
        <f t="shared" si="92"/>
        <v>0</v>
      </c>
      <c r="CR140" s="4">
        <f t="shared" si="93"/>
        <v>0</v>
      </c>
      <c r="CS140" s="4">
        <f t="shared" si="94"/>
        <v>0</v>
      </c>
      <c r="CT140" s="4">
        <f t="shared" si="95"/>
        <v>0</v>
      </c>
      <c r="CU140" s="4">
        <f t="shared" si="96"/>
        <v>0</v>
      </c>
      <c r="CV140" s="4">
        <f t="shared" si="97"/>
        <v>0</v>
      </c>
      <c r="CW140" s="4">
        <f t="shared" si="98"/>
        <v>0</v>
      </c>
      <c r="CX140" s="4">
        <f t="shared" si="99"/>
        <v>0</v>
      </c>
      <c r="CY140" s="4">
        <f t="shared" si="100"/>
        <v>0</v>
      </c>
      <c r="CZ140" s="4">
        <f t="shared" si="101"/>
        <v>0</v>
      </c>
      <c r="DA140" s="4">
        <f t="shared" si="102"/>
        <v>0</v>
      </c>
      <c r="DB140" s="4">
        <f t="shared" si="103"/>
        <v>0</v>
      </c>
      <c r="DC140" s="4">
        <f t="shared" si="104"/>
        <v>0</v>
      </c>
      <c r="DD140" s="4">
        <f t="shared" si="105"/>
        <v>0</v>
      </c>
    </row>
    <row r="141" spans="1:108" x14ac:dyDescent="0.25">
      <c r="A141" s="41" t="str">
        <f>Skills!M123</f>
        <v>Candle Maker</v>
      </c>
      <c r="B141" s="57" t="str">
        <f>Skills!N123</f>
        <v>Candle Maker</v>
      </c>
      <c r="C141" s="24">
        <f t="shared" si="106"/>
        <v>0</v>
      </c>
      <c r="D141" s="110">
        <f>Skills!S123</f>
        <v>0</v>
      </c>
      <c r="E141" s="111" t="e">
        <f>Profession!B49</f>
        <v>#REF!</v>
      </c>
      <c r="F141" s="18"/>
      <c r="G141" s="18"/>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49"/>
      <c r="BF141" s="4">
        <f t="shared" si="56"/>
        <v>0</v>
      </c>
      <c r="BG141" s="4">
        <f t="shared" si="56"/>
        <v>0</v>
      </c>
      <c r="BH141" s="4">
        <f t="shared" si="57"/>
        <v>0</v>
      </c>
      <c r="BI141" s="4">
        <f t="shared" si="58"/>
        <v>0</v>
      </c>
      <c r="BJ141" s="4">
        <f t="shared" si="59"/>
        <v>0</v>
      </c>
      <c r="BK141" s="4">
        <f t="shared" si="60"/>
        <v>0</v>
      </c>
      <c r="BL141" s="4">
        <f t="shared" si="61"/>
        <v>0</v>
      </c>
      <c r="BM141" s="4">
        <f t="shared" si="62"/>
        <v>0</v>
      </c>
      <c r="BN141" s="4">
        <f t="shared" si="63"/>
        <v>0</v>
      </c>
      <c r="BO141" s="4">
        <f t="shared" si="64"/>
        <v>0</v>
      </c>
      <c r="BP141" s="4">
        <f t="shared" si="65"/>
        <v>0</v>
      </c>
      <c r="BQ141" s="4">
        <f t="shared" si="66"/>
        <v>0</v>
      </c>
      <c r="BR141" s="4">
        <f t="shared" si="67"/>
        <v>0</v>
      </c>
      <c r="BS141" s="4">
        <f t="shared" si="68"/>
        <v>0</v>
      </c>
      <c r="BT141" s="4">
        <f t="shared" si="69"/>
        <v>0</v>
      </c>
      <c r="BU141" s="4">
        <f t="shared" si="70"/>
        <v>0</v>
      </c>
      <c r="BV141" s="4">
        <f t="shared" si="71"/>
        <v>0</v>
      </c>
      <c r="BW141" s="4">
        <f t="shared" si="72"/>
        <v>0</v>
      </c>
      <c r="BX141" s="4">
        <f t="shared" si="73"/>
        <v>0</v>
      </c>
      <c r="BY141" s="4">
        <f t="shared" si="74"/>
        <v>0</v>
      </c>
      <c r="BZ141" s="4">
        <f t="shared" si="75"/>
        <v>0</v>
      </c>
      <c r="CA141" s="4">
        <f t="shared" si="76"/>
        <v>0</v>
      </c>
      <c r="CB141" s="4">
        <f t="shared" si="77"/>
        <v>0</v>
      </c>
      <c r="CC141" s="4">
        <f t="shared" si="78"/>
        <v>0</v>
      </c>
      <c r="CD141" s="4">
        <f t="shared" si="79"/>
        <v>0</v>
      </c>
      <c r="CE141" s="4">
        <f t="shared" si="80"/>
        <v>0</v>
      </c>
      <c r="CF141" s="4">
        <f t="shared" si="81"/>
        <v>0</v>
      </c>
      <c r="CG141" s="4">
        <f t="shared" si="82"/>
        <v>0</v>
      </c>
      <c r="CH141" s="4">
        <f t="shared" si="83"/>
        <v>0</v>
      </c>
      <c r="CI141" s="4">
        <f t="shared" si="84"/>
        <v>0</v>
      </c>
      <c r="CJ141" s="4">
        <f t="shared" si="85"/>
        <v>0</v>
      </c>
      <c r="CK141" s="4">
        <f t="shared" si="86"/>
        <v>0</v>
      </c>
      <c r="CL141" s="4">
        <f t="shared" si="87"/>
        <v>0</v>
      </c>
      <c r="CM141" s="4">
        <f t="shared" si="88"/>
        <v>0</v>
      </c>
      <c r="CN141" s="4">
        <f t="shared" si="89"/>
        <v>0</v>
      </c>
      <c r="CO141" s="4">
        <f t="shared" si="90"/>
        <v>0</v>
      </c>
      <c r="CP141" s="4">
        <f t="shared" si="91"/>
        <v>0</v>
      </c>
      <c r="CQ141" s="4">
        <f t="shared" si="92"/>
        <v>0</v>
      </c>
      <c r="CR141" s="4">
        <f t="shared" si="93"/>
        <v>0</v>
      </c>
      <c r="CS141" s="4">
        <f t="shared" si="94"/>
        <v>0</v>
      </c>
      <c r="CT141" s="4">
        <f t="shared" si="95"/>
        <v>0</v>
      </c>
      <c r="CU141" s="4">
        <f t="shared" si="96"/>
        <v>0</v>
      </c>
      <c r="CV141" s="4">
        <f t="shared" si="97"/>
        <v>0</v>
      </c>
      <c r="CW141" s="4">
        <f t="shared" si="98"/>
        <v>0</v>
      </c>
      <c r="CX141" s="4">
        <f t="shared" si="99"/>
        <v>0</v>
      </c>
      <c r="CY141" s="4">
        <f t="shared" si="100"/>
        <v>0</v>
      </c>
      <c r="CZ141" s="4">
        <f t="shared" si="101"/>
        <v>0</v>
      </c>
      <c r="DA141" s="4">
        <f t="shared" si="102"/>
        <v>0</v>
      </c>
      <c r="DB141" s="4">
        <f t="shared" si="103"/>
        <v>0</v>
      </c>
      <c r="DC141" s="4">
        <f t="shared" si="104"/>
        <v>0</v>
      </c>
      <c r="DD141" s="4">
        <f t="shared" si="105"/>
        <v>0</v>
      </c>
    </row>
    <row r="142" spans="1:108" x14ac:dyDescent="0.25">
      <c r="A142" s="41" t="str">
        <f>Skills!M124</f>
        <v>Carpentry</v>
      </c>
      <c r="B142" s="55" t="str">
        <f>Skills!N124</f>
        <v>Carpentry</v>
      </c>
      <c r="C142" s="22">
        <f t="shared" si="106"/>
        <v>0</v>
      </c>
      <c r="D142" s="112">
        <f>Skills!S124</f>
        <v>0</v>
      </c>
      <c r="E142" s="113" t="e">
        <f>Profession!B50</f>
        <v>#REF!</v>
      </c>
      <c r="F142" s="19"/>
      <c r="G142" s="19"/>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56"/>
      <c r="BF142" s="4">
        <f t="shared" si="56"/>
        <v>0</v>
      </c>
      <c r="BG142" s="4">
        <f t="shared" si="56"/>
        <v>0</v>
      </c>
      <c r="BH142" s="4">
        <f t="shared" si="57"/>
        <v>0</v>
      </c>
      <c r="BI142" s="4">
        <f t="shared" si="58"/>
        <v>0</v>
      </c>
      <c r="BJ142" s="4">
        <f t="shared" si="59"/>
        <v>0</v>
      </c>
      <c r="BK142" s="4">
        <f t="shared" si="60"/>
        <v>0</v>
      </c>
      <c r="BL142" s="4">
        <f t="shared" si="61"/>
        <v>0</v>
      </c>
      <c r="BM142" s="4">
        <f t="shared" si="62"/>
        <v>0</v>
      </c>
      <c r="BN142" s="4">
        <f t="shared" si="63"/>
        <v>0</v>
      </c>
      <c r="BO142" s="4">
        <f t="shared" si="64"/>
        <v>0</v>
      </c>
      <c r="BP142" s="4">
        <f t="shared" si="65"/>
        <v>0</v>
      </c>
      <c r="BQ142" s="4">
        <f t="shared" si="66"/>
        <v>0</v>
      </c>
      <c r="BR142" s="4">
        <f t="shared" si="67"/>
        <v>0</v>
      </c>
      <c r="BS142" s="4">
        <f t="shared" si="68"/>
        <v>0</v>
      </c>
      <c r="BT142" s="4">
        <f t="shared" si="69"/>
        <v>0</v>
      </c>
      <c r="BU142" s="4">
        <f t="shared" si="70"/>
        <v>0</v>
      </c>
      <c r="BV142" s="4">
        <f t="shared" si="71"/>
        <v>0</v>
      </c>
      <c r="BW142" s="4">
        <f t="shared" si="72"/>
        <v>0</v>
      </c>
      <c r="BX142" s="4">
        <f t="shared" si="73"/>
        <v>0</v>
      </c>
      <c r="BY142" s="4">
        <f t="shared" si="74"/>
        <v>0</v>
      </c>
      <c r="BZ142" s="4">
        <f t="shared" si="75"/>
        <v>0</v>
      </c>
      <c r="CA142" s="4">
        <f t="shared" si="76"/>
        <v>0</v>
      </c>
      <c r="CB142" s="4">
        <f t="shared" si="77"/>
        <v>0</v>
      </c>
      <c r="CC142" s="4">
        <f t="shared" si="78"/>
        <v>0</v>
      </c>
      <c r="CD142" s="4">
        <f t="shared" si="79"/>
        <v>0</v>
      </c>
      <c r="CE142" s="4">
        <f t="shared" si="80"/>
        <v>0</v>
      </c>
      <c r="CF142" s="4">
        <f t="shared" si="81"/>
        <v>0</v>
      </c>
      <c r="CG142" s="4">
        <f t="shared" si="82"/>
        <v>0</v>
      </c>
      <c r="CH142" s="4">
        <f t="shared" si="83"/>
        <v>0</v>
      </c>
      <c r="CI142" s="4">
        <f t="shared" si="84"/>
        <v>0</v>
      </c>
      <c r="CJ142" s="4">
        <f t="shared" si="85"/>
        <v>0</v>
      </c>
      <c r="CK142" s="4">
        <f t="shared" si="86"/>
        <v>0</v>
      </c>
      <c r="CL142" s="4">
        <f t="shared" si="87"/>
        <v>0</v>
      </c>
      <c r="CM142" s="4">
        <f t="shared" si="88"/>
        <v>0</v>
      </c>
      <c r="CN142" s="4">
        <f t="shared" si="89"/>
        <v>0</v>
      </c>
      <c r="CO142" s="4">
        <f t="shared" si="90"/>
        <v>0</v>
      </c>
      <c r="CP142" s="4">
        <f t="shared" si="91"/>
        <v>0</v>
      </c>
      <c r="CQ142" s="4">
        <f t="shared" si="92"/>
        <v>0</v>
      </c>
      <c r="CR142" s="4">
        <f t="shared" si="93"/>
        <v>0</v>
      </c>
      <c r="CS142" s="4">
        <f t="shared" si="94"/>
        <v>0</v>
      </c>
      <c r="CT142" s="4">
        <f t="shared" si="95"/>
        <v>0</v>
      </c>
      <c r="CU142" s="4">
        <f t="shared" si="96"/>
        <v>0</v>
      </c>
      <c r="CV142" s="4">
        <f t="shared" si="97"/>
        <v>0</v>
      </c>
      <c r="CW142" s="4">
        <f t="shared" si="98"/>
        <v>0</v>
      </c>
      <c r="CX142" s="4">
        <f t="shared" si="99"/>
        <v>0</v>
      </c>
      <c r="CY142" s="4">
        <f t="shared" si="100"/>
        <v>0</v>
      </c>
      <c r="CZ142" s="4">
        <f t="shared" si="101"/>
        <v>0</v>
      </c>
      <c r="DA142" s="4">
        <f t="shared" si="102"/>
        <v>0</v>
      </c>
      <c r="DB142" s="4">
        <f t="shared" si="103"/>
        <v>0</v>
      </c>
      <c r="DC142" s="4">
        <f t="shared" si="104"/>
        <v>0</v>
      </c>
      <c r="DD142" s="4">
        <f t="shared" si="105"/>
        <v>0</v>
      </c>
    </row>
    <row r="143" spans="1:108" x14ac:dyDescent="0.25">
      <c r="A143" s="41" t="str">
        <f>Skills!M125</f>
        <v>Cart Wright</v>
      </c>
      <c r="B143" s="57" t="str">
        <f>Skills!N125</f>
        <v>Cart Wright</v>
      </c>
      <c r="C143" s="24">
        <f t="shared" si="106"/>
        <v>0</v>
      </c>
      <c r="D143" s="110">
        <f>Skills!S125</f>
        <v>0</v>
      </c>
      <c r="E143" s="111" t="e">
        <f>Profession!B51</f>
        <v>#REF!</v>
      </c>
      <c r="F143" s="18"/>
      <c r="G143" s="18"/>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49"/>
      <c r="BF143" s="4">
        <f t="shared" si="56"/>
        <v>0</v>
      </c>
      <c r="BG143" s="4">
        <f t="shared" si="56"/>
        <v>0</v>
      </c>
      <c r="BH143" s="4">
        <f t="shared" si="57"/>
        <v>0</v>
      </c>
      <c r="BI143" s="4">
        <f t="shared" si="58"/>
        <v>0</v>
      </c>
      <c r="BJ143" s="4">
        <f t="shared" si="59"/>
        <v>0</v>
      </c>
      <c r="BK143" s="4">
        <f t="shared" si="60"/>
        <v>0</v>
      </c>
      <c r="BL143" s="4">
        <f t="shared" si="61"/>
        <v>0</v>
      </c>
      <c r="BM143" s="4">
        <f t="shared" si="62"/>
        <v>0</v>
      </c>
      <c r="BN143" s="4">
        <f t="shared" si="63"/>
        <v>0</v>
      </c>
      <c r="BO143" s="4">
        <f t="shared" si="64"/>
        <v>0</v>
      </c>
      <c r="BP143" s="4">
        <f t="shared" si="65"/>
        <v>0</v>
      </c>
      <c r="BQ143" s="4">
        <f t="shared" si="66"/>
        <v>0</v>
      </c>
      <c r="BR143" s="4">
        <f t="shared" si="67"/>
        <v>0</v>
      </c>
      <c r="BS143" s="4">
        <f t="shared" si="68"/>
        <v>0</v>
      </c>
      <c r="BT143" s="4">
        <f t="shared" si="69"/>
        <v>0</v>
      </c>
      <c r="BU143" s="4">
        <f t="shared" si="70"/>
        <v>0</v>
      </c>
      <c r="BV143" s="4">
        <f t="shared" si="71"/>
        <v>0</v>
      </c>
      <c r="BW143" s="4">
        <f t="shared" si="72"/>
        <v>0</v>
      </c>
      <c r="BX143" s="4">
        <f t="shared" si="73"/>
        <v>0</v>
      </c>
      <c r="BY143" s="4">
        <f t="shared" si="74"/>
        <v>0</v>
      </c>
      <c r="BZ143" s="4">
        <f t="shared" si="75"/>
        <v>0</v>
      </c>
      <c r="CA143" s="4">
        <f t="shared" si="76"/>
        <v>0</v>
      </c>
      <c r="CB143" s="4">
        <f t="shared" si="77"/>
        <v>0</v>
      </c>
      <c r="CC143" s="4">
        <f t="shared" si="78"/>
        <v>0</v>
      </c>
      <c r="CD143" s="4">
        <f t="shared" si="79"/>
        <v>0</v>
      </c>
      <c r="CE143" s="4">
        <f t="shared" si="80"/>
        <v>0</v>
      </c>
      <c r="CF143" s="4">
        <f t="shared" si="81"/>
        <v>0</v>
      </c>
      <c r="CG143" s="4">
        <f t="shared" si="82"/>
        <v>0</v>
      </c>
      <c r="CH143" s="4">
        <f t="shared" si="83"/>
        <v>0</v>
      </c>
      <c r="CI143" s="4">
        <f t="shared" si="84"/>
        <v>0</v>
      </c>
      <c r="CJ143" s="4">
        <f t="shared" si="85"/>
        <v>0</v>
      </c>
      <c r="CK143" s="4">
        <f t="shared" si="86"/>
        <v>0</v>
      </c>
      <c r="CL143" s="4">
        <f t="shared" si="87"/>
        <v>0</v>
      </c>
      <c r="CM143" s="4">
        <f t="shared" si="88"/>
        <v>0</v>
      </c>
      <c r="CN143" s="4">
        <f t="shared" si="89"/>
        <v>0</v>
      </c>
      <c r="CO143" s="4">
        <f t="shared" si="90"/>
        <v>0</v>
      </c>
      <c r="CP143" s="4">
        <f t="shared" si="91"/>
        <v>0</v>
      </c>
      <c r="CQ143" s="4">
        <f t="shared" si="92"/>
        <v>0</v>
      </c>
      <c r="CR143" s="4">
        <f t="shared" si="93"/>
        <v>0</v>
      </c>
      <c r="CS143" s="4">
        <f t="shared" si="94"/>
        <v>0</v>
      </c>
      <c r="CT143" s="4">
        <f t="shared" si="95"/>
        <v>0</v>
      </c>
      <c r="CU143" s="4">
        <f t="shared" si="96"/>
        <v>0</v>
      </c>
      <c r="CV143" s="4">
        <f t="shared" si="97"/>
        <v>0</v>
      </c>
      <c r="CW143" s="4">
        <f t="shared" si="98"/>
        <v>0</v>
      </c>
      <c r="CX143" s="4">
        <f t="shared" si="99"/>
        <v>0</v>
      </c>
      <c r="CY143" s="4">
        <f t="shared" si="100"/>
        <v>0</v>
      </c>
      <c r="CZ143" s="4">
        <f t="shared" si="101"/>
        <v>0</v>
      </c>
      <c r="DA143" s="4">
        <f t="shared" si="102"/>
        <v>0</v>
      </c>
      <c r="DB143" s="4">
        <f t="shared" si="103"/>
        <v>0</v>
      </c>
      <c r="DC143" s="4">
        <f t="shared" si="104"/>
        <v>0</v>
      </c>
      <c r="DD143" s="4">
        <f t="shared" si="105"/>
        <v>0</v>
      </c>
    </row>
    <row r="144" spans="1:108" x14ac:dyDescent="0.25">
      <c r="A144" s="41" t="str">
        <f>Skills!M126</f>
        <v>Ceramics</v>
      </c>
      <c r="B144" s="55" t="str">
        <f>Skills!N126</f>
        <v>Ceramics</v>
      </c>
      <c r="C144" s="22">
        <f t="shared" si="106"/>
        <v>0</v>
      </c>
      <c r="D144" s="112">
        <f>Skills!S126</f>
        <v>0</v>
      </c>
      <c r="E144" s="113" t="e">
        <f>Profession!B52</f>
        <v>#REF!</v>
      </c>
      <c r="F144" s="19"/>
      <c r="G144" s="19"/>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56"/>
      <c r="BF144" s="4">
        <f t="shared" si="56"/>
        <v>0</v>
      </c>
      <c r="BG144" s="4">
        <f t="shared" si="56"/>
        <v>0</v>
      </c>
      <c r="BH144" s="4">
        <f t="shared" si="57"/>
        <v>0</v>
      </c>
      <c r="BI144" s="4">
        <f t="shared" si="58"/>
        <v>0</v>
      </c>
      <c r="BJ144" s="4">
        <f t="shared" si="59"/>
        <v>0</v>
      </c>
      <c r="BK144" s="4">
        <f t="shared" si="60"/>
        <v>0</v>
      </c>
      <c r="BL144" s="4">
        <f t="shared" si="61"/>
        <v>0</v>
      </c>
      <c r="BM144" s="4">
        <f t="shared" si="62"/>
        <v>0</v>
      </c>
      <c r="BN144" s="4">
        <f t="shared" si="63"/>
        <v>0</v>
      </c>
      <c r="BO144" s="4">
        <f t="shared" si="64"/>
        <v>0</v>
      </c>
      <c r="BP144" s="4">
        <f t="shared" si="65"/>
        <v>0</v>
      </c>
      <c r="BQ144" s="4">
        <f t="shared" si="66"/>
        <v>0</v>
      </c>
      <c r="BR144" s="4">
        <f t="shared" si="67"/>
        <v>0</v>
      </c>
      <c r="BS144" s="4">
        <f t="shared" si="68"/>
        <v>0</v>
      </c>
      <c r="BT144" s="4">
        <f t="shared" si="69"/>
        <v>0</v>
      </c>
      <c r="BU144" s="4">
        <f t="shared" si="70"/>
        <v>0</v>
      </c>
      <c r="BV144" s="4">
        <f t="shared" si="71"/>
        <v>0</v>
      </c>
      <c r="BW144" s="4">
        <f t="shared" si="72"/>
        <v>0</v>
      </c>
      <c r="BX144" s="4">
        <f t="shared" si="73"/>
        <v>0</v>
      </c>
      <c r="BY144" s="4">
        <f t="shared" si="74"/>
        <v>0</v>
      </c>
      <c r="BZ144" s="4">
        <f t="shared" si="75"/>
        <v>0</v>
      </c>
      <c r="CA144" s="4">
        <f t="shared" si="76"/>
        <v>0</v>
      </c>
      <c r="CB144" s="4">
        <f t="shared" si="77"/>
        <v>0</v>
      </c>
      <c r="CC144" s="4">
        <f t="shared" si="78"/>
        <v>0</v>
      </c>
      <c r="CD144" s="4">
        <f t="shared" si="79"/>
        <v>0</v>
      </c>
      <c r="CE144" s="4">
        <f t="shared" si="80"/>
        <v>0</v>
      </c>
      <c r="CF144" s="4">
        <f t="shared" si="81"/>
        <v>0</v>
      </c>
      <c r="CG144" s="4">
        <f t="shared" si="82"/>
        <v>0</v>
      </c>
      <c r="CH144" s="4">
        <f t="shared" si="83"/>
        <v>0</v>
      </c>
      <c r="CI144" s="4">
        <f t="shared" si="84"/>
        <v>0</v>
      </c>
      <c r="CJ144" s="4">
        <f t="shared" si="85"/>
        <v>0</v>
      </c>
      <c r="CK144" s="4">
        <f t="shared" si="86"/>
        <v>0</v>
      </c>
      <c r="CL144" s="4">
        <f t="shared" si="87"/>
        <v>0</v>
      </c>
      <c r="CM144" s="4">
        <f t="shared" si="88"/>
        <v>0</v>
      </c>
      <c r="CN144" s="4">
        <f t="shared" si="89"/>
        <v>0</v>
      </c>
      <c r="CO144" s="4">
        <f t="shared" si="90"/>
        <v>0</v>
      </c>
      <c r="CP144" s="4">
        <f t="shared" si="91"/>
        <v>0</v>
      </c>
      <c r="CQ144" s="4">
        <f t="shared" si="92"/>
        <v>0</v>
      </c>
      <c r="CR144" s="4">
        <f t="shared" si="93"/>
        <v>0</v>
      </c>
      <c r="CS144" s="4">
        <f t="shared" si="94"/>
        <v>0</v>
      </c>
      <c r="CT144" s="4">
        <f t="shared" si="95"/>
        <v>0</v>
      </c>
      <c r="CU144" s="4">
        <f t="shared" si="96"/>
        <v>0</v>
      </c>
      <c r="CV144" s="4">
        <f t="shared" si="97"/>
        <v>0</v>
      </c>
      <c r="CW144" s="4">
        <f t="shared" si="98"/>
        <v>0</v>
      </c>
      <c r="CX144" s="4">
        <f t="shared" si="99"/>
        <v>0</v>
      </c>
      <c r="CY144" s="4">
        <f t="shared" si="100"/>
        <v>0</v>
      </c>
      <c r="CZ144" s="4">
        <f t="shared" si="101"/>
        <v>0</v>
      </c>
      <c r="DA144" s="4">
        <f t="shared" si="102"/>
        <v>0</v>
      </c>
      <c r="DB144" s="4">
        <f t="shared" si="103"/>
        <v>0</v>
      </c>
      <c r="DC144" s="4">
        <f t="shared" si="104"/>
        <v>0</v>
      </c>
      <c r="DD144" s="4">
        <f t="shared" si="105"/>
        <v>0</v>
      </c>
    </row>
    <row r="145" spans="1:108" x14ac:dyDescent="0.25">
      <c r="A145" s="41" t="str">
        <f>Skills!M127</f>
        <v>Cobbler</v>
      </c>
      <c r="B145" s="57" t="str">
        <f>Skills!N127</f>
        <v>Cobbler</v>
      </c>
      <c r="C145" s="24">
        <f t="shared" si="106"/>
        <v>0</v>
      </c>
      <c r="D145" s="110">
        <f>Skills!S127</f>
        <v>0</v>
      </c>
      <c r="E145" s="111" t="e">
        <f>Profession!B53</f>
        <v>#REF!</v>
      </c>
      <c r="F145" s="18"/>
      <c r="G145" s="18"/>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49"/>
      <c r="BF145" s="4">
        <f t="shared" si="56"/>
        <v>0</v>
      </c>
      <c r="BG145" s="4">
        <f t="shared" si="56"/>
        <v>0</v>
      </c>
      <c r="BH145" s="4">
        <f t="shared" si="57"/>
        <v>0</v>
      </c>
      <c r="BI145" s="4">
        <f t="shared" si="58"/>
        <v>0</v>
      </c>
      <c r="BJ145" s="4">
        <f t="shared" si="59"/>
        <v>0</v>
      </c>
      <c r="BK145" s="4">
        <f t="shared" si="60"/>
        <v>0</v>
      </c>
      <c r="BL145" s="4">
        <f t="shared" si="61"/>
        <v>0</v>
      </c>
      <c r="BM145" s="4">
        <f t="shared" si="62"/>
        <v>0</v>
      </c>
      <c r="BN145" s="4">
        <f t="shared" si="63"/>
        <v>0</v>
      </c>
      <c r="BO145" s="4">
        <f t="shared" si="64"/>
        <v>0</v>
      </c>
      <c r="BP145" s="4">
        <f t="shared" si="65"/>
        <v>0</v>
      </c>
      <c r="BQ145" s="4">
        <f t="shared" si="66"/>
        <v>0</v>
      </c>
      <c r="BR145" s="4">
        <f t="shared" si="67"/>
        <v>0</v>
      </c>
      <c r="BS145" s="4">
        <f t="shared" si="68"/>
        <v>0</v>
      </c>
      <c r="BT145" s="4">
        <f t="shared" si="69"/>
        <v>0</v>
      </c>
      <c r="BU145" s="4">
        <f t="shared" si="70"/>
        <v>0</v>
      </c>
      <c r="BV145" s="4">
        <f t="shared" si="71"/>
        <v>0</v>
      </c>
      <c r="BW145" s="4">
        <f t="shared" si="72"/>
        <v>0</v>
      </c>
      <c r="BX145" s="4">
        <f t="shared" si="73"/>
        <v>0</v>
      </c>
      <c r="BY145" s="4">
        <f t="shared" si="74"/>
        <v>0</v>
      </c>
      <c r="BZ145" s="4">
        <f t="shared" si="75"/>
        <v>0</v>
      </c>
      <c r="CA145" s="4">
        <f t="shared" si="76"/>
        <v>0</v>
      </c>
      <c r="CB145" s="4">
        <f t="shared" si="77"/>
        <v>0</v>
      </c>
      <c r="CC145" s="4">
        <f t="shared" si="78"/>
        <v>0</v>
      </c>
      <c r="CD145" s="4">
        <f t="shared" si="79"/>
        <v>0</v>
      </c>
      <c r="CE145" s="4">
        <f t="shared" si="80"/>
        <v>0</v>
      </c>
      <c r="CF145" s="4">
        <f t="shared" si="81"/>
        <v>0</v>
      </c>
      <c r="CG145" s="4">
        <f t="shared" si="82"/>
        <v>0</v>
      </c>
      <c r="CH145" s="4">
        <f t="shared" si="83"/>
        <v>0</v>
      </c>
      <c r="CI145" s="4">
        <f t="shared" si="84"/>
        <v>0</v>
      </c>
      <c r="CJ145" s="4">
        <f t="shared" si="85"/>
        <v>0</v>
      </c>
      <c r="CK145" s="4">
        <f t="shared" si="86"/>
        <v>0</v>
      </c>
      <c r="CL145" s="4">
        <f t="shared" si="87"/>
        <v>0</v>
      </c>
      <c r="CM145" s="4">
        <f t="shared" si="88"/>
        <v>0</v>
      </c>
      <c r="CN145" s="4">
        <f t="shared" si="89"/>
        <v>0</v>
      </c>
      <c r="CO145" s="4">
        <f t="shared" si="90"/>
        <v>0</v>
      </c>
      <c r="CP145" s="4">
        <f t="shared" si="91"/>
        <v>0</v>
      </c>
      <c r="CQ145" s="4">
        <f t="shared" si="92"/>
        <v>0</v>
      </c>
      <c r="CR145" s="4">
        <f t="shared" si="93"/>
        <v>0</v>
      </c>
      <c r="CS145" s="4">
        <f t="shared" si="94"/>
        <v>0</v>
      </c>
      <c r="CT145" s="4">
        <f t="shared" si="95"/>
        <v>0</v>
      </c>
      <c r="CU145" s="4">
        <f t="shared" si="96"/>
        <v>0</v>
      </c>
      <c r="CV145" s="4">
        <f t="shared" si="97"/>
        <v>0</v>
      </c>
      <c r="CW145" s="4">
        <f t="shared" si="98"/>
        <v>0</v>
      </c>
      <c r="CX145" s="4">
        <f t="shared" si="99"/>
        <v>0</v>
      </c>
      <c r="CY145" s="4">
        <f t="shared" si="100"/>
        <v>0</v>
      </c>
      <c r="CZ145" s="4">
        <f t="shared" si="101"/>
        <v>0</v>
      </c>
      <c r="DA145" s="4">
        <f t="shared" si="102"/>
        <v>0</v>
      </c>
      <c r="DB145" s="4">
        <f t="shared" si="103"/>
        <v>0</v>
      </c>
      <c r="DC145" s="4">
        <f t="shared" si="104"/>
        <v>0</v>
      </c>
      <c r="DD145" s="4">
        <f t="shared" si="105"/>
        <v>0</v>
      </c>
    </row>
    <row r="146" spans="1:108" x14ac:dyDescent="0.25">
      <c r="A146" s="41" t="str">
        <f>Skills!M128</f>
        <v>Cooper</v>
      </c>
      <c r="B146" s="55" t="str">
        <f>Skills!N128</f>
        <v>Cooper</v>
      </c>
      <c r="C146" s="22">
        <f t="shared" si="106"/>
        <v>0</v>
      </c>
      <c r="D146" s="112">
        <f>Skills!S128</f>
        <v>0</v>
      </c>
      <c r="E146" s="113" t="e">
        <f>Profession!B54</f>
        <v>#REF!</v>
      </c>
      <c r="F146" s="19"/>
      <c r="G146" s="19"/>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56"/>
      <c r="BF146" s="4">
        <f t="shared" si="56"/>
        <v>0</v>
      </c>
      <c r="BG146" s="4">
        <f t="shared" si="56"/>
        <v>0</v>
      </c>
      <c r="BH146" s="4">
        <f t="shared" si="57"/>
        <v>0</v>
      </c>
      <c r="BI146" s="4">
        <f t="shared" si="58"/>
        <v>0</v>
      </c>
      <c r="BJ146" s="4">
        <f t="shared" si="59"/>
        <v>0</v>
      </c>
      <c r="BK146" s="4">
        <f t="shared" si="60"/>
        <v>0</v>
      </c>
      <c r="BL146" s="4">
        <f t="shared" si="61"/>
        <v>0</v>
      </c>
      <c r="BM146" s="4">
        <f t="shared" si="62"/>
        <v>0</v>
      </c>
      <c r="BN146" s="4">
        <f t="shared" si="63"/>
        <v>0</v>
      </c>
      <c r="BO146" s="4">
        <f t="shared" si="64"/>
        <v>0</v>
      </c>
      <c r="BP146" s="4">
        <f t="shared" si="65"/>
        <v>0</v>
      </c>
      <c r="BQ146" s="4">
        <f t="shared" si="66"/>
        <v>0</v>
      </c>
      <c r="BR146" s="4">
        <f t="shared" si="67"/>
        <v>0</v>
      </c>
      <c r="BS146" s="4">
        <f t="shared" si="68"/>
        <v>0</v>
      </c>
      <c r="BT146" s="4">
        <f t="shared" si="69"/>
        <v>0</v>
      </c>
      <c r="BU146" s="4">
        <f t="shared" si="70"/>
        <v>0</v>
      </c>
      <c r="BV146" s="4">
        <f t="shared" si="71"/>
        <v>0</v>
      </c>
      <c r="BW146" s="4">
        <f t="shared" si="72"/>
        <v>0</v>
      </c>
      <c r="BX146" s="4">
        <f t="shared" si="73"/>
        <v>0</v>
      </c>
      <c r="BY146" s="4">
        <f t="shared" si="74"/>
        <v>0</v>
      </c>
      <c r="BZ146" s="4">
        <f t="shared" si="75"/>
        <v>0</v>
      </c>
      <c r="CA146" s="4">
        <f t="shared" si="76"/>
        <v>0</v>
      </c>
      <c r="CB146" s="4">
        <f t="shared" si="77"/>
        <v>0</v>
      </c>
      <c r="CC146" s="4">
        <f t="shared" si="78"/>
        <v>0</v>
      </c>
      <c r="CD146" s="4">
        <f t="shared" si="79"/>
        <v>0</v>
      </c>
      <c r="CE146" s="4">
        <f t="shared" si="80"/>
        <v>0</v>
      </c>
      <c r="CF146" s="4">
        <f t="shared" si="81"/>
        <v>0</v>
      </c>
      <c r="CG146" s="4">
        <f t="shared" si="82"/>
        <v>0</v>
      </c>
      <c r="CH146" s="4">
        <f t="shared" si="83"/>
        <v>0</v>
      </c>
      <c r="CI146" s="4">
        <f t="shared" si="84"/>
        <v>0</v>
      </c>
      <c r="CJ146" s="4">
        <f t="shared" si="85"/>
        <v>0</v>
      </c>
      <c r="CK146" s="4">
        <f t="shared" si="86"/>
        <v>0</v>
      </c>
      <c r="CL146" s="4">
        <f t="shared" si="87"/>
        <v>0</v>
      </c>
      <c r="CM146" s="4">
        <f t="shared" si="88"/>
        <v>0</v>
      </c>
      <c r="CN146" s="4">
        <f t="shared" si="89"/>
        <v>0</v>
      </c>
      <c r="CO146" s="4">
        <f t="shared" si="90"/>
        <v>0</v>
      </c>
      <c r="CP146" s="4">
        <f t="shared" si="91"/>
        <v>0</v>
      </c>
      <c r="CQ146" s="4">
        <f t="shared" si="92"/>
        <v>0</v>
      </c>
      <c r="CR146" s="4">
        <f t="shared" si="93"/>
        <v>0</v>
      </c>
      <c r="CS146" s="4">
        <f t="shared" si="94"/>
        <v>0</v>
      </c>
      <c r="CT146" s="4">
        <f t="shared" si="95"/>
        <v>0</v>
      </c>
      <c r="CU146" s="4">
        <f t="shared" si="96"/>
        <v>0</v>
      </c>
      <c r="CV146" s="4">
        <f t="shared" si="97"/>
        <v>0</v>
      </c>
      <c r="CW146" s="4">
        <f t="shared" si="98"/>
        <v>0</v>
      </c>
      <c r="CX146" s="4">
        <f t="shared" si="99"/>
        <v>0</v>
      </c>
      <c r="CY146" s="4">
        <f t="shared" si="100"/>
        <v>0</v>
      </c>
      <c r="CZ146" s="4">
        <f t="shared" si="101"/>
        <v>0</v>
      </c>
      <c r="DA146" s="4">
        <f t="shared" si="102"/>
        <v>0</v>
      </c>
      <c r="DB146" s="4">
        <f t="shared" si="103"/>
        <v>0</v>
      </c>
      <c r="DC146" s="4">
        <f t="shared" si="104"/>
        <v>0</v>
      </c>
      <c r="DD146" s="4">
        <f t="shared" si="105"/>
        <v>0</v>
      </c>
    </row>
    <row r="147" spans="1:108" x14ac:dyDescent="0.25">
      <c r="A147" s="41" t="str">
        <f>Skills!M129</f>
        <v>Culinary</v>
      </c>
      <c r="B147" s="57" t="str">
        <f>Skills!N129</f>
        <v>Culinary</v>
      </c>
      <c r="C147" s="24">
        <f t="shared" si="106"/>
        <v>0</v>
      </c>
      <c r="D147" s="110">
        <f>Skills!S129</f>
        <v>0</v>
      </c>
      <c r="E147" s="111" t="e">
        <f>Profession!B55</f>
        <v>#REF!</v>
      </c>
      <c r="F147" s="18"/>
      <c r="G147" s="18"/>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49"/>
      <c r="BF147" s="4">
        <f t="shared" si="56"/>
        <v>0</v>
      </c>
      <c r="BG147" s="4">
        <f t="shared" si="56"/>
        <v>0</v>
      </c>
      <c r="BH147" s="4">
        <f t="shared" si="57"/>
        <v>0</v>
      </c>
      <c r="BI147" s="4">
        <f t="shared" si="58"/>
        <v>0</v>
      </c>
      <c r="BJ147" s="4">
        <f t="shared" si="59"/>
        <v>0</v>
      </c>
      <c r="BK147" s="4">
        <f t="shared" si="60"/>
        <v>0</v>
      </c>
      <c r="BL147" s="4">
        <f t="shared" si="61"/>
        <v>0</v>
      </c>
      <c r="BM147" s="4">
        <f t="shared" si="62"/>
        <v>0</v>
      </c>
      <c r="BN147" s="4">
        <f t="shared" si="63"/>
        <v>0</v>
      </c>
      <c r="BO147" s="4">
        <f t="shared" si="64"/>
        <v>0</v>
      </c>
      <c r="BP147" s="4">
        <f t="shared" si="65"/>
        <v>0</v>
      </c>
      <c r="BQ147" s="4">
        <f t="shared" si="66"/>
        <v>0</v>
      </c>
      <c r="BR147" s="4">
        <f t="shared" si="67"/>
        <v>0</v>
      </c>
      <c r="BS147" s="4">
        <f t="shared" si="68"/>
        <v>0</v>
      </c>
      <c r="BT147" s="4">
        <f t="shared" si="69"/>
        <v>0</v>
      </c>
      <c r="BU147" s="4">
        <f t="shared" si="70"/>
        <v>0</v>
      </c>
      <c r="BV147" s="4">
        <f t="shared" si="71"/>
        <v>0</v>
      </c>
      <c r="BW147" s="4">
        <f t="shared" si="72"/>
        <v>0</v>
      </c>
      <c r="BX147" s="4">
        <f t="shared" si="73"/>
        <v>0</v>
      </c>
      <c r="BY147" s="4">
        <f t="shared" si="74"/>
        <v>0</v>
      </c>
      <c r="BZ147" s="4">
        <f t="shared" si="75"/>
        <v>0</v>
      </c>
      <c r="CA147" s="4">
        <f t="shared" si="76"/>
        <v>0</v>
      </c>
      <c r="CB147" s="4">
        <f t="shared" si="77"/>
        <v>0</v>
      </c>
      <c r="CC147" s="4">
        <f t="shared" si="78"/>
        <v>0</v>
      </c>
      <c r="CD147" s="4">
        <f t="shared" si="79"/>
        <v>0</v>
      </c>
      <c r="CE147" s="4">
        <f t="shared" si="80"/>
        <v>0</v>
      </c>
      <c r="CF147" s="4">
        <f t="shared" si="81"/>
        <v>0</v>
      </c>
      <c r="CG147" s="4">
        <f t="shared" si="82"/>
        <v>0</v>
      </c>
      <c r="CH147" s="4">
        <f t="shared" si="83"/>
        <v>0</v>
      </c>
      <c r="CI147" s="4">
        <f t="shared" si="84"/>
        <v>0</v>
      </c>
      <c r="CJ147" s="4">
        <f t="shared" si="85"/>
        <v>0</v>
      </c>
      <c r="CK147" s="4">
        <f t="shared" si="86"/>
        <v>0</v>
      </c>
      <c r="CL147" s="4">
        <f t="shared" si="87"/>
        <v>0</v>
      </c>
      <c r="CM147" s="4">
        <f t="shared" si="88"/>
        <v>0</v>
      </c>
      <c r="CN147" s="4">
        <f t="shared" si="89"/>
        <v>0</v>
      </c>
      <c r="CO147" s="4">
        <f t="shared" si="90"/>
        <v>0</v>
      </c>
      <c r="CP147" s="4">
        <f t="shared" si="91"/>
        <v>0</v>
      </c>
      <c r="CQ147" s="4">
        <f t="shared" si="92"/>
        <v>0</v>
      </c>
      <c r="CR147" s="4">
        <f t="shared" si="93"/>
        <v>0</v>
      </c>
      <c r="CS147" s="4">
        <f t="shared" si="94"/>
        <v>0</v>
      </c>
      <c r="CT147" s="4">
        <f t="shared" si="95"/>
        <v>0</v>
      </c>
      <c r="CU147" s="4">
        <f t="shared" si="96"/>
        <v>0</v>
      </c>
      <c r="CV147" s="4">
        <f t="shared" si="97"/>
        <v>0</v>
      </c>
      <c r="CW147" s="4">
        <f t="shared" si="98"/>
        <v>0</v>
      </c>
      <c r="CX147" s="4">
        <f t="shared" si="99"/>
        <v>0</v>
      </c>
      <c r="CY147" s="4">
        <f t="shared" si="100"/>
        <v>0</v>
      </c>
      <c r="CZ147" s="4">
        <f t="shared" si="101"/>
        <v>0</v>
      </c>
      <c r="DA147" s="4">
        <f t="shared" si="102"/>
        <v>0</v>
      </c>
      <c r="DB147" s="4">
        <f t="shared" si="103"/>
        <v>0</v>
      </c>
      <c r="DC147" s="4">
        <f t="shared" si="104"/>
        <v>0</v>
      </c>
      <c r="DD147" s="4">
        <f t="shared" si="105"/>
        <v>0</v>
      </c>
    </row>
    <row r="148" spans="1:108" x14ac:dyDescent="0.25">
      <c r="A148" s="41" t="str">
        <f>Skills!M130</f>
        <v>Drafting</v>
      </c>
      <c r="B148" s="55" t="str">
        <f>Skills!N130</f>
        <v>Drafting</v>
      </c>
      <c r="C148" s="22">
        <f t="shared" si="106"/>
        <v>0</v>
      </c>
      <c r="D148" s="112">
        <f>Skills!S130</f>
        <v>0</v>
      </c>
      <c r="E148" s="113" t="e">
        <f>Profession!B56</f>
        <v>#REF!</v>
      </c>
      <c r="F148" s="19"/>
      <c r="G148" s="19"/>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56"/>
      <c r="BF148" s="4">
        <f t="shared" ref="BF148:BG212" si="107">IF(F148=1,(LEFT($E148,2))*1,IF(F148=2,((LEFT($E148,2))+(MID($E148,FIND("/",$E148)+2,2))),IF(F148=3,((LEFT($E148,2))+(MID($E148,FIND("/",$E148)+2,2))+(RIGHT($E148,2))),0)))</f>
        <v>0</v>
      </c>
      <c r="BG148" s="4">
        <f t="shared" si="107"/>
        <v>0</v>
      </c>
      <c r="BH148" s="4">
        <f t="shared" ref="BH148:BH212" si="108">IF(H148=1,(LEFT($E148,2))*1,IF(H148=2,((LEFT($E148,2))+(MID($E148,FIND("/",$E148)+2,2))),IF(H148=3,((LEFT($E148,2))+(MID($E148,FIND("/",$E148)+2,2))+(RIGHT($E148,2))),0)))</f>
        <v>0</v>
      </c>
      <c r="BI148" s="4">
        <f t="shared" ref="BI148:BI212" si="109">IF(I148=1,(LEFT($E148,2))*1,IF(I148=2,((LEFT($E148,2))+(MID($E148,FIND("/",$E148)+2,2))),IF(I148=3,((LEFT($E148,2))+(MID($E148,FIND("/",$E148)+2,2))+(RIGHT($E148,2))),0)))</f>
        <v>0</v>
      </c>
      <c r="BJ148" s="4">
        <f t="shared" ref="BJ148:BJ212" si="110">IF(J148=1,(LEFT($E148,2))*1,IF(J148=2,((LEFT($E148,2))+(MID($E148,FIND("/",$E148)+2,2))),IF(J148=3,((LEFT($E148,2))+(MID($E148,FIND("/",$E148)+2,2))+(RIGHT($E148,2))),0)))</f>
        <v>0</v>
      </c>
      <c r="BK148" s="4">
        <f t="shared" ref="BK148:BK212" si="111">IF(K148=1,(LEFT($E148,2))*1,IF(K148=2,((LEFT($E148,2))+(MID($E148,FIND("/",$E148)+2,2))),IF(K148=3,((LEFT($E148,2))+(MID($E148,FIND("/",$E148)+2,2))+(RIGHT($E148,2))),0)))</f>
        <v>0</v>
      </c>
      <c r="BL148" s="4">
        <f t="shared" ref="BL148:BL212" si="112">IF(L148=1,(LEFT($E148,2))*1,IF(L148=2,((LEFT($E148,2))+(MID($E148,FIND("/",$E148)+2,2))),IF(L148=3,((LEFT($E148,2))+(MID($E148,FIND("/",$E148)+2,2))+(RIGHT($E148,2))),0)))</f>
        <v>0</v>
      </c>
      <c r="BM148" s="4">
        <f t="shared" ref="BM148:BM212" si="113">IF(M148=1,(LEFT($E148,2))*1,IF(M148=2,((LEFT($E148,2))+(MID($E148,FIND("/",$E148)+2,2))),IF(M148=3,((LEFT($E148,2))+(MID($E148,FIND("/",$E148)+2,2))+(RIGHT($E148,2))),0)))</f>
        <v>0</v>
      </c>
      <c r="BN148" s="4">
        <f t="shared" ref="BN148:BN212" si="114">IF(N148=1,(LEFT($E148,2))*1,IF(N148=2,((LEFT($E148,2))+(MID($E148,FIND("/",$E148)+2,2))),IF(N148=3,((LEFT($E148,2))+(MID($E148,FIND("/",$E148)+2,2))+(RIGHT($E148,2))),0)))</f>
        <v>0</v>
      </c>
      <c r="BO148" s="4">
        <f t="shared" ref="BO148:BO212" si="115">IF(O148=1,(LEFT($E148,2))*1,IF(O148=2,((LEFT($E148,2))+(MID($E148,FIND("/",$E148)+2,2))),IF(O148=3,((LEFT($E148,2))+(MID($E148,FIND("/",$E148)+2,2))+(RIGHT($E148,2))),0)))</f>
        <v>0</v>
      </c>
      <c r="BP148" s="4">
        <f t="shared" ref="BP148:BP212" si="116">IF(P148=1,(LEFT($E148,2))*1,IF(P148=2,((LEFT($E148,2))+(MID($E148,FIND("/",$E148)+2,2))),IF(P148=3,((LEFT($E148,2))+(MID($E148,FIND("/",$E148)+2,2))+(RIGHT($E148,2))),0)))</f>
        <v>0</v>
      </c>
      <c r="BQ148" s="4">
        <f t="shared" ref="BQ148:BQ212" si="117">IF(Q148=1,(LEFT($E148,2))*1,IF(Q148=2,((LEFT($E148,2))+(MID($E148,FIND("/",$E148)+2,2))),IF(Q148=3,((LEFT($E148,2))+(MID($E148,FIND("/",$E148)+2,2))+(RIGHT($E148,2))),0)))</f>
        <v>0</v>
      </c>
      <c r="BR148" s="4">
        <f t="shared" ref="BR148:BR212" si="118">IF(R148=1,(LEFT($E148,2))*1,IF(R148=2,((LEFT($E148,2))+(MID($E148,FIND("/",$E148)+2,2))),IF(R148=3,((LEFT($E148,2))+(MID($E148,FIND("/",$E148)+2,2))+(RIGHT($E148,2))),0)))</f>
        <v>0</v>
      </c>
      <c r="BS148" s="4">
        <f t="shared" ref="BS148:BS212" si="119">IF(S148=1,(LEFT($E148,2))*1,IF(S148=2,((LEFT($E148,2))+(MID($E148,FIND("/",$E148)+2,2))),IF(S148=3,((LEFT($E148,2))+(MID($E148,FIND("/",$E148)+2,2))+(RIGHT($E148,2))),0)))</f>
        <v>0</v>
      </c>
      <c r="BT148" s="4">
        <f t="shared" ref="BT148:BT212" si="120">IF(T148=1,(LEFT($E148,2))*1,IF(T148=2,((LEFT($E148,2))+(MID($E148,FIND("/",$E148)+2,2))),IF(T148=3,((LEFT($E148,2))+(MID($E148,FIND("/",$E148)+2,2))+(RIGHT($E148,2))),0)))</f>
        <v>0</v>
      </c>
      <c r="BU148" s="4">
        <f t="shared" ref="BU148:BU212" si="121">IF(U148=1,(LEFT($E148,2))*1,IF(U148=2,((LEFT($E148,2))+(MID($E148,FIND("/",$E148)+2,2))),IF(U148=3,((LEFT($E148,2))+(MID($E148,FIND("/",$E148)+2,2))+(RIGHT($E148,2))),0)))</f>
        <v>0</v>
      </c>
      <c r="BV148" s="4">
        <f t="shared" ref="BV148:BV212" si="122">IF(V148=1,(LEFT($E148,2))*1,IF(V148=2,((LEFT($E148,2))+(MID($E148,FIND("/",$E148)+2,2))),IF(V148=3,((LEFT($E148,2))+(MID($E148,FIND("/",$E148)+2,2))+(RIGHT($E148,2))),0)))</f>
        <v>0</v>
      </c>
      <c r="BW148" s="4">
        <f t="shared" ref="BW148:BW212" si="123">IF(W148=1,(LEFT($E148,2))*1,IF(W148=2,((LEFT($E148,2))+(MID($E148,FIND("/",$E148)+2,2))),IF(W148=3,((LEFT($E148,2))+(MID($E148,FIND("/",$E148)+2,2))+(RIGHT($E148,2))),0)))</f>
        <v>0</v>
      </c>
      <c r="BX148" s="4">
        <f t="shared" ref="BX148:BX212" si="124">IF(X148=1,(LEFT($E148,2))*1,IF(X148=2,((LEFT($E148,2))+(MID($E148,FIND("/",$E148)+2,2))),IF(X148=3,((LEFT($E148,2))+(MID($E148,FIND("/",$E148)+2,2))+(RIGHT($E148,2))),0)))</f>
        <v>0</v>
      </c>
      <c r="BY148" s="4">
        <f t="shared" ref="BY148:BY212" si="125">IF(Y148=1,(LEFT($E148,2))*1,IF(Y148=2,((LEFT($E148,2))+(MID($E148,FIND("/",$E148)+2,2))),IF(Y148=3,((LEFT($E148,2))+(MID($E148,FIND("/",$E148)+2,2))+(RIGHT($E148,2))),0)))</f>
        <v>0</v>
      </c>
      <c r="BZ148" s="4">
        <f t="shared" ref="BZ148:BZ212" si="126">IF(Z148=1,(LEFT($E148,2))*1,IF(Z148=2,((LEFT($E148,2))+(MID($E148,FIND("/",$E148)+2,2))),IF(Z148=3,((LEFT($E148,2))+(MID($E148,FIND("/",$E148)+2,2))+(RIGHT($E148,2))),0)))</f>
        <v>0</v>
      </c>
      <c r="CA148" s="4">
        <f t="shared" ref="CA148:CA212" si="127">IF(AA148=1,(LEFT($E148,2))*1,IF(AA148=2,((LEFT($E148,2))+(MID($E148,FIND("/",$E148)+2,2))),IF(AA148=3,((LEFT($E148,2))+(MID($E148,FIND("/",$E148)+2,2))+(RIGHT($E148,2))),0)))</f>
        <v>0</v>
      </c>
      <c r="CB148" s="4">
        <f t="shared" ref="CB148:CB212" si="128">IF(AB148=1,(LEFT($E148,2))*1,IF(AB148=2,((LEFT($E148,2))+(MID($E148,FIND("/",$E148)+2,2))),IF(AB148=3,((LEFT($E148,2))+(MID($E148,FIND("/",$E148)+2,2))+(RIGHT($E148,2))),0)))</f>
        <v>0</v>
      </c>
      <c r="CC148" s="4">
        <f t="shared" ref="CC148:CC212" si="129">IF(AC148=1,(LEFT($E148,2))*1,IF(AC148=2,((LEFT($E148,2))+(MID($E148,FIND("/",$E148)+2,2))),IF(AC148=3,((LEFT($E148,2))+(MID($E148,FIND("/",$E148)+2,2))+(RIGHT($E148,2))),0)))</f>
        <v>0</v>
      </c>
      <c r="CD148" s="4">
        <f t="shared" ref="CD148:CD212" si="130">IF(AD148=1,(LEFT($E148,2))*1,IF(AD148=2,((LEFT($E148,2))+(MID($E148,FIND("/",$E148)+2,2))),IF(AD148=3,((LEFT($E148,2))+(MID($E148,FIND("/",$E148)+2,2))+(RIGHT($E148,2))),0)))</f>
        <v>0</v>
      </c>
      <c r="CE148" s="4">
        <f t="shared" ref="CE148:CE212" si="131">IF(AE148=1,(LEFT($E148,2))*1,IF(AE148=2,((LEFT($E148,2))+(MID($E148,FIND("/",$E148)+2,2))),IF(AE148=3,((LEFT($E148,2))+(MID($E148,FIND("/",$E148)+2,2))+(RIGHT($E148,2))),0)))</f>
        <v>0</v>
      </c>
      <c r="CF148" s="4">
        <f t="shared" ref="CF148:CF212" si="132">IF(AF148=1,(LEFT($E148,2))*1,IF(AF148=2,((LEFT($E148,2))+(MID($E148,FIND("/",$E148)+2,2))),IF(AF148=3,((LEFT($E148,2))+(MID($E148,FIND("/",$E148)+2,2))+(RIGHT($E148,2))),0)))</f>
        <v>0</v>
      </c>
      <c r="CG148" s="4">
        <f t="shared" ref="CG148:CG212" si="133">IF(AG148=1,(LEFT($E148,2))*1,IF(AG148=2,((LEFT($E148,2))+(MID($E148,FIND("/",$E148)+2,2))),IF(AG148=3,((LEFT($E148,2))+(MID($E148,FIND("/",$E148)+2,2))+(RIGHT($E148,2))),0)))</f>
        <v>0</v>
      </c>
      <c r="CH148" s="4">
        <f t="shared" ref="CH148:CH212" si="134">IF(AH148=1,(LEFT($E148,2))*1,IF(AH148=2,((LEFT($E148,2))+(MID($E148,FIND("/",$E148)+2,2))),IF(AH148=3,((LEFT($E148,2))+(MID($E148,FIND("/",$E148)+2,2))+(RIGHT($E148,2))),0)))</f>
        <v>0</v>
      </c>
      <c r="CI148" s="4">
        <f t="shared" ref="CI148:CI212" si="135">IF(AI148=1,(LEFT($E148,2))*1,IF(AI148=2,((LEFT($E148,2))+(MID($E148,FIND("/",$E148)+2,2))),IF(AI148=3,((LEFT($E148,2))+(MID($E148,FIND("/",$E148)+2,2))+(RIGHT($E148,2))),0)))</f>
        <v>0</v>
      </c>
      <c r="CJ148" s="4">
        <f t="shared" ref="CJ148:CJ212" si="136">IF(AJ148=1,(LEFT($E148,2))*1,IF(AJ148=2,((LEFT($E148,2))+(MID($E148,FIND("/",$E148)+2,2))),IF(AJ148=3,((LEFT($E148,2))+(MID($E148,FIND("/",$E148)+2,2))+(RIGHT($E148,2))),0)))</f>
        <v>0</v>
      </c>
      <c r="CK148" s="4">
        <f t="shared" ref="CK148:CK212" si="137">IF(AK148=1,(LEFT($E148,2))*1,IF(AK148=2,((LEFT($E148,2))+(MID($E148,FIND("/",$E148)+2,2))),IF(AK148=3,((LEFT($E148,2))+(MID($E148,FIND("/",$E148)+2,2))+(RIGHT($E148,2))),0)))</f>
        <v>0</v>
      </c>
      <c r="CL148" s="4">
        <f t="shared" ref="CL148:CL212" si="138">IF(AL148=1,(LEFT($E148,2))*1,IF(AL148=2,((LEFT($E148,2))+(MID($E148,FIND("/",$E148)+2,2))),IF(AL148=3,((LEFT($E148,2))+(MID($E148,FIND("/",$E148)+2,2))+(RIGHT($E148,2))),0)))</f>
        <v>0</v>
      </c>
      <c r="CM148" s="4">
        <f t="shared" ref="CM148:CM212" si="139">IF(AM148=1,(LEFT($E148,2))*1,IF(AM148=2,((LEFT($E148,2))+(MID($E148,FIND("/",$E148)+2,2))),IF(AM148=3,((LEFT($E148,2))+(MID($E148,FIND("/",$E148)+2,2))+(RIGHT($E148,2))),0)))</f>
        <v>0</v>
      </c>
      <c r="CN148" s="4">
        <f t="shared" ref="CN148:CN212" si="140">IF(AN148=1,(LEFT($E148,2))*1,IF(AN148=2,((LEFT($E148,2))+(MID($E148,FIND("/",$E148)+2,2))),IF(AN148=3,((LEFT($E148,2))+(MID($E148,FIND("/",$E148)+2,2))+(RIGHT($E148,2))),0)))</f>
        <v>0</v>
      </c>
      <c r="CO148" s="4">
        <f t="shared" ref="CO148:CO212" si="141">IF(AO148=1,(LEFT($E148,2))*1,IF(AO148=2,((LEFT($E148,2))+(MID($E148,FIND("/",$E148)+2,2))),IF(AO148=3,((LEFT($E148,2))+(MID($E148,FIND("/",$E148)+2,2))+(RIGHT($E148,2))),0)))</f>
        <v>0</v>
      </c>
      <c r="CP148" s="4">
        <f t="shared" ref="CP148:CP212" si="142">IF(AP148=1,(LEFT($E148,2))*1,IF(AP148=2,((LEFT($E148,2))+(MID($E148,FIND("/",$E148)+2,2))),IF(AP148=3,((LEFT($E148,2))+(MID($E148,FIND("/",$E148)+2,2))+(RIGHT($E148,2))),0)))</f>
        <v>0</v>
      </c>
      <c r="CQ148" s="4">
        <f t="shared" ref="CQ148:CQ212" si="143">IF(AQ148=1,(LEFT($E148,2))*1,IF(AQ148=2,((LEFT($E148,2))+(MID($E148,FIND("/",$E148)+2,2))),IF(AQ148=3,((LEFT($E148,2))+(MID($E148,FIND("/",$E148)+2,2))+(RIGHT($E148,2))),0)))</f>
        <v>0</v>
      </c>
      <c r="CR148" s="4">
        <f t="shared" ref="CR148:CR212" si="144">IF(AR148=1,(LEFT($E148,2))*1,IF(AR148=2,((LEFT($E148,2))+(MID($E148,FIND("/",$E148)+2,2))),IF(AR148=3,((LEFT($E148,2))+(MID($E148,FIND("/",$E148)+2,2))+(RIGHT($E148,2))),0)))</f>
        <v>0</v>
      </c>
      <c r="CS148" s="4">
        <f t="shared" ref="CS148:CS212" si="145">IF(AS148=1,(LEFT($E148,2))*1,IF(AS148=2,((LEFT($E148,2))+(MID($E148,FIND("/",$E148)+2,2))),IF(AS148=3,((LEFT($E148,2))+(MID($E148,FIND("/",$E148)+2,2))+(RIGHT($E148,2))),0)))</f>
        <v>0</v>
      </c>
      <c r="CT148" s="4">
        <f t="shared" ref="CT148:CT212" si="146">IF(AT148=1,(LEFT($E148,2))*1,IF(AT148=2,((LEFT($E148,2))+(MID($E148,FIND("/",$E148)+2,2))),IF(AT148=3,((LEFT($E148,2))+(MID($E148,FIND("/",$E148)+2,2))+(RIGHT($E148,2))),0)))</f>
        <v>0</v>
      </c>
      <c r="CU148" s="4">
        <f t="shared" ref="CU148:CU212" si="147">IF(AU148=1,(LEFT($E148,2))*1,IF(AU148=2,((LEFT($E148,2))+(MID($E148,FIND("/",$E148)+2,2))),IF(AU148=3,((LEFT($E148,2))+(MID($E148,FIND("/",$E148)+2,2))+(RIGHT($E148,2))),0)))</f>
        <v>0</v>
      </c>
      <c r="CV148" s="4">
        <f t="shared" ref="CV148:CV212" si="148">IF(AV148=1,(LEFT($E148,2))*1,IF(AV148=2,((LEFT($E148,2))+(MID($E148,FIND("/",$E148)+2,2))),IF(AV148=3,((LEFT($E148,2))+(MID($E148,FIND("/",$E148)+2,2))+(RIGHT($E148,2))),0)))</f>
        <v>0</v>
      </c>
      <c r="CW148" s="4">
        <f t="shared" ref="CW148:CW212" si="149">IF(AW148=1,(LEFT($E148,2))*1,IF(AW148=2,((LEFT($E148,2))+(MID($E148,FIND("/",$E148)+2,2))),IF(AW148=3,((LEFT($E148,2))+(MID($E148,FIND("/",$E148)+2,2))+(RIGHT($E148,2))),0)))</f>
        <v>0</v>
      </c>
      <c r="CX148" s="4">
        <f t="shared" ref="CX148:CX212" si="150">IF(AX148=1,(LEFT($E148,2))*1,IF(AX148=2,((LEFT($E148,2))+(MID($E148,FIND("/",$E148)+2,2))),IF(AX148=3,((LEFT($E148,2))+(MID($E148,FIND("/",$E148)+2,2))+(RIGHT($E148,2))),0)))</f>
        <v>0</v>
      </c>
      <c r="CY148" s="4">
        <f t="shared" ref="CY148:CY212" si="151">IF(AY148=1,(LEFT($E148,2))*1,IF(AY148=2,((LEFT($E148,2))+(MID($E148,FIND("/",$E148)+2,2))),IF(AY148=3,((LEFT($E148,2))+(MID($E148,FIND("/",$E148)+2,2))+(RIGHT($E148,2))),0)))</f>
        <v>0</v>
      </c>
      <c r="CZ148" s="4">
        <f t="shared" ref="CZ148:CZ212" si="152">IF(AZ148=1,(LEFT($E148,2))*1,IF(AZ148=2,((LEFT($E148,2))+(MID($E148,FIND("/",$E148)+2,2))),IF(AZ148=3,((LEFT($E148,2))+(MID($E148,FIND("/",$E148)+2,2))+(RIGHT($E148,2))),0)))</f>
        <v>0</v>
      </c>
      <c r="DA148" s="4">
        <f t="shared" ref="DA148:DA212" si="153">IF(BA148=1,(LEFT($E148,2))*1,IF(BA148=2,((LEFT($E148,2))+(MID($E148,FIND("/",$E148)+2,2))),IF(BA148=3,((LEFT($E148,2))+(MID($E148,FIND("/",$E148)+2,2))+(RIGHT($E148,2))),0)))</f>
        <v>0</v>
      </c>
      <c r="DB148" s="4">
        <f t="shared" ref="DB148:DB212" si="154">IF(BB148=1,(LEFT($E148,2))*1,IF(BB148=2,((LEFT($E148,2))+(MID($E148,FIND("/",$E148)+2,2))),IF(BB148=3,((LEFT($E148,2))+(MID($E148,FIND("/",$E148)+2,2))+(RIGHT($E148,2))),0)))</f>
        <v>0</v>
      </c>
      <c r="DC148" s="4">
        <f t="shared" ref="DC148:DC212" si="155">IF(BC148=1,(LEFT($E148,2))*1,IF(BC148=2,((LEFT($E148,2))+(MID($E148,FIND("/",$E148)+2,2))),IF(BC148=3,((LEFT($E148,2))+(MID($E148,FIND("/",$E148)+2,2))+(RIGHT($E148,2))),0)))</f>
        <v>0</v>
      </c>
      <c r="DD148" s="4">
        <f t="shared" ref="DD148:DD212" si="156">IF(BD148=1,(LEFT($E148,2))*1,IF(BD148=2,((LEFT($E148,2))+(MID($E148,FIND("/",$E148)+2,2))),IF(BD148=3,((LEFT($E148,2))+(MID($E148,FIND("/",$E148)+2,2))+(RIGHT($E148,2))),0)))</f>
        <v>0</v>
      </c>
    </row>
    <row r="149" spans="1:108" x14ac:dyDescent="0.25">
      <c r="A149" s="41" t="str">
        <f>Skills!M131</f>
        <v>Drawing/Painting</v>
      </c>
      <c r="B149" s="57" t="str">
        <f>Skills!N131</f>
        <v>Drawing/Painting</v>
      </c>
      <c r="C149" s="24">
        <f t="shared" si="106"/>
        <v>0</v>
      </c>
      <c r="D149" s="110">
        <f>Skills!S131</f>
        <v>0</v>
      </c>
      <c r="E149" s="111" t="e">
        <f>Profession!B57</f>
        <v>#REF!</v>
      </c>
      <c r="F149" s="18"/>
      <c r="G149" s="18"/>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49"/>
      <c r="BF149" s="4">
        <f t="shared" si="107"/>
        <v>0</v>
      </c>
      <c r="BG149" s="4">
        <f t="shared" si="107"/>
        <v>0</v>
      </c>
      <c r="BH149" s="4">
        <f t="shared" si="108"/>
        <v>0</v>
      </c>
      <c r="BI149" s="4">
        <f t="shared" si="109"/>
        <v>0</v>
      </c>
      <c r="BJ149" s="4">
        <f t="shared" si="110"/>
        <v>0</v>
      </c>
      <c r="BK149" s="4">
        <f t="shared" si="111"/>
        <v>0</v>
      </c>
      <c r="BL149" s="4">
        <f t="shared" si="112"/>
        <v>0</v>
      </c>
      <c r="BM149" s="4">
        <f t="shared" si="113"/>
        <v>0</v>
      </c>
      <c r="BN149" s="4">
        <f t="shared" si="114"/>
        <v>0</v>
      </c>
      <c r="BO149" s="4">
        <f t="shared" si="115"/>
        <v>0</v>
      </c>
      <c r="BP149" s="4">
        <f t="shared" si="116"/>
        <v>0</v>
      </c>
      <c r="BQ149" s="4">
        <f t="shared" si="117"/>
        <v>0</v>
      </c>
      <c r="BR149" s="4">
        <f t="shared" si="118"/>
        <v>0</v>
      </c>
      <c r="BS149" s="4">
        <f t="shared" si="119"/>
        <v>0</v>
      </c>
      <c r="BT149" s="4">
        <f t="shared" si="120"/>
        <v>0</v>
      </c>
      <c r="BU149" s="4">
        <f t="shared" si="121"/>
        <v>0</v>
      </c>
      <c r="BV149" s="4">
        <f t="shared" si="122"/>
        <v>0</v>
      </c>
      <c r="BW149" s="4">
        <f t="shared" si="123"/>
        <v>0</v>
      </c>
      <c r="BX149" s="4">
        <f t="shared" si="124"/>
        <v>0</v>
      </c>
      <c r="BY149" s="4">
        <f t="shared" si="125"/>
        <v>0</v>
      </c>
      <c r="BZ149" s="4">
        <f t="shared" si="126"/>
        <v>0</v>
      </c>
      <c r="CA149" s="4">
        <f t="shared" si="127"/>
        <v>0</v>
      </c>
      <c r="CB149" s="4">
        <f t="shared" si="128"/>
        <v>0</v>
      </c>
      <c r="CC149" s="4">
        <f t="shared" si="129"/>
        <v>0</v>
      </c>
      <c r="CD149" s="4">
        <f t="shared" si="130"/>
        <v>0</v>
      </c>
      <c r="CE149" s="4">
        <f t="shared" si="131"/>
        <v>0</v>
      </c>
      <c r="CF149" s="4">
        <f t="shared" si="132"/>
        <v>0</v>
      </c>
      <c r="CG149" s="4">
        <f t="shared" si="133"/>
        <v>0</v>
      </c>
      <c r="CH149" s="4">
        <f t="shared" si="134"/>
        <v>0</v>
      </c>
      <c r="CI149" s="4">
        <f t="shared" si="135"/>
        <v>0</v>
      </c>
      <c r="CJ149" s="4">
        <f t="shared" si="136"/>
        <v>0</v>
      </c>
      <c r="CK149" s="4">
        <f t="shared" si="137"/>
        <v>0</v>
      </c>
      <c r="CL149" s="4">
        <f t="shared" si="138"/>
        <v>0</v>
      </c>
      <c r="CM149" s="4">
        <f t="shared" si="139"/>
        <v>0</v>
      </c>
      <c r="CN149" s="4">
        <f t="shared" si="140"/>
        <v>0</v>
      </c>
      <c r="CO149" s="4">
        <f t="shared" si="141"/>
        <v>0</v>
      </c>
      <c r="CP149" s="4">
        <f t="shared" si="142"/>
        <v>0</v>
      </c>
      <c r="CQ149" s="4">
        <f t="shared" si="143"/>
        <v>0</v>
      </c>
      <c r="CR149" s="4">
        <f t="shared" si="144"/>
        <v>0</v>
      </c>
      <c r="CS149" s="4">
        <f t="shared" si="145"/>
        <v>0</v>
      </c>
      <c r="CT149" s="4">
        <f t="shared" si="146"/>
        <v>0</v>
      </c>
      <c r="CU149" s="4">
        <f t="shared" si="147"/>
        <v>0</v>
      </c>
      <c r="CV149" s="4">
        <f t="shared" si="148"/>
        <v>0</v>
      </c>
      <c r="CW149" s="4">
        <f t="shared" si="149"/>
        <v>0</v>
      </c>
      <c r="CX149" s="4">
        <f t="shared" si="150"/>
        <v>0</v>
      </c>
      <c r="CY149" s="4">
        <f t="shared" si="151"/>
        <v>0</v>
      </c>
      <c r="CZ149" s="4">
        <f t="shared" si="152"/>
        <v>0</v>
      </c>
      <c r="DA149" s="4">
        <f t="shared" si="153"/>
        <v>0</v>
      </c>
      <c r="DB149" s="4">
        <f t="shared" si="154"/>
        <v>0</v>
      </c>
      <c r="DC149" s="4">
        <f t="shared" si="155"/>
        <v>0</v>
      </c>
      <c r="DD149" s="4">
        <f t="shared" si="156"/>
        <v>0</v>
      </c>
    </row>
    <row r="150" spans="1:108" x14ac:dyDescent="0.25">
      <c r="A150" s="41" t="str">
        <f>Skills!M132</f>
        <v>Embroidery</v>
      </c>
      <c r="B150" s="55" t="str">
        <f>Skills!N132</f>
        <v>Embroidery</v>
      </c>
      <c r="C150" s="22">
        <f t="shared" si="106"/>
        <v>0</v>
      </c>
      <c r="D150" s="112">
        <f>Skills!S132</f>
        <v>0</v>
      </c>
      <c r="E150" s="113" t="e">
        <f>Profession!B58</f>
        <v>#REF!</v>
      </c>
      <c r="F150" s="19"/>
      <c r="G150" s="19"/>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56"/>
      <c r="BF150" s="4">
        <f t="shared" si="107"/>
        <v>0</v>
      </c>
      <c r="BG150" s="4">
        <f t="shared" si="107"/>
        <v>0</v>
      </c>
      <c r="BH150" s="4">
        <f t="shared" si="108"/>
        <v>0</v>
      </c>
      <c r="BI150" s="4">
        <f t="shared" si="109"/>
        <v>0</v>
      </c>
      <c r="BJ150" s="4">
        <f t="shared" si="110"/>
        <v>0</v>
      </c>
      <c r="BK150" s="4">
        <f t="shared" si="111"/>
        <v>0</v>
      </c>
      <c r="BL150" s="4">
        <f t="shared" si="112"/>
        <v>0</v>
      </c>
      <c r="BM150" s="4">
        <f t="shared" si="113"/>
        <v>0</v>
      </c>
      <c r="BN150" s="4">
        <f t="shared" si="114"/>
        <v>0</v>
      </c>
      <c r="BO150" s="4">
        <f t="shared" si="115"/>
        <v>0</v>
      </c>
      <c r="BP150" s="4">
        <f t="shared" si="116"/>
        <v>0</v>
      </c>
      <c r="BQ150" s="4">
        <f t="shared" si="117"/>
        <v>0</v>
      </c>
      <c r="BR150" s="4">
        <f t="shared" si="118"/>
        <v>0</v>
      </c>
      <c r="BS150" s="4">
        <f t="shared" si="119"/>
        <v>0</v>
      </c>
      <c r="BT150" s="4">
        <f t="shared" si="120"/>
        <v>0</v>
      </c>
      <c r="BU150" s="4">
        <f t="shared" si="121"/>
        <v>0</v>
      </c>
      <c r="BV150" s="4">
        <f t="shared" si="122"/>
        <v>0</v>
      </c>
      <c r="BW150" s="4">
        <f t="shared" si="123"/>
        <v>0</v>
      </c>
      <c r="BX150" s="4">
        <f t="shared" si="124"/>
        <v>0</v>
      </c>
      <c r="BY150" s="4">
        <f t="shared" si="125"/>
        <v>0</v>
      </c>
      <c r="BZ150" s="4">
        <f t="shared" si="126"/>
        <v>0</v>
      </c>
      <c r="CA150" s="4">
        <f t="shared" si="127"/>
        <v>0</v>
      </c>
      <c r="CB150" s="4">
        <f t="shared" si="128"/>
        <v>0</v>
      </c>
      <c r="CC150" s="4">
        <f t="shared" si="129"/>
        <v>0</v>
      </c>
      <c r="CD150" s="4">
        <f t="shared" si="130"/>
        <v>0</v>
      </c>
      <c r="CE150" s="4">
        <f t="shared" si="131"/>
        <v>0</v>
      </c>
      <c r="CF150" s="4">
        <f t="shared" si="132"/>
        <v>0</v>
      </c>
      <c r="CG150" s="4">
        <f t="shared" si="133"/>
        <v>0</v>
      </c>
      <c r="CH150" s="4">
        <f t="shared" si="134"/>
        <v>0</v>
      </c>
      <c r="CI150" s="4">
        <f t="shared" si="135"/>
        <v>0</v>
      </c>
      <c r="CJ150" s="4">
        <f t="shared" si="136"/>
        <v>0</v>
      </c>
      <c r="CK150" s="4">
        <f t="shared" si="137"/>
        <v>0</v>
      </c>
      <c r="CL150" s="4">
        <f t="shared" si="138"/>
        <v>0</v>
      </c>
      <c r="CM150" s="4">
        <f t="shared" si="139"/>
        <v>0</v>
      </c>
      <c r="CN150" s="4">
        <f t="shared" si="140"/>
        <v>0</v>
      </c>
      <c r="CO150" s="4">
        <f t="shared" si="141"/>
        <v>0</v>
      </c>
      <c r="CP150" s="4">
        <f t="shared" si="142"/>
        <v>0</v>
      </c>
      <c r="CQ150" s="4">
        <f t="shared" si="143"/>
        <v>0</v>
      </c>
      <c r="CR150" s="4">
        <f t="shared" si="144"/>
        <v>0</v>
      </c>
      <c r="CS150" s="4">
        <f t="shared" si="145"/>
        <v>0</v>
      </c>
      <c r="CT150" s="4">
        <f t="shared" si="146"/>
        <v>0</v>
      </c>
      <c r="CU150" s="4">
        <f t="shared" si="147"/>
        <v>0</v>
      </c>
      <c r="CV150" s="4">
        <f t="shared" si="148"/>
        <v>0</v>
      </c>
      <c r="CW150" s="4">
        <f t="shared" si="149"/>
        <v>0</v>
      </c>
      <c r="CX150" s="4">
        <f t="shared" si="150"/>
        <v>0</v>
      </c>
      <c r="CY150" s="4">
        <f t="shared" si="151"/>
        <v>0</v>
      </c>
      <c r="CZ150" s="4">
        <f t="shared" si="152"/>
        <v>0</v>
      </c>
      <c r="DA150" s="4">
        <f t="shared" si="153"/>
        <v>0</v>
      </c>
      <c r="DB150" s="4">
        <f t="shared" si="154"/>
        <v>0</v>
      </c>
      <c r="DC150" s="4">
        <f t="shared" si="155"/>
        <v>0</v>
      </c>
      <c r="DD150" s="4">
        <f t="shared" si="156"/>
        <v>0</v>
      </c>
    </row>
    <row r="151" spans="1:108" x14ac:dyDescent="0.25">
      <c r="A151" s="41" t="str">
        <f>Skills!M133</f>
        <v>Etcher</v>
      </c>
      <c r="B151" s="57" t="str">
        <f>Skills!N133</f>
        <v>Etcher</v>
      </c>
      <c r="C151" s="24">
        <f t="shared" ref="C151:C215" si="157">SUM(F151:BD151)</f>
        <v>0</v>
      </c>
      <c r="D151" s="110">
        <f>Skills!S133</f>
        <v>0</v>
      </c>
      <c r="E151" s="111" t="e">
        <f>Profession!B59</f>
        <v>#REF!</v>
      </c>
      <c r="F151" s="18"/>
      <c r="G151" s="18"/>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49"/>
      <c r="BF151" s="4">
        <f t="shared" si="107"/>
        <v>0</v>
      </c>
      <c r="BG151" s="4">
        <f t="shared" si="107"/>
        <v>0</v>
      </c>
      <c r="BH151" s="4">
        <f t="shared" si="108"/>
        <v>0</v>
      </c>
      <c r="BI151" s="4">
        <f t="shared" si="109"/>
        <v>0</v>
      </c>
      <c r="BJ151" s="4">
        <f t="shared" si="110"/>
        <v>0</v>
      </c>
      <c r="BK151" s="4">
        <f t="shared" si="111"/>
        <v>0</v>
      </c>
      <c r="BL151" s="4">
        <f t="shared" si="112"/>
        <v>0</v>
      </c>
      <c r="BM151" s="4">
        <f t="shared" si="113"/>
        <v>0</v>
      </c>
      <c r="BN151" s="4">
        <f t="shared" si="114"/>
        <v>0</v>
      </c>
      <c r="BO151" s="4">
        <f t="shared" si="115"/>
        <v>0</v>
      </c>
      <c r="BP151" s="4">
        <f t="shared" si="116"/>
        <v>0</v>
      </c>
      <c r="BQ151" s="4">
        <f t="shared" si="117"/>
        <v>0</v>
      </c>
      <c r="BR151" s="4">
        <f t="shared" si="118"/>
        <v>0</v>
      </c>
      <c r="BS151" s="4">
        <f t="shared" si="119"/>
        <v>0</v>
      </c>
      <c r="BT151" s="4">
        <f t="shared" si="120"/>
        <v>0</v>
      </c>
      <c r="BU151" s="4">
        <f t="shared" si="121"/>
        <v>0</v>
      </c>
      <c r="BV151" s="4">
        <f t="shared" si="122"/>
        <v>0</v>
      </c>
      <c r="BW151" s="4">
        <f t="shared" si="123"/>
        <v>0</v>
      </c>
      <c r="BX151" s="4">
        <f t="shared" si="124"/>
        <v>0</v>
      </c>
      <c r="BY151" s="4">
        <f t="shared" si="125"/>
        <v>0</v>
      </c>
      <c r="BZ151" s="4">
        <f t="shared" si="126"/>
        <v>0</v>
      </c>
      <c r="CA151" s="4">
        <f t="shared" si="127"/>
        <v>0</v>
      </c>
      <c r="CB151" s="4">
        <f t="shared" si="128"/>
        <v>0</v>
      </c>
      <c r="CC151" s="4">
        <f t="shared" si="129"/>
        <v>0</v>
      </c>
      <c r="CD151" s="4">
        <f t="shared" si="130"/>
        <v>0</v>
      </c>
      <c r="CE151" s="4">
        <f t="shared" si="131"/>
        <v>0</v>
      </c>
      <c r="CF151" s="4">
        <f t="shared" si="132"/>
        <v>0</v>
      </c>
      <c r="CG151" s="4">
        <f t="shared" si="133"/>
        <v>0</v>
      </c>
      <c r="CH151" s="4">
        <f t="shared" si="134"/>
        <v>0</v>
      </c>
      <c r="CI151" s="4">
        <f t="shared" si="135"/>
        <v>0</v>
      </c>
      <c r="CJ151" s="4">
        <f t="shared" si="136"/>
        <v>0</v>
      </c>
      <c r="CK151" s="4">
        <f t="shared" si="137"/>
        <v>0</v>
      </c>
      <c r="CL151" s="4">
        <f t="shared" si="138"/>
        <v>0</v>
      </c>
      <c r="CM151" s="4">
        <f t="shared" si="139"/>
        <v>0</v>
      </c>
      <c r="CN151" s="4">
        <f t="shared" si="140"/>
        <v>0</v>
      </c>
      <c r="CO151" s="4">
        <f t="shared" si="141"/>
        <v>0</v>
      </c>
      <c r="CP151" s="4">
        <f t="shared" si="142"/>
        <v>0</v>
      </c>
      <c r="CQ151" s="4">
        <f t="shared" si="143"/>
        <v>0</v>
      </c>
      <c r="CR151" s="4">
        <f t="shared" si="144"/>
        <v>0</v>
      </c>
      <c r="CS151" s="4">
        <f t="shared" si="145"/>
        <v>0</v>
      </c>
      <c r="CT151" s="4">
        <f t="shared" si="146"/>
        <v>0</v>
      </c>
      <c r="CU151" s="4">
        <f t="shared" si="147"/>
        <v>0</v>
      </c>
      <c r="CV151" s="4">
        <f t="shared" si="148"/>
        <v>0</v>
      </c>
      <c r="CW151" s="4">
        <f t="shared" si="149"/>
        <v>0</v>
      </c>
      <c r="CX151" s="4">
        <f t="shared" si="150"/>
        <v>0</v>
      </c>
      <c r="CY151" s="4">
        <f t="shared" si="151"/>
        <v>0</v>
      </c>
      <c r="CZ151" s="4">
        <f t="shared" si="152"/>
        <v>0</v>
      </c>
      <c r="DA151" s="4">
        <f t="shared" si="153"/>
        <v>0</v>
      </c>
      <c r="DB151" s="4">
        <f t="shared" si="154"/>
        <v>0</v>
      </c>
      <c r="DC151" s="4">
        <f t="shared" si="155"/>
        <v>0</v>
      </c>
      <c r="DD151" s="4">
        <f t="shared" si="156"/>
        <v>0</v>
      </c>
    </row>
    <row r="152" spans="1:108" x14ac:dyDescent="0.25">
      <c r="A152" s="41" t="str">
        <f>Skills!M134</f>
        <v>Fabric Craft</v>
      </c>
      <c r="B152" s="55" t="str">
        <f>Skills!N134</f>
        <v>Fabric Craft</v>
      </c>
      <c r="C152" s="22">
        <f t="shared" si="157"/>
        <v>0</v>
      </c>
      <c r="D152" s="112">
        <f>Skills!S134</f>
        <v>0</v>
      </c>
      <c r="E152" s="113" t="e">
        <f>Profession!B60</f>
        <v>#REF!</v>
      </c>
      <c r="F152" s="19"/>
      <c r="G152" s="19"/>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56"/>
      <c r="BF152" s="4">
        <f t="shared" si="107"/>
        <v>0</v>
      </c>
      <c r="BG152" s="4">
        <f t="shared" si="107"/>
        <v>0</v>
      </c>
      <c r="BH152" s="4">
        <f t="shared" si="108"/>
        <v>0</v>
      </c>
      <c r="BI152" s="4">
        <f t="shared" si="109"/>
        <v>0</v>
      </c>
      <c r="BJ152" s="4">
        <f t="shared" si="110"/>
        <v>0</v>
      </c>
      <c r="BK152" s="4">
        <f t="shared" si="111"/>
        <v>0</v>
      </c>
      <c r="BL152" s="4">
        <f t="shared" si="112"/>
        <v>0</v>
      </c>
      <c r="BM152" s="4">
        <f t="shared" si="113"/>
        <v>0</v>
      </c>
      <c r="BN152" s="4">
        <f t="shared" si="114"/>
        <v>0</v>
      </c>
      <c r="BO152" s="4">
        <f t="shared" si="115"/>
        <v>0</v>
      </c>
      <c r="BP152" s="4">
        <f t="shared" si="116"/>
        <v>0</v>
      </c>
      <c r="BQ152" s="4">
        <f t="shared" si="117"/>
        <v>0</v>
      </c>
      <c r="BR152" s="4">
        <f t="shared" si="118"/>
        <v>0</v>
      </c>
      <c r="BS152" s="4">
        <f t="shared" si="119"/>
        <v>0</v>
      </c>
      <c r="BT152" s="4">
        <f t="shared" si="120"/>
        <v>0</v>
      </c>
      <c r="BU152" s="4">
        <f t="shared" si="121"/>
        <v>0</v>
      </c>
      <c r="BV152" s="4">
        <f t="shared" si="122"/>
        <v>0</v>
      </c>
      <c r="BW152" s="4">
        <f t="shared" si="123"/>
        <v>0</v>
      </c>
      <c r="BX152" s="4">
        <f t="shared" si="124"/>
        <v>0</v>
      </c>
      <c r="BY152" s="4">
        <f t="shared" si="125"/>
        <v>0</v>
      </c>
      <c r="BZ152" s="4">
        <f t="shared" si="126"/>
        <v>0</v>
      </c>
      <c r="CA152" s="4">
        <f t="shared" si="127"/>
        <v>0</v>
      </c>
      <c r="CB152" s="4">
        <f t="shared" si="128"/>
        <v>0</v>
      </c>
      <c r="CC152" s="4">
        <f t="shared" si="129"/>
        <v>0</v>
      </c>
      <c r="CD152" s="4">
        <f t="shared" si="130"/>
        <v>0</v>
      </c>
      <c r="CE152" s="4">
        <f t="shared" si="131"/>
        <v>0</v>
      </c>
      <c r="CF152" s="4">
        <f t="shared" si="132"/>
        <v>0</v>
      </c>
      <c r="CG152" s="4">
        <f t="shared" si="133"/>
        <v>0</v>
      </c>
      <c r="CH152" s="4">
        <f t="shared" si="134"/>
        <v>0</v>
      </c>
      <c r="CI152" s="4">
        <f t="shared" si="135"/>
        <v>0</v>
      </c>
      <c r="CJ152" s="4">
        <f t="shared" si="136"/>
        <v>0</v>
      </c>
      <c r="CK152" s="4">
        <f t="shared" si="137"/>
        <v>0</v>
      </c>
      <c r="CL152" s="4">
        <f t="shared" si="138"/>
        <v>0</v>
      </c>
      <c r="CM152" s="4">
        <f t="shared" si="139"/>
        <v>0</v>
      </c>
      <c r="CN152" s="4">
        <f t="shared" si="140"/>
        <v>0</v>
      </c>
      <c r="CO152" s="4">
        <f t="shared" si="141"/>
        <v>0</v>
      </c>
      <c r="CP152" s="4">
        <f t="shared" si="142"/>
        <v>0</v>
      </c>
      <c r="CQ152" s="4">
        <f t="shared" si="143"/>
        <v>0</v>
      </c>
      <c r="CR152" s="4">
        <f t="shared" si="144"/>
        <v>0</v>
      </c>
      <c r="CS152" s="4">
        <f t="shared" si="145"/>
        <v>0</v>
      </c>
      <c r="CT152" s="4">
        <f t="shared" si="146"/>
        <v>0</v>
      </c>
      <c r="CU152" s="4">
        <f t="shared" si="147"/>
        <v>0</v>
      </c>
      <c r="CV152" s="4">
        <f t="shared" si="148"/>
        <v>0</v>
      </c>
      <c r="CW152" s="4">
        <f t="shared" si="149"/>
        <v>0</v>
      </c>
      <c r="CX152" s="4">
        <f t="shared" si="150"/>
        <v>0</v>
      </c>
      <c r="CY152" s="4">
        <f t="shared" si="151"/>
        <v>0</v>
      </c>
      <c r="CZ152" s="4">
        <f t="shared" si="152"/>
        <v>0</v>
      </c>
      <c r="DA152" s="4">
        <f t="shared" si="153"/>
        <v>0</v>
      </c>
      <c r="DB152" s="4">
        <f t="shared" si="154"/>
        <v>0</v>
      </c>
      <c r="DC152" s="4">
        <f t="shared" si="155"/>
        <v>0</v>
      </c>
      <c r="DD152" s="4">
        <f t="shared" si="156"/>
        <v>0</v>
      </c>
    </row>
    <row r="153" spans="1:108" x14ac:dyDescent="0.25">
      <c r="A153" s="41" t="str">
        <f>Skills!M135</f>
        <v>Falsification</v>
      </c>
      <c r="B153" s="57" t="str">
        <f>Skills!N135</f>
        <v>Falsification</v>
      </c>
      <c r="C153" s="24">
        <f t="shared" si="157"/>
        <v>0</v>
      </c>
      <c r="D153" s="110">
        <f>Skills!S135</f>
        <v>0</v>
      </c>
      <c r="E153" s="111" t="e">
        <f>Profession!B61</f>
        <v>#REF!</v>
      </c>
      <c r="F153" s="18"/>
      <c r="G153" s="18"/>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49"/>
      <c r="BF153" s="4">
        <f t="shared" si="107"/>
        <v>0</v>
      </c>
      <c r="BG153" s="4">
        <f t="shared" si="107"/>
        <v>0</v>
      </c>
      <c r="BH153" s="4">
        <f t="shared" si="108"/>
        <v>0</v>
      </c>
      <c r="BI153" s="4">
        <f t="shared" si="109"/>
        <v>0</v>
      </c>
      <c r="BJ153" s="4">
        <f t="shared" si="110"/>
        <v>0</v>
      </c>
      <c r="BK153" s="4">
        <f t="shared" si="111"/>
        <v>0</v>
      </c>
      <c r="BL153" s="4">
        <f t="shared" si="112"/>
        <v>0</v>
      </c>
      <c r="BM153" s="4">
        <f t="shared" si="113"/>
        <v>0</v>
      </c>
      <c r="BN153" s="4">
        <f t="shared" si="114"/>
        <v>0</v>
      </c>
      <c r="BO153" s="4">
        <f t="shared" si="115"/>
        <v>0</v>
      </c>
      <c r="BP153" s="4">
        <f t="shared" si="116"/>
        <v>0</v>
      </c>
      <c r="BQ153" s="4">
        <f t="shared" si="117"/>
        <v>0</v>
      </c>
      <c r="BR153" s="4">
        <f t="shared" si="118"/>
        <v>0</v>
      </c>
      <c r="BS153" s="4">
        <f t="shared" si="119"/>
        <v>0</v>
      </c>
      <c r="BT153" s="4">
        <f t="shared" si="120"/>
        <v>0</v>
      </c>
      <c r="BU153" s="4">
        <f t="shared" si="121"/>
        <v>0</v>
      </c>
      <c r="BV153" s="4">
        <f t="shared" si="122"/>
        <v>0</v>
      </c>
      <c r="BW153" s="4">
        <f t="shared" si="123"/>
        <v>0</v>
      </c>
      <c r="BX153" s="4">
        <f t="shared" si="124"/>
        <v>0</v>
      </c>
      <c r="BY153" s="4">
        <f t="shared" si="125"/>
        <v>0</v>
      </c>
      <c r="BZ153" s="4">
        <f t="shared" si="126"/>
        <v>0</v>
      </c>
      <c r="CA153" s="4">
        <f t="shared" si="127"/>
        <v>0</v>
      </c>
      <c r="CB153" s="4">
        <f t="shared" si="128"/>
        <v>0</v>
      </c>
      <c r="CC153" s="4">
        <f t="shared" si="129"/>
        <v>0</v>
      </c>
      <c r="CD153" s="4">
        <f t="shared" si="130"/>
        <v>0</v>
      </c>
      <c r="CE153" s="4">
        <f t="shared" si="131"/>
        <v>0</v>
      </c>
      <c r="CF153" s="4">
        <f t="shared" si="132"/>
        <v>0</v>
      </c>
      <c r="CG153" s="4">
        <f t="shared" si="133"/>
        <v>0</v>
      </c>
      <c r="CH153" s="4">
        <f t="shared" si="134"/>
        <v>0</v>
      </c>
      <c r="CI153" s="4">
        <f t="shared" si="135"/>
        <v>0</v>
      </c>
      <c r="CJ153" s="4">
        <f t="shared" si="136"/>
        <v>0</v>
      </c>
      <c r="CK153" s="4">
        <f t="shared" si="137"/>
        <v>0</v>
      </c>
      <c r="CL153" s="4">
        <f t="shared" si="138"/>
        <v>0</v>
      </c>
      <c r="CM153" s="4">
        <f t="shared" si="139"/>
        <v>0</v>
      </c>
      <c r="CN153" s="4">
        <f t="shared" si="140"/>
        <v>0</v>
      </c>
      <c r="CO153" s="4">
        <f t="shared" si="141"/>
        <v>0</v>
      </c>
      <c r="CP153" s="4">
        <f t="shared" si="142"/>
        <v>0</v>
      </c>
      <c r="CQ153" s="4">
        <f t="shared" si="143"/>
        <v>0</v>
      </c>
      <c r="CR153" s="4">
        <f t="shared" si="144"/>
        <v>0</v>
      </c>
      <c r="CS153" s="4">
        <f t="shared" si="145"/>
        <v>0</v>
      </c>
      <c r="CT153" s="4">
        <f t="shared" si="146"/>
        <v>0</v>
      </c>
      <c r="CU153" s="4">
        <f t="shared" si="147"/>
        <v>0</v>
      </c>
      <c r="CV153" s="4">
        <f t="shared" si="148"/>
        <v>0</v>
      </c>
      <c r="CW153" s="4">
        <f t="shared" si="149"/>
        <v>0</v>
      </c>
      <c r="CX153" s="4">
        <f t="shared" si="150"/>
        <v>0</v>
      </c>
      <c r="CY153" s="4">
        <f t="shared" si="151"/>
        <v>0</v>
      </c>
      <c r="CZ153" s="4">
        <f t="shared" si="152"/>
        <v>0</v>
      </c>
      <c r="DA153" s="4">
        <f t="shared" si="153"/>
        <v>0</v>
      </c>
      <c r="DB153" s="4">
        <f t="shared" si="154"/>
        <v>0</v>
      </c>
      <c r="DC153" s="4">
        <f t="shared" si="155"/>
        <v>0</v>
      </c>
      <c r="DD153" s="4">
        <f t="shared" si="156"/>
        <v>0</v>
      </c>
    </row>
    <row r="154" spans="1:108" x14ac:dyDescent="0.25">
      <c r="A154" s="41" t="str">
        <f>Skills!M136</f>
        <v>Farrier</v>
      </c>
      <c r="B154" s="55" t="str">
        <f>Skills!N136</f>
        <v>Farrier</v>
      </c>
      <c r="C154" s="22">
        <f t="shared" si="157"/>
        <v>0</v>
      </c>
      <c r="D154" s="112">
        <f>Skills!S136</f>
        <v>0</v>
      </c>
      <c r="E154" s="113" t="e">
        <f>Profession!B62</f>
        <v>#REF!</v>
      </c>
      <c r="F154" s="19"/>
      <c r="G154" s="19"/>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56"/>
      <c r="BF154" s="4">
        <f t="shared" si="107"/>
        <v>0</v>
      </c>
      <c r="BG154" s="4">
        <f t="shared" si="107"/>
        <v>0</v>
      </c>
      <c r="BH154" s="4">
        <f t="shared" si="108"/>
        <v>0</v>
      </c>
      <c r="BI154" s="4">
        <f t="shared" si="109"/>
        <v>0</v>
      </c>
      <c r="BJ154" s="4">
        <f t="shared" si="110"/>
        <v>0</v>
      </c>
      <c r="BK154" s="4">
        <f t="shared" si="111"/>
        <v>0</v>
      </c>
      <c r="BL154" s="4">
        <f t="shared" si="112"/>
        <v>0</v>
      </c>
      <c r="BM154" s="4">
        <f t="shared" si="113"/>
        <v>0</v>
      </c>
      <c r="BN154" s="4">
        <f t="shared" si="114"/>
        <v>0</v>
      </c>
      <c r="BO154" s="4">
        <f t="shared" si="115"/>
        <v>0</v>
      </c>
      <c r="BP154" s="4">
        <f t="shared" si="116"/>
        <v>0</v>
      </c>
      <c r="BQ154" s="4">
        <f t="shared" si="117"/>
        <v>0</v>
      </c>
      <c r="BR154" s="4">
        <f t="shared" si="118"/>
        <v>0</v>
      </c>
      <c r="BS154" s="4">
        <f t="shared" si="119"/>
        <v>0</v>
      </c>
      <c r="BT154" s="4">
        <f t="shared" si="120"/>
        <v>0</v>
      </c>
      <c r="BU154" s="4">
        <f t="shared" si="121"/>
        <v>0</v>
      </c>
      <c r="BV154" s="4">
        <f t="shared" si="122"/>
        <v>0</v>
      </c>
      <c r="BW154" s="4">
        <f t="shared" si="123"/>
        <v>0</v>
      </c>
      <c r="BX154" s="4">
        <f t="shared" si="124"/>
        <v>0</v>
      </c>
      <c r="BY154" s="4">
        <f t="shared" si="125"/>
        <v>0</v>
      </c>
      <c r="BZ154" s="4">
        <f t="shared" si="126"/>
        <v>0</v>
      </c>
      <c r="CA154" s="4">
        <f t="shared" si="127"/>
        <v>0</v>
      </c>
      <c r="CB154" s="4">
        <f t="shared" si="128"/>
        <v>0</v>
      </c>
      <c r="CC154" s="4">
        <f t="shared" si="129"/>
        <v>0</v>
      </c>
      <c r="CD154" s="4">
        <f t="shared" si="130"/>
        <v>0</v>
      </c>
      <c r="CE154" s="4">
        <f t="shared" si="131"/>
        <v>0</v>
      </c>
      <c r="CF154" s="4">
        <f t="shared" si="132"/>
        <v>0</v>
      </c>
      <c r="CG154" s="4">
        <f t="shared" si="133"/>
        <v>0</v>
      </c>
      <c r="CH154" s="4">
        <f t="shared" si="134"/>
        <v>0</v>
      </c>
      <c r="CI154" s="4">
        <f t="shared" si="135"/>
        <v>0</v>
      </c>
      <c r="CJ154" s="4">
        <f t="shared" si="136"/>
        <v>0</v>
      </c>
      <c r="CK154" s="4">
        <f t="shared" si="137"/>
        <v>0</v>
      </c>
      <c r="CL154" s="4">
        <f t="shared" si="138"/>
        <v>0</v>
      </c>
      <c r="CM154" s="4">
        <f t="shared" si="139"/>
        <v>0</v>
      </c>
      <c r="CN154" s="4">
        <f t="shared" si="140"/>
        <v>0</v>
      </c>
      <c r="CO154" s="4">
        <f t="shared" si="141"/>
        <v>0</v>
      </c>
      <c r="CP154" s="4">
        <f t="shared" si="142"/>
        <v>0</v>
      </c>
      <c r="CQ154" s="4">
        <f t="shared" si="143"/>
        <v>0</v>
      </c>
      <c r="CR154" s="4">
        <f t="shared" si="144"/>
        <v>0</v>
      </c>
      <c r="CS154" s="4">
        <f t="shared" si="145"/>
        <v>0</v>
      </c>
      <c r="CT154" s="4">
        <f t="shared" si="146"/>
        <v>0</v>
      </c>
      <c r="CU154" s="4">
        <f t="shared" si="147"/>
        <v>0</v>
      </c>
      <c r="CV154" s="4">
        <f t="shared" si="148"/>
        <v>0</v>
      </c>
      <c r="CW154" s="4">
        <f t="shared" si="149"/>
        <v>0</v>
      </c>
      <c r="CX154" s="4">
        <f t="shared" si="150"/>
        <v>0</v>
      </c>
      <c r="CY154" s="4">
        <f t="shared" si="151"/>
        <v>0</v>
      </c>
      <c r="CZ154" s="4">
        <f t="shared" si="152"/>
        <v>0</v>
      </c>
      <c r="DA154" s="4">
        <f t="shared" si="153"/>
        <v>0</v>
      </c>
      <c r="DB154" s="4">
        <f t="shared" si="154"/>
        <v>0</v>
      </c>
      <c r="DC154" s="4">
        <f t="shared" si="155"/>
        <v>0</v>
      </c>
      <c r="DD154" s="4">
        <f t="shared" si="156"/>
        <v>0</v>
      </c>
    </row>
    <row r="155" spans="1:108" x14ac:dyDescent="0.25">
      <c r="A155" s="41" t="str">
        <f>Skills!M137</f>
        <v>Fletching</v>
      </c>
      <c r="B155" s="57" t="str">
        <f>Skills!N137</f>
        <v>Fletching</v>
      </c>
      <c r="C155" s="24">
        <f t="shared" si="157"/>
        <v>0</v>
      </c>
      <c r="D155" s="110">
        <f>Skills!S137</f>
        <v>0</v>
      </c>
      <c r="E155" s="111" t="e">
        <f>Profession!B63</f>
        <v>#REF!</v>
      </c>
      <c r="F155" s="18"/>
      <c r="G155" s="18"/>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49"/>
      <c r="BF155" s="4">
        <f t="shared" si="107"/>
        <v>0</v>
      </c>
      <c r="BG155" s="4">
        <f t="shared" si="107"/>
        <v>0</v>
      </c>
      <c r="BH155" s="4">
        <f t="shared" si="108"/>
        <v>0</v>
      </c>
      <c r="BI155" s="4">
        <f t="shared" si="109"/>
        <v>0</v>
      </c>
      <c r="BJ155" s="4">
        <f t="shared" si="110"/>
        <v>0</v>
      </c>
      <c r="BK155" s="4">
        <f t="shared" si="111"/>
        <v>0</v>
      </c>
      <c r="BL155" s="4">
        <f t="shared" si="112"/>
        <v>0</v>
      </c>
      <c r="BM155" s="4">
        <f t="shared" si="113"/>
        <v>0</v>
      </c>
      <c r="BN155" s="4">
        <f t="shared" si="114"/>
        <v>0</v>
      </c>
      <c r="BO155" s="4">
        <f t="shared" si="115"/>
        <v>0</v>
      </c>
      <c r="BP155" s="4">
        <f t="shared" si="116"/>
        <v>0</v>
      </c>
      <c r="BQ155" s="4">
        <f t="shared" si="117"/>
        <v>0</v>
      </c>
      <c r="BR155" s="4">
        <f t="shared" si="118"/>
        <v>0</v>
      </c>
      <c r="BS155" s="4">
        <f t="shared" si="119"/>
        <v>0</v>
      </c>
      <c r="BT155" s="4">
        <f t="shared" si="120"/>
        <v>0</v>
      </c>
      <c r="BU155" s="4">
        <f t="shared" si="121"/>
        <v>0</v>
      </c>
      <c r="BV155" s="4">
        <f t="shared" si="122"/>
        <v>0</v>
      </c>
      <c r="BW155" s="4">
        <f t="shared" si="123"/>
        <v>0</v>
      </c>
      <c r="BX155" s="4">
        <f t="shared" si="124"/>
        <v>0</v>
      </c>
      <c r="BY155" s="4">
        <f t="shared" si="125"/>
        <v>0</v>
      </c>
      <c r="BZ155" s="4">
        <f t="shared" si="126"/>
        <v>0</v>
      </c>
      <c r="CA155" s="4">
        <f t="shared" si="127"/>
        <v>0</v>
      </c>
      <c r="CB155" s="4">
        <f t="shared" si="128"/>
        <v>0</v>
      </c>
      <c r="CC155" s="4">
        <f t="shared" si="129"/>
        <v>0</v>
      </c>
      <c r="CD155" s="4">
        <f t="shared" si="130"/>
        <v>0</v>
      </c>
      <c r="CE155" s="4">
        <f t="shared" si="131"/>
        <v>0</v>
      </c>
      <c r="CF155" s="4">
        <f t="shared" si="132"/>
        <v>0</v>
      </c>
      <c r="CG155" s="4">
        <f t="shared" si="133"/>
        <v>0</v>
      </c>
      <c r="CH155" s="4">
        <f t="shared" si="134"/>
        <v>0</v>
      </c>
      <c r="CI155" s="4">
        <f t="shared" si="135"/>
        <v>0</v>
      </c>
      <c r="CJ155" s="4">
        <f t="shared" si="136"/>
        <v>0</v>
      </c>
      <c r="CK155" s="4">
        <f t="shared" si="137"/>
        <v>0</v>
      </c>
      <c r="CL155" s="4">
        <f t="shared" si="138"/>
        <v>0</v>
      </c>
      <c r="CM155" s="4">
        <f t="shared" si="139"/>
        <v>0</v>
      </c>
      <c r="CN155" s="4">
        <f t="shared" si="140"/>
        <v>0</v>
      </c>
      <c r="CO155" s="4">
        <f t="shared" si="141"/>
        <v>0</v>
      </c>
      <c r="CP155" s="4">
        <f t="shared" si="142"/>
        <v>0</v>
      </c>
      <c r="CQ155" s="4">
        <f t="shared" si="143"/>
        <v>0</v>
      </c>
      <c r="CR155" s="4">
        <f t="shared" si="144"/>
        <v>0</v>
      </c>
      <c r="CS155" s="4">
        <f t="shared" si="145"/>
        <v>0</v>
      </c>
      <c r="CT155" s="4">
        <f t="shared" si="146"/>
        <v>0</v>
      </c>
      <c r="CU155" s="4">
        <f t="shared" si="147"/>
        <v>0</v>
      </c>
      <c r="CV155" s="4">
        <f t="shared" si="148"/>
        <v>0</v>
      </c>
      <c r="CW155" s="4">
        <f t="shared" si="149"/>
        <v>0</v>
      </c>
      <c r="CX155" s="4">
        <f t="shared" si="150"/>
        <v>0</v>
      </c>
      <c r="CY155" s="4">
        <f t="shared" si="151"/>
        <v>0</v>
      </c>
      <c r="CZ155" s="4">
        <f t="shared" si="152"/>
        <v>0</v>
      </c>
      <c r="DA155" s="4">
        <f t="shared" si="153"/>
        <v>0</v>
      </c>
      <c r="DB155" s="4">
        <f t="shared" si="154"/>
        <v>0</v>
      </c>
      <c r="DC155" s="4">
        <f t="shared" si="155"/>
        <v>0</v>
      </c>
      <c r="DD155" s="4">
        <f t="shared" si="156"/>
        <v>0</v>
      </c>
    </row>
    <row r="156" spans="1:108" x14ac:dyDescent="0.25">
      <c r="A156" s="41" t="str">
        <f>Skills!M138</f>
        <v>Forgery</v>
      </c>
      <c r="B156" s="55" t="str">
        <f>Skills!N138</f>
        <v>Forgery</v>
      </c>
      <c r="C156" s="22">
        <f t="shared" si="157"/>
        <v>0</v>
      </c>
      <c r="D156" s="112">
        <f>Skills!S138</f>
        <v>0</v>
      </c>
      <c r="E156" s="113" t="e">
        <f>Profession!B64</f>
        <v>#REF!</v>
      </c>
      <c r="F156" s="19"/>
      <c r="G156" s="19"/>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56"/>
      <c r="BF156" s="4">
        <f t="shared" si="107"/>
        <v>0</v>
      </c>
      <c r="BG156" s="4">
        <f t="shared" si="107"/>
        <v>0</v>
      </c>
      <c r="BH156" s="4">
        <f t="shared" si="108"/>
        <v>0</v>
      </c>
      <c r="BI156" s="4">
        <f t="shared" si="109"/>
        <v>0</v>
      </c>
      <c r="BJ156" s="4">
        <f t="shared" si="110"/>
        <v>0</v>
      </c>
      <c r="BK156" s="4">
        <f t="shared" si="111"/>
        <v>0</v>
      </c>
      <c r="BL156" s="4">
        <f t="shared" si="112"/>
        <v>0</v>
      </c>
      <c r="BM156" s="4">
        <f t="shared" si="113"/>
        <v>0</v>
      </c>
      <c r="BN156" s="4">
        <f t="shared" si="114"/>
        <v>0</v>
      </c>
      <c r="BO156" s="4">
        <f t="shared" si="115"/>
        <v>0</v>
      </c>
      <c r="BP156" s="4">
        <f t="shared" si="116"/>
        <v>0</v>
      </c>
      <c r="BQ156" s="4">
        <f t="shared" si="117"/>
        <v>0</v>
      </c>
      <c r="BR156" s="4">
        <f t="shared" si="118"/>
        <v>0</v>
      </c>
      <c r="BS156" s="4">
        <f t="shared" si="119"/>
        <v>0</v>
      </c>
      <c r="BT156" s="4">
        <f t="shared" si="120"/>
        <v>0</v>
      </c>
      <c r="BU156" s="4">
        <f t="shared" si="121"/>
        <v>0</v>
      </c>
      <c r="BV156" s="4">
        <f t="shared" si="122"/>
        <v>0</v>
      </c>
      <c r="BW156" s="4">
        <f t="shared" si="123"/>
        <v>0</v>
      </c>
      <c r="BX156" s="4">
        <f t="shared" si="124"/>
        <v>0</v>
      </c>
      <c r="BY156" s="4">
        <f t="shared" si="125"/>
        <v>0</v>
      </c>
      <c r="BZ156" s="4">
        <f t="shared" si="126"/>
        <v>0</v>
      </c>
      <c r="CA156" s="4">
        <f t="shared" si="127"/>
        <v>0</v>
      </c>
      <c r="CB156" s="4">
        <f t="shared" si="128"/>
        <v>0</v>
      </c>
      <c r="CC156" s="4">
        <f t="shared" si="129"/>
        <v>0</v>
      </c>
      <c r="CD156" s="4">
        <f t="shared" si="130"/>
        <v>0</v>
      </c>
      <c r="CE156" s="4">
        <f t="shared" si="131"/>
        <v>0</v>
      </c>
      <c r="CF156" s="4">
        <f t="shared" si="132"/>
        <v>0</v>
      </c>
      <c r="CG156" s="4">
        <f t="shared" si="133"/>
        <v>0</v>
      </c>
      <c r="CH156" s="4">
        <f t="shared" si="134"/>
        <v>0</v>
      </c>
      <c r="CI156" s="4">
        <f t="shared" si="135"/>
        <v>0</v>
      </c>
      <c r="CJ156" s="4">
        <f t="shared" si="136"/>
        <v>0</v>
      </c>
      <c r="CK156" s="4">
        <f t="shared" si="137"/>
        <v>0</v>
      </c>
      <c r="CL156" s="4">
        <f t="shared" si="138"/>
        <v>0</v>
      </c>
      <c r="CM156" s="4">
        <f t="shared" si="139"/>
        <v>0</v>
      </c>
      <c r="CN156" s="4">
        <f t="shared" si="140"/>
        <v>0</v>
      </c>
      <c r="CO156" s="4">
        <f t="shared" si="141"/>
        <v>0</v>
      </c>
      <c r="CP156" s="4">
        <f t="shared" si="142"/>
        <v>0</v>
      </c>
      <c r="CQ156" s="4">
        <f t="shared" si="143"/>
        <v>0</v>
      </c>
      <c r="CR156" s="4">
        <f t="shared" si="144"/>
        <v>0</v>
      </c>
      <c r="CS156" s="4">
        <f t="shared" si="145"/>
        <v>0</v>
      </c>
      <c r="CT156" s="4">
        <f t="shared" si="146"/>
        <v>0</v>
      </c>
      <c r="CU156" s="4">
        <f t="shared" si="147"/>
        <v>0</v>
      </c>
      <c r="CV156" s="4">
        <f t="shared" si="148"/>
        <v>0</v>
      </c>
      <c r="CW156" s="4">
        <f t="shared" si="149"/>
        <v>0</v>
      </c>
      <c r="CX156" s="4">
        <f t="shared" si="150"/>
        <v>0</v>
      </c>
      <c r="CY156" s="4">
        <f t="shared" si="151"/>
        <v>0</v>
      </c>
      <c r="CZ156" s="4">
        <f t="shared" si="152"/>
        <v>0</v>
      </c>
      <c r="DA156" s="4">
        <f t="shared" si="153"/>
        <v>0</v>
      </c>
      <c r="DB156" s="4">
        <f t="shared" si="154"/>
        <v>0</v>
      </c>
      <c r="DC156" s="4">
        <f t="shared" si="155"/>
        <v>0</v>
      </c>
      <c r="DD156" s="4">
        <f t="shared" si="156"/>
        <v>0</v>
      </c>
    </row>
    <row r="157" spans="1:108" x14ac:dyDescent="0.25">
      <c r="A157" s="41" t="str">
        <f>Skills!M139</f>
        <v>Foundry</v>
      </c>
      <c r="B157" s="57" t="str">
        <f>Skills!N139</f>
        <v>Foundry</v>
      </c>
      <c r="C157" s="24">
        <f t="shared" si="157"/>
        <v>0</v>
      </c>
      <c r="D157" s="110">
        <f>Skills!S139</f>
        <v>0</v>
      </c>
      <c r="E157" s="111" t="e">
        <f>Profession!B65</f>
        <v>#REF!</v>
      </c>
      <c r="F157" s="18"/>
      <c r="G157" s="18"/>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49"/>
      <c r="BF157" s="4">
        <f t="shared" si="107"/>
        <v>0</v>
      </c>
      <c r="BG157" s="4">
        <f t="shared" si="107"/>
        <v>0</v>
      </c>
      <c r="BH157" s="4">
        <f t="shared" si="108"/>
        <v>0</v>
      </c>
      <c r="BI157" s="4">
        <f t="shared" si="109"/>
        <v>0</v>
      </c>
      <c r="BJ157" s="4">
        <f t="shared" si="110"/>
        <v>0</v>
      </c>
      <c r="BK157" s="4">
        <f t="shared" si="111"/>
        <v>0</v>
      </c>
      <c r="BL157" s="4">
        <f t="shared" si="112"/>
        <v>0</v>
      </c>
      <c r="BM157" s="4">
        <f t="shared" si="113"/>
        <v>0</v>
      </c>
      <c r="BN157" s="4">
        <f t="shared" si="114"/>
        <v>0</v>
      </c>
      <c r="BO157" s="4">
        <f t="shared" si="115"/>
        <v>0</v>
      </c>
      <c r="BP157" s="4">
        <f t="shared" si="116"/>
        <v>0</v>
      </c>
      <c r="BQ157" s="4">
        <f t="shared" si="117"/>
        <v>0</v>
      </c>
      <c r="BR157" s="4">
        <f t="shared" si="118"/>
        <v>0</v>
      </c>
      <c r="BS157" s="4">
        <f t="shared" si="119"/>
        <v>0</v>
      </c>
      <c r="BT157" s="4">
        <f t="shared" si="120"/>
        <v>0</v>
      </c>
      <c r="BU157" s="4">
        <f t="shared" si="121"/>
        <v>0</v>
      </c>
      <c r="BV157" s="4">
        <f t="shared" si="122"/>
        <v>0</v>
      </c>
      <c r="BW157" s="4">
        <f t="shared" si="123"/>
        <v>0</v>
      </c>
      <c r="BX157" s="4">
        <f t="shared" si="124"/>
        <v>0</v>
      </c>
      <c r="BY157" s="4">
        <f t="shared" si="125"/>
        <v>0</v>
      </c>
      <c r="BZ157" s="4">
        <f t="shared" si="126"/>
        <v>0</v>
      </c>
      <c r="CA157" s="4">
        <f t="shared" si="127"/>
        <v>0</v>
      </c>
      <c r="CB157" s="4">
        <f t="shared" si="128"/>
        <v>0</v>
      </c>
      <c r="CC157" s="4">
        <f t="shared" si="129"/>
        <v>0</v>
      </c>
      <c r="CD157" s="4">
        <f t="shared" si="130"/>
        <v>0</v>
      </c>
      <c r="CE157" s="4">
        <f t="shared" si="131"/>
        <v>0</v>
      </c>
      <c r="CF157" s="4">
        <f t="shared" si="132"/>
        <v>0</v>
      </c>
      <c r="CG157" s="4">
        <f t="shared" si="133"/>
        <v>0</v>
      </c>
      <c r="CH157" s="4">
        <f t="shared" si="134"/>
        <v>0</v>
      </c>
      <c r="CI157" s="4">
        <f t="shared" si="135"/>
        <v>0</v>
      </c>
      <c r="CJ157" s="4">
        <f t="shared" si="136"/>
        <v>0</v>
      </c>
      <c r="CK157" s="4">
        <f t="shared" si="137"/>
        <v>0</v>
      </c>
      <c r="CL157" s="4">
        <f t="shared" si="138"/>
        <v>0</v>
      </c>
      <c r="CM157" s="4">
        <f t="shared" si="139"/>
        <v>0</v>
      </c>
      <c r="CN157" s="4">
        <f t="shared" si="140"/>
        <v>0</v>
      </c>
      <c r="CO157" s="4">
        <f t="shared" si="141"/>
        <v>0</v>
      </c>
      <c r="CP157" s="4">
        <f t="shared" si="142"/>
        <v>0</v>
      </c>
      <c r="CQ157" s="4">
        <f t="shared" si="143"/>
        <v>0</v>
      </c>
      <c r="CR157" s="4">
        <f t="shared" si="144"/>
        <v>0</v>
      </c>
      <c r="CS157" s="4">
        <f t="shared" si="145"/>
        <v>0</v>
      </c>
      <c r="CT157" s="4">
        <f t="shared" si="146"/>
        <v>0</v>
      </c>
      <c r="CU157" s="4">
        <f t="shared" si="147"/>
        <v>0</v>
      </c>
      <c r="CV157" s="4">
        <f t="shared" si="148"/>
        <v>0</v>
      </c>
      <c r="CW157" s="4">
        <f t="shared" si="149"/>
        <v>0</v>
      </c>
      <c r="CX157" s="4">
        <f t="shared" si="150"/>
        <v>0</v>
      </c>
      <c r="CY157" s="4">
        <f t="shared" si="151"/>
        <v>0</v>
      </c>
      <c r="CZ157" s="4">
        <f t="shared" si="152"/>
        <v>0</v>
      </c>
      <c r="DA157" s="4">
        <f t="shared" si="153"/>
        <v>0</v>
      </c>
      <c r="DB157" s="4">
        <f t="shared" si="154"/>
        <v>0</v>
      </c>
      <c r="DC157" s="4">
        <f t="shared" si="155"/>
        <v>0</v>
      </c>
      <c r="DD157" s="4">
        <f t="shared" si="156"/>
        <v>0</v>
      </c>
    </row>
    <row r="158" spans="1:108" x14ac:dyDescent="0.25">
      <c r="A158" s="41" t="str">
        <f>Skills!M140</f>
        <v>Furrier</v>
      </c>
      <c r="B158" s="55" t="str">
        <f>Skills!N140</f>
        <v>Furrier</v>
      </c>
      <c r="C158" s="22">
        <f t="shared" si="157"/>
        <v>0</v>
      </c>
      <c r="D158" s="112">
        <f>Skills!S140</f>
        <v>0</v>
      </c>
      <c r="E158" s="113" t="e">
        <f>Profession!B66</f>
        <v>#REF!</v>
      </c>
      <c r="F158" s="19"/>
      <c r="G158" s="19"/>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56"/>
      <c r="BF158" s="4">
        <f t="shared" si="107"/>
        <v>0</v>
      </c>
      <c r="BG158" s="4">
        <f t="shared" si="107"/>
        <v>0</v>
      </c>
      <c r="BH158" s="4">
        <f t="shared" si="108"/>
        <v>0</v>
      </c>
      <c r="BI158" s="4">
        <f t="shared" si="109"/>
        <v>0</v>
      </c>
      <c r="BJ158" s="4">
        <f t="shared" si="110"/>
        <v>0</v>
      </c>
      <c r="BK158" s="4">
        <f t="shared" si="111"/>
        <v>0</v>
      </c>
      <c r="BL158" s="4">
        <f t="shared" si="112"/>
        <v>0</v>
      </c>
      <c r="BM158" s="4">
        <f t="shared" si="113"/>
        <v>0</v>
      </c>
      <c r="BN158" s="4">
        <f t="shared" si="114"/>
        <v>0</v>
      </c>
      <c r="BO158" s="4">
        <f t="shared" si="115"/>
        <v>0</v>
      </c>
      <c r="BP158" s="4">
        <f t="shared" si="116"/>
        <v>0</v>
      </c>
      <c r="BQ158" s="4">
        <f t="shared" si="117"/>
        <v>0</v>
      </c>
      <c r="BR158" s="4">
        <f t="shared" si="118"/>
        <v>0</v>
      </c>
      <c r="BS158" s="4">
        <f t="shared" si="119"/>
        <v>0</v>
      </c>
      <c r="BT158" s="4">
        <f t="shared" si="120"/>
        <v>0</v>
      </c>
      <c r="BU158" s="4">
        <f t="shared" si="121"/>
        <v>0</v>
      </c>
      <c r="BV158" s="4">
        <f t="shared" si="122"/>
        <v>0</v>
      </c>
      <c r="BW158" s="4">
        <f t="shared" si="123"/>
        <v>0</v>
      </c>
      <c r="BX158" s="4">
        <f t="shared" si="124"/>
        <v>0</v>
      </c>
      <c r="BY158" s="4">
        <f t="shared" si="125"/>
        <v>0</v>
      </c>
      <c r="BZ158" s="4">
        <f t="shared" si="126"/>
        <v>0</v>
      </c>
      <c r="CA158" s="4">
        <f t="shared" si="127"/>
        <v>0</v>
      </c>
      <c r="CB158" s="4">
        <f t="shared" si="128"/>
        <v>0</v>
      </c>
      <c r="CC158" s="4">
        <f t="shared" si="129"/>
        <v>0</v>
      </c>
      <c r="CD158" s="4">
        <f t="shared" si="130"/>
        <v>0</v>
      </c>
      <c r="CE158" s="4">
        <f t="shared" si="131"/>
        <v>0</v>
      </c>
      <c r="CF158" s="4">
        <f t="shared" si="132"/>
        <v>0</v>
      </c>
      <c r="CG158" s="4">
        <f t="shared" si="133"/>
        <v>0</v>
      </c>
      <c r="CH158" s="4">
        <f t="shared" si="134"/>
        <v>0</v>
      </c>
      <c r="CI158" s="4">
        <f t="shared" si="135"/>
        <v>0</v>
      </c>
      <c r="CJ158" s="4">
        <f t="shared" si="136"/>
        <v>0</v>
      </c>
      <c r="CK158" s="4">
        <f t="shared" si="137"/>
        <v>0</v>
      </c>
      <c r="CL158" s="4">
        <f t="shared" si="138"/>
        <v>0</v>
      </c>
      <c r="CM158" s="4">
        <f t="shared" si="139"/>
        <v>0</v>
      </c>
      <c r="CN158" s="4">
        <f t="shared" si="140"/>
        <v>0</v>
      </c>
      <c r="CO158" s="4">
        <f t="shared" si="141"/>
        <v>0</v>
      </c>
      <c r="CP158" s="4">
        <f t="shared" si="142"/>
        <v>0</v>
      </c>
      <c r="CQ158" s="4">
        <f t="shared" si="143"/>
        <v>0</v>
      </c>
      <c r="CR158" s="4">
        <f t="shared" si="144"/>
        <v>0</v>
      </c>
      <c r="CS158" s="4">
        <f t="shared" si="145"/>
        <v>0</v>
      </c>
      <c r="CT158" s="4">
        <f t="shared" si="146"/>
        <v>0</v>
      </c>
      <c r="CU158" s="4">
        <f t="shared" si="147"/>
        <v>0</v>
      </c>
      <c r="CV158" s="4">
        <f t="shared" si="148"/>
        <v>0</v>
      </c>
      <c r="CW158" s="4">
        <f t="shared" si="149"/>
        <v>0</v>
      </c>
      <c r="CX158" s="4">
        <f t="shared" si="150"/>
        <v>0</v>
      </c>
      <c r="CY158" s="4">
        <f t="shared" si="151"/>
        <v>0</v>
      </c>
      <c r="CZ158" s="4">
        <f t="shared" si="152"/>
        <v>0</v>
      </c>
      <c r="DA158" s="4">
        <f t="shared" si="153"/>
        <v>0</v>
      </c>
      <c r="DB158" s="4">
        <f t="shared" si="154"/>
        <v>0</v>
      </c>
      <c r="DC158" s="4">
        <f t="shared" si="155"/>
        <v>0</v>
      </c>
      <c r="DD158" s="4">
        <f t="shared" si="156"/>
        <v>0</v>
      </c>
    </row>
    <row r="159" spans="1:108" x14ac:dyDescent="0.25">
      <c r="A159" s="41" t="str">
        <f>Skills!M141</f>
        <v>Glass-working</v>
      </c>
      <c r="B159" s="57" t="str">
        <f>Skills!N141</f>
        <v>Glass-working</v>
      </c>
      <c r="C159" s="24">
        <f t="shared" si="157"/>
        <v>0</v>
      </c>
      <c r="D159" s="110">
        <f>Skills!S141</f>
        <v>0</v>
      </c>
      <c r="E159" s="111" t="e">
        <f>Profession!B67</f>
        <v>#REF!</v>
      </c>
      <c r="F159" s="18"/>
      <c r="G159" s="18"/>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49"/>
      <c r="BF159" s="4">
        <f t="shared" si="107"/>
        <v>0</v>
      </c>
      <c r="BG159" s="4">
        <f t="shared" si="107"/>
        <v>0</v>
      </c>
      <c r="BH159" s="4">
        <f t="shared" si="108"/>
        <v>0</v>
      </c>
      <c r="BI159" s="4">
        <f t="shared" si="109"/>
        <v>0</v>
      </c>
      <c r="BJ159" s="4">
        <f t="shared" si="110"/>
        <v>0</v>
      </c>
      <c r="BK159" s="4">
        <f t="shared" si="111"/>
        <v>0</v>
      </c>
      <c r="BL159" s="4">
        <f t="shared" si="112"/>
        <v>0</v>
      </c>
      <c r="BM159" s="4">
        <f t="shared" si="113"/>
        <v>0</v>
      </c>
      <c r="BN159" s="4">
        <f t="shared" si="114"/>
        <v>0</v>
      </c>
      <c r="BO159" s="4">
        <f t="shared" si="115"/>
        <v>0</v>
      </c>
      <c r="BP159" s="4">
        <f t="shared" si="116"/>
        <v>0</v>
      </c>
      <c r="BQ159" s="4">
        <f t="shared" si="117"/>
        <v>0</v>
      </c>
      <c r="BR159" s="4">
        <f t="shared" si="118"/>
        <v>0</v>
      </c>
      <c r="BS159" s="4">
        <f t="shared" si="119"/>
        <v>0</v>
      </c>
      <c r="BT159" s="4">
        <f t="shared" si="120"/>
        <v>0</v>
      </c>
      <c r="BU159" s="4">
        <f t="shared" si="121"/>
        <v>0</v>
      </c>
      <c r="BV159" s="4">
        <f t="shared" si="122"/>
        <v>0</v>
      </c>
      <c r="BW159" s="4">
        <f t="shared" si="123"/>
        <v>0</v>
      </c>
      <c r="BX159" s="4">
        <f t="shared" si="124"/>
        <v>0</v>
      </c>
      <c r="BY159" s="4">
        <f t="shared" si="125"/>
        <v>0</v>
      </c>
      <c r="BZ159" s="4">
        <f t="shared" si="126"/>
        <v>0</v>
      </c>
      <c r="CA159" s="4">
        <f t="shared" si="127"/>
        <v>0</v>
      </c>
      <c r="CB159" s="4">
        <f t="shared" si="128"/>
        <v>0</v>
      </c>
      <c r="CC159" s="4">
        <f t="shared" si="129"/>
        <v>0</v>
      </c>
      <c r="CD159" s="4">
        <f t="shared" si="130"/>
        <v>0</v>
      </c>
      <c r="CE159" s="4">
        <f t="shared" si="131"/>
        <v>0</v>
      </c>
      <c r="CF159" s="4">
        <f t="shared" si="132"/>
        <v>0</v>
      </c>
      <c r="CG159" s="4">
        <f t="shared" si="133"/>
        <v>0</v>
      </c>
      <c r="CH159" s="4">
        <f t="shared" si="134"/>
        <v>0</v>
      </c>
      <c r="CI159" s="4">
        <f t="shared" si="135"/>
        <v>0</v>
      </c>
      <c r="CJ159" s="4">
        <f t="shared" si="136"/>
        <v>0</v>
      </c>
      <c r="CK159" s="4">
        <f t="shared" si="137"/>
        <v>0</v>
      </c>
      <c r="CL159" s="4">
        <f t="shared" si="138"/>
        <v>0</v>
      </c>
      <c r="CM159" s="4">
        <f t="shared" si="139"/>
        <v>0</v>
      </c>
      <c r="CN159" s="4">
        <f t="shared" si="140"/>
        <v>0</v>
      </c>
      <c r="CO159" s="4">
        <f t="shared" si="141"/>
        <v>0</v>
      </c>
      <c r="CP159" s="4">
        <f t="shared" si="142"/>
        <v>0</v>
      </c>
      <c r="CQ159" s="4">
        <f t="shared" si="143"/>
        <v>0</v>
      </c>
      <c r="CR159" s="4">
        <f t="shared" si="144"/>
        <v>0</v>
      </c>
      <c r="CS159" s="4">
        <f t="shared" si="145"/>
        <v>0</v>
      </c>
      <c r="CT159" s="4">
        <f t="shared" si="146"/>
        <v>0</v>
      </c>
      <c r="CU159" s="4">
        <f t="shared" si="147"/>
        <v>0</v>
      </c>
      <c r="CV159" s="4">
        <f t="shared" si="148"/>
        <v>0</v>
      </c>
      <c r="CW159" s="4">
        <f t="shared" si="149"/>
        <v>0</v>
      </c>
      <c r="CX159" s="4">
        <f t="shared" si="150"/>
        <v>0</v>
      </c>
      <c r="CY159" s="4">
        <f t="shared" si="151"/>
        <v>0</v>
      </c>
      <c r="CZ159" s="4">
        <f t="shared" si="152"/>
        <v>0</v>
      </c>
      <c r="DA159" s="4">
        <f t="shared" si="153"/>
        <v>0</v>
      </c>
      <c r="DB159" s="4">
        <f t="shared" si="154"/>
        <v>0</v>
      </c>
      <c r="DC159" s="4">
        <f t="shared" si="155"/>
        <v>0</v>
      </c>
      <c r="DD159" s="4">
        <f t="shared" si="156"/>
        <v>0</v>
      </c>
    </row>
    <row r="160" spans="1:108" x14ac:dyDescent="0.25">
      <c r="A160" s="41" t="str">
        <f>Skills!M142</f>
        <v>Gold Smith</v>
      </c>
      <c r="B160" s="55" t="str">
        <f>Skills!N142</f>
        <v>Gold Smith</v>
      </c>
      <c r="C160" s="22">
        <f t="shared" si="157"/>
        <v>0</v>
      </c>
      <c r="D160" s="112">
        <f>Skills!S142</f>
        <v>0</v>
      </c>
      <c r="E160" s="113" t="e">
        <f>Profession!B68</f>
        <v>#REF!</v>
      </c>
      <c r="F160" s="19"/>
      <c r="G160" s="19"/>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56"/>
      <c r="BF160" s="4">
        <f t="shared" si="107"/>
        <v>0</v>
      </c>
      <c r="BG160" s="4">
        <f t="shared" si="107"/>
        <v>0</v>
      </c>
      <c r="BH160" s="4">
        <f t="shared" si="108"/>
        <v>0</v>
      </c>
      <c r="BI160" s="4">
        <f t="shared" si="109"/>
        <v>0</v>
      </c>
      <c r="BJ160" s="4">
        <f t="shared" si="110"/>
        <v>0</v>
      </c>
      <c r="BK160" s="4">
        <f t="shared" si="111"/>
        <v>0</v>
      </c>
      <c r="BL160" s="4">
        <f t="shared" si="112"/>
        <v>0</v>
      </c>
      <c r="BM160" s="4">
        <f t="shared" si="113"/>
        <v>0</v>
      </c>
      <c r="BN160" s="4">
        <f t="shared" si="114"/>
        <v>0</v>
      </c>
      <c r="BO160" s="4">
        <f t="shared" si="115"/>
        <v>0</v>
      </c>
      <c r="BP160" s="4">
        <f t="shared" si="116"/>
        <v>0</v>
      </c>
      <c r="BQ160" s="4">
        <f t="shared" si="117"/>
        <v>0</v>
      </c>
      <c r="BR160" s="4">
        <f t="shared" si="118"/>
        <v>0</v>
      </c>
      <c r="BS160" s="4">
        <f t="shared" si="119"/>
        <v>0</v>
      </c>
      <c r="BT160" s="4">
        <f t="shared" si="120"/>
        <v>0</v>
      </c>
      <c r="BU160" s="4">
        <f t="shared" si="121"/>
        <v>0</v>
      </c>
      <c r="BV160" s="4">
        <f t="shared" si="122"/>
        <v>0</v>
      </c>
      <c r="BW160" s="4">
        <f t="shared" si="123"/>
        <v>0</v>
      </c>
      <c r="BX160" s="4">
        <f t="shared" si="124"/>
        <v>0</v>
      </c>
      <c r="BY160" s="4">
        <f t="shared" si="125"/>
        <v>0</v>
      </c>
      <c r="BZ160" s="4">
        <f t="shared" si="126"/>
        <v>0</v>
      </c>
      <c r="CA160" s="4">
        <f t="shared" si="127"/>
        <v>0</v>
      </c>
      <c r="CB160" s="4">
        <f t="shared" si="128"/>
        <v>0</v>
      </c>
      <c r="CC160" s="4">
        <f t="shared" si="129"/>
        <v>0</v>
      </c>
      <c r="CD160" s="4">
        <f t="shared" si="130"/>
        <v>0</v>
      </c>
      <c r="CE160" s="4">
        <f t="shared" si="131"/>
        <v>0</v>
      </c>
      <c r="CF160" s="4">
        <f t="shared" si="132"/>
        <v>0</v>
      </c>
      <c r="CG160" s="4">
        <f t="shared" si="133"/>
        <v>0</v>
      </c>
      <c r="CH160" s="4">
        <f t="shared" si="134"/>
        <v>0</v>
      </c>
      <c r="CI160" s="4">
        <f t="shared" si="135"/>
        <v>0</v>
      </c>
      <c r="CJ160" s="4">
        <f t="shared" si="136"/>
        <v>0</v>
      </c>
      <c r="CK160" s="4">
        <f t="shared" si="137"/>
        <v>0</v>
      </c>
      <c r="CL160" s="4">
        <f t="shared" si="138"/>
        <v>0</v>
      </c>
      <c r="CM160" s="4">
        <f t="shared" si="139"/>
        <v>0</v>
      </c>
      <c r="CN160" s="4">
        <f t="shared" si="140"/>
        <v>0</v>
      </c>
      <c r="CO160" s="4">
        <f t="shared" si="141"/>
        <v>0</v>
      </c>
      <c r="CP160" s="4">
        <f t="shared" si="142"/>
        <v>0</v>
      </c>
      <c r="CQ160" s="4">
        <f t="shared" si="143"/>
        <v>0</v>
      </c>
      <c r="CR160" s="4">
        <f t="shared" si="144"/>
        <v>0</v>
      </c>
      <c r="CS160" s="4">
        <f t="shared" si="145"/>
        <v>0</v>
      </c>
      <c r="CT160" s="4">
        <f t="shared" si="146"/>
        <v>0</v>
      </c>
      <c r="CU160" s="4">
        <f t="shared" si="147"/>
        <v>0</v>
      </c>
      <c r="CV160" s="4">
        <f t="shared" si="148"/>
        <v>0</v>
      </c>
      <c r="CW160" s="4">
        <f t="shared" si="149"/>
        <v>0</v>
      </c>
      <c r="CX160" s="4">
        <f t="shared" si="150"/>
        <v>0</v>
      </c>
      <c r="CY160" s="4">
        <f t="shared" si="151"/>
        <v>0</v>
      </c>
      <c r="CZ160" s="4">
        <f t="shared" si="152"/>
        <v>0</v>
      </c>
      <c r="DA160" s="4">
        <f t="shared" si="153"/>
        <v>0</v>
      </c>
      <c r="DB160" s="4">
        <f t="shared" si="154"/>
        <v>0</v>
      </c>
      <c r="DC160" s="4">
        <f t="shared" si="155"/>
        <v>0</v>
      </c>
      <c r="DD160" s="4">
        <f t="shared" si="156"/>
        <v>0</v>
      </c>
    </row>
    <row r="161" spans="1:108" x14ac:dyDescent="0.25">
      <c r="A161" s="41" t="str">
        <f>Skills!M143</f>
        <v>Leather Craft</v>
      </c>
      <c r="B161" s="57" t="str">
        <f>Skills!N143</f>
        <v>Leather Craft</v>
      </c>
      <c r="C161" s="24">
        <f t="shared" si="157"/>
        <v>0</v>
      </c>
      <c r="D161" s="110">
        <f>Skills!S143</f>
        <v>0</v>
      </c>
      <c r="E161" s="111" t="e">
        <f>Profession!B69</f>
        <v>#REF!</v>
      </c>
      <c r="F161" s="18"/>
      <c r="G161" s="18"/>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49"/>
      <c r="BF161" s="4">
        <f t="shared" si="107"/>
        <v>0</v>
      </c>
      <c r="BG161" s="4">
        <f t="shared" si="107"/>
        <v>0</v>
      </c>
      <c r="BH161" s="4">
        <f t="shared" si="108"/>
        <v>0</v>
      </c>
      <c r="BI161" s="4">
        <f t="shared" si="109"/>
        <v>0</v>
      </c>
      <c r="BJ161" s="4">
        <f t="shared" si="110"/>
        <v>0</v>
      </c>
      <c r="BK161" s="4">
        <f t="shared" si="111"/>
        <v>0</v>
      </c>
      <c r="BL161" s="4">
        <f t="shared" si="112"/>
        <v>0</v>
      </c>
      <c r="BM161" s="4">
        <f t="shared" si="113"/>
        <v>0</v>
      </c>
      <c r="BN161" s="4">
        <f t="shared" si="114"/>
        <v>0</v>
      </c>
      <c r="BO161" s="4">
        <f t="shared" si="115"/>
        <v>0</v>
      </c>
      <c r="BP161" s="4">
        <f t="shared" si="116"/>
        <v>0</v>
      </c>
      <c r="BQ161" s="4">
        <f t="shared" si="117"/>
        <v>0</v>
      </c>
      <c r="BR161" s="4">
        <f t="shared" si="118"/>
        <v>0</v>
      </c>
      <c r="BS161" s="4">
        <f t="shared" si="119"/>
        <v>0</v>
      </c>
      <c r="BT161" s="4">
        <f t="shared" si="120"/>
        <v>0</v>
      </c>
      <c r="BU161" s="4">
        <f t="shared" si="121"/>
        <v>0</v>
      </c>
      <c r="BV161" s="4">
        <f t="shared" si="122"/>
        <v>0</v>
      </c>
      <c r="BW161" s="4">
        <f t="shared" si="123"/>
        <v>0</v>
      </c>
      <c r="BX161" s="4">
        <f t="shared" si="124"/>
        <v>0</v>
      </c>
      <c r="BY161" s="4">
        <f t="shared" si="125"/>
        <v>0</v>
      </c>
      <c r="BZ161" s="4">
        <f t="shared" si="126"/>
        <v>0</v>
      </c>
      <c r="CA161" s="4">
        <f t="shared" si="127"/>
        <v>0</v>
      </c>
      <c r="CB161" s="4">
        <f t="shared" si="128"/>
        <v>0</v>
      </c>
      <c r="CC161" s="4">
        <f t="shared" si="129"/>
        <v>0</v>
      </c>
      <c r="CD161" s="4">
        <f t="shared" si="130"/>
        <v>0</v>
      </c>
      <c r="CE161" s="4">
        <f t="shared" si="131"/>
        <v>0</v>
      </c>
      <c r="CF161" s="4">
        <f t="shared" si="132"/>
        <v>0</v>
      </c>
      <c r="CG161" s="4">
        <f t="shared" si="133"/>
        <v>0</v>
      </c>
      <c r="CH161" s="4">
        <f t="shared" si="134"/>
        <v>0</v>
      </c>
      <c r="CI161" s="4">
        <f t="shared" si="135"/>
        <v>0</v>
      </c>
      <c r="CJ161" s="4">
        <f t="shared" si="136"/>
        <v>0</v>
      </c>
      <c r="CK161" s="4">
        <f t="shared" si="137"/>
        <v>0</v>
      </c>
      <c r="CL161" s="4">
        <f t="shared" si="138"/>
        <v>0</v>
      </c>
      <c r="CM161" s="4">
        <f t="shared" si="139"/>
        <v>0</v>
      </c>
      <c r="CN161" s="4">
        <f t="shared" si="140"/>
        <v>0</v>
      </c>
      <c r="CO161" s="4">
        <f t="shared" si="141"/>
        <v>0</v>
      </c>
      <c r="CP161" s="4">
        <f t="shared" si="142"/>
        <v>0</v>
      </c>
      <c r="CQ161" s="4">
        <f t="shared" si="143"/>
        <v>0</v>
      </c>
      <c r="CR161" s="4">
        <f t="shared" si="144"/>
        <v>0</v>
      </c>
      <c r="CS161" s="4">
        <f t="shared" si="145"/>
        <v>0</v>
      </c>
      <c r="CT161" s="4">
        <f t="shared" si="146"/>
        <v>0</v>
      </c>
      <c r="CU161" s="4">
        <f t="shared" si="147"/>
        <v>0</v>
      </c>
      <c r="CV161" s="4">
        <f t="shared" si="148"/>
        <v>0</v>
      </c>
      <c r="CW161" s="4">
        <f t="shared" si="149"/>
        <v>0</v>
      </c>
      <c r="CX161" s="4">
        <f t="shared" si="150"/>
        <v>0</v>
      </c>
      <c r="CY161" s="4">
        <f t="shared" si="151"/>
        <v>0</v>
      </c>
      <c r="CZ161" s="4">
        <f t="shared" si="152"/>
        <v>0</v>
      </c>
      <c r="DA161" s="4">
        <f t="shared" si="153"/>
        <v>0</v>
      </c>
      <c r="DB161" s="4">
        <f t="shared" si="154"/>
        <v>0</v>
      </c>
      <c r="DC161" s="4">
        <f t="shared" si="155"/>
        <v>0</v>
      </c>
      <c r="DD161" s="4">
        <f t="shared" si="156"/>
        <v>0</v>
      </c>
    </row>
    <row r="162" spans="1:108" x14ac:dyDescent="0.25">
      <c r="A162" s="41" t="str">
        <f>Skills!M144</f>
        <v>Metal Craft</v>
      </c>
      <c r="B162" s="55" t="str">
        <f>Skills!N144</f>
        <v>Metal Craft</v>
      </c>
      <c r="C162" s="22">
        <f t="shared" si="157"/>
        <v>0</v>
      </c>
      <c r="D162" s="112">
        <f>Skills!S144</f>
        <v>0</v>
      </c>
      <c r="E162" s="113" t="e">
        <f>Profession!B70</f>
        <v>#REF!</v>
      </c>
      <c r="F162" s="19"/>
      <c r="G162" s="19"/>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56"/>
      <c r="BF162" s="4">
        <f t="shared" si="107"/>
        <v>0</v>
      </c>
      <c r="BG162" s="4">
        <f t="shared" si="107"/>
        <v>0</v>
      </c>
      <c r="BH162" s="4">
        <f t="shared" si="108"/>
        <v>0</v>
      </c>
      <c r="BI162" s="4">
        <f t="shared" si="109"/>
        <v>0</v>
      </c>
      <c r="BJ162" s="4">
        <f t="shared" si="110"/>
        <v>0</v>
      </c>
      <c r="BK162" s="4">
        <f t="shared" si="111"/>
        <v>0</v>
      </c>
      <c r="BL162" s="4">
        <f t="shared" si="112"/>
        <v>0</v>
      </c>
      <c r="BM162" s="4">
        <f t="shared" si="113"/>
        <v>0</v>
      </c>
      <c r="BN162" s="4">
        <f t="shared" si="114"/>
        <v>0</v>
      </c>
      <c r="BO162" s="4">
        <f t="shared" si="115"/>
        <v>0</v>
      </c>
      <c r="BP162" s="4">
        <f t="shared" si="116"/>
        <v>0</v>
      </c>
      <c r="BQ162" s="4">
        <f t="shared" si="117"/>
        <v>0</v>
      </c>
      <c r="BR162" s="4">
        <f t="shared" si="118"/>
        <v>0</v>
      </c>
      <c r="BS162" s="4">
        <f t="shared" si="119"/>
        <v>0</v>
      </c>
      <c r="BT162" s="4">
        <f t="shared" si="120"/>
        <v>0</v>
      </c>
      <c r="BU162" s="4">
        <f t="shared" si="121"/>
        <v>0</v>
      </c>
      <c r="BV162" s="4">
        <f t="shared" si="122"/>
        <v>0</v>
      </c>
      <c r="BW162" s="4">
        <f t="shared" si="123"/>
        <v>0</v>
      </c>
      <c r="BX162" s="4">
        <f t="shared" si="124"/>
        <v>0</v>
      </c>
      <c r="BY162" s="4">
        <f t="shared" si="125"/>
        <v>0</v>
      </c>
      <c r="BZ162" s="4">
        <f t="shared" si="126"/>
        <v>0</v>
      </c>
      <c r="CA162" s="4">
        <f t="shared" si="127"/>
        <v>0</v>
      </c>
      <c r="CB162" s="4">
        <f t="shared" si="128"/>
        <v>0</v>
      </c>
      <c r="CC162" s="4">
        <f t="shared" si="129"/>
        <v>0</v>
      </c>
      <c r="CD162" s="4">
        <f t="shared" si="130"/>
        <v>0</v>
      </c>
      <c r="CE162" s="4">
        <f t="shared" si="131"/>
        <v>0</v>
      </c>
      <c r="CF162" s="4">
        <f t="shared" si="132"/>
        <v>0</v>
      </c>
      <c r="CG162" s="4">
        <f t="shared" si="133"/>
        <v>0</v>
      </c>
      <c r="CH162" s="4">
        <f t="shared" si="134"/>
        <v>0</v>
      </c>
      <c r="CI162" s="4">
        <f t="shared" si="135"/>
        <v>0</v>
      </c>
      <c r="CJ162" s="4">
        <f t="shared" si="136"/>
        <v>0</v>
      </c>
      <c r="CK162" s="4">
        <f t="shared" si="137"/>
        <v>0</v>
      </c>
      <c r="CL162" s="4">
        <f t="shared" si="138"/>
        <v>0</v>
      </c>
      <c r="CM162" s="4">
        <f t="shared" si="139"/>
        <v>0</v>
      </c>
      <c r="CN162" s="4">
        <f t="shared" si="140"/>
        <v>0</v>
      </c>
      <c r="CO162" s="4">
        <f t="shared" si="141"/>
        <v>0</v>
      </c>
      <c r="CP162" s="4">
        <f t="shared" si="142"/>
        <v>0</v>
      </c>
      <c r="CQ162" s="4">
        <f t="shared" si="143"/>
        <v>0</v>
      </c>
      <c r="CR162" s="4">
        <f t="shared" si="144"/>
        <v>0</v>
      </c>
      <c r="CS162" s="4">
        <f t="shared" si="145"/>
        <v>0</v>
      </c>
      <c r="CT162" s="4">
        <f t="shared" si="146"/>
        <v>0</v>
      </c>
      <c r="CU162" s="4">
        <f t="shared" si="147"/>
        <v>0</v>
      </c>
      <c r="CV162" s="4">
        <f t="shared" si="148"/>
        <v>0</v>
      </c>
      <c r="CW162" s="4">
        <f t="shared" si="149"/>
        <v>0</v>
      </c>
      <c r="CX162" s="4">
        <f t="shared" si="150"/>
        <v>0</v>
      </c>
      <c r="CY162" s="4">
        <f t="shared" si="151"/>
        <v>0</v>
      </c>
      <c r="CZ162" s="4">
        <f t="shared" si="152"/>
        <v>0</v>
      </c>
      <c r="DA162" s="4">
        <f t="shared" si="153"/>
        <v>0</v>
      </c>
      <c r="DB162" s="4">
        <f t="shared" si="154"/>
        <v>0</v>
      </c>
      <c r="DC162" s="4">
        <f t="shared" si="155"/>
        <v>0</v>
      </c>
      <c r="DD162" s="4">
        <f t="shared" si="156"/>
        <v>0</v>
      </c>
    </row>
    <row r="163" spans="1:108" x14ac:dyDescent="0.25">
      <c r="A163" s="41" t="str">
        <f>Skills!M145</f>
        <v>Miller</v>
      </c>
      <c r="B163" s="57" t="str">
        <f>Skills!N145</f>
        <v>Miller</v>
      </c>
      <c r="C163" s="24">
        <f t="shared" si="157"/>
        <v>0</v>
      </c>
      <c r="D163" s="110">
        <f>Skills!S145</f>
        <v>0</v>
      </c>
      <c r="E163" s="111" t="e">
        <f>Profession!B71</f>
        <v>#REF!</v>
      </c>
      <c r="F163" s="18"/>
      <c r="G163" s="18"/>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49"/>
      <c r="BF163" s="4">
        <f t="shared" si="107"/>
        <v>0</v>
      </c>
      <c r="BG163" s="4">
        <f t="shared" si="107"/>
        <v>0</v>
      </c>
      <c r="BH163" s="4">
        <f t="shared" si="108"/>
        <v>0</v>
      </c>
      <c r="BI163" s="4">
        <f t="shared" si="109"/>
        <v>0</v>
      </c>
      <c r="BJ163" s="4">
        <f t="shared" si="110"/>
        <v>0</v>
      </c>
      <c r="BK163" s="4">
        <f t="shared" si="111"/>
        <v>0</v>
      </c>
      <c r="BL163" s="4">
        <f t="shared" si="112"/>
        <v>0</v>
      </c>
      <c r="BM163" s="4">
        <f t="shared" si="113"/>
        <v>0</v>
      </c>
      <c r="BN163" s="4">
        <f t="shared" si="114"/>
        <v>0</v>
      </c>
      <c r="BO163" s="4">
        <f t="shared" si="115"/>
        <v>0</v>
      </c>
      <c r="BP163" s="4">
        <f t="shared" si="116"/>
        <v>0</v>
      </c>
      <c r="BQ163" s="4">
        <f t="shared" si="117"/>
        <v>0</v>
      </c>
      <c r="BR163" s="4">
        <f t="shared" si="118"/>
        <v>0</v>
      </c>
      <c r="BS163" s="4">
        <f t="shared" si="119"/>
        <v>0</v>
      </c>
      <c r="BT163" s="4">
        <f t="shared" si="120"/>
        <v>0</v>
      </c>
      <c r="BU163" s="4">
        <f t="shared" si="121"/>
        <v>0</v>
      </c>
      <c r="BV163" s="4">
        <f t="shared" si="122"/>
        <v>0</v>
      </c>
      <c r="BW163" s="4">
        <f t="shared" si="123"/>
        <v>0</v>
      </c>
      <c r="BX163" s="4">
        <f t="shared" si="124"/>
        <v>0</v>
      </c>
      <c r="BY163" s="4">
        <f t="shared" si="125"/>
        <v>0</v>
      </c>
      <c r="BZ163" s="4">
        <f t="shared" si="126"/>
        <v>0</v>
      </c>
      <c r="CA163" s="4">
        <f t="shared" si="127"/>
        <v>0</v>
      </c>
      <c r="CB163" s="4">
        <f t="shared" si="128"/>
        <v>0</v>
      </c>
      <c r="CC163" s="4">
        <f t="shared" si="129"/>
        <v>0</v>
      </c>
      <c r="CD163" s="4">
        <f t="shared" si="130"/>
        <v>0</v>
      </c>
      <c r="CE163" s="4">
        <f t="shared" si="131"/>
        <v>0</v>
      </c>
      <c r="CF163" s="4">
        <f t="shared" si="132"/>
        <v>0</v>
      </c>
      <c r="CG163" s="4">
        <f t="shared" si="133"/>
        <v>0</v>
      </c>
      <c r="CH163" s="4">
        <f t="shared" si="134"/>
        <v>0</v>
      </c>
      <c r="CI163" s="4">
        <f t="shared" si="135"/>
        <v>0</v>
      </c>
      <c r="CJ163" s="4">
        <f t="shared" si="136"/>
        <v>0</v>
      </c>
      <c r="CK163" s="4">
        <f t="shared" si="137"/>
        <v>0</v>
      </c>
      <c r="CL163" s="4">
        <f t="shared" si="138"/>
        <v>0</v>
      </c>
      <c r="CM163" s="4">
        <f t="shared" si="139"/>
        <v>0</v>
      </c>
      <c r="CN163" s="4">
        <f t="shared" si="140"/>
        <v>0</v>
      </c>
      <c r="CO163" s="4">
        <f t="shared" si="141"/>
        <v>0</v>
      </c>
      <c r="CP163" s="4">
        <f t="shared" si="142"/>
        <v>0</v>
      </c>
      <c r="CQ163" s="4">
        <f t="shared" si="143"/>
        <v>0</v>
      </c>
      <c r="CR163" s="4">
        <f t="shared" si="144"/>
        <v>0</v>
      </c>
      <c r="CS163" s="4">
        <f t="shared" si="145"/>
        <v>0</v>
      </c>
      <c r="CT163" s="4">
        <f t="shared" si="146"/>
        <v>0</v>
      </c>
      <c r="CU163" s="4">
        <f t="shared" si="147"/>
        <v>0</v>
      </c>
      <c r="CV163" s="4">
        <f t="shared" si="148"/>
        <v>0</v>
      </c>
      <c r="CW163" s="4">
        <f t="shared" si="149"/>
        <v>0</v>
      </c>
      <c r="CX163" s="4">
        <f t="shared" si="150"/>
        <v>0</v>
      </c>
      <c r="CY163" s="4">
        <f t="shared" si="151"/>
        <v>0</v>
      </c>
      <c r="CZ163" s="4">
        <f t="shared" si="152"/>
        <v>0</v>
      </c>
      <c r="DA163" s="4">
        <f t="shared" si="153"/>
        <v>0</v>
      </c>
      <c r="DB163" s="4">
        <f t="shared" si="154"/>
        <v>0</v>
      </c>
      <c r="DC163" s="4">
        <f t="shared" si="155"/>
        <v>0</v>
      </c>
      <c r="DD163" s="4">
        <f t="shared" si="156"/>
        <v>0</v>
      </c>
    </row>
    <row r="164" spans="1:108" x14ac:dyDescent="0.25">
      <c r="A164" s="41" t="str">
        <f>Skills!M146</f>
        <v>Net Making</v>
      </c>
      <c r="B164" s="55" t="str">
        <f>Skills!N146</f>
        <v>Net Making</v>
      </c>
      <c r="C164" s="22">
        <f t="shared" si="157"/>
        <v>0</v>
      </c>
      <c r="D164" s="112">
        <f>Skills!S146</f>
        <v>0</v>
      </c>
      <c r="E164" s="113" t="e">
        <f>Profession!B72</f>
        <v>#REF!</v>
      </c>
      <c r="F164" s="19"/>
      <c r="G164" s="19"/>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56"/>
      <c r="BF164" s="4">
        <f t="shared" si="107"/>
        <v>0</v>
      </c>
      <c r="BG164" s="4">
        <f t="shared" si="107"/>
        <v>0</v>
      </c>
      <c r="BH164" s="4">
        <f t="shared" si="108"/>
        <v>0</v>
      </c>
      <c r="BI164" s="4">
        <f t="shared" si="109"/>
        <v>0</v>
      </c>
      <c r="BJ164" s="4">
        <f t="shared" si="110"/>
        <v>0</v>
      </c>
      <c r="BK164" s="4">
        <f t="shared" si="111"/>
        <v>0</v>
      </c>
      <c r="BL164" s="4">
        <f t="shared" si="112"/>
        <v>0</v>
      </c>
      <c r="BM164" s="4">
        <f t="shared" si="113"/>
        <v>0</v>
      </c>
      <c r="BN164" s="4">
        <f t="shared" si="114"/>
        <v>0</v>
      </c>
      <c r="BO164" s="4">
        <f t="shared" si="115"/>
        <v>0</v>
      </c>
      <c r="BP164" s="4">
        <f t="shared" si="116"/>
        <v>0</v>
      </c>
      <c r="BQ164" s="4">
        <f t="shared" si="117"/>
        <v>0</v>
      </c>
      <c r="BR164" s="4">
        <f t="shared" si="118"/>
        <v>0</v>
      </c>
      <c r="BS164" s="4">
        <f t="shared" si="119"/>
        <v>0</v>
      </c>
      <c r="BT164" s="4">
        <f t="shared" si="120"/>
        <v>0</v>
      </c>
      <c r="BU164" s="4">
        <f t="shared" si="121"/>
        <v>0</v>
      </c>
      <c r="BV164" s="4">
        <f t="shared" si="122"/>
        <v>0</v>
      </c>
      <c r="BW164" s="4">
        <f t="shared" si="123"/>
        <v>0</v>
      </c>
      <c r="BX164" s="4">
        <f t="shared" si="124"/>
        <v>0</v>
      </c>
      <c r="BY164" s="4">
        <f t="shared" si="125"/>
        <v>0</v>
      </c>
      <c r="BZ164" s="4">
        <f t="shared" si="126"/>
        <v>0</v>
      </c>
      <c r="CA164" s="4">
        <f t="shared" si="127"/>
        <v>0</v>
      </c>
      <c r="CB164" s="4">
        <f t="shared" si="128"/>
        <v>0</v>
      </c>
      <c r="CC164" s="4">
        <f t="shared" si="129"/>
        <v>0</v>
      </c>
      <c r="CD164" s="4">
        <f t="shared" si="130"/>
        <v>0</v>
      </c>
      <c r="CE164" s="4">
        <f t="shared" si="131"/>
        <v>0</v>
      </c>
      <c r="CF164" s="4">
        <f t="shared" si="132"/>
        <v>0</v>
      </c>
      <c r="CG164" s="4">
        <f t="shared" si="133"/>
        <v>0</v>
      </c>
      <c r="CH164" s="4">
        <f t="shared" si="134"/>
        <v>0</v>
      </c>
      <c r="CI164" s="4">
        <f t="shared" si="135"/>
        <v>0</v>
      </c>
      <c r="CJ164" s="4">
        <f t="shared" si="136"/>
        <v>0</v>
      </c>
      <c r="CK164" s="4">
        <f t="shared" si="137"/>
        <v>0</v>
      </c>
      <c r="CL164" s="4">
        <f t="shared" si="138"/>
        <v>0</v>
      </c>
      <c r="CM164" s="4">
        <f t="shared" si="139"/>
        <v>0</v>
      </c>
      <c r="CN164" s="4">
        <f t="shared" si="140"/>
        <v>0</v>
      </c>
      <c r="CO164" s="4">
        <f t="shared" si="141"/>
        <v>0</v>
      </c>
      <c r="CP164" s="4">
        <f t="shared" si="142"/>
        <v>0</v>
      </c>
      <c r="CQ164" s="4">
        <f t="shared" si="143"/>
        <v>0</v>
      </c>
      <c r="CR164" s="4">
        <f t="shared" si="144"/>
        <v>0</v>
      </c>
      <c r="CS164" s="4">
        <f t="shared" si="145"/>
        <v>0</v>
      </c>
      <c r="CT164" s="4">
        <f t="shared" si="146"/>
        <v>0</v>
      </c>
      <c r="CU164" s="4">
        <f t="shared" si="147"/>
        <v>0</v>
      </c>
      <c r="CV164" s="4">
        <f t="shared" si="148"/>
        <v>0</v>
      </c>
      <c r="CW164" s="4">
        <f t="shared" si="149"/>
        <v>0</v>
      </c>
      <c r="CX164" s="4">
        <f t="shared" si="150"/>
        <v>0</v>
      </c>
      <c r="CY164" s="4">
        <f t="shared" si="151"/>
        <v>0</v>
      </c>
      <c r="CZ164" s="4">
        <f t="shared" si="152"/>
        <v>0</v>
      </c>
      <c r="DA164" s="4">
        <f t="shared" si="153"/>
        <v>0</v>
      </c>
      <c r="DB164" s="4">
        <f t="shared" si="154"/>
        <v>0</v>
      </c>
      <c r="DC164" s="4">
        <f t="shared" si="155"/>
        <v>0</v>
      </c>
      <c r="DD164" s="4">
        <f t="shared" si="156"/>
        <v>0</v>
      </c>
    </row>
    <row r="165" spans="1:108" x14ac:dyDescent="0.25">
      <c r="A165" s="41" t="str">
        <f>Skills!M147</f>
        <v>Paper Making</v>
      </c>
      <c r="B165" s="57" t="str">
        <f>Skills!N147</f>
        <v>Paper Making</v>
      </c>
      <c r="C165" s="24">
        <f t="shared" si="157"/>
        <v>0</v>
      </c>
      <c r="D165" s="110">
        <f>Skills!S147</f>
        <v>0</v>
      </c>
      <c r="E165" s="111" t="e">
        <f>Profession!B73</f>
        <v>#REF!</v>
      </c>
      <c r="F165" s="18"/>
      <c r="G165" s="18"/>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49"/>
      <c r="BF165" s="4">
        <f t="shared" si="107"/>
        <v>0</v>
      </c>
      <c r="BG165" s="4">
        <f t="shared" si="107"/>
        <v>0</v>
      </c>
      <c r="BH165" s="4">
        <f t="shared" si="108"/>
        <v>0</v>
      </c>
      <c r="BI165" s="4">
        <f t="shared" si="109"/>
        <v>0</v>
      </c>
      <c r="BJ165" s="4">
        <f t="shared" si="110"/>
        <v>0</v>
      </c>
      <c r="BK165" s="4">
        <f t="shared" si="111"/>
        <v>0</v>
      </c>
      <c r="BL165" s="4">
        <f t="shared" si="112"/>
        <v>0</v>
      </c>
      <c r="BM165" s="4">
        <f t="shared" si="113"/>
        <v>0</v>
      </c>
      <c r="BN165" s="4">
        <f t="shared" si="114"/>
        <v>0</v>
      </c>
      <c r="BO165" s="4">
        <f t="shared" si="115"/>
        <v>0</v>
      </c>
      <c r="BP165" s="4">
        <f t="shared" si="116"/>
        <v>0</v>
      </c>
      <c r="BQ165" s="4">
        <f t="shared" si="117"/>
        <v>0</v>
      </c>
      <c r="BR165" s="4">
        <f t="shared" si="118"/>
        <v>0</v>
      </c>
      <c r="BS165" s="4">
        <f t="shared" si="119"/>
        <v>0</v>
      </c>
      <c r="BT165" s="4">
        <f t="shared" si="120"/>
        <v>0</v>
      </c>
      <c r="BU165" s="4">
        <f t="shared" si="121"/>
        <v>0</v>
      </c>
      <c r="BV165" s="4">
        <f t="shared" si="122"/>
        <v>0</v>
      </c>
      <c r="BW165" s="4">
        <f t="shared" si="123"/>
        <v>0</v>
      </c>
      <c r="BX165" s="4">
        <f t="shared" si="124"/>
        <v>0</v>
      </c>
      <c r="BY165" s="4">
        <f t="shared" si="125"/>
        <v>0</v>
      </c>
      <c r="BZ165" s="4">
        <f t="shared" si="126"/>
        <v>0</v>
      </c>
      <c r="CA165" s="4">
        <f t="shared" si="127"/>
        <v>0</v>
      </c>
      <c r="CB165" s="4">
        <f t="shared" si="128"/>
        <v>0</v>
      </c>
      <c r="CC165" s="4">
        <f t="shared" si="129"/>
        <v>0</v>
      </c>
      <c r="CD165" s="4">
        <f t="shared" si="130"/>
        <v>0</v>
      </c>
      <c r="CE165" s="4">
        <f t="shared" si="131"/>
        <v>0</v>
      </c>
      <c r="CF165" s="4">
        <f t="shared" si="132"/>
        <v>0</v>
      </c>
      <c r="CG165" s="4">
        <f t="shared" si="133"/>
        <v>0</v>
      </c>
      <c r="CH165" s="4">
        <f t="shared" si="134"/>
        <v>0</v>
      </c>
      <c r="CI165" s="4">
        <f t="shared" si="135"/>
        <v>0</v>
      </c>
      <c r="CJ165" s="4">
        <f t="shared" si="136"/>
        <v>0</v>
      </c>
      <c r="CK165" s="4">
        <f t="shared" si="137"/>
        <v>0</v>
      </c>
      <c r="CL165" s="4">
        <f t="shared" si="138"/>
        <v>0</v>
      </c>
      <c r="CM165" s="4">
        <f t="shared" si="139"/>
        <v>0</v>
      </c>
      <c r="CN165" s="4">
        <f t="shared" si="140"/>
        <v>0</v>
      </c>
      <c r="CO165" s="4">
        <f t="shared" si="141"/>
        <v>0</v>
      </c>
      <c r="CP165" s="4">
        <f t="shared" si="142"/>
        <v>0</v>
      </c>
      <c r="CQ165" s="4">
        <f t="shared" si="143"/>
        <v>0</v>
      </c>
      <c r="CR165" s="4">
        <f t="shared" si="144"/>
        <v>0</v>
      </c>
      <c r="CS165" s="4">
        <f t="shared" si="145"/>
        <v>0</v>
      </c>
      <c r="CT165" s="4">
        <f t="shared" si="146"/>
        <v>0</v>
      </c>
      <c r="CU165" s="4">
        <f t="shared" si="147"/>
        <v>0</v>
      </c>
      <c r="CV165" s="4">
        <f t="shared" si="148"/>
        <v>0</v>
      </c>
      <c r="CW165" s="4">
        <f t="shared" si="149"/>
        <v>0</v>
      </c>
      <c r="CX165" s="4">
        <f t="shared" si="150"/>
        <v>0</v>
      </c>
      <c r="CY165" s="4">
        <f t="shared" si="151"/>
        <v>0</v>
      </c>
      <c r="CZ165" s="4">
        <f t="shared" si="152"/>
        <v>0</v>
      </c>
      <c r="DA165" s="4">
        <f t="shared" si="153"/>
        <v>0</v>
      </c>
      <c r="DB165" s="4">
        <f t="shared" si="154"/>
        <v>0</v>
      </c>
      <c r="DC165" s="4">
        <f t="shared" si="155"/>
        <v>0</v>
      </c>
      <c r="DD165" s="4">
        <f t="shared" si="156"/>
        <v>0</v>
      </c>
    </row>
    <row r="166" spans="1:108" x14ac:dyDescent="0.25">
      <c r="A166" s="41" t="str">
        <f>Skills!M148</f>
        <v>Potter</v>
      </c>
      <c r="B166" s="55" t="str">
        <f>Skills!N148</f>
        <v>Potter</v>
      </c>
      <c r="C166" s="22">
        <f t="shared" si="157"/>
        <v>0</v>
      </c>
      <c r="D166" s="112">
        <f>Skills!S148</f>
        <v>0</v>
      </c>
      <c r="E166" s="113" t="e">
        <f>Profession!B74</f>
        <v>#REF!</v>
      </c>
      <c r="F166" s="19"/>
      <c r="G166" s="19"/>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56"/>
      <c r="BF166" s="4">
        <f t="shared" si="107"/>
        <v>0</v>
      </c>
      <c r="BG166" s="4">
        <f t="shared" si="107"/>
        <v>0</v>
      </c>
      <c r="BH166" s="4">
        <f t="shared" si="108"/>
        <v>0</v>
      </c>
      <c r="BI166" s="4">
        <f t="shared" si="109"/>
        <v>0</v>
      </c>
      <c r="BJ166" s="4">
        <f t="shared" si="110"/>
        <v>0</v>
      </c>
      <c r="BK166" s="4">
        <f t="shared" si="111"/>
        <v>0</v>
      </c>
      <c r="BL166" s="4">
        <f t="shared" si="112"/>
        <v>0</v>
      </c>
      <c r="BM166" s="4">
        <f t="shared" si="113"/>
        <v>0</v>
      </c>
      <c r="BN166" s="4">
        <f t="shared" si="114"/>
        <v>0</v>
      </c>
      <c r="BO166" s="4">
        <f t="shared" si="115"/>
        <v>0</v>
      </c>
      <c r="BP166" s="4">
        <f t="shared" si="116"/>
        <v>0</v>
      </c>
      <c r="BQ166" s="4">
        <f t="shared" si="117"/>
        <v>0</v>
      </c>
      <c r="BR166" s="4">
        <f t="shared" si="118"/>
        <v>0</v>
      </c>
      <c r="BS166" s="4">
        <f t="shared" si="119"/>
        <v>0</v>
      </c>
      <c r="BT166" s="4">
        <f t="shared" si="120"/>
        <v>0</v>
      </c>
      <c r="BU166" s="4">
        <f t="shared" si="121"/>
        <v>0</v>
      </c>
      <c r="BV166" s="4">
        <f t="shared" si="122"/>
        <v>0</v>
      </c>
      <c r="BW166" s="4">
        <f t="shared" si="123"/>
        <v>0</v>
      </c>
      <c r="BX166" s="4">
        <f t="shared" si="124"/>
        <v>0</v>
      </c>
      <c r="BY166" s="4">
        <f t="shared" si="125"/>
        <v>0</v>
      </c>
      <c r="BZ166" s="4">
        <f t="shared" si="126"/>
        <v>0</v>
      </c>
      <c r="CA166" s="4">
        <f t="shared" si="127"/>
        <v>0</v>
      </c>
      <c r="CB166" s="4">
        <f t="shared" si="128"/>
        <v>0</v>
      </c>
      <c r="CC166" s="4">
        <f t="shared" si="129"/>
        <v>0</v>
      </c>
      <c r="CD166" s="4">
        <f t="shared" si="130"/>
        <v>0</v>
      </c>
      <c r="CE166" s="4">
        <f t="shared" si="131"/>
        <v>0</v>
      </c>
      <c r="CF166" s="4">
        <f t="shared" si="132"/>
        <v>0</v>
      </c>
      <c r="CG166" s="4">
        <f t="shared" si="133"/>
        <v>0</v>
      </c>
      <c r="CH166" s="4">
        <f t="shared" si="134"/>
        <v>0</v>
      </c>
      <c r="CI166" s="4">
        <f t="shared" si="135"/>
        <v>0</v>
      </c>
      <c r="CJ166" s="4">
        <f t="shared" si="136"/>
        <v>0</v>
      </c>
      <c r="CK166" s="4">
        <f t="shared" si="137"/>
        <v>0</v>
      </c>
      <c r="CL166" s="4">
        <f t="shared" si="138"/>
        <v>0</v>
      </c>
      <c r="CM166" s="4">
        <f t="shared" si="139"/>
        <v>0</v>
      </c>
      <c r="CN166" s="4">
        <f t="shared" si="140"/>
        <v>0</v>
      </c>
      <c r="CO166" s="4">
        <f t="shared" si="141"/>
        <v>0</v>
      </c>
      <c r="CP166" s="4">
        <f t="shared" si="142"/>
        <v>0</v>
      </c>
      <c r="CQ166" s="4">
        <f t="shared" si="143"/>
        <v>0</v>
      </c>
      <c r="CR166" s="4">
        <f t="shared" si="144"/>
        <v>0</v>
      </c>
      <c r="CS166" s="4">
        <f t="shared" si="145"/>
        <v>0</v>
      </c>
      <c r="CT166" s="4">
        <f t="shared" si="146"/>
        <v>0</v>
      </c>
      <c r="CU166" s="4">
        <f t="shared" si="147"/>
        <v>0</v>
      </c>
      <c r="CV166" s="4">
        <f t="shared" si="148"/>
        <v>0</v>
      </c>
      <c r="CW166" s="4">
        <f t="shared" si="149"/>
        <v>0</v>
      </c>
      <c r="CX166" s="4">
        <f t="shared" si="150"/>
        <v>0</v>
      </c>
      <c r="CY166" s="4">
        <f t="shared" si="151"/>
        <v>0</v>
      </c>
      <c r="CZ166" s="4">
        <f t="shared" si="152"/>
        <v>0</v>
      </c>
      <c r="DA166" s="4">
        <f t="shared" si="153"/>
        <v>0</v>
      </c>
      <c r="DB166" s="4">
        <f t="shared" si="154"/>
        <v>0</v>
      </c>
      <c r="DC166" s="4">
        <f t="shared" si="155"/>
        <v>0</v>
      </c>
      <c r="DD166" s="4">
        <f t="shared" si="156"/>
        <v>0</v>
      </c>
    </row>
    <row r="167" spans="1:108" x14ac:dyDescent="0.25">
      <c r="A167" s="41" t="str">
        <f>Skills!M149</f>
        <v>Quilting</v>
      </c>
      <c r="B167" s="57" t="str">
        <f>Skills!N149</f>
        <v>Quilting</v>
      </c>
      <c r="C167" s="24">
        <f t="shared" si="157"/>
        <v>0</v>
      </c>
      <c r="D167" s="110">
        <f>Skills!S149</f>
        <v>0</v>
      </c>
      <c r="E167" s="111" t="e">
        <f>Profession!B75</f>
        <v>#REF!</v>
      </c>
      <c r="F167" s="18"/>
      <c r="G167" s="18"/>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49"/>
      <c r="BF167" s="4">
        <f t="shared" si="107"/>
        <v>0</v>
      </c>
      <c r="BG167" s="4">
        <f t="shared" si="107"/>
        <v>0</v>
      </c>
      <c r="BH167" s="4">
        <f t="shared" si="108"/>
        <v>0</v>
      </c>
      <c r="BI167" s="4">
        <f t="shared" si="109"/>
        <v>0</v>
      </c>
      <c r="BJ167" s="4">
        <f t="shared" si="110"/>
        <v>0</v>
      </c>
      <c r="BK167" s="4">
        <f t="shared" si="111"/>
        <v>0</v>
      </c>
      <c r="BL167" s="4">
        <f t="shared" si="112"/>
        <v>0</v>
      </c>
      <c r="BM167" s="4">
        <f t="shared" si="113"/>
        <v>0</v>
      </c>
      <c r="BN167" s="4">
        <f t="shared" si="114"/>
        <v>0</v>
      </c>
      <c r="BO167" s="4">
        <f t="shared" si="115"/>
        <v>0</v>
      </c>
      <c r="BP167" s="4">
        <f t="shared" si="116"/>
        <v>0</v>
      </c>
      <c r="BQ167" s="4">
        <f t="shared" si="117"/>
        <v>0</v>
      </c>
      <c r="BR167" s="4">
        <f t="shared" si="118"/>
        <v>0</v>
      </c>
      <c r="BS167" s="4">
        <f t="shared" si="119"/>
        <v>0</v>
      </c>
      <c r="BT167" s="4">
        <f t="shared" si="120"/>
        <v>0</v>
      </c>
      <c r="BU167" s="4">
        <f t="shared" si="121"/>
        <v>0</v>
      </c>
      <c r="BV167" s="4">
        <f t="shared" si="122"/>
        <v>0</v>
      </c>
      <c r="BW167" s="4">
        <f t="shared" si="123"/>
        <v>0</v>
      </c>
      <c r="BX167" s="4">
        <f t="shared" si="124"/>
        <v>0</v>
      </c>
      <c r="BY167" s="4">
        <f t="shared" si="125"/>
        <v>0</v>
      </c>
      <c r="BZ167" s="4">
        <f t="shared" si="126"/>
        <v>0</v>
      </c>
      <c r="CA167" s="4">
        <f t="shared" si="127"/>
        <v>0</v>
      </c>
      <c r="CB167" s="4">
        <f t="shared" si="128"/>
        <v>0</v>
      </c>
      <c r="CC167" s="4">
        <f t="shared" si="129"/>
        <v>0</v>
      </c>
      <c r="CD167" s="4">
        <f t="shared" si="130"/>
        <v>0</v>
      </c>
      <c r="CE167" s="4">
        <f t="shared" si="131"/>
        <v>0</v>
      </c>
      <c r="CF167" s="4">
        <f t="shared" si="132"/>
        <v>0</v>
      </c>
      <c r="CG167" s="4">
        <f t="shared" si="133"/>
        <v>0</v>
      </c>
      <c r="CH167" s="4">
        <f t="shared" si="134"/>
        <v>0</v>
      </c>
      <c r="CI167" s="4">
        <f t="shared" si="135"/>
        <v>0</v>
      </c>
      <c r="CJ167" s="4">
        <f t="shared" si="136"/>
        <v>0</v>
      </c>
      <c r="CK167" s="4">
        <f t="shared" si="137"/>
        <v>0</v>
      </c>
      <c r="CL167" s="4">
        <f t="shared" si="138"/>
        <v>0</v>
      </c>
      <c r="CM167" s="4">
        <f t="shared" si="139"/>
        <v>0</v>
      </c>
      <c r="CN167" s="4">
        <f t="shared" si="140"/>
        <v>0</v>
      </c>
      <c r="CO167" s="4">
        <f t="shared" si="141"/>
        <v>0</v>
      </c>
      <c r="CP167" s="4">
        <f t="shared" si="142"/>
        <v>0</v>
      </c>
      <c r="CQ167" s="4">
        <f t="shared" si="143"/>
        <v>0</v>
      </c>
      <c r="CR167" s="4">
        <f t="shared" si="144"/>
        <v>0</v>
      </c>
      <c r="CS167" s="4">
        <f t="shared" si="145"/>
        <v>0</v>
      </c>
      <c r="CT167" s="4">
        <f t="shared" si="146"/>
        <v>0</v>
      </c>
      <c r="CU167" s="4">
        <f t="shared" si="147"/>
        <v>0</v>
      </c>
      <c r="CV167" s="4">
        <f t="shared" si="148"/>
        <v>0</v>
      </c>
      <c r="CW167" s="4">
        <f t="shared" si="149"/>
        <v>0</v>
      </c>
      <c r="CX167" s="4">
        <f t="shared" si="150"/>
        <v>0</v>
      </c>
      <c r="CY167" s="4">
        <f t="shared" si="151"/>
        <v>0</v>
      </c>
      <c r="CZ167" s="4">
        <f t="shared" si="152"/>
        <v>0</v>
      </c>
      <c r="DA167" s="4">
        <f t="shared" si="153"/>
        <v>0</v>
      </c>
      <c r="DB167" s="4">
        <f t="shared" si="154"/>
        <v>0</v>
      </c>
      <c r="DC167" s="4">
        <f t="shared" si="155"/>
        <v>0</v>
      </c>
      <c r="DD167" s="4">
        <f t="shared" si="156"/>
        <v>0</v>
      </c>
    </row>
    <row r="168" spans="1:108" x14ac:dyDescent="0.25">
      <c r="A168" s="41" t="str">
        <f>Skills!M150</f>
        <v>Roofer</v>
      </c>
      <c r="B168" s="55" t="str">
        <f>Skills!N150</f>
        <v>Roofer</v>
      </c>
      <c r="C168" s="22">
        <f t="shared" si="157"/>
        <v>0</v>
      </c>
      <c r="D168" s="112">
        <f>Skills!S150</f>
        <v>0</v>
      </c>
      <c r="E168" s="113" t="e">
        <f>Profession!B76</f>
        <v>#REF!</v>
      </c>
      <c r="F168" s="19"/>
      <c r="G168" s="19"/>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56"/>
      <c r="BF168" s="4">
        <f t="shared" si="107"/>
        <v>0</v>
      </c>
      <c r="BG168" s="4">
        <f t="shared" si="107"/>
        <v>0</v>
      </c>
      <c r="BH168" s="4">
        <f t="shared" si="108"/>
        <v>0</v>
      </c>
      <c r="BI168" s="4">
        <f t="shared" si="109"/>
        <v>0</v>
      </c>
      <c r="BJ168" s="4">
        <f t="shared" si="110"/>
        <v>0</v>
      </c>
      <c r="BK168" s="4">
        <f t="shared" si="111"/>
        <v>0</v>
      </c>
      <c r="BL168" s="4">
        <f t="shared" si="112"/>
        <v>0</v>
      </c>
      <c r="BM168" s="4">
        <f t="shared" si="113"/>
        <v>0</v>
      </c>
      <c r="BN168" s="4">
        <f t="shared" si="114"/>
        <v>0</v>
      </c>
      <c r="BO168" s="4">
        <f t="shared" si="115"/>
        <v>0</v>
      </c>
      <c r="BP168" s="4">
        <f t="shared" si="116"/>
        <v>0</v>
      </c>
      <c r="BQ168" s="4">
        <f t="shared" si="117"/>
        <v>0</v>
      </c>
      <c r="BR168" s="4">
        <f t="shared" si="118"/>
        <v>0</v>
      </c>
      <c r="BS168" s="4">
        <f t="shared" si="119"/>
        <v>0</v>
      </c>
      <c r="BT168" s="4">
        <f t="shared" si="120"/>
        <v>0</v>
      </c>
      <c r="BU168" s="4">
        <f t="shared" si="121"/>
        <v>0</v>
      </c>
      <c r="BV168" s="4">
        <f t="shared" si="122"/>
        <v>0</v>
      </c>
      <c r="BW168" s="4">
        <f t="shared" si="123"/>
        <v>0</v>
      </c>
      <c r="BX168" s="4">
        <f t="shared" si="124"/>
        <v>0</v>
      </c>
      <c r="BY168" s="4">
        <f t="shared" si="125"/>
        <v>0</v>
      </c>
      <c r="BZ168" s="4">
        <f t="shared" si="126"/>
        <v>0</v>
      </c>
      <c r="CA168" s="4">
        <f t="shared" si="127"/>
        <v>0</v>
      </c>
      <c r="CB168" s="4">
        <f t="shared" si="128"/>
        <v>0</v>
      </c>
      <c r="CC168" s="4">
        <f t="shared" si="129"/>
        <v>0</v>
      </c>
      <c r="CD168" s="4">
        <f t="shared" si="130"/>
        <v>0</v>
      </c>
      <c r="CE168" s="4">
        <f t="shared" si="131"/>
        <v>0</v>
      </c>
      <c r="CF168" s="4">
        <f t="shared" si="132"/>
        <v>0</v>
      </c>
      <c r="CG168" s="4">
        <f t="shared" si="133"/>
        <v>0</v>
      </c>
      <c r="CH168" s="4">
        <f t="shared" si="134"/>
        <v>0</v>
      </c>
      <c r="CI168" s="4">
        <f t="shared" si="135"/>
        <v>0</v>
      </c>
      <c r="CJ168" s="4">
        <f t="shared" si="136"/>
        <v>0</v>
      </c>
      <c r="CK168" s="4">
        <f t="shared" si="137"/>
        <v>0</v>
      </c>
      <c r="CL168" s="4">
        <f t="shared" si="138"/>
        <v>0</v>
      </c>
      <c r="CM168" s="4">
        <f t="shared" si="139"/>
        <v>0</v>
      </c>
      <c r="CN168" s="4">
        <f t="shared" si="140"/>
        <v>0</v>
      </c>
      <c r="CO168" s="4">
        <f t="shared" si="141"/>
        <v>0</v>
      </c>
      <c r="CP168" s="4">
        <f t="shared" si="142"/>
        <v>0</v>
      </c>
      <c r="CQ168" s="4">
        <f t="shared" si="143"/>
        <v>0</v>
      </c>
      <c r="CR168" s="4">
        <f t="shared" si="144"/>
        <v>0</v>
      </c>
      <c r="CS168" s="4">
        <f t="shared" si="145"/>
        <v>0</v>
      </c>
      <c r="CT168" s="4">
        <f t="shared" si="146"/>
        <v>0</v>
      </c>
      <c r="CU168" s="4">
        <f t="shared" si="147"/>
        <v>0</v>
      </c>
      <c r="CV168" s="4">
        <f t="shared" si="148"/>
        <v>0</v>
      </c>
      <c r="CW168" s="4">
        <f t="shared" si="149"/>
        <v>0</v>
      </c>
      <c r="CX168" s="4">
        <f t="shared" si="150"/>
        <v>0</v>
      </c>
      <c r="CY168" s="4">
        <f t="shared" si="151"/>
        <v>0</v>
      </c>
      <c r="CZ168" s="4">
        <f t="shared" si="152"/>
        <v>0</v>
      </c>
      <c r="DA168" s="4">
        <f t="shared" si="153"/>
        <v>0</v>
      </c>
      <c r="DB168" s="4">
        <f t="shared" si="154"/>
        <v>0</v>
      </c>
      <c r="DC168" s="4">
        <f t="shared" si="155"/>
        <v>0</v>
      </c>
      <c r="DD168" s="4">
        <f t="shared" si="156"/>
        <v>0</v>
      </c>
    </row>
    <row r="169" spans="1:108" x14ac:dyDescent="0.25">
      <c r="A169" s="41" t="str">
        <f>Skills!M151</f>
        <v>Saddler</v>
      </c>
      <c r="B169" s="57" t="str">
        <f>Skills!N151</f>
        <v>Saddler</v>
      </c>
      <c r="C169" s="24">
        <f t="shared" si="157"/>
        <v>0</v>
      </c>
      <c r="D169" s="110">
        <f>Skills!S151</f>
        <v>0</v>
      </c>
      <c r="E169" s="111" t="e">
        <f>Profession!B77</f>
        <v>#REF!</v>
      </c>
      <c r="F169" s="18"/>
      <c r="G169" s="18"/>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49"/>
      <c r="BF169" s="4">
        <f t="shared" si="107"/>
        <v>0</v>
      </c>
      <c r="BG169" s="4">
        <f t="shared" si="107"/>
        <v>0</v>
      </c>
      <c r="BH169" s="4">
        <f t="shared" si="108"/>
        <v>0</v>
      </c>
      <c r="BI169" s="4">
        <f t="shared" si="109"/>
        <v>0</v>
      </c>
      <c r="BJ169" s="4">
        <f t="shared" si="110"/>
        <v>0</v>
      </c>
      <c r="BK169" s="4">
        <f t="shared" si="111"/>
        <v>0</v>
      </c>
      <c r="BL169" s="4">
        <f t="shared" si="112"/>
        <v>0</v>
      </c>
      <c r="BM169" s="4">
        <f t="shared" si="113"/>
        <v>0</v>
      </c>
      <c r="BN169" s="4">
        <f t="shared" si="114"/>
        <v>0</v>
      </c>
      <c r="BO169" s="4">
        <f t="shared" si="115"/>
        <v>0</v>
      </c>
      <c r="BP169" s="4">
        <f t="shared" si="116"/>
        <v>0</v>
      </c>
      <c r="BQ169" s="4">
        <f t="shared" si="117"/>
        <v>0</v>
      </c>
      <c r="BR169" s="4">
        <f t="shared" si="118"/>
        <v>0</v>
      </c>
      <c r="BS169" s="4">
        <f t="shared" si="119"/>
        <v>0</v>
      </c>
      <c r="BT169" s="4">
        <f t="shared" si="120"/>
        <v>0</v>
      </c>
      <c r="BU169" s="4">
        <f t="shared" si="121"/>
        <v>0</v>
      </c>
      <c r="BV169" s="4">
        <f t="shared" si="122"/>
        <v>0</v>
      </c>
      <c r="BW169" s="4">
        <f t="shared" si="123"/>
        <v>0</v>
      </c>
      <c r="BX169" s="4">
        <f t="shared" si="124"/>
        <v>0</v>
      </c>
      <c r="BY169" s="4">
        <f t="shared" si="125"/>
        <v>0</v>
      </c>
      <c r="BZ169" s="4">
        <f t="shared" si="126"/>
        <v>0</v>
      </c>
      <c r="CA169" s="4">
        <f t="shared" si="127"/>
        <v>0</v>
      </c>
      <c r="CB169" s="4">
        <f t="shared" si="128"/>
        <v>0</v>
      </c>
      <c r="CC169" s="4">
        <f t="shared" si="129"/>
        <v>0</v>
      </c>
      <c r="CD169" s="4">
        <f t="shared" si="130"/>
        <v>0</v>
      </c>
      <c r="CE169" s="4">
        <f t="shared" si="131"/>
        <v>0</v>
      </c>
      <c r="CF169" s="4">
        <f t="shared" si="132"/>
        <v>0</v>
      </c>
      <c r="CG169" s="4">
        <f t="shared" si="133"/>
        <v>0</v>
      </c>
      <c r="CH169" s="4">
        <f t="shared" si="134"/>
        <v>0</v>
      </c>
      <c r="CI169" s="4">
        <f t="shared" si="135"/>
        <v>0</v>
      </c>
      <c r="CJ169" s="4">
        <f t="shared" si="136"/>
        <v>0</v>
      </c>
      <c r="CK169" s="4">
        <f t="shared" si="137"/>
        <v>0</v>
      </c>
      <c r="CL169" s="4">
        <f t="shared" si="138"/>
        <v>0</v>
      </c>
      <c r="CM169" s="4">
        <f t="shared" si="139"/>
        <v>0</v>
      </c>
      <c r="CN169" s="4">
        <f t="shared" si="140"/>
        <v>0</v>
      </c>
      <c r="CO169" s="4">
        <f t="shared" si="141"/>
        <v>0</v>
      </c>
      <c r="CP169" s="4">
        <f t="shared" si="142"/>
        <v>0</v>
      </c>
      <c r="CQ169" s="4">
        <f t="shared" si="143"/>
        <v>0</v>
      </c>
      <c r="CR169" s="4">
        <f t="shared" si="144"/>
        <v>0</v>
      </c>
      <c r="CS169" s="4">
        <f t="shared" si="145"/>
        <v>0</v>
      </c>
      <c r="CT169" s="4">
        <f t="shared" si="146"/>
        <v>0</v>
      </c>
      <c r="CU169" s="4">
        <f t="shared" si="147"/>
        <v>0</v>
      </c>
      <c r="CV169" s="4">
        <f t="shared" si="148"/>
        <v>0</v>
      </c>
      <c r="CW169" s="4">
        <f t="shared" si="149"/>
        <v>0</v>
      </c>
      <c r="CX169" s="4">
        <f t="shared" si="150"/>
        <v>0</v>
      </c>
      <c r="CY169" s="4">
        <f t="shared" si="151"/>
        <v>0</v>
      </c>
      <c r="CZ169" s="4">
        <f t="shared" si="152"/>
        <v>0</v>
      </c>
      <c r="DA169" s="4">
        <f t="shared" si="153"/>
        <v>0</v>
      </c>
      <c r="DB169" s="4">
        <f t="shared" si="154"/>
        <v>0</v>
      </c>
      <c r="DC169" s="4">
        <f t="shared" si="155"/>
        <v>0</v>
      </c>
      <c r="DD169" s="4">
        <f t="shared" si="156"/>
        <v>0</v>
      </c>
    </row>
    <row r="170" spans="1:108" x14ac:dyDescent="0.25">
      <c r="A170" s="41" t="str">
        <f>Skills!M152</f>
        <v>Sail Making</v>
      </c>
      <c r="B170" s="55" t="str">
        <f>Skills!N152</f>
        <v>Sail Making</v>
      </c>
      <c r="C170" s="22">
        <f t="shared" si="157"/>
        <v>0</v>
      </c>
      <c r="D170" s="112">
        <f>Skills!S152</f>
        <v>0</v>
      </c>
      <c r="E170" s="113" t="e">
        <f>Profession!B78</f>
        <v>#REF!</v>
      </c>
      <c r="F170" s="19"/>
      <c r="G170" s="19"/>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56"/>
      <c r="BF170" s="4">
        <f t="shared" si="107"/>
        <v>0</v>
      </c>
      <c r="BG170" s="4">
        <f t="shared" si="107"/>
        <v>0</v>
      </c>
      <c r="BH170" s="4">
        <f t="shared" si="108"/>
        <v>0</v>
      </c>
      <c r="BI170" s="4">
        <f t="shared" si="109"/>
        <v>0</v>
      </c>
      <c r="BJ170" s="4">
        <f t="shared" si="110"/>
        <v>0</v>
      </c>
      <c r="BK170" s="4">
        <f t="shared" si="111"/>
        <v>0</v>
      </c>
      <c r="BL170" s="4">
        <f t="shared" si="112"/>
        <v>0</v>
      </c>
      <c r="BM170" s="4">
        <f t="shared" si="113"/>
        <v>0</v>
      </c>
      <c r="BN170" s="4">
        <f t="shared" si="114"/>
        <v>0</v>
      </c>
      <c r="BO170" s="4">
        <f t="shared" si="115"/>
        <v>0</v>
      </c>
      <c r="BP170" s="4">
        <f t="shared" si="116"/>
        <v>0</v>
      </c>
      <c r="BQ170" s="4">
        <f t="shared" si="117"/>
        <v>0</v>
      </c>
      <c r="BR170" s="4">
        <f t="shared" si="118"/>
        <v>0</v>
      </c>
      <c r="BS170" s="4">
        <f t="shared" si="119"/>
        <v>0</v>
      </c>
      <c r="BT170" s="4">
        <f t="shared" si="120"/>
        <v>0</v>
      </c>
      <c r="BU170" s="4">
        <f t="shared" si="121"/>
        <v>0</v>
      </c>
      <c r="BV170" s="4">
        <f t="shared" si="122"/>
        <v>0</v>
      </c>
      <c r="BW170" s="4">
        <f t="shared" si="123"/>
        <v>0</v>
      </c>
      <c r="BX170" s="4">
        <f t="shared" si="124"/>
        <v>0</v>
      </c>
      <c r="BY170" s="4">
        <f t="shared" si="125"/>
        <v>0</v>
      </c>
      <c r="BZ170" s="4">
        <f t="shared" si="126"/>
        <v>0</v>
      </c>
      <c r="CA170" s="4">
        <f t="shared" si="127"/>
        <v>0</v>
      </c>
      <c r="CB170" s="4">
        <f t="shared" si="128"/>
        <v>0</v>
      </c>
      <c r="CC170" s="4">
        <f t="shared" si="129"/>
        <v>0</v>
      </c>
      <c r="CD170" s="4">
        <f t="shared" si="130"/>
        <v>0</v>
      </c>
      <c r="CE170" s="4">
        <f t="shared" si="131"/>
        <v>0</v>
      </c>
      <c r="CF170" s="4">
        <f t="shared" si="132"/>
        <v>0</v>
      </c>
      <c r="CG170" s="4">
        <f t="shared" si="133"/>
        <v>0</v>
      </c>
      <c r="CH170" s="4">
        <f t="shared" si="134"/>
        <v>0</v>
      </c>
      <c r="CI170" s="4">
        <f t="shared" si="135"/>
        <v>0</v>
      </c>
      <c r="CJ170" s="4">
        <f t="shared" si="136"/>
        <v>0</v>
      </c>
      <c r="CK170" s="4">
        <f t="shared" si="137"/>
        <v>0</v>
      </c>
      <c r="CL170" s="4">
        <f t="shared" si="138"/>
        <v>0</v>
      </c>
      <c r="CM170" s="4">
        <f t="shared" si="139"/>
        <v>0</v>
      </c>
      <c r="CN170" s="4">
        <f t="shared" si="140"/>
        <v>0</v>
      </c>
      <c r="CO170" s="4">
        <f t="shared" si="141"/>
        <v>0</v>
      </c>
      <c r="CP170" s="4">
        <f t="shared" si="142"/>
        <v>0</v>
      </c>
      <c r="CQ170" s="4">
        <f t="shared" si="143"/>
        <v>0</v>
      </c>
      <c r="CR170" s="4">
        <f t="shared" si="144"/>
        <v>0</v>
      </c>
      <c r="CS170" s="4">
        <f t="shared" si="145"/>
        <v>0</v>
      </c>
      <c r="CT170" s="4">
        <f t="shared" si="146"/>
        <v>0</v>
      </c>
      <c r="CU170" s="4">
        <f t="shared" si="147"/>
        <v>0</v>
      </c>
      <c r="CV170" s="4">
        <f t="shared" si="148"/>
        <v>0</v>
      </c>
      <c r="CW170" s="4">
        <f t="shared" si="149"/>
        <v>0</v>
      </c>
      <c r="CX170" s="4">
        <f t="shared" si="150"/>
        <v>0</v>
      </c>
      <c r="CY170" s="4">
        <f t="shared" si="151"/>
        <v>0</v>
      </c>
      <c r="CZ170" s="4">
        <f t="shared" si="152"/>
        <v>0</v>
      </c>
      <c r="DA170" s="4">
        <f t="shared" si="153"/>
        <v>0</v>
      </c>
      <c r="DB170" s="4">
        <f t="shared" si="154"/>
        <v>0</v>
      </c>
      <c r="DC170" s="4">
        <f t="shared" si="155"/>
        <v>0</v>
      </c>
      <c r="DD170" s="4">
        <f t="shared" si="156"/>
        <v>0</v>
      </c>
    </row>
    <row r="171" spans="1:108" x14ac:dyDescent="0.25">
      <c r="A171" s="41" t="str">
        <f>Skills!M153</f>
        <v>Ship Wright</v>
      </c>
      <c r="B171" s="57" t="str">
        <f>Skills!N153</f>
        <v>Ship Wright</v>
      </c>
      <c r="C171" s="24">
        <f t="shared" si="157"/>
        <v>0</v>
      </c>
      <c r="D171" s="110">
        <f>Skills!S153</f>
        <v>0</v>
      </c>
      <c r="E171" s="111" t="e">
        <f>Profession!B79</f>
        <v>#REF!</v>
      </c>
      <c r="F171" s="18"/>
      <c r="G171" s="18"/>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49"/>
      <c r="BF171" s="4">
        <f t="shared" si="107"/>
        <v>0</v>
      </c>
      <c r="BG171" s="4">
        <f t="shared" si="107"/>
        <v>0</v>
      </c>
      <c r="BH171" s="4">
        <f t="shared" si="108"/>
        <v>0</v>
      </c>
      <c r="BI171" s="4">
        <f t="shared" si="109"/>
        <v>0</v>
      </c>
      <c r="BJ171" s="4">
        <f t="shared" si="110"/>
        <v>0</v>
      </c>
      <c r="BK171" s="4">
        <f t="shared" si="111"/>
        <v>0</v>
      </c>
      <c r="BL171" s="4">
        <f t="shared" si="112"/>
        <v>0</v>
      </c>
      <c r="BM171" s="4">
        <f t="shared" si="113"/>
        <v>0</v>
      </c>
      <c r="BN171" s="4">
        <f t="shared" si="114"/>
        <v>0</v>
      </c>
      <c r="BO171" s="4">
        <f t="shared" si="115"/>
        <v>0</v>
      </c>
      <c r="BP171" s="4">
        <f t="shared" si="116"/>
        <v>0</v>
      </c>
      <c r="BQ171" s="4">
        <f t="shared" si="117"/>
        <v>0</v>
      </c>
      <c r="BR171" s="4">
        <f t="shared" si="118"/>
        <v>0</v>
      </c>
      <c r="BS171" s="4">
        <f t="shared" si="119"/>
        <v>0</v>
      </c>
      <c r="BT171" s="4">
        <f t="shared" si="120"/>
        <v>0</v>
      </c>
      <c r="BU171" s="4">
        <f t="shared" si="121"/>
        <v>0</v>
      </c>
      <c r="BV171" s="4">
        <f t="shared" si="122"/>
        <v>0</v>
      </c>
      <c r="BW171" s="4">
        <f t="shared" si="123"/>
        <v>0</v>
      </c>
      <c r="BX171" s="4">
        <f t="shared" si="124"/>
        <v>0</v>
      </c>
      <c r="BY171" s="4">
        <f t="shared" si="125"/>
        <v>0</v>
      </c>
      <c r="BZ171" s="4">
        <f t="shared" si="126"/>
        <v>0</v>
      </c>
      <c r="CA171" s="4">
        <f t="shared" si="127"/>
        <v>0</v>
      </c>
      <c r="CB171" s="4">
        <f t="shared" si="128"/>
        <v>0</v>
      </c>
      <c r="CC171" s="4">
        <f t="shared" si="129"/>
        <v>0</v>
      </c>
      <c r="CD171" s="4">
        <f t="shared" si="130"/>
        <v>0</v>
      </c>
      <c r="CE171" s="4">
        <f t="shared" si="131"/>
        <v>0</v>
      </c>
      <c r="CF171" s="4">
        <f t="shared" si="132"/>
        <v>0</v>
      </c>
      <c r="CG171" s="4">
        <f t="shared" si="133"/>
        <v>0</v>
      </c>
      <c r="CH171" s="4">
        <f t="shared" si="134"/>
        <v>0</v>
      </c>
      <c r="CI171" s="4">
        <f t="shared" si="135"/>
        <v>0</v>
      </c>
      <c r="CJ171" s="4">
        <f t="shared" si="136"/>
        <v>0</v>
      </c>
      <c r="CK171" s="4">
        <f t="shared" si="137"/>
        <v>0</v>
      </c>
      <c r="CL171" s="4">
        <f t="shared" si="138"/>
        <v>0</v>
      </c>
      <c r="CM171" s="4">
        <f t="shared" si="139"/>
        <v>0</v>
      </c>
      <c r="CN171" s="4">
        <f t="shared" si="140"/>
        <v>0</v>
      </c>
      <c r="CO171" s="4">
        <f t="shared" si="141"/>
        <v>0</v>
      </c>
      <c r="CP171" s="4">
        <f t="shared" si="142"/>
        <v>0</v>
      </c>
      <c r="CQ171" s="4">
        <f t="shared" si="143"/>
        <v>0</v>
      </c>
      <c r="CR171" s="4">
        <f t="shared" si="144"/>
        <v>0</v>
      </c>
      <c r="CS171" s="4">
        <f t="shared" si="145"/>
        <v>0</v>
      </c>
      <c r="CT171" s="4">
        <f t="shared" si="146"/>
        <v>0</v>
      </c>
      <c r="CU171" s="4">
        <f t="shared" si="147"/>
        <v>0</v>
      </c>
      <c r="CV171" s="4">
        <f t="shared" si="148"/>
        <v>0</v>
      </c>
      <c r="CW171" s="4">
        <f t="shared" si="149"/>
        <v>0</v>
      </c>
      <c r="CX171" s="4">
        <f t="shared" si="150"/>
        <v>0</v>
      </c>
      <c r="CY171" s="4">
        <f t="shared" si="151"/>
        <v>0</v>
      </c>
      <c r="CZ171" s="4">
        <f t="shared" si="152"/>
        <v>0</v>
      </c>
      <c r="DA171" s="4">
        <f t="shared" si="153"/>
        <v>0</v>
      </c>
      <c r="DB171" s="4">
        <f t="shared" si="154"/>
        <v>0</v>
      </c>
      <c r="DC171" s="4">
        <f t="shared" si="155"/>
        <v>0</v>
      </c>
      <c r="DD171" s="4">
        <f t="shared" si="156"/>
        <v>0</v>
      </c>
    </row>
    <row r="172" spans="1:108" x14ac:dyDescent="0.25">
      <c r="A172" s="41" t="str">
        <f>Skills!M154</f>
        <v>Silver Smith</v>
      </c>
      <c r="B172" s="55" t="str">
        <f>Skills!N154</f>
        <v>Silver Smith</v>
      </c>
      <c r="C172" s="22">
        <f t="shared" si="157"/>
        <v>0</v>
      </c>
      <c r="D172" s="112">
        <f>Skills!S154</f>
        <v>0</v>
      </c>
      <c r="E172" s="113" t="e">
        <f>Profession!B80</f>
        <v>#REF!</v>
      </c>
      <c r="F172" s="19"/>
      <c r="G172" s="19"/>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56"/>
      <c r="BF172" s="4">
        <f t="shared" si="107"/>
        <v>0</v>
      </c>
      <c r="BG172" s="4">
        <f t="shared" si="107"/>
        <v>0</v>
      </c>
      <c r="BH172" s="4">
        <f t="shared" si="108"/>
        <v>0</v>
      </c>
      <c r="BI172" s="4">
        <f t="shared" si="109"/>
        <v>0</v>
      </c>
      <c r="BJ172" s="4">
        <f t="shared" si="110"/>
        <v>0</v>
      </c>
      <c r="BK172" s="4">
        <f t="shared" si="111"/>
        <v>0</v>
      </c>
      <c r="BL172" s="4">
        <f t="shared" si="112"/>
        <v>0</v>
      </c>
      <c r="BM172" s="4">
        <f t="shared" si="113"/>
        <v>0</v>
      </c>
      <c r="BN172" s="4">
        <f t="shared" si="114"/>
        <v>0</v>
      </c>
      <c r="BO172" s="4">
        <f t="shared" si="115"/>
        <v>0</v>
      </c>
      <c r="BP172" s="4">
        <f t="shared" si="116"/>
        <v>0</v>
      </c>
      <c r="BQ172" s="4">
        <f t="shared" si="117"/>
        <v>0</v>
      </c>
      <c r="BR172" s="4">
        <f t="shared" si="118"/>
        <v>0</v>
      </c>
      <c r="BS172" s="4">
        <f t="shared" si="119"/>
        <v>0</v>
      </c>
      <c r="BT172" s="4">
        <f t="shared" si="120"/>
        <v>0</v>
      </c>
      <c r="BU172" s="4">
        <f t="shared" si="121"/>
        <v>0</v>
      </c>
      <c r="BV172" s="4">
        <f t="shared" si="122"/>
        <v>0</v>
      </c>
      <c r="BW172" s="4">
        <f t="shared" si="123"/>
        <v>0</v>
      </c>
      <c r="BX172" s="4">
        <f t="shared" si="124"/>
        <v>0</v>
      </c>
      <c r="BY172" s="4">
        <f t="shared" si="125"/>
        <v>0</v>
      </c>
      <c r="BZ172" s="4">
        <f t="shared" si="126"/>
        <v>0</v>
      </c>
      <c r="CA172" s="4">
        <f t="shared" si="127"/>
        <v>0</v>
      </c>
      <c r="CB172" s="4">
        <f t="shared" si="128"/>
        <v>0</v>
      </c>
      <c r="CC172" s="4">
        <f t="shared" si="129"/>
        <v>0</v>
      </c>
      <c r="CD172" s="4">
        <f t="shared" si="130"/>
        <v>0</v>
      </c>
      <c r="CE172" s="4">
        <f t="shared" si="131"/>
        <v>0</v>
      </c>
      <c r="CF172" s="4">
        <f t="shared" si="132"/>
        <v>0</v>
      </c>
      <c r="CG172" s="4">
        <f t="shared" si="133"/>
        <v>0</v>
      </c>
      <c r="CH172" s="4">
        <f t="shared" si="134"/>
        <v>0</v>
      </c>
      <c r="CI172" s="4">
        <f t="shared" si="135"/>
        <v>0</v>
      </c>
      <c r="CJ172" s="4">
        <f t="shared" si="136"/>
        <v>0</v>
      </c>
      <c r="CK172" s="4">
        <f t="shared" si="137"/>
        <v>0</v>
      </c>
      <c r="CL172" s="4">
        <f t="shared" si="138"/>
        <v>0</v>
      </c>
      <c r="CM172" s="4">
        <f t="shared" si="139"/>
        <v>0</v>
      </c>
      <c r="CN172" s="4">
        <f t="shared" si="140"/>
        <v>0</v>
      </c>
      <c r="CO172" s="4">
        <f t="shared" si="141"/>
        <v>0</v>
      </c>
      <c r="CP172" s="4">
        <f t="shared" si="142"/>
        <v>0</v>
      </c>
      <c r="CQ172" s="4">
        <f t="shared" si="143"/>
        <v>0</v>
      </c>
      <c r="CR172" s="4">
        <f t="shared" si="144"/>
        <v>0</v>
      </c>
      <c r="CS172" s="4">
        <f t="shared" si="145"/>
        <v>0</v>
      </c>
      <c r="CT172" s="4">
        <f t="shared" si="146"/>
        <v>0</v>
      </c>
      <c r="CU172" s="4">
        <f t="shared" si="147"/>
        <v>0</v>
      </c>
      <c r="CV172" s="4">
        <f t="shared" si="148"/>
        <v>0</v>
      </c>
      <c r="CW172" s="4">
        <f t="shared" si="149"/>
        <v>0</v>
      </c>
      <c r="CX172" s="4">
        <f t="shared" si="150"/>
        <v>0</v>
      </c>
      <c r="CY172" s="4">
        <f t="shared" si="151"/>
        <v>0</v>
      </c>
      <c r="CZ172" s="4">
        <f t="shared" si="152"/>
        <v>0</v>
      </c>
      <c r="DA172" s="4">
        <f t="shared" si="153"/>
        <v>0</v>
      </c>
      <c r="DB172" s="4">
        <f t="shared" si="154"/>
        <v>0</v>
      </c>
      <c r="DC172" s="4">
        <f t="shared" si="155"/>
        <v>0</v>
      </c>
      <c r="DD172" s="4">
        <f t="shared" si="156"/>
        <v>0</v>
      </c>
    </row>
    <row r="173" spans="1:108" x14ac:dyDescent="0.25">
      <c r="A173" s="41" t="str">
        <f>Skills!M155</f>
        <v>Spinner</v>
      </c>
      <c r="B173" s="57" t="str">
        <f>Skills!N155</f>
        <v>Spinner</v>
      </c>
      <c r="C173" s="24">
        <f t="shared" si="157"/>
        <v>0</v>
      </c>
      <c r="D173" s="110">
        <f>Skills!S155</f>
        <v>0</v>
      </c>
      <c r="E173" s="111" t="e">
        <f>Profession!B81</f>
        <v>#REF!</v>
      </c>
      <c r="F173" s="18"/>
      <c r="G173" s="18"/>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49"/>
      <c r="BF173" s="4">
        <f t="shared" si="107"/>
        <v>0</v>
      </c>
      <c r="BG173" s="4">
        <f t="shared" si="107"/>
        <v>0</v>
      </c>
      <c r="BH173" s="4">
        <f t="shared" si="108"/>
        <v>0</v>
      </c>
      <c r="BI173" s="4">
        <f t="shared" si="109"/>
        <v>0</v>
      </c>
      <c r="BJ173" s="4">
        <f t="shared" si="110"/>
        <v>0</v>
      </c>
      <c r="BK173" s="4">
        <f t="shared" si="111"/>
        <v>0</v>
      </c>
      <c r="BL173" s="4">
        <f t="shared" si="112"/>
        <v>0</v>
      </c>
      <c r="BM173" s="4">
        <f t="shared" si="113"/>
        <v>0</v>
      </c>
      <c r="BN173" s="4">
        <f t="shared" si="114"/>
        <v>0</v>
      </c>
      <c r="BO173" s="4">
        <f t="shared" si="115"/>
        <v>0</v>
      </c>
      <c r="BP173" s="4">
        <f t="shared" si="116"/>
        <v>0</v>
      </c>
      <c r="BQ173" s="4">
        <f t="shared" si="117"/>
        <v>0</v>
      </c>
      <c r="BR173" s="4">
        <f t="shared" si="118"/>
        <v>0</v>
      </c>
      <c r="BS173" s="4">
        <f t="shared" si="119"/>
        <v>0</v>
      </c>
      <c r="BT173" s="4">
        <f t="shared" si="120"/>
        <v>0</v>
      </c>
      <c r="BU173" s="4">
        <f t="shared" si="121"/>
        <v>0</v>
      </c>
      <c r="BV173" s="4">
        <f t="shared" si="122"/>
        <v>0</v>
      </c>
      <c r="BW173" s="4">
        <f t="shared" si="123"/>
        <v>0</v>
      </c>
      <c r="BX173" s="4">
        <f t="shared" si="124"/>
        <v>0</v>
      </c>
      <c r="BY173" s="4">
        <f t="shared" si="125"/>
        <v>0</v>
      </c>
      <c r="BZ173" s="4">
        <f t="shared" si="126"/>
        <v>0</v>
      </c>
      <c r="CA173" s="4">
        <f t="shared" si="127"/>
        <v>0</v>
      </c>
      <c r="CB173" s="4">
        <f t="shared" si="128"/>
        <v>0</v>
      </c>
      <c r="CC173" s="4">
        <f t="shared" si="129"/>
        <v>0</v>
      </c>
      <c r="CD173" s="4">
        <f t="shared" si="130"/>
        <v>0</v>
      </c>
      <c r="CE173" s="4">
        <f t="shared" si="131"/>
        <v>0</v>
      </c>
      <c r="CF173" s="4">
        <f t="shared" si="132"/>
        <v>0</v>
      </c>
      <c r="CG173" s="4">
        <f t="shared" si="133"/>
        <v>0</v>
      </c>
      <c r="CH173" s="4">
        <f t="shared" si="134"/>
        <v>0</v>
      </c>
      <c r="CI173" s="4">
        <f t="shared" si="135"/>
        <v>0</v>
      </c>
      <c r="CJ173" s="4">
        <f t="shared" si="136"/>
        <v>0</v>
      </c>
      <c r="CK173" s="4">
        <f t="shared" si="137"/>
        <v>0</v>
      </c>
      <c r="CL173" s="4">
        <f t="shared" si="138"/>
        <v>0</v>
      </c>
      <c r="CM173" s="4">
        <f t="shared" si="139"/>
        <v>0</v>
      </c>
      <c r="CN173" s="4">
        <f t="shared" si="140"/>
        <v>0</v>
      </c>
      <c r="CO173" s="4">
        <f t="shared" si="141"/>
        <v>0</v>
      </c>
      <c r="CP173" s="4">
        <f t="shared" si="142"/>
        <v>0</v>
      </c>
      <c r="CQ173" s="4">
        <f t="shared" si="143"/>
        <v>0</v>
      </c>
      <c r="CR173" s="4">
        <f t="shared" si="144"/>
        <v>0</v>
      </c>
      <c r="CS173" s="4">
        <f t="shared" si="145"/>
        <v>0</v>
      </c>
      <c r="CT173" s="4">
        <f t="shared" si="146"/>
        <v>0</v>
      </c>
      <c r="CU173" s="4">
        <f t="shared" si="147"/>
        <v>0</v>
      </c>
      <c r="CV173" s="4">
        <f t="shared" si="148"/>
        <v>0</v>
      </c>
      <c r="CW173" s="4">
        <f t="shared" si="149"/>
        <v>0</v>
      </c>
      <c r="CX173" s="4">
        <f t="shared" si="150"/>
        <v>0</v>
      </c>
      <c r="CY173" s="4">
        <f t="shared" si="151"/>
        <v>0</v>
      </c>
      <c r="CZ173" s="4">
        <f t="shared" si="152"/>
        <v>0</v>
      </c>
      <c r="DA173" s="4">
        <f t="shared" si="153"/>
        <v>0</v>
      </c>
      <c r="DB173" s="4">
        <f t="shared" si="154"/>
        <v>0</v>
      </c>
      <c r="DC173" s="4">
        <f t="shared" si="155"/>
        <v>0</v>
      </c>
      <c r="DD173" s="4">
        <f t="shared" si="156"/>
        <v>0</v>
      </c>
    </row>
    <row r="174" spans="1:108" x14ac:dyDescent="0.25">
      <c r="A174" s="41" t="str">
        <f>Skills!M156</f>
        <v>Stone Craft</v>
      </c>
      <c r="B174" s="55" t="str">
        <f>Skills!N156</f>
        <v>Stone Craft</v>
      </c>
      <c r="C174" s="22">
        <f t="shared" si="157"/>
        <v>0</v>
      </c>
      <c r="D174" s="112">
        <f>Skills!S156</f>
        <v>0</v>
      </c>
      <c r="E174" s="113" t="e">
        <f>Profession!B82</f>
        <v>#REF!</v>
      </c>
      <c r="F174" s="19"/>
      <c r="G174" s="19"/>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56"/>
      <c r="BF174" s="4">
        <f t="shared" si="107"/>
        <v>0</v>
      </c>
      <c r="BG174" s="4">
        <f t="shared" si="107"/>
        <v>0</v>
      </c>
      <c r="BH174" s="4">
        <f t="shared" si="108"/>
        <v>0</v>
      </c>
      <c r="BI174" s="4">
        <f t="shared" si="109"/>
        <v>0</v>
      </c>
      <c r="BJ174" s="4">
        <f t="shared" si="110"/>
        <v>0</v>
      </c>
      <c r="BK174" s="4">
        <f t="shared" si="111"/>
        <v>0</v>
      </c>
      <c r="BL174" s="4">
        <f t="shared" si="112"/>
        <v>0</v>
      </c>
      <c r="BM174" s="4">
        <f t="shared" si="113"/>
        <v>0</v>
      </c>
      <c r="BN174" s="4">
        <f t="shared" si="114"/>
        <v>0</v>
      </c>
      <c r="BO174" s="4">
        <f t="shared" si="115"/>
        <v>0</v>
      </c>
      <c r="BP174" s="4">
        <f t="shared" si="116"/>
        <v>0</v>
      </c>
      <c r="BQ174" s="4">
        <f t="shared" si="117"/>
        <v>0</v>
      </c>
      <c r="BR174" s="4">
        <f t="shared" si="118"/>
        <v>0</v>
      </c>
      <c r="BS174" s="4">
        <f t="shared" si="119"/>
        <v>0</v>
      </c>
      <c r="BT174" s="4">
        <f t="shared" si="120"/>
        <v>0</v>
      </c>
      <c r="BU174" s="4">
        <f t="shared" si="121"/>
        <v>0</v>
      </c>
      <c r="BV174" s="4">
        <f t="shared" si="122"/>
        <v>0</v>
      </c>
      <c r="BW174" s="4">
        <f t="shared" si="123"/>
        <v>0</v>
      </c>
      <c r="BX174" s="4">
        <f t="shared" si="124"/>
        <v>0</v>
      </c>
      <c r="BY174" s="4">
        <f t="shared" si="125"/>
        <v>0</v>
      </c>
      <c r="BZ174" s="4">
        <f t="shared" si="126"/>
        <v>0</v>
      </c>
      <c r="CA174" s="4">
        <f t="shared" si="127"/>
        <v>0</v>
      </c>
      <c r="CB174" s="4">
        <f t="shared" si="128"/>
        <v>0</v>
      </c>
      <c r="CC174" s="4">
        <f t="shared" si="129"/>
        <v>0</v>
      </c>
      <c r="CD174" s="4">
        <f t="shared" si="130"/>
        <v>0</v>
      </c>
      <c r="CE174" s="4">
        <f t="shared" si="131"/>
        <v>0</v>
      </c>
      <c r="CF174" s="4">
        <f t="shared" si="132"/>
        <v>0</v>
      </c>
      <c r="CG174" s="4">
        <f t="shared" si="133"/>
        <v>0</v>
      </c>
      <c r="CH174" s="4">
        <f t="shared" si="134"/>
        <v>0</v>
      </c>
      <c r="CI174" s="4">
        <f t="shared" si="135"/>
        <v>0</v>
      </c>
      <c r="CJ174" s="4">
        <f t="shared" si="136"/>
        <v>0</v>
      </c>
      <c r="CK174" s="4">
        <f t="shared" si="137"/>
        <v>0</v>
      </c>
      <c r="CL174" s="4">
        <f t="shared" si="138"/>
        <v>0</v>
      </c>
      <c r="CM174" s="4">
        <f t="shared" si="139"/>
        <v>0</v>
      </c>
      <c r="CN174" s="4">
        <f t="shared" si="140"/>
        <v>0</v>
      </c>
      <c r="CO174" s="4">
        <f t="shared" si="141"/>
        <v>0</v>
      </c>
      <c r="CP174" s="4">
        <f t="shared" si="142"/>
        <v>0</v>
      </c>
      <c r="CQ174" s="4">
        <f t="shared" si="143"/>
        <v>0</v>
      </c>
      <c r="CR174" s="4">
        <f t="shared" si="144"/>
        <v>0</v>
      </c>
      <c r="CS174" s="4">
        <f t="shared" si="145"/>
        <v>0</v>
      </c>
      <c r="CT174" s="4">
        <f t="shared" si="146"/>
        <v>0</v>
      </c>
      <c r="CU174" s="4">
        <f t="shared" si="147"/>
        <v>0</v>
      </c>
      <c r="CV174" s="4">
        <f t="shared" si="148"/>
        <v>0</v>
      </c>
      <c r="CW174" s="4">
        <f t="shared" si="149"/>
        <v>0</v>
      </c>
      <c r="CX174" s="4">
        <f t="shared" si="150"/>
        <v>0</v>
      </c>
      <c r="CY174" s="4">
        <f t="shared" si="151"/>
        <v>0</v>
      </c>
      <c r="CZ174" s="4">
        <f t="shared" si="152"/>
        <v>0</v>
      </c>
      <c r="DA174" s="4">
        <f t="shared" si="153"/>
        <v>0</v>
      </c>
      <c r="DB174" s="4">
        <f t="shared" si="154"/>
        <v>0</v>
      </c>
      <c r="DC174" s="4">
        <f t="shared" si="155"/>
        <v>0</v>
      </c>
      <c r="DD174" s="4">
        <f t="shared" si="156"/>
        <v>0</v>
      </c>
    </row>
    <row r="175" spans="1:108" x14ac:dyDescent="0.25">
      <c r="A175" s="41" t="str">
        <f>Skills!M157</f>
        <v>Tanner</v>
      </c>
      <c r="B175" s="57" t="str">
        <f>Skills!N157</f>
        <v>Tanner</v>
      </c>
      <c r="C175" s="24">
        <f t="shared" si="157"/>
        <v>0</v>
      </c>
      <c r="D175" s="110">
        <f>Skills!S157</f>
        <v>0</v>
      </c>
      <c r="E175" s="111" t="e">
        <f>Profession!B83</f>
        <v>#REF!</v>
      </c>
      <c r="F175" s="18"/>
      <c r="G175" s="18"/>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49"/>
      <c r="BF175" s="4">
        <f t="shared" si="107"/>
        <v>0</v>
      </c>
      <c r="BG175" s="4">
        <f t="shared" si="107"/>
        <v>0</v>
      </c>
      <c r="BH175" s="4">
        <f t="shared" si="108"/>
        <v>0</v>
      </c>
      <c r="BI175" s="4">
        <f t="shared" si="109"/>
        <v>0</v>
      </c>
      <c r="BJ175" s="4">
        <f t="shared" si="110"/>
        <v>0</v>
      </c>
      <c r="BK175" s="4">
        <f t="shared" si="111"/>
        <v>0</v>
      </c>
      <c r="BL175" s="4">
        <f t="shared" si="112"/>
        <v>0</v>
      </c>
      <c r="BM175" s="4">
        <f t="shared" si="113"/>
        <v>0</v>
      </c>
      <c r="BN175" s="4">
        <f t="shared" si="114"/>
        <v>0</v>
      </c>
      <c r="BO175" s="4">
        <f t="shared" si="115"/>
        <v>0</v>
      </c>
      <c r="BP175" s="4">
        <f t="shared" si="116"/>
        <v>0</v>
      </c>
      <c r="BQ175" s="4">
        <f t="shared" si="117"/>
        <v>0</v>
      </c>
      <c r="BR175" s="4">
        <f t="shared" si="118"/>
        <v>0</v>
      </c>
      <c r="BS175" s="4">
        <f t="shared" si="119"/>
        <v>0</v>
      </c>
      <c r="BT175" s="4">
        <f t="shared" si="120"/>
        <v>0</v>
      </c>
      <c r="BU175" s="4">
        <f t="shared" si="121"/>
        <v>0</v>
      </c>
      <c r="BV175" s="4">
        <f t="shared" si="122"/>
        <v>0</v>
      </c>
      <c r="BW175" s="4">
        <f t="shared" si="123"/>
        <v>0</v>
      </c>
      <c r="BX175" s="4">
        <f t="shared" si="124"/>
        <v>0</v>
      </c>
      <c r="BY175" s="4">
        <f t="shared" si="125"/>
        <v>0</v>
      </c>
      <c r="BZ175" s="4">
        <f t="shared" si="126"/>
        <v>0</v>
      </c>
      <c r="CA175" s="4">
        <f t="shared" si="127"/>
        <v>0</v>
      </c>
      <c r="CB175" s="4">
        <f t="shared" si="128"/>
        <v>0</v>
      </c>
      <c r="CC175" s="4">
        <f t="shared" si="129"/>
        <v>0</v>
      </c>
      <c r="CD175" s="4">
        <f t="shared" si="130"/>
        <v>0</v>
      </c>
      <c r="CE175" s="4">
        <f t="shared" si="131"/>
        <v>0</v>
      </c>
      <c r="CF175" s="4">
        <f t="shared" si="132"/>
        <v>0</v>
      </c>
      <c r="CG175" s="4">
        <f t="shared" si="133"/>
        <v>0</v>
      </c>
      <c r="CH175" s="4">
        <f t="shared" si="134"/>
        <v>0</v>
      </c>
      <c r="CI175" s="4">
        <f t="shared" si="135"/>
        <v>0</v>
      </c>
      <c r="CJ175" s="4">
        <f t="shared" si="136"/>
        <v>0</v>
      </c>
      <c r="CK175" s="4">
        <f t="shared" si="137"/>
        <v>0</v>
      </c>
      <c r="CL175" s="4">
        <f t="shared" si="138"/>
        <v>0</v>
      </c>
      <c r="CM175" s="4">
        <f t="shared" si="139"/>
        <v>0</v>
      </c>
      <c r="CN175" s="4">
        <f t="shared" si="140"/>
        <v>0</v>
      </c>
      <c r="CO175" s="4">
        <f t="shared" si="141"/>
        <v>0</v>
      </c>
      <c r="CP175" s="4">
        <f t="shared" si="142"/>
        <v>0</v>
      </c>
      <c r="CQ175" s="4">
        <f t="shared" si="143"/>
        <v>0</v>
      </c>
      <c r="CR175" s="4">
        <f t="shared" si="144"/>
        <v>0</v>
      </c>
      <c r="CS175" s="4">
        <f t="shared" si="145"/>
        <v>0</v>
      </c>
      <c r="CT175" s="4">
        <f t="shared" si="146"/>
        <v>0</v>
      </c>
      <c r="CU175" s="4">
        <f t="shared" si="147"/>
        <v>0</v>
      </c>
      <c r="CV175" s="4">
        <f t="shared" si="148"/>
        <v>0</v>
      </c>
      <c r="CW175" s="4">
        <f t="shared" si="149"/>
        <v>0</v>
      </c>
      <c r="CX175" s="4">
        <f t="shared" si="150"/>
        <v>0</v>
      </c>
      <c r="CY175" s="4">
        <f t="shared" si="151"/>
        <v>0</v>
      </c>
      <c r="CZ175" s="4">
        <f t="shared" si="152"/>
        <v>0</v>
      </c>
      <c r="DA175" s="4">
        <f t="shared" si="153"/>
        <v>0</v>
      </c>
      <c r="DB175" s="4">
        <f t="shared" si="154"/>
        <v>0</v>
      </c>
      <c r="DC175" s="4">
        <f t="shared" si="155"/>
        <v>0</v>
      </c>
      <c r="DD175" s="4">
        <f t="shared" si="156"/>
        <v>0</v>
      </c>
    </row>
    <row r="176" spans="1:108" x14ac:dyDescent="0.25">
      <c r="A176" s="41" t="str">
        <f>Skills!M158</f>
        <v>Taxidermist</v>
      </c>
      <c r="B176" s="55" t="str">
        <f>Skills!N158</f>
        <v>Taxidermist</v>
      </c>
      <c r="C176" s="22">
        <f t="shared" si="157"/>
        <v>0</v>
      </c>
      <c r="D176" s="112">
        <f>Skills!S158</f>
        <v>0</v>
      </c>
      <c r="E176" s="113" t="e">
        <f>Profession!B84</f>
        <v>#REF!</v>
      </c>
      <c r="F176" s="19"/>
      <c r="G176" s="19"/>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56"/>
      <c r="BF176" s="4">
        <f t="shared" si="107"/>
        <v>0</v>
      </c>
      <c r="BG176" s="4">
        <f t="shared" si="107"/>
        <v>0</v>
      </c>
      <c r="BH176" s="4">
        <f t="shared" si="108"/>
        <v>0</v>
      </c>
      <c r="BI176" s="4">
        <f t="shared" si="109"/>
        <v>0</v>
      </c>
      <c r="BJ176" s="4">
        <f t="shared" si="110"/>
        <v>0</v>
      </c>
      <c r="BK176" s="4">
        <f t="shared" si="111"/>
        <v>0</v>
      </c>
      <c r="BL176" s="4">
        <f t="shared" si="112"/>
        <v>0</v>
      </c>
      <c r="BM176" s="4">
        <f t="shared" si="113"/>
        <v>0</v>
      </c>
      <c r="BN176" s="4">
        <f t="shared" si="114"/>
        <v>0</v>
      </c>
      <c r="BO176" s="4">
        <f t="shared" si="115"/>
        <v>0</v>
      </c>
      <c r="BP176" s="4">
        <f t="shared" si="116"/>
        <v>0</v>
      </c>
      <c r="BQ176" s="4">
        <f t="shared" si="117"/>
        <v>0</v>
      </c>
      <c r="BR176" s="4">
        <f t="shared" si="118"/>
        <v>0</v>
      </c>
      <c r="BS176" s="4">
        <f t="shared" si="119"/>
        <v>0</v>
      </c>
      <c r="BT176" s="4">
        <f t="shared" si="120"/>
        <v>0</v>
      </c>
      <c r="BU176" s="4">
        <f t="shared" si="121"/>
        <v>0</v>
      </c>
      <c r="BV176" s="4">
        <f t="shared" si="122"/>
        <v>0</v>
      </c>
      <c r="BW176" s="4">
        <f t="shared" si="123"/>
        <v>0</v>
      </c>
      <c r="BX176" s="4">
        <f t="shared" si="124"/>
        <v>0</v>
      </c>
      <c r="BY176" s="4">
        <f t="shared" si="125"/>
        <v>0</v>
      </c>
      <c r="BZ176" s="4">
        <f t="shared" si="126"/>
        <v>0</v>
      </c>
      <c r="CA176" s="4">
        <f t="shared" si="127"/>
        <v>0</v>
      </c>
      <c r="CB176" s="4">
        <f t="shared" si="128"/>
        <v>0</v>
      </c>
      <c r="CC176" s="4">
        <f t="shared" si="129"/>
        <v>0</v>
      </c>
      <c r="CD176" s="4">
        <f t="shared" si="130"/>
        <v>0</v>
      </c>
      <c r="CE176" s="4">
        <f t="shared" si="131"/>
        <v>0</v>
      </c>
      <c r="CF176" s="4">
        <f t="shared" si="132"/>
        <v>0</v>
      </c>
      <c r="CG176" s="4">
        <f t="shared" si="133"/>
        <v>0</v>
      </c>
      <c r="CH176" s="4">
        <f t="shared" si="134"/>
        <v>0</v>
      </c>
      <c r="CI176" s="4">
        <f t="shared" si="135"/>
        <v>0</v>
      </c>
      <c r="CJ176" s="4">
        <f t="shared" si="136"/>
        <v>0</v>
      </c>
      <c r="CK176" s="4">
        <f t="shared" si="137"/>
        <v>0</v>
      </c>
      <c r="CL176" s="4">
        <f t="shared" si="138"/>
        <v>0</v>
      </c>
      <c r="CM176" s="4">
        <f t="shared" si="139"/>
        <v>0</v>
      </c>
      <c r="CN176" s="4">
        <f t="shared" si="140"/>
        <v>0</v>
      </c>
      <c r="CO176" s="4">
        <f t="shared" si="141"/>
        <v>0</v>
      </c>
      <c r="CP176" s="4">
        <f t="shared" si="142"/>
        <v>0</v>
      </c>
      <c r="CQ176" s="4">
        <f t="shared" si="143"/>
        <v>0</v>
      </c>
      <c r="CR176" s="4">
        <f t="shared" si="144"/>
        <v>0</v>
      </c>
      <c r="CS176" s="4">
        <f t="shared" si="145"/>
        <v>0</v>
      </c>
      <c r="CT176" s="4">
        <f t="shared" si="146"/>
        <v>0</v>
      </c>
      <c r="CU176" s="4">
        <f t="shared" si="147"/>
        <v>0</v>
      </c>
      <c r="CV176" s="4">
        <f t="shared" si="148"/>
        <v>0</v>
      </c>
      <c r="CW176" s="4">
        <f t="shared" si="149"/>
        <v>0</v>
      </c>
      <c r="CX176" s="4">
        <f t="shared" si="150"/>
        <v>0</v>
      </c>
      <c r="CY176" s="4">
        <f t="shared" si="151"/>
        <v>0</v>
      </c>
      <c r="CZ176" s="4">
        <f t="shared" si="152"/>
        <v>0</v>
      </c>
      <c r="DA176" s="4">
        <f t="shared" si="153"/>
        <v>0</v>
      </c>
      <c r="DB176" s="4">
        <f t="shared" si="154"/>
        <v>0</v>
      </c>
      <c r="DC176" s="4">
        <f t="shared" si="155"/>
        <v>0</v>
      </c>
      <c r="DD176" s="4">
        <f t="shared" si="156"/>
        <v>0</v>
      </c>
    </row>
    <row r="177" spans="1:108" x14ac:dyDescent="0.25">
      <c r="A177" s="41" t="str">
        <f>Skills!M159</f>
        <v>Tin Smith</v>
      </c>
      <c r="B177" s="57" t="str">
        <f>Skills!N159</f>
        <v>Tin Smith</v>
      </c>
      <c r="C177" s="24">
        <f t="shared" si="157"/>
        <v>0</v>
      </c>
      <c r="D177" s="110">
        <f>Skills!S159</f>
        <v>0</v>
      </c>
      <c r="E177" s="111" t="e">
        <f>Profession!B85</f>
        <v>#REF!</v>
      </c>
      <c r="F177" s="18"/>
      <c r="G177" s="18"/>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49"/>
      <c r="BF177" s="4">
        <f t="shared" si="107"/>
        <v>0</v>
      </c>
      <c r="BG177" s="4">
        <f t="shared" si="107"/>
        <v>0</v>
      </c>
      <c r="BH177" s="4">
        <f t="shared" si="108"/>
        <v>0</v>
      </c>
      <c r="BI177" s="4">
        <f t="shared" si="109"/>
        <v>0</v>
      </c>
      <c r="BJ177" s="4">
        <f t="shared" si="110"/>
        <v>0</v>
      </c>
      <c r="BK177" s="4">
        <f t="shared" si="111"/>
        <v>0</v>
      </c>
      <c r="BL177" s="4">
        <f t="shared" si="112"/>
        <v>0</v>
      </c>
      <c r="BM177" s="4">
        <f t="shared" si="113"/>
        <v>0</v>
      </c>
      <c r="BN177" s="4">
        <f t="shared" si="114"/>
        <v>0</v>
      </c>
      <c r="BO177" s="4">
        <f t="shared" si="115"/>
        <v>0</v>
      </c>
      <c r="BP177" s="4">
        <f t="shared" si="116"/>
        <v>0</v>
      </c>
      <c r="BQ177" s="4">
        <f t="shared" si="117"/>
        <v>0</v>
      </c>
      <c r="BR177" s="4">
        <f t="shared" si="118"/>
        <v>0</v>
      </c>
      <c r="BS177" s="4">
        <f t="shared" si="119"/>
        <v>0</v>
      </c>
      <c r="BT177" s="4">
        <f t="shared" si="120"/>
        <v>0</v>
      </c>
      <c r="BU177" s="4">
        <f t="shared" si="121"/>
        <v>0</v>
      </c>
      <c r="BV177" s="4">
        <f t="shared" si="122"/>
        <v>0</v>
      </c>
      <c r="BW177" s="4">
        <f t="shared" si="123"/>
        <v>0</v>
      </c>
      <c r="BX177" s="4">
        <f t="shared" si="124"/>
        <v>0</v>
      </c>
      <c r="BY177" s="4">
        <f t="shared" si="125"/>
        <v>0</v>
      </c>
      <c r="BZ177" s="4">
        <f t="shared" si="126"/>
        <v>0</v>
      </c>
      <c r="CA177" s="4">
        <f t="shared" si="127"/>
        <v>0</v>
      </c>
      <c r="CB177" s="4">
        <f t="shared" si="128"/>
        <v>0</v>
      </c>
      <c r="CC177" s="4">
        <f t="shared" si="129"/>
        <v>0</v>
      </c>
      <c r="CD177" s="4">
        <f t="shared" si="130"/>
        <v>0</v>
      </c>
      <c r="CE177" s="4">
        <f t="shared" si="131"/>
        <v>0</v>
      </c>
      <c r="CF177" s="4">
        <f t="shared" si="132"/>
        <v>0</v>
      </c>
      <c r="CG177" s="4">
        <f t="shared" si="133"/>
        <v>0</v>
      </c>
      <c r="CH177" s="4">
        <f t="shared" si="134"/>
        <v>0</v>
      </c>
      <c r="CI177" s="4">
        <f t="shared" si="135"/>
        <v>0</v>
      </c>
      <c r="CJ177" s="4">
        <f t="shared" si="136"/>
        <v>0</v>
      </c>
      <c r="CK177" s="4">
        <f t="shared" si="137"/>
        <v>0</v>
      </c>
      <c r="CL177" s="4">
        <f t="shared" si="138"/>
        <v>0</v>
      </c>
      <c r="CM177" s="4">
        <f t="shared" si="139"/>
        <v>0</v>
      </c>
      <c r="CN177" s="4">
        <f t="shared" si="140"/>
        <v>0</v>
      </c>
      <c r="CO177" s="4">
        <f t="shared" si="141"/>
        <v>0</v>
      </c>
      <c r="CP177" s="4">
        <f t="shared" si="142"/>
        <v>0</v>
      </c>
      <c r="CQ177" s="4">
        <f t="shared" si="143"/>
        <v>0</v>
      </c>
      <c r="CR177" s="4">
        <f t="shared" si="144"/>
        <v>0</v>
      </c>
      <c r="CS177" s="4">
        <f t="shared" si="145"/>
        <v>0</v>
      </c>
      <c r="CT177" s="4">
        <f t="shared" si="146"/>
        <v>0</v>
      </c>
      <c r="CU177" s="4">
        <f t="shared" si="147"/>
        <v>0</v>
      </c>
      <c r="CV177" s="4">
        <f t="shared" si="148"/>
        <v>0</v>
      </c>
      <c r="CW177" s="4">
        <f t="shared" si="149"/>
        <v>0</v>
      </c>
      <c r="CX177" s="4">
        <f t="shared" si="150"/>
        <v>0</v>
      </c>
      <c r="CY177" s="4">
        <f t="shared" si="151"/>
        <v>0</v>
      </c>
      <c r="CZ177" s="4">
        <f t="shared" si="152"/>
        <v>0</v>
      </c>
      <c r="DA177" s="4">
        <f t="shared" si="153"/>
        <v>0</v>
      </c>
      <c r="DB177" s="4">
        <f t="shared" si="154"/>
        <v>0</v>
      </c>
      <c r="DC177" s="4">
        <f t="shared" si="155"/>
        <v>0</v>
      </c>
      <c r="DD177" s="4">
        <f t="shared" si="156"/>
        <v>0</v>
      </c>
    </row>
    <row r="178" spans="1:108" x14ac:dyDescent="0.25">
      <c r="A178" s="41" t="str">
        <f>Skills!M160</f>
        <v>Tooler</v>
      </c>
      <c r="B178" s="55" t="str">
        <f>Skills!N160</f>
        <v>Tooler</v>
      </c>
      <c r="C178" s="22">
        <f t="shared" si="157"/>
        <v>0</v>
      </c>
      <c r="D178" s="112">
        <f>Skills!S160</f>
        <v>0</v>
      </c>
      <c r="E178" s="113" t="e">
        <f>Profession!B86</f>
        <v>#REF!</v>
      </c>
      <c r="F178" s="19"/>
      <c r="G178" s="19"/>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56"/>
      <c r="BF178" s="4">
        <f t="shared" si="107"/>
        <v>0</v>
      </c>
      <c r="BG178" s="4">
        <f t="shared" si="107"/>
        <v>0</v>
      </c>
      <c r="BH178" s="4">
        <f t="shared" si="108"/>
        <v>0</v>
      </c>
      <c r="BI178" s="4">
        <f t="shared" si="109"/>
        <v>0</v>
      </c>
      <c r="BJ178" s="4">
        <f t="shared" si="110"/>
        <v>0</v>
      </c>
      <c r="BK178" s="4">
        <f t="shared" si="111"/>
        <v>0</v>
      </c>
      <c r="BL178" s="4">
        <f t="shared" si="112"/>
        <v>0</v>
      </c>
      <c r="BM178" s="4">
        <f t="shared" si="113"/>
        <v>0</v>
      </c>
      <c r="BN178" s="4">
        <f t="shared" si="114"/>
        <v>0</v>
      </c>
      <c r="BO178" s="4">
        <f t="shared" si="115"/>
        <v>0</v>
      </c>
      <c r="BP178" s="4">
        <f t="shared" si="116"/>
        <v>0</v>
      </c>
      <c r="BQ178" s="4">
        <f t="shared" si="117"/>
        <v>0</v>
      </c>
      <c r="BR178" s="4">
        <f t="shared" si="118"/>
        <v>0</v>
      </c>
      <c r="BS178" s="4">
        <f t="shared" si="119"/>
        <v>0</v>
      </c>
      <c r="BT178" s="4">
        <f t="shared" si="120"/>
        <v>0</v>
      </c>
      <c r="BU178" s="4">
        <f t="shared" si="121"/>
        <v>0</v>
      </c>
      <c r="BV178" s="4">
        <f t="shared" si="122"/>
        <v>0</v>
      </c>
      <c r="BW178" s="4">
        <f t="shared" si="123"/>
        <v>0</v>
      </c>
      <c r="BX178" s="4">
        <f t="shared" si="124"/>
        <v>0</v>
      </c>
      <c r="BY178" s="4">
        <f t="shared" si="125"/>
        <v>0</v>
      </c>
      <c r="BZ178" s="4">
        <f t="shared" si="126"/>
        <v>0</v>
      </c>
      <c r="CA178" s="4">
        <f t="shared" si="127"/>
        <v>0</v>
      </c>
      <c r="CB178" s="4">
        <f t="shared" si="128"/>
        <v>0</v>
      </c>
      <c r="CC178" s="4">
        <f t="shared" si="129"/>
        <v>0</v>
      </c>
      <c r="CD178" s="4">
        <f t="shared" si="130"/>
        <v>0</v>
      </c>
      <c r="CE178" s="4">
        <f t="shared" si="131"/>
        <v>0</v>
      </c>
      <c r="CF178" s="4">
        <f t="shared" si="132"/>
        <v>0</v>
      </c>
      <c r="CG178" s="4">
        <f t="shared" si="133"/>
        <v>0</v>
      </c>
      <c r="CH178" s="4">
        <f t="shared" si="134"/>
        <v>0</v>
      </c>
      <c r="CI178" s="4">
        <f t="shared" si="135"/>
        <v>0</v>
      </c>
      <c r="CJ178" s="4">
        <f t="shared" si="136"/>
        <v>0</v>
      </c>
      <c r="CK178" s="4">
        <f t="shared" si="137"/>
        <v>0</v>
      </c>
      <c r="CL178" s="4">
        <f t="shared" si="138"/>
        <v>0</v>
      </c>
      <c r="CM178" s="4">
        <f t="shared" si="139"/>
        <v>0</v>
      </c>
      <c r="CN178" s="4">
        <f t="shared" si="140"/>
        <v>0</v>
      </c>
      <c r="CO178" s="4">
        <f t="shared" si="141"/>
        <v>0</v>
      </c>
      <c r="CP178" s="4">
        <f t="shared" si="142"/>
        <v>0</v>
      </c>
      <c r="CQ178" s="4">
        <f t="shared" si="143"/>
        <v>0</v>
      </c>
      <c r="CR178" s="4">
        <f t="shared" si="144"/>
        <v>0</v>
      </c>
      <c r="CS178" s="4">
        <f t="shared" si="145"/>
        <v>0</v>
      </c>
      <c r="CT178" s="4">
        <f t="shared" si="146"/>
        <v>0</v>
      </c>
      <c r="CU178" s="4">
        <f t="shared" si="147"/>
        <v>0</v>
      </c>
      <c r="CV178" s="4">
        <f t="shared" si="148"/>
        <v>0</v>
      </c>
      <c r="CW178" s="4">
        <f t="shared" si="149"/>
        <v>0</v>
      </c>
      <c r="CX178" s="4">
        <f t="shared" si="150"/>
        <v>0</v>
      </c>
      <c r="CY178" s="4">
        <f t="shared" si="151"/>
        <v>0</v>
      </c>
      <c r="CZ178" s="4">
        <f t="shared" si="152"/>
        <v>0</v>
      </c>
      <c r="DA178" s="4">
        <f t="shared" si="153"/>
        <v>0</v>
      </c>
      <c r="DB178" s="4">
        <f t="shared" si="154"/>
        <v>0</v>
      </c>
      <c r="DC178" s="4">
        <f t="shared" si="155"/>
        <v>0</v>
      </c>
      <c r="DD178" s="4">
        <f t="shared" si="156"/>
        <v>0</v>
      </c>
    </row>
    <row r="179" spans="1:108" x14ac:dyDescent="0.25">
      <c r="A179" s="41" t="str">
        <f>Skills!M161</f>
        <v>Upholstery</v>
      </c>
      <c r="B179" s="57" t="str">
        <f>Skills!N161</f>
        <v>Upholstery</v>
      </c>
      <c r="C179" s="24">
        <f t="shared" si="157"/>
        <v>0</v>
      </c>
      <c r="D179" s="110">
        <f>Skills!S161</f>
        <v>0</v>
      </c>
      <c r="E179" s="111" t="e">
        <f>Profession!B87</f>
        <v>#REF!</v>
      </c>
      <c r="F179" s="18"/>
      <c r="G179" s="18"/>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49"/>
      <c r="BF179" s="4">
        <f t="shared" si="107"/>
        <v>0</v>
      </c>
      <c r="BG179" s="4">
        <f t="shared" si="107"/>
        <v>0</v>
      </c>
      <c r="BH179" s="4">
        <f t="shared" si="108"/>
        <v>0</v>
      </c>
      <c r="BI179" s="4">
        <f t="shared" si="109"/>
        <v>0</v>
      </c>
      <c r="BJ179" s="4">
        <f t="shared" si="110"/>
        <v>0</v>
      </c>
      <c r="BK179" s="4">
        <f t="shared" si="111"/>
        <v>0</v>
      </c>
      <c r="BL179" s="4">
        <f t="shared" si="112"/>
        <v>0</v>
      </c>
      <c r="BM179" s="4">
        <f t="shared" si="113"/>
        <v>0</v>
      </c>
      <c r="BN179" s="4">
        <f t="shared" si="114"/>
        <v>0</v>
      </c>
      <c r="BO179" s="4">
        <f t="shared" si="115"/>
        <v>0</v>
      </c>
      <c r="BP179" s="4">
        <f t="shared" si="116"/>
        <v>0</v>
      </c>
      <c r="BQ179" s="4">
        <f t="shared" si="117"/>
        <v>0</v>
      </c>
      <c r="BR179" s="4">
        <f t="shared" si="118"/>
        <v>0</v>
      </c>
      <c r="BS179" s="4">
        <f t="shared" si="119"/>
        <v>0</v>
      </c>
      <c r="BT179" s="4">
        <f t="shared" si="120"/>
        <v>0</v>
      </c>
      <c r="BU179" s="4">
        <f t="shared" si="121"/>
        <v>0</v>
      </c>
      <c r="BV179" s="4">
        <f t="shared" si="122"/>
        <v>0</v>
      </c>
      <c r="BW179" s="4">
        <f t="shared" si="123"/>
        <v>0</v>
      </c>
      <c r="BX179" s="4">
        <f t="shared" si="124"/>
        <v>0</v>
      </c>
      <c r="BY179" s="4">
        <f t="shared" si="125"/>
        <v>0</v>
      </c>
      <c r="BZ179" s="4">
        <f t="shared" si="126"/>
        <v>0</v>
      </c>
      <c r="CA179" s="4">
        <f t="shared" si="127"/>
        <v>0</v>
      </c>
      <c r="CB179" s="4">
        <f t="shared" si="128"/>
        <v>0</v>
      </c>
      <c r="CC179" s="4">
        <f t="shared" si="129"/>
        <v>0</v>
      </c>
      <c r="CD179" s="4">
        <f t="shared" si="130"/>
        <v>0</v>
      </c>
      <c r="CE179" s="4">
        <f t="shared" si="131"/>
        <v>0</v>
      </c>
      <c r="CF179" s="4">
        <f t="shared" si="132"/>
        <v>0</v>
      </c>
      <c r="CG179" s="4">
        <f t="shared" si="133"/>
        <v>0</v>
      </c>
      <c r="CH179" s="4">
        <f t="shared" si="134"/>
        <v>0</v>
      </c>
      <c r="CI179" s="4">
        <f t="shared" si="135"/>
        <v>0</v>
      </c>
      <c r="CJ179" s="4">
        <f t="shared" si="136"/>
        <v>0</v>
      </c>
      <c r="CK179" s="4">
        <f t="shared" si="137"/>
        <v>0</v>
      </c>
      <c r="CL179" s="4">
        <f t="shared" si="138"/>
        <v>0</v>
      </c>
      <c r="CM179" s="4">
        <f t="shared" si="139"/>
        <v>0</v>
      </c>
      <c r="CN179" s="4">
        <f t="shared" si="140"/>
        <v>0</v>
      </c>
      <c r="CO179" s="4">
        <f t="shared" si="141"/>
        <v>0</v>
      </c>
      <c r="CP179" s="4">
        <f t="shared" si="142"/>
        <v>0</v>
      </c>
      <c r="CQ179" s="4">
        <f t="shared" si="143"/>
        <v>0</v>
      </c>
      <c r="CR179" s="4">
        <f t="shared" si="144"/>
        <v>0</v>
      </c>
      <c r="CS179" s="4">
        <f t="shared" si="145"/>
        <v>0</v>
      </c>
      <c r="CT179" s="4">
        <f t="shared" si="146"/>
        <v>0</v>
      </c>
      <c r="CU179" s="4">
        <f t="shared" si="147"/>
        <v>0</v>
      </c>
      <c r="CV179" s="4">
        <f t="shared" si="148"/>
        <v>0</v>
      </c>
      <c r="CW179" s="4">
        <f t="shared" si="149"/>
        <v>0</v>
      </c>
      <c r="CX179" s="4">
        <f t="shared" si="150"/>
        <v>0</v>
      </c>
      <c r="CY179" s="4">
        <f t="shared" si="151"/>
        <v>0</v>
      </c>
      <c r="CZ179" s="4">
        <f t="shared" si="152"/>
        <v>0</v>
      </c>
      <c r="DA179" s="4">
        <f t="shared" si="153"/>
        <v>0</v>
      </c>
      <c r="DB179" s="4">
        <f t="shared" si="154"/>
        <v>0</v>
      </c>
      <c r="DC179" s="4">
        <f t="shared" si="155"/>
        <v>0</v>
      </c>
      <c r="DD179" s="4">
        <f t="shared" si="156"/>
        <v>0</v>
      </c>
    </row>
    <row r="180" spans="1:108" x14ac:dyDescent="0.25">
      <c r="A180" s="41" t="str">
        <f>Skills!M162</f>
        <v>Wainwright</v>
      </c>
      <c r="B180" s="55" t="str">
        <f>Skills!N162</f>
        <v>Wainwright</v>
      </c>
      <c r="C180" s="22">
        <f t="shared" si="157"/>
        <v>0</v>
      </c>
      <c r="D180" s="112">
        <f>Skills!S162</f>
        <v>0</v>
      </c>
      <c r="E180" s="113" t="e">
        <f>Profession!B88</f>
        <v>#REF!</v>
      </c>
      <c r="F180" s="19"/>
      <c r="G180" s="19"/>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56"/>
      <c r="BF180" s="4">
        <f t="shared" si="107"/>
        <v>0</v>
      </c>
      <c r="BG180" s="4">
        <f t="shared" si="107"/>
        <v>0</v>
      </c>
      <c r="BH180" s="4">
        <f t="shared" si="108"/>
        <v>0</v>
      </c>
      <c r="BI180" s="4">
        <f t="shared" si="109"/>
        <v>0</v>
      </c>
      <c r="BJ180" s="4">
        <f t="shared" si="110"/>
        <v>0</v>
      </c>
      <c r="BK180" s="4">
        <f t="shared" si="111"/>
        <v>0</v>
      </c>
      <c r="BL180" s="4">
        <f t="shared" si="112"/>
        <v>0</v>
      </c>
      <c r="BM180" s="4">
        <f t="shared" si="113"/>
        <v>0</v>
      </c>
      <c r="BN180" s="4">
        <f t="shared" si="114"/>
        <v>0</v>
      </c>
      <c r="BO180" s="4">
        <f t="shared" si="115"/>
        <v>0</v>
      </c>
      <c r="BP180" s="4">
        <f t="shared" si="116"/>
        <v>0</v>
      </c>
      <c r="BQ180" s="4">
        <f t="shared" si="117"/>
        <v>0</v>
      </c>
      <c r="BR180" s="4">
        <f t="shared" si="118"/>
        <v>0</v>
      </c>
      <c r="BS180" s="4">
        <f t="shared" si="119"/>
        <v>0</v>
      </c>
      <c r="BT180" s="4">
        <f t="shared" si="120"/>
        <v>0</v>
      </c>
      <c r="BU180" s="4">
        <f t="shared" si="121"/>
        <v>0</v>
      </c>
      <c r="BV180" s="4">
        <f t="shared" si="122"/>
        <v>0</v>
      </c>
      <c r="BW180" s="4">
        <f t="shared" si="123"/>
        <v>0</v>
      </c>
      <c r="BX180" s="4">
        <f t="shared" si="124"/>
        <v>0</v>
      </c>
      <c r="BY180" s="4">
        <f t="shared" si="125"/>
        <v>0</v>
      </c>
      <c r="BZ180" s="4">
        <f t="shared" si="126"/>
        <v>0</v>
      </c>
      <c r="CA180" s="4">
        <f t="shared" si="127"/>
        <v>0</v>
      </c>
      <c r="CB180" s="4">
        <f t="shared" si="128"/>
        <v>0</v>
      </c>
      <c r="CC180" s="4">
        <f t="shared" si="129"/>
        <v>0</v>
      </c>
      <c r="CD180" s="4">
        <f t="shared" si="130"/>
        <v>0</v>
      </c>
      <c r="CE180" s="4">
        <f t="shared" si="131"/>
        <v>0</v>
      </c>
      <c r="CF180" s="4">
        <f t="shared" si="132"/>
        <v>0</v>
      </c>
      <c r="CG180" s="4">
        <f t="shared" si="133"/>
        <v>0</v>
      </c>
      <c r="CH180" s="4">
        <f t="shared" si="134"/>
        <v>0</v>
      </c>
      <c r="CI180" s="4">
        <f t="shared" si="135"/>
        <v>0</v>
      </c>
      <c r="CJ180" s="4">
        <f t="shared" si="136"/>
        <v>0</v>
      </c>
      <c r="CK180" s="4">
        <f t="shared" si="137"/>
        <v>0</v>
      </c>
      <c r="CL180" s="4">
        <f t="shared" si="138"/>
        <v>0</v>
      </c>
      <c r="CM180" s="4">
        <f t="shared" si="139"/>
        <v>0</v>
      </c>
      <c r="CN180" s="4">
        <f t="shared" si="140"/>
        <v>0</v>
      </c>
      <c r="CO180" s="4">
        <f t="shared" si="141"/>
        <v>0</v>
      </c>
      <c r="CP180" s="4">
        <f t="shared" si="142"/>
        <v>0</v>
      </c>
      <c r="CQ180" s="4">
        <f t="shared" si="143"/>
        <v>0</v>
      </c>
      <c r="CR180" s="4">
        <f t="shared" si="144"/>
        <v>0</v>
      </c>
      <c r="CS180" s="4">
        <f t="shared" si="145"/>
        <v>0</v>
      </c>
      <c r="CT180" s="4">
        <f t="shared" si="146"/>
        <v>0</v>
      </c>
      <c r="CU180" s="4">
        <f t="shared" si="147"/>
        <v>0</v>
      </c>
      <c r="CV180" s="4">
        <f t="shared" si="148"/>
        <v>0</v>
      </c>
      <c r="CW180" s="4">
        <f t="shared" si="149"/>
        <v>0</v>
      </c>
      <c r="CX180" s="4">
        <f t="shared" si="150"/>
        <v>0</v>
      </c>
      <c r="CY180" s="4">
        <f t="shared" si="151"/>
        <v>0</v>
      </c>
      <c r="CZ180" s="4">
        <f t="shared" si="152"/>
        <v>0</v>
      </c>
      <c r="DA180" s="4">
        <f t="shared" si="153"/>
        <v>0</v>
      </c>
      <c r="DB180" s="4">
        <f t="shared" si="154"/>
        <v>0</v>
      </c>
      <c r="DC180" s="4">
        <f t="shared" si="155"/>
        <v>0</v>
      </c>
      <c r="DD180" s="4">
        <f t="shared" si="156"/>
        <v>0</v>
      </c>
    </row>
    <row r="181" spans="1:108" x14ac:dyDescent="0.25">
      <c r="A181" s="41" t="str">
        <f>Skills!M163</f>
        <v>Weapon Smith</v>
      </c>
      <c r="B181" s="57" t="str">
        <f>Skills!N163</f>
        <v>Weapon Smith</v>
      </c>
      <c r="C181" s="24">
        <f t="shared" si="157"/>
        <v>0</v>
      </c>
      <c r="D181" s="110">
        <f>Skills!S163</f>
        <v>0</v>
      </c>
      <c r="E181" s="111" t="e">
        <f>Profession!B89</f>
        <v>#REF!</v>
      </c>
      <c r="F181" s="18"/>
      <c r="G181" s="18"/>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49"/>
      <c r="BF181" s="4">
        <f t="shared" si="107"/>
        <v>0</v>
      </c>
      <c r="BG181" s="4">
        <f t="shared" si="107"/>
        <v>0</v>
      </c>
      <c r="BH181" s="4">
        <f t="shared" si="108"/>
        <v>0</v>
      </c>
      <c r="BI181" s="4">
        <f t="shared" si="109"/>
        <v>0</v>
      </c>
      <c r="BJ181" s="4">
        <f t="shared" si="110"/>
        <v>0</v>
      </c>
      <c r="BK181" s="4">
        <f t="shared" si="111"/>
        <v>0</v>
      </c>
      <c r="BL181" s="4">
        <f t="shared" si="112"/>
        <v>0</v>
      </c>
      <c r="BM181" s="4">
        <f t="shared" si="113"/>
        <v>0</v>
      </c>
      <c r="BN181" s="4">
        <f t="shared" si="114"/>
        <v>0</v>
      </c>
      <c r="BO181" s="4">
        <f t="shared" si="115"/>
        <v>0</v>
      </c>
      <c r="BP181" s="4">
        <f t="shared" si="116"/>
        <v>0</v>
      </c>
      <c r="BQ181" s="4">
        <f t="shared" si="117"/>
        <v>0</v>
      </c>
      <c r="BR181" s="4">
        <f t="shared" si="118"/>
        <v>0</v>
      </c>
      <c r="BS181" s="4">
        <f t="shared" si="119"/>
        <v>0</v>
      </c>
      <c r="BT181" s="4">
        <f t="shared" si="120"/>
        <v>0</v>
      </c>
      <c r="BU181" s="4">
        <f t="shared" si="121"/>
        <v>0</v>
      </c>
      <c r="BV181" s="4">
        <f t="shared" si="122"/>
        <v>0</v>
      </c>
      <c r="BW181" s="4">
        <f t="shared" si="123"/>
        <v>0</v>
      </c>
      <c r="BX181" s="4">
        <f t="shared" si="124"/>
        <v>0</v>
      </c>
      <c r="BY181" s="4">
        <f t="shared" si="125"/>
        <v>0</v>
      </c>
      <c r="BZ181" s="4">
        <f t="shared" si="126"/>
        <v>0</v>
      </c>
      <c r="CA181" s="4">
        <f t="shared" si="127"/>
        <v>0</v>
      </c>
      <c r="CB181" s="4">
        <f t="shared" si="128"/>
        <v>0</v>
      </c>
      <c r="CC181" s="4">
        <f t="shared" si="129"/>
        <v>0</v>
      </c>
      <c r="CD181" s="4">
        <f t="shared" si="130"/>
        <v>0</v>
      </c>
      <c r="CE181" s="4">
        <f t="shared" si="131"/>
        <v>0</v>
      </c>
      <c r="CF181" s="4">
        <f t="shared" si="132"/>
        <v>0</v>
      </c>
      <c r="CG181" s="4">
        <f t="shared" si="133"/>
        <v>0</v>
      </c>
      <c r="CH181" s="4">
        <f t="shared" si="134"/>
        <v>0</v>
      </c>
      <c r="CI181" s="4">
        <f t="shared" si="135"/>
        <v>0</v>
      </c>
      <c r="CJ181" s="4">
        <f t="shared" si="136"/>
        <v>0</v>
      </c>
      <c r="CK181" s="4">
        <f t="shared" si="137"/>
        <v>0</v>
      </c>
      <c r="CL181" s="4">
        <f t="shared" si="138"/>
        <v>0</v>
      </c>
      <c r="CM181" s="4">
        <f t="shared" si="139"/>
        <v>0</v>
      </c>
      <c r="CN181" s="4">
        <f t="shared" si="140"/>
        <v>0</v>
      </c>
      <c r="CO181" s="4">
        <f t="shared" si="141"/>
        <v>0</v>
      </c>
      <c r="CP181" s="4">
        <f t="shared" si="142"/>
        <v>0</v>
      </c>
      <c r="CQ181" s="4">
        <f t="shared" si="143"/>
        <v>0</v>
      </c>
      <c r="CR181" s="4">
        <f t="shared" si="144"/>
        <v>0</v>
      </c>
      <c r="CS181" s="4">
        <f t="shared" si="145"/>
        <v>0</v>
      </c>
      <c r="CT181" s="4">
        <f t="shared" si="146"/>
        <v>0</v>
      </c>
      <c r="CU181" s="4">
        <f t="shared" si="147"/>
        <v>0</v>
      </c>
      <c r="CV181" s="4">
        <f t="shared" si="148"/>
        <v>0</v>
      </c>
      <c r="CW181" s="4">
        <f t="shared" si="149"/>
        <v>0</v>
      </c>
      <c r="CX181" s="4">
        <f t="shared" si="150"/>
        <v>0</v>
      </c>
      <c r="CY181" s="4">
        <f t="shared" si="151"/>
        <v>0</v>
      </c>
      <c r="CZ181" s="4">
        <f t="shared" si="152"/>
        <v>0</v>
      </c>
      <c r="DA181" s="4">
        <f t="shared" si="153"/>
        <v>0</v>
      </c>
      <c r="DB181" s="4">
        <f t="shared" si="154"/>
        <v>0</v>
      </c>
      <c r="DC181" s="4">
        <f t="shared" si="155"/>
        <v>0</v>
      </c>
      <c r="DD181" s="4">
        <f t="shared" si="156"/>
        <v>0</v>
      </c>
    </row>
    <row r="182" spans="1:108" x14ac:dyDescent="0.25">
      <c r="A182" s="41" t="str">
        <f>Skills!M164</f>
        <v>Wheel Wright</v>
      </c>
      <c r="B182" s="55" t="str">
        <f>Skills!N164</f>
        <v>Wheel Wright</v>
      </c>
      <c r="C182" s="22">
        <f t="shared" si="157"/>
        <v>0</v>
      </c>
      <c r="D182" s="112">
        <f>Skills!S164</f>
        <v>0</v>
      </c>
      <c r="E182" s="113" t="e">
        <f>Profession!B90</f>
        <v>#REF!</v>
      </c>
      <c r="F182" s="19"/>
      <c r="G182" s="19"/>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56"/>
      <c r="BF182" s="4">
        <f t="shared" si="107"/>
        <v>0</v>
      </c>
      <c r="BG182" s="4">
        <f t="shared" si="107"/>
        <v>0</v>
      </c>
      <c r="BH182" s="4">
        <f t="shared" si="108"/>
        <v>0</v>
      </c>
      <c r="BI182" s="4">
        <f t="shared" si="109"/>
        <v>0</v>
      </c>
      <c r="BJ182" s="4">
        <f t="shared" si="110"/>
        <v>0</v>
      </c>
      <c r="BK182" s="4">
        <f t="shared" si="111"/>
        <v>0</v>
      </c>
      <c r="BL182" s="4">
        <f t="shared" si="112"/>
        <v>0</v>
      </c>
      <c r="BM182" s="4">
        <f t="shared" si="113"/>
        <v>0</v>
      </c>
      <c r="BN182" s="4">
        <f t="shared" si="114"/>
        <v>0</v>
      </c>
      <c r="BO182" s="4">
        <f t="shared" si="115"/>
        <v>0</v>
      </c>
      <c r="BP182" s="4">
        <f t="shared" si="116"/>
        <v>0</v>
      </c>
      <c r="BQ182" s="4">
        <f t="shared" si="117"/>
        <v>0</v>
      </c>
      <c r="BR182" s="4">
        <f t="shared" si="118"/>
        <v>0</v>
      </c>
      <c r="BS182" s="4">
        <f t="shared" si="119"/>
        <v>0</v>
      </c>
      <c r="BT182" s="4">
        <f t="shared" si="120"/>
        <v>0</v>
      </c>
      <c r="BU182" s="4">
        <f t="shared" si="121"/>
        <v>0</v>
      </c>
      <c r="BV182" s="4">
        <f t="shared" si="122"/>
        <v>0</v>
      </c>
      <c r="BW182" s="4">
        <f t="shared" si="123"/>
        <v>0</v>
      </c>
      <c r="BX182" s="4">
        <f t="shared" si="124"/>
        <v>0</v>
      </c>
      <c r="BY182" s="4">
        <f t="shared" si="125"/>
        <v>0</v>
      </c>
      <c r="BZ182" s="4">
        <f t="shared" si="126"/>
        <v>0</v>
      </c>
      <c r="CA182" s="4">
        <f t="shared" si="127"/>
        <v>0</v>
      </c>
      <c r="CB182" s="4">
        <f t="shared" si="128"/>
        <v>0</v>
      </c>
      <c r="CC182" s="4">
        <f t="shared" si="129"/>
        <v>0</v>
      </c>
      <c r="CD182" s="4">
        <f t="shared" si="130"/>
        <v>0</v>
      </c>
      <c r="CE182" s="4">
        <f t="shared" si="131"/>
        <v>0</v>
      </c>
      <c r="CF182" s="4">
        <f t="shared" si="132"/>
        <v>0</v>
      </c>
      <c r="CG182" s="4">
        <f t="shared" si="133"/>
        <v>0</v>
      </c>
      <c r="CH182" s="4">
        <f t="shared" si="134"/>
        <v>0</v>
      </c>
      <c r="CI182" s="4">
        <f t="shared" si="135"/>
        <v>0</v>
      </c>
      <c r="CJ182" s="4">
        <f t="shared" si="136"/>
        <v>0</v>
      </c>
      <c r="CK182" s="4">
        <f t="shared" si="137"/>
        <v>0</v>
      </c>
      <c r="CL182" s="4">
        <f t="shared" si="138"/>
        <v>0</v>
      </c>
      <c r="CM182" s="4">
        <f t="shared" si="139"/>
        <v>0</v>
      </c>
      <c r="CN182" s="4">
        <f t="shared" si="140"/>
        <v>0</v>
      </c>
      <c r="CO182" s="4">
        <f t="shared" si="141"/>
        <v>0</v>
      </c>
      <c r="CP182" s="4">
        <f t="shared" si="142"/>
        <v>0</v>
      </c>
      <c r="CQ182" s="4">
        <f t="shared" si="143"/>
        <v>0</v>
      </c>
      <c r="CR182" s="4">
        <f t="shared" si="144"/>
        <v>0</v>
      </c>
      <c r="CS182" s="4">
        <f t="shared" si="145"/>
        <v>0</v>
      </c>
      <c r="CT182" s="4">
        <f t="shared" si="146"/>
        <v>0</v>
      </c>
      <c r="CU182" s="4">
        <f t="shared" si="147"/>
        <v>0</v>
      </c>
      <c r="CV182" s="4">
        <f t="shared" si="148"/>
        <v>0</v>
      </c>
      <c r="CW182" s="4">
        <f t="shared" si="149"/>
        <v>0</v>
      </c>
      <c r="CX182" s="4">
        <f t="shared" si="150"/>
        <v>0</v>
      </c>
      <c r="CY182" s="4">
        <f t="shared" si="151"/>
        <v>0</v>
      </c>
      <c r="CZ182" s="4">
        <f t="shared" si="152"/>
        <v>0</v>
      </c>
      <c r="DA182" s="4">
        <f t="shared" si="153"/>
        <v>0</v>
      </c>
      <c r="DB182" s="4">
        <f t="shared" si="154"/>
        <v>0</v>
      </c>
      <c r="DC182" s="4">
        <f t="shared" si="155"/>
        <v>0</v>
      </c>
      <c r="DD182" s="4">
        <f t="shared" si="156"/>
        <v>0</v>
      </c>
    </row>
    <row r="183" spans="1:108" x14ac:dyDescent="0.25">
      <c r="A183" s="41" t="str">
        <f>Skills!M165</f>
        <v>Wicker Work</v>
      </c>
      <c r="B183" s="57" t="str">
        <f>Skills!N165</f>
        <v>Wicker Work</v>
      </c>
      <c r="C183" s="24">
        <f t="shared" si="157"/>
        <v>0</v>
      </c>
      <c r="D183" s="110">
        <f>Skills!S165</f>
        <v>0</v>
      </c>
      <c r="E183" s="111" t="e">
        <f>Profession!B91</f>
        <v>#REF!</v>
      </c>
      <c r="F183" s="18"/>
      <c r="G183" s="18"/>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49"/>
      <c r="BF183" s="4">
        <f t="shared" si="107"/>
        <v>0</v>
      </c>
      <c r="BG183" s="4">
        <f t="shared" si="107"/>
        <v>0</v>
      </c>
      <c r="BH183" s="4">
        <f t="shared" si="108"/>
        <v>0</v>
      </c>
      <c r="BI183" s="4">
        <f t="shared" si="109"/>
        <v>0</v>
      </c>
      <c r="BJ183" s="4">
        <f t="shared" si="110"/>
        <v>0</v>
      </c>
      <c r="BK183" s="4">
        <f t="shared" si="111"/>
        <v>0</v>
      </c>
      <c r="BL183" s="4">
        <f t="shared" si="112"/>
        <v>0</v>
      </c>
      <c r="BM183" s="4">
        <f t="shared" si="113"/>
        <v>0</v>
      </c>
      <c r="BN183" s="4">
        <f t="shared" si="114"/>
        <v>0</v>
      </c>
      <c r="BO183" s="4">
        <f t="shared" si="115"/>
        <v>0</v>
      </c>
      <c r="BP183" s="4">
        <f t="shared" si="116"/>
        <v>0</v>
      </c>
      <c r="BQ183" s="4">
        <f t="shared" si="117"/>
        <v>0</v>
      </c>
      <c r="BR183" s="4">
        <f t="shared" si="118"/>
        <v>0</v>
      </c>
      <c r="BS183" s="4">
        <f t="shared" si="119"/>
        <v>0</v>
      </c>
      <c r="BT183" s="4">
        <f t="shared" si="120"/>
        <v>0</v>
      </c>
      <c r="BU183" s="4">
        <f t="shared" si="121"/>
        <v>0</v>
      </c>
      <c r="BV183" s="4">
        <f t="shared" si="122"/>
        <v>0</v>
      </c>
      <c r="BW183" s="4">
        <f t="shared" si="123"/>
        <v>0</v>
      </c>
      <c r="BX183" s="4">
        <f t="shared" si="124"/>
        <v>0</v>
      </c>
      <c r="BY183" s="4">
        <f t="shared" si="125"/>
        <v>0</v>
      </c>
      <c r="BZ183" s="4">
        <f t="shared" si="126"/>
        <v>0</v>
      </c>
      <c r="CA183" s="4">
        <f t="shared" si="127"/>
        <v>0</v>
      </c>
      <c r="CB183" s="4">
        <f t="shared" si="128"/>
        <v>0</v>
      </c>
      <c r="CC183" s="4">
        <f t="shared" si="129"/>
        <v>0</v>
      </c>
      <c r="CD183" s="4">
        <f t="shared" si="130"/>
        <v>0</v>
      </c>
      <c r="CE183" s="4">
        <f t="shared" si="131"/>
        <v>0</v>
      </c>
      <c r="CF183" s="4">
        <f t="shared" si="132"/>
        <v>0</v>
      </c>
      <c r="CG183" s="4">
        <f t="shared" si="133"/>
        <v>0</v>
      </c>
      <c r="CH183" s="4">
        <f t="shared" si="134"/>
        <v>0</v>
      </c>
      <c r="CI183" s="4">
        <f t="shared" si="135"/>
        <v>0</v>
      </c>
      <c r="CJ183" s="4">
        <f t="shared" si="136"/>
        <v>0</v>
      </c>
      <c r="CK183" s="4">
        <f t="shared" si="137"/>
        <v>0</v>
      </c>
      <c r="CL183" s="4">
        <f t="shared" si="138"/>
        <v>0</v>
      </c>
      <c r="CM183" s="4">
        <f t="shared" si="139"/>
        <v>0</v>
      </c>
      <c r="CN183" s="4">
        <f t="shared" si="140"/>
        <v>0</v>
      </c>
      <c r="CO183" s="4">
        <f t="shared" si="141"/>
        <v>0</v>
      </c>
      <c r="CP183" s="4">
        <f t="shared" si="142"/>
        <v>0</v>
      </c>
      <c r="CQ183" s="4">
        <f t="shared" si="143"/>
        <v>0</v>
      </c>
      <c r="CR183" s="4">
        <f t="shared" si="144"/>
        <v>0</v>
      </c>
      <c r="CS183" s="4">
        <f t="shared" si="145"/>
        <v>0</v>
      </c>
      <c r="CT183" s="4">
        <f t="shared" si="146"/>
        <v>0</v>
      </c>
      <c r="CU183" s="4">
        <f t="shared" si="147"/>
        <v>0</v>
      </c>
      <c r="CV183" s="4">
        <f t="shared" si="148"/>
        <v>0</v>
      </c>
      <c r="CW183" s="4">
        <f t="shared" si="149"/>
        <v>0</v>
      </c>
      <c r="CX183" s="4">
        <f t="shared" si="150"/>
        <v>0</v>
      </c>
      <c r="CY183" s="4">
        <f t="shared" si="151"/>
        <v>0</v>
      </c>
      <c r="CZ183" s="4">
        <f t="shared" si="152"/>
        <v>0</v>
      </c>
      <c r="DA183" s="4">
        <f t="shared" si="153"/>
        <v>0</v>
      </c>
      <c r="DB183" s="4">
        <f t="shared" si="154"/>
        <v>0</v>
      </c>
      <c r="DC183" s="4">
        <f t="shared" si="155"/>
        <v>0</v>
      </c>
      <c r="DD183" s="4">
        <f t="shared" si="156"/>
        <v>0</v>
      </c>
    </row>
    <row r="184" spans="1:108" x14ac:dyDescent="0.25">
      <c r="A184" s="41" t="str">
        <f>Skills!M166</f>
        <v>Wood Craft</v>
      </c>
      <c r="B184" s="55" t="str">
        <f>Skills!N166</f>
        <v>Wood Craft</v>
      </c>
      <c r="C184" s="22">
        <f t="shared" si="157"/>
        <v>0</v>
      </c>
      <c r="D184" s="112">
        <f>Skills!S166</f>
        <v>0</v>
      </c>
      <c r="E184" s="113" t="e">
        <f>Profession!B92</f>
        <v>#REF!</v>
      </c>
      <c r="F184" s="19"/>
      <c r="G184" s="19"/>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56"/>
      <c r="BF184" s="4">
        <f t="shared" si="107"/>
        <v>0</v>
      </c>
      <c r="BG184" s="4">
        <f t="shared" si="107"/>
        <v>0</v>
      </c>
      <c r="BH184" s="4">
        <f t="shared" si="108"/>
        <v>0</v>
      </c>
      <c r="BI184" s="4">
        <f t="shared" si="109"/>
        <v>0</v>
      </c>
      <c r="BJ184" s="4">
        <f t="shared" si="110"/>
        <v>0</v>
      </c>
      <c r="BK184" s="4">
        <f t="shared" si="111"/>
        <v>0</v>
      </c>
      <c r="BL184" s="4">
        <f t="shared" si="112"/>
        <v>0</v>
      </c>
      <c r="BM184" s="4">
        <f t="shared" si="113"/>
        <v>0</v>
      </c>
      <c r="BN184" s="4">
        <f t="shared" si="114"/>
        <v>0</v>
      </c>
      <c r="BO184" s="4">
        <f t="shared" si="115"/>
        <v>0</v>
      </c>
      <c r="BP184" s="4">
        <f t="shared" si="116"/>
        <v>0</v>
      </c>
      <c r="BQ184" s="4">
        <f t="shared" si="117"/>
        <v>0</v>
      </c>
      <c r="BR184" s="4">
        <f t="shared" si="118"/>
        <v>0</v>
      </c>
      <c r="BS184" s="4">
        <f t="shared" si="119"/>
        <v>0</v>
      </c>
      <c r="BT184" s="4">
        <f t="shared" si="120"/>
        <v>0</v>
      </c>
      <c r="BU184" s="4">
        <f t="shared" si="121"/>
        <v>0</v>
      </c>
      <c r="BV184" s="4">
        <f t="shared" si="122"/>
        <v>0</v>
      </c>
      <c r="BW184" s="4">
        <f t="shared" si="123"/>
        <v>0</v>
      </c>
      <c r="BX184" s="4">
        <f t="shared" si="124"/>
        <v>0</v>
      </c>
      <c r="BY184" s="4">
        <f t="shared" si="125"/>
        <v>0</v>
      </c>
      <c r="BZ184" s="4">
        <f t="shared" si="126"/>
        <v>0</v>
      </c>
      <c r="CA184" s="4">
        <f t="shared" si="127"/>
        <v>0</v>
      </c>
      <c r="CB184" s="4">
        <f t="shared" si="128"/>
        <v>0</v>
      </c>
      <c r="CC184" s="4">
        <f t="shared" si="129"/>
        <v>0</v>
      </c>
      <c r="CD184" s="4">
        <f t="shared" si="130"/>
        <v>0</v>
      </c>
      <c r="CE184" s="4">
        <f t="shared" si="131"/>
        <v>0</v>
      </c>
      <c r="CF184" s="4">
        <f t="shared" si="132"/>
        <v>0</v>
      </c>
      <c r="CG184" s="4">
        <f t="shared" si="133"/>
        <v>0</v>
      </c>
      <c r="CH184" s="4">
        <f t="shared" si="134"/>
        <v>0</v>
      </c>
      <c r="CI184" s="4">
        <f t="shared" si="135"/>
        <v>0</v>
      </c>
      <c r="CJ184" s="4">
        <f t="shared" si="136"/>
        <v>0</v>
      </c>
      <c r="CK184" s="4">
        <f t="shared" si="137"/>
        <v>0</v>
      </c>
      <c r="CL184" s="4">
        <f t="shared" si="138"/>
        <v>0</v>
      </c>
      <c r="CM184" s="4">
        <f t="shared" si="139"/>
        <v>0</v>
      </c>
      <c r="CN184" s="4">
        <f t="shared" si="140"/>
        <v>0</v>
      </c>
      <c r="CO184" s="4">
        <f t="shared" si="141"/>
        <v>0</v>
      </c>
      <c r="CP184" s="4">
        <f t="shared" si="142"/>
        <v>0</v>
      </c>
      <c r="CQ184" s="4">
        <f t="shared" si="143"/>
        <v>0</v>
      </c>
      <c r="CR184" s="4">
        <f t="shared" si="144"/>
        <v>0</v>
      </c>
      <c r="CS184" s="4">
        <f t="shared" si="145"/>
        <v>0</v>
      </c>
      <c r="CT184" s="4">
        <f t="shared" si="146"/>
        <v>0</v>
      </c>
      <c r="CU184" s="4">
        <f t="shared" si="147"/>
        <v>0</v>
      </c>
      <c r="CV184" s="4">
        <f t="shared" si="148"/>
        <v>0</v>
      </c>
      <c r="CW184" s="4">
        <f t="shared" si="149"/>
        <v>0</v>
      </c>
      <c r="CX184" s="4">
        <f t="shared" si="150"/>
        <v>0</v>
      </c>
      <c r="CY184" s="4">
        <f t="shared" si="151"/>
        <v>0</v>
      </c>
      <c r="CZ184" s="4">
        <f t="shared" si="152"/>
        <v>0</v>
      </c>
      <c r="DA184" s="4">
        <f t="shared" si="153"/>
        <v>0</v>
      </c>
      <c r="DB184" s="4">
        <f t="shared" si="154"/>
        <v>0</v>
      </c>
      <c r="DC184" s="4">
        <f t="shared" si="155"/>
        <v>0</v>
      </c>
      <c r="DD184" s="4">
        <f t="shared" si="156"/>
        <v>0</v>
      </c>
    </row>
    <row r="185" spans="1:108" x14ac:dyDescent="0.25">
      <c r="A185" s="41">
        <f>Skills!M167</f>
        <v>0</v>
      </c>
      <c r="B185" s="57" t="str">
        <f>Skills!N167</f>
        <v>Delving Category</v>
      </c>
      <c r="C185" s="24">
        <f t="shared" si="157"/>
        <v>0</v>
      </c>
      <c r="D185" s="110" t="str">
        <f>Skills!S167</f>
        <v>- -</v>
      </c>
      <c r="E185" s="111" t="s">
        <v>782</v>
      </c>
      <c r="F185" s="18"/>
      <c r="G185" s="18"/>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49"/>
      <c r="BF185" s="4">
        <f t="shared" si="107"/>
        <v>0</v>
      </c>
      <c r="BG185" s="4">
        <f t="shared" si="107"/>
        <v>0</v>
      </c>
      <c r="BH185" s="4">
        <f t="shared" si="108"/>
        <v>0</v>
      </c>
      <c r="BI185" s="4">
        <f t="shared" si="109"/>
        <v>0</v>
      </c>
      <c r="BJ185" s="4">
        <f t="shared" si="110"/>
        <v>0</v>
      </c>
      <c r="BK185" s="4">
        <f t="shared" si="111"/>
        <v>0</v>
      </c>
      <c r="BL185" s="4">
        <f t="shared" si="112"/>
        <v>0</v>
      </c>
      <c r="BM185" s="4">
        <f t="shared" si="113"/>
        <v>0</v>
      </c>
      <c r="BN185" s="4">
        <f t="shared" si="114"/>
        <v>0</v>
      </c>
      <c r="BO185" s="4">
        <f t="shared" si="115"/>
        <v>0</v>
      </c>
      <c r="BP185" s="4">
        <f t="shared" si="116"/>
        <v>0</v>
      </c>
      <c r="BQ185" s="4">
        <f t="shared" si="117"/>
        <v>0</v>
      </c>
      <c r="BR185" s="4">
        <f t="shared" si="118"/>
        <v>0</v>
      </c>
      <c r="BS185" s="4">
        <f t="shared" si="119"/>
        <v>0</v>
      </c>
      <c r="BT185" s="4">
        <f t="shared" si="120"/>
        <v>0</v>
      </c>
      <c r="BU185" s="4">
        <f t="shared" si="121"/>
        <v>0</v>
      </c>
      <c r="BV185" s="4">
        <f t="shared" si="122"/>
        <v>0</v>
      </c>
      <c r="BW185" s="4">
        <f t="shared" si="123"/>
        <v>0</v>
      </c>
      <c r="BX185" s="4">
        <f t="shared" si="124"/>
        <v>0</v>
      </c>
      <c r="BY185" s="4">
        <f t="shared" si="125"/>
        <v>0</v>
      </c>
      <c r="BZ185" s="4">
        <f t="shared" si="126"/>
        <v>0</v>
      </c>
      <c r="CA185" s="4">
        <f t="shared" si="127"/>
        <v>0</v>
      </c>
      <c r="CB185" s="4">
        <f t="shared" si="128"/>
        <v>0</v>
      </c>
      <c r="CC185" s="4">
        <f t="shared" si="129"/>
        <v>0</v>
      </c>
      <c r="CD185" s="4">
        <f t="shared" si="130"/>
        <v>0</v>
      </c>
      <c r="CE185" s="4">
        <f t="shared" si="131"/>
        <v>0</v>
      </c>
      <c r="CF185" s="4">
        <f t="shared" si="132"/>
        <v>0</v>
      </c>
      <c r="CG185" s="4">
        <f t="shared" si="133"/>
        <v>0</v>
      </c>
      <c r="CH185" s="4">
        <f t="shared" si="134"/>
        <v>0</v>
      </c>
      <c r="CI185" s="4">
        <f t="shared" si="135"/>
        <v>0</v>
      </c>
      <c r="CJ185" s="4">
        <f t="shared" si="136"/>
        <v>0</v>
      </c>
      <c r="CK185" s="4">
        <f t="shared" si="137"/>
        <v>0</v>
      </c>
      <c r="CL185" s="4">
        <f t="shared" si="138"/>
        <v>0</v>
      </c>
      <c r="CM185" s="4">
        <f t="shared" si="139"/>
        <v>0</v>
      </c>
      <c r="CN185" s="4">
        <f t="shared" si="140"/>
        <v>0</v>
      </c>
      <c r="CO185" s="4">
        <f t="shared" si="141"/>
        <v>0</v>
      </c>
      <c r="CP185" s="4">
        <f t="shared" si="142"/>
        <v>0</v>
      </c>
      <c r="CQ185" s="4">
        <f t="shared" si="143"/>
        <v>0</v>
      </c>
      <c r="CR185" s="4">
        <f t="shared" si="144"/>
        <v>0</v>
      </c>
      <c r="CS185" s="4">
        <f t="shared" si="145"/>
        <v>0</v>
      </c>
      <c r="CT185" s="4">
        <f t="shared" si="146"/>
        <v>0</v>
      </c>
      <c r="CU185" s="4">
        <f t="shared" si="147"/>
        <v>0</v>
      </c>
      <c r="CV185" s="4">
        <f t="shared" si="148"/>
        <v>0</v>
      </c>
      <c r="CW185" s="4">
        <f t="shared" si="149"/>
        <v>0</v>
      </c>
      <c r="CX185" s="4">
        <f t="shared" si="150"/>
        <v>0</v>
      </c>
      <c r="CY185" s="4">
        <f t="shared" si="151"/>
        <v>0</v>
      </c>
      <c r="CZ185" s="4">
        <f t="shared" si="152"/>
        <v>0</v>
      </c>
      <c r="DA185" s="4">
        <f t="shared" si="153"/>
        <v>0</v>
      </c>
      <c r="DB185" s="4">
        <f t="shared" si="154"/>
        <v>0</v>
      </c>
      <c r="DC185" s="4">
        <f t="shared" si="155"/>
        <v>0</v>
      </c>
      <c r="DD185" s="4">
        <f t="shared" si="156"/>
        <v>0</v>
      </c>
    </row>
    <row r="186" spans="1:108" x14ac:dyDescent="0.25">
      <c r="A186" s="41">
        <f>Skills!M168</f>
        <v>0</v>
      </c>
      <c r="B186" s="55" t="str">
        <f>Skills!N168</f>
        <v>Delving Skills</v>
      </c>
      <c r="C186" s="22">
        <f t="shared" si="157"/>
        <v>0</v>
      </c>
      <c r="D186" s="112" t="str">
        <f>Skills!S168</f>
        <v>- -</v>
      </c>
      <c r="E186" s="113" t="s">
        <v>782</v>
      </c>
      <c r="F186" s="19"/>
      <c r="G186" s="19"/>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56"/>
      <c r="BF186" s="4">
        <f t="shared" si="107"/>
        <v>0</v>
      </c>
      <c r="BG186" s="4">
        <f t="shared" si="107"/>
        <v>0</v>
      </c>
      <c r="BH186" s="4">
        <f t="shared" si="108"/>
        <v>0</v>
      </c>
      <c r="BI186" s="4">
        <f t="shared" si="109"/>
        <v>0</v>
      </c>
      <c r="BJ186" s="4">
        <f t="shared" si="110"/>
        <v>0</v>
      </c>
      <c r="BK186" s="4">
        <f t="shared" si="111"/>
        <v>0</v>
      </c>
      <c r="BL186" s="4">
        <f t="shared" si="112"/>
        <v>0</v>
      </c>
      <c r="BM186" s="4">
        <f t="shared" si="113"/>
        <v>0</v>
      </c>
      <c r="BN186" s="4">
        <f t="shared" si="114"/>
        <v>0</v>
      </c>
      <c r="BO186" s="4">
        <f t="shared" si="115"/>
        <v>0</v>
      </c>
      <c r="BP186" s="4">
        <f t="shared" si="116"/>
        <v>0</v>
      </c>
      <c r="BQ186" s="4">
        <f t="shared" si="117"/>
        <v>0</v>
      </c>
      <c r="BR186" s="4">
        <f t="shared" si="118"/>
        <v>0</v>
      </c>
      <c r="BS186" s="4">
        <f t="shared" si="119"/>
        <v>0</v>
      </c>
      <c r="BT186" s="4">
        <f t="shared" si="120"/>
        <v>0</v>
      </c>
      <c r="BU186" s="4">
        <f t="shared" si="121"/>
        <v>0</v>
      </c>
      <c r="BV186" s="4">
        <f t="shared" si="122"/>
        <v>0</v>
      </c>
      <c r="BW186" s="4">
        <f t="shared" si="123"/>
        <v>0</v>
      </c>
      <c r="BX186" s="4">
        <f t="shared" si="124"/>
        <v>0</v>
      </c>
      <c r="BY186" s="4">
        <f t="shared" si="125"/>
        <v>0</v>
      </c>
      <c r="BZ186" s="4">
        <f t="shared" si="126"/>
        <v>0</v>
      </c>
      <c r="CA186" s="4">
        <f t="shared" si="127"/>
        <v>0</v>
      </c>
      <c r="CB186" s="4">
        <f t="shared" si="128"/>
        <v>0</v>
      </c>
      <c r="CC186" s="4">
        <f t="shared" si="129"/>
        <v>0</v>
      </c>
      <c r="CD186" s="4">
        <f t="shared" si="130"/>
        <v>0</v>
      </c>
      <c r="CE186" s="4">
        <f t="shared" si="131"/>
        <v>0</v>
      </c>
      <c r="CF186" s="4">
        <f t="shared" si="132"/>
        <v>0</v>
      </c>
      <c r="CG186" s="4">
        <f t="shared" si="133"/>
        <v>0</v>
      </c>
      <c r="CH186" s="4">
        <f t="shared" si="134"/>
        <v>0</v>
      </c>
      <c r="CI186" s="4">
        <f t="shared" si="135"/>
        <v>0</v>
      </c>
      <c r="CJ186" s="4">
        <f t="shared" si="136"/>
        <v>0</v>
      </c>
      <c r="CK186" s="4">
        <f t="shared" si="137"/>
        <v>0</v>
      </c>
      <c r="CL186" s="4">
        <f t="shared" si="138"/>
        <v>0</v>
      </c>
      <c r="CM186" s="4">
        <f t="shared" si="139"/>
        <v>0</v>
      </c>
      <c r="CN186" s="4">
        <f t="shared" si="140"/>
        <v>0</v>
      </c>
      <c r="CO186" s="4">
        <f t="shared" si="141"/>
        <v>0</v>
      </c>
      <c r="CP186" s="4">
        <f t="shared" si="142"/>
        <v>0</v>
      </c>
      <c r="CQ186" s="4">
        <f t="shared" si="143"/>
        <v>0</v>
      </c>
      <c r="CR186" s="4">
        <f t="shared" si="144"/>
        <v>0</v>
      </c>
      <c r="CS186" s="4">
        <f t="shared" si="145"/>
        <v>0</v>
      </c>
      <c r="CT186" s="4">
        <f t="shared" si="146"/>
        <v>0</v>
      </c>
      <c r="CU186" s="4">
        <f t="shared" si="147"/>
        <v>0</v>
      </c>
      <c r="CV186" s="4">
        <f t="shared" si="148"/>
        <v>0</v>
      </c>
      <c r="CW186" s="4">
        <f t="shared" si="149"/>
        <v>0</v>
      </c>
      <c r="CX186" s="4">
        <f t="shared" si="150"/>
        <v>0</v>
      </c>
      <c r="CY186" s="4">
        <f t="shared" si="151"/>
        <v>0</v>
      </c>
      <c r="CZ186" s="4">
        <f t="shared" si="152"/>
        <v>0</v>
      </c>
      <c r="DA186" s="4">
        <f t="shared" si="153"/>
        <v>0</v>
      </c>
      <c r="DB186" s="4">
        <f t="shared" si="154"/>
        <v>0</v>
      </c>
      <c r="DC186" s="4">
        <f t="shared" si="155"/>
        <v>0</v>
      </c>
      <c r="DD186" s="4">
        <f t="shared" si="156"/>
        <v>0</v>
      </c>
    </row>
    <row r="187" spans="1:108" x14ac:dyDescent="0.25">
      <c r="A187" s="41" t="str">
        <f>Skills!M169</f>
        <v>Attunement</v>
      </c>
      <c r="B187" s="57" t="str">
        <f>Skills!N169</f>
        <v>Attunement</v>
      </c>
      <c r="C187" s="24">
        <f t="shared" si="157"/>
        <v>0</v>
      </c>
      <c r="D187" s="110">
        <f>Skills!S169</f>
        <v>0</v>
      </c>
      <c r="E187" s="111" t="e">
        <f>Profession!B94</f>
        <v>#REF!</v>
      </c>
      <c r="F187" s="18"/>
      <c r="G187" s="18"/>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49"/>
      <c r="BF187" s="4">
        <f t="shared" si="107"/>
        <v>0</v>
      </c>
      <c r="BG187" s="4">
        <f t="shared" si="107"/>
        <v>0</v>
      </c>
      <c r="BH187" s="4">
        <f t="shared" si="108"/>
        <v>0</v>
      </c>
      <c r="BI187" s="4">
        <f t="shared" si="109"/>
        <v>0</v>
      </c>
      <c r="BJ187" s="4">
        <f t="shared" si="110"/>
        <v>0</v>
      </c>
      <c r="BK187" s="4">
        <f t="shared" si="111"/>
        <v>0</v>
      </c>
      <c r="BL187" s="4">
        <f t="shared" si="112"/>
        <v>0</v>
      </c>
      <c r="BM187" s="4">
        <f t="shared" si="113"/>
        <v>0</v>
      </c>
      <c r="BN187" s="4">
        <f t="shared" si="114"/>
        <v>0</v>
      </c>
      <c r="BO187" s="4">
        <f t="shared" si="115"/>
        <v>0</v>
      </c>
      <c r="BP187" s="4">
        <f t="shared" si="116"/>
        <v>0</v>
      </c>
      <c r="BQ187" s="4">
        <f t="shared" si="117"/>
        <v>0</v>
      </c>
      <c r="BR187" s="4">
        <f t="shared" si="118"/>
        <v>0</v>
      </c>
      <c r="BS187" s="4">
        <f t="shared" si="119"/>
        <v>0</v>
      </c>
      <c r="BT187" s="4">
        <f t="shared" si="120"/>
        <v>0</v>
      </c>
      <c r="BU187" s="4">
        <f t="shared" si="121"/>
        <v>0</v>
      </c>
      <c r="BV187" s="4">
        <f t="shared" si="122"/>
        <v>0</v>
      </c>
      <c r="BW187" s="4">
        <f t="shared" si="123"/>
        <v>0</v>
      </c>
      <c r="BX187" s="4">
        <f t="shared" si="124"/>
        <v>0</v>
      </c>
      <c r="BY187" s="4">
        <f t="shared" si="125"/>
        <v>0</v>
      </c>
      <c r="BZ187" s="4">
        <f t="shared" si="126"/>
        <v>0</v>
      </c>
      <c r="CA187" s="4">
        <f t="shared" si="127"/>
        <v>0</v>
      </c>
      <c r="CB187" s="4">
        <f t="shared" si="128"/>
        <v>0</v>
      </c>
      <c r="CC187" s="4">
        <f t="shared" si="129"/>
        <v>0</v>
      </c>
      <c r="CD187" s="4">
        <f t="shared" si="130"/>
        <v>0</v>
      </c>
      <c r="CE187" s="4">
        <f t="shared" si="131"/>
        <v>0</v>
      </c>
      <c r="CF187" s="4">
        <f t="shared" si="132"/>
        <v>0</v>
      </c>
      <c r="CG187" s="4">
        <f t="shared" si="133"/>
        <v>0</v>
      </c>
      <c r="CH187" s="4">
        <f t="shared" si="134"/>
        <v>0</v>
      </c>
      <c r="CI187" s="4">
        <f t="shared" si="135"/>
        <v>0</v>
      </c>
      <c r="CJ187" s="4">
        <f t="shared" si="136"/>
        <v>0</v>
      </c>
      <c r="CK187" s="4">
        <f t="shared" si="137"/>
        <v>0</v>
      </c>
      <c r="CL187" s="4">
        <f t="shared" si="138"/>
        <v>0</v>
      </c>
      <c r="CM187" s="4">
        <f t="shared" si="139"/>
        <v>0</v>
      </c>
      <c r="CN187" s="4">
        <f t="shared" si="140"/>
        <v>0</v>
      </c>
      <c r="CO187" s="4">
        <f t="shared" si="141"/>
        <v>0</v>
      </c>
      <c r="CP187" s="4">
        <f t="shared" si="142"/>
        <v>0</v>
      </c>
      <c r="CQ187" s="4">
        <f t="shared" si="143"/>
        <v>0</v>
      </c>
      <c r="CR187" s="4">
        <f t="shared" si="144"/>
        <v>0</v>
      </c>
      <c r="CS187" s="4">
        <f t="shared" si="145"/>
        <v>0</v>
      </c>
      <c r="CT187" s="4">
        <f t="shared" si="146"/>
        <v>0</v>
      </c>
      <c r="CU187" s="4">
        <f t="shared" si="147"/>
        <v>0</v>
      </c>
      <c r="CV187" s="4">
        <f t="shared" si="148"/>
        <v>0</v>
      </c>
      <c r="CW187" s="4">
        <f t="shared" si="149"/>
        <v>0</v>
      </c>
      <c r="CX187" s="4">
        <f t="shared" si="150"/>
        <v>0</v>
      </c>
      <c r="CY187" s="4">
        <f t="shared" si="151"/>
        <v>0</v>
      </c>
      <c r="CZ187" s="4">
        <f t="shared" si="152"/>
        <v>0</v>
      </c>
      <c r="DA187" s="4">
        <f t="shared" si="153"/>
        <v>0</v>
      </c>
      <c r="DB187" s="4">
        <f t="shared" si="154"/>
        <v>0</v>
      </c>
      <c r="DC187" s="4">
        <f t="shared" si="155"/>
        <v>0</v>
      </c>
      <c r="DD187" s="4">
        <f t="shared" si="156"/>
        <v>0</v>
      </c>
    </row>
    <row r="188" spans="1:108" x14ac:dyDescent="0.25">
      <c r="A188" s="41" t="str">
        <f>Skills!M170</f>
        <v>Runes</v>
      </c>
      <c r="B188" s="55" t="str">
        <f>Skills!N170</f>
        <v>Runes</v>
      </c>
      <c r="C188" s="22">
        <f>SUM(F188:BD188)</f>
        <v>0</v>
      </c>
      <c r="D188" s="112">
        <f>Skills!S170</f>
        <v>0</v>
      </c>
      <c r="E188" s="113" t="e">
        <f>Profession!B95</f>
        <v>#REF!</v>
      </c>
      <c r="F188" s="19"/>
      <c r="G188" s="19"/>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56"/>
      <c r="BF188" s="4">
        <f t="shared" ref="BF188:CK188" si="158">IF(F188=1,(LEFT($E188,2))*1,IF(F188=2,((LEFT($E188,2))+(MID($E188,FIND("/",$E188)+2,2))),IF(F188=3,((LEFT($E188,2))+(MID($E188,FIND("/",$E188)+2,2))+(RIGHT($E188,2))),0)))</f>
        <v>0</v>
      </c>
      <c r="BG188" s="4">
        <f t="shared" si="158"/>
        <v>0</v>
      </c>
      <c r="BH188" s="4">
        <f t="shared" si="158"/>
        <v>0</v>
      </c>
      <c r="BI188" s="4">
        <f t="shared" si="158"/>
        <v>0</v>
      </c>
      <c r="BJ188" s="4">
        <f t="shared" si="158"/>
        <v>0</v>
      </c>
      <c r="BK188" s="4">
        <f t="shared" si="158"/>
        <v>0</v>
      </c>
      <c r="BL188" s="4">
        <f t="shared" si="158"/>
        <v>0</v>
      </c>
      <c r="BM188" s="4">
        <f t="shared" si="158"/>
        <v>0</v>
      </c>
      <c r="BN188" s="4">
        <f t="shared" si="158"/>
        <v>0</v>
      </c>
      <c r="BO188" s="4">
        <f t="shared" si="158"/>
        <v>0</v>
      </c>
      <c r="BP188" s="4">
        <f t="shared" si="158"/>
        <v>0</v>
      </c>
      <c r="BQ188" s="4">
        <f t="shared" si="158"/>
        <v>0</v>
      </c>
      <c r="BR188" s="4">
        <f t="shared" si="158"/>
        <v>0</v>
      </c>
      <c r="BS188" s="4">
        <f t="shared" si="158"/>
        <v>0</v>
      </c>
      <c r="BT188" s="4">
        <f t="shared" si="158"/>
        <v>0</v>
      </c>
      <c r="BU188" s="4">
        <f t="shared" si="158"/>
        <v>0</v>
      </c>
      <c r="BV188" s="4">
        <f t="shared" si="158"/>
        <v>0</v>
      </c>
      <c r="BW188" s="4">
        <f t="shared" si="158"/>
        <v>0</v>
      </c>
      <c r="BX188" s="4">
        <f t="shared" si="158"/>
        <v>0</v>
      </c>
      <c r="BY188" s="4">
        <f t="shared" si="158"/>
        <v>0</v>
      </c>
      <c r="BZ188" s="4">
        <f t="shared" si="158"/>
        <v>0</v>
      </c>
      <c r="CA188" s="4">
        <f t="shared" si="158"/>
        <v>0</v>
      </c>
      <c r="CB188" s="4">
        <f t="shared" si="158"/>
        <v>0</v>
      </c>
      <c r="CC188" s="4">
        <f t="shared" si="158"/>
        <v>0</v>
      </c>
      <c r="CD188" s="4">
        <f t="shared" si="158"/>
        <v>0</v>
      </c>
      <c r="CE188" s="4">
        <f t="shared" si="158"/>
        <v>0</v>
      </c>
      <c r="CF188" s="4">
        <f t="shared" si="158"/>
        <v>0</v>
      </c>
      <c r="CG188" s="4">
        <f t="shared" si="158"/>
        <v>0</v>
      </c>
      <c r="CH188" s="4">
        <f t="shared" si="158"/>
        <v>0</v>
      </c>
      <c r="CI188" s="4">
        <f t="shared" si="158"/>
        <v>0</v>
      </c>
      <c r="CJ188" s="4">
        <f t="shared" si="158"/>
        <v>0</v>
      </c>
      <c r="CK188" s="4">
        <f t="shared" si="158"/>
        <v>0</v>
      </c>
      <c r="CL188" s="4">
        <f t="shared" si="138"/>
        <v>0</v>
      </c>
      <c r="CM188" s="4">
        <f t="shared" si="139"/>
        <v>0</v>
      </c>
      <c r="CN188" s="4">
        <f t="shared" si="140"/>
        <v>0</v>
      </c>
      <c r="CO188" s="4">
        <f t="shared" si="141"/>
        <v>0</v>
      </c>
      <c r="CP188" s="4">
        <f t="shared" si="142"/>
        <v>0</v>
      </c>
      <c r="CQ188" s="4">
        <f t="shared" si="143"/>
        <v>0</v>
      </c>
      <c r="CR188" s="4">
        <f t="shared" si="144"/>
        <v>0</v>
      </c>
      <c r="CS188" s="4">
        <f t="shared" si="145"/>
        <v>0</v>
      </c>
      <c r="CT188" s="4">
        <f t="shared" si="146"/>
        <v>0</v>
      </c>
      <c r="CU188" s="4">
        <f t="shared" si="147"/>
        <v>0</v>
      </c>
      <c r="CV188" s="4">
        <f t="shared" si="148"/>
        <v>0</v>
      </c>
      <c r="CW188" s="4">
        <f t="shared" si="149"/>
        <v>0</v>
      </c>
      <c r="CX188" s="4">
        <f t="shared" si="150"/>
        <v>0</v>
      </c>
      <c r="CY188" s="4">
        <f t="shared" si="151"/>
        <v>0</v>
      </c>
      <c r="CZ188" s="4">
        <f t="shared" si="152"/>
        <v>0</v>
      </c>
      <c r="DA188" s="4">
        <f t="shared" si="153"/>
        <v>0</v>
      </c>
      <c r="DB188" s="4">
        <f t="shared" si="154"/>
        <v>0</v>
      </c>
      <c r="DC188" s="4">
        <f t="shared" si="155"/>
        <v>0</v>
      </c>
      <c r="DD188" s="4">
        <f t="shared" si="156"/>
        <v>0</v>
      </c>
    </row>
    <row r="189" spans="1:108" x14ac:dyDescent="0.25">
      <c r="A189" s="41">
        <f>Skills!M171</f>
        <v>0</v>
      </c>
      <c r="B189" s="57" t="str">
        <f>Skills!N171</f>
        <v>Engineering &amp; Technology Skills</v>
      </c>
      <c r="C189" s="24">
        <f t="shared" si="157"/>
        <v>0</v>
      </c>
      <c r="D189" s="110" t="str">
        <f>Skills!S171</f>
        <v>- -</v>
      </c>
      <c r="E189" s="111" t="s">
        <v>782</v>
      </c>
      <c r="F189" s="18"/>
      <c r="G189" s="18"/>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49"/>
      <c r="BF189" s="4">
        <f t="shared" si="107"/>
        <v>0</v>
      </c>
      <c r="BG189" s="4">
        <f t="shared" si="107"/>
        <v>0</v>
      </c>
      <c r="BH189" s="4">
        <f t="shared" si="108"/>
        <v>0</v>
      </c>
      <c r="BI189" s="4">
        <f t="shared" si="109"/>
        <v>0</v>
      </c>
      <c r="BJ189" s="4">
        <f t="shared" si="110"/>
        <v>0</v>
      </c>
      <c r="BK189" s="4">
        <f t="shared" si="111"/>
        <v>0</v>
      </c>
      <c r="BL189" s="4">
        <f t="shared" si="112"/>
        <v>0</v>
      </c>
      <c r="BM189" s="4">
        <f t="shared" si="113"/>
        <v>0</v>
      </c>
      <c r="BN189" s="4">
        <f t="shared" si="114"/>
        <v>0</v>
      </c>
      <c r="BO189" s="4">
        <f t="shared" si="115"/>
        <v>0</v>
      </c>
      <c r="BP189" s="4">
        <f t="shared" si="116"/>
        <v>0</v>
      </c>
      <c r="BQ189" s="4">
        <f t="shared" si="117"/>
        <v>0</v>
      </c>
      <c r="BR189" s="4">
        <f t="shared" si="118"/>
        <v>0</v>
      </c>
      <c r="BS189" s="4">
        <f t="shared" si="119"/>
        <v>0</v>
      </c>
      <c r="BT189" s="4">
        <f t="shared" si="120"/>
        <v>0</v>
      </c>
      <c r="BU189" s="4">
        <f t="shared" si="121"/>
        <v>0</v>
      </c>
      <c r="BV189" s="4">
        <f t="shared" si="122"/>
        <v>0</v>
      </c>
      <c r="BW189" s="4">
        <f t="shared" si="123"/>
        <v>0</v>
      </c>
      <c r="BX189" s="4">
        <f t="shared" si="124"/>
        <v>0</v>
      </c>
      <c r="BY189" s="4">
        <f t="shared" si="125"/>
        <v>0</v>
      </c>
      <c r="BZ189" s="4">
        <f t="shared" si="126"/>
        <v>0</v>
      </c>
      <c r="CA189" s="4">
        <f t="shared" si="127"/>
        <v>0</v>
      </c>
      <c r="CB189" s="4">
        <f t="shared" si="128"/>
        <v>0</v>
      </c>
      <c r="CC189" s="4">
        <f t="shared" si="129"/>
        <v>0</v>
      </c>
      <c r="CD189" s="4">
        <f t="shared" si="130"/>
        <v>0</v>
      </c>
      <c r="CE189" s="4">
        <f t="shared" si="131"/>
        <v>0</v>
      </c>
      <c r="CF189" s="4">
        <f t="shared" si="132"/>
        <v>0</v>
      </c>
      <c r="CG189" s="4">
        <f t="shared" si="133"/>
        <v>0</v>
      </c>
      <c r="CH189" s="4">
        <f t="shared" si="134"/>
        <v>0</v>
      </c>
      <c r="CI189" s="4">
        <f t="shared" si="135"/>
        <v>0</v>
      </c>
      <c r="CJ189" s="4">
        <f t="shared" si="136"/>
        <v>0</v>
      </c>
      <c r="CK189" s="4">
        <f t="shared" si="137"/>
        <v>0</v>
      </c>
      <c r="CL189" s="4">
        <f t="shared" si="138"/>
        <v>0</v>
      </c>
      <c r="CM189" s="4">
        <f t="shared" si="139"/>
        <v>0</v>
      </c>
      <c r="CN189" s="4">
        <f t="shared" si="140"/>
        <v>0</v>
      </c>
      <c r="CO189" s="4">
        <f t="shared" si="141"/>
        <v>0</v>
      </c>
      <c r="CP189" s="4">
        <f t="shared" si="142"/>
        <v>0</v>
      </c>
      <c r="CQ189" s="4">
        <f t="shared" si="143"/>
        <v>0</v>
      </c>
      <c r="CR189" s="4">
        <f t="shared" si="144"/>
        <v>0</v>
      </c>
      <c r="CS189" s="4">
        <f t="shared" si="145"/>
        <v>0</v>
      </c>
      <c r="CT189" s="4">
        <f t="shared" si="146"/>
        <v>0</v>
      </c>
      <c r="CU189" s="4">
        <f t="shared" si="147"/>
        <v>0</v>
      </c>
      <c r="CV189" s="4">
        <f t="shared" si="148"/>
        <v>0</v>
      </c>
      <c r="CW189" s="4">
        <f t="shared" si="149"/>
        <v>0</v>
      </c>
      <c r="CX189" s="4">
        <f t="shared" si="150"/>
        <v>0</v>
      </c>
      <c r="CY189" s="4">
        <f t="shared" si="151"/>
        <v>0</v>
      </c>
      <c r="CZ189" s="4">
        <f t="shared" si="152"/>
        <v>0</v>
      </c>
      <c r="DA189" s="4">
        <f t="shared" si="153"/>
        <v>0</v>
      </c>
      <c r="DB189" s="4">
        <f t="shared" si="154"/>
        <v>0</v>
      </c>
      <c r="DC189" s="4">
        <f t="shared" si="155"/>
        <v>0</v>
      </c>
      <c r="DD189" s="4">
        <f t="shared" si="156"/>
        <v>0</v>
      </c>
    </row>
    <row r="190" spans="1:108" x14ac:dyDescent="0.25">
      <c r="A190" s="41">
        <f>Skills!M172</f>
        <v>0</v>
      </c>
      <c r="B190" s="55" t="str">
        <f>Skills!N172</f>
        <v>Engineering Category</v>
      </c>
      <c r="C190" s="22">
        <f t="shared" si="157"/>
        <v>0</v>
      </c>
      <c r="D190" s="112" t="str">
        <f>Skills!S172</f>
        <v>- -</v>
      </c>
      <c r="E190" s="113" t="s">
        <v>782</v>
      </c>
      <c r="F190" s="19"/>
      <c r="G190" s="19"/>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56"/>
      <c r="BF190" s="4">
        <f t="shared" si="107"/>
        <v>0</v>
      </c>
      <c r="BG190" s="4">
        <f t="shared" si="107"/>
        <v>0</v>
      </c>
      <c r="BH190" s="4">
        <f t="shared" si="108"/>
        <v>0</v>
      </c>
      <c r="BI190" s="4">
        <f t="shared" si="109"/>
        <v>0</v>
      </c>
      <c r="BJ190" s="4">
        <f t="shared" si="110"/>
        <v>0</v>
      </c>
      <c r="BK190" s="4">
        <f t="shared" si="111"/>
        <v>0</v>
      </c>
      <c r="BL190" s="4">
        <f t="shared" si="112"/>
        <v>0</v>
      </c>
      <c r="BM190" s="4">
        <f t="shared" si="113"/>
        <v>0</v>
      </c>
      <c r="BN190" s="4">
        <f t="shared" si="114"/>
        <v>0</v>
      </c>
      <c r="BO190" s="4">
        <f t="shared" si="115"/>
        <v>0</v>
      </c>
      <c r="BP190" s="4">
        <f t="shared" si="116"/>
        <v>0</v>
      </c>
      <c r="BQ190" s="4">
        <f t="shared" si="117"/>
        <v>0</v>
      </c>
      <c r="BR190" s="4">
        <f t="shared" si="118"/>
        <v>0</v>
      </c>
      <c r="BS190" s="4">
        <f t="shared" si="119"/>
        <v>0</v>
      </c>
      <c r="BT190" s="4">
        <f t="shared" si="120"/>
        <v>0</v>
      </c>
      <c r="BU190" s="4">
        <f t="shared" si="121"/>
        <v>0</v>
      </c>
      <c r="BV190" s="4">
        <f t="shared" si="122"/>
        <v>0</v>
      </c>
      <c r="BW190" s="4">
        <f t="shared" si="123"/>
        <v>0</v>
      </c>
      <c r="BX190" s="4">
        <f t="shared" si="124"/>
        <v>0</v>
      </c>
      <c r="BY190" s="4">
        <f t="shared" si="125"/>
        <v>0</v>
      </c>
      <c r="BZ190" s="4">
        <f t="shared" si="126"/>
        <v>0</v>
      </c>
      <c r="CA190" s="4">
        <f t="shared" si="127"/>
        <v>0</v>
      </c>
      <c r="CB190" s="4">
        <f t="shared" si="128"/>
        <v>0</v>
      </c>
      <c r="CC190" s="4">
        <f t="shared" si="129"/>
        <v>0</v>
      </c>
      <c r="CD190" s="4">
        <f t="shared" si="130"/>
        <v>0</v>
      </c>
      <c r="CE190" s="4">
        <f t="shared" si="131"/>
        <v>0</v>
      </c>
      <c r="CF190" s="4">
        <f t="shared" si="132"/>
        <v>0</v>
      </c>
      <c r="CG190" s="4">
        <f t="shared" si="133"/>
        <v>0</v>
      </c>
      <c r="CH190" s="4">
        <f t="shared" si="134"/>
        <v>0</v>
      </c>
      <c r="CI190" s="4">
        <f t="shared" si="135"/>
        <v>0</v>
      </c>
      <c r="CJ190" s="4">
        <f t="shared" si="136"/>
        <v>0</v>
      </c>
      <c r="CK190" s="4">
        <f t="shared" si="137"/>
        <v>0</v>
      </c>
      <c r="CL190" s="4">
        <f t="shared" si="138"/>
        <v>0</v>
      </c>
      <c r="CM190" s="4">
        <f t="shared" si="139"/>
        <v>0</v>
      </c>
      <c r="CN190" s="4">
        <f t="shared" si="140"/>
        <v>0</v>
      </c>
      <c r="CO190" s="4">
        <f t="shared" si="141"/>
        <v>0</v>
      </c>
      <c r="CP190" s="4">
        <f t="shared" si="142"/>
        <v>0</v>
      </c>
      <c r="CQ190" s="4">
        <f t="shared" si="143"/>
        <v>0</v>
      </c>
      <c r="CR190" s="4">
        <f t="shared" si="144"/>
        <v>0</v>
      </c>
      <c r="CS190" s="4">
        <f t="shared" si="145"/>
        <v>0</v>
      </c>
      <c r="CT190" s="4">
        <f t="shared" si="146"/>
        <v>0</v>
      </c>
      <c r="CU190" s="4">
        <f t="shared" si="147"/>
        <v>0</v>
      </c>
      <c r="CV190" s="4">
        <f t="shared" si="148"/>
        <v>0</v>
      </c>
      <c r="CW190" s="4">
        <f t="shared" si="149"/>
        <v>0</v>
      </c>
      <c r="CX190" s="4">
        <f t="shared" si="150"/>
        <v>0</v>
      </c>
      <c r="CY190" s="4">
        <f t="shared" si="151"/>
        <v>0</v>
      </c>
      <c r="CZ190" s="4">
        <f t="shared" si="152"/>
        <v>0</v>
      </c>
      <c r="DA190" s="4">
        <f t="shared" si="153"/>
        <v>0</v>
      </c>
      <c r="DB190" s="4">
        <f t="shared" si="154"/>
        <v>0</v>
      </c>
      <c r="DC190" s="4">
        <f t="shared" si="155"/>
        <v>0</v>
      </c>
      <c r="DD190" s="4">
        <f t="shared" si="156"/>
        <v>0</v>
      </c>
    </row>
    <row r="191" spans="1:108" x14ac:dyDescent="0.25">
      <c r="A191" s="41">
        <f>Skills!M173</f>
        <v>0</v>
      </c>
      <c r="B191" s="57" t="str">
        <f>Skills!N173</f>
        <v>Engineering Skills (cat)</v>
      </c>
      <c r="C191" s="24">
        <f t="shared" si="157"/>
        <v>0</v>
      </c>
      <c r="D191" s="110" t="str">
        <f>Skills!S173</f>
        <v>- -</v>
      </c>
      <c r="E191" s="111" t="s">
        <v>782</v>
      </c>
      <c r="F191" s="18"/>
      <c r="G191" s="18"/>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49"/>
      <c r="BF191" s="4">
        <f t="shared" si="107"/>
        <v>0</v>
      </c>
      <c r="BG191" s="4">
        <f t="shared" si="107"/>
        <v>0</v>
      </c>
      <c r="BH191" s="4">
        <f t="shared" si="108"/>
        <v>0</v>
      </c>
      <c r="BI191" s="4">
        <f t="shared" si="109"/>
        <v>0</v>
      </c>
      <c r="BJ191" s="4">
        <f t="shared" si="110"/>
        <v>0</v>
      </c>
      <c r="BK191" s="4">
        <f t="shared" si="111"/>
        <v>0</v>
      </c>
      <c r="BL191" s="4">
        <f t="shared" si="112"/>
        <v>0</v>
      </c>
      <c r="BM191" s="4">
        <f t="shared" si="113"/>
        <v>0</v>
      </c>
      <c r="BN191" s="4">
        <f t="shared" si="114"/>
        <v>0</v>
      </c>
      <c r="BO191" s="4">
        <f t="shared" si="115"/>
        <v>0</v>
      </c>
      <c r="BP191" s="4">
        <f t="shared" si="116"/>
        <v>0</v>
      </c>
      <c r="BQ191" s="4">
        <f t="shared" si="117"/>
        <v>0</v>
      </c>
      <c r="BR191" s="4">
        <f t="shared" si="118"/>
        <v>0</v>
      </c>
      <c r="BS191" s="4">
        <f t="shared" si="119"/>
        <v>0</v>
      </c>
      <c r="BT191" s="4">
        <f t="shared" si="120"/>
        <v>0</v>
      </c>
      <c r="BU191" s="4">
        <f t="shared" si="121"/>
        <v>0</v>
      </c>
      <c r="BV191" s="4">
        <f t="shared" si="122"/>
        <v>0</v>
      </c>
      <c r="BW191" s="4">
        <f t="shared" si="123"/>
        <v>0</v>
      </c>
      <c r="BX191" s="4">
        <f t="shared" si="124"/>
        <v>0</v>
      </c>
      <c r="BY191" s="4">
        <f t="shared" si="125"/>
        <v>0</v>
      </c>
      <c r="BZ191" s="4">
        <f t="shared" si="126"/>
        <v>0</v>
      </c>
      <c r="CA191" s="4">
        <f t="shared" si="127"/>
        <v>0</v>
      </c>
      <c r="CB191" s="4">
        <f t="shared" si="128"/>
        <v>0</v>
      </c>
      <c r="CC191" s="4">
        <f t="shared" si="129"/>
        <v>0</v>
      </c>
      <c r="CD191" s="4">
        <f t="shared" si="130"/>
        <v>0</v>
      </c>
      <c r="CE191" s="4">
        <f t="shared" si="131"/>
        <v>0</v>
      </c>
      <c r="CF191" s="4">
        <f t="shared" si="132"/>
        <v>0</v>
      </c>
      <c r="CG191" s="4">
        <f t="shared" si="133"/>
        <v>0</v>
      </c>
      <c r="CH191" s="4">
        <f t="shared" si="134"/>
        <v>0</v>
      </c>
      <c r="CI191" s="4">
        <f t="shared" si="135"/>
        <v>0</v>
      </c>
      <c r="CJ191" s="4">
        <f t="shared" si="136"/>
        <v>0</v>
      </c>
      <c r="CK191" s="4">
        <f t="shared" si="137"/>
        <v>0</v>
      </c>
      <c r="CL191" s="4">
        <f t="shared" si="138"/>
        <v>0</v>
      </c>
      <c r="CM191" s="4">
        <f t="shared" si="139"/>
        <v>0</v>
      </c>
      <c r="CN191" s="4">
        <f t="shared" si="140"/>
        <v>0</v>
      </c>
      <c r="CO191" s="4">
        <f t="shared" si="141"/>
        <v>0</v>
      </c>
      <c r="CP191" s="4">
        <f t="shared" si="142"/>
        <v>0</v>
      </c>
      <c r="CQ191" s="4">
        <f t="shared" si="143"/>
        <v>0</v>
      </c>
      <c r="CR191" s="4">
        <f t="shared" si="144"/>
        <v>0</v>
      </c>
      <c r="CS191" s="4">
        <f t="shared" si="145"/>
        <v>0</v>
      </c>
      <c r="CT191" s="4">
        <f t="shared" si="146"/>
        <v>0</v>
      </c>
      <c r="CU191" s="4">
        <f t="shared" si="147"/>
        <v>0</v>
      </c>
      <c r="CV191" s="4">
        <f t="shared" si="148"/>
        <v>0</v>
      </c>
      <c r="CW191" s="4">
        <f t="shared" si="149"/>
        <v>0</v>
      </c>
      <c r="CX191" s="4">
        <f t="shared" si="150"/>
        <v>0</v>
      </c>
      <c r="CY191" s="4">
        <f t="shared" si="151"/>
        <v>0</v>
      </c>
      <c r="CZ191" s="4">
        <f t="shared" si="152"/>
        <v>0</v>
      </c>
      <c r="DA191" s="4">
        <f t="shared" si="153"/>
        <v>0</v>
      </c>
      <c r="DB191" s="4">
        <f t="shared" si="154"/>
        <v>0</v>
      </c>
      <c r="DC191" s="4">
        <f t="shared" si="155"/>
        <v>0</v>
      </c>
      <c r="DD191" s="4">
        <f t="shared" si="156"/>
        <v>0</v>
      </c>
    </row>
    <row r="192" spans="1:108" x14ac:dyDescent="0.25">
      <c r="A192" s="41">
        <f>Skills!M174</f>
        <v>0</v>
      </c>
      <c r="B192" s="55" t="str">
        <f>Skills!N174</f>
        <v>Engineering Sub-category</v>
      </c>
      <c r="C192" s="22">
        <f t="shared" si="157"/>
        <v>0</v>
      </c>
      <c r="D192" s="112" t="str">
        <f>Skills!S174</f>
        <v>- -</v>
      </c>
      <c r="E192" s="113" t="s">
        <v>782</v>
      </c>
      <c r="F192" s="19"/>
      <c r="G192" s="19"/>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56"/>
      <c r="BF192" s="4">
        <f t="shared" si="107"/>
        <v>0</v>
      </c>
      <c r="BG192" s="4">
        <f t="shared" si="107"/>
        <v>0</v>
      </c>
      <c r="BH192" s="4">
        <f t="shared" si="108"/>
        <v>0</v>
      </c>
      <c r="BI192" s="4">
        <f t="shared" si="109"/>
        <v>0</v>
      </c>
      <c r="BJ192" s="4">
        <f t="shared" si="110"/>
        <v>0</v>
      </c>
      <c r="BK192" s="4">
        <f t="shared" si="111"/>
        <v>0</v>
      </c>
      <c r="BL192" s="4">
        <f t="shared" si="112"/>
        <v>0</v>
      </c>
      <c r="BM192" s="4">
        <f t="shared" si="113"/>
        <v>0</v>
      </c>
      <c r="BN192" s="4">
        <f t="shared" si="114"/>
        <v>0</v>
      </c>
      <c r="BO192" s="4">
        <f t="shared" si="115"/>
        <v>0</v>
      </c>
      <c r="BP192" s="4">
        <f t="shared" si="116"/>
        <v>0</v>
      </c>
      <c r="BQ192" s="4">
        <f t="shared" si="117"/>
        <v>0</v>
      </c>
      <c r="BR192" s="4">
        <f t="shared" si="118"/>
        <v>0</v>
      </c>
      <c r="BS192" s="4">
        <f t="shared" si="119"/>
        <v>0</v>
      </c>
      <c r="BT192" s="4">
        <f t="shared" si="120"/>
        <v>0</v>
      </c>
      <c r="BU192" s="4">
        <f t="shared" si="121"/>
        <v>0</v>
      </c>
      <c r="BV192" s="4">
        <f t="shared" si="122"/>
        <v>0</v>
      </c>
      <c r="BW192" s="4">
        <f t="shared" si="123"/>
        <v>0</v>
      </c>
      <c r="BX192" s="4">
        <f t="shared" si="124"/>
        <v>0</v>
      </c>
      <c r="BY192" s="4">
        <f t="shared" si="125"/>
        <v>0</v>
      </c>
      <c r="BZ192" s="4">
        <f t="shared" si="126"/>
        <v>0</v>
      </c>
      <c r="CA192" s="4">
        <f t="shared" si="127"/>
        <v>0</v>
      </c>
      <c r="CB192" s="4">
        <f t="shared" si="128"/>
        <v>0</v>
      </c>
      <c r="CC192" s="4">
        <f t="shared" si="129"/>
        <v>0</v>
      </c>
      <c r="CD192" s="4">
        <f t="shared" si="130"/>
        <v>0</v>
      </c>
      <c r="CE192" s="4">
        <f t="shared" si="131"/>
        <v>0</v>
      </c>
      <c r="CF192" s="4">
        <f t="shared" si="132"/>
        <v>0</v>
      </c>
      <c r="CG192" s="4">
        <f t="shared" si="133"/>
        <v>0</v>
      </c>
      <c r="CH192" s="4">
        <f t="shared" si="134"/>
        <v>0</v>
      </c>
      <c r="CI192" s="4">
        <f t="shared" si="135"/>
        <v>0</v>
      </c>
      <c r="CJ192" s="4">
        <f t="shared" si="136"/>
        <v>0</v>
      </c>
      <c r="CK192" s="4">
        <f t="shared" si="137"/>
        <v>0</v>
      </c>
      <c r="CL192" s="4">
        <f t="shared" si="138"/>
        <v>0</v>
      </c>
      <c r="CM192" s="4">
        <f t="shared" si="139"/>
        <v>0</v>
      </c>
      <c r="CN192" s="4">
        <f t="shared" si="140"/>
        <v>0</v>
      </c>
      <c r="CO192" s="4">
        <f t="shared" si="141"/>
        <v>0</v>
      </c>
      <c r="CP192" s="4">
        <f t="shared" si="142"/>
        <v>0</v>
      </c>
      <c r="CQ192" s="4">
        <f t="shared" si="143"/>
        <v>0</v>
      </c>
      <c r="CR192" s="4">
        <f t="shared" si="144"/>
        <v>0</v>
      </c>
      <c r="CS192" s="4">
        <f t="shared" si="145"/>
        <v>0</v>
      </c>
      <c r="CT192" s="4">
        <f t="shared" si="146"/>
        <v>0</v>
      </c>
      <c r="CU192" s="4">
        <f t="shared" si="147"/>
        <v>0</v>
      </c>
      <c r="CV192" s="4">
        <f t="shared" si="148"/>
        <v>0</v>
      </c>
      <c r="CW192" s="4">
        <f t="shared" si="149"/>
        <v>0</v>
      </c>
      <c r="CX192" s="4">
        <f t="shared" si="150"/>
        <v>0</v>
      </c>
      <c r="CY192" s="4">
        <f t="shared" si="151"/>
        <v>0</v>
      </c>
      <c r="CZ192" s="4">
        <f t="shared" si="152"/>
        <v>0</v>
      </c>
      <c r="DA192" s="4">
        <f t="shared" si="153"/>
        <v>0</v>
      </c>
      <c r="DB192" s="4">
        <f t="shared" si="154"/>
        <v>0</v>
      </c>
      <c r="DC192" s="4">
        <f t="shared" si="155"/>
        <v>0</v>
      </c>
      <c r="DD192" s="4">
        <f t="shared" si="156"/>
        <v>0</v>
      </c>
    </row>
    <row r="193" spans="1:108" x14ac:dyDescent="0.25">
      <c r="A193" s="41">
        <f>Skills!M175</f>
        <v>0</v>
      </c>
      <c r="B193" s="57" t="str">
        <f>Skills!N175</f>
        <v>Engineering Skills</v>
      </c>
      <c r="C193" s="24">
        <f t="shared" si="157"/>
        <v>0</v>
      </c>
      <c r="D193" s="110" t="str">
        <f>Skills!S175</f>
        <v>- -</v>
      </c>
      <c r="E193" s="111" t="s">
        <v>782</v>
      </c>
      <c r="F193" s="18"/>
      <c r="G193" s="18"/>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49"/>
      <c r="BF193" s="4">
        <f t="shared" si="107"/>
        <v>0</v>
      </c>
      <c r="BG193" s="4">
        <f t="shared" si="107"/>
        <v>0</v>
      </c>
      <c r="BH193" s="4">
        <f t="shared" si="108"/>
        <v>0</v>
      </c>
      <c r="BI193" s="4">
        <f t="shared" si="109"/>
        <v>0</v>
      </c>
      <c r="BJ193" s="4">
        <f t="shared" si="110"/>
        <v>0</v>
      </c>
      <c r="BK193" s="4">
        <f t="shared" si="111"/>
        <v>0</v>
      </c>
      <c r="BL193" s="4">
        <f t="shared" si="112"/>
        <v>0</v>
      </c>
      <c r="BM193" s="4">
        <f t="shared" si="113"/>
        <v>0</v>
      </c>
      <c r="BN193" s="4">
        <f t="shared" si="114"/>
        <v>0</v>
      </c>
      <c r="BO193" s="4">
        <f t="shared" si="115"/>
        <v>0</v>
      </c>
      <c r="BP193" s="4">
        <f t="shared" si="116"/>
        <v>0</v>
      </c>
      <c r="BQ193" s="4">
        <f t="shared" si="117"/>
        <v>0</v>
      </c>
      <c r="BR193" s="4">
        <f t="shared" si="118"/>
        <v>0</v>
      </c>
      <c r="BS193" s="4">
        <f t="shared" si="119"/>
        <v>0</v>
      </c>
      <c r="BT193" s="4">
        <f t="shared" si="120"/>
        <v>0</v>
      </c>
      <c r="BU193" s="4">
        <f t="shared" si="121"/>
        <v>0</v>
      </c>
      <c r="BV193" s="4">
        <f t="shared" si="122"/>
        <v>0</v>
      </c>
      <c r="BW193" s="4">
        <f t="shared" si="123"/>
        <v>0</v>
      </c>
      <c r="BX193" s="4">
        <f t="shared" si="124"/>
        <v>0</v>
      </c>
      <c r="BY193" s="4">
        <f t="shared" si="125"/>
        <v>0</v>
      </c>
      <c r="BZ193" s="4">
        <f t="shared" si="126"/>
        <v>0</v>
      </c>
      <c r="CA193" s="4">
        <f t="shared" si="127"/>
        <v>0</v>
      </c>
      <c r="CB193" s="4">
        <f t="shared" si="128"/>
        <v>0</v>
      </c>
      <c r="CC193" s="4">
        <f t="shared" si="129"/>
        <v>0</v>
      </c>
      <c r="CD193" s="4">
        <f t="shared" si="130"/>
        <v>0</v>
      </c>
      <c r="CE193" s="4">
        <f t="shared" si="131"/>
        <v>0</v>
      </c>
      <c r="CF193" s="4">
        <f t="shared" si="132"/>
        <v>0</v>
      </c>
      <c r="CG193" s="4">
        <f t="shared" si="133"/>
        <v>0</v>
      </c>
      <c r="CH193" s="4">
        <f t="shared" si="134"/>
        <v>0</v>
      </c>
      <c r="CI193" s="4">
        <f t="shared" si="135"/>
        <v>0</v>
      </c>
      <c r="CJ193" s="4">
        <f t="shared" si="136"/>
        <v>0</v>
      </c>
      <c r="CK193" s="4">
        <f t="shared" si="137"/>
        <v>0</v>
      </c>
      <c r="CL193" s="4">
        <f t="shared" si="138"/>
        <v>0</v>
      </c>
      <c r="CM193" s="4">
        <f t="shared" si="139"/>
        <v>0</v>
      </c>
      <c r="CN193" s="4">
        <f t="shared" si="140"/>
        <v>0</v>
      </c>
      <c r="CO193" s="4">
        <f t="shared" si="141"/>
        <v>0</v>
      </c>
      <c r="CP193" s="4">
        <f t="shared" si="142"/>
        <v>0</v>
      </c>
      <c r="CQ193" s="4">
        <f t="shared" si="143"/>
        <v>0</v>
      </c>
      <c r="CR193" s="4">
        <f t="shared" si="144"/>
        <v>0</v>
      </c>
      <c r="CS193" s="4">
        <f t="shared" si="145"/>
        <v>0</v>
      </c>
      <c r="CT193" s="4">
        <f t="shared" si="146"/>
        <v>0</v>
      </c>
      <c r="CU193" s="4">
        <f t="shared" si="147"/>
        <v>0</v>
      </c>
      <c r="CV193" s="4">
        <f t="shared" si="148"/>
        <v>0</v>
      </c>
      <c r="CW193" s="4">
        <f t="shared" si="149"/>
        <v>0</v>
      </c>
      <c r="CX193" s="4">
        <f t="shared" si="150"/>
        <v>0</v>
      </c>
      <c r="CY193" s="4">
        <f t="shared" si="151"/>
        <v>0</v>
      </c>
      <c r="CZ193" s="4">
        <f t="shared" si="152"/>
        <v>0</v>
      </c>
      <c r="DA193" s="4">
        <f t="shared" si="153"/>
        <v>0</v>
      </c>
      <c r="DB193" s="4">
        <f t="shared" si="154"/>
        <v>0</v>
      </c>
      <c r="DC193" s="4">
        <f t="shared" si="155"/>
        <v>0</v>
      </c>
      <c r="DD193" s="4">
        <f t="shared" si="156"/>
        <v>0</v>
      </c>
    </row>
    <row r="194" spans="1:108" x14ac:dyDescent="0.25">
      <c r="A194" s="41" t="str">
        <f>Skills!M176</f>
        <v>Basic Engineering</v>
      </c>
      <c r="B194" s="55" t="str">
        <f>Skills!N176</f>
        <v>Basic Engineering</v>
      </c>
      <c r="C194" s="22">
        <f t="shared" si="157"/>
        <v>0</v>
      </c>
      <c r="D194" s="112">
        <f>Skills!S176</f>
        <v>0</v>
      </c>
      <c r="E194" s="113" t="e">
        <f>Profession!B97</f>
        <v>#REF!</v>
      </c>
      <c r="F194" s="19"/>
      <c r="G194" s="19"/>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56"/>
      <c r="BF194" s="4">
        <f t="shared" si="107"/>
        <v>0</v>
      </c>
      <c r="BG194" s="4">
        <f t="shared" si="107"/>
        <v>0</v>
      </c>
      <c r="BH194" s="4">
        <f t="shared" si="108"/>
        <v>0</v>
      </c>
      <c r="BI194" s="4">
        <f t="shared" si="109"/>
        <v>0</v>
      </c>
      <c r="BJ194" s="4">
        <f t="shared" si="110"/>
        <v>0</v>
      </c>
      <c r="BK194" s="4">
        <f t="shared" si="111"/>
        <v>0</v>
      </c>
      <c r="BL194" s="4">
        <f t="shared" si="112"/>
        <v>0</v>
      </c>
      <c r="BM194" s="4">
        <f t="shared" si="113"/>
        <v>0</v>
      </c>
      <c r="BN194" s="4">
        <f t="shared" si="114"/>
        <v>0</v>
      </c>
      <c r="BO194" s="4">
        <f t="shared" si="115"/>
        <v>0</v>
      </c>
      <c r="BP194" s="4">
        <f t="shared" si="116"/>
        <v>0</v>
      </c>
      <c r="BQ194" s="4">
        <f t="shared" si="117"/>
        <v>0</v>
      </c>
      <c r="BR194" s="4">
        <f t="shared" si="118"/>
        <v>0</v>
      </c>
      <c r="BS194" s="4">
        <f t="shared" si="119"/>
        <v>0</v>
      </c>
      <c r="BT194" s="4">
        <f t="shared" si="120"/>
        <v>0</v>
      </c>
      <c r="BU194" s="4">
        <f t="shared" si="121"/>
        <v>0</v>
      </c>
      <c r="BV194" s="4">
        <f t="shared" si="122"/>
        <v>0</v>
      </c>
      <c r="BW194" s="4">
        <f t="shared" si="123"/>
        <v>0</v>
      </c>
      <c r="BX194" s="4">
        <f t="shared" si="124"/>
        <v>0</v>
      </c>
      <c r="BY194" s="4">
        <f t="shared" si="125"/>
        <v>0</v>
      </c>
      <c r="BZ194" s="4">
        <f t="shared" si="126"/>
        <v>0</v>
      </c>
      <c r="CA194" s="4">
        <f t="shared" si="127"/>
        <v>0</v>
      </c>
      <c r="CB194" s="4">
        <f t="shared" si="128"/>
        <v>0</v>
      </c>
      <c r="CC194" s="4">
        <f t="shared" si="129"/>
        <v>0</v>
      </c>
      <c r="CD194" s="4">
        <f t="shared" si="130"/>
        <v>0</v>
      </c>
      <c r="CE194" s="4">
        <f t="shared" si="131"/>
        <v>0</v>
      </c>
      <c r="CF194" s="4">
        <f t="shared" si="132"/>
        <v>0</v>
      </c>
      <c r="CG194" s="4">
        <f t="shared" si="133"/>
        <v>0</v>
      </c>
      <c r="CH194" s="4">
        <f t="shared" si="134"/>
        <v>0</v>
      </c>
      <c r="CI194" s="4">
        <f t="shared" si="135"/>
        <v>0</v>
      </c>
      <c r="CJ194" s="4">
        <f t="shared" si="136"/>
        <v>0</v>
      </c>
      <c r="CK194" s="4">
        <f t="shared" si="137"/>
        <v>0</v>
      </c>
      <c r="CL194" s="4">
        <f t="shared" si="138"/>
        <v>0</v>
      </c>
      <c r="CM194" s="4">
        <f t="shared" si="139"/>
        <v>0</v>
      </c>
      <c r="CN194" s="4">
        <f t="shared" si="140"/>
        <v>0</v>
      </c>
      <c r="CO194" s="4">
        <f t="shared" si="141"/>
        <v>0</v>
      </c>
      <c r="CP194" s="4">
        <f t="shared" si="142"/>
        <v>0</v>
      </c>
      <c r="CQ194" s="4">
        <f t="shared" si="143"/>
        <v>0</v>
      </c>
      <c r="CR194" s="4">
        <f t="shared" si="144"/>
        <v>0</v>
      </c>
      <c r="CS194" s="4">
        <f t="shared" si="145"/>
        <v>0</v>
      </c>
      <c r="CT194" s="4">
        <f t="shared" si="146"/>
        <v>0</v>
      </c>
      <c r="CU194" s="4">
        <f t="shared" si="147"/>
        <v>0</v>
      </c>
      <c r="CV194" s="4">
        <f t="shared" si="148"/>
        <v>0</v>
      </c>
      <c r="CW194" s="4">
        <f t="shared" si="149"/>
        <v>0</v>
      </c>
      <c r="CX194" s="4">
        <f t="shared" si="150"/>
        <v>0</v>
      </c>
      <c r="CY194" s="4">
        <f t="shared" si="151"/>
        <v>0</v>
      </c>
      <c r="CZ194" s="4">
        <f t="shared" si="152"/>
        <v>0</v>
      </c>
      <c r="DA194" s="4">
        <f t="shared" si="153"/>
        <v>0</v>
      </c>
      <c r="DB194" s="4">
        <f t="shared" si="154"/>
        <v>0</v>
      </c>
      <c r="DC194" s="4">
        <f t="shared" si="155"/>
        <v>0</v>
      </c>
      <c r="DD194" s="4">
        <f t="shared" si="156"/>
        <v>0</v>
      </c>
    </row>
    <row r="195" spans="1:108" x14ac:dyDescent="0.25">
      <c r="A195" s="41" t="str">
        <f>Skills!M177</f>
        <v>Engineering, Civil Engineering</v>
      </c>
      <c r="B195" s="57" t="str">
        <f>Skills!N177</f>
        <v>Civil Engineering</v>
      </c>
      <c r="C195" s="24">
        <f t="shared" si="157"/>
        <v>0</v>
      </c>
      <c r="D195" s="110">
        <f>Skills!S177</f>
        <v>0</v>
      </c>
      <c r="E195" s="111" t="e">
        <f>Profession!B98</f>
        <v>#REF!</v>
      </c>
      <c r="F195" s="18"/>
      <c r="G195" s="18"/>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49"/>
      <c r="BF195" s="4">
        <f t="shared" si="107"/>
        <v>0</v>
      </c>
      <c r="BG195" s="4">
        <f t="shared" si="107"/>
        <v>0</v>
      </c>
      <c r="BH195" s="4">
        <f t="shared" si="108"/>
        <v>0</v>
      </c>
      <c r="BI195" s="4">
        <f t="shared" si="109"/>
        <v>0</v>
      </c>
      <c r="BJ195" s="4">
        <f t="shared" si="110"/>
        <v>0</v>
      </c>
      <c r="BK195" s="4">
        <f t="shared" si="111"/>
        <v>0</v>
      </c>
      <c r="BL195" s="4">
        <f t="shared" si="112"/>
        <v>0</v>
      </c>
      <c r="BM195" s="4">
        <f t="shared" si="113"/>
        <v>0</v>
      </c>
      <c r="BN195" s="4">
        <f t="shared" si="114"/>
        <v>0</v>
      </c>
      <c r="BO195" s="4">
        <f t="shared" si="115"/>
        <v>0</v>
      </c>
      <c r="BP195" s="4">
        <f t="shared" si="116"/>
        <v>0</v>
      </c>
      <c r="BQ195" s="4">
        <f t="shared" si="117"/>
        <v>0</v>
      </c>
      <c r="BR195" s="4">
        <f t="shared" si="118"/>
        <v>0</v>
      </c>
      <c r="BS195" s="4">
        <f t="shared" si="119"/>
        <v>0</v>
      </c>
      <c r="BT195" s="4">
        <f t="shared" si="120"/>
        <v>0</v>
      </c>
      <c r="BU195" s="4">
        <f t="shared" si="121"/>
        <v>0</v>
      </c>
      <c r="BV195" s="4">
        <f t="shared" si="122"/>
        <v>0</v>
      </c>
      <c r="BW195" s="4">
        <f t="shared" si="123"/>
        <v>0</v>
      </c>
      <c r="BX195" s="4">
        <f t="shared" si="124"/>
        <v>0</v>
      </c>
      <c r="BY195" s="4">
        <f t="shared" si="125"/>
        <v>0</v>
      </c>
      <c r="BZ195" s="4">
        <f t="shared" si="126"/>
        <v>0</v>
      </c>
      <c r="CA195" s="4">
        <f t="shared" si="127"/>
        <v>0</v>
      </c>
      <c r="CB195" s="4">
        <f t="shared" si="128"/>
        <v>0</v>
      </c>
      <c r="CC195" s="4">
        <f t="shared" si="129"/>
        <v>0</v>
      </c>
      <c r="CD195" s="4">
        <f t="shared" si="130"/>
        <v>0</v>
      </c>
      <c r="CE195" s="4">
        <f t="shared" si="131"/>
        <v>0</v>
      </c>
      <c r="CF195" s="4">
        <f t="shared" si="132"/>
        <v>0</v>
      </c>
      <c r="CG195" s="4">
        <f t="shared" si="133"/>
        <v>0</v>
      </c>
      <c r="CH195" s="4">
        <f t="shared" si="134"/>
        <v>0</v>
      </c>
      <c r="CI195" s="4">
        <f t="shared" si="135"/>
        <v>0</v>
      </c>
      <c r="CJ195" s="4">
        <f t="shared" si="136"/>
        <v>0</v>
      </c>
      <c r="CK195" s="4">
        <f t="shared" si="137"/>
        <v>0</v>
      </c>
      <c r="CL195" s="4">
        <f t="shared" si="138"/>
        <v>0</v>
      </c>
      <c r="CM195" s="4">
        <f t="shared" si="139"/>
        <v>0</v>
      </c>
      <c r="CN195" s="4">
        <f t="shared" si="140"/>
        <v>0</v>
      </c>
      <c r="CO195" s="4">
        <f t="shared" si="141"/>
        <v>0</v>
      </c>
      <c r="CP195" s="4">
        <f t="shared" si="142"/>
        <v>0</v>
      </c>
      <c r="CQ195" s="4">
        <f t="shared" si="143"/>
        <v>0</v>
      </c>
      <c r="CR195" s="4">
        <f t="shared" si="144"/>
        <v>0</v>
      </c>
      <c r="CS195" s="4">
        <f t="shared" si="145"/>
        <v>0</v>
      </c>
      <c r="CT195" s="4">
        <f t="shared" si="146"/>
        <v>0</v>
      </c>
      <c r="CU195" s="4">
        <f t="shared" si="147"/>
        <v>0</v>
      </c>
      <c r="CV195" s="4">
        <f t="shared" si="148"/>
        <v>0</v>
      </c>
      <c r="CW195" s="4">
        <f t="shared" si="149"/>
        <v>0</v>
      </c>
      <c r="CX195" s="4">
        <f t="shared" si="150"/>
        <v>0</v>
      </c>
      <c r="CY195" s="4">
        <f t="shared" si="151"/>
        <v>0</v>
      </c>
      <c r="CZ195" s="4">
        <f t="shared" si="152"/>
        <v>0</v>
      </c>
      <c r="DA195" s="4">
        <f t="shared" si="153"/>
        <v>0</v>
      </c>
      <c r="DB195" s="4">
        <f t="shared" si="154"/>
        <v>0</v>
      </c>
      <c r="DC195" s="4">
        <f t="shared" si="155"/>
        <v>0</v>
      </c>
      <c r="DD195" s="4">
        <f t="shared" si="156"/>
        <v>0</v>
      </c>
    </row>
    <row r="196" spans="1:108" x14ac:dyDescent="0.25">
      <c r="A196" s="41" t="str">
        <f>Skills!M178</f>
        <v>Engineering, Crude Weapons Design</v>
      </c>
      <c r="B196" s="55" t="str">
        <f>Skills!N178</f>
        <v>Crude Weapons Design</v>
      </c>
      <c r="C196" s="22">
        <f t="shared" si="157"/>
        <v>0</v>
      </c>
      <c r="D196" s="112">
        <f>Skills!S178</f>
        <v>0</v>
      </c>
      <c r="E196" s="113" t="e">
        <f>Profession!B99</f>
        <v>#REF!</v>
      </c>
      <c r="F196" s="19"/>
      <c r="G196" s="19"/>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56"/>
      <c r="BF196" s="4">
        <f t="shared" si="107"/>
        <v>0</v>
      </c>
      <c r="BG196" s="4">
        <f t="shared" si="107"/>
        <v>0</v>
      </c>
      <c r="BH196" s="4">
        <f t="shared" si="108"/>
        <v>0</v>
      </c>
      <c r="BI196" s="4">
        <f t="shared" si="109"/>
        <v>0</v>
      </c>
      <c r="BJ196" s="4">
        <f t="shared" si="110"/>
        <v>0</v>
      </c>
      <c r="BK196" s="4">
        <f t="shared" si="111"/>
        <v>0</v>
      </c>
      <c r="BL196" s="4">
        <f t="shared" si="112"/>
        <v>0</v>
      </c>
      <c r="BM196" s="4">
        <f t="shared" si="113"/>
        <v>0</v>
      </c>
      <c r="BN196" s="4">
        <f t="shared" si="114"/>
        <v>0</v>
      </c>
      <c r="BO196" s="4">
        <f t="shared" si="115"/>
        <v>0</v>
      </c>
      <c r="BP196" s="4">
        <f t="shared" si="116"/>
        <v>0</v>
      </c>
      <c r="BQ196" s="4">
        <f t="shared" si="117"/>
        <v>0</v>
      </c>
      <c r="BR196" s="4">
        <f t="shared" si="118"/>
        <v>0</v>
      </c>
      <c r="BS196" s="4">
        <f t="shared" si="119"/>
        <v>0</v>
      </c>
      <c r="BT196" s="4">
        <f t="shared" si="120"/>
        <v>0</v>
      </c>
      <c r="BU196" s="4">
        <f t="shared" si="121"/>
        <v>0</v>
      </c>
      <c r="BV196" s="4">
        <f t="shared" si="122"/>
        <v>0</v>
      </c>
      <c r="BW196" s="4">
        <f t="shared" si="123"/>
        <v>0</v>
      </c>
      <c r="BX196" s="4">
        <f t="shared" si="124"/>
        <v>0</v>
      </c>
      <c r="BY196" s="4">
        <f t="shared" si="125"/>
        <v>0</v>
      </c>
      <c r="BZ196" s="4">
        <f t="shared" si="126"/>
        <v>0</v>
      </c>
      <c r="CA196" s="4">
        <f t="shared" si="127"/>
        <v>0</v>
      </c>
      <c r="CB196" s="4">
        <f t="shared" si="128"/>
        <v>0</v>
      </c>
      <c r="CC196" s="4">
        <f t="shared" si="129"/>
        <v>0</v>
      </c>
      <c r="CD196" s="4">
        <f t="shared" si="130"/>
        <v>0</v>
      </c>
      <c r="CE196" s="4">
        <f t="shared" si="131"/>
        <v>0</v>
      </c>
      <c r="CF196" s="4">
        <f t="shared" si="132"/>
        <v>0</v>
      </c>
      <c r="CG196" s="4">
        <f t="shared" si="133"/>
        <v>0</v>
      </c>
      <c r="CH196" s="4">
        <f t="shared" si="134"/>
        <v>0</v>
      </c>
      <c r="CI196" s="4">
        <f t="shared" si="135"/>
        <v>0</v>
      </c>
      <c r="CJ196" s="4">
        <f t="shared" si="136"/>
        <v>0</v>
      </c>
      <c r="CK196" s="4">
        <f t="shared" si="137"/>
        <v>0</v>
      </c>
      <c r="CL196" s="4">
        <f t="shared" si="138"/>
        <v>0</v>
      </c>
      <c r="CM196" s="4">
        <f t="shared" si="139"/>
        <v>0</v>
      </c>
      <c r="CN196" s="4">
        <f t="shared" si="140"/>
        <v>0</v>
      </c>
      <c r="CO196" s="4">
        <f t="shared" si="141"/>
        <v>0</v>
      </c>
      <c r="CP196" s="4">
        <f t="shared" si="142"/>
        <v>0</v>
      </c>
      <c r="CQ196" s="4">
        <f t="shared" si="143"/>
        <v>0</v>
      </c>
      <c r="CR196" s="4">
        <f t="shared" si="144"/>
        <v>0</v>
      </c>
      <c r="CS196" s="4">
        <f t="shared" si="145"/>
        <v>0</v>
      </c>
      <c r="CT196" s="4">
        <f t="shared" si="146"/>
        <v>0</v>
      </c>
      <c r="CU196" s="4">
        <f t="shared" si="147"/>
        <v>0</v>
      </c>
      <c r="CV196" s="4">
        <f t="shared" si="148"/>
        <v>0</v>
      </c>
      <c r="CW196" s="4">
        <f t="shared" si="149"/>
        <v>0</v>
      </c>
      <c r="CX196" s="4">
        <f t="shared" si="150"/>
        <v>0</v>
      </c>
      <c r="CY196" s="4">
        <f t="shared" si="151"/>
        <v>0</v>
      </c>
      <c r="CZ196" s="4">
        <f t="shared" si="152"/>
        <v>0</v>
      </c>
      <c r="DA196" s="4">
        <f t="shared" si="153"/>
        <v>0</v>
      </c>
      <c r="DB196" s="4">
        <f t="shared" si="154"/>
        <v>0</v>
      </c>
      <c r="DC196" s="4">
        <f t="shared" si="155"/>
        <v>0</v>
      </c>
      <c r="DD196" s="4">
        <f t="shared" si="156"/>
        <v>0</v>
      </c>
    </row>
    <row r="197" spans="1:108" x14ac:dyDescent="0.25">
      <c r="A197" s="41" t="str">
        <f>Skills!M179</f>
        <v>Engineering, Gimmickry</v>
      </c>
      <c r="B197" s="57" t="str">
        <f>Skills!N179</f>
        <v>Gimmickry</v>
      </c>
      <c r="C197" s="24">
        <f t="shared" si="157"/>
        <v>0</v>
      </c>
      <c r="D197" s="110">
        <f>Skills!S179</f>
        <v>0</v>
      </c>
      <c r="E197" s="111" t="e">
        <f>Profession!B100</f>
        <v>#REF!</v>
      </c>
      <c r="F197" s="18"/>
      <c r="G197" s="18"/>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49"/>
      <c r="BF197" s="4">
        <f t="shared" si="107"/>
        <v>0</v>
      </c>
      <c r="BG197" s="4">
        <f t="shared" si="107"/>
        <v>0</v>
      </c>
      <c r="BH197" s="4">
        <f t="shared" si="108"/>
        <v>0</v>
      </c>
      <c r="BI197" s="4">
        <f t="shared" si="109"/>
        <v>0</v>
      </c>
      <c r="BJ197" s="4">
        <f t="shared" si="110"/>
        <v>0</v>
      </c>
      <c r="BK197" s="4">
        <f t="shared" si="111"/>
        <v>0</v>
      </c>
      <c r="BL197" s="4">
        <f t="shared" si="112"/>
        <v>0</v>
      </c>
      <c r="BM197" s="4">
        <f t="shared" si="113"/>
        <v>0</v>
      </c>
      <c r="BN197" s="4">
        <f t="shared" si="114"/>
        <v>0</v>
      </c>
      <c r="BO197" s="4">
        <f t="shared" si="115"/>
        <v>0</v>
      </c>
      <c r="BP197" s="4">
        <f t="shared" si="116"/>
        <v>0</v>
      </c>
      <c r="BQ197" s="4">
        <f t="shared" si="117"/>
        <v>0</v>
      </c>
      <c r="BR197" s="4">
        <f t="shared" si="118"/>
        <v>0</v>
      </c>
      <c r="BS197" s="4">
        <f t="shared" si="119"/>
        <v>0</v>
      </c>
      <c r="BT197" s="4">
        <f t="shared" si="120"/>
        <v>0</v>
      </c>
      <c r="BU197" s="4">
        <f t="shared" si="121"/>
        <v>0</v>
      </c>
      <c r="BV197" s="4">
        <f t="shared" si="122"/>
        <v>0</v>
      </c>
      <c r="BW197" s="4">
        <f t="shared" si="123"/>
        <v>0</v>
      </c>
      <c r="BX197" s="4">
        <f t="shared" si="124"/>
        <v>0</v>
      </c>
      <c r="BY197" s="4">
        <f t="shared" si="125"/>
        <v>0</v>
      </c>
      <c r="BZ197" s="4">
        <f t="shared" si="126"/>
        <v>0</v>
      </c>
      <c r="CA197" s="4">
        <f t="shared" si="127"/>
        <v>0</v>
      </c>
      <c r="CB197" s="4">
        <f t="shared" si="128"/>
        <v>0</v>
      </c>
      <c r="CC197" s="4">
        <f t="shared" si="129"/>
        <v>0</v>
      </c>
      <c r="CD197" s="4">
        <f t="shared" si="130"/>
        <v>0</v>
      </c>
      <c r="CE197" s="4">
        <f t="shared" si="131"/>
        <v>0</v>
      </c>
      <c r="CF197" s="4">
        <f t="shared" si="132"/>
        <v>0</v>
      </c>
      <c r="CG197" s="4">
        <f t="shared" si="133"/>
        <v>0</v>
      </c>
      <c r="CH197" s="4">
        <f t="shared" si="134"/>
        <v>0</v>
      </c>
      <c r="CI197" s="4">
        <f t="shared" si="135"/>
        <v>0</v>
      </c>
      <c r="CJ197" s="4">
        <f t="shared" si="136"/>
        <v>0</v>
      </c>
      <c r="CK197" s="4">
        <f t="shared" si="137"/>
        <v>0</v>
      </c>
      <c r="CL197" s="4">
        <f t="shared" si="138"/>
        <v>0</v>
      </c>
      <c r="CM197" s="4">
        <f t="shared" si="139"/>
        <v>0</v>
      </c>
      <c r="CN197" s="4">
        <f t="shared" si="140"/>
        <v>0</v>
      </c>
      <c r="CO197" s="4">
        <f t="shared" si="141"/>
        <v>0</v>
      </c>
      <c r="CP197" s="4">
        <f t="shared" si="142"/>
        <v>0</v>
      </c>
      <c r="CQ197" s="4">
        <f t="shared" si="143"/>
        <v>0</v>
      </c>
      <c r="CR197" s="4">
        <f t="shared" si="144"/>
        <v>0</v>
      </c>
      <c r="CS197" s="4">
        <f t="shared" si="145"/>
        <v>0</v>
      </c>
      <c r="CT197" s="4">
        <f t="shared" si="146"/>
        <v>0</v>
      </c>
      <c r="CU197" s="4">
        <f t="shared" si="147"/>
        <v>0</v>
      </c>
      <c r="CV197" s="4">
        <f t="shared" si="148"/>
        <v>0</v>
      </c>
      <c r="CW197" s="4">
        <f t="shared" si="149"/>
        <v>0</v>
      </c>
      <c r="CX197" s="4">
        <f t="shared" si="150"/>
        <v>0</v>
      </c>
      <c r="CY197" s="4">
        <f t="shared" si="151"/>
        <v>0</v>
      </c>
      <c r="CZ197" s="4">
        <f t="shared" si="152"/>
        <v>0</v>
      </c>
      <c r="DA197" s="4">
        <f t="shared" si="153"/>
        <v>0</v>
      </c>
      <c r="DB197" s="4">
        <f t="shared" si="154"/>
        <v>0</v>
      </c>
      <c r="DC197" s="4">
        <f t="shared" si="155"/>
        <v>0</v>
      </c>
      <c r="DD197" s="4">
        <f t="shared" si="156"/>
        <v>0</v>
      </c>
    </row>
    <row r="198" spans="1:108" x14ac:dyDescent="0.25">
      <c r="A198" s="41" t="str">
        <f>Skills!M180</f>
        <v>Industrial Chemical Engineering</v>
      </c>
      <c r="B198" s="55" t="str">
        <f>Skills!N180</f>
        <v>Industrial Chemical Engineering</v>
      </c>
      <c r="C198" s="22">
        <f t="shared" si="157"/>
        <v>0</v>
      </c>
      <c r="D198" s="112">
        <f>Skills!S180</f>
        <v>0</v>
      </c>
      <c r="E198" s="113" t="e">
        <f>Profession!B101</f>
        <v>#REF!</v>
      </c>
      <c r="F198" s="19"/>
      <c r="G198" s="19"/>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56"/>
      <c r="BF198" s="4">
        <f t="shared" si="107"/>
        <v>0</v>
      </c>
      <c r="BG198" s="4">
        <f t="shared" si="107"/>
        <v>0</v>
      </c>
      <c r="BH198" s="4">
        <f t="shared" si="108"/>
        <v>0</v>
      </c>
      <c r="BI198" s="4">
        <f t="shared" si="109"/>
        <v>0</v>
      </c>
      <c r="BJ198" s="4">
        <f t="shared" si="110"/>
        <v>0</v>
      </c>
      <c r="BK198" s="4">
        <f t="shared" si="111"/>
        <v>0</v>
      </c>
      <c r="BL198" s="4">
        <f t="shared" si="112"/>
        <v>0</v>
      </c>
      <c r="BM198" s="4">
        <f t="shared" si="113"/>
        <v>0</v>
      </c>
      <c r="BN198" s="4">
        <f t="shared" si="114"/>
        <v>0</v>
      </c>
      <c r="BO198" s="4">
        <f t="shared" si="115"/>
        <v>0</v>
      </c>
      <c r="BP198" s="4">
        <f t="shared" si="116"/>
        <v>0</v>
      </c>
      <c r="BQ198" s="4">
        <f t="shared" si="117"/>
        <v>0</v>
      </c>
      <c r="BR198" s="4">
        <f t="shared" si="118"/>
        <v>0</v>
      </c>
      <c r="BS198" s="4">
        <f t="shared" si="119"/>
        <v>0</v>
      </c>
      <c r="BT198" s="4">
        <f t="shared" si="120"/>
        <v>0</v>
      </c>
      <c r="BU198" s="4">
        <f t="shared" si="121"/>
        <v>0</v>
      </c>
      <c r="BV198" s="4">
        <f t="shared" si="122"/>
        <v>0</v>
      </c>
      <c r="BW198" s="4">
        <f t="shared" si="123"/>
        <v>0</v>
      </c>
      <c r="BX198" s="4">
        <f t="shared" si="124"/>
        <v>0</v>
      </c>
      <c r="BY198" s="4">
        <f t="shared" si="125"/>
        <v>0</v>
      </c>
      <c r="BZ198" s="4">
        <f t="shared" si="126"/>
        <v>0</v>
      </c>
      <c r="CA198" s="4">
        <f t="shared" si="127"/>
        <v>0</v>
      </c>
      <c r="CB198" s="4">
        <f t="shared" si="128"/>
        <v>0</v>
      </c>
      <c r="CC198" s="4">
        <f t="shared" si="129"/>
        <v>0</v>
      </c>
      <c r="CD198" s="4">
        <f t="shared" si="130"/>
        <v>0</v>
      </c>
      <c r="CE198" s="4">
        <f t="shared" si="131"/>
        <v>0</v>
      </c>
      <c r="CF198" s="4">
        <f t="shared" si="132"/>
        <v>0</v>
      </c>
      <c r="CG198" s="4">
        <f t="shared" si="133"/>
        <v>0</v>
      </c>
      <c r="CH198" s="4">
        <f t="shared" si="134"/>
        <v>0</v>
      </c>
      <c r="CI198" s="4">
        <f t="shared" si="135"/>
        <v>0</v>
      </c>
      <c r="CJ198" s="4">
        <f t="shared" si="136"/>
        <v>0</v>
      </c>
      <c r="CK198" s="4">
        <f t="shared" si="137"/>
        <v>0</v>
      </c>
      <c r="CL198" s="4">
        <f t="shared" si="138"/>
        <v>0</v>
      </c>
      <c r="CM198" s="4">
        <f t="shared" si="139"/>
        <v>0</v>
      </c>
      <c r="CN198" s="4">
        <f t="shared" si="140"/>
        <v>0</v>
      </c>
      <c r="CO198" s="4">
        <f t="shared" si="141"/>
        <v>0</v>
      </c>
      <c r="CP198" s="4">
        <f t="shared" si="142"/>
        <v>0</v>
      </c>
      <c r="CQ198" s="4">
        <f t="shared" si="143"/>
        <v>0</v>
      </c>
      <c r="CR198" s="4">
        <f t="shared" si="144"/>
        <v>0</v>
      </c>
      <c r="CS198" s="4">
        <f t="shared" si="145"/>
        <v>0</v>
      </c>
      <c r="CT198" s="4">
        <f t="shared" si="146"/>
        <v>0</v>
      </c>
      <c r="CU198" s="4">
        <f t="shared" si="147"/>
        <v>0</v>
      </c>
      <c r="CV198" s="4">
        <f t="shared" si="148"/>
        <v>0</v>
      </c>
      <c r="CW198" s="4">
        <f t="shared" si="149"/>
        <v>0</v>
      </c>
      <c r="CX198" s="4">
        <f t="shared" si="150"/>
        <v>0</v>
      </c>
      <c r="CY198" s="4">
        <f t="shared" si="151"/>
        <v>0</v>
      </c>
      <c r="CZ198" s="4">
        <f t="shared" si="152"/>
        <v>0</v>
      </c>
      <c r="DA198" s="4">
        <f t="shared" si="153"/>
        <v>0</v>
      </c>
      <c r="DB198" s="4">
        <f t="shared" si="154"/>
        <v>0</v>
      </c>
      <c r="DC198" s="4">
        <f t="shared" si="155"/>
        <v>0</v>
      </c>
      <c r="DD198" s="4">
        <f t="shared" si="156"/>
        <v>0</v>
      </c>
    </row>
    <row r="199" spans="1:108" x14ac:dyDescent="0.25">
      <c r="A199" s="41" t="str">
        <f>Skills!M181</f>
        <v>Medical Chemical Engineering</v>
      </c>
      <c r="B199" s="57" t="str">
        <f>Skills!N181</f>
        <v>Medical Chemical Engineering</v>
      </c>
      <c r="C199" s="24">
        <f t="shared" si="157"/>
        <v>0</v>
      </c>
      <c r="D199" s="110">
        <f>Skills!S181</f>
        <v>0</v>
      </c>
      <c r="E199" s="111" t="e">
        <f>Profession!B102</f>
        <v>#REF!</v>
      </c>
      <c r="F199" s="18"/>
      <c r="G199" s="18"/>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49"/>
      <c r="BF199" s="4">
        <f t="shared" si="107"/>
        <v>0</v>
      </c>
      <c r="BG199" s="4">
        <f t="shared" si="107"/>
        <v>0</v>
      </c>
      <c r="BH199" s="4">
        <f t="shared" si="108"/>
        <v>0</v>
      </c>
      <c r="BI199" s="4">
        <f t="shared" si="109"/>
        <v>0</v>
      </c>
      <c r="BJ199" s="4">
        <f t="shared" si="110"/>
        <v>0</v>
      </c>
      <c r="BK199" s="4">
        <f t="shared" si="111"/>
        <v>0</v>
      </c>
      <c r="BL199" s="4">
        <f t="shared" si="112"/>
        <v>0</v>
      </c>
      <c r="BM199" s="4">
        <f t="shared" si="113"/>
        <v>0</v>
      </c>
      <c r="BN199" s="4">
        <f t="shared" si="114"/>
        <v>0</v>
      </c>
      <c r="BO199" s="4">
        <f t="shared" si="115"/>
        <v>0</v>
      </c>
      <c r="BP199" s="4">
        <f t="shared" si="116"/>
        <v>0</v>
      </c>
      <c r="BQ199" s="4">
        <f t="shared" si="117"/>
        <v>0</v>
      </c>
      <c r="BR199" s="4">
        <f t="shared" si="118"/>
        <v>0</v>
      </c>
      <c r="BS199" s="4">
        <f t="shared" si="119"/>
        <v>0</v>
      </c>
      <c r="BT199" s="4">
        <f t="shared" si="120"/>
        <v>0</v>
      </c>
      <c r="BU199" s="4">
        <f t="shared" si="121"/>
        <v>0</v>
      </c>
      <c r="BV199" s="4">
        <f t="shared" si="122"/>
        <v>0</v>
      </c>
      <c r="BW199" s="4">
        <f t="shared" si="123"/>
        <v>0</v>
      </c>
      <c r="BX199" s="4">
        <f t="shared" si="124"/>
        <v>0</v>
      </c>
      <c r="BY199" s="4">
        <f t="shared" si="125"/>
        <v>0</v>
      </c>
      <c r="BZ199" s="4">
        <f t="shared" si="126"/>
        <v>0</v>
      </c>
      <c r="CA199" s="4">
        <f t="shared" si="127"/>
        <v>0</v>
      </c>
      <c r="CB199" s="4">
        <f t="shared" si="128"/>
        <v>0</v>
      </c>
      <c r="CC199" s="4">
        <f t="shared" si="129"/>
        <v>0</v>
      </c>
      <c r="CD199" s="4">
        <f t="shared" si="130"/>
        <v>0</v>
      </c>
      <c r="CE199" s="4">
        <f t="shared" si="131"/>
        <v>0</v>
      </c>
      <c r="CF199" s="4">
        <f t="shared" si="132"/>
        <v>0</v>
      </c>
      <c r="CG199" s="4">
        <f t="shared" si="133"/>
        <v>0</v>
      </c>
      <c r="CH199" s="4">
        <f t="shared" si="134"/>
        <v>0</v>
      </c>
      <c r="CI199" s="4">
        <f t="shared" si="135"/>
        <v>0</v>
      </c>
      <c r="CJ199" s="4">
        <f t="shared" si="136"/>
        <v>0</v>
      </c>
      <c r="CK199" s="4">
        <f t="shared" si="137"/>
        <v>0</v>
      </c>
      <c r="CL199" s="4">
        <f t="shared" si="138"/>
        <v>0</v>
      </c>
      <c r="CM199" s="4">
        <f t="shared" si="139"/>
        <v>0</v>
      </c>
      <c r="CN199" s="4">
        <f t="shared" si="140"/>
        <v>0</v>
      </c>
      <c r="CO199" s="4">
        <f t="shared" si="141"/>
        <v>0</v>
      </c>
      <c r="CP199" s="4">
        <f t="shared" si="142"/>
        <v>0</v>
      </c>
      <c r="CQ199" s="4">
        <f t="shared" si="143"/>
        <v>0</v>
      </c>
      <c r="CR199" s="4">
        <f t="shared" si="144"/>
        <v>0</v>
      </c>
      <c r="CS199" s="4">
        <f t="shared" si="145"/>
        <v>0</v>
      </c>
      <c r="CT199" s="4">
        <f t="shared" si="146"/>
        <v>0</v>
      </c>
      <c r="CU199" s="4">
        <f t="shared" si="147"/>
        <v>0</v>
      </c>
      <c r="CV199" s="4">
        <f t="shared" si="148"/>
        <v>0</v>
      </c>
      <c r="CW199" s="4">
        <f t="shared" si="149"/>
        <v>0</v>
      </c>
      <c r="CX199" s="4">
        <f t="shared" si="150"/>
        <v>0</v>
      </c>
      <c r="CY199" s="4">
        <f t="shared" si="151"/>
        <v>0</v>
      </c>
      <c r="CZ199" s="4">
        <f t="shared" si="152"/>
        <v>0</v>
      </c>
      <c r="DA199" s="4">
        <f t="shared" si="153"/>
        <v>0</v>
      </c>
      <c r="DB199" s="4">
        <f t="shared" si="154"/>
        <v>0</v>
      </c>
      <c r="DC199" s="4">
        <f t="shared" si="155"/>
        <v>0</v>
      </c>
      <c r="DD199" s="4">
        <f t="shared" si="156"/>
        <v>0</v>
      </c>
    </row>
    <row r="200" spans="1:108" x14ac:dyDescent="0.25">
      <c r="A200" s="41" t="str">
        <f>Skills!M182</f>
        <v>Sanitation Engineering</v>
      </c>
      <c r="B200" s="55" t="str">
        <f>Skills!N182</f>
        <v>Sanitation Engineering</v>
      </c>
      <c r="C200" s="22">
        <f t="shared" si="157"/>
        <v>0</v>
      </c>
      <c r="D200" s="112">
        <f>Skills!S182</f>
        <v>0</v>
      </c>
      <c r="E200" s="113" t="e">
        <f>Profession!B103</f>
        <v>#REF!</v>
      </c>
      <c r="F200" s="19"/>
      <c r="G200" s="19"/>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56"/>
      <c r="BF200" s="4">
        <f t="shared" si="107"/>
        <v>0</v>
      </c>
      <c r="BG200" s="4">
        <f t="shared" si="107"/>
        <v>0</v>
      </c>
      <c r="BH200" s="4">
        <f t="shared" si="108"/>
        <v>0</v>
      </c>
      <c r="BI200" s="4">
        <f t="shared" si="109"/>
        <v>0</v>
      </c>
      <c r="BJ200" s="4">
        <f t="shared" si="110"/>
        <v>0</v>
      </c>
      <c r="BK200" s="4">
        <f t="shared" si="111"/>
        <v>0</v>
      </c>
      <c r="BL200" s="4">
        <f t="shared" si="112"/>
        <v>0</v>
      </c>
      <c r="BM200" s="4">
        <f t="shared" si="113"/>
        <v>0</v>
      </c>
      <c r="BN200" s="4">
        <f t="shared" si="114"/>
        <v>0</v>
      </c>
      <c r="BO200" s="4">
        <f t="shared" si="115"/>
        <v>0</v>
      </c>
      <c r="BP200" s="4">
        <f t="shared" si="116"/>
        <v>0</v>
      </c>
      <c r="BQ200" s="4">
        <f t="shared" si="117"/>
        <v>0</v>
      </c>
      <c r="BR200" s="4">
        <f t="shared" si="118"/>
        <v>0</v>
      </c>
      <c r="BS200" s="4">
        <f t="shared" si="119"/>
        <v>0</v>
      </c>
      <c r="BT200" s="4">
        <f t="shared" si="120"/>
        <v>0</v>
      </c>
      <c r="BU200" s="4">
        <f t="shared" si="121"/>
        <v>0</v>
      </c>
      <c r="BV200" s="4">
        <f t="shared" si="122"/>
        <v>0</v>
      </c>
      <c r="BW200" s="4">
        <f t="shared" si="123"/>
        <v>0</v>
      </c>
      <c r="BX200" s="4">
        <f t="shared" si="124"/>
        <v>0</v>
      </c>
      <c r="BY200" s="4">
        <f t="shared" si="125"/>
        <v>0</v>
      </c>
      <c r="BZ200" s="4">
        <f t="shared" si="126"/>
        <v>0</v>
      </c>
      <c r="CA200" s="4">
        <f t="shared" si="127"/>
        <v>0</v>
      </c>
      <c r="CB200" s="4">
        <f t="shared" si="128"/>
        <v>0</v>
      </c>
      <c r="CC200" s="4">
        <f t="shared" si="129"/>
        <v>0</v>
      </c>
      <c r="CD200" s="4">
        <f t="shared" si="130"/>
        <v>0</v>
      </c>
      <c r="CE200" s="4">
        <f t="shared" si="131"/>
        <v>0</v>
      </c>
      <c r="CF200" s="4">
        <f t="shared" si="132"/>
        <v>0</v>
      </c>
      <c r="CG200" s="4">
        <f t="shared" si="133"/>
        <v>0</v>
      </c>
      <c r="CH200" s="4">
        <f t="shared" si="134"/>
        <v>0</v>
      </c>
      <c r="CI200" s="4">
        <f t="shared" si="135"/>
        <v>0</v>
      </c>
      <c r="CJ200" s="4">
        <f t="shared" si="136"/>
        <v>0</v>
      </c>
      <c r="CK200" s="4">
        <f t="shared" si="137"/>
        <v>0</v>
      </c>
      <c r="CL200" s="4">
        <f t="shared" si="138"/>
        <v>0</v>
      </c>
      <c r="CM200" s="4">
        <f t="shared" si="139"/>
        <v>0</v>
      </c>
      <c r="CN200" s="4">
        <f t="shared" si="140"/>
        <v>0</v>
      </c>
      <c r="CO200" s="4">
        <f t="shared" si="141"/>
        <v>0</v>
      </c>
      <c r="CP200" s="4">
        <f t="shared" si="142"/>
        <v>0</v>
      </c>
      <c r="CQ200" s="4">
        <f t="shared" si="143"/>
        <v>0</v>
      </c>
      <c r="CR200" s="4">
        <f t="shared" si="144"/>
        <v>0</v>
      </c>
      <c r="CS200" s="4">
        <f t="shared" si="145"/>
        <v>0</v>
      </c>
      <c r="CT200" s="4">
        <f t="shared" si="146"/>
        <v>0</v>
      </c>
      <c r="CU200" s="4">
        <f t="shared" si="147"/>
        <v>0</v>
      </c>
      <c r="CV200" s="4">
        <f t="shared" si="148"/>
        <v>0</v>
      </c>
      <c r="CW200" s="4">
        <f t="shared" si="149"/>
        <v>0</v>
      </c>
      <c r="CX200" s="4">
        <f t="shared" si="150"/>
        <v>0</v>
      </c>
      <c r="CY200" s="4">
        <f t="shared" si="151"/>
        <v>0</v>
      </c>
      <c r="CZ200" s="4">
        <f t="shared" si="152"/>
        <v>0</v>
      </c>
      <c r="DA200" s="4">
        <f t="shared" si="153"/>
        <v>0</v>
      </c>
      <c r="DB200" s="4">
        <f t="shared" si="154"/>
        <v>0</v>
      </c>
      <c r="DC200" s="4">
        <f t="shared" si="155"/>
        <v>0</v>
      </c>
      <c r="DD200" s="4">
        <f t="shared" si="156"/>
        <v>0</v>
      </c>
    </row>
    <row r="201" spans="1:108" x14ac:dyDescent="0.25">
      <c r="A201" s="41" t="str">
        <f>Skills!M183</f>
        <v>Siege Engineering</v>
      </c>
      <c r="B201" s="57" t="str">
        <f>Skills!N183</f>
        <v>Siege Engineering</v>
      </c>
      <c r="C201" s="24">
        <f t="shared" si="157"/>
        <v>0</v>
      </c>
      <c r="D201" s="110">
        <f>Skills!S183</f>
        <v>0</v>
      </c>
      <c r="E201" s="111" t="e">
        <f>Profession!B104</f>
        <v>#REF!</v>
      </c>
      <c r="F201" s="18"/>
      <c r="G201" s="18"/>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49"/>
      <c r="BF201" s="4">
        <f t="shared" si="107"/>
        <v>0</v>
      </c>
      <c r="BG201" s="4">
        <f t="shared" si="107"/>
        <v>0</v>
      </c>
      <c r="BH201" s="4">
        <f t="shared" si="108"/>
        <v>0</v>
      </c>
      <c r="BI201" s="4">
        <f t="shared" si="109"/>
        <v>0</v>
      </c>
      <c r="BJ201" s="4">
        <f t="shared" si="110"/>
        <v>0</v>
      </c>
      <c r="BK201" s="4">
        <f t="shared" si="111"/>
        <v>0</v>
      </c>
      <c r="BL201" s="4">
        <f t="shared" si="112"/>
        <v>0</v>
      </c>
      <c r="BM201" s="4">
        <f t="shared" si="113"/>
        <v>0</v>
      </c>
      <c r="BN201" s="4">
        <f t="shared" si="114"/>
        <v>0</v>
      </c>
      <c r="BO201" s="4">
        <f t="shared" si="115"/>
        <v>0</v>
      </c>
      <c r="BP201" s="4">
        <f t="shared" si="116"/>
        <v>0</v>
      </c>
      <c r="BQ201" s="4">
        <f t="shared" si="117"/>
        <v>0</v>
      </c>
      <c r="BR201" s="4">
        <f t="shared" si="118"/>
        <v>0</v>
      </c>
      <c r="BS201" s="4">
        <f t="shared" si="119"/>
        <v>0</v>
      </c>
      <c r="BT201" s="4">
        <f t="shared" si="120"/>
        <v>0</v>
      </c>
      <c r="BU201" s="4">
        <f t="shared" si="121"/>
        <v>0</v>
      </c>
      <c r="BV201" s="4">
        <f t="shared" si="122"/>
        <v>0</v>
      </c>
      <c r="BW201" s="4">
        <f t="shared" si="123"/>
        <v>0</v>
      </c>
      <c r="BX201" s="4">
        <f t="shared" si="124"/>
        <v>0</v>
      </c>
      <c r="BY201" s="4">
        <f t="shared" si="125"/>
        <v>0</v>
      </c>
      <c r="BZ201" s="4">
        <f t="shared" si="126"/>
        <v>0</v>
      </c>
      <c r="CA201" s="4">
        <f t="shared" si="127"/>
        <v>0</v>
      </c>
      <c r="CB201" s="4">
        <f t="shared" si="128"/>
        <v>0</v>
      </c>
      <c r="CC201" s="4">
        <f t="shared" si="129"/>
        <v>0</v>
      </c>
      <c r="CD201" s="4">
        <f t="shared" si="130"/>
        <v>0</v>
      </c>
      <c r="CE201" s="4">
        <f t="shared" si="131"/>
        <v>0</v>
      </c>
      <c r="CF201" s="4">
        <f t="shared" si="132"/>
        <v>0</v>
      </c>
      <c r="CG201" s="4">
        <f t="shared" si="133"/>
        <v>0</v>
      </c>
      <c r="CH201" s="4">
        <f t="shared" si="134"/>
        <v>0</v>
      </c>
      <c r="CI201" s="4">
        <f t="shared" si="135"/>
        <v>0</v>
      </c>
      <c r="CJ201" s="4">
        <f t="shared" si="136"/>
        <v>0</v>
      </c>
      <c r="CK201" s="4">
        <f t="shared" si="137"/>
        <v>0</v>
      </c>
      <c r="CL201" s="4">
        <f t="shared" si="138"/>
        <v>0</v>
      </c>
      <c r="CM201" s="4">
        <f t="shared" si="139"/>
        <v>0</v>
      </c>
      <c r="CN201" s="4">
        <f t="shared" si="140"/>
        <v>0</v>
      </c>
      <c r="CO201" s="4">
        <f t="shared" si="141"/>
        <v>0</v>
      </c>
      <c r="CP201" s="4">
        <f t="shared" si="142"/>
        <v>0</v>
      </c>
      <c r="CQ201" s="4">
        <f t="shared" si="143"/>
        <v>0</v>
      </c>
      <c r="CR201" s="4">
        <f t="shared" si="144"/>
        <v>0</v>
      </c>
      <c r="CS201" s="4">
        <f t="shared" si="145"/>
        <v>0</v>
      </c>
      <c r="CT201" s="4">
        <f t="shared" si="146"/>
        <v>0</v>
      </c>
      <c r="CU201" s="4">
        <f t="shared" si="147"/>
        <v>0</v>
      </c>
      <c r="CV201" s="4">
        <f t="shared" si="148"/>
        <v>0</v>
      </c>
      <c r="CW201" s="4">
        <f t="shared" si="149"/>
        <v>0</v>
      </c>
      <c r="CX201" s="4">
        <f t="shared" si="150"/>
        <v>0</v>
      </c>
      <c r="CY201" s="4">
        <f t="shared" si="151"/>
        <v>0</v>
      </c>
      <c r="CZ201" s="4">
        <f t="shared" si="152"/>
        <v>0</v>
      </c>
      <c r="DA201" s="4">
        <f t="shared" si="153"/>
        <v>0</v>
      </c>
      <c r="DB201" s="4">
        <f t="shared" si="154"/>
        <v>0</v>
      </c>
      <c r="DC201" s="4">
        <f t="shared" si="155"/>
        <v>0</v>
      </c>
      <c r="DD201" s="4">
        <f t="shared" si="156"/>
        <v>0</v>
      </c>
    </row>
    <row r="202" spans="1:108" x14ac:dyDescent="0.25">
      <c r="A202" s="41">
        <f>Skills!M184</f>
        <v>0</v>
      </c>
      <c r="B202" s="55" t="str">
        <f>Skills!N184</f>
        <v>Mechanical Engineering Sub-category</v>
      </c>
      <c r="C202" s="22">
        <f t="shared" si="157"/>
        <v>0</v>
      </c>
      <c r="D202" s="112" t="str">
        <f>Skills!S184</f>
        <v>- -</v>
      </c>
      <c r="E202" s="113" t="s">
        <v>782</v>
      </c>
      <c r="F202" s="19"/>
      <c r="G202" s="19"/>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56"/>
      <c r="BF202" s="4">
        <f t="shared" si="107"/>
        <v>0</v>
      </c>
      <c r="BG202" s="4">
        <f t="shared" si="107"/>
        <v>0</v>
      </c>
      <c r="BH202" s="4">
        <f t="shared" si="108"/>
        <v>0</v>
      </c>
      <c r="BI202" s="4">
        <f t="shared" si="109"/>
        <v>0</v>
      </c>
      <c r="BJ202" s="4">
        <f t="shared" si="110"/>
        <v>0</v>
      </c>
      <c r="BK202" s="4">
        <f t="shared" si="111"/>
        <v>0</v>
      </c>
      <c r="BL202" s="4">
        <f t="shared" si="112"/>
        <v>0</v>
      </c>
      <c r="BM202" s="4">
        <f t="shared" si="113"/>
        <v>0</v>
      </c>
      <c r="BN202" s="4">
        <f t="shared" si="114"/>
        <v>0</v>
      </c>
      <c r="BO202" s="4">
        <f t="shared" si="115"/>
        <v>0</v>
      </c>
      <c r="BP202" s="4">
        <f t="shared" si="116"/>
        <v>0</v>
      </c>
      <c r="BQ202" s="4">
        <f t="shared" si="117"/>
        <v>0</v>
      </c>
      <c r="BR202" s="4">
        <f t="shared" si="118"/>
        <v>0</v>
      </c>
      <c r="BS202" s="4">
        <f t="shared" si="119"/>
        <v>0</v>
      </c>
      <c r="BT202" s="4">
        <f t="shared" si="120"/>
        <v>0</v>
      </c>
      <c r="BU202" s="4">
        <f t="shared" si="121"/>
        <v>0</v>
      </c>
      <c r="BV202" s="4">
        <f t="shared" si="122"/>
        <v>0</v>
      </c>
      <c r="BW202" s="4">
        <f t="shared" si="123"/>
        <v>0</v>
      </c>
      <c r="BX202" s="4">
        <f t="shared" si="124"/>
        <v>0</v>
      </c>
      <c r="BY202" s="4">
        <f t="shared" si="125"/>
        <v>0</v>
      </c>
      <c r="BZ202" s="4">
        <f t="shared" si="126"/>
        <v>0</v>
      </c>
      <c r="CA202" s="4">
        <f t="shared" si="127"/>
        <v>0</v>
      </c>
      <c r="CB202" s="4">
        <f t="shared" si="128"/>
        <v>0</v>
      </c>
      <c r="CC202" s="4">
        <f t="shared" si="129"/>
        <v>0</v>
      </c>
      <c r="CD202" s="4">
        <f t="shared" si="130"/>
        <v>0</v>
      </c>
      <c r="CE202" s="4">
        <f t="shared" si="131"/>
        <v>0</v>
      </c>
      <c r="CF202" s="4">
        <f t="shared" si="132"/>
        <v>0</v>
      </c>
      <c r="CG202" s="4">
        <f t="shared" si="133"/>
        <v>0</v>
      </c>
      <c r="CH202" s="4">
        <f t="shared" si="134"/>
        <v>0</v>
      </c>
      <c r="CI202" s="4">
        <f t="shared" si="135"/>
        <v>0</v>
      </c>
      <c r="CJ202" s="4">
        <f t="shared" si="136"/>
        <v>0</v>
      </c>
      <c r="CK202" s="4">
        <f t="shared" si="137"/>
        <v>0</v>
      </c>
      <c r="CL202" s="4">
        <f t="shared" si="138"/>
        <v>0</v>
      </c>
      <c r="CM202" s="4">
        <f t="shared" si="139"/>
        <v>0</v>
      </c>
      <c r="CN202" s="4">
        <f t="shared" si="140"/>
        <v>0</v>
      </c>
      <c r="CO202" s="4">
        <f t="shared" si="141"/>
        <v>0</v>
      </c>
      <c r="CP202" s="4">
        <f t="shared" si="142"/>
        <v>0</v>
      </c>
      <c r="CQ202" s="4">
        <f t="shared" si="143"/>
        <v>0</v>
      </c>
      <c r="CR202" s="4">
        <f t="shared" si="144"/>
        <v>0</v>
      </c>
      <c r="CS202" s="4">
        <f t="shared" si="145"/>
        <v>0</v>
      </c>
      <c r="CT202" s="4">
        <f t="shared" si="146"/>
        <v>0</v>
      </c>
      <c r="CU202" s="4">
        <f t="shared" si="147"/>
        <v>0</v>
      </c>
      <c r="CV202" s="4">
        <f t="shared" si="148"/>
        <v>0</v>
      </c>
      <c r="CW202" s="4">
        <f t="shared" si="149"/>
        <v>0</v>
      </c>
      <c r="CX202" s="4">
        <f t="shared" si="150"/>
        <v>0</v>
      </c>
      <c r="CY202" s="4">
        <f t="shared" si="151"/>
        <v>0</v>
      </c>
      <c r="CZ202" s="4">
        <f t="shared" si="152"/>
        <v>0</v>
      </c>
      <c r="DA202" s="4">
        <f t="shared" si="153"/>
        <v>0</v>
      </c>
      <c r="DB202" s="4">
        <f t="shared" si="154"/>
        <v>0</v>
      </c>
      <c r="DC202" s="4">
        <f t="shared" si="155"/>
        <v>0</v>
      </c>
      <c r="DD202" s="4">
        <f t="shared" si="156"/>
        <v>0</v>
      </c>
    </row>
    <row r="203" spans="1:108" x14ac:dyDescent="0.25">
      <c r="A203" s="41">
        <f>Skills!M185</f>
        <v>0</v>
      </c>
      <c r="B203" s="57" t="str">
        <f>Skills!N185</f>
        <v>Mechanical Engineering Skills</v>
      </c>
      <c r="C203" s="24">
        <f t="shared" si="157"/>
        <v>0</v>
      </c>
      <c r="D203" s="110" t="str">
        <f>Skills!S185</f>
        <v>- -</v>
      </c>
      <c r="E203" s="111" t="s">
        <v>782</v>
      </c>
      <c r="F203" s="18"/>
      <c r="G203" s="18"/>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49"/>
      <c r="BF203" s="4">
        <f t="shared" si="107"/>
        <v>0</v>
      </c>
      <c r="BG203" s="4">
        <f t="shared" si="107"/>
        <v>0</v>
      </c>
      <c r="BH203" s="4">
        <f t="shared" si="108"/>
        <v>0</v>
      </c>
      <c r="BI203" s="4">
        <f t="shared" si="109"/>
        <v>0</v>
      </c>
      <c r="BJ203" s="4">
        <f t="shared" si="110"/>
        <v>0</v>
      </c>
      <c r="BK203" s="4">
        <f t="shared" si="111"/>
        <v>0</v>
      </c>
      <c r="BL203" s="4">
        <f t="shared" si="112"/>
        <v>0</v>
      </c>
      <c r="BM203" s="4">
        <f t="shared" si="113"/>
        <v>0</v>
      </c>
      <c r="BN203" s="4">
        <f t="shared" si="114"/>
        <v>0</v>
      </c>
      <c r="BO203" s="4">
        <f t="shared" si="115"/>
        <v>0</v>
      </c>
      <c r="BP203" s="4">
        <f t="shared" si="116"/>
        <v>0</v>
      </c>
      <c r="BQ203" s="4">
        <f t="shared" si="117"/>
        <v>0</v>
      </c>
      <c r="BR203" s="4">
        <f t="shared" si="118"/>
        <v>0</v>
      </c>
      <c r="BS203" s="4">
        <f t="shared" si="119"/>
        <v>0</v>
      </c>
      <c r="BT203" s="4">
        <f t="shared" si="120"/>
        <v>0</v>
      </c>
      <c r="BU203" s="4">
        <f t="shared" si="121"/>
        <v>0</v>
      </c>
      <c r="BV203" s="4">
        <f t="shared" si="122"/>
        <v>0</v>
      </c>
      <c r="BW203" s="4">
        <f t="shared" si="123"/>
        <v>0</v>
      </c>
      <c r="BX203" s="4">
        <f t="shared" si="124"/>
        <v>0</v>
      </c>
      <c r="BY203" s="4">
        <f t="shared" si="125"/>
        <v>0</v>
      </c>
      <c r="BZ203" s="4">
        <f t="shared" si="126"/>
        <v>0</v>
      </c>
      <c r="CA203" s="4">
        <f t="shared" si="127"/>
        <v>0</v>
      </c>
      <c r="CB203" s="4">
        <f t="shared" si="128"/>
        <v>0</v>
      </c>
      <c r="CC203" s="4">
        <f t="shared" si="129"/>
        <v>0</v>
      </c>
      <c r="CD203" s="4">
        <f t="shared" si="130"/>
        <v>0</v>
      </c>
      <c r="CE203" s="4">
        <f t="shared" si="131"/>
        <v>0</v>
      </c>
      <c r="CF203" s="4">
        <f t="shared" si="132"/>
        <v>0</v>
      </c>
      <c r="CG203" s="4">
        <f t="shared" si="133"/>
        <v>0</v>
      </c>
      <c r="CH203" s="4">
        <f t="shared" si="134"/>
        <v>0</v>
      </c>
      <c r="CI203" s="4">
        <f t="shared" si="135"/>
        <v>0</v>
      </c>
      <c r="CJ203" s="4">
        <f t="shared" si="136"/>
        <v>0</v>
      </c>
      <c r="CK203" s="4">
        <f t="shared" si="137"/>
        <v>0</v>
      </c>
      <c r="CL203" s="4">
        <f t="shared" si="138"/>
        <v>0</v>
      </c>
      <c r="CM203" s="4">
        <f t="shared" si="139"/>
        <v>0</v>
      </c>
      <c r="CN203" s="4">
        <f t="shared" si="140"/>
        <v>0</v>
      </c>
      <c r="CO203" s="4">
        <f t="shared" si="141"/>
        <v>0</v>
      </c>
      <c r="CP203" s="4">
        <f t="shared" si="142"/>
        <v>0</v>
      </c>
      <c r="CQ203" s="4">
        <f t="shared" si="143"/>
        <v>0</v>
      </c>
      <c r="CR203" s="4">
        <f t="shared" si="144"/>
        <v>0</v>
      </c>
      <c r="CS203" s="4">
        <f t="shared" si="145"/>
        <v>0</v>
      </c>
      <c r="CT203" s="4">
        <f t="shared" si="146"/>
        <v>0</v>
      </c>
      <c r="CU203" s="4">
        <f t="shared" si="147"/>
        <v>0</v>
      </c>
      <c r="CV203" s="4">
        <f t="shared" si="148"/>
        <v>0</v>
      </c>
      <c r="CW203" s="4">
        <f t="shared" si="149"/>
        <v>0</v>
      </c>
      <c r="CX203" s="4">
        <f t="shared" si="150"/>
        <v>0</v>
      </c>
      <c r="CY203" s="4">
        <f t="shared" si="151"/>
        <v>0</v>
      </c>
      <c r="CZ203" s="4">
        <f t="shared" si="152"/>
        <v>0</v>
      </c>
      <c r="DA203" s="4">
        <f t="shared" si="153"/>
        <v>0</v>
      </c>
      <c r="DB203" s="4">
        <f t="shared" si="154"/>
        <v>0</v>
      </c>
      <c r="DC203" s="4">
        <f t="shared" si="155"/>
        <v>0</v>
      </c>
      <c r="DD203" s="4">
        <f t="shared" si="156"/>
        <v>0</v>
      </c>
    </row>
    <row r="204" spans="1:108" x14ac:dyDescent="0.25">
      <c r="A204" s="41" t="str">
        <f>Skills!M186</f>
        <v>Aircraft Engineering</v>
      </c>
      <c r="B204" s="55" t="str">
        <f>Skills!N186</f>
        <v>Aircraft Engineering</v>
      </c>
      <c r="C204" s="22">
        <f t="shared" si="157"/>
        <v>0</v>
      </c>
      <c r="D204" s="112" t="e">
        <f>Skills!S186</f>
        <v>#N/A</v>
      </c>
      <c r="E204" s="113" t="e">
        <f>Profession!$B$105</f>
        <v>#REF!</v>
      </c>
      <c r="F204" s="19"/>
      <c r="G204" s="19"/>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56"/>
      <c r="BF204" s="4">
        <f t="shared" si="107"/>
        <v>0</v>
      </c>
      <c r="BG204" s="4">
        <f t="shared" si="107"/>
        <v>0</v>
      </c>
      <c r="BH204" s="4">
        <f t="shared" si="108"/>
        <v>0</v>
      </c>
      <c r="BI204" s="4">
        <f t="shared" si="109"/>
        <v>0</v>
      </c>
      <c r="BJ204" s="4">
        <f t="shared" si="110"/>
        <v>0</v>
      </c>
      <c r="BK204" s="4">
        <f t="shared" si="111"/>
        <v>0</v>
      </c>
      <c r="BL204" s="4">
        <f t="shared" si="112"/>
        <v>0</v>
      </c>
      <c r="BM204" s="4">
        <f t="shared" si="113"/>
        <v>0</v>
      </c>
      <c r="BN204" s="4">
        <f t="shared" si="114"/>
        <v>0</v>
      </c>
      <c r="BO204" s="4">
        <f t="shared" si="115"/>
        <v>0</v>
      </c>
      <c r="BP204" s="4">
        <f t="shared" si="116"/>
        <v>0</v>
      </c>
      <c r="BQ204" s="4">
        <f t="shared" si="117"/>
        <v>0</v>
      </c>
      <c r="BR204" s="4">
        <f t="shared" si="118"/>
        <v>0</v>
      </c>
      <c r="BS204" s="4">
        <f t="shared" si="119"/>
        <v>0</v>
      </c>
      <c r="BT204" s="4">
        <f t="shared" si="120"/>
        <v>0</v>
      </c>
      <c r="BU204" s="4">
        <f t="shared" si="121"/>
        <v>0</v>
      </c>
      <c r="BV204" s="4">
        <f t="shared" si="122"/>
        <v>0</v>
      </c>
      <c r="BW204" s="4">
        <f t="shared" si="123"/>
        <v>0</v>
      </c>
      <c r="BX204" s="4">
        <f t="shared" si="124"/>
        <v>0</v>
      </c>
      <c r="BY204" s="4">
        <f t="shared" si="125"/>
        <v>0</v>
      </c>
      <c r="BZ204" s="4">
        <f t="shared" si="126"/>
        <v>0</v>
      </c>
      <c r="CA204" s="4">
        <f t="shared" si="127"/>
        <v>0</v>
      </c>
      <c r="CB204" s="4">
        <f t="shared" si="128"/>
        <v>0</v>
      </c>
      <c r="CC204" s="4">
        <f t="shared" si="129"/>
        <v>0</v>
      </c>
      <c r="CD204" s="4">
        <f t="shared" si="130"/>
        <v>0</v>
      </c>
      <c r="CE204" s="4">
        <f t="shared" si="131"/>
        <v>0</v>
      </c>
      <c r="CF204" s="4">
        <f t="shared" si="132"/>
        <v>0</v>
      </c>
      <c r="CG204" s="4">
        <f t="shared" si="133"/>
        <v>0</v>
      </c>
      <c r="CH204" s="4">
        <f t="shared" si="134"/>
        <v>0</v>
      </c>
      <c r="CI204" s="4">
        <f t="shared" si="135"/>
        <v>0</v>
      </c>
      <c r="CJ204" s="4">
        <f t="shared" si="136"/>
        <v>0</v>
      </c>
      <c r="CK204" s="4">
        <f t="shared" si="137"/>
        <v>0</v>
      </c>
      <c r="CL204" s="4">
        <f t="shared" si="138"/>
        <v>0</v>
      </c>
      <c r="CM204" s="4">
        <f t="shared" si="139"/>
        <v>0</v>
      </c>
      <c r="CN204" s="4">
        <f t="shared" si="140"/>
        <v>0</v>
      </c>
      <c r="CO204" s="4">
        <f t="shared" si="141"/>
        <v>0</v>
      </c>
      <c r="CP204" s="4">
        <f t="shared" si="142"/>
        <v>0</v>
      </c>
      <c r="CQ204" s="4">
        <f t="shared" si="143"/>
        <v>0</v>
      </c>
      <c r="CR204" s="4">
        <f t="shared" si="144"/>
        <v>0</v>
      </c>
      <c r="CS204" s="4">
        <f t="shared" si="145"/>
        <v>0</v>
      </c>
      <c r="CT204" s="4">
        <f t="shared" si="146"/>
        <v>0</v>
      </c>
      <c r="CU204" s="4">
        <f t="shared" si="147"/>
        <v>0</v>
      </c>
      <c r="CV204" s="4">
        <f t="shared" si="148"/>
        <v>0</v>
      </c>
      <c r="CW204" s="4">
        <f t="shared" si="149"/>
        <v>0</v>
      </c>
      <c r="CX204" s="4">
        <f t="shared" si="150"/>
        <v>0</v>
      </c>
      <c r="CY204" s="4">
        <f t="shared" si="151"/>
        <v>0</v>
      </c>
      <c r="CZ204" s="4">
        <f t="shared" si="152"/>
        <v>0</v>
      </c>
      <c r="DA204" s="4">
        <f t="shared" si="153"/>
        <v>0</v>
      </c>
      <c r="DB204" s="4">
        <f t="shared" si="154"/>
        <v>0</v>
      </c>
      <c r="DC204" s="4">
        <f t="shared" si="155"/>
        <v>0</v>
      </c>
      <c r="DD204" s="4">
        <f t="shared" si="156"/>
        <v>0</v>
      </c>
    </row>
    <row r="205" spans="1:108" x14ac:dyDescent="0.25">
      <c r="A205" s="41" t="str">
        <f>Skills!M187</f>
        <v>Combustion Engine Engineering</v>
      </c>
      <c r="B205" s="57" t="str">
        <f>Skills!N187</f>
        <v>Combustion Engine Engineering</v>
      </c>
      <c r="C205" s="24">
        <f t="shared" si="157"/>
        <v>0</v>
      </c>
      <c r="D205" s="110" t="e">
        <f>Skills!S187</f>
        <v>#N/A</v>
      </c>
      <c r="E205" s="111" t="e">
        <f>Profession!$B$105</f>
        <v>#REF!</v>
      </c>
      <c r="F205" s="18"/>
      <c r="G205" s="18"/>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49"/>
      <c r="BF205" s="4">
        <f t="shared" si="107"/>
        <v>0</v>
      </c>
      <c r="BG205" s="4">
        <f t="shared" si="107"/>
        <v>0</v>
      </c>
      <c r="BH205" s="4">
        <f t="shared" si="108"/>
        <v>0</v>
      </c>
      <c r="BI205" s="4">
        <f t="shared" si="109"/>
        <v>0</v>
      </c>
      <c r="BJ205" s="4">
        <f t="shared" si="110"/>
        <v>0</v>
      </c>
      <c r="BK205" s="4">
        <f t="shared" si="111"/>
        <v>0</v>
      </c>
      <c r="BL205" s="4">
        <f t="shared" si="112"/>
        <v>0</v>
      </c>
      <c r="BM205" s="4">
        <f t="shared" si="113"/>
        <v>0</v>
      </c>
      <c r="BN205" s="4">
        <f t="shared" si="114"/>
        <v>0</v>
      </c>
      <c r="BO205" s="4">
        <f t="shared" si="115"/>
        <v>0</v>
      </c>
      <c r="BP205" s="4">
        <f t="shared" si="116"/>
        <v>0</v>
      </c>
      <c r="BQ205" s="4">
        <f t="shared" si="117"/>
        <v>0</v>
      </c>
      <c r="BR205" s="4">
        <f t="shared" si="118"/>
        <v>0</v>
      </c>
      <c r="BS205" s="4">
        <f t="shared" si="119"/>
        <v>0</v>
      </c>
      <c r="BT205" s="4">
        <f t="shared" si="120"/>
        <v>0</v>
      </c>
      <c r="BU205" s="4">
        <f t="shared" si="121"/>
        <v>0</v>
      </c>
      <c r="BV205" s="4">
        <f t="shared" si="122"/>
        <v>0</v>
      </c>
      <c r="BW205" s="4">
        <f t="shared" si="123"/>
        <v>0</v>
      </c>
      <c r="BX205" s="4">
        <f t="shared" si="124"/>
        <v>0</v>
      </c>
      <c r="BY205" s="4">
        <f t="shared" si="125"/>
        <v>0</v>
      </c>
      <c r="BZ205" s="4">
        <f t="shared" si="126"/>
        <v>0</v>
      </c>
      <c r="CA205" s="4">
        <f t="shared" si="127"/>
        <v>0</v>
      </c>
      <c r="CB205" s="4">
        <f t="shared" si="128"/>
        <v>0</v>
      </c>
      <c r="CC205" s="4">
        <f t="shared" si="129"/>
        <v>0</v>
      </c>
      <c r="CD205" s="4">
        <f t="shared" si="130"/>
        <v>0</v>
      </c>
      <c r="CE205" s="4">
        <f t="shared" si="131"/>
        <v>0</v>
      </c>
      <c r="CF205" s="4">
        <f t="shared" si="132"/>
        <v>0</v>
      </c>
      <c r="CG205" s="4">
        <f t="shared" si="133"/>
        <v>0</v>
      </c>
      <c r="CH205" s="4">
        <f t="shared" si="134"/>
        <v>0</v>
      </c>
      <c r="CI205" s="4">
        <f t="shared" si="135"/>
        <v>0</v>
      </c>
      <c r="CJ205" s="4">
        <f t="shared" si="136"/>
        <v>0</v>
      </c>
      <c r="CK205" s="4">
        <f t="shared" si="137"/>
        <v>0</v>
      </c>
      <c r="CL205" s="4">
        <f t="shared" si="138"/>
        <v>0</v>
      </c>
      <c r="CM205" s="4">
        <f t="shared" si="139"/>
        <v>0</v>
      </c>
      <c r="CN205" s="4">
        <f t="shared" si="140"/>
        <v>0</v>
      </c>
      <c r="CO205" s="4">
        <f t="shared" si="141"/>
        <v>0</v>
      </c>
      <c r="CP205" s="4">
        <f t="shared" si="142"/>
        <v>0</v>
      </c>
      <c r="CQ205" s="4">
        <f t="shared" si="143"/>
        <v>0</v>
      </c>
      <c r="CR205" s="4">
        <f t="shared" si="144"/>
        <v>0</v>
      </c>
      <c r="CS205" s="4">
        <f t="shared" si="145"/>
        <v>0</v>
      </c>
      <c r="CT205" s="4">
        <f t="shared" si="146"/>
        <v>0</v>
      </c>
      <c r="CU205" s="4">
        <f t="shared" si="147"/>
        <v>0</v>
      </c>
      <c r="CV205" s="4">
        <f t="shared" si="148"/>
        <v>0</v>
      </c>
      <c r="CW205" s="4">
        <f t="shared" si="149"/>
        <v>0</v>
      </c>
      <c r="CX205" s="4">
        <f t="shared" si="150"/>
        <v>0</v>
      </c>
      <c r="CY205" s="4">
        <f t="shared" si="151"/>
        <v>0</v>
      </c>
      <c r="CZ205" s="4">
        <f t="shared" si="152"/>
        <v>0</v>
      </c>
      <c r="DA205" s="4">
        <f t="shared" si="153"/>
        <v>0</v>
      </c>
      <c r="DB205" s="4">
        <f t="shared" si="154"/>
        <v>0</v>
      </c>
      <c r="DC205" s="4">
        <f t="shared" si="155"/>
        <v>0</v>
      </c>
      <c r="DD205" s="4">
        <f t="shared" si="156"/>
        <v>0</v>
      </c>
    </row>
    <row r="206" spans="1:108" x14ac:dyDescent="0.25">
      <c r="A206" s="41" t="str">
        <f>Skills!M188</f>
        <v>General Mechanics Engineering</v>
      </c>
      <c r="B206" s="55" t="str">
        <f>Skills!N188</f>
        <v>General Mechanics Engineering</v>
      </c>
      <c r="C206" s="22">
        <f t="shared" si="157"/>
        <v>0</v>
      </c>
      <c r="D206" s="112" t="e">
        <f>Skills!S188</f>
        <v>#N/A</v>
      </c>
      <c r="E206" s="113" t="e">
        <f>Profession!$B$105</f>
        <v>#REF!</v>
      </c>
      <c r="F206" s="19"/>
      <c r="G206" s="19"/>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56"/>
      <c r="BF206" s="4">
        <f t="shared" si="107"/>
        <v>0</v>
      </c>
      <c r="BG206" s="4">
        <f t="shared" si="107"/>
        <v>0</v>
      </c>
      <c r="BH206" s="4">
        <f t="shared" si="108"/>
        <v>0</v>
      </c>
      <c r="BI206" s="4">
        <f t="shared" si="109"/>
        <v>0</v>
      </c>
      <c r="BJ206" s="4">
        <f t="shared" si="110"/>
        <v>0</v>
      </c>
      <c r="BK206" s="4">
        <f t="shared" si="111"/>
        <v>0</v>
      </c>
      <c r="BL206" s="4">
        <f t="shared" si="112"/>
        <v>0</v>
      </c>
      <c r="BM206" s="4">
        <f t="shared" si="113"/>
        <v>0</v>
      </c>
      <c r="BN206" s="4">
        <f t="shared" si="114"/>
        <v>0</v>
      </c>
      <c r="BO206" s="4">
        <f t="shared" si="115"/>
        <v>0</v>
      </c>
      <c r="BP206" s="4">
        <f t="shared" si="116"/>
        <v>0</v>
      </c>
      <c r="BQ206" s="4">
        <f t="shared" si="117"/>
        <v>0</v>
      </c>
      <c r="BR206" s="4">
        <f t="shared" si="118"/>
        <v>0</v>
      </c>
      <c r="BS206" s="4">
        <f t="shared" si="119"/>
        <v>0</v>
      </c>
      <c r="BT206" s="4">
        <f t="shared" si="120"/>
        <v>0</v>
      </c>
      <c r="BU206" s="4">
        <f t="shared" si="121"/>
        <v>0</v>
      </c>
      <c r="BV206" s="4">
        <f t="shared" si="122"/>
        <v>0</v>
      </c>
      <c r="BW206" s="4">
        <f t="shared" si="123"/>
        <v>0</v>
      </c>
      <c r="BX206" s="4">
        <f t="shared" si="124"/>
        <v>0</v>
      </c>
      <c r="BY206" s="4">
        <f t="shared" si="125"/>
        <v>0</v>
      </c>
      <c r="BZ206" s="4">
        <f t="shared" si="126"/>
        <v>0</v>
      </c>
      <c r="CA206" s="4">
        <f t="shared" si="127"/>
        <v>0</v>
      </c>
      <c r="CB206" s="4">
        <f t="shared" si="128"/>
        <v>0</v>
      </c>
      <c r="CC206" s="4">
        <f t="shared" si="129"/>
        <v>0</v>
      </c>
      <c r="CD206" s="4">
        <f t="shared" si="130"/>
        <v>0</v>
      </c>
      <c r="CE206" s="4">
        <f t="shared" si="131"/>
        <v>0</v>
      </c>
      <c r="CF206" s="4">
        <f t="shared" si="132"/>
        <v>0</v>
      </c>
      <c r="CG206" s="4">
        <f t="shared" si="133"/>
        <v>0</v>
      </c>
      <c r="CH206" s="4">
        <f t="shared" si="134"/>
        <v>0</v>
      </c>
      <c r="CI206" s="4">
        <f t="shared" si="135"/>
        <v>0</v>
      </c>
      <c r="CJ206" s="4">
        <f t="shared" si="136"/>
        <v>0</v>
      </c>
      <c r="CK206" s="4">
        <f t="shared" si="137"/>
        <v>0</v>
      </c>
      <c r="CL206" s="4">
        <f t="shared" si="138"/>
        <v>0</v>
      </c>
      <c r="CM206" s="4">
        <f t="shared" si="139"/>
        <v>0</v>
      </c>
      <c r="CN206" s="4">
        <f t="shared" si="140"/>
        <v>0</v>
      </c>
      <c r="CO206" s="4">
        <f t="shared" si="141"/>
        <v>0</v>
      </c>
      <c r="CP206" s="4">
        <f t="shared" si="142"/>
        <v>0</v>
      </c>
      <c r="CQ206" s="4">
        <f t="shared" si="143"/>
        <v>0</v>
      </c>
      <c r="CR206" s="4">
        <f t="shared" si="144"/>
        <v>0</v>
      </c>
      <c r="CS206" s="4">
        <f t="shared" si="145"/>
        <v>0</v>
      </c>
      <c r="CT206" s="4">
        <f t="shared" si="146"/>
        <v>0</v>
      </c>
      <c r="CU206" s="4">
        <f t="shared" si="147"/>
        <v>0</v>
      </c>
      <c r="CV206" s="4">
        <f t="shared" si="148"/>
        <v>0</v>
      </c>
      <c r="CW206" s="4">
        <f t="shared" si="149"/>
        <v>0</v>
      </c>
      <c r="CX206" s="4">
        <f t="shared" si="150"/>
        <v>0</v>
      </c>
      <c r="CY206" s="4">
        <f t="shared" si="151"/>
        <v>0</v>
      </c>
      <c r="CZ206" s="4">
        <f t="shared" si="152"/>
        <v>0</v>
      </c>
      <c r="DA206" s="4">
        <f t="shared" si="153"/>
        <v>0</v>
      </c>
      <c r="DB206" s="4">
        <f t="shared" si="154"/>
        <v>0</v>
      </c>
      <c r="DC206" s="4">
        <f t="shared" si="155"/>
        <v>0</v>
      </c>
      <c r="DD206" s="4">
        <f t="shared" si="156"/>
        <v>0</v>
      </c>
    </row>
    <row r="207" spans="1:108" x14ac:dyDescent="0.25">
      <c r="A207" s="41" t="str">
        <f>Skills!M189</f>
        <v>Land Vehicle Engineering</v>
      </c>
      <c r="B207" s="57" t="str">
        <f>Skills!N189</f>
        <v>Land Vehicle Engineering</v>
      </c>
      <c r="C207" s="24">
        <f t="shared" si="157"/>
        <v>0</v>
      </c>
      <c r="D207" s="110" t="e">
        <f>Skills!S189</f>
        <v>#N/A</v>
      </c>
      <c r="E207" s="111" t="e">
        <f>Profession!$B$105</f>
        <v>#REF!</v>
      </c>
      <c r="F207" s="18"/>
      <c r="G207" s="18"/>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49"/>
      <c r="BF207" s="4">
        <f t="shared" si="107"/>
        <v>0</v>
      </c>
      <c r="BG207" s="4">
        <f t="shared" si="107"/>
        <v>0</v>
      </c>
      <c r="BH207" s="4">
        <f t="shared" si="108"/>
        <v>0</v>
      </c>
      <c r="BI207" s="4">
        <f t="shared" si="109"/>
        <v>0</v>
      </c>
      <c r="BJ207" s="4">
        <f t="shared" si="110"/>
        <v>0</v>
      </c>
      <c r="BK207" s="4">
        <f t="shared" si="111"/>
        <v>0</v>
      </c>
      <c r="BL207" s="4">
        <f t="shared" si="112"/>
        <v>0</v>
      </c>
      <c r="BM207" s="4">
        <f t="shared" si="113"/>
        <v>0</v>
      </c>
      <c r="BN207" s="4">
        <f t="shared" si="114"/>
        <v>0</v>
      </c>
      <c r="BO207" s="4">
        <f t="shared" si="115"/>
        <v>0</v>
      </c>
      <c r="BP207" s="4">
        <f t="shared" si="116"/>
        <v>0</v>
      </c>
      <c r="BQ207" s="4">
        <f t="shared" si="117"/>
        <v>0</v>
      </c>
      <c r="BR207" s="4">
        <f t="shared" si="118"/>
        <v>0</v>
      </c>
      <c r="BS207" s="4">
        <f t="shared" si="119"/>
        <v>0</v>
      </c>
      <c r="BT207" s="4">
        <f t="shared" si="120"/>
        <v>0</v>
      </c>
      <c r="BU207" s="4">
        <f t="shared" si="121"/>
        <v>0</v>
      </c>
      <c r="BV207" s="4">
        <f t="shared" si="122"/>
        <v>0</v>
      </c>
      <c r="BW207" s="4">
        <f t="shared" si="123"/>
        <v>0</v>
      </c>
      <c r="BX207" s="4">
        <f t="shared" si="124"/>
        <v>0</v>
      </c>
      <c r="BY207" s="4">
        <f t="shared" si="125"/>
        <v>0</v>
      </c>
      <c r="BZ207" s="4">
        <f t="shared" si="126"/>
        <v>0</v>
      </c>
      <c r="CA207" s="4">
        <f t="shared" si="127"/>
        <v>0</v>
      </c>
      <c r="CB207" s="4">
        <f t="shared" si="128"/>
        <v>0</v>
      </c>
      <c r="CC207" s="4">
        <f t="shared" si="129"/>
        <v>0</v>
      </c>
      <c r="CD207" s="4">
        <f t="shared" si="130"/>
        <v>0</v>
      </c>
      <c r="CE207" s="4">
        <f t="shared" si="131"/>
        <v>0</v>
      </c>
      <c r="CF207" s="4">
        <f t="shared" si="132"/>
        <v>0</v>
      </c>
      <c r="CG207" s="4">
        <f t="shared" si="133"/>
        <v>0</v>
      </c>
      <c r="CH207" s="4">
        <f t="shared" si="134"/>
        <v>0</v>
      </c>
      <c r="CI207" s="4">
        <f t="shared" si="135"/>
        <v>0</v>
      </c>
      <c r="CJ207" s="4">
        <f t="shared" si="136"/>
        <v>0</v>
      </c>
      <c r="CK207" s="4">
        <f t="shared" si="137"/>
        <v>0</v>
      </c>
      <c r="CL207" s="4">
        <f t="shared" si="138"/>
        <v>0</v>
      </c>
      <c r="CM207" s="4">
        <f t="shared" si="139"/>
        <v>0</v>
      </c>
      <c r="CN207" s="4">
        <f t="shared" si="140"/>
        <v>0</v>
      </c>
      <c r="CO207" s="4">
        <f t="shared" si="141"/>
        <v>0</v>
      </c>
      <c r="CP207" s="4">
        <f t="shared" si="142"/>
        <v>0</v>
      </c>
      <c r="CQ207" s="4">
        <f t="shared" si="143"/>
        <v>0</v>
      </c>
      <c r="CR207" s="4">
        <f t="shared" si="144"/>
        <v>0</v>
      </c>
      <c r="CS207" s="4">
        <f t="shared" si="145"/>
        <v>0</v>
      </c>
      <c r="CT207" s="4">
        <f t="shared" si="146"/>
        <v>0</v>
      </c>
      <c r="CU207" s="4">
        <f t="shared" si="147"/>
        <v>0</v>
      </c>
      <c r="CV207" s="4">
        <f t="shared" si="148"/>
        <v>0</v>
      </c>
      <c r="CW207" s="4">
        <f t="shared" si="149"/>
        <v>0</v>
      </c>
      <c r="CX207" s="4">
        <f t="shared" si="150"/>
        <v>0</v>
      </c>
      <c r="CY207" s="4">
        <f t="shared" si="151"/>
        <v>0</v>
      </c>
      <c r="CZ207" s="4">
        <f t="shared" si="152"/>
        <v>0</v>
      </c>
      <c r="DA207" s="4">
        <f t="shared" si="153"/>
        <v>0</v>
      </c>
      <c r="DB207" s="4">
        <f t="shared" si="154"/>
        <v>0</v>
      </c>
      <c r="DC207" s="4">
        <f t="shared" si="155"/>
        <v>0</v>
      </c>
      <c r="DD207" s="4">
        <f t="shared" si="156"/>
        <v>0</v>
      </c>
    </row>
    <row r="208" spans="1:108" x14ac:dyDescent="0.25">
      <c r="A208" s="41">
        <f>Skills!M190</f>
        <v>0</v>
      </c>
      <c r="B208" s="55" t="str">
        <f>Skills!N190</f>
        <v>Criminal Engineering Sub-category</v>
      </c>
      <c r="C208" s="22">
        <f t="shared" si="157"/>
        <v>0</v>
      </c>
      <c r="D208" s="112" t="str">
        <f>Skills!S190</f>
        <v>- -</v>
      </c>
      <c r="E208" s="113" t="s">
        <v>782</v>
      </c>
      <c r="F208" s="19"/>
      <c r="G208" s="19"/>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56"/>
      <c r="BF208" s="4">
        <f t="shared" si="107"/>
        <v>0</v>
      </c>
      <c r="BG208" s="4">
        <f t="shared" si="107"/>
        <v>0</v>
      </c>
      <c r="BH208" s="4">
        <f t="shared" si="108"/>
        <v>0</v>
      </c>
      <c r="BI208" s="4">
        <f t="shared" si="109"/>
        <v>0</v>
      </c>
      <c r="BJ208" s="4">
        <f t="shared" si="110"/>
        <v>0</v>
      </c>
      <c r="BK208" s="4">
        <f t="shared" si="111"/>
        <v>0</v>
      </c>
      <c r="BL208" s="4">
        <f t="shared" si="112"/>
        <v>0</v>
      </c>
      <c r="BM208" s="4">
        <f t="shared" si="113"/>
        <v>0</v>
      </c>
      <c r="BN208" s="4">
        <f t="shared" si="114"/>
        <v>0</v>
      </c>
      <c r="BO208" s="4">
        <f t="shared" si="115"/>
        <v>0</v>
      </c>
      <c r="BP208" s="4">
        <f t="shared" si="116"/>
        <v>0</v>
      </c>
      <c r="BQ208" s="4">
        <f t="shared" si="117"/>
        <v>0</v>
      </c>
      <c r="BR208" s="4">
        <f t="shared" si="118"/>
        <v>0</v>
      </c>
      <c r="BS208" s="4">
        <f t="shared" si="119"/>
        <v>0</v>
      </c>
      <c r="BT208" s="4">
        <f t="shared" si="120"/>
        <v>0</v>
      </c>
      <c r="BU208" s="4">
        <f t="shared" si="121"/>
        <v>0</v>
      </c>
      <c r="BV208" s="4">
        <f t="shared" si="122"/>
        <v>0</v>
      </c>
      <c r="BW208" s="4">
        <f t="shared" si="123"/>
        <v>0</v>
      </c>
      <c r="BX208" s="4">
        <f t="shared" si="124"/>
        <v>0</v>
      </c>
      <c r="BY208" s="4">
        <f t="shared" si="125"/>
        <v>0</v>
      </c>
      <c r="BZ208" s="4">
        <f t="shared" si="126"/>
        <v>0</v>
      </c>
      <c r="CA208" s="4">
        <f t="shared" si="127"/>
        <v>0</v>
      </c>
      <c r="CB208" s="4">
        <f t="shared" si="128"/>
        <v>0</v>
      </c>
      <c r="CC208" s="4">
        <f t="shared" si="129"/>
        <v>0</v>
      </c>
      <c r="CD208" s="4">
        <f t="shared" si="130"/>
        <v>0</v>
      </c>
      <c r="CE208" s="4">
        <f t="shared" si="131"/>
        <v>0</v>
      </c>
      <c r="CF208" s="4">
        <f t="shared" si="132"/>
        <v>0</v>
      </c>
      <c r="CG208" s="4">
        <f t="shared" si="133"/>
        <v>0</v>
      </c>
      <c r="CH208" s="4">
        <f t="shared" si="134"/>
        <v>0</v>
      </c>
      <c r="CI208" s="4">
        <f t="shared" si="135"/>
        <v>0</v>
      </c>
      <c r="CJ208" s="4">
        <f t="shared" si="136"/>
        <v>0</v>
      </c>
      <c r="CK208" s="4">
        <f t="shared" si="137"/>
        <v>0</v>
      </c>
      <c r="CL208" s="4">
        <f t="shared" si="138"/>
        <v>0</v>
      </c>
      <c r="CM208" s="4">
        <f t="shared" si="139"/>
        <v>0</v>
      </c>
      <c r="CN208" s="4">
        <f t="shared" si="140"/>
        <v>0</v>
      </c>
      <c r="CO208" s="4">
        <f t="shared" si="141"/>
        <v>0</v>
      </c>
      <c r="CP208" s="4">
        <f t="shared" si="142"/>
        <v>0</v>
      </c>
      <c r="CQ208" s="4">
        <f t="shared" si="143"/>
        <v>0</v>
      </c>
      <c r="CR208" s="4">
        <f t="shared" si="144"/>
        <v>0</v>
      </c>
      <c r="CS208" s="4">
        <f t="shared" si="145"/>
        <v>0</v>
      </c>
      <c r="CT208" s="4">
        <f t="shared" si="146"/>
        <v>0</v>
      </c>
      <c r="CU208" s="4">
        <f t="shared" si="147"/>
        <v>0</v>
      </c>
      <c r="CV208" s="4">
        <f t="shared" si="148"/>
        <v>0</v>
      </c>
      <c r="CW208" s="4">
        <f t="shared" si="149"/>
        <v>0</v>
      </c>
      <c r="CX208" s="4">
        <f t="shared" si="150"/>
        <v>0</v>
      </c>
      <c r="CY208" s="4">
        <f t="shared" si="151"/>
        <v>0</v>
      </c>
      <c r="CZ208" s="4">
        <f t="shared" si="152"/>
        <v>0</v>
      </c>
      <c r="DA208" s="4">
        <f t="shared" si="153"/>
        <v>0</v>
      </c>
      <c r="DB208" s="4">
        <f t="shared" si="154"/>
        <v>0</v>
      </c>
      <c r="DC208" s="4">
        <f t="shared" si="155"/>
        <v>0</v>
      </c>
      <c r="DD208" s="4">
        <f t="shared" si="156"/>
        <v>0</v>
      </c>
    </row>
    <row r="209" spans="1:108" x14ac:dyDescent="0.25">
      <c r="A209" s="41">
        <f>Skills!M191</f>
        <v>0</v>
      </c>
      <c r="B209" s="57" t="str">
        <f>Skills!N191</f>
        <v>Criminal Engineering Skills</v>
      </c>
      <c r="C209" s="24">
        <f t="shared" si="157"/>
        <v>0</v>
      </c>
      <c r="D209" s="110" t="str">
        <f>Skills!S191</f>
        <v>- -</v>
      </c>
      <c r="E209" s="111" t="s">
        <v>782</v>
      </c>
      <c r="F209" s="18"/>
      <c r="G209" s="18"/>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49"/>
      <c r="BF209" s="4">
        <f t="shared" si="107"/>
        <v>0</v>
      </c>
      <c r="BG209" s="4">
        <f t="shared" si="107"/>
        <v>0</v>
      </c>
      <c r="BH209" s="4">
        <f t="shared" si="108"/>
        <v>0</v>
      </c>
      <c r="BI209" s="4">
        <f t="shared" si="109"/>
        <v>0</v>
      </c>
      <c r="BJ209" s="4">
        <f t="shared" si="110"/>
        <v>0</v>
      </c>
      <c r="BK209" s="4">
        <f t="shared" si="111"/>
        <v>0</v>
      </c>
      <c r="BL209" s="4">
        <f t="shared" si="112"/>
        <v>0</v>
      </c>
      <c r="BM209" s="4">
        <f t="shared" si="113"/>
        <v>0</v>
      </c>
      <c r="BN209" s="4">
        <f t="shared" si="114"/>
        <v>0</v>
      </c>
      <c r="BO209" s="4">
        <f t="shared" si="115"/>
        <v>0</v>
      </c>
      <c r="BP209" s="4">
        <f t="shared" si="116"/>
        <v>0</v>
      </c>
      <c r="BQ209" s="4">
        <f t="shared" si="117"/>
        <v>0</v>
      </c>
      <c r="BR209" s="4">
        <f t="shared" si="118"/>
        <v>0</v>
      </c>
      <c r="BS209" s="4">
        <f t="shared" si="119"/>
        <v>0</v>
      </c>
      <c r="BT209" s="4">
        <f t="shared" si="120"/>
        <v>0</v>
      </c>
      <c r="BU209" s="4">
        <f t="shared" si="121"/>
        <v>0</v>
      </c>
      <c r="BV209" s="4">
        <f t="shared" si="122"/>
        <v>0</v>
      </c>
      <c r="BW209" s="4">
        <f t="shared" si="123"/>
        <v>0</v>
      </c>
      <c r="BX209" s="4">
        <f t="shared" si="124"/>
        <v>0</v>
      </c>
      <c r="BY209" s="4">
        <f t="shared" si="125"/>
        <v>0</v>
      </c>
      <c r="BZ209" s="4">
        <f t="shared" si="126"/>
        <v>0</v>
      </c>
      <c r="CA209" s="4">
        <f t="shared" si="127"/>
        <v>0</v>
      </c>
      <c r="CB209" s="4">
        <f t="shared" si="128"/>
        <v>0</v>
      </c>
      <c r="CC209" s="4">
        <f t="shared" si="129"/>
        <v>0</v>
      </c>
      <c r="CD209" s="4">
        <f t="shared" si="130"/>
        <v>0</v>
      </c>
      <c r="CE209" s="4">
        <f t="shared" si="131"/>
        <v>0</v>
      </c>
      <c r="CF209" s="4">
        <f t="shared" si="132"/>
        <v>0</v>
      </c>
      <c r="CG209" s="4">
        <f t="shared" si="133"/>
        <v>0</v>
      </c>
      <c r="CH209" s="4">
        <f t="shared" si="134"/>
        <v>0</v>
      </c>
      <c r="CI209" s="4">
        <f t="shared" si="135"/>
        <v>0</v>
      </c>
      <c r="CJ209" s="4">
        <f t="shared" si="136"/>
        <v>0</v>
      </c>
      <c r="CK209" s="4">
        <f t="shared" si="137"/>
        <v>0</v>
      </c>
      <c r="CL209" s="4">
        <f t="shared" si="138"/>
        <v>0</v>
      </c>
      <c r="CM209" s="4">
        <f t="shared" si="139"/>
        <v>0</v>
      </c>
      <c r="CN209" s="4">
        <f t="shared" si="140"/>
        <v>0</v>
      </c>
      <c r="CO209" s="4">
        <f t="shared" si="141"/>
        <v>0</v>
      </c>
      <c r="CP209" s="4">
        <f t="shared" si="142"/>
        <v>0</v>
      </c>
      <c r="CQ209" s="4">
        <f t="shared" si="143"/>
        <v>0</v>
      </c>
      <c r="CR209" s="4">
        <f t="shared" si="144"/>
        <v>0</v>
      </c>
      <c r="CS209" s="4">
        <f t="shared" si="145"/>
        <v>0</v>
      </c>
      <c r="CT209" s="4">
        <f t="shared" si="146"/>
        <v>0</v>
      </c>
      <c r="CU209" s="4">
        <f t="shared" si="147"/>
        <v>0</v>
      </c>
      <c r="CV209" s="4">
        <f t="shared" si="148"/>
        <v>0</v>
      </c>
      <c r="CW209" s="4">
        <f t="shared" si="149"/>
        <v>0</v>
      </c>
      <c r="CX209" s="4">
        <f t="shared" si="150"/>
        <v>0</v>
      </c>
      <c r="CY209" s="4">
        <f t="shared" si="151"/>
        <v>0</v>
      </c>
      <c r="CZ209" s="4">
        <f t="shared" si="152"/>
        <v>0</v>
      </c>
      <c r="DA209" s="4">
        <f t="shared" si="153"/>
        <v>0</v>
      </c>
      <c r="DB209" s="4">
        <f t="shared" si="154"/>
        <v>0</v>
      </c>
      <c r="DC209" s="4">
        <f t="shared" si="155"/>
        <v>0</v>
      </c>
      <c r="DD209" s="4">
        <f t="shared" si="156"/>
        <v>0</v>
      </c>
    </row>
    <row r="210" spans="1:108" x14ac:dyDescent="0.25">
      <c r="A210" s="41" t="str">
        <f>Skills!M192</f>
        <v>Counterfeiting Technology Engineering</v>
      </c>
      <c r="B210" s="55" t="str">
        <f>Skills!N192</f>
        <v>Counterfeiting Technology Engineering</v>
      </c>
      <c r="C210" s="22">
        <f t="shared" si="157"/>
        <v>0</v>
      </c>
      <c r="D210" s="112" t="e">
        <f>Skills!S192</f>
        <v>#N/A</v>
      </c>
      <c r="E210" s="113" t="e">
        <f>Profession!$B$106</f>
        <v>#REF!</v>
      </c>
      <c r="F210" s="19"/>
      <c r="G210" s="19"/>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56"/>
      <c r="BF210" s="4">
        <f t="shared" si="107"/>
        <v>0</v>
      </c>
      <c r="BG210" s="4">
        <f t="shared" si="107"/>
        <v>0</v>
      </c>
      <c r="BH210" s="4">
        <f t="shared" si="108"/>
        <v>0</v>
      </c>
      <c r="BI210" s="4">
        <f t="shared" si="109"/>
        <v>0</v>
      </c>
      <c r="BJ210" s="4">
        <f t="shared" si="110"/>
        <v>0</v>
      </c>
      <c r="BK210" s="4">
        <f t="shared" si="111"/>
        <v>0</v>
      </c>
      <c r="BL210" s="4">
        <f t="shared" si="112"/>
        <v>0</v>
      </c>
      <c r="BM210" s="4">
        <f t="shared" si="113"/>
        <v>0</v>
      </c>
      <c r="BN210" s="4">
        <f t="shared" si="114"/>
        <v>0</v>
      </c>
      <c r="BO210" s="4">
        <f t="shared" si="115"/>
        <v>0</v>
      </c>
      <c r="BP210" s="4">
        <f t="shared" si="116"/>
        <v>0</v>
      </c>
      <c r="BQ210" s="4">
        <f t="shared" si="117"/>
        <v>0</v>
      </c>
      <c r="BR210" s="4">
        <f t="shared" si="118"/>
        <v>0</v>
      </c>
      <c r="BS210" s="4">
        <f t="shared" si="119"/>
        <v>0</v>
      </c>
      <c r="BT210" s="4">
        <f t="shared" si="120"/>
        <v>0</v>
      </c>
      <c r="BU210" s="4">
        <f t="shared" si="121"/>
        <v>0</v>
      </c>
      <c r="BV210" s="4">
        <f t="shared" si="122"/>
        <v>0</v>
      </c>
      <c r="BW210" s="4">
        <f t="shared" si="123"/>
        <v>0</v>
      </c>
      <c r="BX210" s="4">
        <f t="shared" si="124"/>
        <v>0</v>
      </c>
      <c r="BY210" s="4">
        <f t="shared" si="125"/>
        <v>0</v>
      </c>
      <c r="BZ210" s="4">
        <f t="shared" si="126"/>
        <v>0</v>
      </c>
      <c r="CA210" s="4">
        <f t="shared" si="127"/>
        <v>0</v>
      </c>
      <c r="CB210" s="4">
        <f t="shared" si="128"/>
        <v>0</v>
      </c>
      <c r="CC210" s="4">
        <f t="shared" si="129"/>
        <v>0</v>
      </c>
      <c r="CD210" s="4">
        <f t="shared" si="130"/>
        <v>0</v>
      </c>
      <c r="CE210" s="4">
        <f t="shared" si="131"/>
        <v>0</v>
      </c>
      <c r="CF210" s="4">
        <f t="shared" si="132"/>
        <v>0</v>
      </c>
      <c r="CG210" s="4">
        <f t="shared" si="133"/>
        <v>0</v>
      </c>
      <c r="CH210" s="4">
        <f t="shared" si="134"/>
        <v>0</v>
      </c>
      <c r="CI210" s="4">
        <f t="shared" si="135"/>
        <v>0</v>
      </c>
      <c r="CJ210" s="4">
        <f t="shared" si="136"/>
        <v>0</v>
      </c>
      <c r="CK210" s="4">
        <f t="shared" si="137"/>
        <v>0</v>
      </c>
      <c r="CL210" s="4">
        <f t="shared" si="138"/>
        <v>0</v>
      </c>
      <c r="CM210" s="4">
        <f t="shared" si="139"/>
        <v>0</v>
      </c>
      <c r="CN210" s="4">
        <f t="shared" si="140"/>
        <v>0</v>
      </c>
      <c r="CO210" s="4">
        <f t="shared" si="141"/>
        <v>0</v>
      </c>
      <c r="CP210" s="4">
        <f t="shared" si="142"/>
        <v>0</v>
      </c>
      <c r="CQ210" s="4">
        <f t="shared" si="143"/>
        <v>0</v>
      </c>
      <c r="CR210" s="4">
        <f t="shared" si="144"/>
        <v>0</v>
      </c>
      <c r="CS210" s="4">
        <f t="shared" si="145"/>
        <v>0</v>
      </c>
      <c r="CT210" s="4">
        <f t="shared" si="146"/>
        <v>0</v>
      </c>
      <c r="CU210" s="4">
        <f t="shared" si="147"/>
        <v>0</v>
      </c>
      <c r="CV210" s="4">
        <f t="shared" si="148"/>
        <v>0</v>
      </c>
      <c r="CW210" s="4">
        <f t="shared" si="149"/>
        <v>0</v>
      </c>
      <c r="CX210" s="4">
        <f t="shared" si="150"/>
        <v>0</v>
      </c>
      <c r="CY210" s="4">
        <f t="shared" si="151"/>
        <v>0</v>
      </c>
      <c r="CZ210" s="4">
        <f t="shared" si="152"/>
        <v>0</v>
      </c>
      <c r="DA210" s="4">
        <f t="shared" si="153"/>
        <v>0</v>
      </c>
      <c r="DB210" s="4">
        <f t="shared" si="154"/>
        <v>0</v>
      </c>
      <c r="DC210" s="4">
        <f t="shared" si="155"/>
        <v>0</v>
      </c>
      <c r="DD210" s="4">
        <f t="shared" si="156"/>
        <v>0</v>
      </c>
    </row>
    <row r="211" spans="1:108" x14ac:dyDescent="0.25">
      <c r="A211" s="41" t="str">
        <f>Skills!M193</f>
        <v>Forgery Technology Engineering</v>
      </c>
      <c r="B211" s="57" t="str">
        <f>Skills!N193</f>
        <v>Forgery Technology Engineering</v>
      </c>
      <c r="C211" s="24">
        <f t="shared" si="157"/>
        <v>0</v>
      </c>
      <c r="D211" s="110" t="e">
        <f>Skills!S193</f>
        <v>#N/A</v>
      </c>
      <c r="E211" s="111" t="e">
        <f>Profession!$B$106</f>
        <v>#REF!</v>
      </c>
      <c r="F211" s="18"/>
      <c r="G211" s="18"/>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49"/>
      <c r="BF211" s="4">
        <f t="shared" si="107"/>
        <v>0</v>
      </c>
      <c r="BG211" s="4">
        <f t="shared" si="107"/>
        <v>0</v>
      </c>
      <c r="BH211" s="4">
        <f t="shared" si="108"/>
        <v>0</v>
      </c>
      <c r="BI211" s="4">
        <f t="shared" si="109"/>
        <v>0</v>
      </c>
      <c r="BJ211" s="4">
        <f t="shared" si="110"/>
        <v>0</v>
      </c>
      <c r="BK211" s="4">
        <f t="shared" si="111"/>
        <v>0</v>
      </c>
      <c r="BL211" s="4">
        <f t="shared" si="112"/>
        <v>0</v>
      </c>
      <c r="BM211" s="4">
        <f t="shared" si="113"/>
        <v>0</v>
      </c>
      <c r="BN211" s="4">
        <f t="shared" si="114"/>
        <v>0</v>
      </c>
      <c r="BO211" s="4">
        <f t="shared" si="115"/>
        <v>0</v>
      </c>
      <c r="BP211" s="4">
        <f t="shared" si="116"/>
        <v>0</v>
      </c>
      <c r="BQ211" s="4">
        <f t="shared" si="117"/>
        <v>0</v>
      </c>
      <c r="BR211" s="4">
        <f t="shared" si="118"/>
        <v>0</v>
      </c>
      <c r="BS211" s="4">
        <f t="shared" si="119"/>
        <v>0</v>
      </c>
      <c r="BT211" s="4">
        <f t="shared" si="120"/>
        <v>0</v>
      </c>
      <c r="BU211" s="4">
        <f t="shared" si="121"/>
        <v>0</v>
      </c>
      <c r="BV211" s="4">
        <f t="shared" si="122"/>
        <v>0</v>
      </c>
      <c r="BW211" s="4">
        <f t="shared" si="123"/>
        <v>0</v>
      </c>
      <c r="BX211" s="4">
        <f t="shared" si="124"/>
        <v>0</v>
      </c>
      <c r="BY211" s="4">
        <f t="shared" si="125"/>
        <v>0</v>
      </c>
      <c r="BZ211" s="4">
        <f t="shared" si="126"/>
        <v>0</v>
      </c>
      <c r="CA211" s="4">
        <f t="shared" si="127"/>
        <v>0</v>
      </c>
      <c r="CB211" s="4">
        <f t="shared" si="128"/>
        <v>0</v>
      </c>
      <c r="CC211" s="4">
        <f t="shared" si="129"/>
        <v>0</v>
      </c>
      <c r="CD211" s="4">
        <f t="shared" si="130"/>
        <v>0</v>
      </c>
      <c r="CE211" s="4">
        <f t="shared" si="131"/>
        <v>0</v>
      </c>
      <c r="CF211" s="4">
        <f t="shared" si="132"/>
        <v>0</v>
      </c>
      <c r="CG211" s="4">
        <f t="shared" si="133"/>
        <v>0</v>
      </c>
      <c r="CH211" s="4">
        <f t="shared" si="134"/>
        <v>0</v>
      </c>
      <c r="CI211" s="4">
        <f t="shared" si="135"/>
        <v>0</v>
      </c>
      <c r="CJ211" s="4">
        <f t="shared" si="136"/>
        <v>0</v>
      </c>
      <c r="CK211" s="4">
        <f t="shared" si="137"/>
        <v>0</v>
      </c>
      <c r="CL211" s="4">
        <f t="shared" si="138"/>
        <v>0</v>
      </c>
      <c r="CM211" s="4">
        <f t="shared" si="139"/>
        <v>0</v>
      </c>
      <c r="CN211" s="4">
        <f t="shared" si="140"/>
        <v>0</v>
      </c>
      <c r="CO211" s="4">
        <f t="shared" si="141"/>
        <v>0</v>
      </c>
      <c r="CP211" s="4">
        <f t="shared" si="142"/>
        <v>0</v>
      </c>
      <c r="CQ211" s="4">
        <f t="shared" si="143"/>
        <v>0</v>
      </c>
      <c r="CR211" s="4">
        <f t="shared" si="144"/>
        <v>0</v>
      </c>
      <c r="CS211" s="4">
        <f t="shared" si="145"/>
        <v>0</v>
      </c>
      <c r="CT211" s="4">
        <f t="shared" si="146"/>
        <v>0</v>
      </c>
      <c r="CU211" s="4">
        <f t="shared" si="147"/>
        <v>0</v>
      </c>
      <c r="CV211" s="4">
        <f t="shared" si="148"/>
        <v>0</v>
      </c>
      <c r="CW211" s="4">
        <f t="shared" si="149"/>
        <v>0</v>
      </c>
      <c r="CX211" s="4">
        <f t="shared" si="150"/>
        <v>0</v>
      </c>
      <c r="CY211" s="4">
        <f t="shared" si="151"/>
        <v>0</v>
      </c>
      <c r="CZ211" s="4">
        <f t="shared" si="152"/>
        <v>0</v>
      </c>
      <c r="DA211" s="4">
        <f t="shared" si="153"/>
        <v>0</v>
      </c>
      <c r="DB211" s="4">
        <f t="shared" si="154"/>
        <v>0</v>
      </c>
      <c r="DC211" s="4">
        <f t="shared" si="155"/>
        <v>0</v>
      </c>
      <c r="DD211" s="4">
        <f t="shared" si="156"/>
        <v>0</v>
      </c>
    </row>
    <row r="212" spans="1:108" x14ac:dyDescent="0.25">
      <c r="A212" s="41">
        <f>Skills!M194</f>
        <v>0</v>
      </c>
      <c r="B212" s="55" t="str">
        <f>Skills!N194</f>
        <v>Medical Engineering Sub-category</v>
      </c>
      <c r="C212" s="22">
        <f t="shared" si="157"/>
        <v>0</v>
      </c>
      <c r="D212" s="112" t="str">
        <f>Skills!S194</f>
        <v>- -</v>
      </c>
      <c r="E212" s="113" t="s">
        <v>782</v>
      </c>
      <c r="F212" s="19"/>
      <c r="G212" s="19"/>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56"/>
      <c r="BF212" s="4">
        <f t="shared" si="107"/>
        <v>0</v>
      </c>
      <c r="BG212" s="4">
        <f t="shared" si="107"/>
        <v>0</v>
      </c>
      <c r="BH212" s="4">
        <f t="shared" si="108"/>
        <v>0</v>
      </c>
      <c r="BI212" s="4">
        <f t="shared" si="109"/>
        <v>0</v>
      </c>
      <c r="BJ212" s="4">
        <f t="shared" si="110"/>
        <v>0</v>
      </c>
      <c r="BK212" s="4">
        <f t="shared" si="111"/>
        <v>0</v>
      </c>
      <c r="BL212" s="4">
        <f t="shared" si="112"/>
        <v>0</v>
      </c>
      <c r="BM212" s="4">
        <f t="shared" si="113"/>
        <v>0</v>
      </c>
      <c r="BN212" s="4">
        <f t="shared" si="114"/>
        <v>0</v>
      </c>
      <c r="BO212" s="4">
        <f t="shared" si="115"/>
        <v>0</v>
      </c>
      <c r="BP212" s="4">
        <f t="shared" si="116"/>
        <v>0</v>
      </c>
      <c r="BQ212" s="4">
        <f t="shared" si="117"/>
        <v>0</v>
      </c>
      <c r="BR212" s="4">
        <f t="shared" si="118"/>
        <v>0</v>
      </c>
      <c r="BS212" s="4">
        <f t="shared" si="119"/>
        <v>0</v>
      </c>
      <c r="BT212" s="4">
        <f t="shared" si="120"/>
        <v>0</v>
      </c>
      <c r="BU212" s="4">
        <f t="shared" si="121"/>
        <v>0</v>
      </c>
      <c r="BV212" s="4">
        <f t="shared" si="122"/>
        <v>0</v>
      </c>
      <c r="BW212" s="4">
        <f t="shared" si="123"/>
        <v>0</v>
      </c>
      <c r="BX212" s="4">
        <f t="shared" si="124"/>
        <v>0</v>
      </c>
      <c r="BY212" s="4">
        <f t="shared" si="125"/>
        <v>0</v>
      </c>
      <c r="BZ212" s="4">
        <f t="shared" si="126"/>
        <v>0</v>
      </c>
      <c r="CA212" s="4">
        <f t="shared" si="127"/>
        <v>0</v>
      </c>
      <c r="CB212" s="4">
        <f t="shared" si="128"/>
        <v>0</v>
      </c>
      <c r="CC212" s="4">
        <f t="shared" si="129"/>
        <v>0</v>
      </c>
      <c r="CD212" s="4">
        <f t="shared" si="130"/>
        <v>0</v>
      </c>
      <c r="CE212" s="4">
        <f t="shared" si="131"/>
        <v>0</v>
      </c>
      <c r="CF212" s="4">
        <f t="shared" si="132"/>
        <v>0</v>
      </c>
      <c r="CG212" s="4">
        <f t="shared" si="133"/>
        <v>0</v>
      </c>
      <c r="CH212" s="4">
        <f t="shared" si="134"/>
        <v>0</v>
      </c>
      <c r="CI212" s="4">
        <f t="shared" si="135"/>
        <v>0</v>
      </c>
      <c r="CJ212" s="4">
        <f t="shared" si="136"/>
        <v>0</v>
      </c>
      <c r="CK212" s="4">
        <f t="shared" si="137"/>
        <v>0</v>
      </c>
      <c r="CL212" s="4">
        <f t="shared" si="138"/>
        <v>0</v>
      </c>
      <c r="CM212" s="4">
        <f t="shared" si="139"/>
        <v>0</v>
      </c>
      <c r="CN212" s="4">
        <f t="shared" si="140"/>
        <v>0</v>
      </c>
      <c r="CO212" s="4">
        <f t="shared" si="141"/>
        <v>0</v>
      </c>
      <c r="CP212" s="4">
        <f t="shared" si="142"/>
        <v>0</v>
      </c>
      <c r="CQ212" s="4">
        <f t="shared" si="143"/>
        <v>0</v>
      </c>
      <c r="CR212" s="4">
        <f t="shared" si="144"/>
        <v>0</v>
      </c>
      <c r="CS212" s="4">
        <f t="shared" si="145"/>
        <v>0</v>
      </c>
      <c r="CT212" s="4">
        <f t="shared" si="146"/>
        <v>0</v>
      </c>
      <c r="CU212" s="4">
        <f t="shared" si="147"/>
        <v>0</v>
      </c>
      <c r="CV212" s="4">
        <f t="shared" si="148"/>
        <v>0</v>
      </c>
      <c r="CW212" s="4">
        <f t="shared" si="149"/>
        <v>0</v>
      </c>
      <c r="CX212" s="4">
        <f t="shared" si="150"/>
        <v>0</v>
      </c>
      <c r="CY212" s="4">
        <f t="shared" si="151"/>
        <v>0</v>
      </c>
      <c r="CZ212" s="4">
        <f t="shared" si="152"/>
        <v>0</v>
      </c>
      <c r="DA212" s="4">
        <f t="shared" si="153"/>
        <v>0</v>
      </c>
      <c r="DB212" s="4">
        <f t="shared" si="154"/>
        <v>0</v>
      </c>
      <c r="DC212" s="4">
        <f t="shared" si="155"/>
        <v>0</v>
      </c>
      <c r="DD212" s="4">
        <f t="shared" si="156"/>
        <v>0</v>
      </c>
    </row>
    <row r="213" spans="1:108" x14ac:dyDescent="0.25">
      <c r="A213" s="41">
        <f>Skills!M195</f>
        <v>0</v>
      </c>
      <c r="B213" s="57" t="str">
        <f>Skills!N195</f>
        <v>Medical Engineering Skills</v>
      </c>
      <c r="C213" s="24">
        <f t="shared" si="157"/>
        <v>0</v>
      </c>
      <c r="D213" s="110" t="str">
        <f>Skills!S195</f>
        <v>- -</v>
      </c>
      <c r="E213" s="111" t="s">
        <v>782</v>
      </c>
      <c r="F213" s="18"/>
      <c r="G213" s="18"/>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49"/>
      <c r="BF213" s="4">
        <f t="shared" ref="BF213:BG278" si="159">IF(F213=1,(LEFT($E213,2))*1,IF(F213=2,((LEFT($E213,2))+(MID($E213,FIND("/",$E213)+2,2))),IF(F213=3,((LEFT($E213,2))+(MID($E213,FIND("/",$E213)+2,2))+(RIGHT($E213,2))),0)))</f>
        <v>0</v>
      </c>
      <c r="BG213" s="4">
        <f t="shared" si="159"/>
        <v>0</v>
      </c>
      <c r="BH213" s="4">
        <f t="shared" ref="BH213:BH278" si="160">IF(H213=1,(LEFT($E213,2))*1,IF(H213=2,((LEFT($E213,2))+(MID($E213,FIND("/",$E213)+2,2))),IF(H213=3,((LEFT($E213,2))+(MID($E213,FIND("/",$E213)+2,2))+(RIGHT($E213,2))),0)))</f>
        <v>0</v>
      </c>
      <c r="BI213" s="4">
        <f t="shared" ref="BI213:BI278" si="161">IF(I213=1,(LEFT($E213,2))*1,IF(I213=2,((LEFT($E213,2))+(MID($E213,FIND("/",$E213)+2,2))),IF(I213=3,((LEFT($E213,2))+(MID($E213,FIND("/",$E213)+2,2))+(RIGHT($E213,2))),0)))</f>
        <v>0</v>
      </c>
      <c r="BJ213" s="4">
        <f t="shared" ref="BJ213:BJ278" si="162">IF(J213=1,(LEFT($E213,2))*1,IF(J213=2,((LEFT($E213,2))+(MID($E213,FIND("/",$E213)+2,2))),IF(J213=3,((LEFT($E213,2))+(MID($E213,FIND("/",$E213)+2,2))+(RIGHT($E213,2))),0)))</f>
        <v>0</v>
      </c>
      <c r="BK213" s="4">
        <f t="shared" ref="BK213:BK278" si="163">IF(K213=1,(LEFT($E213,2))*1,IF(K213=2,((LEFT($E213,2))+(MID($E213,FIND("/",$E213)+2,2))),IF(K213=3,((LEFT($E213,2))+(MID($E213,FIND("/",$E213)+2,2))+(RIGHT($E213,2))),0)))</f>
        <v>0</v>
      </c>
      <c r="BL213" s="4">
        <f t="shared" ref="BL213:BL278" si="164">IF(L213=1,(LEFT($E213,2))*1,IF(L213=2,((LEFT($E213,2))+(MID($E213,FIND("/",$E213)+2,2))),IF(L213=3,((LEFT($E213,2))+(MID($E213,FIND("/",$E213)+2,2))+(RIGHT($E213,2))),0)))</f>
        <v>0</v>
      </c>
      <c r="BM213" s="4">
        <f t="shared" ref="BM213:BM278" si="165">IF(M213=1,(LEFT($E213,2))*1,IF(M213=2,((LEFT($E213,2))+(MID($E213,FIND("/",$E213)+2,2))),IF(M213=3,((LEFT($E213,2))+(MID($E213,FIND("/",$E213)+2,2))+(RIGHT($E213,2))),0)))</f>
        <v>0</v>
      </c>
      <c r="BN213" s="4">
        <f t="shared" ref="BN213:BN278" si="166">IF(N213=1,(LEFT($E213,2))*1,IF(N213=2,((LEFT($E213,2))+(MID($E213,FIND("/",$E213)+2,2))),IF(N213=3,((LEFT($E213,2))+(MID($E213,FIND("/",$E213)+2,2))+(RIGHT($E213,2))),0)))</f>
        <v>0</v>
      </c>
      <c r="BO213" s="4">
        <f t="shared" ref="BO213:BO278" si="167">IF(O213=1,(LEFT($E213,2))*1,IF(O213=2,((LEFT($E213,2))+(MID($E213,FIND("/",$E213)+2,2))),IF(O213=3,((LEFT($E213,2))+(MID($E213,FIND("/",$E213)+2,2))+(RIGHT($E213,2))),0)))</f>
        <v>0</v>
      </c>
      <c r="BP213" s="4">
        <f t="shared" ref="BP213:BP278" si="168">IF(P213=1,(LEFT($E213,2))*1,IF(P213=2,((LEFT($E213,2))+(MID($E213,FIND("/",$E213)+2,2))),IF(P213=3,((LEFT($E213,2))+(MID($E213,FIND("/",$E213)+2,2))+(RIGHT($E213,2))),0)))</f>
        <v>0</v>
      </c>
      <c r="BQ213" s="4">
        <f t="shared" ref="BQ213:BQ278" si="169">IF(Q213=1,(LEFT($E213,2))*1,IF(Q213=2,((LEFT($E213,2))+(MID($E213,FIND("/",$E213)+2,2))),IF(Q213=3,((LEFT($E213,2))+(MID($E213,FIND("/",$E213)+2,2))+(RIGHT($E213,2))),0)))</f>
        <v>0</v>
      </c>
      <c r="BR213" s="4">
        <f t="shared" ref="BR213:BR278" si="170">IF(R213=1,(LEFT($E213,2))*1,IF(R213=2,((LEFT($E213,2))+(MID($E213,FIND("/",$E213)+2,2))),IF(R213=3,((LEFT($E213,2))+(MID($E213,FIND("/",$E213)+2,2))+(RIGHT($E213,2))),0)))</f>
        <v>0</v>
      </c>
      <c r="BS213" s="4">
        <f t="shared" ref="BS213:BS278" si="171">IF(S213=1,(LEFT($E213,2))*1,IF(S213=2,((LEFT($E213,2))+(MID($E213,FIND("/",$E213)+2,2))),IF(S213=3,((LEFT($E213,2))+(MID($E213,FIND("/",$E213)+2,2))+(RIGHT($E213,2))),0)))</f>
        <v>0</v>
      </c>
      <c r="BT213" s="4">
        <f t="shared" ref="BT213:BT278" si="172">IF(T213=1,(LEFT($E213,2))*1,IF(T213=2,((LEFT($E213,2))+(MID($E213,FIND("/",$E213)+2,2))),IF(T213=3,((LEFT($E213,2))+(MID($E213,FIND("/",$E213)+2,2))+(RIGHT($E213,2))),0)))</f>
        <v>0</v>
      </c>
      <c r="BU213" s="4">
        <f t="shared" ref="BU213:BU278" si="173">IF(U213=1,(LEFT($E213,2))*1,IF(U213=2,((LEFT($E213,2))+(MID($E213,FIND("/",$E213)+2,2))),IF(U213=3,((LEFT($E213,2))+(MID($E213,FIND("/",$E213)+2,2))+(RIGHT($E213,2))),0)))</f>
        <v>0</v>
      </c>
      <c r="BV213" s="4">
        <f t="shared" ref="BV213:BV278" si="174">IF(V213=1,(LEFT($E213,2))*1,IF(V213=2,((LEFT($E213,2))+(MID($E213,FIND("/",$E213)+2,2))),IF(V213=3,((LEFT($E213,2))+(MID($E213,FIND("/",$E213)+2,2))+(RIGHT($E213,2))),0)))</f>
        <v>0</v>
      </c>
      <c r="BW213" s="4">
        <f t="shared" ref="BW213:BW278" si="175">IF(W213=1,(LEFT($E213,2))*1,IF(W213=2,((LEFT($E213,2))+(MID($E213,FIND("/",$E213)+2,2))),IF(W213=3,((LEFT($E213,2))+(MID($E213,FIND("/",$E213)+2,2))+(RIGHT($E213,2))),0)))</f>
        <v>0</v>
      </c>
      <c r="BX213" s="4">
        <f t="shared" ref="BX213:BX278" si="176">IF(X213=1,(LEFT($E213,2))*1,IF(X213=2,((LEFT($E213,2))+(MID($E213,FIND("/",$E213)+2,2))),IF(X213=3,((LEFT($E213,2))+(MID($E213,FIND("/",$E213)+2,2))+(RIGHT($E213,2))),0)))</f>
        <v>0</v>
      </c>
      <c r="BY213" s="4">
        <f t="shared" ref="BY213:BY278" si="177">IF(Y213=1,(LEFT($E213,2))*1,IF(Y213=2,((LEFT($E213,2))+(MID($E213,FIND("/",$E213)+2,2))),IF(Y213=3,((LEFT($E213,2))+(MID($E213,FIND("/",$E213)+2,2))+(RIGHT($E213,2))),0)))</f>
        <v>0</v>
      </c>
      <c r="BZ213" s="4">
        <f t="shared" ref="BZ213:BZ278" si="178">IF(Z213=1,(LEFT($E213,2))*1,IF(Z213=2,((LEFT($E213,2))+(MID($E213,FIND("/",$E213)+2,2))),IF(Z213=3,((LEFT($E213,2))+(MID($E213,FIND("/",$E213)+2,2))+(RIGHT($E213,2))),0)))</f>
        <v>0</v>
      </c>
      <c r="CA213" s="4">
        <f t="shared" ref="CA213:CA278" si="179">IF(AA213=1,(LEFT($E213,2))*1,IF(AA213=2,((LEFT($E213,2))+(MID($E213,FIND("/",$E213)+2,2))),IF(AA213=3,((LEFT($E213,2))+(MID($E213,FIND("/",$E213)+2,2))+(RIGHT($E213,2))),0)))</f>
        <v>0</v>
      </c>
      <c r="CB213" s="4">
        <f t="shared" ref="CB213:CB278" si="180">IF(AB213=1,(LEFT($E213,2))*1,IF(AB213=2,((LEFT($E213,2))+(MID($E213,FIND("/",$E213)+2,2))),IF(AB213=3,((LEFT($E213,2))+(MID($E213,FIND("/",$E213)+2,2))+(RIGHT($E213,2))),0)))</f>
        <v>0</v>
      </c>
      <c r="CC213" s="4">
        <f t="shared" ref="CC213:CC278" si="181">IF(AC213=1,(LEFT($E213,2))*1,IF(AC213=2,((LEFT($E213,2))+(MID($E213,FIND("/",$E213)+2,2))),IF(AC213=3,((LEFT($E213,2))+(MID($E213,FIND("/",$E213)+2,2))+(RIGHT($E213,2))),0)))</f>
        <v>0</v>
      </c>
      <c r="CD213" s="4">
        <f t="shared" ref="CD213:CD278" si="182">IF(AD213=1,(LEFT($E213,2))*1,IF(AD213=2,((LEFT($E213,2))+(MID($E213,FIND("/",$E213)+2,2))),IF(AD213=3,((LEFT($E213,2))+(MID($E213,FIND("/",$E213)+2,2))+(RIGHT($E213,2))),0)))</f>
        <v>0</v>
      </c>
      <c r="CE213" s="4">
        <f t="shared" ref="CE213:CE278" si="183">IF(AE213=1,(LEFT($E213,2))*1,IF(AE213=2,((LEFT($E213,2))+(MID($E213,FIND("/",$E213)+2,2))),IF(AE213=3,((LEFT($E213,2))+(MID($E213,FIND("/",$E213)+2,2))+(RIGHT($E213,2))),0)))</f>
        <v>0</v>
      </c>
      <c r="CF213" s="4">
        <f t="shared" ref="CF213:CF278" si="184">IF(AF213=1,(LEFT($E213,2))*1,IF(AF213=2,((LEFT($E213,2))+(MID($E213,FIND("/",$E213)+2,2))),IF(AF213=3,((LEFT($E213,2))+(MID($E213,FIND("/",$E213)+2,2))+(RIGHT($E213,2))),0)))</f>
        <v>0</v>
      </c>
      <c r="CG213" s="4">
        <f t="shared" ref="CG213:CG278" si="185">IF(AG213=1,(LEFT($E213,2))*1,IF(AG213=2,((LEFT($E213,2))+(MID($E213,FIND("/",$E213)+2,2))),IF(AG213=3,((LEFT($E213,2))+(MID($E213,FIND("/",$E213)+2,2))+(RIGHT($E213,2))),0)))</f>
        <v>0</v>
      </c>
      <c r="CH213" s="4">
        <f t="shared" ref="CH213:CH278" si="186">IF(AH213=1,(LEFT($E213,2))*1,IF(AH213=2,((LEFT($E213,2))+(MID($E213,FIND("/",$E213)+2,2))),IF(AH213=3,((LEFT($E213,2))+(MID($E213,FIND("/",$E213)+2,2))+(RIGHT($E213,2))),0)))</f>
        <v>0</v>
      </c>
      <c r="CI213" s="4">
        <f t="shared" ref="CI213:CI278" si="187">IF(AI213=1,(LEFT($E213,2))*1,IF(AI213=2,((LEFT($E213,2))+(MID($E213,FIND("/",$E213)+2,2))),IF(AI213=3,((LEFT($E213,2))+(MID($E213,FIND("/",$E213)+2,2))+(RIGHT($E213,2))),0)))</f>
        <v>0</v>
      </c>
      <c r="CJ213" s="4">
        <f t="shared" ref="CJ213:CJ278" si="188">IF(AJ213=1,(LEFT($E213,2))*1,IF(AJ213=2,((LEFT($E213,2))+(MID($E213,FIND("/",$E213)+2,2))),IF(AJ213=3,((LEFT($E213,2))+(MID($E213,FIND("/",$E213)+2,2))+(RIGHT($E213,2))),0)))</f>
        <v>0</v>
      </c>
      <c r="CK213" s="4">
        <f t="shared" ref="CK213:CK278" si="189">IF(AK213=1,(LEFT($E213,2))*1,IF(AK213=2,((LEFT($E213,2))+(MID($E213,FIND("/",$E213)+2,2))),IF(AK213=3,((LEFT($E213,2))+(MID($E213,FIND("/",$E213)+2,2))+(RIGHT($E213,2))),0)))</f>
        <v>0</v>
      </c>
      <c r="CL213" s="4">
        <f t="shared" ref="CL213:CL278" si="190">IF(AL213=1,(LEFT($E213,2))*1,IF(AL213=2,((LEFT($E213,2))+(MID($E213,FIND("/",$E213)+2,2))),IF(AL213=3,((LEFT($E213,2))+(MID($E213,FIND("/",$E213)+2,2))+(RIGHT($E213,2))),0)))</f>
        <v>0</v>
      </c>
      <c r="CM213" s="4">
        <f t="shared" ref="CM213:CM278" si="191">IF(AM213=1,(LEFT($E213,2))*1,IF(AM213=2,((LEFT($E213,2))+(MID($E213,FIND("/",$E213)+2,2))),IF(AM213=3,((LEFT($E213,2))+(MID($E213,FIND("/",$E213)+2,2))+(RIGHT($E213,2))),0)))</f>
        <v>0</v>
      </c>
      <c r="CN213" s="4">
        <f t="shared" ref="CN213:CN278" si="192">IF(AN213=1,(LEFT($E213,2))*1,IF(AN213=2,((LEFT($E213,2))+(MID($E213,FIND("/",$E213)+2,2))),IF(AN213=3,((LEFT($E213,2))+(MID($E213,FIND("/",$E213)+2,2))+(RIGHT($E213,2))),0)))</f>
        <v>0</v>
      </c>
      <c r="CO213" s="4">
        <f t="shared" ref="CO213:CO278" si="193">IF(AO213=1,(LEFT($E213,2))*1,IF(AO213=2,((LEFT($E213,2))+(MID($E213,FIND("/",$E213)+2,2))),IF(AO213=3,((LEFT($E213,2))+(MID($E213,FIND("/",$E213)+2,2))+(RIGHT($E213,2))),0)))</f>
        <v>0</v>
      </c>
      <c r="CP213" s="4">
        <f t="shared" ref="CP213:CP278" si="194">IF(AP213=1,(LEFT($E213,2))*1,IF(AP213=2,((LEFT($E213,2))+(MID($E213,FIND("/",$E213)+2,2))),IF(AP213=3,((LEFT($E213,2))+(MID($E213,FIND("/",$E213)+2,2))+(RIGHT($E213,2))),0)))</f>
        <v>0</v>
      </c>
      <c r="CQ213" s="4">
        <f t="shared" ref="CQ213:CQ278" si="195">IF(AQ213=1,(LEFT($E213,2))*1,IF(AQ213=2,((LEFT($E213,2))+(MID($E213,FIND("/",$E213)+2,2))),IF(AQ213=3,((LEFT($E213,2))+(MID($E213,FIND("/",$E213)+2,2))+(RIGHT($E213,2))),0)))</f>
        <v>0</v>
      </c>
      <c r="CR213" s="4">
        <f t="shared" ref="CR213:CR278" si="196">IF(AR213=1,(LEFT($E213,2))*1,IF(AR213=2,((LEFT($E213,2))+(MID($E213,FIND("/",$E213)+2,2))),IF(AR213=3,((LEFT($E213,2))+(MID($E213,FIND("/",$E213)+2,2))+(RIGHT($E213,2))),0)))</f>
        <v>0</v>
      </c>
      <c r="CS213" s="4">
        <f t="shared" ref="CS213:CS278" si="197">IF(AS213=1,(LEFT($E213,2))*1,IF(AS213=2,((LEFT($E213,2))+(MID($E213,FIND("/",$E213)+2,2))),IF(AS213=3,((LEFT($E213,2))+(MID($E213,FIND("/",$E213)+2,2))+(RIGHT($E213,2))),0)))</f>
        <v>0</v>
      </c>
      <c r="CT213" s="4">
        <f t="shared" ref="CT213:CT278" si="198">IF(AT213=1,(LEFT($E213,2))*1,IF(AT213=2,((LEFT($E213,2))+(MID($E213,FIND("/",$E213)+2,2))),IF(AT213=3,((LEFT($E213,2))+(MID($E213,FIND("/",$E213)+2,2))+(RIGHT($E213,2))),0)))</f>
        <v>0</v>
      </c>
      <c r="CU213" s="4">
        <f t="shared" ref="CU213:CU278" si="199">IF(AU213=1,(LEFT($E213,2))*1,IF(AU213=2,((LEFT($E213,2))+(MID($E213,FIND("/",$E213)+2,2))),IF(AU213=3,((LEFT($E213,2))+(MID($E213,FIND("/",$E213)+2,2))+(RIGHT($E213,2))),0)))</f>
        <v>0</v>
      </c>
      <c r="CV213" s="4">
        <f t="shared" ref="CV213:CV278" si="200">IF(AV213=1,(LEFT($E213,2))*1,IF(AV213=2,((LEFT($E213,2))+(MID($E213,FIND("/",$E213)+2,2))),IF(AV213=3,((LEFT($E213,2))+(MID($E213,FIND("/",$E213)+2,2))+(RIGHT($E213,2))),0)))</f>
        <v>0</v>
      </c>
      <c r="CW213" s="4">
        <f t="shared" ref="CW213:CW278" si="201">IF(AW213=1,(LEFT($E213,2))*1,IF(AW213=2,((LEFT($E213,2))+(MID($E213,FIND("/",$E213)+2,2))),IF(AW213=3,((LEFT($E213,2))+(MID($E213,FIND("/",$E213)+2,2))+(RIGHT($E213,2))),0)))</f>
        <v>0</v>
      </c>
      <c r="CX213" s="4">
        <f t="shared" ref="CX213:CX278" si="202">IF(AX213=1,(LEFT($E213,2))*1,IF(AX213=2,((LEFT($E213,2))+(MID($E213,FIND("/",$E213)+2,2))),IF(AX213=3,((LEFT($E213,2))+(MID($E213,FIND("/",$E213)+2,2))+(RIGHT($E213,2))),0)))</f>
        <v>0</v>
      </c>
      <c r="CY213" s="4">
        <f t="shared" ref="CY213:CY278" si="203">IF(AY213=1,(LEFT($E213,2))*1,IF(AY213=2,((LEFT($E213,2))+(MID($E213,FIND("/",$E213)+2,2))),IF(AY213=3,((LEFT($E213,2))+(MID($E213,FIND("/",$E213)+2,2))+(RIGHT($E213,2))),0)))</f>
        <v>0</v>
      </c>
      <c r="CZ213" s="4">
        <f t="shared" ref="CZ213:CZ278" si="204">IF(AZ213=1,(LEFT($E213,2))*1,IF(AZ213=2,((LEFT($E213,2))+(MID($E213,FIND("/",$E213)+2,2))),IF(AZ213=3,((LEFT($E213,2))+(MID($E213,FIND("/",$E213)+2,2))+(RIGHT($E213,2))),0)))</f>
        <v>0</v>
      </c>
      <c r="DA213" s="4">
        <f t="shared" ref="DA213:DA278" si="205">IF(BA213=1,(LEFT($E213,2))*1,IF(BA213=2,((LEFT($E213,2))+(MID($E213,FIND("/",$E213)+2,2))),IF(BA213=3,((LEFT($E213,2))+(MID($E213,FIND("/",$E213)+2,2))+(RIGHT($E213,2))),0)))</f>
        <v>0</v>
      </c>
      <c r="DB213" s="4">
        <f t="shared" ref="DB213:DB278" si="206">IF(BB213=1,(LEFT($E213,2))*1,IF(BB213=2,((LEFT($E213,2))+(MID($E213,FIND("/",$E213)+2,2))),IF(BB213=3,((LEFT($E213,2))+(MID($E213,FIND("/",$E213)+2,2))+(RIGHT($E213,2))),0)))</f>
        <v>0</v>
      </c>
      <c r="DC213" s="4">
        <f t="shared" ref="DC213:DC278" si="207">IF(BC213=1,(LEFT($E213,2))*1,IF(BC213=2,((LEFT($E213,2))+(MID($E213,FIND("/",$E213)+2,2))),IF(BC213=3,((LEFT($E213,2))+(MID($E213,FIND("/",$E213)+2,2))+(RIGHT($E213,2))),0)))</f>
        <v>0</v>
      </c>
      <c r="DD213" s="4">
        <f t="shared" ref="DD213:DD278" si="208">IF(BD213=1,(LEFT($E213,2))*1,IF(BD213=2,((LEFT($E213,2))+(MID($E213,FIND("/",$E213)+2,2))),IF(BD213=3,((LEFT($E213,2))+(MID($E213,FIND("/",$E213)+2,2))+(RIGHT($E213,2))),0)))</f>
        <v>0</v>
      </c>
    </row>
    <row r="214" spans="1:108" x14ac:dyDescent="0.25">
      <c r="A214" s="41" t="str">
        <f>Skills!M196</f>
        <v>Surgical Equipment Engineering</v>
      </c>
      <c r="B214" s="55" t="str">
        <f>Skills!N196</f>
        <v>Surgical Equipment Engineering</v>
      </c>
      <c r="C214" s="22">
        <f t="shared" si="157"/>
        <v>0</v>
      </c>
      <c r="D214" s="112" t="e">
        <f>Skills!S196</f>
        <v>#N/A</v>
      </c>
      <c r="E214" s="113" t="e">
        <f>Profession!$B$107</f>
        <v>#REF!</v>
      </c>
      <c r="F214" s="19"/>
      <c r="G214" s="19"/>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56"/>
      <c r="BF214" s="4">
        <f t="shared" si="159"/>
        <v>0</v>
      </c>
      <c r="BG214" s="4">
        <f t="shared" si="159"/>
        <v>0</v>
      </c>
      <c r="BH214" s="4">
        <f t="shared" si="160"/>
        <v>0</v>
      </c>
      <c r="BI214" s="4">
        <f t="shared" si="161"/>
        <v>0</v>
      </c>
      <c r="BJ214" s="4">
        <f t="shared" si="162"/>
        <v>0</v>
      </c>
      <c r="BK214" s="4">
        <f t="shared" si="163"/>
        <v>0</v>
      </c>
      <c r="BL214" s="4">
        <f t="shared" si="164"/>
        <v>0</v>
      </c>
      <c r="BM214" s="4">
        <f t="shared" si="165"/>
        <v>0</v>
      </c>
      <c r="BN214" s="4">
        <f t="shared" si="166"/>
        <v>0</v>
      </c>
      <c r="BO214" s="4">
        <f t="shared" si="167"/>
        <v>0</v>
      </c>
      <c r="BP214" s="4">
        <f t="shared" si="168"/>
        <v>0</v>
      </c>
      <c r="BQ214" s="4">
        <f t="shared" si="169"/>
        <v>0</v>
      </c>
      <c r="BR214" s="4">
        <f t="shared" si="170"/>
        <v>0</v>
      </c>
      <c r="BS214" s="4">
        <f t="shared" si="171"/>
        <v>0</v>
      </c>
      <c r="BT214" s="4">
        <f t="shared" si="172"/>
        <v>0</v>
      </c>
      <c r="BU214" s="4">
        <f t="shared" si="173"/>
        <v>0</v>
      </c>
      <c r="BV214" s="4">
        <f t="shared" si="174"/>
        <v>0</v>
      </c>
      <c r="BW214" s="4">
        <f t="shared" si="175"/>
        <v>0</v>
      </c>
      <c r="BX214" s="4">
        <f t="shared" si="176"/>
        <v>0</v>
      </c>
      <c r="BY214" s="4">
        <f t="shared" si="177"/>
        <v>0</v>
      </c>
      <c r="BZ214" s="4">
        <f t="shared" si="178"/>
        <v>0</v>
      </c>
      <c r="CA214" s="4">
        <f t="shared" si="179"/>
        <v>0</v>
      </c>
      <c r="CB214" s="4">
        <f t="shared" si="180"/>
        <v>0</v>
      </c>
      <c r="CC214" s="4">
        <f t="shared" si="181"/>
        <v>0</v>
      </c>
      <c r="CD214" s="4">
        <f t="shared" si="182"/>
        <v>0</v>
      </c>
      <c r="CE214" s="4">
        <f t="shared" si="183"/>
        <v>0</v>
      </c>
      <c r="CF214" s="4">
        <f t="shared" si="184"/>
        <v>0</v>
      </c>
      <c r="CG214" s="4">
        <f t="shared" si="185"/>
        <v>0</v>
      </c>
      <c r="CH214" s="4">
        <f t="shared" si="186"/>
        <v>0</v>
      </c>
      <c r="CI214" s="4">
        <f t="shared" si="187"/>
        <v>0</v>
      </c>
      <c r="CJ214" s="4">
        <f t="shared" si="188"/>
        <v>0</v>
      </c>
      <c r="CK214" s="4">
        <f t="shared" si="189"/>
        <v>0</v>
      </c>
      <c r="CL214" s="4">
        <f t="shared" si="190"/>
        <v>0</v>
      </c>
      <c r="CM214" s="4">
        <f t="shared" si="191"/>
        <v>0</v>
      </c>
      <c r="CN214" s="4">
        <f t="shared" si="192"/>
        <v>0</v>
      </c>
      <c r="CO214" s="4">
        <f t="shared" si="193"/>
        <v>0</v>
      </c>
      <c r="CP214" s="4">
        <f t="shared" si="194"/>
        <v>0</v>
      </c>
      <c r="CQ214" s="4">
        <f t="shared" si="195"/>
        <v>0</v>
      </c>
      <c r="CR214" s="4">
        <f t="shared" si="196"/>
        <v>0</v>
      </c>
      <c r="CS214" s="4">
        <f t="shared" si="197"/>
        <v>0</v>
      </c>
      <c r="CT214" s="4">
        <f t="shared" si="198"/>
        <v>0</v>
      </c>
      <c r="CU214" s="4">
        <f t="shared" si="199"/>
        <v>0</v>
      </c>
      <c r="CV214" s="4">
        <f t="shared" si="200"/>
        <v>0</v>
      </c>
      <c r="CW214" s="4">
        <f t="shared" si="201"/>
        <v>0</v>
      </c>
      <c r="CX214" s="4">
        <f t="shared" si="202"/>
        <v>0</v>
      </c>
      <c r="CY214" s="4">
        <f t="shared" si="203"/>
        <v>0</v>
      </c>
      <c r="CZ214" s="4">
        <f t="shared" si="204"/>
        <v>0</v>
      </c>
      <c r="DA214" s="4">
        <f t="shared" si="205"/>
        <v>0</v>
      </c>
      <c r="DB214" s="4">
        <f t="shared" si="206"/>
        <v>0</v>
      </c>
      <c r="DC214" s="4">
        <f t="shared" si="207"/>
        <v>0</v>
      </c>
      <c r="DD214" s="4">
        <f t="shared" si="208"/>
        <v>0</v>
      </c>
    </row>
    <row r="215" spans="1:108" x14ac:dyDescent="0.25">
      <c r="A215" s="41">
        <f>Skills!M197</f>
        <v>0</v>
      </c>
      <c r="B215" s="57" t="str">
        <f>Skills!N197</f>
        <v>Weapon Design Sub-category</v>
      </c>
      <c r="C215" s="24">
        <f t="shared" si="157"/>
        <v>0</v>
      </c>
      <c r="D215" s="110" t="str">
        <f>Skills!S197</f>
        <v>- -</v>
      </c>
      <c r="E215" s="111" t="s">
        <v>782</v>
      </c>
      <c r="F215" s="18"/>
      <c r="G215" s="18"/>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49"/>
      <c r="BF215" s="4">
        <f t="shared" si="159"/>
        <v>0</v>
      </c>
      <c r="BG215" s="4">
        <f t="shared" si="159"/>
        <v>0</v>
      </c>
      <c r="BH215" s="4">
        <f t="shared" si="160"/>
        <v>0</v>
      </c>
      <c r="BI215" s="4">
        <f t="shared" si="161"/>
        <v>0</v>
      </c>
      <c r="BJ215" s="4">
        <f t="shared" si="162"/>
        <v>0</v>
      </c>
      <c r="BK215" s="4">
        <f t="shared" si="163"/>
        <v>0</v>
      </c>
      <c r="BL215" s="4">
        <f t="shared" si="164"/>
        <v>0</v>
      </c>
      <c r="BM215" s="4">
        <f t="shared" si="165"/>
        <v>0</v>
      </c>
      <c r="BN215" s="4">
        <f t="shared" si="166"/>
        <v>0</v>
      </c>
      <c r="BO215" s="4">
        <f t="shared" si="167"/>
        <v>0</v>
      </c>
      <c r="BP215" s="4">
        <f t="shared" si="168"/>
        <v>0</v>
      </c>
      <c r="BQ215" s="4">
        <f t="shared" si="169"/>
        <v>0</v>
      </c>
      <c r="BR215" s="4">
        <f t="shared" si="170"/>
        <v>0</v>
      </c>
      <c r="BS215" s="4">
        <f t="shared" si="171"/>
        <v>0</v>
      </c>
      <c r="BT215" s="4">
        <f t="shared" si="172"/>
        <v>0</v>
      </c>
      <c r="BU215" s="4">
        <f t="shared" si="173"/>
        <v>0</v>
      </c>
      <c r="BV215" s="4">
        <f t="shared" si="174"/>
        <v>0</v>
      </c>
      <c r="BW215" s="4">
        <f t="shared" si="175"/>
        <v>0</v>
      </c>
      <c r="BX215" s="4">
        <f t="shared" si="176"/>
        <v>0</v>
      </c>
      <c r="BY215" s="4">
        <f t="shared" si="177"/>
        <v>0</v>
      </c>
      <c r="BZ215" s="4">
        <f t="shared" si="178"/>
        <v>0</v>
      </c>
      <c r="CA215" s="4">
        <f t="shared" si="179"/>
        <v>0</v>
      </c>
      <c r="CB215" s="4">
        <f t="shared" si="180"/>
        <v>0</v>
      </c>
      <c r="CC215" s="4">
        <f t="shared" si="181"/>
        <v>0</v>
      </c>
      <c r="CD215" s="4">
        <f t="shared" si="182"/>
        <v>0</v>
      </c>
      <c r="CE215" s="4">
        <f t="shared" si="183"/>
        <v>0</v>
      </c>
      <c r="CF215" s="4">
        <f t="shared" si="184"/>
        <v>0</v>
      </c>
      <c r="CG215" s="4">
        <f t="shared" si="185"/>
        <v>0</v>
      </c>
      <c r="CH215" s="4">
        <f t="shared" si="186"/>
        <v>0</v>
      </c>
      <c r="CI215" s="4">
        <f t="shared" si="187"/>
        <v>0</v>
      </c>
      <c r="CJ215" s="4">
        <f t="shared" si="188"/>
        <v>0</v>
      </c>
      <c r="CK215" s="4">
        <f t="shared" si="189"/>
        <v>0</v>
      </c>
      <c r="CL215" s="4">
        <f t="shared" si="190"/>
        <v>0</v>
      </c>
      <c r="CM215" s="4">
        <f t="shared" si="191"/>
        <v>0</v>
      </c>
      <c r="CN215" s="4">
        <f t="shared" si="192"/>
        <v>0</v>
      </c>
      <c r="CO215" s="4">
        <f t="shared" si="193"/>
        <v>0</v>
      </c>
      <c r="CP215" s="4">
        <f t="shared" si="194"/>
        <v>0</v>
      </c>
      <c r="CQ215" s="4">
        <f t="shared" si="195"/>
        <v>0</v>
      </c>
      <c r="CR215" s="4">
        <f t="shared" si="196"/>
        <v>0</v>
      </c>
      <c r="CS215" s="4">
        <f t="shared" si="197"/>
        <v>0</v>
      </c>
      <c r="CT215" s="4">
        <f t="shared" si="198"/>
        <v>0</v>
      </c>
      <c r="CU215" s="4">
        <f t="shared" si="199"/>
        <v>0</v>
      </c>
      <c r="CV215" s="4">
        <f t="shared" si="200"/>
        <v>0</v>
      </c>
      <c r="CW215" s="4">
        <f t="shared" si="201"/>
        <v>0</v>
      </c>
      <c r="CX215" s="4">
        <f t="shared" si="202"/>
        <v>0</v>
      </c>
      <c r="CY215" s="4">
        <f t="shared" si="203"/>
        <v>0</v>
      </c>
      <c r="CZ215" s="4">
        <f t="shared" si="204"/>
        <v>0</v>
      </c>
      <c r="DA215" s="4">
        <f t="shared" si="205"/>
        <v>0</v>
      </c>
      <c r="DB215" s="4">
        <f t="shared" si="206"/>
        <v>0</v>
      </c>
      <c r="DC215" s="4">
        <f t="shared" si="207"/>
        <v>0</v>
      </c>
      <c r="DD215" s="4">
        <f t="shared" si="208"/>
        <v>0</v>
      </c>
    </row>
    <row r="216" spans="1:108" x14ac:dyDescent="0.25">
      <c r="A216" s="41">
        <f>Skills!M198</f>
        <v>0</v>
      </c>
      <c r="B216" s="55" t="str">
        <f>Skills!N198</f>
        <v>Weapon Design Skills</v>
      </c>
      <c r="C216" s="22">
        <f t="shared" ref="C216:C281" si="209">SUM(F216:BD216)</f>
        <v>0</v>
      </c>
      <c r="D216" s="112" t="str">
        <f>Skills!S198</f>
        <v>- -</v>
      </c>
      <c r="E216" s="113" t="s">
        <v>782</v>
      </c>
      <c r="F216" s="19"/>
      <c r="G216" s="19"/>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56"/>
      <c r="BF216" s="4">
        <f t="shared" si="159"/>
        <v>0</v>
      </c>
      <c r="BG216" s="4">
        <f t="shared" si="159"/>
        <v>0</v>
      </c>
      <c r="BH216" s="4">
        <f t="shared" si="160"/>
        <v>0</v>
      </c>
      <c r="BI216" s="4">
        <f t="shared" si="161"/>
        <v>0</v>
      </c>
      <c r="BJ216" s="4">
        <f t="shared" si="162"/>
        <v>0</v>
      </c>
      <c r="BK216" s="4">
        <f t="shared" si="163"/>
        <v>0</v>
      </c>
      <c r="BL216" s="4">
        <f t="shared" si="164"/>
        <v>0</v>
      </c>
      <c r="BM216" s="4">
        <f t="shared" si="165"/>
        <v>0</v>
      </c>
      <c r="BN216" s="4">
        <f t="shared" si="166"/>
        <v>0</v>
      </c>
      <c r="BO216" s="4">
        <f t="shared" si="167"/>
        <v>0</v>
      </c>
      <c r="BP216" s="4">
        <f t="shared" si="168"/>
        <v>0</v>
      </c>
      <c r="BQ216" s="4">
        <f t="shared" si="169"/>
        <v>0</v>
      </c>
      <c r="BR216" s="4">
        <f t="shared" si="170"/>
        <v>0</v>
      </c>
      <c r="BS216" s="4">
        <f t="shared" si="171"/>
        <v>0</v>
      </c>
      <c r="BT216" s="4">
        <f t="shared" si="172"/>
        <v>0</v>
      </c>
      <c r="BU216" s="4">
        <f t="shared" si="173"/>
        <v>0</v>
      </c>
      <c r="BV216" s="4">
        <f t="shared" si="174"/>
        <v>0</v>
      </c>
      <c r="BW216" s="4">
        <f t="shared" si="175"/>
        <v>0</v>
      </c>
      <c r="BX216" s="4">
        <f t="shared" si="176"/>
        <v>0</v>
      </c>
      <c r="BY216" s="4">
        <f t="shared" si="177"/>
        <v>0</v>
      </c>
      <c r="BZ216" s="4">
        <f t="shared" si="178"/>
        <v>0</v>
      </c>
      <c r="CA216" s="4">
        <f t="shared" si="179"/>
        <v>0</v>
      </c>
      <c r="CB216" s="4">
        <f t="shared" si="180"/>
        <v>0</v>
      </c>
      <c r="CC216" s="4">
        <f t="shared" si="181"/>
        <v>0</v>
      </c>
      <c r="CD216" s="4">
        <f t="shared" si="182"/>
        <v>0</v>
      </c>
      <c r="CE216" s="4">
        <f t="shared" si="183"/>
        <v>0</v>
      </c>
      <c r="CF216" s="4">
        <f t="shared" si="184"/>
        <v>0</v>
      </c>
      <c r="CG216" s="4">
        <f t="shared" si="185"/>
        <v>0</v>
      </c>
      <c r="CH216" s="4">
        <f t="shared" si="186"/>
        <v>0</v>
      </c>
      <c r="CI216" s="4">
        <f t="shared" si="187"/>
        <v>0</v>
      </c>
      <c r="CJ216" s="4">
        <f t="shared" si="188"/>
        <v>0</v>
      </c>
      <c r="CK216" s="4">
        <f t="shared" si="189"/>
        <v>0</v>
      </c>
      <c r="CL216" s="4">
        <f t="shared" si="190"/>
        <v>0</v>
      </c>
      <c r="CM216" s="4">
        <f t="shared" si="191"/>
        <v>0</v>
      </c>
      <c r="CN216" s="4">
        <f t="shared" si="192"/>
        <v>0</v>
      </c>
      <c r="CO216" s="4">
        <f t="shared" si="193"/>
        <v>0</v>
      </c>
      <c r="CP216" s="4">
        <f t="shared" si="194"/>
        <v>0</v>
      </c>
      <c r="CQ216" s="4">
        <f t="shared" si="195"/>
        <v>0</v>
      </c>
      <c r="CR216" s="4">
        <f t="shared" si="196"/>
        <v>0</v>
      </c>
      <c r="CS216" s="4">
        <f t="shared" si="197"/>
        <v>0</v>
      </c>
      <c r="CT216" s="4">
        <f t="shared" si="198"/>
        <v>0</v>
      </c>
      <c r="CU216" s="4">
        <f t="shared" si="199"/>
        <v>0</v>
      </c>
      <c r="CV216" s="4">
        <f t="shared" si="200"/>
        <v>0</v>
      </c>
      <c r="CW216" s="4">
        <f t="shared" si="201"/>
        <v>0</v>
      </c>
      <c r="CX216" s="4">
        <f t="shared" si="202"/>
        <v>0</v>
      </c>
      <c r="CY216" s="4">
        <f t="shared" si="203"/>
        <v>0</v>
      </c>
      <c r="CZ216" s="4">
        <f t="shared" si="204"/>
        <v>0</v>
      </c>
      <c r="DA216" s="4">
        <f t="shared" si="205"/>
        <v>0</v>
      </c>
      <c r="DB216" s="4">
        <f t="shared" si="206"/>
        <v>0</v>
      </c>
      <c r="DC216" s="4">
        <f t="shared" si="207"/>
        <v>0</v>
      </c>
      <c r="DD216" s="4">
        <f t="shared" si="208"/>
        <v>0</v>
      </c>
    </row>
    <row r="217" spans="1:108" x14ac:dyDescent="0.25">
      <c r="A217" s="41" t="str">
        <f>Skills!M199</f>
        <v>Explosive Engineering</v>
      </c>
      <c r="B217" s="57" t="str">
        <f>Skills!N199</f>
        <v>Explosive Engineering</v>
      </c>
      <c r="C217" s="24">
        <f t="shared" si="209"/>
        <v>0</v>
      </c>
      <c r="D217" s="110" t="e">
        <f>Skills!S199</f>
        <v>#N/A</v>
      </c>
      <c r="E217" s="111" t="e">
        <f>Profession!$B$108</f>
        <v>#REF!</v>
      </c>
      <c r="F217" s="18"/>
      <c r="G217" s="18"/>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49"/>
      <c r="BF217" s="4">
        <f t="shared" si="159"/>
        <v>0</v>
      </c>
      <c r="BG217" s="4">
        <f t="shared" si="159"/>
        <v>0</v>
      </c>
      <c r="BH217" s="4">
        <f t="shared" si="160"/>
        <v>0</v>
      </c>
      <c r="BI217" s="4">
        <f t="shared" si="161"/>
        <v>0</v>
      </c>
      <c r="BJ217" s="4">
        <f t="shared" si="162"/>
        <v>0</v>
      </c>
      <c r="BK217" s="4">
        <f t="shared" si="163"/>
        <v>0</v>
      </c>
      <c r="BL217" s="4">
        <f t="shared" si="164"/>
        <v>0</v>
      </c>
      <c r="BM217" s="4">
        <f t="shared" si="165"/>
        <v>0</v>
      </c>
      <c r="BN217" s="4">
        <f t="shared" si="166"/>
        <v>0</v>
      </c>
      <c r="BO217" s="4">
        <f t="shared" si="167"/>
        <v>0</v>
      </c>
      <c r="BP217" s="4">
        <f t="shared" si="168"/>
        <v>0</v>
      </c>
      <c r="BQ217" s="4">
        <f t="shared" si="169"/>
        <v>0</v>
      </c>
      <c r="BR217" s="4">
        <f t="shared" si="170"/>
        <v>0</v>
      </c>
      <c r="BS217" s="4">
        <f t="shared" si="171"/>
        <v>0</v>
      </c>
      <c r="BT217" s="4">
        <f t="shared" si="172"/>
        <v>0</v>
      </c>
      <c r="BU217" s="4">
        <f t="shared" si="173"/>
        <v>0</v>
      </c>
      <c r="BV217" s="4">
        <f t="shared" si="174"/>
        <v>0</v>
      </c>
      <c r="BW217" s="4">
        <f t="shared" si="175"/>
        <v>0</v>
      </c>
      <c r="BX217" s="4">
        <f t="shared" si="176"/>
        <v>0</v>
      </c>
      <c r="BY217" s="4">
        <f t="shared" si="177"/>
        <v>0</v>
      </c>
      <c r="BZ217" s="4">
        <f t="shared" si="178"/>
        <v>0</v>
      </c>
      <c r="CA217" s="4">
        <f t="shared" si="179"/>
        <v>0</v>
      </c>
      <c r="CB217" s="4">
        <f t="shared" si="180"/>
        <v>0</v>
      </c>
      <c r="CC217" s="4">
        <f t="shared" si="181"/>
        <v>0</v>
      </c>
      <c r="CD217" s="4">
        <f t="shared" si="182"/>
        <v>0</v>
      </c>
      <c r="CE217" s="4">
        <f t="shared" si="183"/>
        <v>0</v>
      </c>
      <c r="CF217" s="4">
        <f t="shared" si="184"/>
        <v>0</v>
      </c>
      <c r="CG217" s="4">
        <f t="shared" si="185"/>
        <v>0</v>
      </c>
      <c r="CH217" s="4">
        <f t="shared" si="186"/>
        <v>0</v>
      </c>
      <c r="CI217" s="4">
        <f t="shared" si="187"/>
        <v>0</v>
      </c>
      <c r="CJ217" s="4">
        <f t="shared" si="188"/>
        <v>0</v>
      </c>
      <c r="CK217" s="4">
        <f t="shared" si="189"/>
        <v>0</v>
      </c>
      <c r="CL217" s="4">
        <f t="shared" si="190"/>
        <v>0</v>
      </c>
      <c r="CM217" s="4">
        <f t="shared" si="191"/>
        <v>0</v>
      </c>
      <c r="CN217" s="4">
        <f t="shared" si="192"/>
        <v>0</v>
      </c>
      <c r="CO217" s="4">
        <f t="shared" si="193"/>
        <v>0</v>
      </c>
      <c r="CP217" s="4">
        <f t="shared" si="194"/>
        <v>0</v>
      </c>
      <c r="CQ217" s="4">
        <f t="shared" si="195"/>
        <v>0</v>
      </c>
      <c r="CR217" s="4">
        <f t="shared" si="196"/>
        <v>0</v>
      </c>
      <c r="CS217" s="4">
        <f t="shared" si="197"/>
        <v>0</v>
      </c>
      <c r="CT217" s="4">
        <f t="shared" si="198"/>
        <v>0</v>
      </c>
      <c r="CU217" s="4">
        <f t="shared" si="199"/>
        <v>0</v>
      </c>
      <c r="CV217" s="4">
        <f t="shared" si="200"/>
        <v>0</v>
      </c>
      <c r="CW217" s="4">
        <f t="shared" si="201"/>
        <v>0</v>
      </c>
      <c r="CX217" s="4">
        <f t="shared" si="202"/>
        <v>0</v>
      </c>
      <c r="CY217" s="4">
        <f t="shared" si="203"/>
        <v>0</v>
      </c>
      <c r="CZ217" s="4">
        <f t="shared" si="204"/>
        <v>0</v>
      </c>
      <c r="DA217" s="4">
        <f t="shared" si="205"/>
        <v>0</v>
      </c>
      <c r="DB217" s="4">
        <f t="shared" si="206"/>
        <v>0</v>
      </c>
      <c r="DC217" s="4">
        <f t="shared" si="207"/>
        <v>0</v>
      </c>
      <c r="DD217" s="4">
        <f t="shared" si="208"/>
        <v>0</v>
      </c>
    </row>
    <row r="218" spans="1:108" x14ac:dyDescent="0.25">
      <c r="A218" s="41" t="str">
        <f>Skills!M200</f>
        <v>Mounted Projectile Engineering</v>
      </c>
      <c r="B218" s="55" t="str">
        <f>Skills!N200</f>
        <v>Mounted Projectile Engineering</v>
      </c>
      <c r="C218" s="22">
        <f t="shared" si="209"/>
        <v>0</v>
      </c>
      <c r="D218" s="112" t="e">
        <f>Skills!S200</f>
        <v>#N/A</v>
      </c>
      <c r="E218" s="113" t="e">
        <f>Profession!$B$108</f>
        <v>#REF!</v>
      </c>
      <c r="F218" s="19"/>
      <c r="G218" s="19"/>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56"/>
      <c r="BF218" s="4">
        <f t="shared" si="159"/>
        <v>0</v>
      </c>
      <c r="BG218" s="4">
        <f t="shared" si="159"/>
        <v>0</v>
      </c>
      <c r="BH218" s="4">
        <f t="shared" si="160"/>
        <v>0</v>
      </c>
      <c r="BI218" s="4">
        <f t="shared" si="161"/>
        <v>0</v>
      </c>
      <c r="BJ218" s="4">
        <f t="shared" si="162"/>
        <v>0</v>
      </c>
      <c r="BK218" s="4">
        <f t="shared" si="163"/>
        <v>0</v>
      </c>
      <c r="BL218" s="4">
        <f t="shared" si="164"/>
        <v>0</v>
      </c>
      <c r="BM218" s="4">
        <f t="shared" si="165"/>
        <v>0</v>
      </c>
      <c r="BN218" s="4">
        <f t="shared" si="166"/>
        <v>0</v>
      </c>
      <c r="BO218" s="4">
        <f t="shared" si="167"/>
        <v>0</v>
      </c>
      <c r="BP218" s="4">
        <f t="shared" si="168"/>
        <v>0</v>
      </c>
      <c r="BQ218" s="4">
        <f t="shared" si="169"/>
        <v>0</v>
      </c>
      <c r="BR218" s="4">
        <f t="shared" si="170"/>
        <v>0</v>
      </c>
      <c r="BS218" s="4">
        <f t="shared" si="171"/>
        <v>0</v>
      </c>
      <c r="BT218" s="4">
        <f t="shared" si="172"/>
        <v>0</v>
      </c>
      <c r="BU218" s="4">
        <f t="shared" si="173"/>
        <v>0</v>
      </c>
      <c r="BV218" s="4">
        <f t="shared" si="174"/>
        <v>0</v>
      </c>
      <c r="BW218" s="4">
        <f t="shared" si="175"/>
        <v>0</v>
      </c>
      <c r="BX218" s="4">
        <f t="shared" si="176"/>
        <v>0</v>
      </c>
      <c r="BY218" s="4">
        <f t="shared" si="177"/>
        <v>0</v>
      </c>
      <c r="BZ218" s="4">
        <f t="shared" si="178"/>
        <v>0</v>
      </c>
      <c r="CA218" s="4">
        <f t="shared" si="179"/>
        <v>0</v>
      </c>
      <c r="CB218" s="4">
        <f t="shared" si="180"/>
        <v>0</v>
      </c>
      <c r="CC218" s="4">
        <f t="shared" si="181"/>
        <v>0</v>
      </c>
      <c r="CD218" s="4">
        <f t="shared" si="182"/>
        <v>0</v>
      </c>
      <c r="CE218" s="4">
        <f t="shared" si="183"/>
        <v>0</v>
      </c>
      <c r="CF218" s="4">
        <f t="shared" si="184"/>
        <v>0</v>
      </c>
      <c r="CG218" s="4">
        <f t="shared" si="185"/>
        <v>0</v>
      </c>
      <c r="CH218" s="4">
        <f t="shared" si="186"/>
        <v>0</v>
      </c>
      <c r="CI218" s="4">
        <f t="shared" si="187"/>
        <v>0</v>
      </c>
      <c r="CJ218" s="4">
        <f t="shared" si="188"/>
        <v>0</v>
      </c>
      <c r="CK218" s="4">
        <f t="shared" si="189"/>
        <v>0</v>
      </c>
      <c r="CL218" s="4">
        <f t="shared" si="190"/>
        <v>0</v>
      </c>
      <c r="CM218" s="4">
        <f t="shared" si="191"/>
        <v>0</v>
      </c>
      <c r="CN218" s="4">
        <f t="shared" si="192"/>
        <v>0</v>
      </c>
      <c r="CO218" s="4">
        <f t="shared" si="193"/>
        <v>0</v>
      </c>
      <c r="CP218" s="4">
        <f t="shared" si="194"/>
        <v>0</v>
      </c>
      <c r="CQ218" s="4">
        <f t="shared" si="195"/>
        <v>0</v>
      </c>
      <c r="CR218" s="4">
        <f t="shared" si="196"/>
        <v>0</v>
      </c>
      <c r="CS218" s="4">
        <f t="shared" si="197"/>
        <v>0</v>
      </c>
      <c r="CT218" s="4">
        <f t="shared" si="198"/>
        <v>0</v>
      </c>
      <c r="CU218" s="4">
        <f t="shared" si="199"/>
        <v>0</v>
      </c>
      <c r="CV218" s="4">
        <f t="shared" si="200"/>
        <v>0</v>
      </c>
      <c r="CW218" s="4">
        <f t="shared" si="201"/>
        <v>0</v>
      </c>
      <c r="CX218" s="4">
        <f t="shared" si="202"/>
        <v>0</v>
      </c>
      <c r="CY218" s="4">
        <f t="shared" si="203"/>
        <v>0</v>
      </c>
      <c r="CZ218" s="4">
        <f t="shared" si="204"/>
        <v>0</v>
      </c>
      <c r="DA218" s="4">
        <f t="shared" si="205"/>
        <v>0</v>
      </c>
      <c r="DB218" s="4">
        <f t="shared" si="206"/>
        <v>0</v>
      </c>
      <c r="DC218" s="4">
        <f t="shared" si="207"/>
        <v>0</v>
      </c>
      <c r="DD218" s="4">
        <f t="shared" si="208"/>
        <v>0</v>
      </c>
    </row>
    <row r="219" spans="1:108" x14ac:dyDescent="0.25">
      <c r="A219" s="41" t="str">
        <f>Skills!M201</f>
        <v>Projectile Weapon Engineering</v>
      </c>
      <c r="B219" s="57" t="str">
        <f>Skills!N201</f>
        <v>Projectile Weapon Engineering</v>
      </c>
      <c r="C219" s="24">
        <f t="shared" si="209"/>
        <v>0</v>
      </c>
      <c r="D219" s="110" t="e">
        <f>Skills!S201</f>
        <v>#N/A</v>
      </c>
      <c r="E219" s="111" t="e">
        <f>Profession!$B$108</f>
        <v>#REF!</v>
      </c>
      <c r="F219" s="18"/>
      <c r="G219" s="18"/>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49"/>
      <c r="BF219" s="4">
        <f t="shared" si="159"/>
        <v>0</v>
      </c>
      <c r="BG219" s="4">
        <f t="shared" si="159"/>
        <v>0</v>
      </c>
      <c r="BH219" s="4">
        <f t="shared" si="160"/>
        <v>0</v>
      </c>
      <c r="BI219" s="4">
        <f t="shared" si="161"/>
        <v>0</v>
      </c>
      <c r="BJ219" s="4">
        <f t="shared" si="162"/>
        <v>0</v>
      </c>
      <c r="BK219" s="4">
        <f t="shared" si="163"/>
        <v>0</v>
      </c>
      <c r="BL219" s="4">
        <f t="shared" si="164"/>
        <v>0</v>
      </c>
      <c r="BM219" s="4">
        <f t="shared" si="165"/>
        <v>0</v>
      </c>
      <c r="BN219" s="4">
        <f t="shared" si="166"/>
        <v>0</v>
      </c>
      <c r="BO219" s="4">
        <f t="shared" si="167"/>
        <v>0</v>
      </c>
      <c r="BP219" s="4">
        <f t="shared" si="168"/>
        <v>0</v>
      </c>
      <c r="BQ219" s="4">
        <f t="shared" si="169"/>
        <v>0</v>
      </c>
      <c r="BR219" s="4">
        <f t="shared" si="170"/>
        <v>0</v>
      </c>
      <c r="BS219" s="4">
        <f t="shared" si="171"/>
        <v>0</v>
      </c>
      <c r="BT219" s="4">
        <f t="shared" si="172"/>
        <v>0</v>
      </c>
      <c r="BU219" s="4">
        <f t="shared" si="173"/>
        <v>0</v>
      </c>
      <c r="BV219" s="4">
        <f t="shared" si="174"/>
        <v>0</v>
      </c>
      <c r="BW219" s="4">
        <f t="shared" si="175"/>
        <v>0</v>
      </c>
      <c r="BX219" s="4">
        <f t="shared" si="176"/>
        <v>0</v>
      </c>
      <c r="BY219" s="4">
        <f t="shared" si="177"/>
        <v>0</v>
      </c>
      <c r="BZ219" s="4">
        <f t="shared" si="178"/>
        <v>0</v>
      </c>
      <c r="CA219" s="4">
        <f t="shared" si="179"/>
        <v>0</v>
      </c>
      <c r="CB219" s="4">
        <f t="shared" si="180"/>
        <v>0</v>
      </c>
      <c r="CC219" s="4">
        <f t="shared" si="181"/>
        <v>0</v>
      </c>
      <c r="CD219" s="4">
        <f t="shared" si="182"/>
        <v>0</v>
      </c>
      <c r="CE219" s="4">
        <f t="shared" si="183"/>
        <v>0</v>
      </c>
      <c r="CF219" s="4">
        <f t="shared" si="184"/>
        <v>0</v>
      </c>
      <c r="CG219" s="4">
        <f t="shared" si="185"/>
        <v>0</v>
      </c>
      <c r="CH219" s="4">
        <f t="shared" si="186"/>
        <v>0</v>
      </c>
      <c r="CI219" s="4">
        <f t="shared" si="187"/>
        <v>0</v>
      </c>
      <c r="CJ219" s="4">
        <f t="shared" si="188"/>
        <v>0</v>
      </c>
      <c r="CK219" s="4">
        <f t="shared" si="189"/>
        <v>0</v>
      </c>
      <c r="CL219" s="4">
        <f t="shared" si="190"/>
        <v>0</v>
      </c>
      <c r="CM219" s="4">
        <f t="shared" si="191"/>
        <v>0</v>
      </c>
      <c r="CN219" s="4">
        <f t="shared" si="192"/>
        <v>0</v>
      </c>
      <c r="CO219" s="4">
        <f t="shared" si="193"/>
        <v>0</v>
      </c>
      <c r="CP219" s="4">
        <f t="shared" si="194"/>
        <v>0</v>
      </c>
      <c r="CQ219" s="4">
        <f t="shared" si="195"/>
        <v>0</v>
      </c>
      <c r="CR219" s="4">
        <f t="shared" si="196"/>
        <v>0</v>
      </c>
      <c r="CS219" s="4">
        <f t="shared" si="197"/>
        <v>0</v>
      </c>
      <c r="CT219" s="4">
        <f t="shared" si="198"/>
        <v>0</v>
      </c>
      <c r="CU219" s="4">
        <f t="shared" si="199"/>
        <v>0</v>
      </c>
      <c r="CV219" s="4">
        <f t="shared" si="200"/>
        <v>0</v>
      </c>
      <c r="CW219" s="4">
        <f t="shared" si="201"/>
        <v>0</v>
      </c>
      <c r="CX219" s="4">
        <f t="shared" si="202"/>
        <v>0</v>
      </c>
      <c r="CY219" s="4">
        <f t="shared" si="203"/>
        <v>0</v>
      </c>
      <c r="CZ219" s="4">
        <f t="shared" si="204"/>
        <v>0</v>
      </c>
      <c r="DA219" s="4">
        <f t="shared" si="205"/>
        <v>0</v>
      </c>
      <c r="DB219" s="4">
        <f t="shared" si="206"/>
        <v>0</v>
      </c>
      <c r="DC219" s="4">
        <f t="shared" si="207"/>
        <v>0</v>
      </c>
      <c r="DD219" s="4">
        <f t="shared" si="208"/>
        <v>0</v>
      </c>
    </row>
    <row r="220" spans="1:108" x14ac:dyDescent="0.25">
      <c r="A220" s="41">
        <f>Skills!M202</f>
        <v>0</v>
      </c>
      <c r="B220" s="55" t="str">
        <f>Skills!N202</f>
        <v>Environmental Category</v>
      </c>
      <c r="C220" s="22">
        <f t="shared" si="209"/>
        <v>0</v>
      </c>
      <c r="D220" s="112" t="str">
        <f>Skills!S202</f>
        <v>- -</v>
      </c>
      <c r="E220" s="113" t="s">
        <v>782</v>
      </c>
      <c r="F220" s="19"/>
      <c r="G220" s="19"/>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56"/>
      <c r="BF220" s="4">
        <f t="shared" si="159"/>
        <v>0</v>
      </c>
      <c r="BG220" s="4">
        <f t="shared" si="159"/>
        <v>0</v>
      </c>
      <c r="BH220" s="4">
        <f t="shared" si="160"/>
        <v>0</v>
      </c>
      <c r="BI220" s="4">
        <f t="shared" si="161"/>
        <v>0</v>
      </c>
      <c r="BJ220" s="4">
        <f t="shared" si="162"/>
        <v>0</v>
      </c>
      <c r="BK220" s="4">
        <f t="shared" si="163"/>
        <v>0</v>
      </c>
      <c r="BL220" s="4">
        <f t="shared" si="164"/>
        <v>0</v>
      </c>
      <c r="BM220" s="4">
        <f t="shared" si="165"/>
        <v>0</v>
      </c>
      <c r="BN220" s="4">
        <f t="shared" si="166"/>
        <v>0</v>
      </c>
      <c r="BO220" s="4">
        <f t="shared" si="167"/>
        <v>0</v>
      </c>
      <c r="BP220" s="4">
        <f t="shared" si="168"/>
        <v>0</v>
      </c>
      <c r="BQ220" s="4">
        <f t="shared" si="169"/>
        <v>0</v>
      </c>
      <c r="BR220" s="4">
        <f t="shared" si="170"/>
        <v>0</v>
      </c>
      <c r="BS220" s="4">
        <f t="shared" si="171"/>
        <v>0</v>
      </c>
      <c r="BT220" s="4">
        <f t="shared" si="172"/>
        <v>0</v>
      </c>
      <c r="BU220" s="4">
        <f t="shared" si="173"/>
        <v>0</v>
      </c>
      <c r="BV220" s="4">
        <f t="shared" si="174"/>
        <v>0</v>
      </c>
      <c r="BW220" s="4">
        <f t="shared" si="175"/>
        <v>0</v>
      </c>
      <c r="BX220" s="4">
        <f t="shared" si="176"/>
        <v>0</v>
      </c>
      <c r="BY220" s="4">
        <f t="shared" si="177"/>
        <v>0</v>
      </c>
      <c r="BZ220" s="4">
        <f t="shared" si="178"/>
        <v>0</v>
      </c>
      <c r="CA220" s="4">
        <f t="shared" si="179"/>
        <v>0</v>
      </c>
      <c r="CB220" s="4">
        <f t="shared" si="180"/>
        <v>0</v>
      </c>
      <c r="CC220" s="4">
        <f t="shared" si="181"/>
        <v>0</v>
      </c>
      <c r="CD220" s="4">
        <f t="shared" si="182"/>
        <v>0</v>
      </c>
      <c r="CE220" s="4">
        <f t="shared" si="183"/>
        <v>0</v>
      </c>
      <c r="CF220" s="4">
        <f t="shared" si="184"/>
        <v>0</v>
      </c>
      <c r="CG220" s="4">
        <f t="shared" si="185"/>
        <v>0</v>
      </c>
      <c r="CH220" s="4">
        <f t="shared" si="186"/>
        <v>0</v>
      </c>
      <c r="CI220" s="4">
        <f t="shared" si="187"/>
        <v>0</v>
      </c>
      <c r="CJ220" s="4">
        <f t="shared" si="188"/>
        <v>0</v>
      </c>
      <c r="CK220" s="4">
        <f t="shared" si="189"/>
        <v>0</v>
      </c>
      <c r="CL220" s="4">
        <f t="shared" si="190"/>
        <v>0</v>
      </c>
      <c r="CM220" s="4">
        <f t="shared" si="191"/>
        <v>0</v>
      </c>
      <c r="CN220" s="4">
        <f t="shared" si="192"/>
        <v>0</v>
      </c>
      <c r="CO220" s="4">
        <f t="shared" si="193"/>
        <v>0</v>
      </c>
      <c r="CP220" s="4">
        <f t="shared" si="194"/>
        <v>0</v>
      </c>
      <c r="CQ220" s="4">
        <f t="shared" si="195"/>
        <v>0</v>
      </c>
      <c r="CR220" s="4">
        <f t="shared" si="196"/>
        <v>0</v>
      </c>
      <c r="CS220" s="4">
        <f t="shared" si="197"/>
        <v>0</v>
      </c>
      <c r="CT220" s="4">
        <f t="shared" si="198"/>
        <v>0</v>
      </c>
      <c r="CU220" s="4">
        <f t="shared" si="199"/>
        <v>0</v>
      </c>
      <c r="CV220" s="4">
        <f t="shared" si="200"/>
        <v>0</v>
      </c>
      <c r="CW220" s="4">
        <f t="shared" si="201"/>
        <v>0</v>
      </c>
      <c r="CX220" s="4">
        <f t="shared" si="202"/>
        <v>0</v>
      </c>
      <c r="CY220" s="4">
        <f t="shared" si="203"/>
        <v>0</v>
      </c>
      <c r="CZ220" s="4">
        <f t="shared" si="204"/>
        <v>0</v>
      </c>
      <c r="DA220" s="4">
        <f t="shared" si="205"/>
        <v>0</v>
      </c>
      <c r="DB220" s="4">
        <f t="shared" si="206"/>
        <v>0</v>
      </c>
      <c r="DC220" s="4">
        <f t="shared" si="207"/>
        <v>0</v>
      </c>
      <c r="DD220" s="4">
        <f t="shared" si="208"/>
        <v>0</v>
      </c>
    </row>
    <row r="221" spans="1:108" x14ac:dyDescent="0.25">
      <c r="A221" s="41">
        <f>Skills!M203</f>
        <v>0</v>
      </c>
      <c r="B221" s="57" t="str">
        <f>Skills!N203</f>
        <v>Environmental Skills</v>
      </c>
      <c r="C221" s="24">
        <f t="shared" si="209"/>
        <v>0</v>
      </c>
      <c r="D221" s="110" t="str">
        <f>Skills!S203</f>
        <v>- -</v>
      </c>
      <c r="E221" s="111" t="s">
        <v>782</v>
      </c>
      <c r="F221" s="18"/>
      <c r="G221" s="18"/>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49"/>
      <c r="BF221" s="4">
        <f t="shared" si="159"/>
        <v>0</v>
      </c>
      <c r="BG221" s="4">
        <f t="shared" si="159"/>
        <v>0</v>
      </c>
      <c r="BH221" s="4">
        <f t="shared" si="160"/>
        <v>0</v>
      </c>
      <c r="BI221" s="4">
        <f t="shared" si="161"/>
        <v>0</v>
      </c>
      <c r="BJ221" s="4">
        <f t="shared" si="162"/>
        <v>0</v>
      </c>
      <c r="BK221" s="4">
        <f t="shared" si="163"/>
        <v>0</v>
      </c>
      <c r="BL221" s="4">
        <f t="shared" si="164"/>
        <v>0</v>
      </c>
      <c r="BM221" s="4">
        <f t="shared" si="165"/>
        <v>0</v>
      </c>
      <c r="BN221" s="4">
        <f t="shared" si="166"/>
        <v>0</v>
      </c>
      <c r="BO221" s="4">
        <f t="shared" si="167"/>
        <v>0</v>
      </c>
      <c r="BP221" s="4">
        <f t="shared" si="168"/>
        <v>0</v>
      </c>
      <c r="BQ221" s="4">
        <f t="shared" si="169"/>
        <v>0</v>
      </c>
      <c r="BR221" s="4">
        <f t="shared" si="170"/>
        <v>0</v>
      </c>
      <c r="BS221" s="4">
        <f t="shared" si="171"/>
        <v>0</v>
      </c>
      <c r="BT221" s="4">
        <f t="shared" si="172"/>
        <v>0</v>
      </c>
      <c r="BU221" s="4">
        <f t="shared" si="173"/>
        <v>0</v>
      </c>
      <c r="BV221" s="4">
        <f t="shared" si="174"/>
        <v>0</v>
      </c>
      <c r="BW221" s="4">
        <f t="shared" si="175"/>
        <v>0</v>
      </c>
      <c r="BX221" s="4">
        <f t="shared" si="176"/>
        <v>0</v>
      </c>
      <c r="BY221" s="4">
        <f t="shared" si="177"/>
        <v>0</v>
      </c>
      <c r="BZ221" s="4">
        <f t="shared" si="178"/>
        <v>0</v>
      </c>
      <c r="CA221" s="4">
        <f t="shared" si="179"/>
        <v>0</v>
      </c>
      <c r="CB221" s="4">
        <f t="shared" si="180"/>
        <v>0</v>
      </c>
      <c r="CC221" s="4">
        <f t="shared" si="181"/>
        <v>0</v>
      </c>
      <c r="CD221" s="4">
        <f t="shared" si="182"/>
        <v>0</v>
      </c>
      <c r="CE221" s="4">
        <f t="shared" si="183"/>
        <v>0</v>
      </c>
      <c r="CF221" s="4">
        <f t="shared" si="184"/>
        <v>0</v>
      </c>
      <c r="CG221" s="4">
        <f t="shared" si="185"/>
        <v>0</v>
      </c>
      <c r="CH221" s="4">
        <f t="shared" si="186"/>
        <v>0</v>
      </c>
      <c r="CI221" s="4">
        <f t="shared" si="187"/>
        <v>0</v>
      </c>
      <c r="CJ221" s="4">
        <f t="shared" si="188"/>
        <v>0</v>
      </c>
      <c r="CK221" s="4">
        <f t="shared" si="189"/>
        <v>0</v>
      </c>
      <c r="CL221" s="4">
        <f t="shared" si="190"/>
        <v>0</v>
      </c>
      <c r="CM221" s="4">
        <f t="shared" si="191"/>
        <v>0</v>
      </c>
      <c r="CN221" s="4">
        <f t="shared" si="192"/>
        <v>0</v>
      </c>
      <c r="CO221" s="4">
        <f t="shared" si="193"/>
        <v>0</v>
      </c>
      <c r="CP221" s="4">
        <f t="shared" si="194"/>
        <v>0</v>
      </c>
      <c r="CQ221" s="4">
        <f t="shared" si="195"/>
        <v>0</v>
      </c>
      <c r="CR221" s="4">
        <f t="shared" si="196"/>
        <v>0</v>
      </c>
      <c r="CS221" s="4">
        <f t="shared" si="197"/>
        <v>0</v>
      </c>
      <c r="CT221" s="4">
        <f t="shared" si="198"/>
        <v>0</v>
      </c>
      <c r="CU221" s="4">
        <f t="shared" si="199"/>
        <v>0</v>
      </c>
      <c r="CV221" s="4">
        <f t="shared" si="200"/>
        <v>0</v>
      </c>
      <c r="CW221" s="4">
        <f t="shared" si="201"/>
        <v>0</v>
      </c>
      <c r="CX221" s="4">
        <f t="shared" si="202"/>
        <v>0</v>
      </c>
      <c r="CY221" s="4">
        <f t="shared" si="203"/>
        <v>0</v>
      </c>
      <c r="CZ221" s="4">
        <f t="shared" si="204"/>
        <v>0</v>
      </c>
      <c r="DA221" s="4">
        <f t="shared" si="205"/>
        <v>0</v>
      </c>
      <c r="DB221" s="4">
        <f t="shared" si="206"/>
        <v>0</v>
      </c>
      <c r="DC221" s="4">
        <f t="shared" si="207"/>
        <v>0</v>
      </c>
      <c r="DD221" s="4">
        <f t="shared" si="208"/>
        <v>0</v>
      </c>
    </row>
    <row r="222" spans="1:108" x14ac:dyDescent="0.25">
      <c r="A222" s="41">
        <f>Skills!M204</f>
        <v>0</v>
      </c>
      <c r="B222" s="55" t="str">
        <f>Skills!N204</f>
        <v>Environmental Sub-category</v>
      </c>
      <c r="C222" s="22">
        <f t="shared" si="209"/>
        <v>0</v>
      </c>
      <c r="D222" s="112" t="str">
        <f>Skills!S204</f>
        <v>- -</v>
      </c>
      <c r="E222" s="113" t="s">
        <v>782</v>
      </c>
      <c r="F222" s="19"/>
      <c r="G222" s="19"/>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56"/>
      <c r="BF222" s="4">
        <f t="shared" si="159"/>
        <v>0</v>
      </c>
      <c r="BG222" s="4">
        <f t="shared" si="159"/>
        <v>0</v>
      </c>
      <c r="BH222" s="4">
        <f t="shared" si="160"/>
        <v>0</v>
      </c>
      <c r="BI222" s="4">
        <f t="shared" si="161"/>
        <v>0</v>
      </c>
      <c r="BJ222" s="4">
        <f t="shared" si="162"/>
        <v>0</v>
      </c>
      <c r="BK222" s="4">
        <f t="shared" si="163"/>
        <v>0</v>
      </c>
      <c r="BL222" s="4">
        <f t="shared" si="164"/>
        <v>0</v>
      </c>
      <c r="BM222" s="4">
        <f t="shared" si="165"/>
        <v>0</v>
      </c>
      <c r="BN222" s="4">
        <f t="shared" si="166"/>
        <v>0</v>
      </c>
      <c r="BO222" s="4">
        <f t="shared" si="167"/>
        <v>0</v>
      </c>
      <c r="BP222" s="4">
        <f t="shared" si="168"/>
        <v>0</v>
      </c>
      <c r="BQ222" s="4">
        <f t="shared" si="169"/>
        <v>0</v>
      </c>
      <c r="BR222" s="4">
        <f t="shared" si="170"/>
        <v>0</v>
      </c>
      <c r="BS222" s="4">
        <f t="shared" si="171"/>
        <v>0</v>
      </c>
      <c r="BT222" s="4">
        <f t="shared" si="172"/>
        <v>0</v>
      </c>
      <c r="BU222" s="4">
        <f t="shared" si="173"/>
        <v>0</v>
      </c>
      <c r="BV222" s="4">
        <f t="shared" si="174"/>
        <v>0</v>
      </c>
      <c r="BW222" s="4">
        <f t="shared" si="175"/>
        <v>0</v>
      </c>
      <c r="BX222" s="4">
        <f t="shared" si="176"/>
        <v>0</v>
      </c>
      <c r="BY222" s="4">
        <f t="shared" si="177"/>
        <v>0</v>
      </c>
      <c r="BZ222" s="4">
        <f t="shared" si="178"/>
        <v>0</v>
      </c>
      <c r="CA222" s="4">
        <f t="shared" si="179"/>
        <v>0</v>
      </c>
      <c r="CB222" s="4">
        <f t="shared" si="180"/>
        <v>0</v>
      </c>
      <c r="CC222" s="4">
        <f t="shared" si="181"/>
        <v>0</v>
      </c>
      <c r="CD222" s="4">
        <f t="shared" si="182"/>
        <v>0</v>
      </c>
      <c r="CE222" s="4">
        <f t="shared" si="183"/>
        <v>0</v>
      </c>
      <c r="CF222" s="4">
        <f t="shared" si="184"/>
        <v>0</v>
      </c>
      <c r="CG222" s="4">
        <f t="shared" si="185"/>
        <v>0</v>
      </c>
      <c r="CH222" s="4">
        <f t="shared" si="186"/>
        <v>0</v>
      </c>
      <c r="CI222" s="4">
        <f t="shared" si="187"/>
        <v>0</v>
      </c>
      <c r="CJ222" s="4">
        <f t="shared" si="188"/>
        <v>0</v>
      </c>
      <c r="CK222" s="4">
        <f t="shared" si="189"/>
        <v>0</v>
      </c>
      <c r="CL222" s="4">
        <f t="shared" si="190"/>
        <v>0</v>
      </c>
      <c r="CM222" s="4">
        <f t="shared" si="191"/>
        <v>0</v>
      </c>
      <c r="CN222" s="4">
        <f t="shared" si="192"/>
        <v>0</v>
      </c>
      <c r="CO222" s="4">
        <f t="shared" si="193"/>
        <v>0</v>
      </c>
      <c r="CP222" s="4">
        <f t="shared" si="194"/>
        <v>0</v>
      </c>
      <c r="CQ222" s="4">
        <f t="shared" si="195"/>
        <v>0</v>
      </c>
      <c r="CR222" s="4">
        <f t="shared" si="196"/>
        <v>0</v>
      </c>
      <c r="CS222" s="4">
        <f t="shared" si="197"/>
        <v>0</v>
      </c>
      <c r="CT222" s="4">
        <f t="shared" si="198"/>
        <v>0</v>
      </c>
      <c r="CU222" s="4">
        <f t="shared" si="199"/>
        <v>0</v>
      </c>
      <c r="CV222" s="4">
        <f t="shared" si="200"/>
        <v>0</v>
      </c>
      <c r="CW222" s="4">
        <f t="shared" si="201"/>
        <v>0</v>
      </c>
      <c r="CX222" s="4">
        <f t="shared" si="202"/>
        <v>0</v>
      </c>
      <c r="CY222" s="4">
        <f t="shared" si="203"/>
        <v>0</v>
      </c>
      <c r="CZ222" s="4">
        <f t="shared" si="204"/>
        <v>0</v>
      </c>
      <c r="DA222" s="4">
        <f t="shared" si="205"/>
        <v>0</v>
      </c>
      <c r="DB222" s="4">
        <f t="shared" si="206"/>
        <v>0</v>
      </c>
      <c r="DC222" s="4">
        <f t="shared" si="207"/>
        <v>0</v>
      </c>
      <c r="DD222" s="4">
        <f t="shared" si="208"/>
        <v>0</v>
      </c>
    </row>
    <row r="223" spans="1:108" x14ac:dyDescent="0.25">
      <c r="A223" s="41">
        <f>Skills!M205</f>
        <v>0</v>
      </c>
      <c r="B223" s="57" t="str">
        <f>Skills!N205</f>
        <v>Environmental Skills</v>
      </c>
      <c r="C223" s="24">
        <f t="shared" si="209"/>
        <v>0</v>
      </c>
      <c r="D223" s="110" t="str">
        <f>Skills!S205</f>
        <v>- -</v>
      </c>
      <c r="E223" s="111" t="s">
        <v>782</v>
      </c>
      <c r="F223" s="18"/>
      <c r="G223" s="18"/>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49"/>
      <c r="BF223" s="4">
        <f t="shared" si="159"/>
        <v>0</v>
      </c>
      <c r="BG223" s="4">
        <f t="shared" si="159"/>
        <v>0</v>
      </c>
      <c r="BH223" s="4">
        <f t="shared" si="160"/>
        <v>0</v>
      </c>
      <c r="BI223" s="4">
        <f t="shared" si="161"/>
        <v>0</v>
      </c>
      <c r="BJ223" s="4">
        <f t="shared" si="162"/>
        <v>0</v>
      </c>
      <c r="BK223" s="4">
        <f t="shared" si="163"/>
        <v>0</v>
      </c>
      <c r="BL223" s="4">
        <f t="shared" si="164"/>
        <v>0</v>
      </c>
      <c r="BM223" s="4">
        <f t="shared" si="165"/>
        <v>0</v>
      </c>
      <c r="BN223" s="4">
        <f t="shared" si="166"/>
        <v>0</v>
      </c>
      <c r="BO223" s="4">
        <f t="shared" si="167"/>
        <v>0</v>
      </c>
      <c r="BP223" s="4">
        <f t="shared" si="168"/>
        <v>0</v>
      </c>
      <c r="BQ223" s="4">
        <f t="shared" si="169"/>
        <v>0</v>
      </c>
      <c r="BR223" s="4">
        <f t="shared" si="170"/>
        <v>0</v>
      </c>
      <c r="BS223" s="4">
        <f t="shared" si="171"/>
        <v>0</v>
      </c>
      <c r="BT223" s="4">
        <f t="shared" si="172"/>
        <v>0</v>
      </c>
      <c r="BU223" s="4">
        <f t="shared" si="173"/>
        <v>0</v>
      </c>
      <c r="BV223" s="4">
        <f t="shared" si="174"/>
        <v>0</v>
      </c>
      <c r="BW223" s="4">
        <f t="shared" si="175"/>
        <v>0</v>
      </c>
      <c r="BX223" s="4">
        <f t="shared" si="176"/>
        <v>0</v>
      </c>
      <c r="BY223" s="4">
        <f t="shared" si="177"/>
        <v>0</v>
      </c>
      <c r="BZ223" s="4">
        <f t="shared" si="178"/>
        <v>0</v>
      </c>
      <c r="CA223" s="4">
        <f t="shared" si="179"/>
        <v>0</v>
      </c>
      <c r="CB223" s="4">
        <f t="shared" si="180"/>
        <v>0</v>
      </c>
      <c r="CC223" s="4">
        <f t="shared" si="181"/>
        <v>0</v>
      </c>
      <c r="CD223" s="4">
        <f t="shared" si="182"/>
        <v>0</v>
      </c>
      <c r="CE223" s="4">
        <f t="shared" si="183"/>
        <v>0</v>
      </c>
      <c r="CF223" s="4">
        <f t="shared" si="184"/>
        <v>0</v>
      </c>
      <c r="CG223" s="4">
        <f t="shared" si="185"/>
        <v>0</v>
      </c>
      <c r="CH223" s="4">
        <f t="shared" si="186"/>
        <v>0</v>
      </c>
      <c r="CI223" s="4">
        <f t="shared" si="187"/>
        <v>0</v>
      </c>
      <c r="CJ223" s="4">
        <f t="shared" si="188"/>
        <v>0</v>
      </c>
      <c r="CK223" s="4">
        <f t="shared" si="189"/>
        <v>0</v>
      </c>
      <c r="CL223" s="4">
        <f t="shared" si="190"/>
        <v>0</v>
      </c>
      <c r="CM223" s="4">
        <f t="shared" si="191"/>
        <v>0</v>
      </c>
      <c r="CN223" s="4">
        <f t="shared" si="192"/>
        <v>0</v>
      </c>
      <c r="CO223" s="4">
        <f t="shared" si="193"/>
        <v>0</v>
      </c>
      <c r="CP223" s="4">
        <f t="shared" si="194"/>
        <v>0</v>
      </c>
      <c r="CQ223" s="4">
        <f t="shared" si="195"/>
        <v>0</v>
      </c>
      <c r="CR223" s="4">
        <f t="shared" si="196"/>
        <v>0</v>
      </c>
      <c r="CS223" s="4">
        <f t="shared" si="197"/>
        <v>0</v>
      </c>
      <c r="CT223" s="4">
        <f t="shared" si="198"/>
        <v>0</v>
      </c>
      <c r="CU223" s="4">
        <f t="shared" si="199"/>
        <v>0</v>
      </c>
      <c r="CV223" s="4">
        <f t="shared" si="200"/>
        <v>0</v>
      </c>
      <c r="CW223" s="4">
        <f t="shared" si="201"/>
        <v>0</v>
      </c>
      <c r="CX223" s="4">
        <f t="shared" si="202"/>
        <v>0</v>
      </c>
      <c r="CY223" s="4">
        <f t="shared" si="203"/>
        <v>0</v>
      </c>
      <c r="CZ223" s="4">
        <f t="shared" si="204"/>
        <v>0</v>
      </c>
      <c r="DA223" s="4">
        <f t="shared" si="205"/>
        <v>0</v>
      </c>
      <c r="DB223" s="4">
        <f t="shared" si="206"/>
        <v>0</v>
      </c>
      <c r="DC223" s="4">
        <f t="shared" si="207"/>
        <v>0</v>
      </c>
      <c r="DD223" s="4">
        <f t="shared" si="208"/>
        <v>0</v>
      </c>
    </row>
    <row r="224" spans="1:108" x14ac:dyDescent="0.25">
      <c r="A224" s="41" t="str">
        <f>Skills!M206</f>
        <v>Navigation</v>
      </c>
      <c r="B224" s="55" t="str">
        <f>Skills!N206</f>
        <v>Navigation</v>
      </c>
      <c r="C224" s="22">
        <f t="shared" si="209"/>
        <v>0</v>
      </c>
      <c r="D224" s="112">
        <f>Skills!S206</f>
        <v>1</v>
      </c>
      <c r="E224" s="113" t="e">
        <f>Profession!$B$110</f>
        <v>#REF!</v>
      </c>
      <c r="F224" s="19"/>
      <c r="G224" s="19"/>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56"/>
      <c r="BF224" s="4">
        <f t="shared" si="159"/>
        <v>0</v>
      </c>
      <c r="BG224" s="4">
        <f t="shared" si="159"/>
        <v>0</v>
      </c>
      <c r="BH224" s="4">
        <f t="shared" si="160"/>
        <v>0</v>
      </c>
      <c r="BI224" s="4">
        <f t="shared" si="161"/>
        <v>0</v>
      </c>
      <c r="BJ224" s="4">
        <f t="shared" si="162"/>
        <v>0</v>
      </c>
      <c r="BK224" s="4">
        <f t="shared" si="163"/>
        <v>0</v>
      </c>
      <c r="BL224" s="4">
        <f t="shared" si="164"/>
        <v>0</v>
      </c>
      <c r="BM224" s="4">
        <f t="shared" si="165"/>
        <v>0</v>
      </c>
      <c r="BN224" s="4">
        <f t="shared" si="166"/>
        <v>0</v>
      </c>
      <c r="BO224" s="4">
        <f t="shared" si="167"/>
        <v>0</v>
      </c>
      <c r="BP224" s="4">
        <f t="shared" si="168"/>
        <v>0</v>
      </c>
      <c r="BQ224" s="4">
        <f t="shared" si="169"/>
        <v>0</v>
      </c>
      <c r="BR224" s="4">
        <f t="shared" si="170"/>
        <v>0</v>
      </c>
      <c r="BS224" s="4">
        <f t="shared" si="171"/>
        <v>0</v>
      </c>
      <c r="BT224" s="4">
        <f t="shared" si="172"/>
        <v>0</v>
      </c>
      <c r="BU224" s="4">
        <f t="shared" si="173"/>
        <v>0</v>
      </c>
      <c r="BV224" s="4">
        <f t="shared" si="174"/>
        <v>0</v>
      </c>
      <c r="BW224" s="4">
        <f t="shared" si="175"/>
        <v>0</v>
      </c>
      <c r="BX224" s="4">
        <f t="shared" si="176"/>
        <v>0</v>
      </c>
      <c r="BY224" s="4">
        <f t="shared" si="177"/>
        <v>0</v>
      </c>
      <c r="BZ224" s="4">
        <f t="shared" si="178"/>
        <v>0</v>
      </c>
      <c r="CA224" s="4">
        <f t="shared" si="179"/>
        <v>0</v>
      </c>
      <c r="CB224" s="4">
        <f t="shared" si="180"/>
        <v>0</v>
      </c>
      <c r="CC224" s="4">
        <f t="shared" si="181"/>
        <v>0</v>
      </c>
      <c r="CD224" s="4">
        <f t="shared" si="182"/>
        <v>0</v>
      </c>
      <c r="CE224" s="4">
        <f t="shared" si="183"/>
        <v>0</v>
      </c>
      <c r="CF224" s="4">
        <f t="shared" si="184"/>
        <v>0</v>
      </c>
      <c r="CG224" s="4">
        <f t="shared" si="185"/>
        <v>0</v>
      </c>
      <c r="CH224" s="4">
        <f t="shared" si="186"/>
        <v>0</v>
      </c>
      <c r="CI224" s="4">
        <f t="shared" si="187"/>
        <v>0</v>
      </c>
      <c r="CJ224" s="4">
        <f t="shared" si="188"/>
        <v>0</v>
      </c>
      <c r="CK224" s="4">
        <f t="shared" si="189"/>
        <v>0</v>
      </c>
      <c r="CL224" s="4">
        <f t="shared" si="190"/>
        <v>0</v>
      </c>
      <c r="CM224" s="4">
        <f t="shared" si="191"/>
        <v>0</v>
      </c>
      <c r="CN224" s="4">
        <f t="shared" si="192"/>
        <v>0</v>
      </c>
      <c r="CO224" s="4">
        <f t="shared" si="193"/>
        <v>0</v>
      </c>
      <c r="CP224" s="4">
        <f t="shared" si="194"/>
        <v>0</v>
      </c>
      <c r="CQ224" s="4">
        <f t="shared" si="195"/>
        <v>0</v>
      </c>
      <c r="CR224" s="4">
        <f t="shared" si="196"/>
        <v>0</v>
      </c>
      <c r="CS224" s="4">
        <f t="shared" si="197"/>
        <v>0</v>
      </c>
      <c r="CT224" s="4">
        <f t="shared" si="198"/>
        <v>0</v>
      </c>
      <c r="CU224" s="4">
        <f t="shared" si="199"/>
        <v>0</v>
      </c>
      <c r="CV224" s="4">
        <f t="shared" si="200"/>
        <v>0</v>
      </c>
      <c r="CW224" s="4">
        <f t="shared" si="201"/>
        <v>0</v>
      </c>
      <c r="CX224" s="4">
        <f t="shared" si="202"/>
        <v>0</v>
      </c>
      <c r="CY224" s="4">
        <f t="shared" si="203"/>
        <v>0</v>
      </c>
      <c r="CZ224" s="4">
        <f t="shared" si="204"/>
        <v>0</v>
      </c>
      <c r="DA224" s="4">
        <f t="shared" si="205"/>
        <v>0</v>
      </c>
      <c r="DB224" s="4">
        <f t="shared" si="206"/>
        <v>0</v>
      </c>
      <c r="DC224" s="4">
        <f t="shared" si="207"/>
        <v>0</v>
      </c>
      <c r="DD224" s="4">
        <f t="shared" si="208"/>
        <v>0</v>
      </c>
    </row>
    <row r="225" spans="1:108" x14ac:dyDescent="0.25">
      <c r="A225" s="41">
        <f>Skills!M207</f>
        <v>0</v>
      </c>
      <c r="B225" s="57" t="str">
        <f>Skills!N207</f>
        <v>Marine Piloting Sub-category</v>
      </c>
      <c r="C225" s="24">
        <f t="shared" si="209"/>
        <v>0</v>
      </c>
      <c r="D225" s="110" t="str">
        <f>Skills!S207</f>
        <v>- -</v>
      </c>
      <c r="E225" s="111" t="s">
        <v>782</v>
      </c>
      <c r="F225" s="18"/>
      <c r="G225" s="18"/>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49"/>
      <c r="BF225" s="4">
        <f t="shared" si="159"/>
        <v>0</v>
      </c>
      <c r="BG225" s="4">
        <f t="shared" si="159"/>
        <v>0</v>
      </c>
      <c r="BH225" s="4">
        <f t="shared" si="160"/>
        <v>0</v>
      </c>
      <c r="BI225" s="4">
        <f t="shared" si="161"/>
        <v>0</v>
      </c>
      <c r="BJ225" s="4">
        <f t="shared" si="162"/>
        <v>0</v>
      </c>
      <c r="BK225" s="4">
        <f t="shared" si="163"/>
        <v>0</v>
      </c>
      <c r="BL225" s="4">
        <f t="shared" si="164"/>
        <v>0</v>
      </c>
      <c r="BM225" s="4">
        <f t="shared" si="165"/>
        <v>0</v>
      </c>
      <c r="BN225" s="4">
        <f t="shared" si="166"/>
        <v>0</v>
      </c>
      <c r="BO225" s="4">
        <f t="shared" si="167"/>
        <v>0</v>
      </c>
      <c r="BP225" s="4">
        <f t="shared" si="168"/>
        <v>0</v>
      </c>
      <c r="BQ225" s="4">
        <f t="shared" si="169"/>
        <v>0</v>
      </c>
      <c r="BR225" s="4">
        <f t="shared" si="170"/>
        <v>0</v>
      </c>
      <c r="BS225" s="4">
        <f t="shared" si="171"/>
        <v>0</v>
      </c>
      <c r="BT225" s="4">
        <f t="shared" si="172"/>
        <v>0</v>
      </c>
      <c r="BU225" s="4">
        <f t="shared" si="173"/>
        <v>0</v>
      </c>
      <c r="BV225" s="4">
        <f t="shared" si="174"/>
        <v>0</v>
      </c>
      <c r="BW225" s="4">
        <f t="shared" si="175"/>
        <v>0</v>
      </c>
      <c r="BX225" s="4">
        <f t="shared" si="176"/>
        <v>0</v>
      </c>
      <c r="BY225" s="4">
        <f t="shared" si="177"/>
        <v>0</v>
      </c>
      <c r="BZ225" s="4">
        <f t="shared" si="178"/>
        <v>0</v>
      </c>
      <c r="CA225" s="4">
        <f t="shared" si="179"/>
        <v>0</v>
      </c>
      <c r="CB225" s="4">
        <f t="shared" si="180"/>
        <v>0</v>
      </c>
      <c r="CC225" s="4">
        <f t="shared" si="181"/>
        <v>0</v>
      </c>
      <c r="CD225" s="4">
        <f t="shared" si="182"/>
        <v>0</v>
      </c>
      <c r="CE225" s="4">
        <f t="shared" si="183"/>
        <v>0</v>
      </c>
      <c r="CF225" s="4">
        <f t="shared" si="184"/>
        <v>0</v>
      </c>
      <c r="CG225" s="4">
        <f t="shared" si="185"/>
        <v>0</v>
      </c>
      <c r="CH225" s="4">
        <f t="shared" si="186"/>
        <v>0</v>
      </c>
      <c r="CI225" s="4">
        <f t="shared" si="187"/>
        <v>0</v>
      </c>
      <c r="CJ225" s="4">
        <f t="shared" si="188"/>
        <v>0</v>
      </c>
      <c r="CK225" s="4">
        <f t="shared" si="189"/>
        <v>0</v>
      </c>
      <c r="CL225" s="4">
        <f t="shared" si="190"/>
        <v>0</v>
      </c>
      <c r="CM225" s="4">
        <f t="shared" si="191"/>
        <v>0</v>
      </c>
      <c r="CN225" s="4">
        <f t="shared" si="192"/>
        <v>0</v>
      </c>
      <c r="CO225" s="4">
        <f t="shared" si="193"/>
        <v>0</v>
      </c>
      <c r="CP225" s="4">
        <f t="shared" si="194"/>
        <v>0</v>
      </c>
      <c r="CQ225" s="4">
        <f t="shared" si="195"/>
        <v>0</v>
      </c>
      <c r="CR225" s="4">
        <f t="shared" si="196"/>
        <v>0</v>
      </c>
      <c r="CS225" s="4">
        <f t="shared" si="197"/>
        <v>0</v>
      </c>
      <c r="CT225" s="4">
        <f t="shared" si="198"/>
        <v>0</v>
      </c>
      <c r="CU225" s="4">
        <f t="shared" si="199"/>
        <v>0</v>
      </c>
      <c r="CV225" s="4">
        <f t="shared" si="200"/>
        <v>0</v>
      </c>
      <c r="CW225" s="4">
        <f t="shared" si="201"/>
        <v>0</v>
      </c>
      <c r="CX225" s="4">
        <f t="shared" si="202"/>
        <v>0</v>
      </c>
      <c r="CY225" s="4">
        <f t="shared" si="203"/>
        <v>0</v>
      </c>
      <c r="CZ225" s="4">
        <f t="shared" si="204"/>
        <v>0</v>
      </c>
      <c r="DA225" s="4">
        <f t="shared" si="205"/>
        <v>0</v>
      </c>
      <c r="DB225" s="4">
        <f t="shared" si="206"/>
        <v>0</v>
      </c>
      <c r="DC225" s="4">
        <f t="shared" si="207"/>
        <v>0</v>
      </c>
      <c r="DD225" s="4">
        <f t="shared" si="208"/>
        <v>0</v>
      </c>
    </row>
    <row r="226" spans="1:108" x14ac:dyDescent="0.25">
      <c r="A226" s="41">
        <f>Skills!M208</f>
        <v>0</v>
      </c>
      <c r="B226" s="55" t="str">
        <f>Skills!N208</f>
        <v>Marine Piloting Skills</v>
      </c>
      <c r="C226" s="22">
        <f t="shared" si="209"/>
        <v>0</v>
      </c>
      <c r="D226" s="112" t="str">
        <f>Skills!S208</f>
        <v>- -</v>
      </c>
      <c r="E226" s="113" t="s">
        <v>782</v>
      </c>
      <c r="F226" s="19"/>
      <c r="G226" s="19"/>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56"/>
      <c r="BF226" s="4">
        <f t="shared" si="159"/>
        <v>0</v>
      </c>
      <c r="BG226" s="4">
        <f t="shared" si="159"/>
        <v>0</v>
      </c>
      <c r="BH226" s="4">
        <f t="shared" si="160"/>
        <v>0</v>
      </c>
      <c r="BI226" s="4">
        <f t="shared" si="161"/>
        <v>0</v>
      </c>
      <c r="BJ226" s="4">
        <f t="shared" si="162"/>
        <v>0</v>
      </c>
      <c r="BK226" s="4">
        <f t="shared" si="163"/>
        <v>0</v>
      </c>
      <c r="BL226" s="4">
        <f t="shared" si="164"/>
        <v>0</v>
      </c>
      <c r="BM226" s="4">
        <f t="shared" si="165"/>
        <v>0</v>
      </c>
      <c r="BN226" s="4">
        <f t="shared" si="166"/>
        <v>0</v>
      </c>
      <c r="BO226" s="4">
        <f t="shared" si="167"/>
        <v>0</v>
      </c>
      <c r="BP226" s="4">
        <f t="shared" si="168"/>
        <v>0</v>
      </c>
      <c r="BQ226" s="4">
        <f t="shared" si="169"/>
        <v>0</v>
      </c>
      <c r="BR226" s="4">
        <f t="shared" si="170"/>
        <v>0</v>
      </c>
      <c r="BS226" s="4">
        <f t="shared" si="171"/>
        <v>0</v>
      </c>
      <c r="BT226" s="4">
        <f t="shared" si="172"/>
        <v>0</v>
      </c>
      <c r="BU226" s="4">
        <f t="shared" si="173"/>
        <v>0</v>
      </c>
      <c r="BV226" s="4">
        <f t="shared" si="174"/>
        <v>0</v>
      </c>
      <c r="BW226" s="4">
        <f t="shared" si="175"/>
        <v>0</v>
      </c>
      <c r="BX226" s="4">
        <f t="shared" si="176"/>
        <v>0</v>
      </c>
      <c r="BY226" s="4">
        <f t="shared" si="177"/>
        <v>0</v>
      </c>
      <c r="BZ226" s="4">
        <f t="shared" si="178"/>
        <v>0</v>
      </c>
      <c r="CA226" s="4">
        <f t="shared" si="179"/>
        <v>0</v>
      </c>
      <c r="CB226" s="4">
        <f t="shared" si="180"/>
        <v>0</v>
      </c>
      <c r="CC226" s="4">
        <f t="shared" si="181"/>
        <v>0</v>
      </c>
      <c r="CD226" s="4">
        <f t="shared" si="182"/>
        <v>0</v>
      </c>
      <c r="CE226" s="4">
        <f t="shared" si="183"/>
        <v>0</v>
      </c>
      <c r="CF226" s="4">
        <f t="shared" si="184"/>
        <v>0</v>
      </c>
      <c r="CG226" s="4">
        <f t="shared" si="185"/>
        <v>0</v>
      </c>
      <c r="CH226" s="4">
        <f t="shared" si="186"/>
        <v>0</v>
      </c>
      <c r="CI226" s="4">
        <f t="shared" si="187"/>
        <v>0</v>
      </c>
      <c r="CJ226" s="4">
        <f t="shared" si="188"/>
        <v>0</v>
      </c>
      <c r="CK226" s="4">
        <f t="shared" si="189"/>
        <v>0</v>
      </c>
      <c r="CL226" s="4">
        <f t="shared" si="190"/>
        <v>0</v>
      </c>
      <c r="CM226" s="4">
        <f t="shared" si="191"/>
        <v>0</v>
      </c>
      <c r="CN226" s="4">
        <f t="shared" si="192"/>
        <v>0</v>
      </c>
      <c r="CO226" s="4">
        <f t="shared" si="193"/>
        <v>0</v>
      </c>
      <c r="CP226" s="4">
        <f t="shared" si="194"/>
        <v>0</v>
      </c>
      <c r="CQ226" s="4">
        <f t="shared" si="195"/>
        <v>0</v>
      </c>
      <c r="CR226" s="4">
        <f t="shared" si="196"/>
        <v>0</v>
      </c>
      <c r="CS226" s="4">
        <f t="shared" si="197"/>
        <v>0</v>
      </c>
      <c r="CT226" s="4">
        <f t="shared" si="198"/>
        <v>0</v>
      </c>
      <c r="CU226" s="4">
        <f t="shared" si="199"/>
        <v>0</v>
      </c>
      <c r="CV226" s="4">
        <f t="shared" si="200"/>
        <v>0</v>
      </c>
      <c r="CW226" s="4">
        <f t="shared" si="201"/>
        <v>0</v>
      </c>
      <c r="CX226" s="4">
        <f t="shared" si="202"/>
        <v>0</v>
      </c>
      <c r="CY226" s="4">
        <f t="shared" si="203"/>
        <v>0</v>
      </c>
      <c r="CZ226" s="4">
        <f t="shared" si="204"/>
        <v>0</v>
      </c>
      <c r="DA226" s="4">
        <f t="shared" si="205"/>
        <v>0</v>
      </c>
      <c r="DB226" s="4">
        <f t="shared" si="206"/>
        <v>0</v>
      </c>
      <c r="DC226" s="4">
        <f t="shared" si="207"/>
        <v>0</v>
      </c>
      <c r="DD226" s="4">
        <f t="shared" si="208"/>
        <v>0</v>
      </c>
    </row>
    <row r="227" spans="1:108" x14ac:dyDescent="0.25">
      <c r="A227" s="41" t="str">
        <f>Skills!M209</f>
        <v>Marine PIloting, Barge</v>
      </c>
      <c r="B227" s="57" t="str">
        <f>Skills!N209</f>
        <v>Barge</v>
      </c>
      <c r="C227" s="24">
        <f t="shared" si="209"/>
        <v>0</v>
      </c>
      <c r="D227" s="110" t="e">
        <f>Skills!S209</f>
        <v>#N/A</v>
      </c>
      <c r="E227" s="111" t="e">
        <f>Profession!$B$111</f>
        <v>#REF!</v>
      </c>
      <c r="F227" s="18"/>
      <c r="G227" s="18"/>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49"/>
      <c r="BF227" s="4">
        <f t="shared" si="159"/>
        <v>0</v>
      </c>
      <c r="BG227" s="4">
        <f t="shared" si="159"/>
        <v>0</v>
      </c>
      <c r="BH227" s="4">
        <f t="shared" si="160"/>
        <v>0</v>
      </c>
      <c r="BI227" s="4">
        <f t="shared" si="161"/>
        <v>0</v>
      </c>
      <c r="BJ227" s="4">
        <f t="shared" si="162"/>
        <v>0</v>
      </c>
      <c r="BK227" s="4">
        <f t="shared" si="163"/>
        <v>0</v>
      </c>
      <c r="BL227" s="4">
        <f t="shared" si="164"/>
        <v>0</v>
      </c>
      <c r="BM227" s="4">
        <f t="shared" si="165"/>
        <v>0</v>
      </c>
      <c r="BN227" s="4">
        <f t="shared" si="166"/>
        <v>0</v>
      </c>
      <c r="BO227" s="4">
        <f t="shared" si="167"/>
        <v>0</v>
      </c>
      <c r="BP227" s="4">
        <f t="shared" si="168"/>
        <v>0</v>
      </c>
      <c r="BQ227" s="4">
        <f t="shared" si="169"/>
        <v>0</v>
      </c>
      <c r="BR227" s="4">
        <f t="shared" si="170"/>
        <v>0</v>
      </c>
      <c r="BS227" s="4">
        <f t="shared" si="171"/>
        <v>0</v>
      </c>
      <c r="BT227" s="4">
        <f t="shared" si="172"/>
        <v>0</v>
      </c>
      <c r="BU227" s="4">
        <f t="shared" si="173"/>
        <v>0</v>
      </c>
      <c r="BV227" s="4">
        <f t="shared" si="174"/>
        <v>0</v>
      </c>
      <c r="BW227" s="4">
        <f t="shared" si="175"/>
        <v>0</v>
      </c>
      <c r="BX227" s="4">
        <f t="shared" si="176"/>
        <v>0</v>
      </c>
      <c r="BY227" s="4">
        <f t="shared" si="177"/>
        <v>0</v>
      </c>
      <c r="BZ227" s="4">
        <f t="shared" si="178"/>
        <v>0</v>
      </c>
      <c r="CA227" s="4">
        <f t="shared" si="179"/>
        <v>0</v>
      </c>
      <c r="CB227" s="4">
        <f t="shared" si="180"/>
        <v>0</v>
      </c>
      <c r="CC227" s="4">
        <f t="shared" si="181"/>
        <v>0</v>
      </c>
      <c r="CD227" s="4">
        <f t="shared" si="182"/>
        <v>0</v>
      </c>
      <c r="CE227" s="4">
        <f t="shared" si="183"/>
        <v>0</v>
      </c>
      <c r="CF227" s="4">
        <f t="shared" si="184"/>
        <v>0</v>
      </c>
      <c r="CG227" s="4">
        <f t="shared" si="185"/>
        <v>0</v>
      </c>
      <c r="CH227" s="4">
        <f t="shared" si="186"/>
        <v>0</v>
      </c>
      <c r="CI227" s="4">
        <f t="shared" si="187"/>
        <v>0</v>
      </c>
      <c r="CJ227" s="4">
        <f t="shared" si="188"/>
        <v>0</v>
      </c>
      <c r="CK227" s="4">
        <f t="shared" si="189"/>
        <v>0</v>
      </c>
      <c r="CL227" s="4">
        <f t="shared" si="190"/>
        <v>0</v>
      </c>
      <c r="CM227" s="4">
        <f t="shared" si="191"/>
        <v>0</v>
      </c>
      <c r="CN227" s="4">
        <f t="shared" si="192"/>
        <v>0</v>
      </c>
      <c r="CO227" s="4">
        <f t="shared" si="193"/>
        <v>0</v>
      </c>
      <c r="CP227" s="4">
        <f t="shared" si="194"/>
        <v>0</v>
      </c>
      <c r="CQ227" s="4">
        <f t="shared" si="195"/>
        <v>0</v>
      </c>
      <c r="CR227" s="4">
        <f t="shared" si="196"/>
        <v>0</v>
      </c>
      <c r="CS227" s="4">
        <f t="shared" si="197"/>
        <v>0</v>
      </c>
      <c r="CT227" s="4">
        <f t="shared" si="198"/>
        <v>0</v>
      </c>
      <c r="CU227" s="4">
        <f t="shared" si="199"/>
        <v>0</v>
      </c>
      <c r="CV227" s="4">
        <f t="shared" si="200"/>
        <v>0</v>
      </c>
      <c r="CW227" s="4">
        <f t="shared" si="201"/>
        <v>0</v>
      </c>
      <c r="CX227" s="4">
        <f t="shared" si="202"/>
        <v>0</v>
      </c>
      <c r="CY227" s="4">
        <f t="shared" si="203"/>
        <v>0</v>
      </c>
      <c r="CZ227" s="4">
        <f t="shared" si="204"/>
        <v>0</v>
      </c>
      <c r="DA227" s="4">
        <f t="shared" si="205"/>
        <v>0</v>
      </c>
      <c r="DB227" s="4">
        <f t="shared" si="206"/>
        <v>0</v>
      </c>
      <c r="DC227" s="4">
        <f t="shared" si="207"/>
        <v>0</v>
      </c>
      <c r="DD227" s="4">
        <f t="shared" si="208"/>
        <v>0</v>
      </c>
    </row>
    <row r="228" spans="1:108" x14ac:dyDescent="0.25">
      <c r="A228" s="41" t="str">
        <f>Skills!M210</f>
        <v>Marine PIloting, Rowing Boat</v>
      </c>
      <c r="B228" s="55" t="str">
        <f>Skills!N210</f>
        <v>Rowing Boat</v>
      </c>
      <c r="C228" s="22">
        <f t="shared" si="209"/>
        <v>0</v>
      </c>
      <c r="D228" s="112" t="e">
        <f>Skills!S210</f>
        <v>#N/A</v>
      </c>
      <c r="E228" s="113" t="e">
        <f>Profession!$B$111</f>
        <v>#REF!</v>
      </c>
      <c r="F228" s="19"/>
      <c r="G228" s="19"/>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56"/>
      <c r="BF228" s="4">
        <f t="shared" si="159"/>
        <v>0</v>
      </c>
      <c r="BG228" s="4">
        <f t="shared" si="159"/>
        <v>0</v>
      </c>
      <c r="BH228" s="4">
        <f t="shared" si="160"/>
        <v>0</v>
      </c>
      <c r="BI228" s="4">
        <f t="shared" si="161"/>
        <v>0</v>
      </c>
      <c r="BJ228" s="4">
        <f t="shared" si="162"/>
        <v>0</v>
      </c>
      <c r="BK228" s="4">
        <f t="shared" si="163"/>
        <v>0</v>
      </c>
      <c r="BL228" s="4">
        <f t="shared" si="164"/>
        <v>0</v>
      </c>
      <c r="BM228" s="4">
        <f t="shared" si="165"/>
        <v>0</v>
      </c>
      <c r="BN228" s="4">
        <f t="shared" si="166"/>
        <v>0</v>
      </c>
      <c r="BO228" s="4">
        <f t="shared" si="167"/>
        <v>0</v>
      </c>
      <c r="BP228" s="4">
        <f t="shared" si="168"/>
        <v>0</v>
      </c>
      <c r="BQ228" s="4">
        <f t="shared" si="169"/>
        <v>0</v>
      </c>
      <c r="BR228" s="4">
        <f t="shared" si="170"/>
        <v>0</v>
      </c>
      <c r="BS228" s="4">
        <f t="shared" si="171"/>
        <v>0</v>
      </c>
      <c r="BT228" s="4">
        <f t="shared" si="172"/>
        <v>0</v>
      </c>
      <c r="BU228" s="4">
        <f t="shared" si="173"/>
        <v>0</v>
      </c>
      <c r="BV228" s="4">
        <f t="shared" si="174"/>
        <v>0</v>
      </c>
      <c r="BW228" s="4">
        <f t="shared" si="175"/>
        <v>0</v>
      </c>
      <c r="BX228" s="4">
        <f t="shared" si="176"/>
        <v>0</v>
      </c>
      <c r="BY228" s="4">
        <f t="shared" si="177"/>
        <v>0</v>
      </c>
      <c r="BZ228" s="4">
        <f t="shared" si="178"/>
        <v>0</v>
      </c>
      <c r="CA228" s="4">
        <f t="shared" si="179"/>
        <v>0</v>
      </c>
      <c r="CB228" s="4">
        <f t="shared" si="180"/>
        <v>0</v>
      </c>
      <c r="CC228" s="4">
        <f t="shared" si="181"/>
        <v>0</v>
      </c>
      <c r="CD228" s="4">
        <f t="shared" si="182"/>
        <v>0</v>
      </c>
      <c r="CE228" s="4">
        <f t="shared" si="183"/>
        <v>0</v>
      </c>
      <c r="CF228" s="4">
        <f t="shared" si="184"/>
        <v>0</v>
      </c>
      <c r="CG228" s="4">
        <f t="shared" si="185"/>
        <v>0</v>
      </c>
      <c r="CH228" s="4">
        <f t="shared" si="186"/>
        <v>0</v>
      </c>
      <c r="CI228" s="4">
        <f t="shared" si="187"/>
        <v>0</v>
      </c>
      <c r="CJ228" s="4">
        <f t="shared" si="188"/>
        <v>0</v>
      </c>
      <c r="CK228" s="4">
        <f t="shared" si="189"/>
        <v>0</v>
      </c>
      <c r="CL228" s="4">
        <f t="shared" si="190"/>
        <v>0</v>
      </c>
      <c r="CM228" s="4">
        <f t="shared" si="191"/>
        <v>0</v>
      </c>
      <c r="CN228" s="4">
        <f t="shared" si="192"/>
        <v>0</v>
      </c>
      <c r="CO228" s="4">
        <f t="shared" si="193"/>
        <v>0</v>
      </c>
      <c r="CP228" s="4">
        <f t="shared" si="194"/>
        <v>0</v>
      </c>
      <c r="CQ228" s="4">
        <f t="shared" si="195"/>
        <v>0</v>
      </c>
      <c r="CR228" s="4">
        <f t="shared" si="196"/>
        <v>0</v>
      </c>
      <c r="CS228" s="4">
        <f t="shared" si="197"/>
        <v>0</v>
      </c>
      <c r="CT228" s="4">
        <f t="shared" si="198"/>
        <v>0</v>
      </c>
      <c r="CU228" s="4">
        <f t="shared" si="199"/>
        <v>0</v>
      </c>
      <c r="CV228" s="4">
        <f t="shared" si="200"/>
        <v>0</v>
      </c>
      <c r="CW228" s="4">
        <f t="shared" si="201"/>
        <v>0</v>
      </c>
      <c r="CX228" s="4">
        <f t="shared" si="202"/>
        <v>0</v>
      </c>
      <c r="CY228" s="4">
        <f t="shared" si="203"/>
        <v>0</v>
      </c>
      <c r="CZ228" s="4">
        <f t="shared" si="204"/>
        <v>0</v>
      </c>
      <c r="DA228" s="4">
        <f t="shared" si="205"/>
        <v>0</v>
      </c>
      <c r="DB228" s="4">
        <f t="shared" si="206"/>
        <v>0</v>
      </c>
      <c r="DC228" s="4">
        <f t="shared" si="207"/>
        <v>0</v>
      </c>
      <c r="DD228" s="4">
        <f t="shared" si="208"/>
        <v>0</v>
      </c>
    </row>
    <row r="229" spans="1:108" x14ac:dyDescent="0.25">
      <c r="A229" s="41" t="str">
        <f>Skills!M211</f>
        <v>Marine PIloting, Sailing Boat</v>
      </c>
      <c r="B229" s="57" t="str">
        <f>Skills!N211</f>
        <v>Sailing Boat</v>
      </c>
      <c r="C229" s="24">
        <f t="shared" si="209"/>
        <v>0</v>
      </c>
      <c r="D229" s="110" t="e">
        <f>Skills!S211</f>
        <v>#N/A</v>
      </c>
      <c r="E229" s="111" t="e">
        <f>Profession!$B$111</f>
        <v>#REF!</v>
      </c>
      <c r="F229" s="18"/>
      <c r="G229" s="18"/>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49"/>
      <c r="BF229" s="4">
        <f t="shared" si="159"/>
        <v>0</v>
      </c>
      <c r="BG229" s="4">
        <f t="shared" si="159"/>
        <v>0</v>
      </c>
      <c r="BH229" s="4">
        <f t="shared" si="160"/>
        <v>0</v>
      </c>
      <c r="BI229" s="4">
        <f t="shared" si="161"/>
        <v>0</v>
      </c>
      <c r="BJ229" s="4">
        <f t="shared" si="162"/>
        <v>0</v>
      </c>
      <c r="BK229" s="4">
        <f t="shared" si="163"/>
        <v>0</v>
      </c>
      <c r="BL229" s="4">
        <f t="shared" si="164"/>
        <v>0</v>
      </c>
      <c r="BM229" s="4">
        <f t="shared" si="165"/>
        <v>0</v>
      </c>
      <c r="BN229" s="4">
        <f t="shared" si="166"/>
        <v>0</v>
      </c>
      <c r="BO229" s="4">
        <f t="shared" si="167"/>
        <v>0</v>
      </c>
      <c r="BP229" s="4">
        <f t="shared" si="168"/>
        <v>0</v>
      </c>
      <c r="BQ229" s="4">
        <f t="shared" si="169"/>
        <v>0</v>
      </c>
      <c r="BR229" s="4">
        <f t="shared" si="170"/>
        <v>0</v>
      </c>
      <c r="BS229" s="4">
        <f t="shared" si="171"/>
        <v>0</v>
      </c>
      <c r="BT229" s="4">
        <f t="shared" si="172"/>
        <v>0</v>
      </c>
      <c r="BU229" s="4">
        <f t="shared" si="173"/>
        <v>0</v>
      </c>
      <c r="BV229" s="4">
        <f t="shared" si="174"/>
        <v>0</v>
      </c>
      <c r="BW229" s="4">
        <f t="shared" si="175"/>
        <v>0</v>
      </c>
      <c r="BX229" s="4">
        <f t="shared" si="176"/>
        <v>0</v>
      </c>
      <c r="BY229" s="4">
        <f t="shared" si="177"/>
        <v>0</v>
      </c>
      <c r="BZ229" s="4">
        <f t="shared" si="178"/>
        <v>0</v>
      </c>
      <c r="CA229" s="4">
        <f t="shared" si="179"/>
        <v>0</v>
      </c>
      <c r="CB229" s="4">
        <f t="shared" si="180"/>
        <v>0</v>
      </c>
      <c r="CC229" s="4">
        <f t="shared" si="181"/>
        <v>0</v>
      </c>
      <c r="CD229" s="4">
        <f t="shared" si="182"/>
        <v>0</v>
      </c>
      <c r="CE229" s="4">
        <f t="shared" si="183"/>
        <v>0</v>
      </c>
      <c r="CF229" s="4">
        <f t="shared" si="184"/>
        <v>0</v>
      </c>
      <c r="CG229" s="4">
        <f t="shared" si="185"/>
        <v>0</v>
      </c>
      <c r="CH229" s="4">
        <f t="shared" si="186"/>
        <v>0</v>
      </c>
      <c r="CI229" s="4">
        <f t="shared" si="187"/>
        <v>0</v>
      </c>
      <c r="CJ229" s="4">
        <f t="shared" si="188"/>
        <v>0</v>
      </c>
      <c r="CK229" s="4">
        <f t="shared" si="189"/>
        <v>0</v>
      </c>
      <c r="CL229" s="4">
        <f t="shared" si="190"/>
        <v>0</v>
      </c>
      <c r="CM229" s="4">
        <f t="shared" si="191"/>
        <v>0</v>
      </c>
      <c r="CN229" s="4">
        <f t="shared" si="192"/>
        <v>0</v>
      </c>
      <c r="CO229" s="4">
        <f t="shared" si="193"/>
        <v>0</v>
      </c>
      <c r="CP229" s="4">
        <f t="shared" si="194"/>
        <v>0</v>
      </c>
      <c r="CQ229" s="4">
        <f t="shared" si="195"/>
        <v>0</v>
      </c>
      <c r="CR229" s="4">
        <f t="shared" si="196"/>
        <v>0</v>
      </c>
      <c r="CS229" s="4">
        <f t="shared" si="197"/>
        <v>0</v>
      </c>
      <c r="CT229" s="4">
        <f t="shared" si="198"/>
        <v>0</v>
      </c>
      <c r="CU229" s="4">
        <f t="shared" si="199"/>
        <v>0</v>
      </c>
      <c r="CV229" s="4">
        <f t="shared" si="200"/>
        <v>0</v>
      </c>
      <c r="CW229" s="4">
        <f t="shared" si="201"/>
        <v>0</v>
      </c>
      <c r="CX229" s="4">
        <f t="shared" si="202"/>
        <v>0</v>
      </c>
      <c r="CY229" s="4">
        <f t="shared" si="203"/>
        <v>0</v>
      </c>
      <c r="CZ229" s="4">
        <f t="shared" si="204"/>
        <v>0</v>
      </c>
      <c r="DA229" s="4">
        <f t="shared" si="205"/>
        <v>0</v>
      </c>
      <c r="DB229" s="4">
        <f t="shared" si="206"/>
        <v>0</v>
      </c>
      <c r="DC229" s="4">
        <f t="shared" si="207"/>
        <v>0</v>
      </c>
      <c r="DD229" s="4">
        <f t="shared" si="208"/>
        <v>0</v>
      </c>
    </row>
    <row r="230" spans="1:108" x14ac:dyDescent="0.25">
      <c r="A230" s="41" t="str">
        <f>Skills!M212</f>
        <v>Marine PIloting, Submarine</v>
      </c>
      <c r="B230" s="55" t="str">
        <f>Skills!N212</f>
        <v>Submarine</v>
      </c>
      <c r="C230" s="22">
        <f t="shared" si="209"/>
        <v>0</v>
      </c>
      <c r="D230" s="112" t="e">
        <f>Skills!S212</f>
        <v>#N/A</v>
      </c>
      <c r="E230" s="113" t="e">
        <f>Profession!$B$111</f>
        <v>#REF!</v>
      </c>
      <c r="F230" s="19"/>
      <c r="G230" s="19"/>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56"/>
      <c r="BF230" s="4">
        <f t="shared" si="159"/>
        <v>0</v>
      </c>
      <c r="BG230" s="4">
        <f t="shared" si="159"/>
        <v>0</v>
      </c>
      <c r="BH230" s="4">
        <f t="shared" si="160"/>
        <v>0</v>
      </c>
      <c r="BI230" s="4">
        <f t="shared" si="161"/>
        <v>0</v>
      </c>
      <c r="BJ230" s="4">
        <f t="shared" si="162"/>
        <v>0</v>
      </c>
      <c r="BK230" s="4">
        <f t="shared" si="163"/>
        <v>0</v>
      </c>
      <c r="BL230" s="4">
        <f t="shared" si="164"/>
        <v>0</v>
      </c>
      <c r="BM230" s="4">
        <f t="shared" si="165"/>
        <v>0</v>
      </c>
      <c r="BN230" s="4">
        <f t="shared" si="166"/>
        <v>0</v>
      </c>
      <c r="BO230" s="4">
        <f t="shared" si="167"/>
        <v>0</v>
      </c>
      <c r="BP230" s="4">
        <f t="shared" si="168"/>
        <v>0</v>
      </c>
      <c r="BQ230" s="4">
        <f t="shared" si="169"/>
        <v>0</v>
      </c>
      <c r="BR230" s="4">
        <f t="shared" si="170"/>
        <v>0</v>
      </c>
      <c r="BS230" s="4">
        <f t="shared" si="171"/>
        <v>0</v>
      </c>
      <c r="BT230" s="4">
        <f t="shared" si="172"/>
        <v>0</v>
      </c>
      <c r="BU230" s="4">
        <f t="shared" si="173"/>
        <v>0</v>
      </c>
      <c r="BV230" s="4">
        <f t="shared" si="174"/>
        <v>0</v>
      </c>
      <c r="BW230" s="4">
        <f t="shared" si="175"/>
        <v>0</v>
      </c>
      <c r="BX230" s="4">
        <f t="shared" si="176"/>
        <v>0</v>
      </c>
      <c r="BY230" s="4">
        <f t="shared" si="177"/>
        <v>0</v>
      </c>
      <c r="BZ230" s="4">
        <f t="shared" si="178"/>
        <v>0</v>
      </c>
      <c r="CA230" s="4">
        <f t="shared" si="179"/>
        <v>0</v>
      </c>
      <c r="CB230" s="4">
        <f t="shared" si="180"/>
        <v>0</v>
      </c>
      <c r="CC230" s="4">
        <f t="shared" si="181"/>
        <v>0</v>
      </c>
      <c r="CD230" s="4">
        <f t="shared" si="182"/>
        <v>0</v>
      </c>
      <c r="CE230" s="4">
        <f t="shared" si="183"/>
        <v>0</v>
      </c>
      <c r="CF230" s="4">
        <f t="shared" si="184"/>
        <v>0</v>
      </c>
      <c r="CG230" s="4">
        <f t="shared" si="185"/>
        <v>0</v>
      </c>
      <c r="CH230" s="4">
        <f t="shared" si="186"/>
        <v>0</v>
      </c>
      <c r="CI230" s="4">
        <f t="shared" si="187"/>
        <v>0</v>
      </c>
      <c r="CJ230" s="4">
        <f t="shared" si="188"/>
        <v>0</v>
      </c>
      <c r="CK230" s="4">
        <f t="shared" si="189"/>
        <v>0</v>
      </c>
      <c r="CL230" s="4">
        <f t="shared" si="190"/>
        <v>0</v>
      </c>
      <c r="CM230" s="4">
        <f t="shared" si="191"/>
        <v>0</v>
      </c>
      <c r="CN230" s="4">
        <f t="shared" si="192"/>
        <v>0</v>
      </c>
      <c r="CO230" s="4">
        <f t="shared" si="193"/>
        <v>0</v>
      </c>
      <c r="CP230" s="4">
        <f t="shared" si="194"/>
        <v>0</v>
      </c>
      <c r="CQ230" s="4">
        <f t="shared" si="195"/>
        <v>0</v>
      </c>
      <c r="CR230" s="4">
        <f t="shared" si="196"/>
        <v>0</v>
      </c>
      <c r="CS230" s="4">
        <f t="shared" si="197"/>
        <v>0</v>
      </c>
      <c r="CT230" s="4">
        <f t="shared" si="198"/>
        <v>0</v>
      </c>
      <c r="CU230" s="4">
        <f t="shared" si="199"/>
        <v>0</v>
      </c>
      <c r="CV230" s="4">
        <f t="shared" si="200"/>
        <v>0</v>
      </c>
      <c r="CW230" s="4">
        <f t="shared" si="201"/>
        <v>0</v>
      </c>
      <c r="CX230" s="4">
        <f t="shared" si="202"/>
        <v>0</v>
      </c>
      <c r="CY230" s="4">
        <f t="shared" si="203"/>
        <v>0</v>
      </c>
      <c r="CZ230" s="4">
        <f t="shared" si="204"/>
        <v>0</v>
      </c>
      <c r="DA230" s="4">
        <f t="shared" si="205"/>
        <v>0</v>
      </c>
      <c r="DB230" s="4">
        <f t="shared" si="206"/>
        <v>0</v>
      </c>
      <c r="DC230" s="4">
        <f t="shared" si="207"/>
        <v>0</v>
      </c>
      <c r="DD230" s="4">
        <f t="shared" si="208"/>
        <v>0</v>
      </c>
    </row>
    <row r="231" spans="1:108" x14ac:dyDescent="0.25">
      <c r="A231" s="41">
        <f>Skills!M213</f>
        <v>0</v>
      </c>
      <c r="B231" s="57" t="str">
        <f>Skills!N213</f>
        <v>Driving Sub-category</v>
      </c>
      <c r="C231" s="24">
        <f t="shared" si="209"/>
        <v>0</v>
      </c>
      <c r="D231" s="110" t="str">
        <f>Skills!S213</f>
        <v>- -</v>
      </c>
      <c r="E231" s="111" t="s">
        <v>782</v>
      </c>
      <c r="F231" s="18"/>
      <c r="G231" s="18"/>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49"/>
      <c r="BF231" s="4">
        <f t="shared" si="159"/>
        <v>0</v>
      </c>
      <c r="BG231" s="4">
        <f t="shared" si="159"/>
        <v>0</v>
      </c>
      <c r="BH231" s="4">
        <f t="shared" si="160"/>
        <v>0</v>
      </c>
      <c r="BI231" s="4">
        <f t="shared" si="161"/>
        <v>0</v>
      </c>
      <c r="BJ231" s="4">
        <f t="shared" si="162"/>
        <v>0</v>
      </c>
      <c r="BK231" s="4">
        <f t="shared" si="163"/>
        <v>0</v>
      </c>
      <c r="BL231" s="4">
        <f t="shared" si="164"/>
        <v>0</v>
      </c>
      <c r="BM231" s="4">
        <f t="shared" si="165"/>
        <v>0</v>
      </c>
      <c r="BN231" s="4">
        <f t="shared" si="166"/>
        <v>0</v>
      </c>
      <c r="BO231" s="4">
        <f t="shared" si="167"/>
        <v>0</v>
      </c>
      <c r="BP231" s="4">
        <f t="shared" si="168"/>
        <v>0</v>
      </c>
      <c r="BQ231" s="4">
        <f t="shared" si="169"/>
        <v>0</v>
      </c>
      <c r="BR231" s="4">
        <f t="shared" si="170"/>
        <v>0</v>
      </c>
      <c r="BS231" s="4">
        <f t="shared" si="171"/>
        <v>0</v>
      </c>
      <c r="BT231" s="4">
        <f t="shared" si="172"/>
        <v>0</v>
      </c>
      <c r="BU231" s="4">
        <f t="shared" si="173"/>
        <v>0</v>
      </c>
      <c r="BV231" s="4">
        <f t="shared" si="174"/>
        <v>0</v>
      </c>
      <c r="BW231" s="4">
        <f t="shared" si="175"/>
        <v>0</v>
      </c>
      <c r="BX231" s="4">
        <f t="shared" si="176"/>
        <v>0</v>
      </c>
      <c r="BY231" s="4">
        <f t="shared" si="177"/>
        <v>0</v>
      </c>
      <c r="BZ231" s="4">
        <f t="shared" si="178"/>
        <v>0</v>
      </c>
      <c r="CA231" s="4">
        <f t="shared" si="179"/>
        <v>0</v>
      </c>
      <c r="CB231" s="4">
        <f t="shared" si="180"/>
        <v>0</v>
      </c>
      <c r="CC231" s="4">
        <f t="shared" si="181"/>
        <v>0</v>
      </c>
      <c r="CD231" s="4">
        <f t="shared" si="182"/>
        <v>0</v>
      </c>
      <c r="CE231" s="4">
        <f t="shared" si="183"/>
        <v>0</v>
      </c>
      <c r="CF231" s="4">
        <f t="shared" si="184"/>
        <v>0</v>
      </c>
      <c r="CG231" s="4">
        <f t="shared" si="185"/>
        <v>0</v>
      </c>
      <c r="CH231" s="4">
        <f t="shared" si="186"/>
        <v>0</v>
      </c>
      <c r="CI231" s="4">
        <f t="shared" si="187"/>
        <v>0</v>
      </c>
      <c r="CJ231" s="4">
        <f t="shared" si="188"/>
        <v>0</v>
      </c>
      <c r="CK231" s="4">
        <f t="shared" si="189"/>
        <v>0</v>
      </c>
      <c r="CL231" s="4">
        <f t="shared" si="190"/>
        <v>0</v>
      </c>
      <c r="CM231" s="4">
        <f t="shared" si="191"/>
        <v>0</v>
      </c>
      <c r="CN231" s="4">
        <f t="shared" si="192"/>
        <v>0</v>
      </c>
      <c r="CO231" s="4">
        <f t="shared" si="193"/>
        <v>0</v>
      </c>
      <c r="CP231" s="4">
        <f t="shared" si="194"/>
        <v>0</v>
      </c>
      <c r="CQ231" s="4">
        <f t="shared" si="195"/>
        <v>0</v>
      </c>
      <c r="CR231" s="4">
        <f t="shared" si="196"/>
        <v>0</v>
      </c>
      <c r="CS231" s="4">
        <f t="shared" si="197"/>
        <v>0</v>
      </c>
      <c r="CT231" s="4">
        <f t="shared" si="198"/>
        <v>0</v>
      </c>
      <c r="CU231" s="4">
        <f t="shared" si="199"/>
        <v>0</v>
      </c>
      <c r="CV231" s="4">
        <f t="shared" si="200"/>
        <v>0</v>
      </c>
      <c r="CW231" s="4">
        <f t="shared" si="201"/>
        <v>0</v>
      </c>
      <c r="CX231" s="4">
        <f t="shared" si="202"/>
        <v>0</v>
      </c>
      <c r="CY231" s="4">
        <f t="shared" si="203"/>
        <v>0</v>
      </c>
      <c r="CZ231" s="4">
        <f t="shared" si="204"/>
        <v>0</v>
      </c>
      <c r="DA231" s="4">
        <f t="shared" si="205"/>
        <v>0</v>
      </c>
      <c r="DB231" s="4">
        <f t="shared" si="206"/>
        <v>0</v>
      </c>
      <c r="DC231" s="4">
        <f t="shared" si="207"/>
        <v>0</v>
      </c>
      <c r="DD231" s="4">
        <f t="shared" si="208"/>
        <v>0</v>
      </c>
    </row>
    <row r="232" spans="1:108" x14ac:dyDescent="0.25">
      <c r="A232" s="41">
        <f>Skills!M214</f>
        <v>0</v>
      </c>
      <c r="B232" s="55" t="str">
        <f>Skills!N214</f>
        <v>Driving Skills</v>
      </c>
      <c r="C232" s="22">
        <f t="shared" si="209"/>
        <v>0</v>
      </c>
      <c r="D232" s="112" t="str">
        <f>Skills!S214</f>
        <v>- -</v>
      </c>
      <c r="E232" s="113" t="s">
        <v>782</v>
      </c>
      <c r="F232" s="19"/>
      <c r="G232" s="19"/>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56"/>
      <c r="BF232" s="4">
        <f t="shared" si="159"/>
        <v>0</v>
      </c>
      <c r="BG232" s="4">
        <f t="shared" si="159"/>
        <v>0</v>
      </c>
      <c r="BH232" s="4">
        <f t="shared" si="160"/>
        <v>0</v>
      </c>
      <c r="BI232" s="4">
        <f t="shared" si="161"/>
        <v>0</v>
      </c>
      <c r="BJ232" s="4">
        <f t="shared" si="162"/>
        <v>0</v>
      </c>
      <c r="BK232" s="4">
        <f t="shared" si="163"/>
        <v>0</v>
      </c>
      <c r="BL232" s="4">
        <f t="shared" si="164"/>
        <v>0</v>
      </c>
      <c r="BM232" s="4">
        <f t="shared" si="165"/>
        <v>0</v>
      </c>
      <c r="BN232" s="4">
        <f t="shared" si="166"/>
        <v>0</v>
      </c>
      <c r="BO232" s="4">
        <f t="shared" si="167"/>
        <v>0</v>
      </c>
      <c r="BP232" s="4">
        <f t="shared" si="168"/>
        <v>0</v>
      </c>
      <c r="BQ232" s="4">
        <f t="shared" si="169"/>
        <v>0</v>
      </c>
      <c r="BR232" s="4">
        <f t="shared" si="170"/>
        <v>0</v>
      </c>
      <c r="BS232" s="4">
        <f t="shared" si="171"/>
        <v>0</v>
      </c>
      <c r="BT232" s="4">
        <f t="shared" si="172"/>
        <v>0</v>
      </c>
      <c r="BU232" s="4">
        <f t="shared" si="173"/>
        <v>0</v>
      </c>
      <c r="BV232" s="4">
        <f t="shared" si="174"/>
        <v>0</v>
      </c>
      <c r="BW232" s="4">
        <f t="shared" si="175"/>
        <v>0</v>
      </c>
      <c r="BX232" s="4">
        <f t="shared" si="176"/>
        <v>0</v>
      </c>
      <c r="BY232" s="4">
        <f t="shared" si="177"/>
        <v>0</v>
      </c>
      <c r="BZ232" s="4">
        <f t="shared" si="178"/>
        <v>0</v>
      </c>
      <c r="CA232" s="4">
        <f t="shared" si="179"/>
        <v>0</v>
      </c>
      <c r="CB232" s="4">
        <f t="shared" si="180"/>
        <v>0</v>
      </c>
      <c r="CC232" s="4">
        <f t="shared" si="181"/>
        <v>0</v>
      </c>
      <c r="CD232" s="4">
        <f t="shared" si="182"/>
        <v>0</v>
      </c>
      <c r="CE232" s="4">
        <f t="shared" si="183"/>
        <v>0</v>
      </c>
      <c r="CF232" s="4">
        <f t="shared" si="184"/>
        <v>0</v>
      </c>
      <c r="CG232" s="4">
        <f t="shared" si="185"/>
        <v>0</v>
      </c>
      <c r="CH232" s="4">
        <f t="shared" si="186"/>
        <v>0</v>
      </c>
      <c r="CI232" s="4">
        <f t="shared" si="187"/>
        <v>0</v>
      </c>
      <c r="CJ232" s="4">
        <f t="shared" si="188"/>
        <v>0</v>
      </c>
      <c r="CK232" s="4">
        <f t="shared" si="189"/>
        <v>0</v>
      </c>
      <c r="CL232" s="4">
        <f t="shared" si="190"/>
        <v>0</v>
      </c>
      <c r="CM232" s="4">
        <f t="shared" si="191"/>
        <v>0</v>
      </c>
      <c r="CN232" s="4">
        <f t="shared" si="192"/>
        <v>0</v>
      </c>
      <c r="CO232" s="4">
        <f t="shared" si="193"/>
        <v>0</v>
      </c>
      <c r="CP232" s="4">
        <f t="shared" si="194"/>
        <v>0</v>
      </c>
      <c r="CQ232" s="4">
        <f t="shared" si="195"/>
        <v>0</v>
      </c>
      <c r="CR232" s="4">
        <f t="shared" si="196"/>
        <v>0</v>
      </c>
      <c r="CS232" s="4">
        <f t="shared" si="197"/>
        <v>0</v>
      </c>
      <c r="CT232" s="4">
        <f t="shared" si="198"/>
        <v>0</v>
      </c>
      <c r="CU232" s="4">
        <f t="shared" si="199"/>
        <v>0</v>
      </c>
      <c r="CV232" s="4">
        <f t="shared" si="200"/>
        <v>0</v>
      </c>
      <c r="CW232" s="4">
        <f t="shared" si="201"/>
        <v>0</v>
      </c>
      <c r="CX232" s="4">
        <f t="shared" si="202"/>
        <v>0</v>
      </c>
      <c r="CY232" s="4">
        <f t="shared" si="203"/>
        <v>0</v>
      </c>
      <c r="CZ232" s="4">
        <f t="shared" si="204"/>
        <v>0</v>
      </c>
      <c r="DA232" s="4">
        <f t="shared" si="205"/>
        <v>0</v>
      </c>
      <c r="DB232" s="4">
        <f t="shared" si="206"/>
        <v>0</v>
      </c>
      <c r="DC232" s="4">
        <f t="shared" si="207"/>
        <v>0</v>
      </c>
      <c r="DD232" s="4">
        <f t="shared" si="208"/>
        <v>0</v>
      </c>
    </row>
    <row r="233" spans="1:108" x14ac:dyDescent="0.25">
      <c r="A233" s="41" t="str">
        <f>Skills!M215</f>
        <v>Driving, Horse-drawn Carriage</v>
      </c>
      <c r="B233" s="57" t="str">
        <f>Skills!N215</f>
        <v>Horse-drawn Carriage</v>
      </c>
      <c r="C233" s="24">
        <f t="shared" si="209"/>
        <v>0</v>
      </c>
      <c r="D233" s="110" t="e">
        <f>Skills!S215</f>
        <v>#N/A</v>
      </c>
      <c r="E233" s="111" t="e">
        <f>Profession!$B$112</f>
        <v>#REF!</v>
      </c>
      <c r="F233" s="18"/>
      <c r="G233" s="18"/>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49"/>
      <c r="BF233" s="4">
        <f t="shared" si="159"/>
        <v>0</v>
      </c>
      <c r="BG233" s="4">
        <f t="shared" si="159"/>
        <v>0</v>
      </c>
      <c r="BH233" s="4">
        <f t="shared" si="160"/>
        <v>0</v>
      </c>
      <c r="BI233" s="4">
        <f t="shared" si="161"/>
        <v>0</v>
      </c>
      <c r="BJ233" s="4">
        <f t="shared" si="162"/>
        <v>0</v>
      </c>
      <c r="BK233" s="4">
        <f t="shared" si="163"/>
        <v>0</v>
      </c>
      <c r="BL233" s="4">
        <f t="shared" si="164"/>
        <v>0</v>
      </c>
      <c r="BM233" s="4">
        <f t="shared" si="165"/>
        <v>0</v>
      </c>
      <c r="BN233" s="4">
        <f t="shared" si="166"/>
        <v>0</v>
      </c>
      <c r="BO233" s="4">
        <f t="shared" si="167"/>
        <v>0</v>
      </c>
      <c r="BP233" s="4">
        <f t="shared" si="168"/>
        <v>0</v>
      </c>
      <c r="BQ233" s="4">
        <f t="shared" si="169"/>
        <v>0</v>
      </c>
      <c r="BR233" s="4">
        <f t="shared" si="170"/>
        <v>0</v>
      </c>
      <c r="BS233" s="4">
        <f t="shared" si="171"/>
        <v>0</v>
      </c>
      <c r="BT233" s="4">
        <f t="shared" si="172"/>
        <v>0</v>
      </c>
      <c r="BU233" s="4">
        <f t="shared" si="173"/>
        <v>0</v>
      </c>
      <c r="BV233" s="4">
        <f t="shared" si="174"/>
        <v>0</v>
      </c>
      <c r="BW233" s="4">
        <f t="shared" si="175"/>
        <v>0</v>
      </c>
      <c r="BX233" s="4">
        <f t="shared" si="176"/>
        <v>0</v>
      </c>
      <c r="BY233" s="4">
        <f t="shared" si="177"/>
        <v>0</v>
      </c>
      <c r="BZ233" s="4">
        <f t="shared" si="178"/>
        <v>0</v>
      </c>
      <c r="CA233" s="4">
        <f t="shared" si="179"/>
        <v>0</v>
      </c>
      <c r="CB233" s="4">
        <f t="shared" si="180"/>
        <v>0</v>
      </c>
      <c r="CC233" s="4">
        <f t="shared" si="181"/>
        <v>0</v>
      </c>
      <c r="CD233" s="4">
        <f t="shared" si="182"/>
        <v>0</v>
      </c>
      <c r="CE233" s="4">
        <f t="shared" si="183"/>
        <v>0</v>
      </c>
      <c r="CF233" s="4">
        <f t="shared" si="184"/>
        <v>0</v>
      </c>
      <c r="CG233" s="4">
        <f t="shared" si="185"/>
        <v>0</v>
      </c>
      <c r="CH233" s="4">
        <f t="shared" si="186"/>
        <v>0</v>
      </c>
      <c r="CI233" s="4">
        <f t="shared" si="187"/>
        <v>0</v>
      </c>
      <c r="CJ233" s="4">
        <f t="shared" si="188"/>
        <v>0</v>
      </c>
      <c r="CK233" s="4">
        <f t="shared" si="189"/>
        <v>0</v>
      </c>
      <c r="CL233" s="4">
        <f t="shared" si="190"/>
        <v>0</v>
      </c>
      <c r="CM233" s="4">
        <f t="shared" si="191"/>
        <v>0</v>
      </c>
      <c r="CN233" s="4">
        <f t="shared" si="192"/>
        <v>0</v>
      </c>
      <c r="CO233" s="4">
        <f t="shared" si="193"/>
        <v>0</v>
      </c>
      <c r="CP233" s="4">
        <f t="shared" si="194"/>
        <v>0</v>
      </c>
      <c r="CQ233" s="4">
        <f t="shared" si="195"/>
        <v>0</v>
      </c>
      <c r="CR233" s="4">
        <f t="shared" si="196"/>
        <v>0</v>
      </c>
      <c r="CS233" s="4">
        <f t="shared" si="197"/>
        <v>0</v>
      </c>
      <c r="CT233" s="4">
        <f t="shared" si="198"/>
        <v>0</v>
      </c>
      <c r="CU233" s="4">
        <f t="shared" si="199"/>
        <v>0</v>
      </c>
      <c r="CV233" s="4">
        <f t="shared" si="200"/>
        <v>0</v>
      </c>
      <c r="CW233" s="4">
        <f t="shared" si="201"/>
        <v>0</v>
      </c>
      <c r="CX233" s="4">
        <f t="shared" si="202"/>
        <v>0</v>
      </c>
      <c r="CY233" s="4">
        <f t="shared" si="203"/>
        <v>0</v>
      </c>
      <c r="CZ233" s="4">
        <f t="shared" si="204"/>
        <v>0</v>
      </c>
      <c r="DA233" s="4">
        <f t="shared" si="205"/>
        <v>0</v>
      </c>
      <c r="DB233" s="4">
        <f t="shared" si="206"/>
        <v>0</v>
      </c>
      <c r="DC233" s="4">
        <f t="shared" si="207"/>
        <v>0</v>
      </c>
      <c r="DD233" s="4">
        <f t="shared" si="208"/>
        <v>0</v>
      </c>
    </row>
    <row r="234" spans="1:108" x14ac:dyDescent="0.25">
      <c r="A234" s="41" t="str">
        <f>Skills!M216</f>
        <v>Driving, Locomotive</v>
      </c>
      <c r="B234" s="55" t="str">
        <f>Skills!N216</f>
        <v>Locomotive</v>
      </c>
      <c r="C234" s="22">
        <f t="shared" si="209"/>
        <v>0</v>
      </c>
      <c r="D234" s="112" t="e">
        <f>Skills!S216</f>
        <v>#N/A</v>
      </c>
      <c r="E234" s="113" t="e">
        <f>Profession!$B$112</f>
        <v>#REF!</v>
      </c>
      <c r="F234" s="19"/>
      <c r="G234" s="19"/>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56"/>
      <c r="BF234" s="4">
        <f t="shared" si="159"/>
        <v>0</v>
      </c>
      <c r="BG234" s="4">
        <f t="shared" si="159"/>
        <v>0</v>
      </c>
      <c r="BH234" s="4">
        <f t="shared" si="160"/>
        <v>0</v>
      </c>
      <c r="BI234" s="4">
        <f t="shared" si="161"/>
        <v>0</v>
      </c>
      <c r="BJ234" s="4">
        <f t="shared" si="162"/>
        <v>0</v>
      </c>
      <c r="BK234" s="4">
        <f t="shared" si="163"/>
        <v>0</v>
      </c>
      <c r="BL234" s="4">
        <f t="shared" si="164"/>
        <v>0</v>
      </c>
      <c r="BM234" s="4">
        <f t="shared" si="165"/>
        <v>0</v>
      </c>
      <c r="BN234" s="4">
        <f t="shared" si="166"/>
        <v>0</v>
      </c>
      <c r="BO234" s="4">
        <f t="shared" si="167"/>
        <v>0</v>
      </c>
      <c r="BP234" s="4">
        <f t="shared" si="168"/>
        <v>0</v>
      </c>
      <c r="BQ234" s="4">
        <f t="shared" si="169"/>
        <v>0</v>
      </c>
      <c r="BR234" s="4">
        <f t="shared" si="170"/>
        <v>0</v>
      </c>
      <c r="BS234" s="4">
        <f t="shared" si="171"/>
        <v>0</v>
      </c>
      <c r="BT234" s="4">
        <f t="shared" si="172"/>
        <v>0</v>
      </c>
      <c r="BU234" s="4">
        <f t="shared" si="173"/>
        <v>0</v>
      </c>
      <c r="BV234" s="4">
        <f t="shared" si="174"/>
        <v>0</v>
      </c>
      <c r="BW234" s="4">
        <f t="shared" si="175"/>
        <v>0</v>
      </c>
      <c r="BX234" s="4">
        <f t="shared" si="176"/>
        <v>0</v>
      </c>
      <c r="BY234" s="4">
        <f t="shared" si="177"/>
        <v>0</v>
      </c>
      <c r="BZ234" s="4">
        <f t="shared" si="178"/>
        <v>0</v>
      </c>
      <c r="CA234" s="4">
        <f t="shared" si="179"/>
        <v>0</v>
      </c>
      <c r="CB234" s="4">
        <f t="shared" si="180"/>
        <v>0</v>
      </c>
      <c r="CC234" s="4">
        <f t="shared" si="181"/>
        <v>0</v>
      </c>
      <c r="CD234" s="4">
        <f t="shared" si="182"/>
        <v>0</v>
      </c>
      <c r="CE234" s="4">
        <f t="shared" si="183"/>
        <v>0</v>
      </c>
      <c r="CF234" s="4">
        <f t="shared" si="184"/>
        <v>0</v>
      </c>
      <c r="CG234" s="4">
        <f t="shared" si="185"/>
        <v>0</v>
      </c>
      <c r="CH234" s="4">
        <f t="shared" si="186"/>
        <v>0</v>
      </c>
      <c r="CI234" s="4">
        <f t="shared" si="187"/>
        <v>0</v>
      </c>
      <c r="CJ234" s="4">
        <f t="shared" si="188"/>
        <v>0</v>
      </c>
      <c r="CK234" s="4">
        <f t="shared" si="189"/>
        <v>0</v>
      </c>
      <c r="CL234" s="4">
        <f t="shared" si="190"/>
        <v>0</v>
      </c>
      <c r="CM234" s="4">
        <f t="shared" si="191"/>
        <v>0</v>
      </c>
      <c r="CN234" s="4">
        <f t="shared" si="192"/>
        <v>0</v>
      </c>
      <c r="CO234" s="4">
        <f t="shared" si="193"/>
        <v>0</v>
      </c>
      <c r="CP234" s="4">
        <f t="shared" si="194"/>
        <v>0</v>
      </c>
      <c r="CQ234" s="4">
        <f t="shared" si="195"/>
        <v>0</v>
      </c>
      <c r="CR234" s="4">
        <f t="shared" si="196"/>
        <v>0</v>
      </c>
      <c r="CS234" s="4">
        <f t="shared" si="197"/>
        <v>0</v>
      </c>
      <c r="CT234" s="4">
        <f t="shared" si="198"/>
        <v>0</v>
      </c>
      <c r="CU234" s="4">
        <f t="shared" si="199"/>
        <v>0</v>
      </c>
      <c r="CV234" s="4">
        <f t="shared" si="200"/>
        <v>0</v>
      </c>
      <c r="CW234" s="4">
        <f t="shared" si="201"/>
        <v>0</v>
      </c>
      <c r="CX234" s="4">
        <f t="shared" si="202"/>
        <v>0</v>
      </c>
      <c r="CY234" s="4">
        <f t="shared" si="203"/>
        <v>0</v>
      </c>
      <c r="CZ234" s="4">
        <f t="shared" si="204"/>
        <v>0</v>
      </c>
      <c r="DA234" s="4">
        <f t="shared" si="205"/>
        <v>0</v>
      </c>
      <c r="DB234" s="4">
        <f t="shared" si="206"/>
        <v>0</v>
      </c>
      <c r="DC234" s="4">
        <f t="shared" si="207"/>
        <v>0</v>
      </c>
      <c r="DD234" s="4">
        <f t="shared" si="208"/>
        <v>0</v>
      </c>
    </row>
    <row r="235" spans="1:108" x14ac:dyDescent="0.25">
      <c r="A235" s="41" t="str">
        <f>Skills!M217</f>
        <v>Driving, Stagecoach</v>
      </c>
      <c r="B235" s="57" t="str">
        <f>Skills!N217</f>
        <v>Stagecoach</v>
      </c>
      <c r="C235" s="24">
        <f t="shared" si="209"/>
        <v>0</v>
      </c>
      <c r="D235" s="110" t="e">
        <f>Skills!S217</f>
        <v>#N/A</v>
      </c>
      <c r="E235" s="111" t="e">
        <f>Profession!$B$112</f>
        <v>#REF!</v>
      </c>
      <c r="F235" s="18"/>
      <c r="G235" s="18"/>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49"/>
      <c r="BF235" s="4">
        <f t="shared" si="159"/>
        <v>0</v>
      </c>
      <c r="BG235" s="4">
        <f t="shared" si="159"/>
        <v>0</v>
      </c>
      <c r="BH235" s="4">
        <f t="shared" si="160"/>
        <v>0</v>
      </c>
      <c r="BI235" s="4">
        <f t="shared" si="161"/>
        <v>0</v>
      </c>
      <c r="BJ235" s="4">
        <f t="shared" si="162"/>
        <v>0</v>
      </c>
      <c r="BK235" s="4">
        <f t="shared" si="163"/>
        <v>0</v>
      </c>
      <c r="BL235" s="4">
        <f t="shared" si="164"/>
        <v>0</v>
      </c>
      <c r="BM235" s="4">
        <f t="shared" si="165"/>
        <v>0</v>
      </c>
      <c r="BN235" s="4">
        <f t="shared" si="166"/>
        <v>0</v>
      </c>
      <c r="BO235" s="4">
        <f t="shared" si="167"/>
        <v>0</v>
      </c>
      <c r="BP235" s="4">
        <f t="shared" si="168"/>
        <v>0</v>
      </c>
      <c r="BQ235" s="4">
        <f t="shared" si="169"/>
        <v>0</v>
      </c>
      <c r="BR235" s="4">
        <f t="shared" si="170"/>
        <v>0</v>
      </c>
      <c r="BS235" s="4">
        <f t="shared" si="171"/>
        <v>0</v>
      </c>
      <c r="BT235" s="4">
        <f t="shared" si="172"/>
        <v>0</v>
      </c>
      <c r="BU235" s="4">
        <f t="shared" si="173"/>
        <v>0</v>
      </c>
      <c r="BV235" s="4">
        <f t="shared" si="174"/>
        <v>0</v>
      </c>
      <c r="BW235" s="4">
        <f t="shared" si="175"/>
        <v>0</v>
      </c>
      <c r="BX235" s="4">
        <f t="shared" si="176"/>
        <v>0</v>
      </c>
      <c r="BY235" s="4">
        <f t="shared" si="177"/>
        <v>0</v>
      </c>
      <c r="BZ235" s="4">
        <f t="shared" si="178"/>
        <v>0</v>
      </c>
      <c r="CA235" s="4">
        <f t="shared" si="179"/>
        <v>0</v>
      </c>
      <c r="CB235" s="4">
        <f t="shared" si="180"/>
        <v>0</v>
      </c>
      <c r="CC235" s="4">
        <f t="shared" si="181"/>
        <v>0</v>
      </c>
      <c r="CD235" s="4">
        <f t="shared" si="182"/>
        <v>0</v>
      </c>
      <c r="CE235" s="4">
        <f t="shared" si="183"/>
        <v>0</v>
      </c>
      <c r="CF235" s="4">
        <f t="shared" si="184"/>
        <v>0</v>
      </c>
      <c r="CG235" s="4">
        <f t="shared" si="185"/>
        <v>0</v>
      </c>
      <c r="CH235" s="4">
        <f t="shared" si="186"/>
        <v>0</v>
      </c>
      <c r="CI235" s="4">
        <f t="shared" si="187"/>
        <v>0</v>
      </c>
      <c r="CJ235" s="4">
        <f t="shared" si="188"/>
        <v>0</v>
      </c>
      <c r="CK235" s="4">
        <f t="shared" si="189"/>
        <v>0</v>
      </c>
      <c r="CL235" s="4">
        <f t="shared" si="190"/>
        <v>0</v>
      </c>
      <c r="CM235" s="4">
        <f t="shared" si="191"/>
        <v>0</v>
      </c>
      <c r="CN235" s="4">
        <f t="shared" si="192"/>
        <v>0</v>
      </c>
      <c r="CO235" s="4">
        <f t="shared" si="193"/>
        <v>0</v>
      </c>
      <c r="CP235" s="4">
        <f t="shared" si="194"/>
        <v>0</v>
      </c>
      <c r="CQ235" s="4">
        <f t="shared" si="195"/>
        <v>0</v>
      </c>
      <c r="CR235" s="4">
        <f t="shared" si="196"/>
        <v>0</v>
      </c>
      <c r="CS235" s="4">
        <f t="shared" si="197"/>
        <v>0</v>
      </c>
      <c r="CT235" s="4">
        <f t="shared" si="198"/>
        <v>0</v>
      </c>
      <c r="CU235" s="4">
        <f t="shared" si="199"/>
        <v>0</v>
      </c>
      <c r="CV235" s="4">
        <f t="shared" si="200"/>
        <v>0</v>
      </c>
      <c r="CW235" s="4">
        <f t="shared" si="201"/>
        <v>0</v>
      </c>
      <c r="CX235" s="4">
        <f t="shared" si="202"/>
        <v>0</v>
      </c>
      <c r="CY235" s="4">
        <f t="shared" si="203"/>
        <v>0</v>
      </c>
      <c r="CZ235" s="4">
        <f t="shared" si="204"/>
        <v>0</v>
      </c>
      <c r="DA235" s="4">
        <f t="shared" si="205"/>
        <v>0</v>
      </c>
      <c r="DB235" s="4">
        <f t="shared" si="206"/>
        <v>0</v>
      </c>
      <c r="DC235" s="4">
        <f t="shared" si="207"/>
        <v>0</v>
      </c>
      <c r="DD235" s="4">
        <f t="shared" si="208"/>
        <v>0</v>
      </c>
    </row>
    <row r="236" spans="1:108" x14ac:dyDescent="0.25">
      <c r="A236" s="41">
        <f>Skills!M218</f>
        <v>0</v>
      </c>
      <c r="B236" s="55" t="str">
        <f>Skills!N218</f>
        <v>Survival Sub-category</v>
      </c>
      <c r="C236" s="22">
        <f t="shared" si="209"/>
        <v>0</v>
      </c>
      <c r="D236" s="112" t="str">
        <f>Skills!S218</f>
        <v>- -</v>
      </c>
      <c r="E236" s="113" t="s">
        <v>782</v>
      </c>
      <c r="F236" s="19"/>
      <c r="G236" s="19"/>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56"/>
      <c r="BF236" s="4">
        <f t="shared" si="159"/>
        <v>0</v>
      </c>
      <c r="BG236" s="4">
        <f t="shared" si="159"/>
        <v>0</v>
      </c>
      <c r="BH236" s="4">
        <f t="shared" si="160"/>
        <v>0</v>
      </c>
      <c r="BI236" s="4">
        <f t="shared" si="161"/>
        <v>0</v>
      </c>
      <c r="BJ236" s="4">
        <f t="shared" si="162"/>
        <v>0</v>
      </c>
      <c r="BK236" s="4">
        <f t="shared" si="163"/>
        <v>0</v>
      </c>
      <c r="BL236" s="4">
        <f t="shared" si="164"/>
        <v>0</v>
      </c>
      <c r="BM236" s="4">
        <f t="shared" si="165"/>
        <v>0</v>
      </c>
      <c r="BN236" s="4">
        <f t="shared" si="166"/>
        <v>0</v>
      </c>
      <c r="BO236" s="4">
        <f t="shared" si="167"/>
        <v>0</v>
      </c>
      <c r="BP236" s="4">
        <f t="shared" si="168"/>
        <v>0</v>
      </c>
      <c r="BQ236" s="4">
        <f t="shared" si="169"/>
        <v>0</v>
      </c>
      <c r="BR236" s="4">
        <f t="shared" si="170"/>
        <v>0</v>
      </c>
      <c r="BS236" s="4">
        <f t="shared" si="171"/>
        <v>0</v>
      </c>
      <c r="BT236" s="4">
        <f t="shared" si="172"/>
        <v>0</v>
      </c>
      <c r="BU236" s="4">
        <f t="shared" si="173"/>
        <v>0</v>
      </c>
      <c r="BV236" s="4">
        <f t="shared" si="174"/>
        <v>0</v>
      </c>
      <c r="BW236" s="4">
        <f t="shared" si="175"/>
        <v>0</v>
      </c>
      <c r="BX236" s="4">
        <f t="shared" si="176"/>
        <v>0</v>
      </c>
      <c r="BY236" s="4">
        <f t="shared" si="177"/>
        <v>0</v>
      </c>
      <c r="BZ236" s="4">
        <f t="shared" si="178"/>
        <v>0</v>
      </c>
      <c r="CA236" s="4">
        <f t="shared" si="179"/>
        <v>0</v>
      </c>
      <c r="CB236" s="4">
        <f t="shared" si="180"/>
        <v>0</v>
      </c>
      <c r="CC236" s="4">
        <f t="shared" si="181"/>
        <v>0</v>
      </c>
      <c r="CD236" s="4">
        <f t="shared" si="182"/>
        <v>0</v>
      </c>
      <c r="CE236" s="4">
        <f t="shared" si="183"/>
        <v>0</v>
      </c>
      <c r="CF236" s="4">
        <f t="shared" si="184"/>
        <v>0</v>
      </c>
      <c r="CG236" s="4">
        <f t="shared" si="185"/>
        <v>0</v>
      </c>
      <c r="CH236" s="4">
        <f t="shared" si="186"/>
        <v>0</v>
      </c>
      <c r="CI236" s="4">
        <f t="shared" si="187"/>
        <v>0</v>
      </c>
      <c r="CJ236" s="4">
        <f t="shared" si="188"/>
        <v>0</v>
      </c>
      <c r="CK236" s="4">
        <f t="shared" si="189"/>
        <v>0</v>
      </c>
      <c r="CL236" s="4">
        <f t="shared" si="190"/>
        <v>0</v>
      </c>
      <c r="CM236" s="4">
        <f t="shared" si="191"/>
        <v>0</v>
      </c>
      <c r="CN236" s="4">
        <f t="shared" si="192"/>
        <v>0</v>
      </c>
      <c r="CO236" s="4">
        <f t="shared" si="193"/>
        <v>0</v>
      </c>
      <c r="CP236" s="4">
        <f t="shared" si="194"/>
        <v>0</v>
      </c>
      <c r="CQ236" s="4">
        <f t="shared" si="195"/>
        <v>0</v>
      </c>
      <c r="CR236" s="4">
        <f t="shared" si="196"/>
        <v>0</v>
      </c>
      <c r="CS236" s="4">
        <f t="shared" si="197"/>
        <v>0</v>
      </c>
      <c r="CT236" s="4">
        <f t="shared" si="198"/>
        <v>0</v>
      </c>
      <c r="CU236" s="4">
        <f t="shared" si="199"/>
        <v>0</v>
      </c>
      <c r="CV236" s="4">
        <f t="shared" si="200"/>
        <v>0</v>
      </c>
      <c r="CW236" s="4">
        <f t="shared" si="201"/>
        <v>0</v>
      </c>
      <c r="CX236" s="4">
        <f t="shared" si="202"/>
        <v>0</v>
      </c>
      <c r="CY236" s="4">
        <f t="shared" si="203"/>
        <v>0</v>
      </c>
      <c r="CZ236" s="4">
        <f t="shared" si="204"/>
        <v>0</v>
      </c>
      <c r="DA236" s="4">
        <f t="shared" si="205"/>
        <v>0</v>
      </c>
      <c r="DB236" s="4">
        <f t="shared" si="206"/>
        <v>0</v>
      </c>
      <c r="DC236" s="4">
        <f t="shared" si="207"/>
        <v>0</v>
      </c>
      <c r="DD236" s="4">
        <f t="shared" si="208"/>
        <v>0</v>
      </c>
    </row>
    <row r="237" spans="1:108" x14ac:dyDescent="0.25">
      <c r="A237" s="41">
        <f>Skills!M219</f>
        <v>0</v>
      </c>
      <c r="B237" s="57" t="str">
        <f>Skills!N219</f>
        <v>Survival Skills</v>
      </c>
      <c r="C237" s="24">
        <f t="shared" si="209"/>
        <v>0</v>
      </c>
      <c r="D237" s="110" t="str">
        <f>Skills!S219</f>
        <v>- -</v>
      </c>
      <c r="E237" s="111" t="s">
        <v>782</v>
      </c>
      <c r="F237" s="18"/>
      <c r="G237" s="18"/>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49"/>
      <c r="BF237" s="4">
        <f t="shared" si="159"/>
        <v>0</v>
      </c>
      <c r="BG237" s="4">
        <f t="shared" si="159"/>
        <v>0</v>
      </c>
      <c r="BH237" s="4">
        <f t="shared" si="160"/>
        <v>0</v>
      </c>
      <c r="BI237" s="4">
        <f t="shared" si="161"/>
        <v>0</v>
      </c>
      <c r="BJ237" s="4">
        <f t="shared" si="162"/>
        <v>0</v>
      </c>
      <c r="BK237" s="4">
        <f t="shared" si="163"/>
        <v>0</v>
      </c>
      <c r="BL237" s="4">
        <f t="shared" si="164"/>
        <v>0</v>
      </c>
      <c r="BM237" s="4">
        <f t="shared" si="165"/>
        <v>0</v>
      </c>
      <c r="BN237" s="4">
        <f t="shared" si="166"/>
        <v>0</v>
      </c>
      <c r="BO237" s="4">
        <f t="shared" si="167"/>
        <v>0</v>
      </c>
      <c r="BP237" s="4">
        <f t="shared" si="168"/>
        <v>0</v>
      </c>
      <c r="BQ237" s="4">
        <f t="shared" si="169"/>
        <v>0</v>
      </c>
      <c r="BR237" s="4">
        <f t="shared" si="170"/>
        <v>0</v>
      </c>
      <c r="BS237" s="4">
        <f t="shared" si="171"/>
        <v>0</v>
      </c>
      <c r="BT237" s="4">
        <f t="shared" si="172"/>
        <v>0</v>
      </c>
      <c r="BU237" s="4">
        <f t="shared" si="173"/>
        <v>0</v>
      </c>
      <c r="BV237" s="4">
        <f t="shared" si="174"/>
        <v>0</v>
      </c>
      <c r="BW237" s="4">
        <f t="shared" si="175"/>
        <v>0</v>
      </c>
      <c r="BX237" s="4">
        <f t="shared" si="176"/>
        <v>0</v>
      </c>
      <c r="BY237" s="4">
        <f t="shared" si="177"/>
        <v>0</v>
      </c>
      <c r="BZ237" s="4">
        <f t="shared" si="178"/>
        <v>0</v>
      </c>
      <c r="CA237" s="4">
        <f t="shared" si="179"/>
        <v>0</v>
      </c>
      <c r="CB237" s="4">
        <f t="shared" si="180"/>
        <v>0</v>
      </c>
      <c r="CC237" s="4">
        <f t="shared" si="181"/>
        <v>0</v>
      </c>
      <c r="CD237" s="4">
        <f t="shared" si="182"/>
        <v>0</v>
      </c>
      <c r="CE237" s="4">
        <f t="shared" si="183"/>
        <v>0</v>
      </c>
      <c r="CF237" s="4">
        <f t="shared" si="184"/>
        <v>0</v>
      </c>
      <c r="CG237" s="4">
        <f t="shared" si="185"/>
        <v>0</v>
      </c>
      <c r="CH237" s="4">
        <f t="shared" si="186"/>
        <v>0</v>
      </c>
      <c r="CI237" s="4">
        <f t="shared" si="187"/>
        <v>0</v>
      </c>
      <c r="CJ237" s="4">
        <f t="shared" si="188"/>
        <v>0</v>
      </c>
      <c r="CK237" s="4">
        <f t="shared" si="189"/>
        <v>0</v>
      </c>
      <c r="CL237" s="4">
        <f t="shared" si="190"/>
        <v>0</v>
      </c>
      <c r="CM237" s="4">
        <f t="shared" si="191"/>
        <v>0</v>
      </c>
      <c r="CN237" s="4">
        <f t="shared" si="192"/>
        <v>0</v>
      </c>
      <c r="CO237" s="4">
        <f t="shared" si="193"/>
        <v>0</v>
      </c>
      <c r="CP237" s="4">
        <f t="shared" si="194"/>
        <v>0</v>
      </c>
      <c r="CQ237" s="4">
        <f t="shared" si="195"/>
        <v>0</v>
      </c>
      <c r="CR237" s="4">
        <f t="shared" si="196"/>
        <v>0</v>
      </c>
      <c r="CS237" s="4">
        <f t="shared" si="197"/>
        <v>0</v>
      </c>
      <c r="CT237" s="4">
        <f t="shared" si="198"/>
        <v>0</v>
      </c>
      <c r="CU237" s="4">
        <f t="shared" si="199"/>
        <v>0</v>
      </c>
      <c r="CV237" s="4">
        <f t="shared" si="200"/>
        <v>0</v>
      </c>
      <c r="CW237" s="4">
        <f t="shared" si="201"/>
        <v>0</v>
      </c>
      <c r="CX237" s="4">
        <f t="shared" si="202"/>
        <v>0</v>
      </c>
      <c r="CY237" s="4">
        <f t="shared" si="203"/>
        <v>0</v>
      </c>
      <c r="CZ237" s="4">
        <f t="shared" si="204"/>
        <v>0</v>
      </c>
      <c r="DA237" s="4">
        <f t="shared" si="205"/>
        <v>0</v>
      </c>
      <c r="DB237" s="4">
        <f t="shared" si="206"/>
        <v>0</v>
      </c>
      <c r="DC237" s="4">
        <f t="shared" si="207"/>
        <v>0</v>
      </c>
      <c r="DD237" s="4">
        <f t="shared" si="208"/>
        <v>0</v>
      </c>
    </row>
    <row r="238" spans="1:108" x14ac:dyDescent="0.25">
      <c r="A238" s="41" t="str">
        <f>Skills!M220</f>
        <v>Survival, Alpine</v>
      </c>
      <c r="B238" s="55" t="str">
        <f>Skills!N220</f>
        <v>Alpine</v>
      </c>
      <c r="C238" s="22">
        <f t="shared" si="209"/>
        <v>0</v>
      </c>
      <c r="D238" s="112" t="e">
        <f>Skills!S220</f>
        <v>#N/A</v>
      </c>
      <c r="E238" s="113" t="e">
        <f>Profession!$B$113</f>
        <v>#REF!</v>
      </c>
      <c r="F238" s="19"/>
      <c r="G238" s="19"/>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56"/>
      <c r="BF238" s="4">
        <f t="shared" si="159"/>
        <v>0</v>
      </c>
      <c r="BG238" s="4">
        <f t="shared" si="159"/>
        <v>0</v>
      </c>
      <c r="BH238" s="4">
        <f t="shared" si="160"/>
        <v>0</v>
      </c>
      <c r="BI238" s="4">
        <f t="shared" si="161"/>
        <v>0</v>
      </c>
      <c r="BJ238" s="4">
        <f t="shared" si="162"/>
        <v>0</v>
      </c>
      <c r="BK238" s="4">
        <f t="shared" si="163"/>
        <v>0</v>
      </c>
      <c r="BL238" s="4">
        <f t="shared" si="164"/>
        <v>0</v>
      </c>
      <c r="BM238" s="4">
        <f t="shared" si="165"/>
        <v>0</v>
      </c>
      <c r="BN238" s="4">
        <f t="shared" si="166"/>
        <v>0</v>
      </c>
      <c r="BO238" s="4">
        <f t="shared" si="167"/>
        <v>0</v>
      </c>
      <c r="BP238" s="4">
        <f t="shared" si="168"/>
        <v>0</v>
      </c>
      <c r="BQ238" s="4">
        <f t="shared" si="169"/>
        <v>0</v>
      </c>
      <c r="BR238" s="4">
        <f t="shared" si="170"/>
        <v>0</v>
      </c>
      <c r="BS238" s="4">
        <f t="shared" si="171"/>
        <v>0</v>
      </c>
      <c r="BT238" s="4">
        <f t="shared" si="172"/>
        <v>0</v>
      </c>
      <c r="BU238" s="4">
        <f t="shared" si="173"/>
        <v>0</v>
      </c>
      <c r="BV238" s="4">
        <f t="shared" si="174"/>
        <v>0</v>
      </c>
      <c r="BW238" s="4">
        <f t="shared" si="175"/>
        <v>0</v>
      </c>
      <c r="BX238" s="4">
        <f t="shared" si="176"/>
        <v>0</v>
      </c>
      <c r="BY238" s="4">
        <f t="shared" si="177"/>
        <v>0</v>
      </c>
      <c r="BZ238" s="4">
        <f t="shared" si="178"/>
        <v>0</v>
      </c>
      <c r="CA238" s="4">
        <f t="shared" si="179"/>
        <v>0</v>
      </c>
      <c r="CB238" s="4">
        <f t="shared" si="180"/>
        <v>0</v>
      </c>
      <c r="CC238" s="4">
        <f t="shared" si="181"/>
        <v>0</v>
      </c>
      <c r="CD238" s="4">
        <f t="shared" si="182"/>
        <v>0</v>
      </c>
      <c r="CE238" s="4">
        <f t="shared" si="183"/>
        <v>0</v>
      </c>
      <c r="CF238" s="4">
        <f t="shared" si="184"/>
        <v>0</v>
      </c>
      <c r="CG238" s="4">
        <f t="shared" si="185"/>
        <v>0</v>
      </c>
      <c r="CH238" s="4">
        <f t="shared" si="186"/>
        <v>0</v>
      </c>
      <c r="CI238" s="4">
        <f t="shared" si="187"/>
        <v>0</v>
      </c>
      <c r="CJ238" s="4">
        <f t="shared" si="188"/>
        <v>0</v>
      </c>
      <c r="CK238" s="4">
        <f t="shared" si="189"/>
        <v>0</v>
      </c>
      <c r="CL238" s="4">
        <f t="shared" si="190"/>
        <v>0</v>
      </c>
      <c r="CM238" s="4">
        <f t="shared" si="191"/>
        <v>0</v>
      </c>
      <c r="CN238" s="4">
        <f t="shared" si="192"/>
        <v>0</v>
      </c>
      <c r="CO238" s="4">
        <f t="shared" si="193"/>
        <v>0</v>
      </c>
      <c r="CP238" s="4">
        <f t="shared" si="194"/>
        <v>0</v>
      </c>
      <c r="CQ238" s="4">
        <f t="shared" si="195"/>
        <v>0</v>
      </c>
      <c r="CR238" s="4">
        <f t="shared" si="196"/>
        <v>0</v>
      </c>
      <c r="CS238" s="4">
        <f t="shared" si="197"/>
        <v>0</v>
      </c>
      <c r="CT238" s="4">
        <f t="shared" si="198"/>
        <v>0</v>
      </c>
      <c r="CU238" s="4">
        <f t="shared" si="199"/>
        <v>0</v>
      </c>
      <c r="CV238" s="4">
        <f t="shared" si="200"/>
        <v>0</v>
      </c>
      <c r="CW238" s="4">
        <f t="shared" si="201"/>
        <v>0</v>
      </c>
      <c r="CX238" s="4">
        <f t="shared" si="202"/>
        <v>0</v>
      </c>
      <c r="CY238" s="4">
        <f t="shared" si="203"/>
        <v>0</v>
      </c>
      <c r="CZ238" s="4">
        <f t="shared" si="204"/>
        <v>0</v>
      </c>
      <c r="DA238" s="4">
        <f t="shared" si="205"/>
        <v>0</v>
      </c>
      <c r="DB238" s="4">
        <f t="shared" si="206"/>
        <v>0</v>
      </c>
      <c r="DC238" s="4">
        <f t="shared" si="207"/>
        <v>0</v>
      </c>
      <c r="DD238" s="4">
        <f t="shared" si="208"/>
        <v>0</v>
      </c>
    </row>
    <row r="239" spans="1:108" x14ac:dyDescent="0.25">
      <c r="A239" s="41" t="str">
        <f>Skills!M221</f>
        <v>Survival, Ocean</v>
      </c>
      <c r="B239" s="57" t="str">
        <f>Skills!N221</f>
        <v>Ocean</v>
      </c>
      <c r="C239" s="24">
        <f t="shared" si="209"/>
        <v>0</v>
      </c>
      <c r="D239" s="110" t="e">
        <f>Skills!S221</f>
        <v>#N/A</v>
      </c>
      <c r="E239" s="111" t="e">
        <f>Profession!$B$113</f>
        <v>#REF!</v>
      </c>
      <c r="F239" s="18"/>
      <c r="G239" s="18"/>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49"/>
      <c r="BF239" s="4">
        <f t="shared" si="159"/>
        <v>0</v>
      </c>
      <c r="BG239" s="4">
        <f t="shared" si="159"/>
        <v>0</v>
      </c>
      <c r="BH239" s="4">
        <f t="shared" si="160"/>
        <v>0</v>
      </c>
      <c r="BI239" s="4">
        <f t="shared" si="161"/>
        <v>0</v>
      </c>
      <c r="BJ239" s="4">
        <f t="shared" si="162"/>
        <v>0</v>
      </c>
      <c r="BK239" s="4">
        <f t="shared" si="163"/>
        <v>0</v>
      </c>
      <c r="BL239" s="4">
        <f t="shared" si="164"/>
        <v>0</v>
      </c>
      <c r="BM239" s="4">
        <f t="shared" si="165"/>
        <v>0</v>
      </c>
      <c r="BN239" s="4">
        <f t="shared" si="166"/>
        <v>0</v>
      </c>
      <c r="BO239" s="4">
        <f t="shared" si="167"/>
        <v>0</v>
      </c>
      <c r="BP239" s="4">
        <f t="shared" si="168"/>
        <v>0</v>
      </c>
      <c r="BQ239" s="4">
        <f t="shared" si="169"/>
        <v>0</v>
      </c>
      <c r="BR239" s="4">
        <f t="shared" si="170"/>
        <v>0</v>
      </c>
      <c r="BS239" s="4">
        <f t="shared" si="171"/>
        <v>0</v>
      </c>
      <c r="BT239" s="4">
        <f t="shared" si="172"/>
        <v>0</v>
      </c>
      <c r="BU239" s="4">
        <f t="shared" si="173"/>
        <v>0</v>
      </c>
      <c r="BV239" s="4">
        <f t="shared" si="174"/>
        <v>0</v>
      </c>
      <c r="BW239" s="4">
        <f t="shared" si="175"/>
        <v>0</v>
      </c>
      <c r="BX239" s="4">
        <f t="shared" si="176"/>
        <v>0</v>
      </c>
      <c r="BY239" s="4">
        <f t="shared" si="177"/>
        <v>0</v>
      </c>
      <c r="BZ239" s="4">
        <f t="shared" si="178"/>
        <v>0</v>
      </c>
      <c r="CA239" s="4">
        <f t="shared" si="179"/>
        <v>0</v>
      </c>
      <c r="CB239" s="4">
        <f t="shared" si="180"/>
        <v>0</v>
      </c>
      <c r="CC239" s="4">
        <f t="shared" si="181"/>
        <v>0</v>
      </c>
      <c r="CD239" s="4">
        <f t="shared" si="182"/>
        <v>0</v>
      </c>
      <c r="CE239" s="4">
        <f t="shared" si="183"/>
        <v>0</v>
      </c>
      <c r="CF239" s="4">
        <f t="shared" si="184"/>
        <v>0</v>
      </c>
      <c r="CG239" s="4">
        <f t="shared" si="185"/>
        <v>0</v>
      </c>
      <c r="CH239" s="4">
        <f t="shared" si="186"/>
        <v>0</v>
      </c>
      <c r="CI239" s="4">
        <f t="shared" si="187"/>
        <v>0</v>
      </c>
      <c r="CJ239" s="4">
        <f t="shared" si="188"/>
        <v>0</v>
      </c>
      <c r="CK239" s="4">
        <f t="shared" si="189"/>
        <v>0</v>
      </c>
      <c r="CL239" s="4">
        <f t="shared" si="190"/>
        <v>0</v>
      </c>
      <c r="CM239" s="4">
        <f t="shared" si="191"/>
        <v>0</v>
      </c>
      <c r="CN239" s="4">
        <f t="shared" si="192"/>
        <v>0</v>
      </c>
      <c r="CO239" s="4">
        <f t="shared" si="193"/>
        <v>0</v>
      </c>
      <c r="CP239" s="4">
        <f t="shared" si="194"/>
        <v>0</v>
      </c>
      <c r="CQ239" s="4">
        <f t="shared" si="195"/>
        <v>0</v>
      </c>
      <c r="CR239" s="4">
        <f t="shared" si="196"/>
        <v>0</v>
      </c>
      <c r="CS239" s="4">
        <f t="shared" si="197"/>
        <v>0</v>
      </c>
      <c r="CT239" s="4">
        <f t="shared" si="198"/>
        <v>0</v>
      </c>
      <c r="CU239" s="4">
        <f t="shared" si="199"/>
        <v>0</v>
      </c>
      <c r="CV239" s="4">
        <f t="shared" si="200"/>
        <v>0</v>
      </c>
      <c r="CW239" s="4">
        <f t="shared" si="201"/>
        <v>0</v>
      </c>
      <c r="CX239" s="4">
        <f t="shared" si="202"/>
        <v>0</v>
      </c>
      <c r="CY239" s="4">
        <f t="shared" si="203"/>
        <v>0</v>
      </c>
      <c r="CZ239" s="4">
        <f t="shared" si="204"/>
        <v>0</v>
      </c>
      <c r="DA239" s="4">
        <f t="shared" si="205"/>
        <v>0</v>
      </c>
      <c r="DB239" s="4">
        <f t="shared" si="206"/>
        <v>0</v>
      </c>
      <c r="DC239" s="4">
        <f t="shared" si="207"/>
        <v>0</v>
      </c>
      <c r="DD239" s="4">
        <f t="shared" si="208"/>
        <v>0</v>
      </c>
    </row>
    <row r="240" spans="1:108" x14ac:dyDescent="0.25">
      <c r="A240" s="41" t="str">
        <f>Skills!M222</f>
        <v>Survival, Underground</v>
      </c>
      <c r="B240" s="55" t="str">
        <f>Skills!N222</f>
        <v>Underground</v>
      </c>
      <c r="C240" s="22">
        <f t="shared" si="209"/>
        <v>0</v>
      </c>
      <c r="D240" s="112" t="e">
        <f>Skills!S222</f>
        <v>#N/A</v>
      </c>
      <c r="E240" s="113" t="e">
        <f>Profession!$B$113</f>
        <v>#REF!</v>
      </c>
      <c r="F240" s="19"/>
      <c r="G240" s="19"/>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56"/>
      <c r="BF240" s="4">
        <f t="shared" si="159"/>
        <v>0</v>
      </c>
      <c r="BG240" s="4">
        <f t="shared" si="159"/>
        <v>0</v>
      </c>
      <c r="BH240" s="4">
        <f t="shared" si="160"/>
        <v>0</v>
      </c>
      <c r="BI240" s="4">
        <f t="shared" si="161"/>
        <v>0</v>
      </c>
      <c r="BJ240" s="4">
        <f t="shared" si="162"/>
        <v>0</v>
      </c>
      <c r="BK240" s="4">
        <f t="shared" si="163"/>
        <v>0</v>
      </c>
      <c r="BL240" s="4">
        <f t="shared" si="164"/>
        <v>0</v>
      </c>
      <c r="BM240" s="4">
        <f t="shared" si="165"/>
        <v>0</v>
      </c>
      <c r="BN240" s="4">
        <f t="shared" si="166"/>
        <v>0</v>
      </c>
      <c r="BO240" s="4">
        <f t="shared" si="167"/>
        <v>0</v>
      </c>
      <c r="BP240" s="4">
        <f t="shared" si="168"/>
        <v>0</v>
      </c>
      <c r="BQ240" s="4">
        <f t="shared" si="169"/>
        <v>0</v>
      </c>
      <c r="BR240" s="4">
        <f t="shared" si="170"/>
        <v>0</v>
      </c>
      <c r="BS240" s="4">
        <f t="shared" si="171"/>
        <v>0</v>
      </c>
      <c r="BT240" s="4">
        <f t="shared" si="172"/>
        <v>0</v>
      </c>
      <c r="BU240" s="4">
        <f t="shared" si="173"/>
        <v>0</v>
      </c>
      <c r="BV240" s="4">
        <f t="shared" si="174"/>
        <v>0</v>
      </c>
      <c r="BW240" s="4">
        <f t="shared" si="175"/>
        <v>0</v>
      </c>
      <c r="BX240" s="4">
        <f t="shared" si="176"/>
        <v>0</v>
      </c>
      <c r="BY240" s="4">
        <f t="shared" si="177"/>
        <v>0</v>
      </c>
      <c r="BZ240" s="4">
        <f t="shared" si="178"/>
        <v>0</v>
      </c>
      <c r="CA240" s="4">
        <f t="shared" si="179"/>
        <v>0</v>
      </c>
      <c r="CB240" s="4">
        <f t="shared" si="180"/>
        <v>0</v>
      </c>
      <c r="CC240" s="4">
        <f t="shared" si="181"/>
        <v>0</v>
      </c>
      <c r="CD240" s="4">
        <f t="shared" si="182"/>
        <v>0</v>
      </c>
      <c r="CE240" s="4">
        <f t="shared" si="183"/>
        <v>0</v>
      </c>
      <c r="CF240" s="4">
        <f t="shared" si="184"/>
        <v>0</v>
      </c>
      <c r="CG240" s="4">
        <f t="shared" si="185"/>
        <v>0</v>
      </c>
      <c r="CH240" s="4">
        <f t="shared" si="186"/>
        <v>0</v>
      </c>
      <c r="CI240" s="4">
        <f t="shared" si="187"/>
        <v>0</v>
      </c>
      <c r="CJ240" s="4">
        <f t="shared" si="188"/>
        <v>0</v>
      </c>
      <c r="CK240" s="4">
        <f t="shared" si="189"/>
        <v>0</v>
      </c>
      <c r="CL240" s="4">
        <f t="shared" si="190"/>
        <v>0</v>
      </c>
      <c r="CM240" s="4">
        <f t="shared" si="191"/>
        <v>0</v>
      </c>
      <c r="CN240" s="4">
        <f t="shared" si="192"/>
        <v>0</v>
      </c>
      <c r="CO240" s="4">
        <f t="shared" si="193"/>
        <v>0</v>
      </c>
      <c r="CP240" s="4">
        <f t="shared" si="194"/>
        <v>0</v>
      </c>
      <c r="CQ240" s="4">
        <f t="shared" si="195"/>
        <v>0</v>
      </c>
      <c r="CR240" s="4">
        <f t="shared" si="196"/>
        <v>0</v>
      </c>
      <c r="CS240" s="4">
        <f t="shared" si="197"/>
        <v>0</v>
      </c>
      <c r="CT240" s="4">
        <f t="shared" si="198"/>
        <v>0</v>
      </c>
      <c r="CU240" s="4">
        <f t="shared" si="199"/>
        <v>0</v>
      </c>
      <c r="CV240" s="4">
        <f t="shared" si="200"/>
        <v>0</v>
      </c>
      <c r="CW240" s="4">
        <f t="shared" si="201"/>
        <v>0</v>
      </c>
      <c r="CX240" s="4">
        <f t="shared" si="202"/>
        <v>0</v>
      </c>
      <c r="CY240" s="4">
        <f t="shared" si="203"/>
        <v>0</v>
      </c>
      <c r="CZ240" s="4">
        <f t="shared" si="204"/>
        <v>0</v>
      </c>
      <c r="DA240" s="4">
        <f t="shared" si="205"/>
        <v>0</v>
      </c>
      <c r="DB240" s="4">
        <f t="shared" si="206"/>
        <v>0</v>
      </c>
      <c r="DC240" s="4">
        <f t="shared" si="207"/>
        <v>0</v>
      </c>
      <c r="DD240" s="4">
        <f t="shared" si="208"/>
        <v>0</v>
      </c>
    </row>
    <row r="241" spans="1:108" x14ac:dyDescent="0.25">
      <c r="A241" s="41" t="str">
        <f>Skills!M223</f>
        <v>Survival, Ice Caps &amp; Polar Deserts</v>
      </c>
      <c r="B241" s="57" t="str">
        <f>Skills!N223</f>
        <v>Ice Caps &amp; Polar Deserts</v>
      </c>
      <c r="C241" s="24">
        <f t="shared" si="209"/>
        <v>0</v>
      </c>
      <c r="D241" s="110" t="e">
        <f>Skills!S223</f>
        <v>#N/A</v>
      </c>
      <c r="E241" s="111" t="e">
        <f>Profession!$B$113</f>
        <v>#REF!</v>
      </c>
      <c r="F241" s="18"/>
      <c r="G241" s="18"/>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49"/>
      <c r="BF241" s="4">
        <f t="shared" si="159"/>
        <v>0</v>
      </c>
      <c r="BG241" s="4">
        <f t="shared" si="159"/>
        <v>0</v>
      </c>
      <c r="BH241" s="4">
        <f t="shared" si="160"/>
        <v>0</v>
      </c>
      <c r="BI241" s="4">
        <f t="shared" si="161"/>
        <v>0</v>
      </c>
      <c r="BJ241" s="4">
        <f t="shared" si="162"/>
        <v>0</v>
      </c>
      <c r="BK241" s="4">
        <f t="shared" si="163"/>
        <v>0</v>
      </c>
      <c r="BL241" s="4">
        <f t="shared" si="164"/>
        <v>0</v>
      </c>
      <c r="BM241" s="4">
        <f t="shared" si="165"/>
        <v>0</v>
      </c>
      <c r="BN241" s="4">
        <f t="shared" si="166"/>
        <v>0</v>
      </c>
      <c r="BO241" s="4">
        <f t="shared" si="167"/>
        <v>0</v>
      </c>
      <c r="BP241" s="4">
        <f t="shared" si="168"/>
        <v>0</v>
      </c>
      <c r="BQ241" s="4">
        <f t="shared" si="169"/>
        <v>0</v>
      </c>
      <c r="BR241" s="4">
        <f t="shared" si="170"/>
        <v>0</v>
      </c>
      <c r="BS241" s="4">
        <f t="shared" si="171"/>
        <v>0</v>
      </c>
      <c r="BT241" s="4">
        <f t="shared" si="172"/>
        <v>0</v>
      </c>
      <c r="BU241" s="4">
        <f t="shared" si="173"/>
        <v>0</v>
      </c>
      <c r="BV241" s="4">
        <f t="shared" si="174"/>
        <v>0</v>
      </c>
      <c r="BW241" s="4">
        <f t="shared" si="175"/>
        <v>0</v>
      </c>
      <c r="BX241" s="4">
        <f t="shared" si="176"/>
        <v>0</v>
      </c>
      <c r="BY241" s="4">
        <f t="shared" si="177"/>
        <v>0</v>
      </c>
      <c r="BZ241" s="4">
        <f t="shared" si="178"/>
        <v>0</v>
      </c>
      <c r="CA241" s="4">
        <f t="shared" si="179"/>
        <v>0</v>
      </c>
      <c r="CB241" s="4">
        <f t="shared" si="180"/>
        <v>0</v>
      </c>
      <c r="CC241" s="4">
        <f t="shared" si="181"/>
        <v>0</v>
      </c>
      <c r="CD241" s="4">
        <f t="shared" si="182"/>
        <v>0</v>
      </c>
      <c r="CE241" s="4">
        <f t="shared" si="183"/>
        <v>0</v>
      </c>
      <c r="CF241" s="4">
        <f t="shared" si="184"/>
        <v>0</v>
      </c>
      <c r="CG241" s="4">
        <f t="shared" si="185"/>
        <v>0</v>
      </c>
      <c r="CH241" s="4">
        <f t="shared" si="186"/>
        <v>0</v>
      </c>
      <c r="CI241" s="4">
        <f t="shared" si="187"/>
        <v>0</v>
      </c>
      <c r="CJ241" s="4">
        <f t="shared" si="188"/>
        <v>0</v>
      </c>
      <c r="CK241" s="4">
        <f t="shared" si="189"/>
        <v>0</v>
      </c>
      <c r="CL241" s="4">
        <f t="shared" si="190"/>
        <v>0</v>
      </c>
      <c r="CM241" s="4">
        <f t="shared" si="191"/>
        <v>0</v>
      </c>
      <c r="CN241" s="4">
        <f t="shared" si="192"/>
        <v>0</v>
      </c>
      <c r="CO241" s="4">
        <f t="shared" si="193"/>
        <v>0</v>
      </c>
      <c r="CP241" s="4">
        <f t="shared" si="194"/>
        <v>0</v>
      </c>
      <c r="CQ241" s="4">
        <f t="shared" si="195"/>
        <v>0</v>
      </c>
      <c r="CR241" s="4">
        <f t="shared" si="196"/>
        <v>0</v>
      </c>
      <c r="CS241" s="4">
        <f t="shared" si="197"/>
        <v>0</v>
      </c>
      <c r="CT241" s="4">
        <f t="shared" si="198"/>
        <v>0</v>
      </c>
      <c r="CU241" s="4">
        <f t="shared" si="199"/>
        <v>0</v>
      </c>
      <c r="CV241" s="4">
        <f t="shared" si="200"/>
        <v>0</v>
      </c>
      <c r="CW241" s="4">
        <f t="shared" si="201"/>
        <v>0</v>
      </c>
      <c r="CX241" s="4">
        <f t="shared" si="202"/>
        <v>0</v>
      </c>
      <c r="CY241" s="4">
        <f t="shared" si="203"/>
        <v>0</v>
      </c>
      <c r="CZ241" s="4">
        <f t="shared" si="204"/>
        <v>0</v>
      </c>
      <c r="DA241" s="4">
        <f t="shared" si="205"/>
        <v>0</v>
      </c>
      <c r="DB241" s="4">
        <f t="shared" si="206"/>
        <v>0</v>
      </c>
      <c r="DC241" s="4">
        <f t="shared" si="207"/>
        <v>0</v>
      </c>
      <c r="DD241" s="4">
        <f t="shared" si="208"/>
        <v>0</v>
      </c>
    </row>
    <row r="242" spans="1:108" x14ac:dyDescent="0.25">
      <c r="A242" s="41" t="str">
        <f>Skills!M224</f>
        <v>Survival, Tundra</v>
      </c>
      <c r="B242" s="55" t="str">
        <f>Skills!N224</f>
        <v>Tundra</v>
      </c>
      <c r="C242" s="22">
        <f t="shared" si="209"/>
        <v>0</v>
      </c>
      <c r="D242" s="112" t="e">
        <f>Skills!S224</f>
        <v>#N/A</v>
      </c>
      <c r="E242" s="113" t="e">
        <f>Profession!$B$113</f>
        <v>#REF!</v>
      </c>
      <c r="F242" s="19"/>
      <c r="G242" s="19"/>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56"/>
      <c r="BF242" s="4">
        <f t="shared" si="159"/>
        <v>0</v>
      </c>
      <c r="BG242" s="4">
        <f t="shared" si="159"/>
        <v>0</v>
      </c>
      <c r="BH242" s="4">
        <f t="shared" si="160"/>
        <v>0</v>
      </c>
      <c r="BI242" s="4">
        <f t="shared" si="161"/>
        <v>0</v>
      </c>
      <c r="BJ242" s="4">
        <f t="shared" si="162"/>
        <v>0</v>
      </c>
      <c r="BK242" s="4">
        <f t="shared" si="163"/>
        <v>0</v>
      </c>
      <c r="BL242" s="4">
        <f t="shared" si="164"/>
        <v>0</v>
      </c>
      <c r="BM242" s="4">
        <f t="shared" si="165"/>
        <v>0</v>
      </c>
      <c r="BN242" s="4">
        <f t="shared" si="166"/>
        <v>0</v>
      </c>
      <c r="BO242" s="4">
        <f t="shared" si="167"/>
        <v>0</v>
      </c>
      <c r="BP242" s="4">
        <f t="shared" si="168"/>
        <v>0</v>
      </c>
      <c r="BQ242" s="4">
        <f t="shared" si="169"/>
        <v>0</v>
      </c>
      <c r="BR242" s="4">
        <f t="shared" si="170"/>
        <v>0</v>
      </c>
      <c r="BS242" s="4">
        <f t="shared" si="171"/>
        <v>0</v>
      </c>
      <c r="BT242" s="4">
        <f t="shared" si="172"/>
        <v>0</v>
      </c>
      <c r="BU242" s="4">
        <f t="shared" si="173"/>
        <v>0</v>
      </c>
      <c r="BV242" s="4">
        <f t="shared" si="174"/>
        <v>0</v>
      </c>
      <c r="BW242" s="4">
        <f t="shared" si="175"/>
        <v>0</v>
      </c>
      <c r="BX242" s="4">
        <f t="shared" si="176"/>
        <v>0</v>
      </c>
      <c r="BY242" s="4">
        <f t="shared" si="177"/>
        <v>0</v>
      </c>
      <c r="BZ242" s="4">
        <f t="shared" si="178"/>
        <v>0</v>
      </c>
      <c r="CA242" s="4">
        <f t="shared" si="179"/>
        <v>0</v>
      </c>
      <c r="CB242" s="4">
        <f t="shared" si="180"/>
        <v>0</v>
      </c>
      <c r="CC242" s="4">
        <f t="shared" si="181"/>
        <v>0</v>
      </c>
      <c r="CD242" s="4">
        <f t="shared" si="182"/>
        <v>0</v>
      </c>
      <c r="CE242" s="4">
        <f t="shared" si="183"/>
        <v>0</v>
      </c>
      <c r="CF242" s="4">
        <f t="shared" si="184"/>
        <v>0</v>
      </c>
      <c r="CG242" s="4">
        <f t="shared" si="185"/>
        <v>0</v>
      </c>
      <c r="CH242" s="4">
        <f t="shared" si="186"/>
        <v>0</v>
      </c>
      <c r="CI242" s="4">
        <f t="shared" si="187"/>
        <v>0</v>
      </c>
      <c r="CJ242" s="4">
        <f t="shared" si="188"/>
        <v>0</v>
      </c>
      <c r="CK242" s="4">
        <f t="shared" si="189"/>
        <v>0</v>
      </c>
      <c r="CL242" s="4">
        <f t="shared" si="190"/>
        <v>0</v>
      </c>
      <c r="CM242" s="4">
        <f t="shared" si="191"/>
        <v>0</v>
      </c>
      <c r="CN242" s="4">
        <f t="shared" si="192"/>
        <v>0</v>
      </c>
      <c r="CO242" s="4">
        <f t="shared" si="193"/>
        <v>0</v>
      </c>
      <c r="CP242" s="4">
        <f t="shared" si="194"/>
        <v>0</v>
      </c>
      <c r="CQ242" s="4">
        <f t="shared" si="195"/>
        <v>0</v>
      </c>
      <c r="CR242" s="4">
        <f t="shared" si="196"/>
        <v>0</v>
      </c>
      <c r="CS242" s="4">
        <f t="shared" si="197"/>
        <v>0</v>
      </c>
      <c r="CT242" s="4">
        <f t="shared" si="198"/>
        <v>0</v>
      </c>
      <c r="CU242" s="4">
        <f t="shared" si="199"/>
        <v>0</v>
      </c>
      <c r="CV242" s="4">
        <f t="shared" si="200"/>
        <v>0</v>
      </c>
      <c r="CW242" s="4">
        <f t="shared" si="201"/>
        <v>0</v>
      </c>
      <c r="CX242" s="4">
        <f t="shared" si="202"/>
        <v>0</v>
      </c>
      <c r="CY242" s="4">
        <f t="shared" si="203"/>
        <v>0</v>
      </c>
      <c r="CZ242" s="4">
        <f t="shared" si="204"/>
        <v>0</v>
      </c>
      <c r="DA242" s="4">
        <f t="shared" si="205"/>
        <v>0</v>
      </c>
      <c r="DB242" s="4">
        <f t="shared" si="206"/>
        <v>0</v>
      </c>
      <c r="DC242" s="4">
        <f t="shared" si="207"/>
        <v>0</v>
      </c>
      <c r="DD242" s="4">
        <f t="shared" si="208"/>
        <v>0</v>
      </c>
    </row>
    <row r="243" spans="1:108" x14ac:dyDescent="0.25">
      <c r="A243" s="41" t="str">
        <f>Skills!M225</f>
        <v>Survival, Boreal Forests</v>
      </c>
      <c r="B243" s="57" t="str">
        <f>Skills!N225</f>
        <v>Boreal Forests</v>
      </c>
      <c r="C243" s="24">
        <f t="shared" si="209"/>
        <v>0</v>
      </c>
      <c r="D243" s="110" t="e">
        <f>Skills!S225</f>
        <v>#N/A</v>
      </c>
      <c r="E243" s="111" t="e">
        <f>Profession!$B$113</f>
        <v>#REF!</v>
      </c>
      <c r="F243" s="18"/>
      <c r="G243" s="18"/>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49"/>
      <c r="BF243" s="4">
        <f t="shared" si="159"/>
        <v>0</v>
      </c>
      <c r="BG243" s="4">
        <f t="shared" si="159"/>
        <v>0</v>
      </c>
      <c r="BH243" s="4">
        <f t="shared" si="160"/>
        <v>0</v>
      </c>
      <c r="BI243" s="4">
        <f t="shared" si="161"/>
        <v>0</v>
      </c>
      <c r="BJ243" s="4">
        <f t="shared" si="162"/>
        <v>0</v>
      </c>
      <c r="BK243" s="4">
        <f t="shared" si="163"/>
        <v>0</v>
      </c>
      <c r="BL243" s="4">
        <f t="shared" si="164"/>
        <v>0</v>
      </c>
      <c r="BM243" s="4">
        <f t="shared" si="165"/>
        <v>0</v>
      </c>
      <c r="BN243" s="4">
        <f t="shared" si="166"/>
        <v>0</v>
      </c>
      <c r="BO243" s="4">
        <f t="shared" si="167"/>
        <v>0</v>
      </c>
      <c r="BP243" s="4">
        <f t="shared" si="168"/>
        <v>0</v>
      </c>
      <c r="BQ243" s="4">
        <f t="shared" si="169"/>
        <v>0</v>
      </c>
      <c r="BR243" s="4">
        <f t="shared" si="170"/>
        <v>0</v>
      </c>
      <c r="BS243" s="4">
        <f t="shared" si="171"/>
        <v>0</v>
      </c>
      <c r="BT243" s="4">
        <f t="shared" si="172"/>
        <v>0</v>
      </c>
      <c r="BU243" s="4">
        <f t="shared" si="173"/>
        <v>0</v>
      </c>
      <c r="BV243" s="4">
        <f t="shared" si="174"/>
        <v>0</v>
      </c>
      <c r="BW243" s="4">
        <f t="shared" si="175"/>
        <v>0</v>
      </c>
      <c r="BX243" s="4">
        <f t="shared" si="176"/>
        <v>0</v>
      </c>
      <c r="BY243" s="4">
        <f t="shared" si="177"/>
        <v>0</v>
      </c>
      <c r="BZ243" s="4">
        <f t="shared" si="178"/>
        <v>0</v>
      </c>
      <c r="CA243" s="4">
        <f t="shared" si="179"/>
        <v>0</v>
      </c>
      <c r="CB243" s="4">
        <f t="shared" si="180"/>
        <v>0</v>
      </c>
      <c r="CC243" s="4">
        <f t="shared" si="181"/>
        <v>0</v>
      </c>
      <c r="CD243" s="4">
        <f t="shared" si="182"/>
        <v>0</v>
      </c>
      <c r="CE243" s="4">
        <f t="shared" si="183"/>
        <v>0</v>
      </c>
      <c r="CF243" s="4">
        <f t="shared" si="184"/>
        <v>0</v>
      </c>
      <c r="CG243" s="4">
        <f t="shared" si="185"/>
        <v>0</v>
      </c>
      <c r="CH243" s="4">
        <f t="shared" si="186"/>
        <v>0</v>
      </c>
      <c r="CI243" s="4">
        <f t="shared" si="187"/>
        <v>0</v>
      </c>
      <c r="CJ243" s="4">
        <f t="shared" si="188"/>
        <v>0</v>
      </c>
      <c r="CK243" s="4">
        <f t="shared" si="189"/>
        <v>0</v>
      </c>
      <c r="CL243" s="4">
        <f t="shared" si="190"/>
        <v>0</v>
      </c>
      <c r="CM243" s="4">
        <f t="shared" si="191"/>
        <v>0</v>
      </c>
      <c r="CN243" s="4">
        <f t="shared" si="192"/>
        <v>0</v>
      </c>
      <c r="CO243" s="4">
        <f t="shared" si="193"/>
        <v>0</v>
      </c>
      <c r="CP243" s="4">
        <f t="shared" si="194"/>
        <v>0</v>
      </c>
      <c r="CQ243" s="4">
        <f t="shared" si="195"/>
        <v>0</v>
      </c>
      <c r="CR243" s="4">
        <f t="shared" si="196"/>
        <v>0</v>
      </c>
      <c r="CS243" s="4">
        <f t="shared" si="197"/>
        <v>0</v>
      </c>
      <c r="CT243" s="4">
        <f t="shared" si="198"/>
        <v>0</v>
      </c>
      <c r="CU243" s="4">
        <f t="shared" si="199"/>
        <v>0</v>
      </c>
      <c r="CV243" s="4">
        <f t="shared" si="200"/>
        <v>0</v>
      </c>
      <c r="CW243" s="4">
        <f t="shared" si="201"/>
        <v>0</v>
      </c>
      <c r="CX243" s="4">
        <f t="shared" si="202"/>
        <v>0</v>
      </c>
      <c r="CY243" s="4">
        <f t="shared" si="203"/>
        <v>0</v>
      </c>
      <c r="CZ243" s="4">
        <f t="shared" si="204"/>
        <v>0</v>
      </c>
      <c r="DA243" s="4">
        <f t="shared" si="205"/>
        <v>0</v>
      </c>
      <c r="DB243" s="4">
        <f t="shared" si="206"/>
        <v>0</v>
      </c>
      <c r="DC243" s="4">
        <f t="shared" si="207"/>
        <v>0</v>
      </c>
      <c r="DD243" s="4">
        <f t="shared" si="208"/>
        <v>0</v>
      </c>
    </row>
    <row r="244" spans="1:108" x14ac:dyDescent="0.25">
      <c r="A244" s="41" t="str">
        <f>Skills!M226</f>
        <v>Survival, Desert &amp; Xeric Shrublands</v>
      </c>
      <c r="B244" s="55" t="str">
        <f>Skills!N226</f>
        <v>Desert &amp; Xeric Shrublands</v>
      </c>
      <c r="C244" s="22">
        <f t="shared" si="209"/>
        <v>0</v>
      </c>
      <c r="D244" s="112" t="e">
        <f>Skills!S226</f>
        <v>#N/A</v>
      </c>
      <c r="E244" s="113" t="e">
        <f>Profession!$B$113</f>
        <v>#REF!</v>
      </c>
      <c r="F244" s="19"/>
      <c r="G244" s="19"/>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56"/>
      <c r="BF244" s="4">
        <f t="shared" si="159"/>
        <v>0</v>
      </c>
      <c r="BG244" s="4">
        <f t="shared" si="159"/>
        <v>0</v>
      </c>
      <c r="BH244" s="4">
        <f t="shared" si="160"/>
        <v>0</v>
      </c>
      <c r="BI244" s="4">
        <f t="shared" si="161"/>
        <v>0</v>
      </c>
      <c r="BJ244" s="4">
        <f t="shared" si="162"/>
        <v>0</v>
      </c>
      <c r="BK244" s="4">
        <f t="shared" si="163"/>
        <v>0</v>
      </c>
      <c r="BL244" s="4">
        <f t="shared" si="164"/>
        <v>0</v>
      </c>
      <c r="BM244" s="4">
        <f t="shared" si="165"/>
        <v>0</v>
      </c>
      <c r="BN244" s="4">
        <f t="shared" si="166"/>
        <v>0</v>
      </c>
      <c r="BO244" s="4">
        <f t="shared" si="167"/>
        <v>0</v>
      </c>
      <c r="BP244" s="4">
        <f t="shared" si="168"/>
        <v>0</v>
      </c>
      <c r="BQ244" s="4">
        <f t="shared" si="169"/>
        <v>0</v>
      </c>
      <c r="BR244" s="4">
        <f t="shared" si="170"/>
        <v>0</v>
      </c>
      <c r="BS244" s="4">
        <f t="shared" si="171"/>
        <v>0</v>
      </c>
      <c r="BT244" s="4">
        <f t="shared" si="172"/>
        <v>0</v>
      </c>
      <c r="BU244" s="4">
        <f t="shared" si="173"/>
        <v>0</v>
      </c>
      <c r="BV244" s="4">
        <f t="shared" si="174"/>
        <v>0</v>
      </c>
      <c r="BW244" s="4">
        <f t="shared" si="175"/>
        <v>0</v>
      </c>
      <c r="BX244" s="4">
        <f t="shared" si="176"/>
        <v>0</v>
      </c>
      <c r="BY244" s="4">
        <f t="shared" si="177"/>
        <v>0</v>
      </c>
      <c r="BZ244" s="4">
        <f t="shared" si="178"/>
        <v>0</v>
      </c>
      <c r="CA244" s="4">
        <f t="shared" si="179"/>
        <v>0</v>
      </c>
      <c r="CB244" s="4">
        <f t="shared" si="180"/>
        <v>0</v>
      </c>
      <c r="CC244" s="4">
        <f t="shared" si="181"/>
        <v>0</v>
      </c>
      <c r="CD244" s="4">
        <f t="shared" si="182"/>
        <v>0</v>
      </c>
      <c r="CE244" s="4">
        <f t="shared" si="183"/>
        <v>0</v>
      </c>
      <c r="CF244" s="4">
        <f t="shared" si="184"/>
        <v>0</v>
      </c>
      <c r="CG244" s="4">
        <f t="shared" si="185"/>
        <v>0</v>
      </c>
      <c r="CH244" s="4">
        <f t="shared" si="186"/>
        <v>0</v>
      </c>
      <c r="CI244" s="4">
        <f t="shared" si="187"/>
        <v>0</v>
      </c>
      <c r="CJ244" s="4">
        <f t="shared" si="188"/>
        <v>0</v>
      </c>
      <c r="CK244" s="4">
        <f t="shared" si="189"/>
        <v>0</v>
      </c>
      <c r="CL244" s="4">
        <f t="shared" si="190"/>
        <v>0</v>
      </c>
      <c r="CM244" s="4">
        <f t="shared" si="191"/>
        <v>0</v>
      </c>
      <c r="CN244" s="4">
        <f t="shared" si="192"/>
        <v>0</v>
      </c>
      <c r="CO244" s="4">
        <f t="shared" si="193"/>
        <v>0</v>
      </c>
      <c r="CP244" s="4">
        <f t="shared" si="194"/>
        <v>0</v>
      </c>
      <c r="CQ244" s="4">
        <f t="shared" si="195"/>
        <v>0</v>
      </c>
      <c r="CR244" s="4">
        <f t="shared" si="196"/>
        <v>0</v>
      </c>
      <c r="CS244" s="4">
        <f t="shared" si="197"/>
        <v>0</v>
      </c>
      <c r="CT244" s="4">
        <f t="shared" si="198"/>
        <v>0</v>
      </c>
      <c r="CU244" s="4">
        <f t="shared" si="199"/>
        <v>0</v>
      </c>
      <c r="CV244" s="4">
        <f t="shared" si="200"/>
        <v>0</v>
      </c>
      <c r="CW244" s="4">
        <f t="shared" si="201"/>
        <v>0</v>
      </c>
      <c r="CX244" s="4">
        <f t="shared" si="202"/>
        <v>0</v>
      </c>
      <c r="CY244" s="4">
        <f t="shared" si="203"/>
        <v>0</v>
      </c>
      <c r="CZ244" s="4">
        <f t="shared" si="204"/>
        <v>0</v>
      </c>
      <c r="DA244" s="4">
        <f t="shared" si="205"/>
        <v>0</v>
      </c>
      <c r="DB244" s="4">
        <f t="shared" si="206"/>
        <v>0</v>
      </c>
      <c r="DC244" s="4">
        <f t="shared" si="207"/>
        <v>0</v>
      </c>
      <c r="DD244" s="4">
        <f t="shared" si="208"/>
        <v>0</v>
      </c>
    </row>
    <row r="245" spans="1:108" x14ac:dyDescent="0.25">
      <c r="A245" s="41" t="str">
        <f>Skills!M227</f>
        <v>Survival, Prairies &amp; Steppes</v>
      </c>
      <c r="B245" s="57" t="str">
        <f>Skills!N227</f>
        <v>Prairies &amp; Steppes</v>
      </c>
      <c r="C245" s="24">
        <f t="shared" si="209"/>
        <v>0</v>
      </c>
      <c r="D245" s="110" t="e">
        <f>Skills!S227</f>
        <v>#N/A</v>
      </c>
      <c r="E245" s="111" t="e">
        <f>Profession!$B$113</f>
        <v>#REF!</v>
      </c>
      <c r="F245" s="18"/>
      <c r="G245" s="18"/>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49"/>
      <c r="BF245" s="4">
        <f t="shared" si="159"/>
        <v>0</v>
      </c>
      <c r="BG245" s="4">
        <f t="shared" si="159"/>
        <v>0</v>
      </c>
      <c r="BH245" s="4">
        <f t="shared" si="160"/>
        <v>0</v>
      </c>
      <c r="BI245" s="4">
        <f t="shared" si="161"/>
        <v>0</v>
      </c>
      <c r="BJ245" s="4">
        <f t="shared" si="162"/>
        <v>0</v>
      </c>
      <c r="BK245" s="4">
        <f t="shared" si="163"/>
        <v>0</v>
      </c>
      <c r="BL245" s="4">
        <f t="shared" si="164"/>
        <v>0</v>
      </c>
      <c r="BM245" s="4">
        <f t="shared" si="165"/>
        <v>0</v>
      </c>
      <c r="BN245" s="4">
        <f t="shared" si="166"/>
        <v>0</v>
      </c>
      <c r="BO245" s="4">
        <f t="shared" si="167"/>
        <v>0</v>
      </c>
      <c r="BP245" s="4">
        <f t="shared" si="168"/>
        <v>0</v>
      </c>
      <c r="BQ245" s="4">
        <f t="shared" si="169"/>
        <v>0</v>
      </c>
      <c r="BR245" s="4">
        <f t="shared" si="170"/>
        <v>0</v>
      </c>
      <c r="BS245" s="4">
        <f t="shared" si="171"/>
        <v>0</v>
      </c>
      <c r="BT245" s="4">
        <f t="shared" si="172"/>
        <v>0</v>
      </c>
      <c r="BU245" s="4">
        <f t="shared" si="173"/>
        <v>0</v>
      </c>
      <c r="BV245" s="4">
        <f t="shared" si="174"/>
        <v>0</v>
      </c>
      <c r="BW245" s="4">
        <f t="shared" si="175"/>
        <v>0</v>
      </c>
      <c r="BX245" s="4">
        <f t="shared" si="176"/>
        <v>0</v>
      </c>
      <c r="BY245" s="4">
        <f t="shared" si="177"/>
        <v>0</v>
      </c>
      <c r="BZ245" s="4">
        <f t="shared" si="178"/>
        <v>0</v>
      </c>
      <c r="CA245" s="4">
        <f t="shared" si="179"/>
        <v>0</v>
      </c>
      <c r="CB245" s="4">
        <f t="shared" si="180"/>
        <v>0</v>
      </c>
      <c r="CC245" s="4">
        <f t="shared" si="181"/>
        <v>0</v>
      </c>
      <c r="CD245" s="4">
        <f t="shared" si="182"/>
        <v>0</v>
      </c>
      <c r="CE245" s="4">
        <f t="shared" si="183"/>
        <v>0</v>
      </c>
      <c r="CF245" s="4">
        <f t="shared" si="184"/>
        <v>0</v>
      </c>
      <c r="CG245" s="4">
        <f t="shared" si="185"/>
        <v>0</v>
      </c>
      <c r="CH245" s="4">
        <f t="shared" si="186"/>
        <v>0</v>
      </c>
      <c r="CI245" s="4">
        <f t="shared" si="187"/>
        <v>0</v>
      </c>
      <c r="CJ245" s="4">
        <f t="shared" si="188"/>
        <v>0</v>
      </c>
      <c r="CK245" s="4">
        <f t="shared" si="189"/>
        <v>0</v>
      </c>
      <c r="CL245" s="4">
        <f t="shared" si="190"/>
        <v>0</v>
      </c>
      <c r="CM245" s="4">
        <f t="shared" si="191"/>
        <v>0</v>
      </c>
      <c r="CN245" s="4">
        <f t="shared" si="192"/>
        <v>0</v>
      </c>
      <c r="CO245" s="4">
        <f t="shared" si="193"/>
        <v>0</v>
      </c>
      <c r="CP245" s="4">
        <f t="shared" si="194"/>
        <v>0</v>
      </c>
      <c r="CQ245" s="4">
        <f t="shared" si="195"/>
        <v>0</v>
      </c>
      <c r="CR245" s="4">
        <f t="shared" si="196"/>
        <v>0</v>
      </c>
      <c r="CS245" s="4">
        <f t="shared" si="197"/>
        <v>0</v>
      </c>
      <c r="CT245" s="4">
        <f t="shared" si="198"/>
        <v>0</v>
      </c>
      <c r="CU245" s="4">
        <f t="shared" si="199"/>
        <v>0</v>
      </c>
      <c r="CV245" s="4">
        <f t="shared" si="200"/>
        <v>0</v>
      </c>
      <c r="CW245" s="4">
        <f t="shared" si="201"/>
        <v>0</v>
      </c>
      <c r="CX245" s="4">
        <f t="shared" si="202"/>
        <v>0</v>
      </c>
      <c r="CY245" s="4">
        <f t="shared" si="203"/>
        <v>0</v>
      </c>
      <c r="CZ245" s="4">
        <f t="shared" si="204"/>
        <v>0</v>
      </c>
      <c r="DA245" s="4">
        <f t="shared" si="205"/>
        <v>0</v>
      </c>
      <c r="DB245" s="4">
        <f t="shared" si="206"/>
        <v>0</v>
      </c>
      <c r="DC245" s="4">
        <f t="shared" si="207"/>
        <v>0</v>
      </c>
      <c r="DD245" s="4">
        <f t="shared" si="208"/>
        <v>0</v>
      </c>
    </row>
    <row r="246" spans="1:108" x14ac:dyDescent="0.25">
      <c r="A246" s="41" t="str">
        <f>Skills!M228</f>
        <v>Survival, Temperate Forests</v>
      </c>
      <c r="B246" s="55" t="str">
        <f>Skills!N228</f>
        <v>Temperate Forests</v>
      </c>
      <c r="C246" s="22">
        <f t="shared" si="209"/>
        <v>0</v>
      </c>
      <c r="D246" s="112" t="e">
        <f>Skills!S228</f>
        <v>#N/A</v>
      </c>
      <c r="E246" s="113" t="e">
        <f>Profession!$B$113</f>
        <v>#REF!</v>
      </c>
      <c r="F246" s="19"/>
      <c r="G246" s="19"/>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56"/>
      <c r="BF246" s="4">
        <f t="shared" si="159"/>
        <v>0</v>
      </c>
      <c r="BG246" s="4">
        <f t="shared" si="159"/>
        <v>0</v>
      </c>
      <c r="BH246" s="4">
        <f t="shared" si="160"/>
        <v>0</v>
      </c>
      <c r="BI246" s="4">
        <f t="shared" si="161"/>
        <v>0</v>
      </c>
      <c r="BJ246" s="4">
        <f t="shared" si="162"/>
        <v>0</v>
      </c>
      <c r="BK246" s="4">
        <f t="shared" si="163"/>
        <v>0</v>
      </c>
      <c r="BL246" s="4">
        <f t="shared" si="164"/>
        <v>0</v>
      </c>
      <c r="BM246" s="4">
        <f t="shared" si="165"/>
        <v>0</v>
      </c>
      <c r="BN246" s="4">
        <f t="shared" si="166"/>
        <v>0</v>
      </c>
      <c r="BO246" s="4">
        <f t="shared" si="167"/>
        <v>0</v>
      </c>
      <c r="BP246" s="4">
        <f t="shared" si="168"/>
        <v>0</v>
      </c>
      <c r="BQ246" s="4">
        <f t="shared" si="169"/>
        <v>0</v>
      </c>
      <c r="BR246" s="4">
        <f t="shared" si="170"/>
        <v>0</v>
      </c>
      <c r="BS246" s="4">
        <f t="shared" si="171"/>
        <v>0</v>
      </c>
      <c r="BT246" s="4">
        <f t="shared" si="172"/>
        <v>0</v>
      </c>
      <c r="BU246" s="4">
        <f t="shared" si="173"/>
        <v>0</v>
      </c>
      <c r="BV246" s="4">
        <f t="shared" si="174"/>
        <v>0</v>
      </c>
      <c r="BW246" s="4">
        <f t="shared" si="175"/>
        <v>0</v>
      </c>
      <c r="BX246" s="4">
        <f t="shared" si="176"/>
        <v>0</v>
      </c>
      <c r="BY246" s="4">
        <f t="shared" si="177"/>
        <v>0</v>
      </c>
      <c r="BZ246" s="4">
        <f t="shared" si="178"/>
        <v>0</v>
      </c>
      <c r="CA246" s="4">
        <f t="shared" si="179"/>
        <v>0</v>
      </c>
      <c r="CB246" s="4">
        <f t="shared" si="180"/>
        <v>0</v>
      </c>
      <c r="CC246" s="4">
        <f t="shared" si="181"/>
        <v>0</v>
      </c>
      <c r="CD246" s="4">
        <f t="shared" si="182"/>
        <v>0</v>
      </c>
      <c r="CE246" s="4">
        <f t="shared" si="183"/>
        <v>0</v>
      </c>
      <c r="CF246" s="4">
        <f t="shared" si="184"/>
        <v>0</v>
      </c>
      <c r="CG246" s="4">
        <f t="shared" si="185"/>
        <v>0</v>
      </c>
      <c r="CH246" s="4">
        <f t="shared" si="186"/>
        <v>0</v>
      </c>
      <c r="CI246" s="4">
        <f t="shared" si="187"/>
        <v>0</v>
      </c>
      <c r="CJ246" s="4">
        <f t="shared" si="188"/>
        <v>0</v>
      </c>
      <c r="CK246" s="4">
        <f t="shared" si="189"/>
        <v>0</v>
      </c>
      <c r="CL246" s="4">
        <f t="shared" si="190"/>
        <v>0</v>
      </c>
      <c r="CM246" s="4">
        <f t="shared" si="191"/>
        <v>0</v>
      </c>
      <c r="CN246" s="4">
        <f t="shared" si="192"/>
        <v>0</v>
      </c>
      <c r="CO246" s="4">
        <f t="shared" si="193"/>
        <v>0</v>
      </c>
      <c r="CP246" s="4">
        <f t="shared" si="194"/>
        <v>0</v>
      </c>
      <c r="CQ246" s="4">
        <f t="shared" si="195"/>
        <v>0</v>
      </c>
      <c r="CR246" s="4">
        <f t="shared" si="196"/>
        <v>0</v>
      </c>
      <c r="CS246" s="4">
        <f t="shared" si="197"/>
        <v>0</v>
      </c>
      <c r="CT246" s="4">
        <f t="shared" si="198"/>
        <v>0</v>
      </c>
      <c r="CU246" s="4">
        <f t="shared" si="199"/>
        <v>0</v>
      </c>
      <c r="CV246" s="4">
        <f t="shared" si="200"/>
        <v>0</v>
      </c>
      <c r="CW246" s="4">
        <f t="shared" si="201"/>
        <v>0</v>
      </c>
      <c r="CX246" s="4">
        <f t="shared" si="202"/>
        <v>0</v>
      </c>
      <c r="CY246" s="4">
        <f t="shared" si="203"/>
        <v>0</v>
      </c>
      <c r="CZ246" s="4">
        <f t="shared" si="204"/>
        <v>0</v>
      </c>
      <c r="DA246" s="4">
        <f t="shared" si="205"/>
        <v>0</v>
      </c>
      <c r="DB246" s="4">
        <f t="shared" si="206"/>
        <v>0</v>
      </c>
      <c r="DC246" s="4">
        <f t="shared" si="207"/>
        <v>0</v>
      </c>
      <c r="DD246" s="4">
        <f t="shared" si="208"/>
        <v>0</v>
      </c>
    </row>
    <row r="247" spans="1:108" x14ac:dyDescent="0.25">
      <c r="A247" s="41" t="str">
        <f>Skills!M229</f>
        <v>Survival, Hot Deserts</v>
      </c>
      <c r="B247" s="57" t="str">
        <f>Skills!N229</f>
        <v>Hot Deserts</v>
      </c>
      <c r="C247" s="24">
        <f t="shared" si="209"/>
        <v>0</v>
      </c>
      <c r="D247" s="110" t="e">
        <f>Skills!S229</f>
        <v>#N/A</v>
      </c>
      <c r="E247" s="111" t="e">
        <f>Profession!$B$113</f>
        <v>#REF!</v>
      </c>
      <c r="F247" s="18"/>
      <c r="G247" s="18"/>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49"/>
      <c r="BF247" s="4">
        <f t="shared" si="159"/>
        <v>0</v>
      </c>
      <c r="BG247" s="4">
        <f t="shared" si="159"/>
        <v>0</v>
      </c>
      <c r="BH247" s="4">
        <f t="shared" si="160"/>
        <v>0</v>
      </c>
      <c r="BI247" s="4">
        <f t="shared" si="161"/>
        <v>0</v>
      </c>
      <c r="BJ247" s="4">
        <f t="shared" si="162"/>
        <v>0</v>
      </c>
      <c r="BK247" s="4">
        <f t="shared" si="163"/>
        <v>0</v>
      </c>
      <c r="BL247" s="4">
        <f t="shared" si="164"/>
        <v>0</v>
      </c>
      <c r="BM247" s="4">
        <f t="shared" si="165"/>
        <v>0</v>
      </c>
      <c r="BN247" s="4">
        <f t="shared" si="166"/>
        <v>0</v>
      </c>
      <c r="BO247" s="4">
        <f t="shared" si="167"/>
        <v>0</v>
      </c>
      <c r="BP247" s="4">
        <f t="shared" si="168"/>
        <v>0</v>
      </c>
      <c r="BQ247" s="4">
        <f t="shared" si="169"/>
        <v>0</v>
      </c>
      <c r="BR247" s="4">
        <f t="shared" si="170"/>
        <v>0</v>
      </c>
      <c r="BS247" s="4">
        <f t="shared" si="171"/>
        <v>0</v>
      </c>
      <c r="BT247" s="4">
        <f t="shared" si="172"/>
        <v>0</v>
      </c>
      <c r="BU247" s="4">
        <f t="shared" si="173"/>
        <v>0</v>
      </c>
      <c r="BV247" s="4">
        <f t="shared" si="174"/>
        <v>0</v>
      </c>
      <c r="BW247" s="4">
        <f t="shared" si="175"/>
        <v>0</v>
      </c>
      <c r="BX247" s="4">
        <f t="shared" si="176"/>
        <v>0</v>
      </c>
      <c r="BY247" s="4">
        <f t="shared" si="177"/>
        <v>0</v>
      </c>
      <c r="BZ247" s="4">
        <f t="shared" si="178"/>
        <v>0</v>
      </c>
      <c r="CA247" s="4">
        <f t="shared" si="179"/>
        <v>0</v>
      </c>
      <c r="CB247" s="4">
        <f t="shared" si="180"/>
        <v>0</v>
      </c>
      <c r="CC247" s="4">
        <f t="shared" si="181"/>
        <v>0</v>
      </c>
      <c r="CD247" s="4">
        <f t="shared" si="182"/>
        <v>0</v>
      </c>
      <c r="CE247" s="4">
        <f t="shared" si="183"/>
        <v>0</v>
      </c>
      <c r="CF247" s="4">
        <f t="shared" si="184"/>
        <v>0</v>
      </c>
      <c r="CG247" s="4">
        <f t="shared" si="185"/>
        <v>0</v>
      </c>
      <c r="CH247" s="4">
        <f t="shared" si="186"/>
        <v>0</v>
      </c>
      <c r="CI247" s="4">
        <f t="shared" si="187"/>
        <v>0</v>
      </c>
      <c r="CJ247" s="4">
        <f t="shared" si="188"/>
        <v>0</v>
      </c>
      <c r="CK247" s="4">
        <f t="shared" si="189"/>
        <v>0</v>
      </c>
      <c r="CL247" s="4">
        <f t="shared" si="190"/>
        <v>0</v>
      </c>
      <c r="CM247" s="4">
        <f t="shared" si="191"/>
        <v>0</v>
      </c>
      <c r="CN247" s="4">
        <f t="shared" si="192"/>
        <v>0</v>
      </c>
      <c r="CO247" s="4">
        <f t="shared" si="193"/>
        <v>0</v>
      </c>
      <c r="CP247" s="4">
        <f t="shared" si="194"/>
        <v>0</v>
      </c>
      <c r="CQ247" s="4">
        <f t="shared" si="195"/>
        <v>0</v>
      </c>
      <c r="CR247" s="4">
        <f t="shared" si="196"/>
        <v>0</v>
      </c>
      <c r="CS247" s="4">
        <f t="shared" si="197"/>
        <v>0</v>
      </c>
      <c r="CT247" s="4">
        <f t="shared" si="198"/>
        <v>0</v>
      </c>
      <c r="CU247" s="4">
        <f t="shared" si="199"/>
        <v>0</v>
      </c>
      <c r="CV247" s="4">
        <f t="shared" si="200"/>
        <v>0</v>
      </c>
      <c r="CW247" s="4">
        <f t="shared" si="201"/>
        <v>0</v>
      </c>
      <c r="CX247" s="4">
        <f t="shared" si="202"/>
        <v>0</v>
      </c>
      <c r="CY247" s="4">
        <f t="shared" si="203"/>
        <v>0</v>
      </c>
      <c r="CZ247" s="4">
        <f t="shared" si="204"/>
        <v>0</v>
      </c>
      <c r="DA247" s="4">
        <f t="shared" si="205"/>
        <v>0</v>
      </c>
      <c r="DB247" s="4">
        <f t="shared" si="206"/>
        <v>0</v>
      </c>
      <c r="DC247" s="4">
        <f t="shared" si="207"/>
        <v>0</v>
      </c>
      <c r="DD247" s="4">
        <f t="shared" si="208"/>
        <v>0</v>
      </c>
    </row>
    <row r="248" spans="1:108" x14ac:dyDescent="0.25">
      <c r="A248" s="41" t="str">
        <f>Skills!M230</f>
        <v>Survival, Savannas &amp; Grasslands</v>
      </c>
      <c r="B248" s="55" t="str">
        <f>Skills!N230</f>
        <v>Savannas &amp; Grasslands</v>
      </c>
      <c r="C248" s="22">
        <f t="shared" si="209"/>
        <v>0</v>
      </c>
      <c r="D248" s="112" t="e">
        <f>Skills!S230</f>
        <v>#N/A</v>
      </c>
      <c r="E248" s="113" t="e">
        <f>Profession!$B$113</f>
        <v>#REF!</v>
      </c>
      <c r="F248" s="19"/>
      <c r="G248" s="19"/>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56"/>
      <c r="BF248" s="4">
        <f t="shared" si="159"/>
        <v>0</v>
      </c>
      <c r="BG248" s="4">
        <f t="shared" si="159"/>
        <v>0</v>
      </c>
      <c r="BH248" s="4">
        <f t="shared" si="160"/>
        <v>0</v>
      </c>
      <c r="BI248" s="4">
        <f t="shared" si="161"/>
        <v>0</v>
      </c>
      <c r="BJ248" s="4">
        <f t="shared" si="162"/>
        <v>0</v>
      </c>
      <c r="BK248" s="4">
        <f t="shared" si="163"/>
        <v>0</v>
      </c>
      <c r="BL248" s="4">
        <f t="shared" si="164"/>
        <v>0</v>
      </c>
      <c r="BM248" s="4">
        <f t="shared" si="165"/>
        <v>0</v>
      </c>
      <c r="BN248" s="4">
        <f t="shared" si="166"/>
        <v>0</v>
      </c>
      <c r="BO248" s="4">
        <f t="shared" si="167"/>
        <v>0</v>
      </c>
      <c r="BP248" s="4">
        <f t="shared" si="168"/>
        <v>0</v>
      </c>
      <c r="BQ248" s="4">
        <f t="shared" si="169"/>
        <v>0</v>
      </c>
      <c r="BR248" s="4">
        <f t="shared" si="170"/>
        <v>0</v>
      </c>
      <c r="BS248" s="4">
        <f t="shared" si="171"/>
        <v>0</v>
      </c>
      <c r="BT248" s="4">
        <f t="shared" si="172"/>
        <v>0</v>
      </c>
      <c r="BU248" s="4">
        <f t="shared" si="173"/>
        <v>0</v>
      </c>
      <c r="BV248" s="4">
        <f t="shared" si="174"/>
        <v>0</v>
      </c>
      <c r="BW248" s="4">
        <f t="shared" si="175"/>
        <v>0</v>
      </c>
      <c r="BX248" s="4">
        <f t="shared" si="176"/>
        <v>0</v>
      </c>
      <c r="BY248" s="4">
        <f t="shared" si="177"/>
        <v>0</v>
      </c>
      <c r="BZ248" s="4">
        <f t="shared" si="178"/>
        <v>0</v>
      </c>
      <c r="CA248" s="4">
        <f t="shared" si="179"/>
        <v>0</v>
      </c>
      <c r="CB248" s="4">
        <f t="shared" si="180"/>
        <v>0</v>
      </c>
      <c r="CC248" s="4">
        <f t="shared" si="181"/>
        <v>0</v>
      </c>
      <c r="CD248" s="4">
        <f t="shared" si="182"/>
        <v>0</v>
      </c>
      <c r="CE248" s="4">
        <f t="shared" si="183"/>
        <v>0</v>
      </c>
      <c r="CF248" s="4">
        <f t="shared" si="184"/>
        <v>0</v>
      </c>
      <c r="CG248" s="4">
        <f t="shared" si="185"/>
        <v>0</v>
      </c>
      <c r="CH248" s="4">
        <f t="shared" si="186"/>
        <v>0</v>
      </c>
      <c r="CI248" s="4">
        <f t="shared" si="187"/>
        <v>0</v>
      </c>
      <c r="CJ248" s="4">
        <f t="shared" si="188"/>
        <v>0</v>
      </c>
      <c r="CK248" s="4">
        <f t="shared" si="189"/>
        <v>0</v>
      </c>
      <c r="CL248" s="4">
        <f t="shared" si="190"/>
        <v>0</v>
      </c>
      <c r="CM248" s="4">
        <f t="shared" si="191"/>
        <v>0</v>
      </c>
      <c r="CN248" s="4">
        <f t="shared" si="192"/>
        <v>0</v>
      </c>
      <c r="CO248" s="4">
        <f t="shared" si="193"/>
        <v>0</v>
      </c>
      <c r="CP248" s="4">
        <f t="shared" si="194"/>
        <v>0</v>
      </c>
      <c r="CQ248" s="4">
        <f t="shared" si="195"/>
        <v>0</v>
      </c>
      <c r="CR248" s="4">
        <f t="shared" si="196"/>
        <v>0</v>
      </c>
      <c r="CS248" s="4">
        <f t="shared" si="197"/>
        <v>0</v>
      </c>
      <c r="CT248" s="4">
        <f t="shared" si="198"/>
        <v>0</v>
      </c>
      <c r="CU248" s="4">
        <f t="shared" si="199"/>
        <v>0</v>
      </c>
      <c r="CV248" s="4">
        <f t="shared" si="200"/>
        <v>0</v>
      </c>
      <c r="CW248" s="4">
        <f t="shared" si="201"/>
        <v>0</v>
      </c>
      <c r="CX248" s="4">
        <f t="shared" si="202"/>
        <v>0</v>
      </c>
      <c r="CY248" s="4">
        <f t="shared" si="203"/>
        <v>0</v>
      </c>
      <c r="CZ248" s="4">
        <f t="shared" si="204"/>
        <v>0</v>
      </c>
      <c r="DA248" s="4">
        <f t="shared" si="205"/>
        <v>0</v>
      </c>
      <c r="DB248" s="4">
        <f t="shared" si="206"/>
        <v>0</v>
      </c>
      <c r="DC248" s="4">
        <f t="shared" si="207"/>
        <v>0</v>
      </c>
      <c r="DD248" s="4">
        <f t="shared" si="208"/>
        <v>0</v>
      </c>
    </row>
    <row r="249" spans="1:108" x14ac:dyDescent="0.25">
      <c r="A249" s="41" t="str">
        <f>Skills!M231</f>
        <v>Survival, Tropical Forests</v>
      </c>
      <c r="B249" s="57" t="str">
        <f>Skills!N231</f>
        <v>Tropical Forests</v>
      </c>
      <c r="C249" s="24">
        <f t="shared" si="209"/>
        <v>0</v>
      </c>
      <c r="D249" s="110" t="e">
        <f>Skills!S231</f>
        <v>#N/A</v>
      </c>
      <c r="E249" s="111" t="e">
        <f>Profession!$B$113</f>
        <v>#REF!</v>
      </c>
      <c r="F249" s="18"/>
      <c r="G249" s="18"/>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49"/>
      <c r="BF249" s="4">
        <f t="shared" si="159"/>
        <v>0</v>
      </c>
      <c r="BG249" s="4">
        <f t="shared" si="159"/>
        <v>0</v>
      </c>
      <c r="BH249" s="4">
        <f t="shared" si="160"/>
        <v>0</v>
      </c>
      <c r="BI249" s="4">
        <f t="shared" si="161"/>
        <v>0</v>
      </c>
      <c r="BJ249" s="4">
        <f t="shared" si="162"/>
        <v>0</v>
      </c>
      <c r="BK249" s="4">
        <f t="shared" si="163"/>
        <v>0</v>
      </c>
      <c r="BL249" s="4">
        <f t="shared" si="164"/>
        <v>0</v>
      </c>
      <c r="BM249" s="4">
        <f t="shared" si="165"/>
        <v>0</v>
      </c>
      <c r="BN249" s="4">
        <f t="shared" si="166"/>
        <v>0</v>
      </c>
      <c r="BO249" s="4">
        <f t="shared" si="167"/>
        <v>0</v>
      </c>
      <c r="BP249" s="4">
        <f t="shared" si="168"/>
        <v>0</v>
      </c>
      <c r="BQ249" s="4">
        <f t="shared" si="169"/>
        <v>0</v>
      </c>
      <c r="BR249" s="4">
        <f t="shared" si="170"/>
        <v>0</v>
      </c>
      <c r="BS249" s="4">
        <f t="shared" si="171"/>
        <v>0</v>
      </c>
      <c r="BT249" s="4">
        <f t="shared" si="172"/>
        <v>0</v>
      </c>
      <c r="BU249" s="4">
        <f t="shared" si="173"/>
        <v>0</v>
      </c>
      <c r="BV249" s="4">
        <f t="shared" si="174"/>
        <v>0</v>
      </c>
      <c r="BW249" s="4">
        <f t="shared" si="175"/>
        <v>0</v>
      </c>
      <c r="BX249" s="4">
        <f t="shared" si="176"/>
        <v>0</v>
      </c>
      <c r="BY249" s="4">
        <f t="shared" si="177"/>
        <v>0</v>
      </c>
      <c r="BZ249" s="4">
        <f t="shared" si="178"/>
        <v>0</v>
      </c>
      <c r="CA249" s="4">
        <f t="shared" si="179"/>
        <v>0</v>
      </c>
      <c r="CB249" s="4">
        <f t="shared" si="180"/>
        <v>0</v>
      </c>
      <c r="CC249" s="4">
        <f t="shared" si="181"/>
        <v>0</v>
      </c>
      <c r="CD249" s="4">
        <f t="shared" si="182"/>
        <v>0</v>
      </c>
      <c r="CE249" s="4">
        <f t="shared" si="183"/>
        <v>0</v>
      </c>
      <c r="CF249" s="4">
        <f t="shared" si="184"/>
        <v>0</v>
      </c>
      <c r="CG249" s="4">
        <f t="shared" si="185"/>
        <v>0</v>
      </c>
      <c r="CH249" s="4">
        <f t="shared" si="186"/>
        <v>0</v>
      </c>
      <c r="CI249" s="4">
        <f t="shared" si="187"/>
        <v>0</v>
      </c>
      <c r="CJ249" s="4">
        <f t="shared" si="188"/>
        <v>0</v>
      </c>
      <c r="CK249" s="4">
        <f t="shared" si="189"/>
        <v>0</v>
      </c>
      <c r="CL249" s="4">
        <f t="shared" si="190"/>
        <v>0</v>
      </c>
      <c r="CM249" s="4">
        <f t="shared" si="191"/>
        <v>0</v>
      </c>
      <c r="CN249" s="4">
        <f t="shared" si="192"/>
        <v>0</v>
      </c>
      <c r="CO249" s="4">
        <f t="shared" si="193"/>
        <v>0</v>
      </c>
      <c r="CP249" s="4">
        <f t="shared" si="194"/>
        <v>0</v>
      </c>
      <c r="CQ249" s="4">
        <f t="shared" si="195"/>
        <v>0</v>
      </c>
      <c r="CR249" s="4">
        <f t="shared" si="196"/>
        <v>0</v>
      </c>
      <c r="CS249" s="4">
        <f t="shared" si="197"/>
        <v>0</v>
      </c>
      <c r="CT249" s="4">
        <f t="shared" si="198"/>
        <v>0</v>
      </c>
      <c r="CU249" s="4">
        <f t="shared" si="199"/>
        <v>0</v>
      </c>
      <c r="CV249" s="4">
        <f t="shared" si="200"/>
        <v>0</v>
      </c>
      <c r="CW249" s="4">
        <f t="shared" si="201"/>
        <v>0</v>
      </c>
      <c r="CX249" s="4">
        <f t="shared" si="202"/>
        <v>0</v>
      </c>
      <c r="CY249" s="4">
        <f t="shared" si="203"/>
        <v>0</v>
      </c>
      <c r="CZ249" s="4">
        <f t="shared" si="204"/>
        <v>0</v>
      </c>
      <c r="DA249" s="4">
        <f t="shared" si="205"/>
        <v>0</v>
      </c>
      <c r="DB249" s="4">
        <f t="shared" si="206"/>
        <v>0</v>
      </c>
      <c r="DC249" s="4">
        <f t="shared" si="207"/>
        <v>0</v>
      </c>
      <c r="DD249" s="4">
        <f t="shared" si="208"/>
        <v>0</v>
      </c>
    </row>
    <row r="250" spans="1:108" x14ac:dyDescent="0.25">
      <c r="A250" s="41" t="str">
        <f>Skills!M232</f>
        <v>Survival, Urban</v>
      </c>
      <c r="B250" s="55" t="str">
        <f>Skills!N232</f>
        <v>Urban</v>
      </c>
      <c r="C250" s="22">
        <f t="shared" ref="C250" si="210">SUM(F250:BD250)</f>
        <v>0</v>
      </c>
      <c r="D250" s="112" t="e">
        <f>Skills!S232</f>
        <v>#N/A</v>
      </c>
      <c r="E250" s="113" t="e">
        <f>Profession!$B$113</f>
        <v>#REF!</v>
      </c>
      <c r="F250" s="19"/>
      <c r="G250" s="19"/>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56"/>
      <c r="BF250" s="4">
        <f t="shared" ref="BF250" si="211">IF(F250=1,(LEFT($E250,2))*1,IF(F250=2,((LEFT($E250,2))+(MID($E250,FIND("/",$E250)+2,2))),IF(F250=3,((LEFT($E250,2))+(MID($E250,FIND("/",$E250)+2,2))+(RIGHT($E250,2))),0)))</f>
        <v>0</v>
      </c>
      <c r="BG250" s="4">
        <f t="shared" ref="BG250" si="212">IF(G250=1,(LEFT($E250,2))*1,IF(G250=2,((LEFT($E250,2))+(MID($E250,FIND("/",$E250)+2,2))),IF(G250=3,((LEFT($E250,2))+(MID($E250,FIND("/",$E250)+2,2))+(RIGHT($E250,2))),0)))</f>
        <v>0</v>
      </c>
      <c r="BH250" s="4">
        <f t="shared" ref="BH250" si="213">IF(H250=1,(LEFT($E250,2))*1,IF(H250=2,((LEFT($E250,2))+(MID($E250,FIND("/",$E250)+2,2))),IF(H250=3,((LEFT($E250,2))+(MID($E250,FIND("/",$E250)+2,2))+(RIGHT($E250,2))),0)))</f>
        <v>0</v>
      </c>
      <c r="BI250" s="4">
        <f t="shared" ref="BI250" si="214">IF(I250=1,(LEFT($E250,2))*1,IF(I250=2,((LEFT($E250,2))+(MID($E250,FIND("/",$E250)+2,2))),IF(I250=3,((LEFT($E250,2))+(MID($E250,FIND("/",$E250)+2,2))+(RIGHT($E250,2))),0)))</f>
        <v>0</v>
      </c>
      <c r="BJ250" s="4">
        <f t="shared" ref="BJ250" si="215">IF(J250=1,(LEFT($E250,2))*1,IF(J250=2,((LEFT($E250,2))+(MID($E250,FIND("/",$E250)+2,2))),IF(J250=3,((LEFT($E250,2))+(MID($E250,FIND("/",$E250)+2,2))+(RIGHT($E250,2))),0)))</f>
        <v>0</v>
      </c>
      <c r="BK250" s="4">
        <f t="shared" ref="BK250" si="216">IF(K250=1,(LEFT($E250,2))*1,IF(K250=2,((LEFT($E250,2))+(MID($E250,FIND("/",$E250)+2,2))),IF(K250=3,((LEFT($E250,2))+(MID($E250,FIND("/",$E250)+2,2))+(RIGHT($E250,2))),0)))</f>
        <v>0</v>
      </c>
      <c r="BL250" s="4">
        <f t="shared" ref="BL250" si="217">IF(L250=1,(LEFT($E250,2))*1,IF(L250=2,((LEFT($E250,2))+(MID($E250,FIND("/",$E250)+2,2))),IF(L250=3,((LEFT($E250,2))+(MID($E250,FIND("/",$E250)+2,2))+(RIGHT($E250,2))),0)))</f>
        <v>0</v>
      </c>
      <c r="BM250" s="4">
        <f t="shared" ref="BM250" si="218">IF(M250=1,(LEFT($E250,2))*1,IF(M250=2,((LEFT($E250,2))+(MID($E250,FIND("/",$E250)+2,2))),IF(M250=3,((LEFT($E250,2))+(MID($E250,FIND("/",$E250)+2,2))+(RIGHT($E250,2))),0)))</f>
        <v>0</v>
      </c>
      <c r="BN250" s="4">
        <f t="shared" ref="BN250" si="219">IF(N250=1,(LEFT($E250,2))*1,IF(N250=2,((LEFT($E250,2))+(MID($E250,FIND("/",$E250)+2,2))),IF(N250=3,((LEFT($E250,2))+(MID($E250,FIND("/",$E250)+2,2))+(RIGHT($E250,2))),0)))</f>
        <v>0</v>
      </c>
      <c r="BO250" s="4">
        <f t="shared" ref="BO250" si="220">IF(O250=1,(LEFT($E250,2))*1,IF(O250=2,((LEFT($E250,2))+(MID($E250,FIND("/",$E250)+2,2))),IF(O250=3,((LEFT($E250,2))+(MID($E250,FIND("/",$E250)+2,2))+(RIGHT($E250,2))),0)))</f>
        <v>0</v>
      </c>
      <c r="BP250" s="4">
        <f t="shared" ref="BP250" si="221">IF(P250=1,(LEFT($E250,2))*1,IF(P250=2,((LEFT($E250,2))+(MID($E250,FIND("/",$E250)+2,2))),IF(P250=3,((LEFT($E250,2))+(MID($E250,FIND("/",$E250)+2,2))+(RIGHT($E250,2))),0)))</f>
        <v>0</v>
      </c>
      <c r="BQ250" s="4">
        <f t="shared" ref="BQ250" si="222">IF(Q250=1,(LEFT($E250,2))*1,IF(Q250=2,((LEFT($E250,2))+(MID($E250,FIND("/",$E250)+2,2))),IF(Q250=3,((LEFT($E250,2))+(MID($E250,FIND("/",$E250)+2,2))+(RIGHT($E250,2))),0)))</f>
        <v>0</v>
      </c>
      <c r="BR250" s="4">
        <f t="shared" ref="BR250" si="223">IF(R250=1,(LEFT($E250,2))*1,IF(R250=2,((LEFT($E250,2))+(MID($E250,FIND("/",$E250)+2,2))),IF(R250=3,((LEFT($E250,2))+(MID($E250,FIND("/",$E250)+2,2))+(RIGHT($E250,2))),0)))</f>
        <v>0</v>
      </c>
      <c r="BS250" s="4">
        <f t="shared" ref="BS250" si="224">IF(S250=1,(LEFT($E250,2))*1,IF(S250=2,((LEFT($E250,2))+(MID($E250,FIND("/",$E250)+2,2))),IF(S250=3,((LEFT($E250,2))+(MID($E250,FIND("/",$E250)+2,2))+(RIGHT($E250,2))),0)))</f>
        <v>0</v>
      </c>
      <c r="BT250" s="4">
        <f t="shared" ref="BT250" si="225">IF(T250=1,(LEFT($E250,2))*1,IF(T250=2,((LEFT($E250,2))+(MID($E250,FIND("/",$E250)+2,2))),IF(T250=3,((LEFT($E250,2))+(MID($E250,FIND("/",$E250)+2,2))+(RIGHT($E250,2))),0)))</f>
        <v>0</v>
      </c>
      <c r="BU250" s="4">
        <f t="shared" ref="BU250" si="226">IF(U250=1,(LEFT($E250,2))*1,IF(U250=2,((LEFT($E250,2))+(MID($E250,FIND("/",$E250)+2,2))),IF(U250=3,((LEFT($E250,2))+(MID($E250,FIND("/",$E250)+2,2))+(RIGHT($E250,2))),0)))</f>
        <v>0</v>
      </c>
      <c r="BV250" s="4">
        <f t="shared" ref="BV250" si="227">IF(V250=1,(LEFT($E250,2))*1,IF(V250=2,((LEFT($E250,2))+(MID($E250,FIND("/",$E250)+2,2))),IF(V250=3,((LEFT($E250,2))+(MID($E250,FIND("/",$E250)+2,2))+(RIGHT($E250,2))),0)))</f>
        <v>0</v>
      </c>
      <c r="BW250" s="4">
        <f t="shared" ref="BW250" si="228">IF(W250=1,(LEFT($E250,2))*1,IF(W250=2,((LEFT($E250,2))+(MID($E250,FIND("/",$E250)+2,2))),IF(W250=3,((LEFT($E250,2))+(MID($E250,FIND("/",$E250)+2,2))+(RIGHT($E250,2))),0)))</f>
        <v>0</v>
      </c>
      <c r="BX250" s="4">
        <f t="shared" ref="BX250" si="229">IF(X250=1,(LEFT($E250,2))*1,IF(X250=2,((LEFT($E250,2))+(MID($E250,FIND("/",$E250)+2,2))),IF(X250=3,((LEFT($E250,2))+(MID($E250,FIND("/",$E250)+2,2))+(RIGHT($E250,2))),0)))</f>
        <v>0</v>
      </c>
      <c r="BY250" s="4">
        <f t="shared" ref="BY250" si="230">IF(Y250=1,(LEFT($E250,2))*1,IF(Y250=2,((LEFT($E250,2))+(MID($E250,FIND("/",$E250)+2,2))),IF(Y250=3,((LEFT($E250,2))+(MID($E250,FIND("/",$E250)+2,2))+(RIGHT($E250,2))),0)))</f>
        <v>0</v>
      </c>
      <c r="BZ250" s="4">
        <f t="shared" ref="BZ250" si="231">IF(Z250=1,(LEFT($E250,2))*1,IF(Z250=2,((LEFT($E250,2))+(MID($E250,FIND("/",$E250)+2,2))),IF(Z250=3,((LEFT($E250,2))+(MID($E250,FIND("/",$E250)+2,2))+(RIGHT($E250,2))),0)))</f>
        <v>0</v>
      </c>
      <c r="CA250" s="4">
        <f t="shared" ref="CA250" si="232">IF(AA250=1,(LEFT($E250,2))*1,IF(AA250=2,((LEFT($E250,2))+(MID($E250,FIND("/",$E250)+2,2))),IF(AA250=3,((LEFT($E250,2))+(MID($E250,FIND("/",$E250)+2,2))+(RIGHT($E250,2))),0)))</f>
        <v>0</v>
      </c>
      <c r="CB250" s="4">
        <f t="shared" ref="CB250" si="233">IF(AB250=1,(LEFT($E250,2))*1,IF(AB250=2,((LEFT($E250,2))+(MID($E250,FIND("/",$E250)+2,2))),IF(AB250=3,((LEFT($E250,2))+(MID($E250,FIND("/",$E250)+2,2))+(RIGHT($E250,2))),0)))</f>
        <v>0</v>
      </c>
      <c r="CC250" s="4">
        <f t="shared" ref="CC250" si="234">IF(AC250=1,(LEFT($E250,2))*1,IF(AC250=2,((LEFT($E250,2))+(MID($E250,FIND("/",$E250)+2,2))),IF(AC250=3,((LEFT($E250,2))+(MID($E250,FIND("/",$E250)+2,2))+(RIGHT($E250,2))),0)))</f>
        <v>0</v>
      </c>
      <c r="CD250" s="4">
        <f t="shared" ref="CD250" si="235">IF(AD250=1,(LEFT($E250,2))*1,IF(AD250=2,((LEFT($E250,2))+(MID($E250,FIND("/",$E250)+2,2))),IF(AD250=3,((LEFT($E250,2))+(MID($E250,FIND("/",$E250)+2,2))+(RIGHT($E250,2))),0)))</f>
        <v>0</v>
      </c>
      <c r="CE250" s="4">
        <f t="shared" ref="CE250" si="236">IF(AE250=1,(LEFT($E250,2))*1,IF(AE250=2,((LEFT($E250,2))+(MID($E250,FIND("/",$E250)+2,2))),IF(AE250=3,((LEFT($E250,2))+(MID($E250,FIND("/",$E250)+2,2))+(RIGHT($E250,2))),0)))</f>
        <v>0</v>
      </c>
      <c r="CF250" s="4">
        <f t="shared" ref="CF250" si="237">IF(AF250=1,(LEFT($E250,2))*1,IF(AF250=2,((LEFT($E250,2))+(MID($E250,FIND("/",$E250)+2,2))),IF(AF250=3,((LEFT($E250,2))+(MID($E250,FIND("/",$E250)+2,2))+(RIGHT($E250,2))),0)))</f>
        <v>0</v>
      </c>
      <c r="CG250" s="4">
        <f t="shared" ref="CG250" si="238">IF(AG250=1,(LEFT($E250,2))*1,IF(AG250=2,((LEFT($E250,2))+(MID($E250,FIND("/",$E250)+2,2))),IF(AG250=3,((LEFT($E250,2))+(MID($E250,FIND("/",$E250)+2,2))+(RIGHT($E250,2))),0)))</f>
        <v>0</v>
      </c>
      <c r="CH250" s="4">
        <f t="shared" ref="CH250" si="239">IF(AH250=1,(LEFT($E250,2))*1,IF(AH250=2,((LEFT($E250,2))+(MID($E250,FIND("/",$E250)+2,2))),IF(AH250=3,((LEFT($E250,2))+(MID($E250,FIND("/",$E250)+2,2))+(RIGHT($E250,2))),0)))</f>
        <v>0</v>
      </c>
      <c r="CI250" s="4">
        <f t="shared" ref="CI250" si="240">IF(AI250=1,(LEFT($E250,2))*1,IF(AI250=2,((LEFT($E250,2))+(MID($E250,FIND("/",$E250)+2,2))),IF(AI250=3,((LEFT($E250,2))+(MID($E250,FIND("/",$E250)+2,2))+(RIGHT($E250,2))),0)))</f>
        <v>0</v>
      </c>
      <c r="CJ250" s="4">
        <f t="shared" ref="CJ250" si="241">IF(AJ250=1,(LEFT($E250,2))*1,IF(AJ250=2,((LEFT($E250,2))+(MID($E250,FIND("/",$E250)+2,2))),IF(AJ250=3,((LEFT($E250,2))+(MID($E250,FIND("/",$E250)+2,2))+(RIGHT($E250,2))),0)))</f>
        <v>0</v>
      </c>
      <c r="CK250" s="4">
        <f t="shared" ref="CK250" si="242">IF(AK250=1,(LEFT($E250,2))*1,IF(AK250=2,((LEFT($E250,2))+(MID($E250,FIND("/",$E250)+2,2))),IF(AK250=3,((LEFT($E250,2))+(MID($E250,FIND("/",$E250)+2,2))+(RIGHT($E250,2))),0)))</f>
        <v>0</v>
      </c>
      <c r="CL250" s="4">
        <f t="shared" ref="CL250" si="243">IF(AL250=1,(LEFT($E250,2))*1,IF(AL250=2,((LEFT($E250,2))+(MID($E250,FIND("/",$E250)+2,2))),IF(AL250=3,((LEFT($E250,2))+(MID($E250,FIND("/",$E250)+2,2))+(RIGHT($E250,2))),0)))</f>
        <v>0</v>
      </c>
      <c r="CM250" s="4">
        <f t="shared" ref="CM250" si="244">IF(AM250=1,(LEFT($E250,2))*1,IF(AM250=2,((LEFT($E250,2))+(MID($E250,FIND("/",$E250)+2,2))),IF(AM250=3,((LEFT($E250,2))+(MID($E250,FIND("/",$E250)+2,2))+(RIGHT($E250,2))),0)))</f>
        <v>0</v>
      </c>
      <c r="CN250" s="4">
        <f t="shared" ref="CN250" si="245">IF(AN250=1,(LEFT($E250,2))*1,IF(AN250=2,((LEFT($E250,2))+(MID($E250,FIND("/",$E250)+2,2))),IF(AN250=3,((LEFT($E250,2))+(MID($E250,FIND("/",$E250)+2,2))+(RIGHT($E250,2))),0)))</f>
        <v>0</v>
      </c>
      <c r="CO250" s="4">
        <f t="shared" ref="CO250" si="246">IF(AO250=1,(LEFT($E250,2))*1,IF(AO250=2,((LEFT($E250,2))+(MID($E250,FIND("/",$E250)+2,2))),IF(AO250=3,((LEFT($E250,2))+(MID($E250,FIND("/",$E250)+2,2))+(RIGHT($E250,2))),0)))</f>
        <v>0</v>
      </c>
      <c r="CP250" s="4">
        <f t="shared" ref="CP250" si="247">IF(AP250=1,(LEFT($E250,2))*1,IF(AP250=2,((LEFT($E250,2))+(MID($E250,FIND("/",$E250)+2,2))),IF(AP250=3,((LEFT($E250,2))+(MID($E250,FIND("/",$E250)+2,2))+(RIGHT($E250,2))),0)))</f>
        <v>0</v>
      </c>
      <c r="CQ250" s="4">
        <f t="shared" ref="CQ250" si="248">IF(AQ250=1,(LEFT($E250,2))*1,IF(AQ250=2,((LEFT($E250,2))+(MID($E250,FIND("/",$E250)+2,2))),IF(AQ250=3,((LEFT($E250,2))+(MID($E250,FIND("/",$E250)+2,2))+(RIGHT($E250,2))),0)))</f>
        <v>0</v>
      </c>
      <c r="CR250" s="4">
        <f t="shared" ref="CR250" si="249">IF(AR250=1,(LEFT($E250,2))*1,IF(AR250=2,((LEFT($E250,2))+(MID($E250,FIND("/",$E250)+2,2))),IF(AR250=3,((LEFT($E250,2))+(MID($E250,FIND("/",$E250)+2,2))+(RIGHT($E250,2))),0)))</f>
        <v>0</v>
      </c>
      <c r="CS250" s="4">
        <f t="shared" ref="CS250" si="250">IF(AS250=1,(LEFT($E250,2))*1,IF(AS250=2,((LEFT($E250,2))+(MID($E250,FIND("/",$E250)+2,2))),IF(AS250=3,((LEFT($E250,2))+(MID($E250,FIND("/",$E250)+2,2))+(RIGHT($E250,2))),0)))</f>
        <v>0</v>
      </c>
      <c r="CT250" s="4">
        <f t="shared" ref="CT250" si="251">IF(AT250=1,(LEFT($E250,2))*1,IF(AT250=2,((LEFT($E250,2))+(MID($E250,FIND("/",$E250)+2,2))),IF(AT250=3,((LEFT($E250,2))+(MID($E250,FIND("/",$E250)+2,2))+(RIGHT($E250,2))),0)))</f>
        <v>0</v>
      </c>
      <c r="CU250" s="4">
        <f t="shared" ref="CU250" si="252">IF(AU250=1,(LEFT($E250,2))*1,IF(AU250=2,((LEFT($E250,2))+(MID($E250,FIND("/",$E250)+2,2))),IF(AU250=3,((LEFT($E250,2))+(MID($E250,FIND("/",$E250)+2,2))+(RIGHT($E250,2))),0)))</f>
        <v>0</v>
      </c>
      <c r="CV250" s="4">
        <f t="shared" ref="CV250" si="253">IF(AV250=1,(LEFT($E250,2))*1,IF(AV250=2,((LEFT($E250,2))+(MID($E250,FIND("/",$E250)+2,2))),IF(AV250=3,((LEFT($E250,2))+(MID($E250,FIND("/",$E250)+2,2))+(RIGHT($E250,2))),0)))</f>
        <v>0</v>
      </c>
      <c r="CW250" s="4">
        <f t="shared" ref="CW250" si="254">IF(AW250=1,(LEFT($E250,2))*1,IF(AW250=2,((LEFT($E250,2))+(MID($E250,FIND("/",$E250)+2,2))),IF(AW250=3,((LEFT($E250,2))+(MID($E250,FIND("/",$E250)+2,2))+(RIGHT($E250,2))),0)))</f>
        <v>0</v>
      </c>
      <c r="CX250" s="4">
        <f t="shared" ref="CX250" si="255">IF(AX250=1,(LEFT($E250,2))*1,IF(AX250=2,((LEFT($E250,2))+(MID($E250,FIND("/",$E250)+2,2))),IF(AX250=3,((LEFT($E250,2))+(MID($E250,FIND("/",$E250)+2,2))+(RIGHT($E250,2))),0)))</f>
        <v>0</v>
      </c>
      <c r="CY250" s="4">
        <f t="shared" ref="CY250" si="256">IF(AY250=1,(LEFT($E250,2))*1,IF(AY250=2,((LEFT($E250,2))+(MID($E250,FIND("/",$E250)+2,2))),IF(AY250=3,((LEFT($E250,2))+(MID($E250,FIND("/",$E250)+2,2))+(RIGHT($E250,2))),0)))</f>
        <v>0</v>
      </c>
      <c r="CZ250" s="4">
        <f t="shared" ref="CZ250" si="257">IF(AZ250=1,(LEFT($E250,2))*1,IF(AZ250=2,((LEFT($E250,2))+(MID($E250,FIND("/",$E250)+2,2))),IF(AZ250=3,((LEFT($E250,2))+(MID($E250,FIND("/",$E250)+2,2))+(RIGHT($E250,2))),0)))</f>
        <v>0</v>
      </c>
      <c r="DA250" s="4">
        <f t="shared" ref="DA250" si="258">IF(BA250=1,(LEFT($E250,2))*1,IF(BA250=2,((LEFT($E250,2))+(MID($E250,FIND("/",$E250)+2,2))),IF(BA250=3,((LEFT($E250,2))+(MID($E250,FIND("/",$E250)+2,2))+(RIGHT($E250,2))),0)))</f>
        <v>0</v>
      </c>
      <c r="DB250" s="4">
        <f t="shared" ref="DB250" si="259">IF(BB250=1,(LEFT($E250,2))*1,IF(BB250=2,((LEFT($E250,2))+(MID($E250,FIND("/",$E250)+2,2))),IF(BB250=3,((LEFT($E250,2))+(MID($E250,FIND("/",$E250)+2,2))+(RIGHT($E250,2))),0)))</f>
        <v>0</v>
      </c>
      <c r="DC250" s="4">
        <f t="shared" ref="DC250" si="260">IF(BC250=1,(LEFT($E250,2))*1,IF(BC250=2,((LEFT($E250,2))+(MID($E250,FIND("/",$E250)+2,2))),IF(BC250=3,((LEFT($E250,2))+(MID($E250,FIND("/",$E250)+2,2))+(RIGHT($E250,2))),0)))</f>
        <v>0</v>
      </c>
      <c r="DD250" s="4">
        <f t="shared" ref="DD250" si="261">IF(BD250=1,(LEFT($E250,2))*1,IF(BD250=2,((LEFT($E250,2))+(MID($E250,FIND("/",$E250)+2,2))),IF(BD250=3,((LEFT($E250,2))+(MID($E250,FIND("/",$E250)+2,2))+(RIGHT($E250,2))),0)))</f>
        <v>0</v>
      </c>
    </row>
    <row r="251" spans="1:108" x14ac:dyDescent="0.25">
      <c r="A251" s="41">
        <f>Skills!M233</f>
        <v>0</v>
      </c>
      <c r="B251" s="57" t="str">
        <f>Skills!N233</f>
        <v>Gunnery Expertise Category</v>
      </c>
      <c r="C251" s="24">
        <f t="shared" si="209"/>
        <v>0</v>
      </c>
      <c r="D251" s="110" t="str">
        <f>Skills!S233</f>
        <v>- -</v>
      </c>
      <c r="E251" s="111" t="s">
        <v>782</v>
      </c>
      <c r="F251" s="18"/>
      <c r="G251" s="18"/>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49"/>
      <c r="BF251" s="4">
        <f t="shared" si="159"/>
        <v>0</v>
      </c>
      <c r="BG251" s="4">
        <f t="shared" si="159"/>
        <v>0</v>
      </c>
      <c r="BH251" s="4">
        <f t="shared" si="160"/>
        <v>0</v>
      </c>
      <c r="BI251" s="4">
        <f t="shared" si="161"/>
        <v>0</v>
      </c>
      <c r="BJ251" s="4">
        <f t="shared" si="162"/>
        <v>0</v>
      </c>
      <c r="BK251" s="4">
        <f t="shared" si="163"/>
        <v>0</v>
      </c>
      <c r="BL251" s="4">
        <f t="shared" si="164"/>
        <v>0</v>
      </c>
      <c r="BM251" s="4">
        <f t="shared" si="165"/>
        <v>0</v>
      </c>
      <c r="BN251" s="4">
        <f t="shared" si="166"/>
        <v>0</v>
      </c>
      <c r="BO251" s="4">
        <f t="shared" si="167"/>
        <v>0</v>
      </c>
      <c r="BP251" s="4">
        <f t="shared" si="168"/>
        <v>0</v>
      </c>
      <c r="BQ251" s="4">
        <f t="shared" si="169"/>
        <v>0</v>
      </c>
      <c r="BR251" s="4">
        <f t="shared" si="170"/>
        <v>0</v>
      </c>
      <c r="BS251" s="4">
        <f t="shared" si="171"/>
        <v>0</v>
      </c>
      <c r="BT251" s="4">
        <f t="shared" si="172"/>
        <v>0</v>
      </c>
      <c r="BU251" s="4">
        <f t="shared" si="173"/>
        <v>0</v>
      </c>
      <c r="BV251" s="4">
        <f t="shared" si="174"/>
        <v>0</v>
      </c>
      <c r="BW251" s="4">
        <f t="shared" si="175"/>
        <v>0</v>
      </c>
      <c r="BX251" s="4">
        <f t="shared" si="176"/>
        <v>0</v>
      </c>
      <c r="BY251" s="4">
        <f t="shared" si="177"/>
        <v>0</v>
      </c>
      <c r="BZ251" s="4">
        <f t="shared" si="178"/>
        <v>0</v>
      </c>
      <c r="CA251" s="4">
        <f t="shared" si="179"/>
        <v>0</v>
      </c>
      <c r="CB251" s="4">
        <f t="shared" si="180"/>
        <v>0</v>
      </c>
      <c r="CC251" s="4">
        <f t="shared" si="181"/>
        <v>0</v>
      </c>
      <c r="CD251" s="4">
        <f t="shared" si="182"/>
        <v>0</v>
      </c>
      <c r="CE251" s="4">
        <f t="shared" si="183"/>
        <v>0</v>
      </c>
      <c r="CF251" s="4">
        <f t="shared" si="184"/>
        <v>0</v>
      </c>
      <c r="CG251" s="4">
        <f t="shared" si="185"/>
        <v>0</v>
      </c>
      <c r="CH251" s="4">
        <f t="shared" si="186"/>
        <v>0</v>
      </c>
      <c r="CI251" s="4">
        <f t="shared" si="187"/>
        <v>0</v>
      </c>
      <c r="CJ251" s="4">
        <f t="shared" si="188"/>
        <v>0</v>
      </c>
      <c r="CK251" s="4">
        <f t="shared" si="189"/>
        <v>0</v>
      </c>
      <c r="CL251" s="4">
        <f t="shared" si="190"/>
        <v>0</v>
      </c>
      <c r="CM251" s="4">
        <f t="shared" si="191"/>
        <v>0</v>
      </c>
      <c r="CN251" s="4">
        <f t="shared" si="192"/>
        <v>0</v>
      </c>
      <c r="CO251" s="4">
        <f t="shared" si="193"/>
        <v>0</v>
      </c>
      <c r="CP251" s="4">
        <f t="shared" si="194"/>
        <v>0</v>
      </c>
      <c r="CQ251" s="4">
        <f t="shared" si="195"/>
        <v>0</v>
      </c>
      <c r="CR251" s="4">
        <f t="shared" si="196"/>
        <v>0</v>
      </c>
      <c r="CS251" s="4">
        <f t="shared" si="197"/>
        <v>0</v>
      </c>
      <c r="CT251" s="4">
        <f t="shared" si="198"/>
        <v>0</v>
      </c>
      <c r="CU251" s="4">
        <f t="shared" si="199"/>
        <v>0</v>
      </c>
      <c r="CV251" s="4">
        <f t="shared" si="200"/>
        <v>0</v>
      </c>
      <c r="CW251" s="4">
        <f t="shared" si="201"/>
        <v>0</v>
      </c>
      <c r="CX251" s="4">
        <f t="shared" si="202"/>
        <v>0</v>
      </c>
      <c r="CY251" s="4">
        <f t="shared" si="203"/>
        <v>0</v>
      </c>
      <c r="CZ251" s="4">
        <f t="shared" si="204"/>
        <v>0</v>
      </c>
      <c r="DA251" s="4">
        <f t="shared" si="205"/>
        <v>0</v>
      </c>
      <c r="DB251" s="4">
        <f t="shared" si="206"/>
        <v>0</v>
      </c>
      <c r="DC251" s="4">
        <f t="shared" si="207"/>
        <v>0</v>
      </c>
      <c r="DD251" s="4">
        <f t="shared" si="208"/>
        <v>0</v>
      </c>
    </row>
    <row r="252" spans="1:108" x14ac:dyDescent="0.25">
      <c r="A252" s="41">
        <f>Skills!M234</f>
        <v>0</v>
      </c>
      <c r="B252" s="55" t="str">
        <f>Skills!N234</f>
        <v>Gunnery Expertise Skills</v>
      </c>
      <c r="C252" s="22">
        <f t="shared" si="209"/>
        <v>0</v>
      </c>
      <c r="D252" s="112" t="str">
        <f>Skills!S234</f>
        <v>- -</v>
      </c>
      <c r="E252" s="113" t="s">
        <v>782</v>
      </c>
      <c r="F252" s="19"/>
      <c r="G252" s="19"/>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56"/>
      <c r="BF252" s="4">
        <f t="shared" si="159"/>
        <v>0</v>
      </c>
      <c r="BG252" s="4">
        <f t="shared" si="159"/>
        <v>0</v>
      </c>
      <c r="BH252" s="4">
        <f t="shared" si="160"/>
        <v>0</v>
      </c>
      <c r="BI252" s="4">
        <f t="shared" si="161"/>
        <v>0</v>
      </c>
      <c r="BJ252" s="4">
        <f t="shared" si="162"/>
        <v>0</v>
      </c>
      <c r="BK252" s="4">
        <f t="shared" si="163"/>
        <v>0</v>
      </c>
      <c r="BL252" s="4">
        <f t="shared" si="164"/>
        <v>0</v>
      </c>
      <c r="BM252" s="4">
        <f t="shared" si="165"/>
        <v>0</v>
      </c>
      <c r="BN252" s="4">
        <f t="shared" si="166"/>
        <v>0</v>
      </c>
      <c r="BO252" s="4">
        <f t="shared" si="167"/>
        <v>0</v>
      </c>
      <c r="BP252" s="4">
        <f t="shared" si="168"/>
        <v>0</v>
      </c>
      <c r="BQ252" s="4">
        <f t="shared" si="169"/>
        <v>0</v>
      </c>
      <c r="BR252" s="4">
        <f t="shared" si="170"/>
        <v>0</v>
      </c>
      <c r="BS252" s="4">
        <f t="shared" si="171"/>
        <v>0</v>
      </c>
      <c r="BT252" s="4">
        <f t="shared" si="172"/>
        <v>0</v>
      </c>
      <c r="BU252" s="4">
        <f t="shared" si="173"/>
        <v>0</v>
      </c>
      <c r="BV252" s="4">
        <f t="shared" si="174"/>
        <v>0</v>
      </c>
      <c r="BW252" s="4">
        <f t="shared" si="175"/>
        <v>0</v>
      </c>
      <c r="BX252" s="4">
        <f t="shared" si="176"/>
        <v>0</v>
      </c>
      <c r="BY252" s="4">
        <f t="shared" si="177"/>
        <v>0</v>
      </c>
      <c r="BZ252" s="4">
        <f t="shared" si="178"/>
        <v>0</v>
      </c>
      <c r="CA252" s="4">
        <f t="shared" si="179"/>
        <v>0</v>
      </c>
      <c r="CB252" s="4">
        <f t="shared" si="180"/>
        <v>0</v>
      </c>
      <c r="CC252" s="4">
        <f t="shared" si="181"/>
        <v>0</v>
      </c>
      <c r="CD252" s="4">
        <f t="shared" si="182"/>
        <v>0</v>
      </c>
      <c r="CE252" s="4">
        <f t="shared" si="183"/>
        <v>0</v>
      </c>
      <c r="CF252" s="4">
        <f t="shared" si="184"/>
        <v>0</v>
      </c>
      <c r="CG252" s="4">
        <f t="shared" si="185"/>
        <v>0</v>
      </c>
      <c r="CH252" s="4">
        <f t="shared" si="186"/>
        <v>0</v>
      </c>
      <c r="CI252" s="4">
        <f t="shared" si="187"/>
        <v>0</v>
      </c>
      <c r="CJ252" s="4">
        <f t="shared" si="188"/>
        <v>0</v>
      </c>
      <c r="CK252" s="4">
        <f t="shared" si="189"/>
        <v>0</v>
      </c>
      <c r="CL252" s="4">
        <f t="shared" si="190"/>
        <v>0</v>
      </c>
      <c r="CM252" s="4">
        <f t="shared" si="191"/>
        <v>0</v>
      </c>
      <c r="CN252" s="4">
        <f t="shared" si="192"/>
        <v>0</v>
      </c>
      <c r="CO252" s="4">
        <f t="shared" si="193"/>
        <v>0</v>
      </c>
      <c r="CP252" s="4">
        <f t="shared" si="194"/>
        <v>0</v>
      </c>
      <c r="CQ252" s="4">
        <f t="shared" si="195"/>
        <v>0</v>
      </c>
      <c r="CR252" s="4">
        <f t="shared" si="196"/>
        <v>0</v>
      </c>
      <c r="CS252" s="4">
        <f t="shared" si="197"/>
        <v>0</v>
      </c>
      <c r="CT252" s="4">
        <f t="shared" si="198"/>
        <v>0</v>
      </c>
      <c r="CU252" s="4">
        <f t="shared" si="199"/>
        <v>0</v>
      </c>
      <c r="CV252" s="4">
        <f t="shared" si="200"/>
        <v>0</v>
      </c>
      <c r="CW252" s="4">
        <f t="shared" si="201"/>
        <v>0</v>
      </c>
      <c r="CX252" s="4">
        <f t="shared" si="202"/>
        <v>0</v>
      </c>
      <c r="CY252" s="4">
        <f t="shared" si="203"/>
        <v>0</v>
      </c>
      <c r="CZ252" s="4">
        <f t="shared" si="204"/>
        <v>0</v>
      </c>
      <c r="DA252" s="4">
        <f t="shared" si="205"/>
        <v>0</v>
      </c>
      <c r="DB252" s="4">
        <f t="shared" si="206"/>
        <v>0</v>
      </c>
      <c r="DC252" s="4">
        <f t="shared" si="207"/>
        <v>0</v>
      </c>
      <c r="DD252" s="4">
        <f t="shared" si="208"/>
        <v>0</v>
      </c>
    </row>
    <row r="253" spans="1:108" x14ac:dyDescent="0.25">
      <c r="A253" s="41" t="str">
        <f>Skills!M235</f>
        <v>Gunnery, Gunslinging</v>
      </c>
      <c r="B253" s="57" t="str">
        <f>Skills!N235</f>
        <v>Gunslinging</v>
      </c>
      <c r="C253" s="24">
        <f t="shared" si="209"/>
        <v>0</v>
      </c>
      <c r="D253" s="110">
        <f>Skills!S235</f>
        <v>0</v>
      </c>
      <c r="E253" s="111" t="e">
        <f>Profession!B115</f>
        <v>#REF!</v>
      </c>
      <c r="F253" s="18"/>
      <c r="G253" s="18"/>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49"/>
      <c r="BF253" s="4">
        <f t="shared" si="159"/>
        <v>0</v>
      </c>
      <c r="BG253" s="4">
        <f t="shared" si="159"/>
        <v>0</v>
      </c>
      <c r="BH253" s="4">
        <f t="shared" si="160"/>
        <v>0</v>
      </c>
      <c r="BI253" s="4">
        <f t="shared" si="161"/>
        <v>0</v>
      </c>
      <c r="BJ253" s="4">
        <f t="shared" si="162"/>
        <v>0</v>
      </c>
      <c r="BK253" s="4">
        <f t="shared" si="163"/>
        <v>0</v>
      </c>
      <c r="BL253" s="4">
        <f t="shared" si="164"/>
        <v>0</v>
      </c>
      <c r="BM253" s="4">
        <f t="shared" si="165"/>
        <v>0</v>
      </c>
      <c r="BN253" s="4">
        <f t="shared" si="166"/>
        <v>0</v>
      </c>
      <c r="BO253" s="4">
        <f t="shared" si="167"/>
        <v>0</v>
      </c>
      <c r="BP253" s="4">
        <f t="shared" si="168"/>
        <v>0</v>
      </c>
      <c r="BQ253" s="4">
        <f t="shared" si="169"/>
        <v>0</v>
      </c>
      <c r="BR253" s="4">
        <f t="shared" si="170"/>
        <v>0</v>
      </c>
      <c r="BS253" s="4">
        <f t="shared" si="171"/>
        <v>0</v>
      </c>
      <c r="BT253" s="4">
        <f t="shared" si="172"/>
        <v>0</v>
      </c>
      <c r="BU253" s="4">
        <f t="shared" si="173"/>
        <v>0</v>
      </c>
      <c r="BV253" s="4">
        <f t="shared" si="174"/>
        <v>0</v>
      </c>
      <c r="BW253" s="4">
        <f t="shared" si="175"/>
        <v>0</v>
      </c>
      <c r="BX253" s="4">
        <f t="shared" si="176"/>
        <v>0</v>
      </c>
      <c r="BY253" s="4">
        <f t="shared" si="177"/>
        <v>0</v>
      </c>
      <c r="BZ253" s="4">
        <f t="shared" si="178"/>
        <v>0</v>
      </c>
      <c r="CA253" s="4">
        <f t="shared" si="179"/>
        <v>0</v>
      </c>
      <c r="CB253" s="4">
        <f t="shared" si="180"/>
        <v>0</v>
      </c>
      <c r="CC253" s="4">
        <f t="shared" si="181"/>
        <v>0</v>
      </c>
      <c r="CD253" s="4">
        <f t="shared" si="182"/>
        <v>0</v>
      </c>
      <c r="CE253" s="4">
        <f t="shared" si="183"/>
        <v>0</v>
      </c>
      <c r="CF253" s="4">
        <f t="shared" si="184"/>
        <v>0</v>
      </c>
      <c r="CG253" s="4">
        <f t="shared" si="185"/>
        <v>0</v>
      </c>
      <c r="CH253" s="4">
        <f t="shared" si="186"/>
        <v>0</v>
      </c>
      <c r="CI253" s="4">
        <f t="shared" si="187"/>
        <v>0</v>
      </c>
      <c r="CJ253" s="4">
        <f t="shared" si="188"/>
        <v>0</v>
      </c>
      <c r="CK253" s="4">
        <f t="shared" si="189"/>
        <v>0</v>
      </c>
      <c r="CL253" s="4">
        <f t="shared" si="190"/>
        <v>0</v>
      </c>
      <c r="CM253" s="4">
        <f t="shared" si="191"/>
        <v>0</v>
      </c>
      <c r="CN253" s="4">
        <f t="shared" si="192"/>
        <v>0</v>
      </c>
      <c r="CO253" s="4">
        <f t="shared" si="193"/>
        <v>0</v>
      </c>
      <c r="CP253" s="4">
        <f t="shared" si="194"/>
        <v>0</v>
      </c>
      <c r="CQ253" s="4">
        <f t="shared" si="195"/>
        <v>0</v>
      </c>
      <c r="CR253" s="4">
        <f t="shared" si="196"/>
        <v>0</v>
      </c>
      <c r="CS253" s="4">
        <f t="shared" si="197"/>
        <v>0</v>
      </c>
      <c r="CT253" s="4">
        <f t="shared" si="198"/>
        <v>0</v>
      </c>
      <c r="CU253" s="4">
        <f t="shared" si="199"/>
        <v>0</v>
      </c>
      <c r="CV253" s="4">
        <f t="shared" si="200"/>
        <v>0</v>
      </c>
      <c r="CW253" s="4">
        <f t="shared" si="201"/>
        <v>0</v>
      </c>
      <c r="CX253" s="4">
        <f t="shared" si="202"/>
        <v>0</v>
      </c>
      <c r="CY253" s="4">
        <f t="shared" si="203"/>
        <v>0</v>
      </c>
      <c r="CZ253" s="4">
        <f t="shared" si="204"/>
        <v>0</v>
      </c>
      <c r="DA253" s="4">
        <f t="shared" si="205"/>
        <v>0</v>
      </c>
      <c r="DB253" s="4">
        <f t="shared" si="206"/>
        <v>0</v>
      </c>
      <c r="DC253" s="4">
        <f t="shared" si="207"/>
        <v>0</v>
      </c>
      <c r="DD253" s="4">
        <f t="shared" si="208"/>
        <v>0</v>
      </c>
    </row>
    <row r="254" spans="1:108" x14ac:dyDescent="0.25">
      <c r="A254" s="41" t="str">
        <f>Skills!M236</f>
        <v>Gunnery, Moving Target</v>
      </c>
      <c r="B254" s="55" t="str">
        <f>Skills!N236</f>
        <v>Moving Target</v>
      </c>
      <c r="C254" s="22">
        <f t="shared" si="209"/>
        <v>0</v>
      </c>
      <c r="D254" s="112">
        <f>Skills!S236</f>
        <v>0</v>
      </c>
      <c r="E254" s="113" t="e">
        <f>Profession!B116</f>
        <v>#REF!</v>
      </c>
      <c r="F254" s="19"/>
      <c r="G254" s="19"/>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56"/>
      <c r="BF254" s="4">
        <f t="shared" si="159"/>
        <v>0</v>
      </c>
      <c r="BG254" s="4">
        <f t="shared" si="159"/>
        <v>0</v>
      </c>
      <c r="BH254" s="4">
        <f t="shared" si="160"/>
        <v>0</v>
      </c>
      <c r="BI254" s="4">
        <f t="shared" si="161"/>
        <v>0</v>
      </c>
      <c r="BJ254" s="4">
        <f t="shared" si="162"/>
        <v>0</v>
      </c>
      <c r="BK254" s="4">
        <f t="shared" si="163"/>
        <v>0</v>
      </c>
      <c r="BL254" s="4">
        <f t="shared" si="164"/>
        <v>0</v>
      </c>
      <c r="BM254" s="4">
        <f t="shared" si="165"/>
        <v>0</v>
      </c>
      <c r="BN254" s="4">
        <f t="shared" si="166"/>
        <v>0</v>
      </c>
      <c r="BO254" s="4">
        <f t="shared" si="167"/>
        <v>0</v>
      </c>
      <c r="BP254" s="4">
        <f t="shared" si="168"/>
        <v>0</v>
      </c>
      <c r="BQ254" s="4">
        <f t="shared" si="169"/>
        <v>0</v>
      </c>
      <c r="BR254" s="4">
        <f t="shared" si="170"/>
        <v>0</v>
      </c>
      <c r="BS254" s="4">
        <f t="shared" si="171"/>
        <v>0</v>
      </c>
      <c r="BT254" s="4">
        <f t="shared" si="172"/>
        <v>0</v>
      </c>
      <c r="BU254" s="4">
        <f t="shared" si="173"/>
        <v>0</v>
      </c>
      <c r="BV254" s="4">
        <f t="shared" si="174"/>
        <v>0</v>
      </c>
      <c r="BW254" s="4">
        <f t="shared" si="175"/>
        <v>0</v>
      </c>
      <c r="BX254" s="4">
        <f t="shared" si="176"/>
        <v>0</v>
      </c>
      <c r="BY254" s="4">
        <f t="shared" si="177"/>
        <v>0</v>
      </c>
      <c r="BZ254" s="4">
        <f t="shared" si="178"/>
        <v>0</v>
      </c>
      <c r="CA254" s="4">
        <f t="shared" si="179"/>
        <v>0</v>
      </c>
      <c r="CB254" s="4">
        <f t="shared" si="180"/>
        <v>0</v>
      </c>
      <c r="CC254" s="4">
        <f t="shared" si="181"/>
        <v>0</v>
      </c>
      <c r="CD254" s="4">
        <f t="shared" si="182"/>
        <v>0</v>
      </c>
      <c r="CE254" s="4">
        <f t="shared" si="183"/>
        <v>0</v>
      </c>
      <c r="CF254" s="4">
        <f t="shared" si="184"/>
        <v>0</v>
      </c>
      <c r="CG254" s="4">
        <f t="shared" si="185"/>
        <v>0</v>
      </c>
      <c r="CH254" s="4">
        <f t="shared" si="186"/>
        <v>0</v>
      </c>
      <c r="CI254" s="4">
        <f t="shared" si="187"/>
        <v>0</v>
      </c>
      <c r="CJ254" s="4">
        <f t="shared" si="188"/>
        <v>0</v>
      </c>
      <c r="CK254" s="4">
        <f t="shared" si="189"/>
        <v>0</v>
      </c>
      <c r="CL254" s="4">
        <f t="shared" si="190"/>
        <v>0</v>
      </c>
      <c r="CM254" s="4">
        <f t="shared" si="191"/>
        <v>0</v>
      </c>
      <c r="CN254" s="4">
        <f t="shared" si="192"/>
        <v>0</v>
      </c>
      <c r="CO254" s="4">
        <f t="shared" si="193"/>
        <v>0</v>
      </c>
      <c r="CP254" s="4">
        <f t="shared" si="194"/>
        <v>0</v>
      </c>
      <c r="CQ254" s="4">
        <f t="shared" si="195"/>
        <v>0</v>
      </c>
      <c r="CR254" s="4">
        <f t="shared" si="196"/>
        <v>0</v>
      </c>
      <c r="CS254" s="4">
        <f t="shared" si="197"/>
        <v>0</v>
      </c>
      <c r="CT254" s="4">
        <f t="shared" si="198"/>
        <v>0</v>
      </c>
      <c r="CU254" s="4">
        <f t="shared" si="199"/>
        <v>0</v>
      </c>
      <c r="CV254" s="4">
        <f t="shared" si="200"/>
        <v>0</v>
      </c>
      <c r="CW254" s="4">
        <f t="shared" si="201"/>
        <v>0</v>
      </c>
      <c r="CX254" s="4">
        <f t="shared" si="202"/>
        <v>0</v>
      </c>
      <c r="CY254" s="4">
        <f t="shared" si="203"/>
        <v>0</v>
      </c>
      <c r="CZ254" s="4">
        <f t="shared" si="204"/>
        <v>0</v>
      </c>
      <c r="DA254" s="4">
        <f t="shared" si="205"/>
        <v>0</v>
      </c>
      <c r="DB254" s="4">
        <f t="shared" si="206"/>
        <v>0</v>
      </c>
      <c r="DC254" s="4">
        <f t="shared" si="207"/>
        <v>0</v>
      </c>
      <c r="DD254" s="4">
        <f t="shared" si="208"/>
        <v>0</v>
      </c>
    </row>
    <row r="255" spans="1:108" x14ac:dyDescent="0.25">
      <c r="A255" s="41" t="str">
        <f>Skills!M237</f>
        <v>Gunnery, Sniping</v>
      </c>
      <c r="B255" s="57" t="str">
        <f>Skills!N237</f>
        <v>Sniping</v>
      </c>
      <c r="C255" s="24">
        <f t="shared" si="209"/>
        <v>0</v>
      </c>
      <c r="D255" s="110">
        <f>Skills!S237</f>
        <v>0</v>
      </c>
      <c r="E255" s="111" t="e">
        <f>Profession!B117</f>
        <v>#REF!</v>
      </c>
      <c r="F255" s="18"/>
      <c r="G255" s="18"/>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49"/>
      <c r="BF255" s="4">
        <f t="shared" si="159"/>
        <v>0</v>
      </c>
      <c r="BG255" s="4">
        <f t="shared" si="159"/>
        <v>0</v>
      </c>
      <c r="BH255" s="4">
        <f t="shared" si="160"/>
        <v>0</v>
      </c>
      <c r="BI255" s="4">
        <f t="shared" si="161"/>
        <v>0</v>
      </c>
      <c r="BJ255" s="4">
        <f t="shared" si="162"/>
        <v>0</v>
      </c>
      <c r="BK255" s="4">
        <f t="shared" si="163"/>
        <v>0</v>
      </c>
      <c r="BL255" s="4">
        <f t="shared" si="164"/>
        <v>0</v>
      </c>
      <c r="BM255" s="4">
        <f t="shared" si="165"/>
        <v>0</v>
      </c>
      <c r="BN255" s="4">
        <f t="shared" si="166"/>
        <v>0</v>
      </c>
      <c r="BO255" s="4">
        <f t="shared" si="167"/>
        <v>0</v>
      </c>
      <c r="BP255" s="4">
        <f t="shared" si="168"/>
        <v>0</v>
      </c>
      <c r="BQ255" s="4">
        <f t="shared" si="169"/>
        <v>0</v>
      </c>
      <c r="BR255" s="4">
        <f t="shared" si="170"/>
        <v>0</v>
      </c>
      <c r="BS255" s="4">
        <f t="shared" si="171"/>
        <v>0</v>
      </c>
      <c r="BT255" s="4">
        <f t="shared" si="172"/>
        <v>0</v>
      </c>
      <c r="BU255" s="4">
        <f t="shared" si="173"/>
        <v>0</v>
      </c>
      <c r="BV255" s="4">
        <f t="shared" si="174"/>
        <v>0</v>
      </c>
      <c r="BW255" s="4">
        <f t="shared" si="175"/>
        <v>0</v>
      </c>
      <c r="BX255" s="4">
        <f t="shared" si="176"/>
        <v>0</v>
      </c>
      <c r="BY255" s="4">
        <f t="shared" si="177"/>
        <v>0</v>
      </c>
      <c r="BZ255" s="4">
        <f t="shared" si="178"/>
        <v>0</v>
      </c>
      <c r="CA255" s="4">
        <f t="shared" si="179"/>
        <v>0</v>
      </c>
      <c r="CB255" s="4">
        <f t="shared" si="180"/>
        <v>0</v>
      </c>
      <c r="CC255" s="4">
        <f t="shared" si="181"/>
        <v>0</v>
      </c>
      <c r="CD255" s="4">
        <f t="shared" si="182"/>
        <v>0</v>
      </c>
      <c r="CE255" s="4">
        <f t="shared" si="183"/>
        <v>0</v>
      </c>
      <c r="CF255" s="4">
        <f t="shared" si="184"/>
        <v>0</v>
      </c>
      <c r="CG255" s="4">
        <f t="shared" si="185"/>
        <v>0</v>
      </c>
      <c r="CH255" s="4">
        <f t="shared" si="186"/>
        <v>0</v>
      </c>
      <c r="CI255" s="4">
        <f t="shared" si="187"/>
        <v>0</v>
      </c>
      <c r="CJ255" s="4">
        <f t="shared" si="188"/>
        <v>0</v>
      </c>
      <c r="CK255" s="4">
        <f t="shared" si="189"/>
        <v>0</v>
      </c>
      <c r="CL255" s="4">
        <f t="shared" si="190"/>
        <v>0</v>
      </c>
      <c r="CM255" s="4">
        <f t="shared" si="191"/>
        <v>0</v>
      </c>
      <c r="CN255" s="4">
        <f t="shared" si="192"/>
        <v>0</v>
      </c>
      <c r="CO255" s="4">
        <f t="shared" si="193"/>
        <v>0</v>
      </c>
      <c r="CP255" s="4">
        <f t="shared" si="194"/>
        <v>0</v>
      </c>
      <c r="CQ255" s="4">
        <f t="shared" si="195"/>
        <v>0</v>
      </c>
      <c r="CR255" s="4">
        <f t="shared" si="196"/>
        <v>0</v>
      </c>
      <c r="CS255" s="4">
        <f t="shared" si="197"/>
        <v>0</v>
      </c>
      <c r="CT255" s="4">
        <f t="shared" si="198"/>
        <v>0</v>
      </c>
      <c r="CU255" s="4">
        <f t="shared" si="199"/>
        <v>0</v>
      </c>
      <c r="CV255" s="4">
        <f t="shared" si="200"/>
        <v>0</v>
      </c>
      <c r="CW255" s="4">
        <f t="shared" si="201"/>
        <v>0</v>
      </c>
      <c r="CX255" s="4">
        <f t="shared" si="202"/>
        <v>0</v>
      </c>
      <c r="CY255" s="4">
        <f t="shared" si="203"/>
        <v>0</v>
      </c>
      <c r="CZ255" s="4">
        <f t="shared" si="204"/>
        <v>0</v>
      </c>
      <c r="DA255" s="4">
        <f t="shared" si="205"/>
        <v>0</v>
      </c>
      <c r="DB255" s="4">
        <f t="shared" si="206"/>
        <v>0</v>
      </c>
      <c r="DC255" s="4">
        <f t="shared" si="207"/>
        <v>0</v>
      </c>
      <c r="DD255" s="4">
        <f t="shared" si="208"/>
        <v>0</v>
      </c>
    </row>
    <row r="256" spans="1:108" x14ac:dyDescent="0.25">
      <c r="A256" s="41" t="str">
        <f>Skills!M238</f>
        <v>Gunnery, Targeting</v>
      </c>
      <c r="B256" s="55" t="str">
        <f>Skills!N238</f>
        <v>Targeting</v>
      </c>
      <c r="C256" s="22">
        <f t="shared" si="209"/>
        <v>0</v>
      </c>
      <c r="D256" s="112">
        <f>Skills!S238</f>
        <v>0</v>
      </c>
      <c r="E256" s="113" t="e">
        <f>Profession!B118</f>
        <v>#REF!</v>
      </c>
      <c r="F256" s="19"/>
      <c r="G256" s="19"/>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56"/>
      <c r="BF256" s="4">
        <f t="shared" si="159"/>
        <v>0</v>
      </c>
      <c r="BG256" s="4">
        <f t="shared" si="159"/>
        <v>0</v>
      </c>
      <c r="BH256" s="4">
        <f t="shared" si="160"/>
        <v>0</v>
      </c>
      <c r="BI256" s="4">
        <f t="shared" si="161"/>
        <v>0</v>
      </c>
      <c r="BJ256" s="4">
        <f t="shared" si="162"/>
        <v>0</v>
      </c>
      <c r="BK256" s="4">
        <f t="shared" si="163"/>
        <v>0</v>
      </c>
      <c r="BL256" s="4">
        <f t="shared" si="164"/>
        <v>0</v>
      </c>
      <c r="BM256" s="4">
        <f t="shared" si="165"/>
        <v>0</v>
      </c>
      <c r="BN256" s="4">
        <f t="shared" si="166"/>
        <v>0</v>
      </c>
      <c r="BO256" s="4">
        <f t="shared" si="167"/>
        <v>0</v>
      </c>
      <c r="BP256" s="4">
        <f t="shared" si="168"/>
        <v>0</v>
      </c>
      <c r="BQ256" s="4">
        <f t="shared" si="169"/>
        <v>0</v>
      </c>
      <c r="BR256" s="4">
        <f t="shared" si="170"/>
        <v>0</v>
      </c>
      <c r="BS256" s="4">
        <f t="shared" si="171"/>
        <v>0</v>
      </c>
      <c r="BT256" s="4">
        <f t="shared" si="172"/>
        <v>0</v>
      </c>
      <c r="BU256" s="4">
        <f t="shared" si="173"/>
        <v>0</v>
      </c>
      <c r="BV256" s="4">
        <f t="shared" si="174"/>
        <v>0</v>
      </c>
      <c r="BW256" s="4">
        <f t="shared" si="175"/>
        <v>0</v>
      </c>
      <c r="BX256" s="4">
        <f t="shared" si="176"/>
        <v>0</v>
      </c>
      <c r="BY256" s="4">
        <f t="shared" si="177"/>
        <v>0</v>
      </c>
      <c r="BZ256" s="4">
        <f t="shared" si="178"/>
        <v>0</v>
      </c>
      <c r="CA256" s="4">
        <f t="shared" si="179"/>
        <v>0</v>
      </c>
      <c r="CB256" s="4">
        <f t="shared" si="180"/>
        <v>0</v>
      </c>
      <c r="CC256" s="4">
        <f t="shared" si="181"/>
        <v>0</v>
      </c>
      <c r="CD256" s="4">
        <f t="shared" si="182"/>
        <v>0</v>
      </c>
      <c r="CE256" s="4">
        <f t="shared" si="183"/>
        <v>0</v>
      </c>
      <c r="CF256" s="4">
        <f t="shared" si="184"/>
        <v>0</v>
      </c>
      <c r="CG256" s="4">
        <f t="shared" si="185"/>
        <v>0</v>
      </c>
      <c r="CH256" s="4">
        <f t="shared" si="186"/>
        <v>0</v>
      </c>
      <c r="CI256" s="4">
        <f t="shared" si="187"/>
        <v>0</v>
      </c>
      <c r="CJ256" s="4">
        <f t="shared" si="188"/>
        <v>0</v>
      </c>
      <c r="CK256" s="4">
        <f t="shared" si="189"/>
        <v>0</v>
      </c>
      <c r="CL256" s="4">
        <f t="shared" si="190"/>
        <v>0</v>
      </c>
      <c r="CM256" s="4">
        <f t="shared" si="191"/>
        <v>0</v>
      </c>
      <c r="CN256" s="4">
        <f t="shared" si="192"/>
        <v>0</v>
      </c>
      <c r="CO256" s="4">
        <f t="shared" si="193"/>
        <v>0</v>
      </c>
      <c r="CP256" s="4">
        <f t="shared" si="194"/>
        <v>0</v>
      </c>
      <c r="CQ256" s="4">
        <f t="shared" si="195"/>
        <v>0</v>
      </c>
      <c r="CR256" s="4">
        <f t="shared" si="196"/>
        <v>0</v>
      </c>
      <c r="CS256" s="4">
        <f t="shared" si="197"/>
        <v>0</v>
      </c>
      <c r="CT256" s="4">
        <f t="shared" si="198"/>
        <v>0</v>
      </c>
      <c r="CU256" s="4">
        <f t="shared" si="199"/>
        <v>0</v>
      </c>
      <c r="CV256" s="4">
        <f t="shared" si="200"/>
        <v>0</v>
      </c>
      <c r="CW256" s="4">
        <f t="shared" si="201"/>
        <v>0</v>
      </c>
      <c r="CX256" s="4">
        <f t="shared" si="202"/>
        <v>0</v>
      </c>
      <c r="CY256" s="4">
        <f t="shared" si="203"/>
        <v>0</v>
      </c>
      <c r="CZ256" s="4">
        <f t="shared" si="204"/>
        <v>0</v>
      </c>
      <c r="DA256" s="4">
        <f t="shared" si="205"/>
        <v>0</v>
      </c>
      <c r="DB256" s="4">
        <f t="shared" si="206"/>
        <v>0</v>
      </c>
      <c r="DC256" s="4">
        <f t="shared" si="207"/>
        <v>0</v>
      </c>
      <c r="DD256" s="4">
        <f t="shared" si="208"/>
        <v>0</v>
      </c>
    </row>
    <row r="257" spans="1:108" x14ac:dyDescent="0.25">
      <c r="A257" s="41">
        <f>Skills!M239</f>
        <v>0</v>
      </c>
      <c r="B257" s="57" t="str">
        <f>Skills!N239</f>
        <v>Gymnastic Category</v>
      </c>
      <c r="C257" s="24">
        <f t="shared" si="209"/>
        <v>0</v>
      </c>
      <c r="D257" s="110" t="str">
        <f>Skills!S239</f>
        <v>- -</v>
      </c>
      <c r="E257" s="111" t="s">
        <v>782</v>
      </c>
      <c r="F257" s="18"/>
      <c r="G257" s="18"/>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49"/>
      <c r="BF257" s="4">
        <f t="shared" si="159"/>
        <v>0</v>
      </c>
      <c r="BG257" s="4">
        <f t="shared" si="159"/>
        <v>0</v>
      </c>
      <c r="BH257" s="4">
        <f t="shared" si="160"/>
        <v>0</v>
      </c>
      <c r="BI257" s="4">
        <f t="shared" si="161"/>
        <v>0</v>
      </c>
      <c r="BJ257" s="4">
        <f t="shared" si="162"/>
        <v>0</v>
      </c>
      <c r="BK257" s="4">
        <f t="shared" si="163"/>
        <v>0</v>
      </c>
      <c r="BL257" s="4">
        <f t="shared" si="164"/>
        <v>0</v>
      </c>
      <c r="BM257" s="4">
        <f t="shared" si="165"/>
        <v>0</v>
      </c>
      <c r="BN257" s="4">
        <f t="shared" si="166"/>
        <v>0</v>
      </c>
      <c r="BO257" s="4">
        <f t="shared" si="167"/>
        <v>0</v>
      </c>
      <c r="BP257" s="4">
        <f t="shared" si="168"/>
        <v>0</v>
      </c>
      <c r="BQ257" s="4">
        <f t="shared" si="169"/>
        <v>0</v>
      </c>
      <c r="BR257" s="4">
        <f t="shared" si="170"/>
        <v>0</v>
      </c>
      <c r="BS257" s="4">
        <f t="shared" si="171"/>
        <v>0</v>
      </c>
      <c r="BT257" s="4">
        <f t="shared" si="172"/>
        <v>0</v>
      </c>
      <c r="BU257" s="4">
        <f t="shared" si="173"/>
        <v>0</v>
      </c>
      <c r="BV257" s="4">
        <f t="shared" si="174"/>
        <v>0</v>
      </c>
      <c r="BW257" s="4">
        <f t="shared" si="175"/>
        <v>0</v>
      </c>
      <c r="BX257" s="4">
        <f t="shared" si="176"/>
        <v>0</v>
      </c>
      <c r="BY257" s="4">
        <f t="shared" si="177"/>
        <v>0</v>
      </c>
      <c r="BZ257" s="4">
        <f t="shared" si="178"/>
        <v>0</v>
      </c>
      <c r="CA257" s="4">
        <f t="shared" si="179"/>
        <v>0</v>
      </c>
      <c r="CB257" s="4">
        <f t="shared" si="180"/>
        <v>0</v>
      </c>
      <c r="CC257" s="4">
        <f t="shared" si="181"/>
        <v>0</v>
      </c>
      <c r="CD257" s="4">
        <f t="shared" si="182"/>
        <v>0</v>
      </c>
      <c r="CE257" s="4">
        <f t="shared" si="183"/>
        <v>0</v>
      </c>
      <c r="CF257" s="4">
        <f t="shared" si="184"/>
        <v>0</v>
      </c>
      <c r="CG257" s="4">
        <f t="shared" si="185"/>
        <v>0</v>
      </c>
      <c r="CH257" s="4">
        <f t="shared" si="186"/>
        <v>0</v>
      </c>
      <c r="CI257" s="4">
        <f t="shared" si="187"/>
        <v>0</v>
      </c>
      <c r="CJ257" s="4">
        <f t="shared" si="188"/>
        <v>0</v>
      </c>
      <c r="CK257" s="4">
        <f t="shared" si="189"/>
        <v>0</v>
      </c>
      <c r="CL257" s="4">
        <f t="shared" si="190"/>
        <v>0</v>
      </c>
      <c r="CM257" s="4">
        <f t="shared" si="191"/>
        <v>0</v>
      </c>
      <c r="CN257" s="4">
        <f t="shared" si="192"/>
        <v>0</v>
      </c>
      <c r="CO257" s="4">
        <f t="shared" si="193"/>
        <v>0</v>
      </c>
      <c r="CP257" s="4">
        <f t="shared" si="194"/>
        <v>0</v>
      </c>
      <c r="CQ257" s="4">
        <f t="shared" si="195"/>
        <v>0</v>
      </c>
      <c r="CR257" s="4">
        <f t="shared" si="196"/>
        <v>0</v>
      </c>
      <c r="CS257" s="4">
        <f t="shared" si="197"/>
        <v>0</v>
      </c>
      <c r="CT257" s="4">
        <f t="shared" si="198"/>
        <v>0</v>
      </c>
      <c r="CU257" s="4">
        <f t="shared" si="199"/>
        <v>0</v>
      </c>
      <c r="CV257" s="4">
        <f t="shared" si="200"/>
        <v>0</v>
      </c>
      <c r="CW257" s="4">
        <f t="shared" si="201"/>
        <v>0</v>
      </c>
      <c r="CX257" s="4">
        <f t="shared" si="202"/>
        <v>0</v>
      </c>
      <c r="CY257" s="4">
        <f t="shared" si="203"/>
        <v>0</v>
      </c>
      <c r="CZ257" s="4">
        <f t="shared" si="204"/>
        <v>0</v>
      </c>
      <c r="DA257" s="4">
        <f t="shared" si="205"/>
        <v>0</v>
      </c>
      <c r="DB257" s="4">
        <f t="shared" si="206"/>
        <v>0</v>
      </c>
      <c r="DC257" s="4">
        <f t="shared" si="207"/>
        <v>0</v>
      </c>
      <c r="DD257" s="4">
        <f t="shared" si="208"/>
        <v>0</v>
      </c>
    </row>
    <row r="258" spans="1:108" x14ac:dyDescent="0.25">
      <c r="A258" s="41">
        <f>Skills!M240</f>
        <v>0</v>
      </c>
      <c r="B258" s="55" t="str">
        <f>Skills!N240</f>
        <v>Gymnastic Skills</v>
      </c>
      <c r="C258" s="22">
        <f t="shared" si="209"/>
        <v>0</v>
      </c>
      <c r="D258" s="112" t="str">
        <f>Skills!S240</f>
        <v>- -</v>
      </c>
      <c r="E258" s="113" t="s">
        <v>782</v>
      </c>
      <c r="F258" s="19"/>
      <c r="G258" s="19"/>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56"/>
      <c r="BF258" s="4">
        <f t="shared" si="159"/>
        <v>0</v>
      </c>
      <c r="BG258" s="4">
        <f t="shared" si="159"/>
        <v>0</v>
      </c>
      <c r="BH258" s="4">
        <f t="shared" si="160"/>
        <v>0</v>
      </c>
      <c r="BI258" s="4">
        <f t="shared" si="161"/>
        <v>0</v>
      </c>
      <c r="BJ258" s="4">
        <f t="shared" si="162"/>
        <v>0</v>
      </c>
      <c r="BK258" s="4">
        <f t="shared" si="163"/>
        <v>0</v>
      </c>
      <c r="BL258" s="4">
        <f t="shared" si="164"/>
        <v>0</v>
      </c>
      <c r="BM258" s="4">
        <f t="shared" si="165"/>
        <v>0</v>
      </c>
      <c r="BN258" s="4">
        <f t="shared" si="166"/>
        <v>0</v>
      </c>
      <c r="BO258" s="4">
        <f t="shared" si="167"/>
        <v>0</v>
      </c>
      <c r="BP258" s="4">
        <f t="shared" si="168"/>
        <v>0</v>
      </c>
      <c r="BQ258" s="4">
        <f t="shared" si="169"/>
        <v>0</v>
      </c>
      <c r="BR258" s="4">
        <f t="shared" si="170"/>
        <v>0</v>
      </c>
      <c r="BS258" s="4">
        <f t="shared" si="171"/>
        <v>0</v>
      </c>
      <c r="BT258" s="4">
        <f t="shared" si="172"/>
        <v>0</v>
      </c>
      <c r="BU258" s="4">
        <f t="shared" si="173"/>
        <v>0</v>
      </c>
      <c r="BV258" s="4">
        <f t="shared" si="174"/>
        <v>0</v>
      </c>
      <c r="BW258" s="4">
        <f t="shared" si="175"/>
        <v>0</v>
      </c>
      <c r="BX258" s="4">
        <f t="shared" si="176"/>
        <v>0</v>
      </c>
      <c r="BY258" s="4">
        <f t="shared" si="177"/>
        <v>0</v>
      </c>
      <c r="BZ258" s="4">
        <f t="shared" si="178"/>
        <v>0</v>
      </c>
      <c r="CA258" s="4">
        <f t="shared" si="179"/>
        <v>0</v>
      </c>
      <c r="CB258" s="4">
        <f t="shared" si="180"/>
        <v>0</v>
      </c>
      <c r="CC258" s="4">
        <f t="shared" si="181"/>
        <v>0</v>
      </c>
      <c r="CD258" s="4">
        <f t="shared" si="182"/>
        <v>0</v>
      </c>
      <c r="CE258" s="4">
        <f t="shared" si="183"/>
        <v>0</v>
      </c>
      <c r="CF258" s="4">
        <f t="shared" si="184"/>
        <v>0</v>
      </c>
      <c r="CG258" s="4">
        <f t="shared" si="185"/>
        <v>0</v>
      </c>
      <c r="CH258" s="4">
        <f t="shared" si="186"/>
        <v>0</v>
      </c>
      <c r="CI258" s="4">
        <f t="shared" si="187"/>
        <v>0</v>
      </c>
      <c r="CJ258" s="4">
        <f t="shared" si="188"/>
        <v>0</v>
      </c>
      <c r="CK258" s="4">
        <f t="shared" si="189"/>
        <v>0</v>
      </c>
      <c r="CL258" s="4">
        <f t="shared" si="190"/>
        <v>0</v>
      </c>
      <c r="CM258" s="4">
        <f t="shared" si="191"/>
        <v>0</v>
      </c>
      <c r="CN258" s="4">
        <f t="shared" si="192"/>
        <v>0</v>
      </c>
      <c r="CO258" s="4">
        <f t="shared" si="193"/>
        <v>0</v>
      </c>
      <c r="CP258" s="4">
        <f t="shared" si="194"/>
        <v>0</v>
      </c>
      <c r="CQ258" s="4">
        <f t="shared" si="195"/>
        <v>0</v>
      </c>
      <c r="CR258" s="4">
        <f t="shared" si="196"/>
        <v>0</v>
      </c>
      <c r="CS258" s="4">
        <f t="shared" si="197"/>
        <v>0</v>
      </c>
      <c r="CT258" s="4">
        <f t="shared" si="198"/>
        <v>0</v>
      </c>
      <c r="CU258" s="4">
        <f t="shared" si="199"/>
        <v>0</v>
      </c>
      <c r="CV258" s="4">
        <f t="shared" si="200"/>
        <v>0</v>
      </c>
      <c r="CW258" s="4">
        <f t="shared" si="201"/>
        <v>0</v>
      </c>
      <c r="CX258" s="4">
        <f t="shared" si="202"/>
        <v>0</v>
      </c>
      <c r="CY258" s="4">
        <f t="shared" si="203"/>
        <v>0</v>
      </c>
      <c r="CZ258" s="4">
        <f t="shared" si="204"/>
        <v>0</v>
      </c>
      <c r="DA258" s="4">
        <f t="shared" si="205"/>
        <v>0</v>
      </c>
      <c r="DB258" s="4">
        <f t="shared" si="206"/>
        <v>0</v>
      </c>
      <c r="DC258" s="4">
        <f t="shared" si="207"/>
        <v>0</v>
      </c>
      <c r="DD258" s="4">
        <f t="shared" si="208"/>
        <v>0</v>
      </c>
    </row>
    <row r="259" spans="1:108" x14ac:dyDescent="0.25">
      <c r="A259" s="41" t="str">
        <f>Skills!M241</f>
        <v>Acrobatics</v>
      </c>
      <c r="B259" s="57" t="str">
        <f>Skills!N241</f>
        <v>Acrobatics</v>
      </c>
      <c r="C259" s="24">
        <f t="shared" si="209"/>
        <v>0</v>
      </c>
      <c r="D259" s="110">
        <f>Skills!S241</f>
        <v>0</v>
      </c>
      <c r="E259" s="111" t="e">
        <f>Profession!B120</f>
        <v>#REF!</v>
      </c>
      <c r="F259" s="18"/>
      <c r="G259" s="18"/>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49"/>
      <c r="BF259" s="4">
        <f t="shared" si="159"/>
        <v>0</v>
      </c>
      <c r="BG259" s="4">
        <f t="shared" si="159"/>
        <v>0</v>
      </c>
      <c r="BH259" s="4">
        <f t="shared" si="160"/>
        <v>0</v>
      </c>
      <c r="BI259" s="4">
        <f t="shared" si="161"/>
        <v>0</v>
      </c>
      <c r="BJ259" s="4">
        <f t="shared" si="162"/>
        <v>0</v>
      </c>
      <c r="BK259" s="4">
        <f t="shared" si="163"/>
        <v>0</v>
      </c>
      <c r="BL259" s="4">
        <f t="shared" si="164"/>
        <v>0</v>
      </c>
      <c r="BM259" s="4">
        <f t="shared" si="165"/>
        <v>0</v>
      </c>
      <c r="BN259" s="4">
        <f t="shared" si="166"/>
        <v>0</v>
      </c>
      <c r="BO259" s="4">
        <f t="shared" si="167"/>
        <v>0</v>
      </c>
      <c r="BP259" s="4">
        <f t="shared" si="168"/>
        <v>0</v>
      </c>
      <c r="BQ259" s="4">
        <f t="shared" si="169"/>
        <v>0</v>
      </c>
      <c r="BR259" s="4">
        <f t="shared" si="170"/>
        <v>0</v>
      </c>
      <c r="BS259" s="4">
        <f t="shared" si="171"/>
        <v>0</v>
      </c>
      <c r="BT259" s="4">
        <f t="shared" si="172"/>
        <v>0</v>
      </c>
      <c r="BU259" s="4">
        <f t="shared" si="173"/>
        <v>0</v>
      </c>
      <c r="BV259" s="4">
        <f t="shared" si="174"/>
        <v>0</v>
      </c>
      <c r="BW259" s="4">
        <f t="shared" si="175"/>
        <v>0</v>
      </c>
      <c r="BX259" s="4">
        <f t="shared" si="176"/>
        <v>0</v>
      </c>
      <c r="BY259" s="4">
        <f t="shared" si="177"/>
        <v>0</v>
      </c>
      <c r="BZ259" s="4">
        <f t="shared" si="178"/>
        <v>0</v>
      </c>
      <c r="CA259" s="4">
        <f t="shared" si="179"/>
        <v>0</v>
      </c>
      <c r="CB259" s="4">
        <f t="shared" si="180"/>
        <v>0</v>
      </c>
      <c r="CC259" s="4">
        <f t="shared" si="181"/>
        <v>0</v>
      </c>
      <c r="CD259" s="4">
        <f t="shared" si="182"/>
        <v>0</v>
      </c>
      <c r="CE259" s="4">
        <f t="shared" si="183"/>
        <v>0</v>
      </c>
      <c r="CF259" s="4">
        <f t="shared" si="184"/>
        <v>0</v>
      </c>
      <c r="CG259" s="4">
        <f t="shared" si="185"/>
        <v>0</v>
      </c>
      <c r="CH259" s="4">
        <f t="shared" si="186"/>
        <v>0</v>
      </c>
      <c r="CI259" s="4">
        <f t="shared" si="187"/>
        <v>0</v>
      </c>
      <c r="CJ259" s="4">
        <f t="shared" si="188"/>
        <v>0</v>
      </c>
      <c r="CK259" s="4">
        <f t="shared" si="189"/>
        <v>0</v>
      </c>
      <c r="CL259" s="4">
        <f t="shared" si="190"/>
        <v>0</v>
      </c>
      <c r="CM259" s="4">
        <f t="shared" si="191"/>
        <v>0</v>
      </c>
      <c r="CN259" s="4">
        <f t="shared" si="192"/>
        <v>0</v>
      </c>
      <c r="CO259" s="4">
        <f t="shared" si="193"/>
        <v>0</v>
      </c>
      <c r="CP259" s="4">
        <f t="shared" si="194"/>
        <v>0</v>
      </c>
      <c r="CQ259" s="4">
        <f t="shared" si="195"/>
        <v>0</v>
      </c>
      <c r="CR259" s="4">
        <f t="shared" si="196"/>
        <v>0</v>
      </c>
      <c r="CS259" s="4">
        <f t="shared" si="197"/>
        <v>0</v>
      </c>
      <c r="CT259" s="4">
        <f t="shared" si="198"/>
        <v>0</v>
      </c>
      <c r="CU259" s="4">
        <f t="shared" si="199"/>
        <v>0</v>
      </c>
      <c r="CV259" s="4">
        <f t="shared" si="200"/>
        <v>0</v>
      </c>
      <c r="CW259" s="4">
        <f t="shared" si="201"/>
        <v>0</v>
      </c>
      <c r="CX259" s="4">
        <f t="shared" si="202"/>
        <v>0</v>
      </c>
      <c r="CY259" s="4">
        <f t="shared" si="203"/>
        <v>0</v>
      </c>
      <c r="CZ259" s="4">
        <f t="shared" si="204"/>
        <v>0</v>
      </c>
      <c r="DA259" s="4">
        <f t="shared" si="205"/>
        <v>0</v>
      </c>
      <c r="DB259" s="4">
        <f t="shared" si="206"/>
        <v>0</v>
      </c>
      <c r="DC259" s="4">
        <f t="shared" si="207"/>
        <v>0</v>
      </c>
      <c r="DD259" s="4">
        <f t="shared" si="208"/>
        <v>0</v>
      </c>
    </row>
    <row r="260" spans="1:108" x14ac:dyDescent="0.25">
      <c r="A260" s="41" t="str">
        <f>Skills!M242</f>
        <v>Contortions</v>
      </c>
      <c r="B260" s="55" t="str">
        <f>Skills!N242</f>
        <v>Contortions</v>
      </c>
      <c r="C260" s="22">
        <f t="shared" si="209"/>
        <v>0</v>
      </c>
      <c r="D260" s="112">
        <f>Skills!S242</f>
        <v>0</v>
      </c>
      <c r="E260" s="113" t="e">
        <f>Profession!B121</f>
        <v>#REF!</v>
      </c>
      <c r="F260" s="19"/>
      <c r="G260" s="19"/>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56"/>
      <c r="BF260" s="4">
        <f t="shared" si="159"/>
        <v>0</v>
      </c>
      <c r="BG260" s="4">
        <f t="shared" si="159"/>
        <v>0</v>
      </c>
      <c r="BH260" s="4">
        <f t="shared" si="160"/>
        <v>0</v>
      </c>
      <c r="BI260" s="4">
        <f t="shared" si="161"/>
        <v>0</v>
      </c>
      <c r="BJ260" s="4">
        <f t="shared" si="162"/>
        <v>0</v>
      </c>
      <c r="BK260" s="4">
        <f t="shared" si="163"/>
        <v>0</v>
      </c>
      <c r="BL260" s="4">
        <f t="shared" si="164"/>
        <v>0</v>
      </c>
      <c r="BM260" s="4">
        <f t="shared" si="165"/>
        <v>0</v>
      </c>
      <c r="BN260" s="4">
        <f t="shared" si="166"/>
        <v>0</v>
      </c>
      <c r="BO260" s="4">
        <f t="shared" si="167"/>
        <v>0</v>
      </c>
      <c r="BP260" s="4">
        <f t="shared" si="168"/>
        <v>0</v>
      </c>
      <c r="BQ260" s="4">
        <f t="shared" si="169"/>
        <v>0</v>
      </c>
      <c r="BR260" s="4">
        <f t="shared" si="170"/>
        <v>0</v>
      </c>
      <c r="BS260" s="4">
        <f t="shared" si="171"/>
        <v>0</v>
      </c>
      <c r="BT260" s="4">
        <f t="shared" si="172"/>
        <v>0</v>
      </c>
      <c r="BU260" s="4">
        <f t="shared" si="173"/>
        <v>0</v>
      </c>
      <c r="BV260" s="4">
        <f t="shared" si="174"/>
        <v>0</v>
      </c>
      <c r="BW260" s="4">
        <f t="shared" si="175"/>
        <v>0</v>
      </c>
      <c r="BX260" s="4">
        <f t="shared" si="176"/>
        <v>0</v>
      </c>
      <c r="BY260" s="4">
        <f t="shared" si="177"/>
        <v>0</v>
      </c>
      <c r="BZ260" s="4">
        <f t="shared" si="178"/>
        <v>0</v>
      </c>
      <c r="CA260" s="4">
        <f t="shared" si="179"/>
        <v>0</v>
      </c>
      <c r="CB260" s="4">
        <f t="shared" si="180"/>
        <v>0</v>
      </c>
      <c r="CC260" s="4">
        <f t="shared" si="181"/>
        <v>0</v>
      </c>
      <c r="CD260" s="4">
        <f t="shared" si="182"/>
        <v>0</v>
      </c>
      <c r="CE260" s="4">
        <f t="shared" si="183"/>
        <v>0</v>
      </c>
      <c r="CF260" s="4">
        <f t="shared" si="184"/>
        <v>0</v>
      </c>
      <c r="CG260" s="4">
        <f t="shared" si="185"/>
        <v>0</v>
      </c>
      <c r="CH260" s="4">
        <f t="shared" si="186"/>
        <v>0</v>
      </c>
      <c r="CI260" s="4">
        <f t="shared" si="187"/>
        <v>0</v>
      </c>
      <c r="CJ260" s="4">
        <f t="shared" si="188"/>
        <v>0</v>
      </c>
      <c r="CK260" s="4">
        <f t="shared" si="189"/>
        <v>0</v>
      </c>
      <c r="CL260" s="4">
        <f t="shared" si="190"/>
        <v>0</v>
      </c>
      <c r="CM260" s="4">
        <f t="shared" si="191"/>
        <v>0</v>
      </c>
      <c r="CN260" s="4">
        <f t="shared" si="192"/>
        <v>0</v>
      </c>
      <c r="CO260" s="4">
        <f t="shared" si="193"/>
        <v>0</v>
      </c>
      <c r="CP260" s="4">
        <f t="shared" si="194"/>
        <v>0</v>
      </c>
      <c r="CQ260" s="4">
        <f t="shared" si="195"/>
        <v>0</v>
      </c>
      <c r="CR260" s="4">
        <f t="shared" si="196"/>
        <v>0</v>
      </c>
      <c r="CS260" s="4">
        <f t="shared" si="197"/>
        <v>0</v>
      </c>
      <c r="CT260" s="4">
        <f t="shared" si="198"/>
        <v>0</v>
      </c>
      <c r="CU260" s="4">
        <f t="shared" si="199"/>
        <v>0</v>
      </c>
      <c r="CV260" s="4">
        <f t="shared" si="200"/>
        <v>0</v>
      </c>
      <c r="CW260" s="4">
        <f t="shared" si="201"/>
        <v>0</v>
      </c>
      <c r="CX260" s="4">
        <f t="shared" si="202"/>
        <v>0</v>
      </c>
      <c r="CY260" s="4">
        <f t="shared" si="203"/>
        <v>0</v>
      </c>
      <c r="CZ260" s="4">
        <f t="shared" si="204"/>
        <v>0</v>
      </c>
      <c r="DA260" s="4">
        <f t="shared" si="205"/>
        <v>0</v>
      </c>
      <c r="DB260" s="4">
        <f t="shared" si="206"/>
        <v>0</v>
      </c>
      <c r="DC260" s="4">
        <f t="shared" si="207"/>
        <v>0</v>
      </c>
      <c r="DD260" s="4">
        <f t="shared" si="208"/>
        <v>0</v>
      </c>
    </row>
    <row r="261" spans="1:108" x14ac:dyDescent="0.25">
      <c r="A261" s="41" t="str">
        <f>Skills!M243</f>
        <v>Jumping</v>
      </c>
      <c r="B261" s="57" t="str">
        <f>Skills!N243</f>
        <v>Jumping</v>
      </c>
      <c r="C261" s="24">
        <f t="shared" si="209"/>
        <v>0</v>
      </c>
      <c r="D261" s="110">
        <f>Skills!S243</f>
        <v>0</v>
      </c>
      <c r="E261" s="111" t="e">
        <f>Profession!B122</f>
        <v>#REF!</v>
      </c>
      <c r="F261" s="18"/>
      <c r="G261" s="18"/>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49"/>
      <c r="BF261" s="4">
        <f t="shared" si="159"/>
        <v>0</v>
      </c>
      <c r="BG261" s="4">
        <f t="shared" si="159"/>
        <v>0</v>
      </c>
      <c r="BH261" s="4">
        <f t="shared" si="160"/>
        <v>0</v>
      </c>
      <c r="BI261" s="4">
        <f t="shared" si="161"/>
        <v>0</v>
      </c>
      <c r="BJ261" s="4">
        <f t="shared" si="162"/>
        <v>0</v>
      </c>
      <c r="BK261" s="4">
        <f t="shared" si="163"/>
        <v>0</v>
      </c>
      <c r="BL261" s="4">
        <f t="shared" si="164"/>
        <v>0</v>
      </c>
      <c r="BM261" s="4">
        <f t="shared" si="165"/>
        <v>0</v>
      </c>
      <c r="BN261" s="4">
        <f t="shared" si="166"/>
        <v>0</v>
      </c>
      <c r="BO261" s="4">
        <f t="shared" si="167"/>
        <v>0</v>
      </c>
      <c r="BP261" s="4">
        <f t="shared" si="168"/>
        <v>0</v>
      </c>
      <c r="BQ261" s="4">
        <f t="shared" si="169"/>
        <v>0</v>
      </c>
      <c r="BR261" s="4">
        <f t="shared" si="170"/>
        <v>0</v>
      </c>
      <c r="BS261" s="4">
        <f t="shared" si="171"/>
        <v>0</v>
      </c>
      <c r="BT261" s="4">
        <f t="shared" si="172"/>
        <v>0</v>
      </c>
      <c r="BU261" s="4">
        <f t="shared" si="173"/>
        <v>0</v>
      </c>
      <c r="BV261" s="4">
        <f t="shared" si="174"/>
        <v>0</v>
      </c>
      <c r="BW261" s="4">
        <f t="shared" si="175"/>
        <v>0</v>
      </c>
      <c r="BX261" s="4">
        <f t="shared" si="176"/>
        <v>0</v>
      </c>
      <c r="BY261" s="4">
        <f t="shared" si="177"/>
        <v>0</v>
      </c>
      <c r="BZ261" s="4">
        <f t="shared" si="178"/>
        <v>0</v>
      </c>
      <c r="CA261" s="4">
        <f t="shared" si="179"/>
        <v>0</v>
      </c>
      <c r="CB261" s="4">
        <f t="shared" si="180"/>
        <v>0</v>
      </c>
      <c r="CC261" s="4">
        <f t="shared" si="181"/>
        <v>0</v>
      </c>
      <c r="CD261" s="4">
        <f t="shared" si="182"/>
        <v>0</v>
      </c>
      <c r="CE261" s="4">
        <f t="shared" si="183"/>
        <v>0</v>
      </c>
      <c r="CF261" s="4">
        <f t="shared" si="184"/>
        <v>0</v>
      </c>
      <c r="CG261" s="4">
        <f t="shared" si="185"/>
        <v>0</v>
      </c>
      <c r="CH261" s="4">
        <f t="shared" si="186"/>
        <v>0</v>
      </c>
      <c r="CI261" s="4">
        <f t="shared" si="187"/>
        <v>0</v>
      </c>
      <c r="CJ261" s="4">
        <f t="shared" si="188"/>
        <v>0</v>
      </c>
      <c r="CK261" s="4">
        <f t="shared" si="189"/>
        <v>0</v>
      </c>
      <c r="CL261" s="4">
        <f t="shared" si="190"/>
        <v>0</v>
      </c>
      <c r="CM261" s="4">
        <f t="shared" si="191"/>
        <v>0</v>
      </c>
      <c r="CN261" s="4">
        <f t="shared" si="192"/>
        <v>0</v>
      </c>
      <c r="CO261" s="4">
        <f t="shared" si="193"/>
        <v>0</v>
      </c>
      <c r="CP261" s="4">
        <f t="shared" si="194"/>
        <v>0</v>
      </c>
      <c r="CQ261" s="4">
        <f t="shared" si="195"/>
        <v>0</v>
      </c>
      <c r="CR261" s="4">
        <f t="shared" si="196"/>
        <v>0</v>
      </c>
      <c r="CS261" s="4">
        <f t="shared" si="197"/>
        <v>0</v>
      </c>
      <c r="CT261" s="4">
        <f t="shared" si="198"/>
        <v>0</v>
      </c>
      <c r="CU261" s="4">
        <f t="shared" si="199"/>
        <v>0</v>
      </c>
      <c r="CV261" s="4">
        <f t="shared" si="200"/>
        <v>0</v>
      </c>
      <c r="CW261" s="4">
        <f t="shared" si="201"/>
        <v>0</v>
      </c>
      <c r="CX261" s="4">
        <f t="shared" si="202"/>
        <v>0</v>
      </c>
      <c r="CY261" s="4">
        <f t="shared" si="203"/>
        <v>0</v>
      </c>
      <c r="CZ261" s="4">
        <f t="shared" si="204"/>
        <v>0</v>
      </c>
      <c r="DA261" s="4">
        <f t="shared" si="205"/>
        <v>0</v>
      </c>
      <c r="DB261" s="4">
        <f t="shared" si="206"/>
        <v>0</v>
      </c>
      <c r="DC261" s="4">
        <f t="shared" si="207"/>
        <v>0</v>
      </c>
      <c r="DD261" s="4">
        <f t="shared" si="208"/>
        <v>0</v>
      </c>
    </row>
    <row r="262" spans="1:108" x14ac:dyDescent="0.25">
      <c r="A262" s="41">
        <f>Skills!M244</f>
        <v>0</v>
      </c>
      <c r="B262" s="55" t="str">
        <f>Skills!N244</f>
        <v>Lore Category</v>
      </c>
      <c r="C262" s="22">
        <f t="shared" si="209"/>
        <v>0</v>
      </c>
      <c r="D262" s="112" t="str">
        <f>Skills!S244</f>
        <v>- -</v>
      </c>
      <c r="E262" s="113" t="s">
        <v>782</v>
      </c>
      <c r="F262" s="19"/>
      <c r="G262" s="19"/>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56"/>
      <c r="BF262" s="4">
        <f t="shared" si="159"/>
        <v>0</v>
      </c>
      <c r="BG262" s="4">
        <f t="shared" si="159"/>
        <v>0</v>
      </c>
      <c r="BH262" s="4">
        <f t="shared" si="160"/>
        <v>0</v>
      </c>
      <c r="BI262" s="4">
        <f t="shared" si="161"/>
        <v>0</v>
      </c>
      <c r="BJ262" s="4">
        <f t="shared" si="162"/>
        <v>0</v>
      </c>
      <c r="BK262" s="4">
        <f t="shared" si="163"/>
        <v>0</v>
      </c>
      <c r="BL262" s="4">
        <f t="shared" si="164"/>
        <v>0</v>
      </c>
      <c r="BM262" s="4">
        <f t="shared" si="165"/>
        <v>0</v>
      </c>
      <c r="BN262" s="4">
        <f t="shared" si="166"/>
        <v>0</v>
      </c>
      <c r="BO262" s="4">
        <f t="shared" si="167"/>
        <v>0</v>
      </c>
      <c r="BP262" s="4">
        <f t="shared" si="168"/>
        <v>0</v>
      </c>
      <c r="BQ262" s="4">
        <f t="shared" si="169"/>
        <v>0</v>
      </c>
      <c r="BR262" s="4">
        <f t="shared" si="170"/>
        <v>0</v>
      </c>
      <c r="BS262" s="4">
        <f t="shared" si="171"/>
        <v>0</v>
      </c>
      <c r="BT262" s="4">
        <f t="shared" si="172"/>
        <v>0</v>
      </c>
      <c r="BU262" s="4">
        <f t="shared" si="173"/>
        <v>0</v>
      </c>
      <c r="BV262" s="4">
        <f t="shared" si="174"/>
        <v>0</v>
      </c>
      <c r="BW262" s="4">
        <f t="shared" si="175"/>
        <v>0</v>
      </c>
      <c r="BX262" s="4">
        <f t="shared" si="176"/>
        <v>0</v>
      </c>
      <c r="BY262" s="4">
        <f t="shared" si="177"/>
        <v>0</v>
      </c>
      <c r="BZ262" s="4">
        <f t="shared" si="178"/>
        <v>0</v>
      </c>
      <c r="CA262" s="4">
        <f t="shared" si="179"/>
        <v>0</v>
      </c>
      <c r="CB262" s="4">
        <f t="shared" si="180"/>
        <v>0</v>
      </c>
      <c r="CC262" s="4">
        <f t="shared" si="181"/>
        <v>0</v>
      </c>
      <c r="CD262" s="4">
        <f t="shared" si="182"/>
        <v>0</v>
      </c>
      <c r="CE262" s="4">
        <f t="shared" si="183"/>
        <v>0</v>
      </c>
      <c r="CF262" s="4">
        <f t="shared" si="184"/>
        <v>0</v>
      </c>
      <c r="CG262" s="4">
        <f t="shared" si="185"/>
        <v>0</v>
      </c>
      <c r="CH262" s="4">
        <f t="shared" si="186"/>
        <v>0</v>
      </c>
      <c r="CI262" s="4">
        <f t="shared" si="187"/>
        <v>0</v>
      </c>
      <c r="CJ262" s="4">
        <f t="shared" si="188"/>
        <v>0</v>
      </c>
      <c r="CK262" s="4">
        <f t="shared" si="189"/>
        <v>0</v>
      </c>
      <c r="CL262" s="4">
        <f t="shared" si="190"/>
        <v>0</v>
      </c>
      <c r="CM262" s="4">
        <f t="shared" si="191"/>
        <v>0</v>
      </c>
      <c r="CN262" s="4">
        <f t="shared" si="192"/>
        <v>0</v>
      </c>
      <c r="CO262" s="4">
        <f t="shared" si="193"/>
        <v>0</v>
      </c>
      <c r="CP262" s="4">
        <f t="shared" si="194"/>
        <v>0</v>
      </c>
      <c r="CQ262" s="4">
        <f t="shared" si="195"/>
        <v>0</v>
      </c>
      <c r="CR262" s="4">
        <f t="shared" si="196"/>
        <v>0</v>
      </c>
      <c r="CS262" s="4">
        <f t="shared" si="197"/>
        <v>0</v>
      </c>
      <c r="CT262" s="4">
        <f t="shared" si="198"/>
        <v>0</v>
      </c>
      <c r="CU262" s="4">
        <f t="shared" si="199"/>
        <v>0</v>
      </c>
      <c r="CV262" s="4">
        <f t="shared" si="200"/>
        <v>0</v>
      </c>
      <c r="CW262" s="4">
        <f t="shared" si="201"/>
        <v>0</v>
      </c>
      <c r="CX262" s="4">
        <f t="shared" si="202"/>
        <v>0</v>
      </c>
      <c r="CY262" s="4">
        <f t="shared" si="203"/>
        <v>0</v>
      </c>
      <c r="CZ262" s="4">
        <f t="shared" si="204"/>
        <v>0</v>
      </c>
      <c r="DA262" s="4">
        <f t="shared" si="205"/>
        <v>0</v>
      </c>
      <c r="DB262" s="4">
        <f t="shared" si="206"/>
        <v>0</v>
      </c>
      <c r="DC262" s="4">
        <f t="shared" si="207"/>
        <v>0</v>
      </c>
      <c r="DD262" s="4">
        <f t="shared" si="208"/>
        <v>0</v>
      </c>
    </row>
    <row r="263" spans="1:108" x14ac:dyDescent="0.25">
      <c r="A263" s="41">
        <f>Skills!M245</f>
        <v>0</v>
      </c>
      <c r="B263" s="57" t="str">
        <f>Skills!N245</f>
        <v>Lore Skills</v>
      </c>
      <c r="C263" s="24">
        <f t="shared" si="209"/>
        <v>0</v>
      </c>
      <c r="D263" s="110" t="str">
        <f>Skills!S245</f>
        <v>- -</v>
      </c>
      <c r="E263" s="111" t="s">
        <v>782</v>
      </c>
      <c r="F263" s="18"/>
      <c r="G263" s="18"/>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49"/>
      <c r="BF263" s="4">
        <f t="shared" si="159"/>
        <v>0</v>
      </c>
      <c r="BG263" s="4">
        <f t="shared" si="159"/>
        <v>0</v>
      </c>
      <c r="BH263" s="4">
        <f t="shared" si="160"/>
        <v>0</v>
      </c>
      <c r="BI263" s="4">
        <f t="shared" si="161"/>
        <v>0</v>
      </c>
      <c r="BJ263" s="4">
        <f t="shared" si="162"/>
        <v>0</v>
      </c>
      <c r="BK263" s="4">
        <f t="shared" si="163"/>
        <v>0</v>
      </c>
      <c r="BL263" s="4">
        <f t="shared" si="164"/>
        <v>0</v>
      </c>
      <c r="BM263" s="4">
        <f t="shared" si="165"/>
        <v>0</v>
      </c>
      <c r="BN263" s="4">
        <f t="shared" si="166"/>
        <v>0</v>
      </c>
      <c r="BO263" s="4">
        <f t="shared" si="167"/>
        <v>0</v>
      </c>
      <c r="BP263" s="4">
        <f t="shared" si="168"/>
        <v>0</v>
      </c>
      <c r="BQ263" s="4">
        <f t="shared" si="169"/>
        <v>0</v>
      </c>
      <c r="BR263" s="4">
        <f t="shared" si="170"/>
        <v>0</v>
      </c>
      <c r="BS263" s="4">
        <f t="shared" si="171"/>
        <v>0</v>
      </c>
      <c r="BT263" s="4">
        <f t="shared" si="172"/>
        <v>0</v>
      </c>
      <c r="BU263" s="4">
        <f t="shared" si="173"/>
        <v>0</v>
      </c>
      <c r="BV263" s="4">
        <f t="shared" si="174"/>
        <v>0</v>
      </c>
      <c r="BW263" s="4">
        <f t="shared" si="175"/>
        <v>0</v>
      </c>
      <c r="BX263" s="4">
        <f t="shared" si="176"/>
        <v>0</v>
      </c>
      <c r="BY263" s="4">
        <f t="shared" si="177"/>
        <v>0</v>
      </c>
      <c r="BZ263" s="4">
        <f t="shared" si="178"/>
        <v>0</v>
      </c>
      <c r="CA263" s="4">
        <f t="shared" si="179"/>
        <v>0</v>
      </c>
      <c r="CB263" s="4">
        <f t="shared" si="180"/>
        <v>0</v>
      </c>
      <c r="CC263" s="4">
        <f t="shared" si="181"/>
        <v>0</v>
      </c>
      <c r="CD263" s="4">
        <f t="shared" si="182"/>
        <v>0</v>
      </c>
      <c r="CE263" s="4">
        <f t="shared" si="183"/>
        <v>0</v>
      </c>
      <c r="CF263" s="4">
        <f t="shared" si="184"/>
        <v>0</v>
      </c>
      <c r="CG263" s="4">
        <f t="shared" si="185"/>
        <v>0</v>
      </c>
      <c r="CH263" s="4">
        <f t="shared" si="186"/>
        <v>0</v>
      </c>
      <c r="CI263" s="4">
        <f t="shared" si="187"/>
        <v>0</v>
      </c>
      <c r="CJ263" s="4">
        <f t="shared" si="188"/>
        <v>0</v>
      </c>
      <c r="CK263" s="4">
        <f t="shared" si="189"/>
        <v>0</v>
      </c>
      <c r="CL263" s="4">
        <f t="shared" si="190"/>
        <v>0</v>
      </c>
      <c r="CM263" s="4">
        <f t="shared" si="191"/>
        <v>0</v>
      </c>
      <c r="CN263" s="4">
        <f t="shared" si="192"/>
        <v>0</v>
      </c>
      <c r="CO263" s="4">
        <f t="shared" si="193"/>
        <v>0</v>
      </c>
      <c r="CP263" s="4">
        <f t="shared" si="194"/>
        <v>0</v>
      </c>
      <c r="CQ263" s="4">
        <f t="shared" si="195"/>
        <v>0</v>
      </c>
      <c r="CR263" s="4">
        <f t="shared" si="196"/>
        <v>0</v>
      </c>
      <c r="CS263" s="4">
        <f t="shared" si="197"/>
        <v>0</v>
      </c>
      <c r="CT263" s="4">
        <f t="shared" si="198"/>
        <v>0</v>
      </c>
      <c r="CU263" s="4">
        <f t="shared" si="199"/>
        <v>0</v>
      </c>
      <c r="CV263" s="4">
        <f t="shared" si="200"/>
        <v>0</v>
      </c>
      <c r="CW263" s="4">
        <f t="shared" si="201"/>
        <v>0</v>
      </c>
      <c r="CX263" s="4">
        <f t="shared" si="202"/>
        <v>0</v>
      </c>
      <c r="CY263" s="4">
        <f t="shared" si="203"/>
        <v>0</v>
      </c>
      <c r="CZ263" s="4">
        <f t="shared" si="204"/>
        <v>0</v>
      </c>
      <c r="DA263" s="4">
        <f t="shared" si="205"/>
        <v>0</v>
      </c>
      <c r="DB263" s="4">
        <f t="shared" si="206"/>
        <v>0</v>
      </c>
      <c r="DC263" s="4">
        <f t="shared" si="207"/>
        <v>0</v>
      </c>
      <c r="DD263" s="4">
        <f t="shared" si="208"/>
        <v>0</v>
      </c>
    </row>
    <row r="264" spans="1:108" x14ac:dyDescent="0.25">
      <c r="A264" s="41">
        <f>Skills!M246</f>
        <v>0</v>
      </c>
      <c r="B264" s="55" t="str">
        <f>Skills!N246</f>
        <v>Lore Sub-category</v>
      </c>
      <c r="C264" s="22">
        <f t="shared" si="209"/>
        <v>0</v>
      </c>
      <c r="D264" s="112" t="str">
        <f>Skills!S246</f>
        <v>- -</v>
      </c>
      <c r="E264" s="113" t="s">
        <v>782</v>
      </c>
      <c r="F264" s="19"/>
      <c r="G264" s="19"/>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56"/>
      <c r="BF264" s="4">
        <f t="shared" si="159"/>
        <v>0</v>
      </c>
      <c r="BG264" s="4">
        <f t="shared" si="159"/>
        <v>0</v>
      </c>
      <c r="BH264" s="4">
        <f t="shared" si="160"/>
        <v>0</v>
      </c>
      <c r="BI264" s="4">
        <f t="shared" si="161"/>
        <v>0</v>
      </c>
      <c r="BJ264" s="4">
        <f t="shared" si="162"/>
        <v>0</v>
      </c>
      <c r="BK264" s="4">
        <f t="shared" si="163"/>
        <v>0</v>
      </c>
      <c r="BL264" s="4">
        <f t="shared" si="164"/>
        <v>0</v>
      </c>
      <c r="BM264" s="4">
        <f t="shared" si="165"/>
        <v>0</v>
      </c>
      <c r="BN264" s="4">
        <f t="shared" si="166"/>
        <v>0</v>
      </c>
      <c r="BO264" s="4">
        <f t="shared" si="167"/>
        <v>0</v>
      </c>
      <c r="BP264" s="4">
        <f t="shared" si="168"/>
        <v>0</v>
      </c>
      <c r="BQ264" s="4">
        <f t="shared" si="169"/>
        <v>0</v>
      </c>
      <c r="BR264" s="4">
        <f t="shared" si="170"/>
        <v>0</v>
      </c>
      <c r="BS264" s="4">
        <f t="shared" si="171"/>
        <v>0</v>
      </c>
      <c r="BT264" s="4">
        <f t="shared" si="172"/>
        <v>0</v>
      </c>
      <c r="BU264" s="4">
        <f t="shared" si="173"/>
        <v>0</v>
      </c>
      <c r="BV264" s="4">
        <f t="shared" si="174"/>
        <v>0</v>
      </c>
      <c r="BW264" s="4">
        <f t="shared" si="175"/>
        <v>0</v>
      </c>
      <c r="BX264" s="4">
        <f t="shared" si="176"/>
        <v>0</v>
      </c>
      <c r="BY264" s="4">
        <f t="shared" si="177"/>
        <v>0</v>
      </c>
      <c r="BZ264" s="4">
        <f t="shared" si="178"/>
        <v>0</v>
      </c>
      <c r="CA264" s="4">
        <f t="shared" si="179"/>
        <v>0</v>
      </c>
      <c r="CB264" s="4">
        <f t="shared" si="180"/>
        <v>0</v>
      </c>
      <c r="CC264" s="4">
        <f t="shared" si="181"/>
        <v>0</v>
      </c>
      <c r="CD264" s="4">
        <f t="shared" si="182"/>
        <v>0</v>
      </c>
      <c r="CE264" s="4">
        <f t="shared" si="183"/>
        <v>0</v>
      </c>
      <c r="CF264" s="4">
        <f t="shared" si="184"/>
        <v>0</v>
      </c>
      <c r="CG264" s="4">
        <f t="shared" si="185"/>
        <v>0</v>
      </c>
      <c r="CH264" s="4">
        <f t="shared" si="186"/>
        <v>0</v>
      </c>
      <c r="CI264" s="4">
        <f t="shared" si="187"/>
        <v>0</v>
      </c>
      <c r="CJ264" s="4">
        <f t="shared" si="188"/>
        <v>0</v>
      </c>
      <c r="CK264" s="4">
        <f t="shared" si="189"/>
        <v>0</v>
      </c>
      <c r="CL264" s="4">
        <f t="shared" si="190"/>
        <v>0</v>
      </c>
      <c r="CM264" s="4">
        <f t="shared" si="191"/>
        <v>0</v>
      </c>
      <c r="CN264" s="4">
        <f t="shared" si="192"/>
        <v>0</v>
      </c>
      <c r="CO264" s="4">
        <f t="shared" si="193"/>
        <v>0</v>
      </c>
      <c r="CP264" s="4">
        <f t="shared" si="194"/>
        <v>0</v>
      </c>
      <c r="CQ264" s="4">
        <f t="shared" si="195"/>
        <v>0</v>
      </c>
      <c r="CR264" s="4">
        <f t="shared" si="196"/>
        <v>0</v>
      </c>
      <c r="CS264" s="4">
        <f t="shared" si="197"/>
        <v>0</v>
      </c>
      <c r="CT264" s="4">
        <f t="shared" si="198"/>
        <v>0</v>
      </c>
      <c r="CU264" s="4">
        <f t="shared" si="199"/>
        <v>0</v>
      </c>
      <c r="CV264" s="4">
        <f t="shared" si="200"/>
        <v>0</v>
      </c>
      <c r="CW264" s="4">
        <f t="shared" si="201"/>
        <v>0</v>
      </c>
      <c r="CX264" s="4">
        <f t="shared" si="202"/>
        <v>0</v>
      </c>
      <c r="CY264" s="4">
        <f t="shared" si="203"/>
        <v>0</v>
      </c>
      <c r="CZ264" s="4">
        <f t="shared" si="204"/>
        <v>0</v>
      </c>
      <c r="DA264" s="4">
        <f t="shared" si="205"/>
        <v>0</v>
      </c>
      <c r="DB264" s="4">
        <f t="shared" si="206"/>
        <v>0</v>
      </c>
      <c r="DC264" s="4">
        <f t="shared" si="207"/>
        <v>0</v>
      </c>
      <c r="DD264" s="4">
        <f t="shared" si="208"/>
        <v>0</v>
      </c>
    </row>
    <row r="265" spans="1:108" x14ac:dyDescent="0.25">
      <c r="A265" s="41" t="str">
        <f>Skills!M247</f>
        <v>Lore, Art History</v>
      </c>
      <c r="B265" s="57" t="str">
        <f>Skills!N247</f>
        <v>Art History</v>
      </c>
      <c r="C265" s="24">
        <f t="shared" si="209"/>
        <v>0</v>
      </c>
      <c r="D265" s="110">
        <f>Skills!S247</f>
        <v>0</v>
      </c>
      <c r="E265" s="111" t="e">
        <f>Profession!B124</f>
        <v>#REF!</v>
      </c>
      <c r="F265" s="18"/>
      <c r="G265" s="18"/>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49"/>
      <c r="BF265" s="4">
        <f t="shared" si="159"/>
        <v>0</v>
      </c>
      <c r="BG265" s="4">
        <f t="shared" si="159"/>
        <v>0</v>
      </c>
      <c r="BH265" s="4">
        <f t="shared" si="160"/>
        <v>0</v>
      </c>
      <c r="BI265" s="4">
        <f t="shared" si="161"/>
        <v>0</v>
      </c>
      <c r="BJ265" s="4">
        <f t="shared" si="162"/>
        <v>0</v>
      </c>
      <c r="BK265" s="4">
        <f t="shared" si="163"/>
        <v>0</v>
      </c>
      <c r="BL265" s="4">
        <f t="shared" si="164"/>
        <v>0</v>
      </c>
      <c r="BM265" s="4">
        <f t="shared" si="165"/>
        <v>0</v>
      </c>
      <c r="BN265" s="4">
        <f t="shared" si="166"/>
        <v>0</v>
      </c>
      <c r="BO265" s="4">
        <f t="shared" si="167"/>
        <v>0</v>
      </c>
      <c r="BP265" s="4">
        <f t="shared" si="168"/>
        <v>0</v>
      </c>
      <c r="BQ265" s="4">
        <f t="shared" si="169"/>
        <v>0</v>
      </c>
      <c r="BR265" s="4">
        <f t="shared" si="170"/>
        <v>0</v>
      </c>
      <c r="BS265" s="4">
        <f t="shared" si="171"/>
        <v>0</v>
      </c>
      <c r="BT265" s="4">
        <f t="shared" si="172"/>
        <v>0</v>
      </c>
      <c r="BU265" s="4">
        <f t="shared" si="173"/>
        <v>0</v>
      </c>
      <c r="BV265" s="4">
        <f t="shared" si="174"/>
        <v>0</v>
      </c>
      <c r="BW265" s="4">
        <f t="shared" si="175"/>
        <v>0</v>
      </c>
      <c r="BX265" s="4">
        <f t="shared" si="176"/>
        <v>0</v>
      </c>
      <c r="BY265" s="4">
        <f t="shared" si="177"/>
        <v>0</v>
      </c>
      <c r="BZ265" s="4">
        <f t="shared" si="178"/>
        <v>0</v>
      </c>
      <c r="CA265" s="4">
        <f t="shared" si="179"/>
        <v>0</v>
      </c>
      <c r="CB265" s="4">
        <f t="shared" si="180"/>
        <v>0</v>
      </c>
      <c r="CC265" s="4">
        <f t="shared" si="181"/>
        <v>0</v>
      </c>
      <c r="CD265" s="4">
        <f t="shared" si="182"/>
        <v>0</v>
      </c>
      <c r="CE265" s="4">
        <f t="shared" si="183"/>
        <v>0</v>
      </c>
      <c r="CF265" s="4">
        <f t="shared" si="184"/>
        <v>0</v>
      </c>
      <c r="CG265" s="4">
        <f t="shared" si="185"/>
        <v>0</v>
      </c>
      <c r="CH265" s="4">
        <f t="shared" si="186"/>
        <v>0</v>
      </c>
      <c r="CI265" s="4">
        <f t="shared" si="187"/>
        <v>0</v>
      </c>
      <c r="CJ265" s="4">
        <f t="shared" si="188"/>
        <v>0</v>
      </c>
      <c r="CK265" s="4">
        <f t="shared" si="189"/>
        <v>0</v>
      </c>
      <c r="CL265" s="4">
        <f t="shared" si="190"/>
        <v>0</v>
      </c>
      <c r="CM265" s="4">
        <f t="shared" si="191"/>
        <v>0</v>
      </c>
      <c r="CN265" s="4">
        <f t="shared" si="192"/>
        <v>0</v>
      </c>
      <c r="CO265" s="4">
        <f t="shared" si="193"/>
        <v>0</v>
      </c>
      <c r="CP265" s="4">
        <f t="shared" si="194"/>
        <v>0</v>
      </c>
      <c r="CQ265" s="4">
        <f t="shared" si="195"/>
        <v>0</v>
      </c>
      <c r="CR265" s="4">
        <f t="shared" si="196"/>
        <v>0</v>
      </c>
      <c r="CS265" s="4">
        <f t="shared" si="197"/>
        <v>0</v>
      </c>
      <c r="CT265" s="4">
        <f t="shared" si="198"/>
        <v>0</v>
      </c>
      <c r="CU265" s="4">
        <f t="shared" si="199"/>
        <v>0</v>
      </c>
      <c r="CV265" s="4">
        <f t="shared" si="200"/>
        <v>0</v>
      </c>
      <c r="CW265" s="4">
        <f t="shared" si="201"/>
        <v>0</v>
      </c>
      <c r="CX265" s="4">
        <f t="shared" si="202"/>
        <v>0</v>
      </c>
      <c r="CY265" s="4">
        <f t="shared" si="203"/>
        <v>0</v>
      </c>
      <c r="CZ265" s="4">
        <f t="shared" si="204"/>
        <v>0</v>
      </c>
      <c r="DA265" s="4">
        <f t="shared" si="205"/>
        <v>0</v>
      </c>
      <c r="DB265" s="4">
        <f t="shared" si="206"/>
        <v>0</v>
      </c>
      <c r="DC265" s="4">
        <f t="shared" si="207"/>
        <v>0</v>
      </c>
      <c r="DD265" s="4">
        <f t="shared" si="208"/>
        <v>0</v>
      </c>
    </row>
    <row r="266" spans="1:108" x14ac:dyDescent="0.25">
      <c r="A266" s="41" t="str">
        <f>Skills!M248</f>
        <v>Circle Lore</v>
      </c>
      <c r="B266" s="55" t="str">
        <f>Skills!N248</f>
        <v>Circle Lore</v>
      </c>
      <c r="C266" s="22">
        <f t="shared" si="209"/>
        <v>0</v>
      </c>
      <c r="D266" s="112">
        <f>Skills!S248</f>
        <v>0</v>
      </c>
      <c r="E266" s="113" t="e">
        <f>Profession!B125</f>
        <v>#REF!</v>
      </c>
      <c r="F266" s="19"/>
      <c r="G266" s="19"/>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56"/>
      <c r="BF266" s="4">
        <f t="shared" si="159"/>
        <v>0</v>
      </c>
      <c r="BG266" s="4">
        <f t="shared" si="159"/>
        <v>0</v>
      </c>
      <c r="BH266" s="4">
        <f t="shared" si="160"/>
        <v>0</v>
      </c>
      <c r="BI266" s="4">
        <f t="shared" si="161"/>
        <v>0</v>
      </c>
      <c r="BJ266" s="4">
        <f t="shared" si="162"/>
        <v>0</v>
      </c>
      <c r="BK266" s="4">
        <f t="shared" si="163"/>
        <v>0</v>
      </c>
      <c r="BL266" s="4">
        <f t="shared" si="164"/>
        <v>0</v>
      </c>
      <c r="BM266" s="4">
        <f t="shared" si="165"/>
        <v>0</v>
      </c>
      <c r="BN266" s="4">
        <f t="shared" si="166"/>
        <v>0</v>
      </c>
      <c r="BO266" s="4">
        <f t="shared" si="167"/>
        <v>0</v>
      </c>
      <c r="BP266" s="4">
        <f t="shared" si="168"/>
        <v>0</v>
      </c>
      <c r="BQ266" s="4">
        <f t="shared" si="169"/>
        <v>0</v>
      </c>
      <c r="BR266" s="4">
        <f t="shared" si="170"/>
        <v>0</v>
      </c>
      <c r="BS266" s="4">
        <f t="shared" si="171"/>
        <v>0</v>
      </c>
      <c r="BT266" s="4">
        <f t="shared" si="172"/>
        <v>0</v>
      </c>
      <c r="BU266" s="4">
        <f t="shared" si="173"/>
        <v>0</v>
      </c>
      <c r="BV266" s="4">
        <f t="shared" si="174"/>
        <v>0</v>
      </c>
      <c r="BW266" s="4">
        <f t="shared" si="175"/>
        <v>0</v>
      </c>
      <c r="BX266" s="4">
        <f t="shared" si="176"/>
        <v>0</v>
      </c>
      <c r="BY266" s="4">
        <f t="shared" si="177"/>
        <v>0</v>
      </c>
      <c r="BZ266" s="4">
        <f t="shared" si="178"/>
        <v>0</v>
      </c>
      <c r="CA266" s="4">
        <f t="shared" si="179"/>
        <v>0</v>
      </c>
      <c r="CB266" s="4">
        <f t="shared" si="180"/>
        <v>0</v>
      </c>
      <c r="CC266" s="4">
        <f t="shared" si="181"/>
        <v>0</v>
      </c>
      <c r="CD266" s="4">
        <f t="shared" si="182"/>
        <v>0</v>
      </c>
      <c r="CE266" s="4">
        <f t="shared" si="183"/>
        <v>0</v>
      </c>
      <c r="CF266" s="4">
        <f t="shared" si="184"/>
        <v>0</v>
      </c>
      <c r="CG266" s="4">
        <f t="shared" si="185"/>
        <v>0</v>
      </c>
      <c r="CH266" s="4">
        <f t="shared" si="186"/>
        <v>0</v>
      </c>
      <c r="CI266" s="4">
        <f t="shared" si="187"/>
        <v>0</v>
      </c>
      <c r="CJ266" s="4">
        <f t="shared" si="188"/>
        <v>0</v>
      </c>
      <c r="CK266" s="4">
        <f t="shared" si="189"/>
        <v>0</v>
      </c>
      <c r="CL266" s="4">
        <f t="shared" si="190"/>
        <v>0</v>
      </c>
      <c r="CM266" s="4">
        <f t="shared" si="191"/>
        <v>0</v>
      </c>
      <c r="CN266" s="4">
        <f t="shared" si="192"/>
        <v>0</v>
      </c>
      <c r="CO266" s="4">
        <f t="shared" si="193"/>
        <v>0</v>
      </c>
      <c r="CP266" s="4">
        <f t="shared" si="194"/>
        <v>0</v>
      </c>
      <c r="CQ266" s="4">
        <f t="shared" si="195"/>
        <v>0</v>
      </c>
      <c r="CR266" s="4">
        <f t="shared" si="196"/>
        <v>0</v>
      </c>
      <c r="CS266" s="4">
        <f t="shared" si="197"/>
        <v>0</v>
      </c>
      <c r="CT266" s="4">
        <f t="shared" si="198"/>
        <v>0</v>
      </c>
      <c r="CU266" s="4">
        <f t="shared" si="199"/>
        <v>0</v>
      </c>
      <c r="CV266" s="4">
        <f t="shared" si="200"/>
        <v>0</v>
      </c>
      <c r="CW266" s="4">
        <f t="shared" si="201"/>
        <v>0</v>
      </c>
      <c r="CX266" s="4">
        <f t="shared" si="202"/>
        <v>0</v>
      </c>
      <c r="CY266" s="4">
        <f t="shared" si="203"/>
        <v>0</v>
      </c>
      <c r="CZ266" s="4">
        <f t="shared" si="204"/>
        <v>0</v>
      </c>
      <c r="DA266" s="4">
        <f t="shared" si="205"/>
        <v>0</v>
      </c>
      <c r="DB266" s="4">
        <f t="shared" si="206"/>
        <v>0</v>
      </c>
      <c r="DC266" s="4">
        <f t="shared" si="207"/>
        <v>0</v>
      </c>
      <c r="DD266" s="4">
        <f t="shared" si="208"/>
        <v>0</v>
      </c>
    </row>
    <row r="267" spans="1:108" x14ac:dyDescent="0.25">
      <c r="A267" s="41" t="str">
        <f>Skills!M249</f>
        <v>Creature Lore</v>
      </c>
      <c r="B267" s="57" t="str">
        <f>Skills!N249</f>
        <v>Creature Lore</v>
      </c>
      <c r="C267" s="24">
        <f>SUM(F267:BD267)</f>
        <v>0</v>
      </c>
      <c r="D267" s="110">
        <f>Skills!S249</f>
        <v>0</v>
      </c>
      <c r="E267" s="111" t="e">
        <f>Profession!B126</f>
        <v>#REF!</v>
      </c>
      <c r="F267" s="18"/>
      <c r="G267" s="18"/>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49"/>
      <c r="BF267" s="4">
        <f t="shared" ref="BF267:CK267" si="262">IF(F267=1,(LEFT($E267,2))*1,IF(F267=2,((LEFT($E267,2))+(MID($E267,FIND("/",$E267)+2,2))),IF(F267=3,((LEFT($E267,2))+(MID($E267,FIND("/",$E267)+2,2))+(RIGHT($E267,2))),0)))</f>
        <v>0</v>
      </c>
      <c r="BG267" s="4">
        <f t="shared" si="262"/>
        <v>0</v>
      </c>
      <c r="BH267" s="4">
        <f t="shared" si="262"/>
        <v>0</v>
      </c>
      <c r="BI267" s="4">
        <f t="shared" si="262"/>
        <v>0</v>
      </c>
      <c r="BJ267" s="4">
        <f t="shared" si="262"/>
        <v>0</v>
      </c>
      <c r="BK267" s="4">
        <f t="shared" si="262"/>
        <v>0</v>
      </c>
      <c r="BL267" s="4">
        <f t="shared" si="262"/>
        <v>0</v>
      </c>
      <c r="BM267" s="4">
        <f t="shared" si="262"/>
        <v>0</v>
      </c>
      <c r="BN267" s="4">
        <f t="shared" si="262"/>
        <v>0</v>
      </c>
      <c r="BO267" s="4">
        <f t="shared" si="262"/>
        <v>0</v>
      </c>
      <c r="BP267" s="4">
        <f t="shared" si="262"/>
        <v>0</v>
      </c>
      <c r="BQ267" s="4">
        <f t="shared" si="262"/>
        <v>0</v>
      </c>
      <c r="BR267" s="4">
        <f t="shared" si="262"/>
        <v>0</v>
      </c>
      <c r="BS267" s="4">
        <f t="shared" si="262"/>
        <v>0</v>
      </c>
      <c r="BT267" s="4">
        <f t="shared" si="262"/>
        <v>0</v>
      </c>
      <c r="BU267" s="4">
        <f t="shared" si="262"/>
        <v>0</v>
      </c>
      <c r="BV267" s="4">
        <f t="shared" si="262"/>
        <v>0</v>
      </c>
      <c r="BW267" s="4">
        <f t="shared" si="262"/>
        <v>0</v>
      </c>
      <c r="BX267" s="4">
        <f t="shared" si="262"/>
        <v>0</v>
      </c>
      <c r="BY267" s="4">
        <f t="shared" si="262"/>
        <v>0</v>
      </c>
      <c r="BZ267" s="4">
        <f t="shared" si="262"/>
        <v>0</v>
      </c>
      <c r="CA267" s="4">
        <f t="shared" si="262"/>
        <v>0</v>
      </c>
      <c r="CB267" s="4">
        <f t="shared" si="262"/>
        <v>0</v>
      </c>
      <c r="CC267" s="4">
        <f t="shared" si="262"/>
        <v>0</v>
      </c>
      <c r="CD267" s="4">
        <f t="shared" si="262"/>
        <v>0</v>
      </c>
      <c r="CE267" s="4">
        <f t="shared" si="262"/>
        <v>0</v>
      </c>
      <c r="CF267" s="4">
        <f t="shared" si="262"/>
        <v>0</v>
      </c>
      <c r="CG267" s="4">
        <f t="shared" si="262"/>
        <v>0</v>
      </c>
      <c r="CH267" s="4">
        <f t="shared" si="262"/>
        <v>0</v>
      </c>
      <c r="CI267" s="4">
        <f t="shared" si="262"/>
        <v>0</v>
      </c>
      <c r="CJ267" s="4">
        <f t="shared" si="262"/>
        <v>0</v>
      </c>
      <c r="CK267" s="4">
        <f t="shared" si="262"/>
        <v>0</v>
      </c>
      <c r="CL267" s="4">
        <f t="shared" si="190"/>
        <v>0</v>
      </c>
      <c r="CM267" s="4">
        <f t="shared" si="191"/>
        <v>0</v>
      </c>
      <c r="CN267" s="4">
        <f t="shared" si="192"/>
        <v>0</v>
      </c>
      <c r="CO267" s="4">
        <f t="shared" si="193"/>
        <v>0</v>
      </c>
      <c r="CP267" s="4">
        <f t="shared" si="194"/>
        <v>0</v>
      </c>
      <c r="CQ267" s="4">
        <f t="shared" si="195"/>
        <v>0</v>
      </c>
      <c r="CR267" s="4">
        <f t="shared" si="196"/>
        <v>0</v>
      </c>
      <c r="CS267" s="4">
        <f t="shared" si="197"/>
        <v>0</v>
      </c>
      <c r="CT267" s="4">
        <f t="shared" si="198"/>
        <v>0</v>
      </c>
      <c r="CU267" s="4">
        <f t="shared" si="199"/>
        <v>0</v>
      </c>
      <c r="CV267" s="4">
        <f t="shared" si="200"/>
        <v>0</v>
      </c>
      <c r="CW267" s="4">
        <f t="shared" si="201"/>
        <v>0</v>
      </c>
      <c r="CX267" s="4">
        <f t="shared" si="202"/>
        <v>0</v>
      </c>
      <c r="CY267" s="4">
        <f t="shared" si="203"/>
        <v>0</v>
      </c>
      <c r="CZ267" s="4">
        <f t="shared" si="204"/>
        <v>0</v>
      </c>
      <c r="DA267" s="4">
        <f t="shared" si="205"/>
        <v>0</v>
      </c>
      <c r="DB267" s="4">
        <f t="shared" si="206"/>
        <v>0</v>
      </c>
      <c r="DC267" s="4">
        <f t="shared" si="207"/>
        <v>0</v>
      </c>
      <c r="DD267" s="4">
        <f t="shared" si="208"/>
        <v>0</v>
      </c>
    </row>
    <row r="268" spans="1:108" x14ac:dyDescent="0.25">
      <c r="A268" s="41" t="str">
        <f>Skills!M250</f>
        <v>Flora Lore</v>
      </c>
      <c r="B268" s="55" t="str">
        <f>Skills!N250</f>
        <v>Flora Lore</v>
      </c>
      <c r="C268" s="22">
        <f t="shared" si="209"/>
        <v>0</v>
      </c>
      <c r="D268" s="112">
        <f>Skills!S250</f>
        <v>0</v>
      </c>
      <c r="E268" s="113" t="e">
        <f>Profession!B127</f>
        <v>#REF!</v>
      </c>
      <c r="F268" s="19"/>
      <c r="G268" s="19"/>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56"/>
      <c r="BF268" s="4">
        <f t="shared" si="159"/>
        <v>0</v>
      </c>
      <c r="BG268" s="4">
        <f t="shared" si="159"/>
        <v>0</v>
      </c>
      <c r="BH268" s="4">
        <f t="shared" si="160"/>
        <v>0</v>
      </c>
      <c r="BI268" s="4">
        <f t="shared" si="161"/>
        <v>0</v>
      </c>
      <c r="BJ268" s="4">
        <f t="shared" si="162"/>
        <v>0</v>
      </c>
      <c r="BK268" s="4">
        <f t="shared" si="163"/>
        <v>0</v>
      </c>
      <c r="BL268" s="4">
        <f t="shared" si="164"/>
        <v>0</v>
      </c>
      <c r="BM268" s="4">
        <f t="shared" si="165"/>
        <v>0</v>
      </c>
      <c r="BN268" s="4">
        <f t="shared" si="166"/>
        <v>0</v>
      </c>
      <c r="BO268" s="4">
        <f t="shared" si="167"/>
        <v>0</v>
      </c>
      <c r="BP268" s="4">
        <f t="shared" si="168"/>
        <v>0</v>
      </c>
      <c r="BQ268" s="4">
        <f t="shared" si="169"/>
        <v>0</v>
      </c>
      <c r="BR268" s="4">
        <f t="shared" si="170"/>
        <v>0</v>
      </c>
      <c r="BS268" s="4">
        <f t="shared" si="171"/>
        <v>0</v>
      </c>
      <c r="BT268" s="4">
        <f t="shared" si="172"/>
        <v>0</v>
      </c>
      <c r="BU268" s="4">
        <f t="shared" si="173"/>
        <v>0</v>
      </c>
      <c r="BV268" s="4">
        <f t="shared" si="174"/>
        <v>0</v>
      </c>
      <c r="BW268" s="4">
        <f t="shared" si="175"/>
        <v>0</v>
      </c>
      <c r="BX268" s="4">
        <f t="shared" si="176"/>
        <v>0</v>
      </c>
      <c r="BY268" s="4">
        <f t="shared" si="177"/>
        <v>0</v>
      </c>
      <c r="BZ268" s="4">
        <f t="shared" si="178"/>
        <v>0</v>
      </c>
      <c r="CA268" s="4">
        <f t="shared" si="179"/>
        <v>0</v>
      </c>
      <c r="CB268" s="4">
        <f t="shared" si="180"/>
        <v>0</v>
      </c>
      <c r="CC268" s="4">
        <f t="shared" si="181"/>
        <v>0</v>
      </c>
      <c r="CD268" s="4">
        <f t="shared" si="182"/>
        <v>0</v>
      </c>
      <c r="CE268" s="4">
        <f t="shared" si="183"/>
        <v>0</v>
      </c>
      <c r="CF268" s="4">
        <f t="shared" si="184"/>
        <v>0</v>
      </c>
      <c r="CG268" s="4">
        <f t="shared" si="185"/>
        <v>0</v>
      </c>
      <c r="CH268" s="4">
        <f t="shared" si="186"/>
        <v>0</v>
      </c>
      <c r="CI268" s="4">
        <f t="shared" si="187"/>
        <v>0</v>
      </c>
      <c r="CJ268" s="4">
        <f t="shared" si="188"/>
        <v>0</v>
      </c>
      <c r="CK268" s="4">
        <f t="shared" si="189"/>
        <v>0</v>
      </c>
      <c r="CL268" s="4">
        <f t="shared" si="190"/>
        <v>0</v>
      </c>
      <c r="CM268" s="4">
        <f t="shared" si="191"/>
        <v>0</v>
      </c>
      <c r="CN268" s="4">
        <f t="shared" si="192"/>
        <v>0</v>
      </c>
      <c r="CO268" s="4">
        <f t="shared" si="193"/>
        <v>0</v>
      </c>
      <c r="CP268" s="4">
        <f t="shared" si="194"/>
        <v>0</v>
      </c>
      <c r="CQ268" s="4">
        <f t="shared" si="195"/>
        <v>0</v>
      </c>
      <c r="CR268" s="4">
        <f t="shared" si="196"/>
        <v>0</v>
      </c>
      <c r="CS268" s="4">
        <f t="shared" si="197"/>
        <v>0</v>
      </c>
      <c r="CT268" s="4">
        <f t="shared" si="198"/>
        <v>0</v>
      </c>
      <c r="CU268" s="4">
        <f t="shared" si="199"/>
        <v>0</v>
      </c>
      <c r="CV268" s="4">
        <f t="shared" si="200"/>
        <v>0</v>
      </c>
      <c r="CW268" s="4">
        <f t="shared" si="201"/>
        <v>0</v>
      </c>
      <c r="CX268" s="4">
        <f t="shared" si="202"/>
        <v>0</v>
      </c>
      <c r="CY268" s="4">
        <f t="shared" si="203"/>
        <v>0</v>
      </c>
      <c r="CZ268" s="4">
        <f t="shared" si="204"/>
        <v>0</v>
      </c>
      <c r="DA268" s="4">
        <f t="shared" si="205"/>
        <v>0</v>
      </c>
      <c r="DB268" s="4">
        <f t="shared" si="206"/>
        <v>0</v>
      </c>
      <c r="DC268" s="4">
        <f t="shared" si="207"/>
        <v>0</v>
      </c>
      <c r="DD268" s="4">
        <f t="shared" si="208"/>
        <v>0</v>
      </c>
    </row>
    <row r="269" spans="1:108" x14ac:dyDescent="0.25">
      <c r="A269" s="41" t="str">
        <f>Skills!M251</f>
        <v>Heraldry Lore</v>
      </c>
      <c r="B269" s="57" t="str">
        <f>Skills!N251</f>
        <v>Heraldry Lore</v>
      </c>
      <c r="C269" s="24">
        <f t="shared" si="209"/>
        <v>0</v>
      </c>
      <c r="D269" s="110">
        <f>Skills!S251</f>
        <v>0</v>
      </c>
      <c r="E269" s="111" t="e">
        <f>Profession!B128</f>
        <v>#REF!</v>
      </c>
      <c r="F269" s="18"/>
      <c r="G269" s="18"/>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49"/>
      <c r="BF269" s="4">
        <f t="shared" si="159"/>
        <v>0</v>
      </c>
      <c r="BG269" s="4">
        <f t="shared" si="159"/>
        <v>0</v>
      </c>
      <c r="BH269" s="4">
        <f t="shared" si="160"/>
        <v>0</v>
      </c>
      <c r="BI269" s="4">
        <f t="shared" si="161"/>
        <v>0</v>
      </c>
      <c r="BJ269" s="4">
        <f t="shared" si="162"/>
        <v>0</v>
      </c>
      <c r="BK269" s="4">
        <f t="shared" si="163"/>
        <v>0</v>
      </c>
      <c r="BL269" s="4">
        <f t="shared" si="164"/>
        <v>0</v>
      </c>
      <c r="BM269" s="4">
        <f t="shared" si="165"/>
        <v>0</v>
      </c>
      <c r="BN269" s="4">
        <f t="shared" si="166"/>
        <v>0</v>
      </c>
      <c r="BO269" s="4">
        <f t="shared" si="167"/>
        <v>0</v>
      </c>
      <c r="BP269" s="4">
        <f t="shared" si="168"/>
        <v>0</v>
      </c>
      <c r="BQ269" s="4">
        <f t="shared" si="169"/>
        <v>0</v>
      </c>
      <c r="BR269" s="4">
        <f t="shared" si="170"/>
        <v>0</v>
      </c>
      <c r="BS269" s="4">
        <f t="shared" si="171"/>
        <v>0</v>
      </c>
      <c r="BT269" s="4">
        <f t="shared" si="172"/>
        <v>0</v>
      </c>
      <c r="BU269" s="4">
        <f t="shared" si="173"/>
        <v>0</v>
      </c>
      <c r="BV269" s="4">
        <f t="shared" si="174"/>
        <v>0</v>
      </c>
      <c r="BW269" s="4">
        <f t="shared" si="175"/>
        <v>0</v>
      </c>
      <c r="BX269" s="4">
        <f t="shared" si="176"/>
        <v>0</v>
      </c>
      <c r="BY269" s="4">
        <f t="shared" si="177"/>
        <v>0</v>
      </c>
      <c r="BZ269" s="4">
        <f t="shared" si="178"/>
        <v>0</v>
      </c>
      <c r="CA269" s="4">
        <f t="shared" si="179"/>
        <v>0</v>
      </c>
      <c r="CB269" s="4">
        <f t="shared" si="180"/>
        <v>0</v>
      </c>
      <c r="CC269" s="4">
        <f t="shared" si="181"/>
        <v>0</v>
      </c>
      <c r="CD269" s="4">
        <f t="shared" si="182"/>
        <v>0</v>
      </c>
      <c r="CE269" s="4">
        <f t="shared" si="183"/>
        <v>0</v>
      </c>
      <c r="CF269" s="4">
        <f t="shared" si="184"/>
        <v>0</v>
      </c>
      <c r="CG269" s="4">
        <f t="shared" si="185"/>
        <v>0</v>
      </c>
      <c r="CH269" s="4">
        <f t="shared" si="186"/>
        <v>0</v>
      </c>
      <c r="CI269" s="4">
        <f t="shared" si="187"/>
        <v>0</v>
      </c>
      <c r="CJ269" s="4">
        <f t="shared" si="188"/>
        <v>0</v>
      </c>
      <c r="CK269" s="4">
        <f t="shared" si="189"/>
        <v>0</v>
      </c>
      <c r="CL269" s="4">
        <f t="shared" si="190"/>
        <v>0</v>
      </c>
      <c r="CM269" s="4">
        <f t="shared" si="191"/>
        <v>0</v>
      </c>
      <c r="CN269" s="4">
        <f t="shared" si="192"/>
        <v>0</v>
      </c>
      <c r="CO269" s="4">
        <f t="shared" si="193"/>
        <v>0</v>
      </c>
      <c r="CP269" s="4">
        <f t="shared" si="194"/>
        <v>0</v>
      </c>
      <c r="CQ269" s="4">
        <f t="shared" si="195"/>
        <v>0</v>
      </c>
      <c r="CR269" s="4">
        <f t="shared" si="196"/>
        <v>0</v>
      </c>
      <c r="CS269" s="4">
        <f t="shared" si="197"/>
        <v>0</v>
      </c>
      <c r="CT269" s="4">
        <f t="shared" si="198"/>
        <v>0</v>
      </c>
      <c r="CU269" s="4">
        <f t="shared" si="199"/>
        <v>0</v>
      </c>
      <c r="CV269" s="4">
        <f t="shared" si="200"/>
        <v>0</v>
      </c>
      <c r="CW269" s="4">
        <f t="shared" si="201"/>
        <v>0</v>
      </c>
      <c r="CX269" s="4">
        <f t="shared" si="202"/>
        <v>0</v>
      </c>
      <c r="CY269" s="4">
        <f t="shared" si="203"/>
        <v>0</v>
      </c>
      <c r="CZ269" s="4">
        <f t="shared" si="204"/>
        <v>0</v>
      </c>
      <c r="DA269" s="4">
        <f t="shared" si="205"/>
        <v>0</v>
      </c>
      <c r="DB269" s="4">
        <f t="shared" si="206"/>
        <v>0</v>
      </c>
      <c r="DC269" s="4">
        <f t="shared" si="207"/>
        <v>0</v>
      </c>
      <c r="DD269" s="4">
        <f t="shared" si="208"/>
        <v>0</v>
      </c>
    </row>
    <row r="270" spans="1:108" x14ac:dyDescent="0.25">
      <c r="A270" s="41" t="str">
        <f>Skills!M252</f>
        <v>Historic Lore</v>
      </c>
      <c r="B270" s="55" t="str">
        <f>Skills!N252</f>
        <v>Historic Lore</v>
      </c>
      <c r="C270" s="22">
        <f t="shared" si="209"/>
        <v>0</v>
      </c>
      <c r="D270" s="112">
        <f>Skills!S252</f>
        <v>0</v>
      </c>
      <c r="E270" s="113" t="e">
        <f>Profession!B129</f>
        <v>#REF!</v>
      </c>
      <c r="F270" s="19"/>
      <c r="G270" s="19"/>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56"/>
      <c r="BF270" s="4">
        <f t="shared" si="159"/>
        <v>0</v>
      </c>
      <c r="BG270" s="4">
        <f t="shared" si="159"/>
        <v>0</v>
      </c>
      <c r="BH270" s="4">
        <f t="shared" si="160"/>
        <v>0</v>
      </c>
      <c r="BI270" s="4">
        <f t="shared" si="161"/>
        <v>0</v>
      </c>
      <c r="BJ270" s="4">
        <f t="shared" si="162"/>
        <v>0</v>
      </c>
      <c r="BK270" s="4">
        <f t="shared" si="163"/>
        <v>0</v>
      </c>
      <c r="BL270" s="4">
        <f t="shared" si="164"/>
        <v>0</v>
      </c>
      <c r="BM270" s="4">
        <f t="shared" si="165"/>
        <v>0</v>
      </c>
      <c r="BN270" s="4">
        <f t="shared" si="166"/>
        <v>0</v>
      </c>
      <c r="BO270" s="4">
        <f t="shared" si="167"/>
        <v>0</v>
      </c>
      <c r="BP270" s="4">
        <f t="shared" si="168"/>
        <v>0</v>
      </c>
      <c r="BQ270" s="4">
        <f t="shared" si="169"/>
        <v>0</v>
      </c>
      <c r="BR270" s="4">
        <f t="shared" si="170"/>
        <v>0</v>
      </c>
      <c r="BS270" s="4">
        <f t="shared" si="171"/>
        <v>0</v>
      </c>
      <c r="BT270" s="4">
        <f t="shared" si="172"/>
        <v>0</v>
      </c>
      <c r="BU270" s="4">
        <f t="shared" si="173"/>
        <v>0</v>
      </c>
      <c r="BV270" s="4">
        <f t="shared" si="174"/>
        <v>0</v>
      </c>
      <c r="BW270" s="4">
        <f t="shared" si="175"/>
        <v>0</v>
      </c>
      <c r="BX270" s="4">
        <f t="shared" si="176"/>
        <v>0</v>
      </c>
      <c r="BY270" s="4">
        <f t="shared" si="177"/>
        <v>0</v>
      </c>
      <c r="BZ270" s="4">
        <f t="shared" si="178"/>
        <v>0</v>
      </c>
      <c r="CA270" s="4">
        <f t="shared" si="179"/>
        <v>0</v>
      </c>
      <c r="CB270" s="4">
        <f t="shared" si="180"/>
        <v>0</v>
      </c>
      <c r="CC270" s="4">
        <f t="shared" si="181"/>
        <v>0</v>
      </c>
      <c r="CD270" s="4">
        <f t="shared" si="182"/>
        <v>0</v>
      </c>
      <c r="CE270" s="4">
        <f t="shared" si="183"/>
        <v>0</v>
      </c>
      <c r="CF270" s="4">
        <f t="shared" si="184"/>
        <v>0</v>
      </c>
      <c r="CG270" s="4">
        <f t="shared" si="185"/>
        <v>0</v>
      </c>
      <c r="CH270" s="4">
        <f t="shared" si="186"/>
        <v>0</v>
      </c>
      <c r="CI270" s="4">
        <f t="shared" si="187"/>
        <v>0</v>
      </c>
      <c r="CJ270" s="4">
        <f t="shared" si="188"/>
        <v>0</v>
      </c>
      <c r="CK270" s="4">
        <f t="shared" si="189"/>
        <v>0</v>
      </c>
      <c r="CL270" s="4">
        <f t="shared" si="190"/>
        <v>0</v>
      </c>
      <c r="CM270" s="4">
        <f t="shared" si="191"/>
        <v>0</v>
      </c>
      <c r="CN270" s="4">
        <f t="shared" si="192"/>
        <v>0</v>
      </c>
      <c r="CO270" s="4">
        <f t="shared" si="193"/>
        <v>0</v>
      </c>
      <c r="CP270" s="4">
        <f t="shared" si="194"/>
        <v>0</v>
      </c>
      <c r="CQ270" s="4">
        <f t="shared" si="195"/>
        <v>0</v>
      </c>
      <c r="CR270" s="4">
        <f t="shared" si="196"/>
        <v>0</v>
      </c>
      <c r="CS270" s="4">
        <f t="shared" si="197"/>
        <v>0</v>
      </c>
      <c r="CT270" s="4">
        <f t="shared" si="198"/>
        <v>0</v>
      </c>
      <c r="CU270" s="4">
        <f t="shared" si="199"/>
        <v>0</v>
      </c>
      <c r="CV270" s="4">
        <f t="shared" si="200"/>
        <v>0</v>
      </c>
      <c r="CW270" s="4">
        <f t="shared" si="201"/>
        <v>0</v>
      </c>
      <c r="CX270" s="4">
        <f t="shared" si="202"/>
        <v>0</v>
      </c>
      <c r="CY270" s="4">
        <f t="shared" si="203"/>
        <v>0</v>
      </c>
      <c r="CZ270" s="4">
        <f t="shared" si="204"/>
        <v>0</v>
      </c>
      <c r="DA270" s="4">
        <f t="shared" si="205"/>
        <v>0</v>
      </c>
      <c r="DB270" s="4">
        <f t="shared" si="206"/>
        <v>0</v>
      </c>
      <c r="DC270" s="4">
        <f t="shared" si="207"/>
        <v>0</v>
      </c>
      <c r="DD270" s="4">
        <f t="shared" si="208"/>
        <v>0</v>
      </c>
    </row>
    <row r="271" spans="1:108" x14ac:dyDescent="0.25">
      <c r="A271" s="41" t="str">
        <f>Skills!M253</f>
        <v>Lock Lore</v>
      </c>
      <c r="B271" s="57" t="str">
        <f>Skills!N253</f>
        <v>Lock Lore</v>
      </c>
      <c r="C271" s="24">
        <f t="shared" si="209"/>
        <v>0</v>
      </c>
      <c r="D271" s="110">
        <f>Skills!S253</f>
        <v>0</v>
      </c>
      <c r="E271" s="111" t="e">
        <f>Profession!B130</f>
        <v>#REF!</v>
      </c>
      <c r="F271" s="18"/>
      <c r="G271" s="18"/>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49"/>
      <c r="BF271" s="4">
        <f t="shared" si="159"/>
        <v>0</v>
      </c>
      <c r="BG271" s="4">
        <f t="shared" si="159"/>
        <v>0</v>
      </c>
      <c r="BH271" s="4">
        <f t="shared" si="160"/>
        <v>0</v>
      </c>
      <c r="BI271" s="4">
        <f t="shared" si="161"/>
        <v>0</v>
      </c>
      <c r="BJ271" s="4">
        <f t="shared" si="162"/>
        <v>0</v>
      </c>
      <c r="BK271" s="4">
        <f t="shared" si="163"/>
        <v>0</v>
      </c>
      <c r="BL271" s="4">
        <f t="shared" si="164"/>
        <v>0</v>
      </c>
      <c r="BM271" s="4">
        <f t="shared" si="165"/>
        <v>0</v>
      </c>
      <c r="BN271" s="4">
        <f t="shared" si="166"/>
        <v>0</v>
      </c>
      <c r="BO271" s="4">
        <f t="shared" si="167"/>
        <v>0</v>
      </c>
      <c r="BP271" s="4">
        <f t="shared" si="168"/>
        <v>0</v>
      </c>
      <c r="BQ271" s="4">
        <f t="shared" si="169"/>
        <v>0</v>
      </c>
      <c r="BR271" s="4">
        <f t="shared" si="170"/>
        <v>0</v>
      </c>
      <c r="BS271" s="4">
        <f t="shared" si="171"/>
        <v>0</v>
      </c>
      <c r="BT271" s="4">
        <f t="shared" si="172"/>
        <v>0</v>
      </c>
      <c r="BU271" s="4">
        <f t="shared" si="173"/>
        <v>0</v>
      </c>
      <c r="BV271" s="4">
        <f t="shared" si="174"/>
        <v>0</v>
      </c>
      <c r="BW271" s="4">
        <f t="shared" si="175"/>
        <v>0</v>
      </c>
      <c r="BX271" s="4">
        <f t="shared" si="176"/>
        <v>0</v>
      </c>
      <c r="BY271" s="4">
        <f t="shared" si="177"/>
        <v>0</v>
      </c>
      <c r="BZ271" s="4">
        <f t="shared" si="178"/>
        <v>0</v>
      </c>
      <c r="CA271" s="4">
        <f t="shared" si="179"/>
        <v>0</v>
      </c>
      <c r="CB271" s="4">
        <f t="shared" si="180"/>
        <v>0</v>
      </c>
      <c r="CC271" s="4">
        <f t="shared" si="181"/>
        <v>0</v>
      </c>
      <c r="CD271" s="4">
        <f t="shared" si="182"/>
        <v>0</v>
      </c>
      <c r="CE271" s="4">
        <f t="shared" si="183"/>
        <v>0</v>
      </c>
      <c r="CF271" s="4">
        <f t="shared" si="184"/>
        <v>0</v>
      </c>
      <c r="CG271" s="4">
        <f t="shared" si="185"/>
        <v>0</v>
      </c>
      <c r="CH271" s="4">
        <f t="shared" si="186"/>
        <v>0</v>
      </c>
      <c r="CI271" s="4">
        <f t="shared" si="187"/>
        <v>0</v>
      </c>
      <c r="CJ271" s="4">
        <f t="shared" si="188"/>
        <v>0</v>
      </c>
      <c r="CK271" s="4">
        <f t="shared" si="189"/>
        <v>0</v>
      </c>
      <c r="CL271" s="4">
        <f t="shared" si="190"/>
        <v>0</v>
      </c>
      <c r="CM271" s="4">
        <f t="shared" si="191"/>
        <v>0</v>
      </c>
      <c r="CN271" s="4">
        <f t="shared" si="192"/>
        <v>0</v>
      </c>
      <c r="CO271" s="4">
        <f t="shared" si="193"/>
        <v>0</v>
      </c>
      <c r="CP271" s="4">
        <f t="shared" si="194"/>
        <v>0</v>
      </c>
      <c r="CQ271" s="4">
        <f t="shared" si="195"/>
        <v>0</v>
      </c>
      <c r="CR271" s="4">
        <f t="shared" si="196"/>
        <v>0</v>
      </c>
      <c r="CS271" s="4">
        <f t="shared" si="197"/>
        <v>0</v>
      </c>
      <c r="CT271" s="4">
        <f t="shared" si="198"/>
        <v>0</v>
      </c>
      <c r="CU271" s="4">
        <f t="shared" si="199"/>
        <v>0</v>
      </c>
      <c r="CV271" s="4">
        <f t="shared" si="200"/>
        <v>0</v>
      </c>
      <c r="CW271" s="4">
        <f t="shared" si="201"/>
        <v>0</v>
      </c>
      <c r="CX271" s="4">
        <f t="shared" si="202"/>
        <v>0</v>
      </c>
      <c r="CY271" s="4">
        <f t="shared" si="203"/>
        <v>0</v>
      </c>
      <c r="CZ271" s="4">
        <f t="shared" si="204"/>
        <v>0</v>
      </c>
      <c r="DA271" s="4">
        <f t="shared" si="205"/>
        <v>0</v>
      </c>
      <c r="DB271" s="4">
        <f t="shared" si="206"/>
        <v>0</v>
      </c>
      <c r="DC271" s="4">
        <f t="shared" si="207"/>
        <v>0</v>
      </c>
      <c r="DD271" s="4">
        <f t="shared" si="208"/>
        <v>0</v>
      </c>
    </row>
    <row r="272" spans="1:108" x14ac:dyDescent="0.25">
      <c r="A272" s="41" t="str">
        <f>Skills!M254</f>
        <v>Philosophy Lore</v>
      </c>
      <c r="B272" s="55" t="str">
        <f>Skills!N254</f>
        <v>Philosophy Lore</v>
      </c>
      <c r="C272" s="22">
        <f t="shared" si="209"/>
        <v>0</v>
      </c>
      <c r="D272" s="112">
        <f>Skills!S254</f>
        <v>0</v>
      </c>
      <c r="E272" s="113" t="e">
        <f>Profession!B131</f>
        <v>#REF!</v>
      </c>
      <c r="F272" s="19"/>
      <c r="G272" s="19"/>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56"/>
      <c r="BF272" s="4">
        <f t="shared" si="159"/>
        <v>0</v>
      </c>
      <c r="BG272" s="4">
        <f t="shared" si="159"/>
        <v>0</v>
      </c>
      <c r="BH272" s="4">
        <f t="shared" si="160"/>
        <v>0</v>
      </c>
      <c r="BI272" s="4">
        <f t="shared" si="161"/>
        <v>0</v>
      </c>
      <c r="BJ272" s="4">
        <f t="shared" si="162"/>
        <v>0</v>
      </c>
      <c r="BK272" s="4">
        <f t="shared" si="163"/>
        <v>0</v>
      </c>
      <c r="BL272" s="4">
        <f t="shared" si="164"/>
        <v>0</v>
      </c>
      <c r="BM272" s="4">
        <f t="shared" si="165"/>
        <v>0</v>
      </c>
      <c r="BN272" s="4">
        <f t="shared" si="166"/>
        <v>0</v>
      </c>
      <c r="BO272" s="4">
        <f t="shared" si="167"/>
        <v>0</v>
      </c>
      <c r="BP272" s="4">
        <f t="shared" si="168"/>
        <v>0</v>
      </c>
      <c r="BQ272" s="4">
        <f t="shared" si="169"/>
        <v>0</v>
      </c>
      <c r="BR272" s="4">
        <f t="shared" si="170"/>
        <v>0</v>
      </c>
      <c r="BS272" s="4">
        <f t="shared" si="171"/>
        <v>0</v>
      </c>
      <c r="BT272" s="4">
        <f t="shared" si="172"/>
        <v>0</v>
      </c>
      <c r="BU272" s="4">
        <f t="shared" si="173"/>
        <v>0</v>
      </c>
      <c r="BV272" s="4">
        <f t="shared" si="174"/>
        <v>0</v>
      </c>
      <c r="BW272" s="4">
        <f t="shared" si="175"/>
        <v>0</v>
      </c>
      <c r="BX272" s="4">
        <f t="shared" si="176"/>
        <v>0</v>
      </c>
      <c r="BY272" s="4">
        <f t="shared" si="177"/>
        <v>0</v>
      </c>
      <c r="BZ272" s="4">
        <f t="shared" si="178"/>
        <v>0</v>
      </c>
      <c r="CA272" s="4">
        <f t="shared" si="179"/>
        <v>0</v>
      </c>
      <c r="CB272" s="4">
        <f t="shared" si="180"/>
        <v>0</v>
      </c>
      <c r="CC272" s="4">
        <f t="shared" si="181"/>
        <v>0</v>
      </c>
      <c r="CD272" s="4">
        <f t="shared" si="182"/>
        <v>0</v>
      </c>
      <c r="CE272" s="4">
        <f t="shared" si="183"/>
        <v>0</v>
      </c>
      <c r="CF272" s="4">
        <f t="shared" si="184"/>
        <v>0</v>
      </c>
      <c r="CG272" s="4">
        <f t="shared" si="185"/>
        <v>0</v>
      </c>
      <c r="CH272" s="4">
        <f t="shared" si="186"/>
        <v>0</v>
      </c>
      <c r="CI272" s="4">
        <f t="shared" si="187"/>
        <v>0</v>
      </c>
      <c r="CJ272" s="4">
        <f t="shared" si="188"/>
        <v>0</v>
      </c>
      <c r="CK272" s="4">
        <f t="shared" si="189"/>
        <v>0</v>
      </c>
      <c r="CL272" s="4">
        <f t="shared" si="190"/>
        <v>0</v>
      </c>
      <c r="CM272" s="4">
        <f t="shared" si="191"/>
        <v>0</v>
      </c>
      <c r="CN272" s="4">
        <f t="shared" si="192"/>
        <v>0</v>
      </c>
      <c r="CO272" s="4">
        <f t="shared" si="193"/>
        <v>0</v>
      </c>
      <c r="CP272" s="4">
        <f t="shared" si="194"/>
        <v>0</v>
      </c>
      <c r="CQ272" s="4">
        <f t="shared" si="195"/>
        <v>0</v>
      </c>
      <c r="CR272" s="4">
        <f t="shared" si="196"/>
        <v>0</v>
      </c>
      <c r="CS272" s="4">
        <f t="shared" si="197"/>
        <v>0</v>
      </c>
      <c r="CT272" s="4">
        <f t="shared" si="198"/>
        <v>0</v>
      </c>
      <c r="CU272" s="4">
        <f t="shared" si="199"/>
        <v>0</v>
      </c>
      <c r="CV272" s="4">
        <f t="shared" si="200"/>
        <v>0</v>
      </c>
      <c r="CW272" s="4">
        <f t="shared" si="201"/>
        <v>0</v>
      </c>
      <c r="CX272" s="4">
        <f t="shared" si="202"/>
        <v>0</v>
      </c>
      <c r="CY272" s="4">
        <f t="shared" si="203"/>
        <v>0</v>
      </c>
      <c r="CZ272" s="4">
        <f t="shared" si="204"/>
        <v>0</v>
      </c>
      <c r="DA272" s="4">
        <f t="shared" si="205"/>
        <v>0</v>
      </c>
      <c r="DB272" s="4">
        <f t="shared" si="206"/>
        <v>0</v>
      </c>
      <c r="DC272" s="4">
        <f t="shared" si="207"/>
        <v>0</v>
      </c>
      <c r="DD272" s="4">
        <f t="shared" si="208"/>
        <v>0</v>
      </c>
    </row>
    <row r="273" spans="1:108" x14ac:dyDescent="0.25">
      <c r="A273" s="41" t="str">
        <f>Skills!M255</f>
        <v>Poisons Lore</v>
      </c>
      <c r="B273" s="57" t="str">
        <f>Skills!N255</f>
        <v>Poisons Lore</v>
      </c>
      <c r="C273" s="24">
        <f t="shared" si="209"/>
        <v>0</v>
      </c>
      <c r="D273" s="110">
        <f>Skills!S255</f>
        <v>0</v>
      </c>
      <c r="E273" s="111" t="e">
        <f>Profession!B132</f>
        <v>#REF!</v>
      </c>
      <c r="F273" s="18"/>
      <c r="G273" s="18"/>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49"/>
      <c r="BF273" s="4">
        <f t="shared" si="159"/>
        <v>0</v>
      </c>
      <c r="BG273" s="4">
        <f t="shared" si="159"/>
        <v>0</v>
      </c>
      <c r="BH273" s="4">
        <f t="shared" si="160"/>
        <v>0</v>
      </c>
      <c r="BI273" s="4">
        <f t="shared" si="161"/>
        <v>0</v>
      </c>
      <c r="BJ273" s="4">
        <f t="shared" si="162"/>
        <v>0</v>
      </c>
      <c r="BK273" s="4">
        <f t="shared" si="163"/>
        <v>0</v>
      </c>
      <c r="BL273" s="4">
        <f t="shared" si="164"/>
        <v>0</v>
      </c>
      <c r="BM273" s="4">
        <f t="shared" si="165"/>
        <v>0</v>
      </c>
      <c r="BN273" s="4">
        <f t="shared" si="166"/>
        <v>0</v>
      </c>
      <c r="BO273" s="4">
        <f t="shared" si="167"/>
        <v>0</v>
      </c>
      <c r="BP273" s="4">
        <f t="shared" si="168"/>
        <v>0</v>
      </c>
      <c r="BQ273" s="4">
        <f t="shared" si="169"/>
        <v>0</v>
      </c>
      <c r="BR273" s="4">
        <f t="shared" si="170"/>
        <v>0</v>
      </c>
      <c r="BS273" s="4">
        <f t="shared" si="171"/>
        <v>0</v>
      </c>
      <c r="BT273" s="4">
        <f t="shared" si="172"/>
        <v>0</v>
      </c>
      <c r="BU273" s="4">
        <f t="shared" si="173"/>
        <v>0</v>
      </c>
      <c r="BV273" s="4">
        <f t="shared" si="174"/>
        <v>0</v>
      </c>
      <c r="BW273" s="4">
        <f t="shared" si="175"/>
        <v>0</v>
      </c>
      <c r="BX273" s="4">
        <f t="shared" si="176"/>
        <v>0</v>
      </c>
      <c r="BY273" s="4">
        <f t="shared" si="177"/>
        <v>0</v>
      </c>
      <c r="BZ273" s="4">
        <f t="shared" si="178"/>
        <v>0</v>
      </c>
      <c r="CA273" s="4">
        <f t="shared" si="179"/>
        <v>0</v>
      </c>
      <c r="CB273" s="4">
        <f t="shared" si="180"/>
        <v>0</v>
      </c>
      <c r="CC273" s="4">
        <f t="shared" si="181"/>
        <v>0</v>
      </c>
      <c r="CD273" s="4">
        <f t="shared" si="182"/>
        <v>0</v>
      </c>
      <c r="CE273" s="4">
        <f t="shared" si="183"/>
        <v>0</v>
      </c>
      <c r="CF273" s="4">
        <f t="shared" si="184"/>
        <v>0</v>
      </c>
      <c r="CG273" s="4">
        <f t="shared" si="185"/>
        <v>0</v>
      </c>
      <c r="CH273" s="4">
        <f t="shared" si="186"/>
        <v>0</v>
      </c>
      <c r="CI273" s="4">
        <f t="shared" si="187"/>
        <v>0</v>
      </c>
      <c r="CJ273" s="4">
        <f t="shared" si="188"/>
        <v>0</v>
      </c>
      <c r="CK273" s="4">
        <f t="shared" si="189"/>
        <v>0</v>
      </c>
      <c r="CL273" s="4">
        <f t="shared" si="190"/>
        <v>0</v>
      </c>
      <c r="CM273" s="4">
        <f t="shared" si="191"/>
        <v>0</v>
      </c>
      <c r="CN273" s="4">
        <f t="shared" si="192"/>
        <v>0</v>
      </c>
      <c r="CO273" s="4">
        <f t="shared" si="193"/>
        <v>0</v>
      </c>
      <c r="CP273" s="4">
        <f t="shared" si="194"/>
        <v>0</v>
      </c>
      <c r="CQ273" s="4">
        <f t="shared" si="195"/>
        <v>0</v>
      </c>
      <c r="CR273" s="4">
        <f t="shared" si="196"/>
        <v>0</v>
      </c>
      <c r="CS273" s="4">
        <f t="shared" si="197"/>
        <v>0</v>
      </c>
      <c r="CT273" s="4">
        <f t="shared" si="198"/>
        <v>0</v>
      </c>
      <c r="CU273" s="4">
        <f t="shared" si="199"/>
        <v>0</v>
      </c>
      <c r="CV273" s="4">
        <f t="shared" si="200"/>
        <v>0</v>
      </c>
      <c r="CW273" s="4">
        <f t="shared" si="201"/>
        <v>0</v>
      </c>
      <c r="CX273" s="4">
        <f t="shared" si="202"/>
        <v>0</v>
      </c>
      <c r="CY273" s="4">
        <f t="shared" si="203"/>
        <v>0</v>
      </c>
      <c r="CZ273" s="4">
        <f t="shared" si="204"/>
        <v>0</v>
      </c>
      <c r="DA273" s="4">
        <f t="shared" si="205"/>
        <v>0</v>
      </c>
      <c r="DB273" s="4">
        <f t="shared" si="206"/>
        <v>0</v>
      </c>
      <c r="DC273" s="4">
        <f t="shared" si="207"/>
        <v>0</v>
      </c>
      <c r="DD273" s="4">
        <f t="shared" si="208"/>
        <v>0</v>
      </c>
    </row>
    <row r="274" spans="1:108" x14ac:dyDescent="0.25">
      <c r="A274" s="41" t="str">
        <f>Skills!M256</f>
        <v>Magic Lore</v>
      </c>
      <c r="B274" s="55" t="str">
        <f>Skills!N256</f>
        <v>Magic Lore</v>
      </c>
      <c r="C274" s="22">
        <f t="shared" si="209"/>
        <v>0</v>
      </c>
      <c r="D274" s="112">
        <f>Skills!S256</f>
        <v>0</v>
      </c>
      <c r="E274" s="113" t="e">
        <f>Profession!B133</f>
        <v>#REF!</v>
      </c>
      <c r="F274" s="19"/>
      <c r="G274" s="19"/>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56"/>
      <c r="BF274" s="4">
        <f t="shared" si="159"/>
        <v>0</v>
      </c>
      <c r="BG274" s="4">
        <f t="shared" si="159"/>
        <v>0</v>
      </c>
      <c r="BH274" s="4">
        <f t="shared" si="160"/>
        <v>0</v>
      </c>
      <c r="BI274" s="4">
        <f t="shared" si="161"/>
        <v>0</v>
      </c>
      <c r="BJ274" s="4">
        <f t="shared" si="162"/>
        <v>0</v>
      </c>
      <c r="BK274" s="4">
        <f t="shared" si="163"/>
        <v>0</v>
      </c>
      <c r="BL274" s="4">
        <f t="shared" si="164"/>
        <v>0</v>
      </c>
      <c r="BM274" s="4">
        <f t="shared" si="165"/>
        <v>0</v>
      </c>
      <c r="BN274" s="4">
        <f t="shared" si="166"/>
        <v>0</v>
      </c>
      <c r="BO274" s="4">
        <f t="shared" si="167"/>
        <v>0</v>
      </c>
      <c r="BP274" s="4">
        <f t="shared" si="168"/>
        <v>0</v>
      </c>
      <c r="BQ274" s="4">
        <f t="shared" si="169"/>
        <v>0</v>
      </c>
      <c r="BR274" s="4">
        <f t="shared" si="170"/>
        <v>0</v>
      </c>
      <c r="BS274" s="4">
        <f t="shared" si="171"/>
        <v>0</v>
      </c>
      <c r="BT274" s="4">
        <f t="shared" si="172"/>
        <v>0</v>
      </c>
      <c r="BU274" s="4">
        <f t="shared" si="173"/>
        <v>0</v>
      </c>
      <c r="BV274" s="4">
        <f t="shared" si="174"/>
        <v>0</v>
      </c>
      <c r="BW274" s="4">
        <f t="shared" si="175"/>
        <v>0</v>
      </c>
      <c r="BX274" s="4">
        <f t="shared" si="176"/>
        <v>0</v>
      </c>
      <c r="BY274" s="4">
        <f t="shared" si="177"/>
        <v>0</v>
      </c>
      <c r="BZ274" s="4">
        <f t="shared" si="178"/>
        <v>0</v>
      </c>
      <c r="CA274" s="4">
        <f t="shared" si="179"/>
        <v>0</v>
      </c>
      <c r="CB274" s="4">
        <f t="shared" si="180"/>
        <v>0</v>
      </c>
      <c r="CC274" s="4">
        <f t="shared" si="181"/>
        <v>0</v>
      </c>
      <c r="CD274" s="4">
        <f t="shared" si="182"/>
        <v>0</v>
      </c>
      <c r="CE274" s="4">
        <f t="shared" si="183"/>
        <v>0</v>
      </c>
      <c r="CF274" s="4">
        <f t="shared" si="184"/>
        <v>0</v>
      </c>
      <c r="CG274" s="4">
        <f t="shared" si="185"/>
        <v>0</v>
      </c>
      <c r="CH274" s="4">
        <f t="shared" si="186"/>
        <v>0</v>
      </c>
      <c r="CI274" s="4">
        <f t="shared" si="187"/>
        <v>0</v>
      </c>
      <c r="CJ274" s="4">
        <f t="shared" si="188"/>
        <v>0</v>
      </c>
      <c r="CK274" s="4">
        <f t="shared" si="189"/>
        <v>0</v>
      </c>
      <c r="CL274" s="4">
        <f t="shared" si="190"/>
        <v>0</v>
      </c>
      <c r="CM274" s="4">
        <f t="shared" si="191"/>
        <v>0</v>
      </c>
      <c r="CN274" s="4">
        <f t="shared" si="192"/>
        <v>0</v>
      </c>
      <c r="CO274" s="4">
        <f t="shared" si="193"/>
        <v>0</v>
      </c>
      <c r="CP274" s="4">
        <f t="shared" si="194"/>
        <v>0</v>
      </c>
      <c r="CQ274" s="4">
        <f t="shared" si="195"/>
        <v>0</v>
      </c>
      <c r="CR274" s="4">
        <f t="shared" si="196"/>
        <v>0</v>
      </c>
      <c r="CS274" s="4">
        <f t="shared" si="197"/>
        <v>0</v>
      </c>
      <c r="CT274" s="4">
        <f t="shared" si="198"/>
        <v>0</v>
      </c>
      <c r="CU274" s="4">
        <f t="shared" si="199"/>
        <v>0</v>
      </c>
      <c r="CV274" s="4">
        <f t="shared" si="200"/>
        <v>0</v>
      </c>
      <c r="CW274" s="4">
        <f t="shared" si="201"/>
        <v>0</v>
      </c>
      <c r="CX274" s="4">
        <f t="shared" si="202"/>
        <v>0</v>
      </c>
      <c r="CY274" s="4">
        <f t="shared" si="203"/>
        <v>0</v>
      </c>
      <c r="CZ274" s="4">
        <f t="shared" si="204"/>
        <v>0</v>
      </c>
      <c r="DA274" s="4">
        <f t="shared" si="205"/>
        <v>0</v>
      </c>
      <c r="DB274" s="4">
        <f t="shared" si="206"/>
        <v>0</v>
      </c>
      <c r="DC274" s="4">
        <f t="shared" si="207"/>
        <v>0</v>
      </c>
      <c r="DD274" s="4">
        <f t="shared" si="208"/>
        <v>0</v>
      </c>
    </row>
    <row r="275" spans="1:108" x14ac:dyDescent="0.25">
      <c r="A275" s="41" t="str">
        <f>Skills!M257</f>
        <v>Religion Lore</v>
      </c>
      <c r="B275" s="57" t="str">
        <f>Skills!N257</f>
        <v>Religion Lore</v>
      </c>
      <c r="C275" s="24">
        <f t="shared" si="209"/>
        <v>0</v>
      </c>
      <c r="D275" s="110">
        <f>Skills!S257</f>
        <v>0</v>
      </c>
      <c r="E275" s="111" t="e">
        <f>Profession!B134</f>
        <v>#REF!</v>
      </c>
      <c r="F275" s="18"/>
      <c r="G275" s="18"/>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49"/>
      <c r="BF275" s="4">
        <f t="shared" si="159"/>
        <v>0</v>
      </c>
      <c r="BG275" s="4">
        <f t="shared" si="159"/>
        <v>0</v>
      </c>
      <c r="BH275" s="4">
        <f t="shared" si="160"/>
        <v>0</v>
      </c>
      <c r="BI275" s="4">
        <f t="shared" si="161"/>
        <v>0</v>
      </c>
      <c r="BJ275" s="4">
        <f t="shared" si="162"/>
        <v>0</v>
      </c>
      <c r="BK275" s="4">
        <f t="shared" si="163"/>
        <v>0</v>
      </c>
      <c r="BL275" s="4">
        <f t="shared" si="164"/>
        <v>0</v>
      </c>
      <c r="BM275" s="4">
        <f t="shared" si="165"/>
        <v>0</v>
      </c>
      <c r="BN275" s="4">
        <f t="shared" si="166"/>
        <v>0</v>
      </c>
      <c r="BO275" s="4">
        <f t="shared" si="167"/>
        <v>0</v>
      </c>
      <c r="BP275" s="4">
        <f t="shared" si="168"/>
        <v>0</v>
      </c>
      <c r="BQ275" s="4">
        <f t="shared" si="169"/>
        <v>0</v>
      </c>
      <c r="BR275" s="4">
        <f t="shared" si="170"/>
        <v>0</v>
      </c>
      <c r="BS275" s="4">
        <f t="shared" si="171"/>
        <v>0</v>
      </c>
      <c r="BT275" s="4">
        <f t="shared" si="172"/>
        <v>0</v>
      </c>
      <c r="BU275" s="4">
        <f t="shared" si="173"/>
        <v>0</v>
      </c>
      <c r="BV275" s="4">
        <f t="shared" si="174"/>
        <v>0</v>
      </c>
      <c r="BW275" s="4">
        <f t="shared" si="175"/>
        <v>0</v>
      </c>
      <c r="BX275" s="4">
        <f t="shared" si="176"/>
        <v>0</v>
      </c>
      <c r="BY275" s="4">
        <f t="shared" si="177"/>
        <v>0</v>
      </c>
      <c r="BZ275" s="4">
        <f t="shared" si="178"/>
        <v>0</v>
      </c>
      <c r="CA275" s="4">
        <f t="shared" si="179"/>
        <v>0</v>
      </c>
      <c r="CB275" s="4">
        <f t="shared" si="180"/>
        <v>0</v>
      </c>
      <c r="CC275" s="4">
        <f t="shared" si="181"/>
        <v>0</v>
      </c>
      <c r="CD275" s="4">
        <f t="shared" si="182"/>
        <v>0</v>
      </c>
      <c r="CE275" s="4">
        <f t="shared" si="183"/>
        <v>0</v>
      </c>
      <c r="CF275" s="4">
        <f t="shared" si="184"/>
        <v>0</v>
      </c>
      <c r="CG275" s="4">
        <f t="shared" si="185"/>
        <v>0</v>
      </c>
      <c r="CH275" s="4">
        <f t="shared" si="186"/>
        <v>0</v>
      </c>
      <c r="CI275" s="4">
        <f t="shared" si="187"/>
        <v>0</v>
      </c>
      <c r="CJ275" s="4">
        <f t="shared" si="188"/>
        <v>0</v>
      </c>
      <c r="CK275" s="4">
        <f t="shared" si="189"/>
        <v>0</v>
      </c>
      <c r="CL275" s="4">
        <f t="shared" si="190"/>
        <v>0</v>
      </c>
      <c r="CM275" s="4">
        <f t="shared" si="191"/>
        <v>0</v>
      </c>
      <c r="CN275" s="4">
        <f t="shared" si="192"/>
        <v>0</v>
      </c>
      <c r="CO275" s="4">
        <f t="shared" si="193"/>
        <v>0</v>
      </c>
      <c r="CP275" s="4">
        <f t="shared" si="194"/>
        <v>0</v>
      </c>
      <c r="CQ275" s="4">
        <f t="shared" si="195"/>
        <v>0</v>
      </c>
      <c r="CR275" s="4">
        <f t="shared" si="196"/>
        <v>0</v>
      </c>
      <c r="CS275" s="4">
        <f t="shared" si="197"/>
        <v>0</v>
      </c>
      <c r="CT275" s="4">
        <f t="shared" si="198"/>
        <v>0</v>
      </c>
      <c r="CU275" s="4">
        <f t="shared" si="199"/>
        <v>0</v>
      </c>
      <c r="CV275" s="4">
        <f t="shared" si="200"/>
        <v>0</v>
      </c>
      <c r="CW275" s="4">
        <f t="shared" si="201"/>
        <v>0</v>
      </c>
      <c r="CX275" s="4">
        <f t="shared" si="202"/>
        <v>0</v>
      </c>
      <c r="CY275" s="4">
        <f t="shared" si="203"/>
        <v>0</v>
      </c>
      <c r="CZ275" s="4">
        <f t="shared" si="204"/>
        <v>0</v>
      </c>
      <c r="DA275" s="4">
        <f t="shared" si="205"/>
        <v>0</v>
      </c>
      <c r="DB275" s="4">
        <f t="shared" si="206"/>
        <v>0</v>
      </c>
      <c r="DC275" s="4">
        <f t="shared" si="207"/>
        <v>0</v>
      </c>
      <c r="DD275" s="4">
        <f t="shared" si="208"/>
        <v>0</v>
      </c>
    </row>
    <row r="276" spans="1:108" x14ac:dyDescent="0.25">
      <c r="A276" s="41" t="str">
        <f>Skills!M258</f>
        <v>Lore, Religious History</v>
      </c>
      <c r="B276" s="55" t="str">
        <f>Skills!N258</f>
        <v>Religious History</v>
      </c>
      <c r="C276" s="22">
        <f t="shared" si="209"/>
        <v>0</v>
      </c>
      <c r="D276" s="112">
        <f>Skills!S258</f>
        <v>0</v>
      </c>
      <c r="E276" s="113" t="e">
        <f>Profession!B135</f>
        <v>#REF!</v>
      </c>
      <c r="F276" s="19"/>
      <c r="G276" s="19"/>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56"/>
      <c r="BF276" s="4">
        <f t="shared" si="159"/>
        <v>0</v>
      </c>
      <c r="BG276" s="4">
        <f t="shared" si="159"/>
        <v>0</v>
      </c>
      <c r="BH276" s="4">
        <f t="shared" si="160"/>
        <v>0</v>
      </c>
      <c r="BI276" s="4">
        <f t="shared" si="161"/>
        <v>0</v>
      </c>
      <c r="BJ276" s="4">
        <f t="shared" si="162"/>
        <v>0</v>
      </c>
      <c r="BK276" s="4">
        <f t="shared" si="163"/>
        <v>0</v>
      </c>
      <c r="BL276" s="4">
        <f t="shared" si="164"/>
        <v>0</v>
      </c>
      <c r="BM276" s="4">
        <f t="shared" si="165"/>
        <v>0</v>
      </c>
      <c r="BN276" s="4">
        <f t="shared" si="166"/>
        <v>0</v>
      </c>
      <c r="BO276" s="4">
        <f t="shared" si="167"/>
        <v>0</v>
      </c>
      <c r="BP276" s="4">
        <f t="shared" si="168"/>
        <v>0</v>
      </c>
      <c r="BQ276" s="4">
        <f t="shared" si="169"/>
        <v>0</v>
      </c>
      <c r="BR276" s="4">
        <f t="shared" si="170"/>
        <v>0</v>
      </c>
      <c r="BS276" s="4">
        <f t="shared" si="171"/>
        <v>0</v>
      </c>
      <c r="BT276" s="4">
        <f t="shared" si="172"/>
        <v>0</v>
      </c>
      <c r="BU276" s="4">
        <f t="shared" si="173"/>
        <v>0</v>
      </c>
      <c r="BV276" s="4">
        <f t="shared" si="174"/>
        <v>0</v>
      </c>
      <c r="BW276" s="4">
        <f t="shared" si="175"/>
        <v>0</v>
      </c>
      <c r="BX276" s="4">
        <f t="shared" si="176"/>
        <v>0</v>
      </c>
      <c r="BY276" s="4">
        <f t="shared" si="177"/>
        <v>0</v>
      </c>
      <c r="BZ276" s="4">
        <f t="shared" si="178"/>
        <v>0</v>
      </c>
      <c r="CA276" s="4">
        <f t="shared" si="179"/>
        <v>0</v>
      </c>
      <c r="CB276" s="4">
        <f t="shared" si="180"/>
        <v>0</v>
      </c>
      <c r="CC276" s="4">
        <f t="shared" si="181"/>
        <v>0</v>
      </c>
      <c r="CD276" s="4">
        <f t="shared" si="182"/>
        <v>0</v>
      </c>
      <c r="CE276" s="4">
        <f t="shared" si="183"/>
        <v>0</v>
      </c>
      <c r="CF276" s="4">
        <f t="shared" si="184"/>
        <v>0</v>
      </c>
      <c r="CG276" s="4">
        <f t="shared" si="185"/>
        <v>0</v>
      </c>
      <c r="CH276" s="4">
        <f t="shared" si="186"/>
        <v>0</v>
      </c>
      <c r="CI276" s="4">
        <f t="shared" si="187"/>
        <v>0</v>
      </c>
      <c r="CJ276" s="4">
        <f t="shared" si="188"/>
        <v>0</v>
      </c>
      <c r="CK276" s="4">
        <f t="shared" si="189"/>
        <v>0</v>
      </c>
      <c r="CL276" s="4">
        <f t="shared" si="190"/>
        <v>0</v>
      </c>
      <c r="CM276" s="4">
        <f t="shared" si="191"/>
        <v>0</v>
      </c>
      <c r="CN276" s="4">
        <f t="shared" si="192"/>
        <v>0</v>
      </c>
      <c r="CO276" s="4">
        <f t="shared" si="193"/>
        <v>0</v>
      </c>
      <c r="CP276" s="4">
        <f t="shared" si="194"/>
        <v>0</v>
      </c>
      <c r="CQ276" s="4">
        <f t="shared" si="195"/>
        <v>0</v>
      </c>
      <c r="CR276" s="4">
        <f t="shared" si="196"/>
        <v>0</v>
      </c>
      <c r="CS276" s="4">
        <f t="shared" si="197"/>
        <v>0</v>
      </c>
      <c r="CT276" s="4">
        <f t="shared" si="198"/>
        <v>0</v>
      </c>
      <c r="CU276" s="4">
        <f t="shared" si="199"/>
        <v>0</v>
      </c>
      <c r="CV276" s="4">
        <f t="shared" si="200"/>
        <v>0</v>
      </c>
      <c r="CW276" s="4">
        <f t="shared" si="201"/>
        <v>0</v>
      </c>
      <c r="CX276" s="4">
        <f t="shared" si="202"/>
        <v>0</v>
      </c>
      <c r="CY276" s="4">
        <f t="shared" si="203"/>
        <v>0</v>
      </c>
      <c r="CZ276" s="4">
        <f t="shared" si="204"/>
        <v>0</v>
      </c>
      <c r="DA276" s="4">
        <f t="shared" si="205"/>
        <v>0</v>
      </c>
      <c r="DB276" s="4">
        <f t="shared" si="206"/>
        <v>0</v>
      </c>
      <c r="DC276" s="4">
        <f t="shared" si="207"/>
        <v>0</v>
      </c>
      <c r="DD276" s="4">
        <f t="shared" si="208"/>
        <v>0</v>
      </c>
    </row>
    <row r="277" spans="1:108" x14ac:dyDescent="0.25">
      <c r="A277" s="41" t="str">
        <f>Skills!M259</f>
        <v>Trading Lore</v>
      </c>
      <c r="B277" s="57" t="str">
        <f>Skills!N259</f>
        <v>Trading Lore</v>
      </c>
      <c r="C277" s="24">
        <f t="shared" si="209"/>
        <v>0</v>
      </c>
      <c r="D277" s="110">
        <f>Skills!S259</f>
        <v>0</v>
      </c>
      <c r="E277" s="111" t="e">
        <f>Profession!B136</f>
        <v>#REF!</v>
      </c>
      <c r="F277" s="18"/>
      <c r="G277" s="18"/>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49"/>
      <c r="BF277" s="4">
        <f t="shared" si="159"/>
        <v>0</v>
      </c>
      <c r="BG277" s="4">
        <f t="shared" si="159"/>
        <v>0</v>
      </c>
      <c r="BH277" s="4">
        <f t="shared" si="160"/>
        <v>0</v>
      </c>
      <c r="BI277" s="4">
        <f t="shared" si="161"/>
        <v>0</v>
      </c>
      <c r="BJ277" s="4">
        <f t="shared" si="162"/>
        <v>0</v>
      </c>
      <c r="BK277" s="4">
        <f t="shared" si="163"/>
        <v>0</v>
      </c>
      <c r="BL277" s="4">
        <f t="shared" si="164"/>
        <v>0</v>
      </c>
      <c r="BM277" s="4">
        <f t="shared" si="165"/>
        <v>0</v>
      </c>
      <c r="BN277" s="4">
        <f t="shared" si="166"/>
        <v>0</v>
      </c>
      <c r="BO277" s="4">
        <f t="shared" si="167"/>
        <v>0</v>
      </c>
      <c r="BP277" s="4">
        <f t="shared" si="168"/>
        <v>0</v>
      </c>
      <c r="BQ277" s="4">
        <f t="shared" si="169"/>
        <v>0</v>
      </c>
      <c r="BR277" s="4">
        <f t="shared" si="170"/>
        <v>0</v>
      </c>
      <c r="BS277" s="4">
        <f t="shared" si="171"/>
        <v>0</v>
      </c>
      <c r="BT277" s="4">
        <f t="shared" si="172"/>
        <v>0</v>
      </c>
      <c r="BU277" s="4">
        <f t="shared" si="173"/>
        <v>0</v>
      </c>
      <c r="BV277" s="4">
        <f t="shared" si="174"/>
        <v>0</v>
      </c>
      <c r="BW277" s="4">
        <f t="shared" si="175"/>
        <v>0</v>
      </c>
      <c r="BX277" s="4">
        <f t="shared" si="176"/>
        <v>0</v>
      </c>
      <c r="BY277" s="4">
        <f t="shared" si="177"/>
        <v>0</v>
      </c>
      <c r="BZ277" s="4">
        <f t="shared" si="178"/>
        <v>0</v>
      </c>
      <c r="CA277" s="4">
        <f t="shared" si="179"/>
        <v>0</v>
      </c>
      <c r="CB277" s="4">
        <f t="shared" si="180"/>
        <v>0</v>
      </c>
      <c r="CC277" s="4">
        <f t="shared" si="181"/>
        <v>0</v>
      </c>
      <c r="CD277" s="4">
        <f t="shared" si="182"/>
        <v>0</v>
      </c>
      <c r="CE277" s="4">
        <f t="shared" si="183"/>
        <v>0</v>
      </c>
      <c r="CF277" s="4">
        <f t="shared" si="184"/>
        <v>0</v>
      </c>
      <c r="CG277" s="4">
        <f t="shared" si="185"/>
        <v>0</v>
      </c>
      <c r="CH277" s="4">
        <f t="shared" si="186"/>
        <v>0</v>
      </c>
      <c r="CI277" s="4">
        <f t="shared" si="187"/>
        <v>0</v>
      </c>
      <c r="CJ277" s="4">
        <f t="shared" si="188"/>
        <v>0</v>
      </c>
      <c r="CK277" s="4">
        <f t="shared" si="189"/>
        <v>0</v>
      </c>
      <c r="CL277" s="4">
        <f t="shared" si="190"/>
        <v>0</v>
      </c>
      <c r="CM277" s="4">
        <f t="shared" si="191"/>
        <v>0</v>
      </c>
      <c r="CN277" s="4">
        <f t="shared" si="192"/>
        <v>0</v>
      </c>
      <c r="CO277" s="4">
        <f t="shared" si="193"/>
        <v>0</v>
      </c>
      <c r="CP277" s="4">
        <f t="shared" si="194"/>
        <v>0</v>
      </c>
      <c r="CQ277" s="4">
        <f t="shared" si="195"/>
        <v>0</v>
      </c>
      <c r="CR277" s="4">
        <f t="shared" si="196"/>
        <v>0</v>
      </c>
      <c r="CS277" s="4">
        <f t="shared" si="197"/>
        <v>0</v>
      </c>
      <c r="CT277" s="4">
        <f t="shared" si="198"/>
        <v>0</v>
      </c>
      <c r="CU277" s="4">
        <f t="shared" si="199"/>
        <v>0</v>
      </c>
      <c r="CV277" s="4">
        <f t="shared" si="200"/>
        <v>0</v>
      </c>
      <c r="CW277" s="4">
        <f t="shared" si="201"/>
        <v>0</v>
      </c>
      <c r="CX277" s="4">
        <f t="shared" si="202"/>
        <v>0</v>
      </c>
      <c r="CY277" s="4">
        <f t="shared" si="203"/>
        <v>0</v>
      </c>
      <c r="CZ277" s="4">
        <f t="shared" si="204"/>
        <v>0</v>
      </c>
      <c r="DA277" s="4">
        <f t="shared" si="205"/>
        <v>0</v>
      </c>
      <c r="DB277" s="4">
        <f t="shared" si="206"/>
        <v>0</v>
      </c>
      <c r="DC277" s="4">
        <f t="shared" si="207"/>
        <v>0</v>
      </c>
      <c r="DD277" s="4">
        <f t="shared" si="208"/>
        <v>0</v>
      </c>
    </row>
    <row r="278" spans="1:108" x14ac:dyDescent="0.25">
      <c r="A278" s="41" t="str">
        <f>Skills!M260</f>
        <v>Vehicles Lore</v>
      </c>
      <c r="B278" s="55" t="str">
        <f>Skills!N260</f>
        <v>Vehicles Lore</v>
      </c>
      <c r="C278" s="22">
        <f t="shared" si="209"/>
        <v>0</v>
      </c>
      <c r="D278" s="112">
        <f>Skills!S260</f>
        <v>0</v>
      </c>
      <c r="E278" s="113" t="e">
        <f>Profession!B137</f>
        <v>#REF!</v>
      </c>
      <c r="F278" s="19"/>
      <c r="G278" s="19"/>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56"/>
      <c r="BF278" s="4">
        <f t="shared" si="159"/>
        <v>0</v>
      </c>
      <c r="BG278" s="4">
        <f t="shared" si="159"/>
        <v>0</v>
      </c>
      <c r="BH278" s="4">
        <f t="shared" si="160"/>
        <v>0</v>
      </c>
      <c r="BI278" s="4">
        <f t="shared" si="161"/>
        <v>0</v>
      </c>
      <c r="BJ278" s="4">
        <f t="shared" si="162"/>
        <v>0</v>
      </c>
      <c r="BK278" s="4">
        <f t="shared" si="163"/>
        <v>0</v>
      </c>
      <c r="BL278" s="4">
        <f t="shared" si="164"/>
        <v>0</v>
      </c>
      <c r="BM278" s="4">
        <f t="shared" si="165"/>
        <v>0</v>
      </c>
      <c r="BN278" s="4">
        <f t="shared" si="166"/>
        <v>0</v>
      </c>
      <c r="BO278" s="4">
        <f t="shared" si="167"/>
        <v>0</v>
      </c>
      <c r="BP278" s="4">
        <f t="shared" si="168"/>
        <v>0</v>
      </c>
      <c r="BQ278" s="4">
        <f t="shared" si="169"/>
        <v>0</v>
      </c>
      <c r="BR278" s="4">
        <f t="shared" si="170"/>
        <v>0</v>
      </c>
      <c r="BS278" s="4">
        <f t="shared" si="171"/>
        <v>0</v>
      </c>
      <c r="BT278" s="4">
        <f t="shared" si="172"/>
        <v>0</v>
      </c>
      <c r="BU278" s="4">
        <f t="shared" si="173"/>
        <v>0</v>
      </c>
      <c r="BV278" s="4">
        <f t="shared" si="174"/>
        <v>0</v>
      </c>
      <c r="BW278" s="4">
        <f t="shared" si="175"/>
        <v>0</v>
      </c>
      <c r="BX278" s="4">
        <f t="shared" si="176"/>
        <v>0</v>
      </c>
      <c r="BY278" s="4">
        <f t="shared" si="177"/>
        <v>0</v>
      </c>
      <c r="BZ278" s="4">
        <f t="shared" si="178"/>
        <v>0</v>
      </c>
      <c r="CA278" s="4">
        <f t="shared" si="179"/>
        <v>0</v>
      </c>
      <c r="CB278" s="4">
        <f t="shared" si="180"/>
        <v>0</v>
      </c>
      <c r="CC278" s="4">
        <f t="shared" si="181"/>
        <v>0</v>
      </c>
      <c r="CD278" s="4">
        <f t="shared" si="182"/>
        <v>0</v>
      </c>
      <c r="CE278" s="4">
        <f t="shared" si="183"/>
        <v>0</v>
      </c>
      <c r="CF278" s="4">
        <f t="shared" si="184"/>
        <v>0</v>
      </c>
      <c r="CG278" s="4">
        <f t="shared" si="185"/>
        <v>0</v>
      </c>
      <c r="CH278" s="4">
        <f t="shared" si="186"/>
        <v>0</v>
      </c>
      <c r="CI278" s="4">
        <f t="shared" si="187"/>
        <v>0</v>
      </c>
      <c r="CJ278" s="4">
        <f t="shared" si="188"/>
        <v>0</v>
      </c>
      <c r="CK278" s="4">
        <f t="shared" si="189"/>
        <v>0</v>
      </c>
      <c r="CL278" s="4">
        <f t="shared" si="190"/>
        <v>0</v>
      </c>
      <c r="CM278" s="4">
        <f t="shared" si="191"/>
        <v>0</v>
      </c>
      <c r="CN278" s="4">
        <f t="shared" si="192"/>
        <v>0</v>
      </c>
      <c r="CO278" s="4">
        <f t="shared" si="193"/>
        <v>0</v>
      </c>
      <c r="CP278" s="4">
        <f t="shared" si="194"/>
        <v>0</v>
      </c>
      <c r="CQ278" s="4">
        <f t="shared" si="195"/>
        <v>0</v>
      </c>
      <c r="CR278" s="4">
        <f t="shared" si="196"/>
        <v>0</v>
      </c>
      <c r="CS278" s="4">
        <f t="shared" si="197"/>
        <v>0</v>
      </c>
      <c r="CT278" s="4">
        <f t="shared" si="198"/>
        <v>0</v>
      </c>
      <c r="CU278" s="4">
        <f t="shared" si="199"/>
        <v>0</v>
      </c>
      <c r="CV278" s="4">
        <f t="shared" si="200"/>
        <v>0</v>
      </c>
      <c r="CW278" s="4">
        <f t="shared" si="201"/>
        <v>0</v>
      </c>
      <c r="CX278" s="4">
        <f t="shared" si="202"/>
        <v>0</v>
      </c>
      <c r="CY278" s="4">
        <f t="shared" si="203"/>
        <v>0</v>
      </c>
      <c r="CZ278" s="4">
        <f t="shared" si="204"/>
        <v>0</v>
      </c>
      <c r="DA278" s="4">
        <f t="shared" si="205"/>
        <v>0</v>
      </c>
      <c r="DB278" s="4">
        <f t="shared" si="206"/>
        <v>0</v>
      </c>
      <c r="DC278" s="4">
        <f t="shared" si="207"/>
        <v>0</v>
      </c>
      <c r="DD278" s="4">
        <f t="shared" si="208"/>
        <v>0</v>
      </c>
    </row>
    <row r="279" spans="1:108" x14ac:dyDescent="0.25">
      <c r="A279" s="41" t="str">
        <f>Skills!M261</f>
        <v>Lore, Visual Arts</v>
      </c>
      <c r="B279" s="57" t="str">
        <f>Skills!N261</f>
        <v>Visual Arts</v>
      </c>
      <c r="C279" s="24">
        <f t="shared" si="209"/>
        <v>0</v>
      </c>
      <c r="D279" s="110">
        <f>Skills!S261</f>
        <v>0</v>
      </c>
      <c r="E279" s="111" t="e">
        <f>Profession!B138</f>
        <v>#REF!</v>
      </c>
      <c r="F279" s="18"/>
      <c r="G279" s="18"/>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49"/>
      <c r="BF279" s="4">
        <f t="shared" ref="BF279:BG341" si="263">IF(F279=1,(LEFT($E279,2))*1,IF(F279=2,((LEFT($E279,2))+(MID($E279,FIND("/",$E279)+2,2))),IF(F279=3,((LEFT($E279,2))+(MID($E279,FIND("/",$E279)+2,2))+(RIGHT($E279,2))),0)))</f>
        <v>0</v>
      </c>
      <c r="BG279" s="4">
        <f t="shared" si="263"/>
        <v>0</v>
      </c>
      <c r="BH279" s="4">
        <f t="shared" ref="BH279:BH341" si="264">IF(H279=1,(LEFT($E279,2))*1,IF(H279=2,((LEFT($E279,2))+(MID($E279,FIND("/",$E279)+2,2))),IF(H279=3,((LEFT($E279,2))+(MID($E279,FIND("/",$E279)+2,2))+(RIGHT($E279,2))),0)))</f>
        <v>0</v>
      </c>
      <c r="BI279" s="4">
        <f t="shared" ref="BI279:BI341" si="265">IF(I279=1,(LEFT($E279,2))*1,IF(I279=2,((LEFT($E279,2))+(MID($E279,FIND("/",$E279)+2,2))),IF(I279=3,((LEFT($E279,2))+(MID($E279,FIND("/",$E279)+2,2))+(RIGHT($E279,2))),0)))</f>
        <v>0</v>
      </c>
      <c r="BJ279" s="4">
        <f t="shared" ref="BJ279:BJ341" si="266">IF(J279=1,(LEFT($E279,2))*1,IF(J279=2,((LEFT($E279,2))+(MID($E279,FIND("/",$E279)+2,2))),IF(J279=3,((LEFT($E279,2))+(MID($E279,FIND("/",$E279)+2,2))+(RIGHT($E279,2))),0)))</f>
        <v>0</v>
      </c>
      <c r="BK279" s="4">
        <f t="shared" ref="BK279:BK341" si="267">IF(K279=1,(LEFT($E279,2))*1,IF(K279=2,((LEFT($E279,2))+(MID($E279,FIND("/",$E279)+2,2))),IF(K279=3,((LEFT($E279,2))+(MID($E279,FIND("/",$E279)+2,2))+(RIGHT($E279,2))),0)))</f>
        <v>0</v>
      </c>
      <c r="BL279" s="4">
        <f t="shared" ref="BL279:BL341" si="268">IF(L279=1,(LEFT($E279,2))*1,IF(L279=2,((LEFT($E279,2))+(MID($E279,FIND("/",$E279)+2,2))),IF(L279=3,((LEFT($E279,2))+(MID($E279,FIND("/",$E279)+2,2))+(RIGHT($E279,2))),0)))</f>
        <v>0</v>
      </c>
      <c r="BM279" s="4">
        <f t="shared" ref="BM279:BM341" si="269">IF(M279=1,(LEFT($E279,2))*1,IF(M279=2,((LEFT($E279,2))+(MID($E279,FIND("/",$E279)+2,2))),IF(M279=3,((LEFT($E279,2))+(MID($E279,FIND("/",$E279)+2,2))+(RIGHT($E279,2))),0)))</f>
        <v>0</v>
      </c>
      <c r="BN279" s="4">
        <f t="shared" ref="BN279:BN341" si="270">IF(N279=1,(LEFT($E279,2))*1,IF(N279=2,((LEFT($E279,2))+(MID($E279,FIND("/",$E279)+2,2))),IF(N279=3,((LEFT($E279,2))+(MID($E279,FIND("/",$E279)+2,2))+(RIGHT($E279,2))),0)))</f>
        <v>0</v>
      </c>
      <c r="BO279" s="4">
        <f t="shared" ref="BO279:BO341" si="271">IF(O279=1,(LEFT($E279,2))*1,IF(O279=2,((LEFT($E279,2))+(MID($E279,FIND("/",$E279)+2,2))),IF(O279=3,((LEFT($E279,2))+(MID($E279,FIND("/",$E279)+2,2))+(RIGHT($E279,2))),0)))</f>
        <v>0</v>
      </c>
      <c r="BP279" s="4">
        <f t="shared" ref="BP279:BP341" si="272">IF(P279=1,(LEFT($E279,2))*1,IF(P279=2,((LEFT($E279,2))+(MID($E279,FIND("/",$E279)+2,2))),IF(P279=3,((LEFT($E279,2))+(MID($E279,FIND("/",$E279)+2,2))+(RIGHT($E279,2))),0)))</f>
        <v>0</v>
      </c>
      <c r="BQ279" s="4">
        <f t="shared" ref="BQ279:BQ341" si="273">IF(Q279=1,(LEFT($E279,2))*1,IF(Q279=2,((LEFT($E279,2))+(MID($E279,FIND("/",$E279)+2,2))),IF(Q279=3,((LEFT($E279,2))+(MID($E279,FIND("/",$E279)+2,2))+(RIGHT($E279,2))),0)))</f>
        <v>0</v>
      </c>
      <c r="BR279" s="4">
        <f t="shared" ref="BR279:BR341" si="274">IF(R279=1,(LEFT($E279,2))*1,IF(R279=2,((LEFT($E279,2))+(MID($E279,FIND("/",$E279)+2,2))),IF(R279=3,((LEFT($E279,2))+(MID($E279,FIND("/",$E279)+2,2))+(RIGHT($E279,2))),0)))</f>
        <v>0</v>
      </c>
      <c r="BS279" s="4">
        <f t="shared" ref="BS279:BS341" si="275">IF(S279=1,(LEFT($E279,2))*1,IF(S279=2,((LEFT($E279,2))+(MID($E279,FIND("/",$E279)+2,2))),IF(S279=3,((LEFT($E279,2))+(MID($E279,FIND("/",$E279)+2,2))+(RIGHT($E279,2))),0)))</f>
        <v>0</v>
      </c>
      <c r="BT279" s="4">
        <f t="shared" ref="BT279:BT341" si="276">IF(T279=1,(LEFT($E279,2))*1,IF(T279=2,((LEFT($E279,2))+(MID($E279,FIND("/",$E279)+2,2))),IF(T279=3,((LEFT($E279,2))+(MID($E279,FIND("/",$E279)+2,2))+(RIGHT($E279,2))),0)))</f>
        <v>0</v>
      </c>
      <c r="BU279" s="4">
        <f t="shared" ref="BU279:BU341" si="277">IF(U279=1,(LEFT($E279,2))*1,IF(U279=2,((LEFT($E279,2))+(MID($E279,FIND("/",$E279)+2,2))),IF(U279=3,((LEFT($E279,2))+(MID($E279,FIND("/",$E279)+2,2))+(RIGHT($E279,2))),0)))</f>
        <v>0</v>
      </c>
      <c r="BV279" s="4">
        <f t="shared" ref="BV279:BV341" si="278">IF(V279=1,(LEFT($E279,2))*1,IF(V279=2,((LEFT($E279,2))+(MID($E279,FIND("/",$E279)+2,2))),IF(V279=3,((LEFT($E279,2))+(MID($E279,FIND("/",$E279)+2,2))+(RIGHT($E279,2))),0)))</f>
        <v>0</v>
      </c>
      <c r="BW279" s="4">
        <f t="shared" ref="BW279:BW341" si="279">IF(W279=1,(LEFT($E279,2))*1,IF(W279=2,((LEFT($E279,2))+(MID($E279,FIND("/",$E279)+2,2))),IF(W279=3,((LEFT($E279,2))+(MID($E279,FIND("/",$E279)+2,2))+(RIGHT($E279,2))),0)))</f>
        <v>0</v>
      </c>
      <c r="BX279" s="4">
        <f t="shared" ref="BX279:BX341" si="280">IF(X279=1,(LEFT($E279,2))*1,IF(X279=2,((LEFT($E279,2))+(MID($E279,FIND("/",$E279)+2,2))),IF(X279=3,((LEFT($E279,2))+(MID($E279,FIND("/",$E279)+2,2))+(RIGHT($E279,2))),0)))</f>
        <v>0</v>
      </c>
      <c r="BY279" s="4">
        <f t="shared" ref="BY279:BY341" si="281">IF(Y279=1,(LEFT($E279,2))*1,IF(Y279=2,((LEFT($E279,2))+(MID($E279,FIND("/",$E279)+2,2))),IF(Y279=3,((LEFT($E279,2))+(MID($E279,FIND("/",$E279)+2,2))+(RIGHT($E279,2))),0)))</f>
        <v>0</v>
      </c>
      <c r="BZ279" s="4">
        <f t="shared" ref="BZ279:BZ341" si="282">IF(Z279=1,(LEFT($E279,2))*1,IF(Z279=2,((LEFT($E279,2))+(MID($E279,FIND("/",$E279)+2,2))),IF(Z279=3,((LEFT($E279,2))+(MID($E279,FIND("/",$E279)+2,2))+(RIGHT($E279,2))),0)))</f>
        <v>0</v>
      </c>
      <c r="CA279" s="4">
        <f t="shared" ref="CA279:CA341" si="283">IF(AA279=1,(LEFT($E279,2))*1,IF(AA279=2,((LEFT($E279,2))+(MID($E279,FIND("/",$E279)+2,2))),IF(AA279=3,((LEFT($E279,2))+(MID($E279,FIND("/",$E279)+2,2))+(RIGHT($E279,2))),0)))</f>
        <v>0</v>
      </c>
      <c r="CB279" s="4">
        <f t="shared" ref="CB279:CB341" si="284">IF(AB279=1,(LEFT($E279,2))*1,IF(AB279=2,((LEFT($E279,2))+(MID($E279,FIND("/",$E279)+2,2))),IF(AB279=3,((LEFT($E279,2))+(MID($E279,FIND("/",$E279)+2,2))+(RIGHT($E279,2))),0)))</f>
        <v>0</v>
      </c>
      <c r="CC279" s="4">
        <f t="shared" ref="CC279:CC341" si="285">IF(AC279=1,(LEFT($E279,2))*1,IF(AC279=2,((LEFT($E279,2))+(MID($E279,FIND("/",$E279)+2,2))),IF(AC279=3,((LEFT($E279,2))+(MID($E279,FIND("/",$E279)+2,2))+(RIGHT($E279,2))),0)))</f>
        <v>0</v>
      </c>
      <c r="CD279" s="4">
        <f t="shared" ref="CD279:CD341" si="286">IF(AD279=1,(LEFT($E279,2))*1,IF(AD279=2,((LEFT($E279,2))+(MID($E279,FIND("/",$E279)+2,2))),IF(AD279=3,((LEFT($E279,2))+(MID($E279,FIND("/",$E279)+2,2))+(RIGHT($E279,2))),0)))</f>
        <v>0</v>
      </c>
      <c r="CE279" s="4">
        <f t="shared" ref="CE279:CE341" si="287">IF(AE279=1,(LEFT($E279,2))*1,IF(AE279=2,((LEFT($E279,2))+(MID($E279,FIND("/",$E279)+2,2))),IF(AE279=3,((LEFT($E279,2))+(MID($E279,FIND("/",$E279)+2,2))+(RIGHT($E279,2))),0)))</f>
        <v>0</v>
      </c>
      <c r="CF279" s="4">
        <f t="shared" ref="CF279:CF341" si="288">IF(AF279=1,(LEFT($E279,2))*1,IF(AF279=2,((LEFT($E279,2))+(MID($E279,FIND("/",$E279)+2,2))),IF(AF279=3,((LEFT($E279,2))+(MID($E279,FIND("/",$E279)+2,2))+(RIGHT($E279,2))),0)))</f>
        <v>0</v>
      </c>
      <c r="CG279" s="4">
        <f t="shared" ref="CG279:CG341" si="289">IF(AG279=1,(LEFT($E279,2))*1,IF(AG279=2,((LEFT($E279,2))+(MID($E279,FIND("/",$E279)+2,2))),IF(AG279=3,((LEFT($E279,2))+(MID($E279,FIND("/",$E279)+2,2))+(RIGHT($E279,2))),0)))</f>
        <v>0</v>
      </c>
      <c r="CH279" s="4">
        <f t="shared" ref="CH279:CH341" si="290">IF(AH279=1,(LEFT($E279,2))*1,IF(AH279=2,((LEFT($E279,2))+(MID($E279,FIND("/",$E279)+2,2))),IF(AH279=3,((LEFT($E279,2))+(MID($E279,FIND("/",$E279)+2,2))+(RIGHT($E279,2))),0)))</f>
        <v>0</v>
      </c>
      <c r="CI279" s="4">
        <f t="shared" ref="CI279:CI341" si="291">IF(AI279=1,(LEFT($E279,2))*1,IF(AI279=2,((LEFT($E279,2))+(MID($E279,FIND("/",$E279)+2,2))),IF(AI279=3,((LEFT($E279,2))+(MID($E279,FIND("/",$E279)+2,2))+(RIGHT($E279,2))),0)))</f>
        <v>0</v>
      </c>
      <c r="CJ279" s="4">
        <f t="shared" ref="CJ279:CJ341" si="292">IF(AJ279=1,(LEFT($E279,2))*1,IF(AJ279=2,((LEFT($E279,2))+(MID($E279,FIND("/",$E279)+2,2))),IF(AJ279=3,((LEFT($E279,2))+(MID($E279,FIND("/",$E279)+2,2))+(RIGHT($E279,2))),0)))</f>
        <v>0</v>
      </c>
      <c r="CK279" s="4">
        <f t="shared" ref="CK279:CK341" si="293">IF(AK279=1,(LEFT($E279,2))*1,IF(AK279=2,((LEFT($E279,2))+(MID($E279,FIND("/",$E279)+2,2))),IF(AK279=3,((LEFT($E279,2))+(MID($E279,FIND("/",$E279)+2,2))+(RIGHT($E279,2))),0)))</f>
        <v>0</v>
      </c>
      <c r="CL279" s="4">
        <f t="shared" ref="CL279:CL341" si="294">IF(AL279=1,(LEFT($E279,2))*1,IF(AL279=2,((LEFT($E279,2))+(MID($E279,FIND("/",$E279)+2,2))),IF(AL279=3,((LEFT($E279,2))+(MID($E279,FIND("/",$E279)+2,2))+(RIGHT($E279,2))),0)))</f>
        <v>0</v>
      </c>
      <c r="CM279" s="4">
        <f t="shared" ref="CM279:CM341" si="295">IF(AM279=1,(LEFT($E279,2))*1,IF(AM279=2,((LEFT($E279,2))+(MID($E279,FIND("/",$E279)+2,2))),IF(AM279=3,((LEFT($E279,2))+(MID($E279,FIND("/",$E279)+2,2))+(RIGHT($E279,2))),0)))</f>
        <v>0</v>
      </c>
      <c r="CN279" s="4">
        <f t="shared" ref="CN279:CN341" si="296">IF(AN279=1,(LEFT($E279,2))*1,IF(AN279=2,((LEFT($E279,2))+(MID($E279,FIND("/",$E279)+2,2))),IF(AN279=3,((LEFT($E279,2))+(MID($E279,FIND("/",$E279)+2,2))+(RIGHT($E279,2))),0)))</f>
        <v>0</v>
      </c>
      <c r="CO279" s="4">
        <f t="shared" ref="CO279:CO341" si="297">IF(AO279=1,(LEFT($E279,2))*1,IF(AO279=2,((LEFT($E279,2))+(MID($E279,FIND("/",$E279)+2,2))),IF(AO279=3,((LEFT($E279,2))+(MID($E279,FIND("/",$E279)+2,2))+(RIGHT($E279,2))),0)))</f>
        <v>0</v>
      </c>
      <c r="CP279" s="4">
        <f t="shared" ref="CP279:CP341" si="298">IF(AP279=1,(LEFT($E279,2))*1,IF(AP279=2,((LEFT($E279,2))+(MID($E279,FIND("/",$E279)+2,2))),IF(AP279=3,((LEFT($E279,2))+(MID($E279,FIND("/",$E279)+2,2))+(RIGHT($E279,2))),0)))</f>
        <v>0</v>
      </c>
      <c r="CQ279" s="4">
        <f t="shared" ref="CQ279:CQ341" si="299">IF(AQ279=1,(LEFT($E279,2))*1,IF(AQ279=2,((LEFT($E279,2))+(MID($E279,FIND("/",$E279)+2,2))),IF(AQ279=3,((LEFT($E279,2))+(MID($E279,FIND("/",$E279)+2,2))+(RIGHT($E279,2))),0)))</f>
        <v>0</v>
      </c>
      <c r="CR279" s="4">
        <f t="shared" ref="CR279:CR341" si="300">IF(AR279=1,(LEFT($E279,2))*1,IF(AR279=2,((LEFT($E279,2))+(MID($E279,FIND("/",$E279)+2,2))),IF(AR279=3,((LEFT($E279,2))+(MID($E279,FIND("/",$E279)+2,2))+(RIGHT($E279,2))),0)))</f>
        <v>0</v>
      </c>
      <c r="CS279" s="4">
        <f t="shared" ref="CS279:CS341" si="301">IF(AS279=1,(LEFT($E279,2))*1,IF(AS279=2,((LEFT($E279,2))+(MID($E279,FIND("/",$E279)+2,2))),IF(AS279=3,((LEFT($E279,2))+(MID($E279,FIND("/",$E279)+2,2))+(RIGHT($E279,2))),0)))</f>
        <v>0</v>
      </c>
      <c r="CT279" s="4">
        <f t="shared" ref="CT279:CT341" si="302">IF(AT279=1,(LEFT($E279,2))*1,IF(AT279=2,((LEFT($E279,2))+(MID($E279,FIND("/",$E279)+2,2))),IF(AT279=3,((LEFT($E279,2))+(MID($E279,FIND("/",$E279)+2,2))+(RIGHT($E279,2))),0)))</f>
        <v>0</v>
      </c>
      <c r="CU279" s="4">
        <f t="shared" ref="CU279:CU341" si="303">IF(AU279=1,(LEFT($E279,2))*1,IF(AU279=2,((LEFT($E279,2))+(MID($E279,FIND("/",$E279)+2,2))),IF(AU279=3,((LEFT($E279,2))+(MID($E279,FIND("/",$E279)+2,2))+(RIGHT($E279,2))),0)))</f>
        <v>0</v>
      </c>
      <c r="CV279" s="4">
        <f t="shared" ref="CV279:CV341" si="304">IF(AV279=1,(LEFT($E279,2))*1,IF(AV279=2,((LEFT($E279,2))+(MID($E279,FIND("/",$E279)+2,2))),IF(AV279=3,((LEFT($E279,2))+(MID($E279,FIND("/",$E279)+2,2))+(RIGHT($E279,2))),0)))</f>
        <v>0</v>
      </c>
      <c r="CW279" s="4">
        <f t="shared" ref="CW279:CW341" si="305">IF(AW279=1,(LEFT($E279,2))*1,IF(AW279=2,((LEFT($E279,2))+(MID($E279,FIND("/",$E279)+2,2))),IF(AW279=3,((LEFT($E279,2))+(MID($E279,FIND("/",$E279)+2,2))+(RIGHT($E279,2))),0)))</f>
        <v>0</v>
      </c>
      <c r="CX279" s="4">
        <f t="shared" ref="CX279:CX341" si="306">IF(AX279=1,(LEFT($E279,2))*1,IF(AX279=2,((LEFT($E279,2))+(MID($E279,FIND("/",$E279)+2,2))),IF(AX279=3,((LEFT($E279,2))+(MID($E279,FIND("/",$E279)+2,2))+(RIGHT($E279,2))),0)))</f>
        <v>0</v>
      </c>
      <c r="CY279" s="4">
        <f t="shared" ref="CY279:CY341" si="307">IF(AY279=1,(LEFT($E279,2))*1,IF(AY279=2,((LEFT($E279,2))+(MID($E279,FIND("/",$E279)+2,2))),IF(AY279=3,((LEFT($E279,2))+(MID($E279,FIND("/",$E279)+2,2))+(RIGHT($E279,2))),0)))</f>
        <v>0</v>
      </c>
      <c r="CZ279" s="4">
        <f t="shared" ref="CZ279:CZ341" si="308">IF(AZ279=1,(LEFT($E279,2))*1,IF(AZ279=2,((LEFT($E279,2))+(MID($E279,FIND("/",$E279)+2,2))),IF(AZ279=3,((LEFT($E279,2))+(MID($E279,FIND("/",$E279)+2,2))+(RIGHT($E279,2))),0)))</f>
        <v>0</v>
      </c>
      <c r="DA279" s="4">
        <f t="shared" ref="DA279:DA341" si="309">IF(BA279=1,(LEFT($E279,2))*1,IF(BA279=2,((LEFT($E279,2))+(MID($E279,FIND("/",$E279)+2,2))),IF(BA279=3,((LEFT($E279,2))+(MID($E279,FIND("/",$E279)+2,2))+(RIGHT($E279,2))),0)))</f>
        <v>0</v>
      </c>
      <c r="DB279" s="4">
        <f t="shared" ref="DB279:DB341" si="310">IF(BB279=1,(LEFT($E279,2))*1,IF(BB279=2,((LEFT($E279,2))+(MID($E279,FIND("/",$E279)+2,2))),IF(BB279=3,((LEFT($E279,2))+(MID($E279,FIND("/",$E279)+2,2))+(RIGHT($E279,2))),0)))</f>
        <v>0</v>
      </c>
      <c r="DC279" s="4">
        <f t="shared" ref="DC279:DC341" si="311">IF(BC279=1,(LEFT($E279,2))*1,IF(BC279=2,((LEFT($E279,2))+(MID($E279,FIND("/",$E279)+2,2))),IF(BC279=3,((LEFT($E279,2))+(MID($E279,FIND("/",$E279)+2,2))+(RIGHT($E279,2))),0)))</f>
        <v>0</v>
      </c>
      <c r="DD279" s="4">
        <f t="shared" ref="DD279:DD341" si="312">IF(BD279=1,(LEFT($E279,2))*1,IF(BD279=2,((LEFT($E279,2))+(MID($E279,FIND("/",$E279)+2,2))),IF(BD279=3,((LEFT($E279,2))+(MID($E279,FIND("/",$E279)+2,2))+(RIGHT($E279,2))),0)))</f>
        <v>0</v>
      </c>
    </row>
    <row r="280" spans="1:108" x14ac:dyDescent="0.25">
      <c r="A280" s="41">
        <f>Skills!M262</f>
        <v>0</v>
      </c>
      <c r="B280" s="55" t="str">
        <f>Skills!N262</f>
        <v>Other Lore Sub-category</v>
      </c>
      <c r="C280" s="22">
        <f t="shared" si="209"/>
        <v>0</v>
      </c>
      <c r="D280" s="112" t="str">
        <f>Skills!S262</f>
        <v>- -</v>
      </c>
      <c r="E280" s="113" t="s">
        <v>782</v>
      </c>
      <c r="F280" s="19"/>
      <c r="G280" s="19"/>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56"/>
      <c r="BF280" s="4">
        <f t="shared" si="263"/>
        <v>0</v>
      </c>
      <c r="BG280" s="4">
        <f t="shared" si="263"/>
        <v>0</v>
      </c>
      <c r="BH280" s="4">
        <f t="shared" si="264"/>
        <v>0</v>
      </c>
      <c r="BI280" s="4">
        <f t="shared" si="265"/>
        <v>0</v>
      </c>
      <c r="BJ280" s="4">
        <f t="shared" si="266"/>
        <v>0</v>
      </c>
      <c r="BK280" s="4">
        <f t="shared" si="267"/>
        <v>0</v>
      </c>
      <c r="BL280" s="4">
        <f t="shared" si="268"/>
        <v>0</v>
      </c>
      <c r="BM280" s="4">
        <f t="shared" si="269"/>
        <v>0</v>
      </c>
      <c r="BN280" s="4">
        <f t="shared" si="270"/>
        <v>0</v>
      </c>
      <c r="BO280" s="4">
        <f t="shared" si="271"/>
        <v>0</v>
      </c>
      <c r="BP280" s="4">
        <f t="shared" si="272"/>
        <v>0</v>
      </c>
      <c r="BQ280" s="4">
        <f t="shared" si="273"/>
        <v>0</v>
      </c>
      <c r="BR280" s="4">
        <f t="shared" si="274"/>
        <v>0</v>
      </c>
      <c r="BS280" s="4">
        <f t="shared" si="275"/>
        <v>0</v>
      </c>
      <c r="BT280" s="4">
        <f t="shared" si="276"/>
        <v>0</v>
      </c>
      <c r="BU280" s="4">
        <f t="shared" si="277"/>
        <v>0</v>
      </c>
      <c r="BV280" s="4">
        <f t="shared" si="278"/>
        <v>0</v>
      </c>
      <c r="BW280" s="4">
        <f t="shared" si="279"/>
        <v>0</v>
      </c>
      <c r="BX280" s="4">
        <f t="shared" si="280"/>
        <v>0</v>
      </c>
      <c r="BY280" s="4">
        <f t="shared" si="281"/>
        <v>0</v>
      </c>
      <c r="BZ280" s="4">
        <f t="shared" si="282"/>
        <v>0</v>
      </c>
      <c r="CA280" s="4">
        <f t="shared" si="283"/>
        <v>0</v>
      </c>
      <c r="CB280" s="4">
        <f t="shared" si="284"/>
        <v>0</v>
      </c>
      <c r="CC280" s="4">
        <f t="shared" si="285"/>
        <v>0</v>
      </c>
      <c r="CD280" s="4">
        <f t="shared" si="286"/>
        <v>0</v>
      </c>
      <c r="CE280" s="4">
        <f t="shared" si="287"/>
        <v>0</v>
      </c>
      <c r="CF280" s="4">
        <f t="shared" si="288"/>
        <v>0</v>
      </c>
      <c r="CG280" s="4">
        <f t="shared" si="289"/>
        <v>0</v>
      </c>
      <c r="CH280" s="4">
        <f t="shared" si="290"/>
        <v>0</v>
      </c>
      <c r="CI280" s="4">
        <f t="shared" si="291"/>
        <v>0</v>
      </c>
      <c r="CJ280" s="4">
        <f t="shared" si="292"/>
        <v>0</v>
      </c>
      <c r="CK280" s="4">
        <f t="shared" si="293"/>
        <v>0</v>
      </c>
      <c r="CL280" s="4">
        <f t="shared" si="294"/>
        <v>0</v>
      </c>
      <c r="CM280" s="4">
        <f t="shared" si="295"/>
        <v>0</v>
      </c>
      <c r="CN280" s="4">
        <f t="shared" si="296"/>
        <v>0</v>
      </c>
      <c r="CO280" s="4">
        <f t="shared" si="297"/>
        <v>0</v>
      </c>
      <c r="CP280" s="4">
        <f t="shared" si="298"/>
        <v>0</v>
      </c>
      <c r="CQ280" s="4">
        <f t="shared" si="299"/>
        <v>0</v>
      </c>
      <c r="CR280" s="4">
        <f t="shared" si="300"/>
        <v>0</v>
      </c>
      <c r="CS280" s="4">
        <f t="shared" si="301"/>
        <v>0</v>
      </c>
      <c r="CT280" s="4">
        <f t="shared" si="302"/>
        <v>0</v>
      </c>
      <c r="CU280" s="4">
        <f t="shared" si="303"/>
        <v>0</v>
      </c>
      <c r="CV280" s="4">
        <f t="shared" si="304"/>
        <v>0</v>
      </c>
      <c r="CW280" s="4">
        <f t="shared" si="305"/>
        <v>0</v>
      </c>
      <c r="CX280" s="4">
        <f t="shared" si="306"/>
        <v>0</v>
      </c>
      <c r="CY280" s="4">
        <f t="shared" si="307"/>
        <v>0</v>
      </c>
      <c r="CZ280" s="4">
        <f t="shared" si="308"/>
        <v>0</v>
      </c>
      <c r="DA280" s="4">
        <f t="shared" si="309"/>
        <v>0</v>
      </c>
      <c r="DB280" s="4">
        <f t="shared" si="310"/>
        <v>0</v>
      </c>
      <c r="DC280" s="4">
        <f t="shared" si="311"/>
        <v>0</v>
      </c>
      <c r="DD280" s="4">
        <f t="shared" si="312"/>
        <v>0</v>
      </c>
    </row>
    <row r="281" spans="1:108" x14ac:dyDescent="0.25">
      <c r="A281" s="41">
        <f>Skills!M263</f>
        <v>0</v>
      </c>
      <c r="B281" s="57" t="str">
        <f>Skills!N263</f>
        <v>Other Lore Skills</v>
      </c>
      <c r="C281" s="24">
        <f t="shared" si="209"/>
        <v>0</v>
      </c>
      <c r="D281" s="110" t="str">
        <f>Skills!S263</f>
        <v>- -</v>
      </c>
      <c r="E281" s="111" t="s">
        <v>782</v>
      </c>
      <c r="F281" s="18"/>
      <c r="G281" s="18"/>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49"/>
      <c r="BF281" s="4">
        <f t="shared" si="263"/>
        <v>0</v>
      </c>
      <c r="BG281" s="4">
        <f t="shared" si="263"/>
        <v>0</v>
      </c>
      <c r="BH281" s="4">
        <f t="shared" si="264"/>
        <v>0</v>
      </c>
      <c r="BI281" s="4">
        <f t="shared" si="265"/>
        <v>0</v>
      </c>
      <c r="BJ281" s="4">
        <f t="shared" si="266"/>
        <v>0</v>
      </c>
      <c r="BK281" s="4">
        <f t="shared" si="267"/>
        <v>0</v>
      </c>
      <c r="BL281" s="4">
        <f t="shared" si="268"/>
        <v>0</v>
      </c>
      <c r="BM281" s="4">
        <f t="shared" si="269"/>
        <v>0</v>
      </c>
      <c r="BN281" s="4">
        <f t="shared" si="270"/>
        <v>0</v>
      </c>
      <c r="BO281" s="4">
        <f t="shared" si="271"/>
        <v>0</v>
      </c>
      <c r="BP281" s="4">
        <f t="shared" si="272"/>
        <v>0</v>
      </c>
      <c r="BQ281" s="4">
        <f t="shared" si="273"/>
        <v>0</v>
      </c>
      <c r="BR281" s="4">
        <f t="shared" si="274"/>
        <v>0</v>
      </c>
      <c r="BS281" s="4">
        <f t="shared" si="275"/>
        <v>0</v>
      </c>
      <c r="BT281" s="4">
        <f t="shared" si="276"/>
        <v>0</v>
      </c>
      <c r="BU281" s="4">
        <f t="shared" si="277"/>
        <v>0</v>
      </c>
      <c r="BV281" s="4">
        <f t="shared" si="278"/>
        <v>0</v>
      </c>
      <c r="BW281" s="4">
        <f t="shared" si="279"/>
        <v>0</v>
      </c>
      <c r="BX281" s="4">
        <f t="shared" si="280"/>
        <v>0</v>
      </c>
      <c r="BY281" s="4">
        <f t="shared" si="281"/>
        <v>0</v>
      </c>
      <c r="BZ281" s="4">
        <f t="shared" si="282"/>
        <v>0</v>
      </c>
      <c r="CA281" s="4">
        <f t="shared" si="283"/>
        <v>0</v>
      </c>
      <c r="CB281" s="4">
        <f t="shared" si="284"/>
        <v>0</v>
      </c>
      <c r="CC281" s="4">
        <f t="shared" si="285"/>
        <v>0</v>
      </c>
      <c r="CD281" s="4">
        <f t="shared" si="286"/>
        <v>0</v>
      </c>
      <c r="CE281" s="4">
        <f t="shared" si="287"/>
        <v>0</v>
      </c>
      <c r="CF281" s="4">
        <f t="shared" si="288"/>
        <v>0</v>
      </c>
      <c r="CG281" s="4">
        <f t="shared" si="289"/>
        <v>0</v>
      </c>
      <c r="CH281" s="4">
        <f t="shared" si="290"/>
        <v>0</v>
      </c>
      <c r="CI281" s="4">
        <f t="shared" si="291"/>
        <v>0</v>
      </c>
      <c r="CJ281" s="4">
        <f t="shared" si="292"/>
        <v>0</v>
      </c>
      <c r="CK281" s="4">
        <f t="shared" si="293"/>
        <v>0</v>
      </c>
      <c r="CL281" s="4">
        <f t="shared" si="294"/>
        <v>0</v>
      </c>
      <c r="CM281" s="4">
        <f t="shared" si="295"/>
        <v>0</v>
      </c>
      <c r="CN281" s="4">
        <f t="shared" si="296"/>
        <v>0</v>
      </c>
      <c r="CO281" s="4">
        <f t="shared" si="297"/>
        <v>0</v>
      </c>
      <c r="CP281" s="4">
        <f t="shared" si="298"/>
        <v>0</v>
      </c>
      <c r="CQ281" s="4">
        <f t="shared" si="299"/>
        <v>0</v>
      </c>
      <c r="CR281" s="4">
        <f t="shared" si="300"/>
        <v>0</v>
      </c>
      <c r="CS281" s="4">
        <f t="shared" si="301"/>
        <v>0</v>
      </c>
      <c r="CT281" s="4">
        <f t="shared" si="302"/>
        <v>0</v>
      </c>
      <c r="CU281" s="4">
        <f t="shared" si="303"/>
        <v>0</v>
      </c>
      <c r="CV281" s="4">
        <f t="shared" si="304"/>
        <v>0</v>
      </c>
      <c r="CW281" s="4">
        <f t="shared" si="305"/>
        <v>0</v>
      </c>
      <c r="CX281" s="4">
        <f t="shared" si="306"/>
        <v>0</v>
      </c>
      <c r="CY281" s="4">
        <f t="shared" si="307"/>
        <v>0</v>
      </c>
      <c r="CZ281" s="4">
        <f t="shared" si="308"/>
        <v>0</v>
      </c>
      <c r="DA281" s="4">
        <f t="shared" si="309"/>
        <v>0</v>
      </c>
      <c r="DB281" s="4">
        <f t="shared" si="310"/>
        <v>0</v>
      </c>
      <c r="DC281" s="4">
        <f t="shared" si="311"/>
        <v>0</v>
      </c>
      <c r="DD281" s="4">
        <f t="shared" si="312"/>
        <v>0</v>
      </c>
    </row>
    <row r="282" spans="1:108" x14ac:dyDescent="0.25">
      <c r="A282" s="41" t="str">
        <f>Skills!M264</f>
        <v>Lore, 0</v>
      </c>
      <c r="B282" s="55">
        <f>Skills!N264</f>
        <v>0</v>
      </c>
      <c r="C282" s="22">
        <f t="shared" ref="C282:C344" si="313">SUM(F282:BD282)</f>
        <v>0</v>
      </c>
      <c r="D282" s="112" t="e">
        <f>Skills!S264</f>
        <v>#N/A</v>
      </c>
      <c r="E282" s="113" t="e">
        <f>Profession!$B$139</f>
        <v>#REF!</v>
      </c>
      <c r="F282" s="19"/>
      <c r="G282" s="19"/>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56"/>
      <c r="BF282" s="4">
        <f t="shared" si="263"/>
        <v>0</v>
      </c>
      <c r="BG282" s="4">
        <f t="shared" si="263"/>
        <v>0</v>
      </c>
      <c r="BH282" s="4">
        <f t="shared" si="264"/>
        <v>0</v>
      </c>
      <c r="BI282" s="4">
        <f t="shared" si="265"/>
        <v>0</v>
      </c>
      <c r="BJ282" s="4">
        <f t="shared" si="266"/>
        <v>0</v>
      </c>
      <c r="BK282" s="4">
        <f t="shared" si="267"/>
        <v>0</v>
      </c>
      <c r="BL282" s="4">
        <f t="shared" si="268"/>
        <v>0</v>
      </c>
      <c r="BM282" s="4">
        <f t="shared" si="269"/>
        <v>0</v>
      </c>
      <c r="BN282" s="4">
        <f t="shared" si="270"/>
        <v>0</v>
      </c>
      <c r="BO282" s="4">
        <f t="shared" si="271"/>
        <v>0</v>
      </c>
      <c r="BP282" s="4">
        <f t="shared" si="272"/>
        <v>0</v>
      </c>
      <c r="BQ282" s="4">
        <f t="shared" si="273"/>
        <v>0</v>
      </c>
      <c r="BR282" s="4">
        <f t="shared" si="274"/>
        <v>0</v>
      </c>
      <c r="BS282" s="4">
        <f t="shared" si="275"/>
        <v>0</v>
      </c>
      <c r="BT282" s="4">
        <f t="shared" si="276"/>
        <v>0</v>
      </c>
      <c r="BU282" s="4">
        <f t="shared" si="277"/>
        <v>0</v>
      </c>
      <c r="BV282" s="4">
        <f t="shared" si="278"/>
        <v>0</v>
      </c>
      <c r="BW282" s="4">
        <f t="shared" si="279"/>
        <v>0</v>
      </c>
      <c r="BX282" s="4">
        <f t="shared" si="280"/>
        <v>0</v>
      </c>
      <c r="BY282" s="4">
        <f t="shared" si="281"/>
        <v>0</v>
      </c>
      <c r="BZ282" s="4">
        <f t="shared" si="282"/>
        <v>0</v>
      </c>
      <c r="CA282" s="4">
        <f t="shared" si="283"/>
        <v>0</v>
      </c>
      <c r="CB282" s="4">
        <f t="shared" si="284"/>
        <v>0</v>
      </c>
      <c r="CC282" s="4">
        <f t="shared" si="285"/>
        <v>0</v>
      </c>
      <c r="CD282" s="4">
        <f t="shared" si="286"/>
        <v>0</v>
      </c>
      <c r="CE282" s="4">
        <f t="shared" si="287"/>
        <v>0</v>
      </c>
      <c r="CF282" s="4">
        <f t="shared" si="288"/>
        <v>0</v>
      </c>
      <c r="CG282" s="4">
        <f t="shared" si="289"/>
        <v>0</v>
      </c>
      <c r="CH282" s="4">
        <f t="shared" si="290"/>
        <v>0</v>
      </c>
      <c r="CI282" s="4">
        <f t="shared" si="291"/>
        <v>0</v>
      </c>
      <c r="CJ282" s="4">
        <f t="shared" si="292"/>
        <v>0</v>
      </c>
      <c r="CK282" s="4">
        <f t="shared" si="293"/>
        <v>0</v>
      </c>
      <c r="CL282" s="4">
        <f t="shared" si="294"/>
        <v>0</v>
      </c>
      <c r="CM282" s="4">
        <f t="shared" si="295"/>
        <v>0</v>
      </c>
      <c r="CN282" s="4">
        <f t="shared" si="296"/>
        <v>0</v>
      </c>
      <c r="CO282" s="4">
        <f t="shared" si="297"/>
        <v>0</v>
      </c>
      <c r="CP282" s="4">
        <f t="shared" si="298"/>
        <v>0</v>
      </c>
      <c r="CQ282" s="4">
        <f t="shared" si="299"/>
        <v>0</v>
      </c>
      <c r="CR282" s="4">
        <f t="shared" si="300"/>
        <v>0</v>
      </c>
      <c r="CS282" s="4">
        <f t="shared" si="301"/>
        <v>0</v>
      </c>
      <c r="CT282" s="4">
        <f t="shared" si="302"/>
        <v>0</v>
      </c>
      <c r="CU282" s="4">
        <f t="shared" si="303"/>
        <v>0</v>
      </c>
      <c r="CV282" s="4">
        <f t="shared" si="304"/>
        <v>0</v>
      </c>
      <c r="CW282" s="4">
        <f t="shared" si="305"/>
        <v>0</v>
      </c>
      <c r="CX282" s="4">
        <f t="shared" si="306"/>
        <v>0</v>
      </c>
      <c r="CY282" s="4">
        <f t="shared" si="307"/>
        <v>0</v>
      </c>
      <c r="CZ282" s="4">
        <f t="shared" si="308"/>
        <v>0</v>
      </c>
      <c r="DA282" s="4">
        <f t="shared" si="309"/>
        <v>0</v>
      </c>
      <c r="DB282" s="4">
        <f t="shared" si="310"/>
        <v>0</v>
      </c>
      <c r="DC282" s="4">
        <f t="shared" si="311"/>
        <v>0</v>
      </c>
      <c r="DD282" s="4">
        <f t="shared" si="312"/>
        <v>0</v>
      </c>
    </row>
    <row r="283" spans="1:108" x14ac:dyDescent="0.25">
      <c r="A283" s="41" t="str">
        <f>Skills!M265</f>
        <v>Lore, 0</v>
      </c>
      <c r="B283" s="57">
        <f>Skills!N265</f>
        <v>0</v>
      </c>
      <c r="C283" s="24">
        <f t="shared" si="313"/>
        <v>0</v>
      </c>
      <c r="D283" s="110" t="e">
        <f>Skills!S265</f>
        <v>#N/A</v>
      </c>
      <c r="E283" s="111" t="e">
        <f>Profession!$B$139</f>
        <v>#REF!</v>
      </c>
      <c r="F283" s="18"/>
      <c r="G283" s="18"/>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49"/>
      <c r="BF283" s="4">
        <f t="shared" si="263"/>
        <v>0</v>
      </c>
      <c r="BG283" s="4">
        <f t="shared" si="263"/>
        <v>0</v>
      </c>
      <c r="BH283" s="4">
        <f t="shared" si="264"/>
        <v>0</v>
      </c>
      <c r="BI283" s="4">
        <f t="shared" si="265"/>
        <v>0</v>
      </c>
      <c r="BJ283" s="4">
        <f t="shared" si="266"/>
        <v>0</v>
      </c>
      <c r="BK283" s="4">
        <f t="shared" si="267"/>
        <v>0</v>
      </c>
      <c r="BL283" s="4">
        <f t="shared" si="268"/>
        <v>0</v>
      </c>
      <c r="BM283" s="4">
        <f t="shared" si="269"/>
        <v>0</v>
      </c>
      <c r="BN283" s="4">
        <f t="shared" si="270"/>
        <v>0</v>
      </c>
      <c r="BO283" s="4">
        <f t="shared" si="271"/>
        <v>0</v>
      </c>
      <c r="BP283" s="4">
        <f t="shared" si="272"/>
        <v>0</v>
      </c>
      <c r="BQ283" s="4">
        <f t="shared" si="273"/>
        <v>0</v>
      </c>
      <c r="BR283" s="4">
        <f t="shared" si="274"/>
        <v>0</v>
      </c>
      <c r="BS283" s="4">
        <f t="shared" si="275"/>
        <v>0</v>
      </c>
      <c r="BT283" s="4">
        <f t="shared" si="276"/>
        <v>0</v>
      </c>
      <c r="BU283" s="4">
        <f t="shared" si="277"/>
        <v>0</v>
      </c>
      <c r="BV283" s="4">
        <f t="shared" si="278"/>
        <v>0</v>
      </c>
      <c r="BW283" s="4">
        <f t="shared" si="279"/>
        <v>0</v>
      </c>
      <c r="BX283" s="4">
        <f t="shared" si="280"/>
        <v>0</v>
      </c>
      <c r="BY283" s="4">
        <f t="shared" si="281"/>
        <v>0</v>
      </c>
      <c r="BZ283" s="4">
        <f t="shared" si="282"/>
        <v>0</v>
      </c>
      <c r="CA283" s="4">
        <f t="shared" si="283"/>
        <v>0</v>
      </c>
      <c r="CB283" s="4">
        <f t="shared" si="284"/>
        <v>0</v>
      </c>
      <c r="CC283" s="4">
        <f t="shared" si="285"/>
        <v>0</v>
      </c>
      <c r="CD283" s="4">
        <f t="shared" si="286"/>
        <v>0</v>
      </c>
      <c r="CE283" s="4">
        <f t="shared" si="287"/>
        <v>0</v>
      </c>
      <c r="CF283" s="4">
        <f t="shared" si="288"/>
        <v>0</v>
      </c>
      <c r="CG283" s="4">
        <f t="shared" si="289"/>
        <v>0</v>
      </c>
      <c r="CH283" s="4">
        <f t="shared" si="290"/>
        <v>0</v>
      </c>
      <c r="CI283" s="4">
        <f t="shared" si="291"/>
        <v>0</v>
      </c>
      <c r="CJ283" s="4">
        <f t="shared" si="292"/>
        <v>0</v>
      </c>
      <c r="CK283" s="4">
        <f t="shared" si="293"/>
        <v>0</v>
      </c>
      <c r="CL283" s="4">
        <f t="shared" si="294"/>
        <v>0</v>
      </c>
      <c r="CM283" s="4">
        <f t="shared" si="295"/>
        <v>0</v>
      </c>
      <c r="CN283" s="4">
        <f t="shared" si="296"/>
        <v>0</v>
      </c>
      <c r="CO283" s="4">
        <f t="shared" si="297"/>
        <v>0</v>
      </c>
      <c r="CP283" s="4">
        <f t="shared" si="298"/>
        <v>0</v>
      </c>
      <c r="CQ283" s="4">
        <f t="shared" si="299"/>
        <v>0</v>
      </c>
      <c r="CR283" s="4">
        <f t="shared" si="300"/>
        <v>0</v>
      </c>
      <c r="CS283" s="4">
        <f t="shared" si="301"/>
        <v>0</v>
      </c>
      <c r="CT283" s="4">
        <f t="shared" si="302"/>
        <v>0</v>
      </c>
      <c r="CU283" s="4">
        <f t="shared" si="303"/>
        <v>0</v>
      </c>
      <c r="CV283" s="4">
        <f t="shared" si="304"/>
        <v>0</v>
      </c>
      <c r="CW283" s="4">
        <f t="shared" si="305"/>
        <v>0</v>
      </c>
      <c r="CX283" s="4">
        <f t="shared" si="306"/>
        <v>0</v>
      </c>
      <c r="CY283" s="4">
        <f t="shared" si="307"/>
        <v>0</v>
      </c>
      <c r="CZ283" s="4">
        <f t="shared" si="308"/>
        <v>0</v>
      </c>
      <c r="DA283" s="4">
        <f t="shared" si="309"/>
        <v>0</v>
      </c>
      <c r="DB283" s="4">
        <f t="shared" si="310"/>
        <v>0</v>
      </c>
      <c r="DC283" s="4">
        <f t="shared" si="311"/>
        <v>0</v>
      </c>
      <c r="DD283" s="4">
        <f t="shared" si="312"/>
        <v>0</v>
      </c>
    </row>
    <row r="284" spans="1:108" x14ac:dyDescent="0.25">
      <c r="A284" s="41" t="str">
        <f>Skills!M266</f>
        <v>Lore, 0</v>
      </c>
      <c r="B284" s="55">
        <f>Skills!N266</f>
        <v>0</v>
      </c>
      <c r="C284" s="22">
        <f t="shared" si="313"/>
        <v>0</v>
      </c>
      <c r="D284" s="112" t="e">
        <f>Skills!S266</f>
        <v>#N/A</v>
      </c>
      <c r="E284" s="113" t="e">
        <f>Profession!$B$139</f>
        <v>#REF!</v>
      </c>
      <c r="F284" s="19"/>
      <c r="G284" s="19"/>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56"/>
      <c r="BF284" s="4">
        <f t="shared" si="263"/>
        <v>0</v>
      </c>
      <c r="BG284" s="4">
        <f t="shared" si="263"/>
        <v>0</v>
      </c>
      <c r="BH284" s="4">
        <f t="shared" si="264"/>
        <v>0</v>
      </c>
      <c r="BI284" s="4">
        <f t="shared" si="265"/>
        <v>0</v>
      </c>
      <c r="BJ284" s="4">
        <f t="shared" si="266"/>
        <v>0</v>
      </c>
      <c r="BK284" s="4">
        <f t="shared" si="267"/>
        <v>0</v>
      </c>
      <c r="BL284" s="4">
        <f t="shared" si="268"/>
        <v>0</v>
      </c>
      <c r="BM284" s="4">
        <f t="shared" si="269"/>
        <v>0</v>
      </c>
      <c r="BN284" s="4">
        <f t="shared" si="270"/>
        <v>0</v>
      </c>
      <c r="BO284" s="4">
        <f t="shared" si="271"/>
        <v>0</v>
      </c>
      <c r="BP284" s="4">
        <f t="shared" si="272"/>
        <v>0</v>
      </c>
      <c r="BQ284" s="4">
        <f t="shared" si="273"/>
        <v>0</v>
      </c>
      <c r="BR284" s="4">
        <f t="shared" si="274"/>
        <v>0</v>
      </c>
      <c r="BS284" s="4">
        <f t="shared" si="275"/>
        <v>0</v>
      </c>
      <c r="BT284" s="4">
        <f t="shared" si="276"/>
        <v>0</v>
      </c>
      <c r="BU284" s="4">
        <f t="shared" si="277"/>
        <v>0</v>
      </c>
      <c r="BV284" s="4">
        <f t="shared" si="278"/>
        <v>0</v>
      </c>
      <c r="BW284" s="4">
        <f t="shared" si="279"/>
        <v>0</v>
      </c>
      <c r="BX284" s="4">
        <f t="shared" si="280"/>
        <v>0</v>
      </c>
      <c r="BY284" s="4">
        <f t="shared" si="281"/>
        <v>0</v>
      </c>
      <c r="BZ284" s="4">
        <f t="shared" si="282"/>
        <v>0</v>
      </c>
      <c r="CA284" s="4">
        <f t="shared" si="283"/>
        <v>0</v>
      </c>
      <c r="CB284" s="4">
        <f t="shared" si="284"/>
        <v>0</v>
      </c>
      <c r="CC284" s="4">
        <f t="shared" si="285"/>
        <v>0</v>
      </c>
      <c r="CD284" s="4">
        <f t="shared" si="286"/>
        <v>0</v>
      </c>
      <c r="CE284" s="4">
        <f t="shared" si="287"/>
        <v>0</v>
      </c>
      <c r="CF284" s="4">
        <f t="shared" si="288"/>
        <v>0</v>
      </c>
      <c r="CG284" s="4">
        <f t="shared" si="289"/>
        <v>0</v>
      </c>
      <c r="CH284" s="4">
        <f t="shared" si="290"/>
        <v>0</v>
      </c>
      <c r="CI284" s="4">
        <f t="shared" si="291"/>
        <v>0</v>
      </c>
      <c r="CJ284" s="4">
        <f t="shared" si="292"/>
        <v>0</v>
      </c>
      <c r="CK284" s="4">
        <f t="shared" si="293"/>
        <v>0</v>
      </c>
      <c r="CL284" s="4">
        <f t="shared" si="294"/>
        <v>0</v>
      </c>
      <c r="CM284" s="4">
        <f t="shared" si="295"/>
        <v>0</v>
      </c>
      <c r="CN284" s="4">
        <f t="shared" si="296"/>
        <v>0</v>
      </c>
      <c r="CO284" s="4">
        <f t="shared" si="297"/>
        <v>0</v>
      </c>
      <c r="CP284" s="4">
        <f t="shared" si="298"/>
        <v>0</v>
      </c>
      <c r="CQ284" s="4">
        <f t="shared" si="299"/>
        <v>0</v>
      </c>
      <c r="CR284" s="4">
        <f t="shared" si="300"/>
        <v>0</v>
      </c>
      <c r="CS284" s="4">
        <f t="shared" si="301"/>
        <v>0</v>
      </c>
      <c r="CT284" s="4">
        <f t="shared" si="302"/>
        <v>0</v>
      </c>
      <c r="CU284" s="4">
        <f t="shared" si="303"/>
        <v>0</v>
      </c>
      <c r="CV284" s="4">
        <f t="shared" si="304"/>
        <v>0</v>
      </c>
      <c r="CW284" s="4">
        <f t="shared" si="305"/>
        <v>0</v>
      </c>
      <c r="CX284" s="4">
        <f t="shared" si="306"/>
        <v>0</v>
      </c>
      <c r="CY284" s="4">
        <f t="shared" si="307"/>
        <v>0</v>
      </c>
      <c r="CZ284" s="4">
        <f t="shared" si="308"/>
        <v>0</v>
      </c>
      <c r="DA284" s="4">
        <f t="shared" si="309"/>
        <v>0</v>
      </c>
      <c r="DB284" s="4">
        <f t="shared" si="310"/>
        <v>0</v>
      </c>
      <c r="DC284" s="4">
        <f t="shared" si="311"/>
        <v>0</v>
      </c>
      <c r="DD284" s="4">
        <f t="shared" si="312"/>
        <v>0</v>
      </c>
    </row>
    <row r="285" spans="1:108" x14ac:dyDescent="0.25">
      <c r="A285" s="41">
        <f>Skills!M267</f>
        <v>0</v>
      </c>
      <c r="B285" s="57" t="str">
        <f>Skills!N267</f>
        <v>Appraisal Sub-category</v>
      </c>
      <c r="C285" s="24">
        <f t="shared" si="313"/>
        <v>0</v>
      </c>
      <c r="D285" s="110" t="str">
        <f>Skills!S267</f>
        <v>- -</v>
      </c>
      <c r="E285" s="111" t="s">
        <v>782</v>
      </c>
      <c r="F285" s="18"/>
      <c r="G285" s="18"/>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49"/>
      <c r="BF285" s="4">
        <f t="shared" si="263"/>
        <v>0</v>
      </c>
      <c r="BG285" s="4">
        <f t="shared" si="263"/>
        <v>0</v>
      </c>
      <c r="BH285" s="4">
        <f t="shared" si="264"/>
        <v>0</v>
      </c>
      <c r="BI285" s="4">
        <f t="shared" si="265"/>
        <v>0</v>
      </c>
      <c r="BJ285" s="4">
        <f t="shared" si="266"/>
        <v>0</v>
      </c>
      <c r="BK285" s="4">
        <f t="shared" si="267"/>
        <v>0</v>
      </c>
      <c r="BL285" s="4">
        <f t="shared" si="268"/>
        <v>0</v>
      </c>
      <c r="BM285" s="4">
        <f t="shared" si="269"/>
        <v>0</v>
      </c>
      <c r="BN285" s="4">
        <f t="shared" si="270"/>
        <v>0</v>
      </c>
      <c r="BO285" s="4">
        <f t="shared" si="271"/>
        <v>0</v>
      </c>
      <c r="BP285" s="4">
        <f t="shared" si="272"/>
        <v>0</v>
      </c>
      <c r="BQ285" s="4">
        <f t="shared" si="273"/>
        <v>0</v>
      </c>
      <c r="BR285" s="4">
        <f t="shared" si="274"/>
        <v>0</v>
      </c>
      <c r="BS285" s="4">
        <f t="shared" si="275"/>
        <v>0</v>
      </c>
      <c r="BT285" s="4">
        <f t="shared" si="276"/>
        <v>0</v>
      </c>
      <c r="BU285" s="4">
        <f t="shared" si="277"/>
        <v>0</v>
      </c>
      <c r="BV285" s="4">
        <f t="shared" si="278"/>
        <v>0</v>
      </c>
      <c r="BW285" s="4">
        <f t="shared" si="279"/>
        <v>0</v>
      </c>
      <c r="BX285" s="4">
        <f t="shared" si="280"/>
        <v>0</v>
      </c>
      <c r="BY285" s="4">
        <f t="shared" si="281"/>
        <v>0</v>
      </c>
      <c r="BZ285" s="4">
        <f t="shared" si="282"/>
        <v>0</v>
      </c>
      <c r="CA285" s="4">
        <f t="shared" si="283"/>
        <v>0</v>
      </c>
      <c r="CB285" s="4">
        <f t="shared" si="284"/>
        <v>0</v>
      </c>
      <c r="CC285" s="4">
        <f t="shared" si="285"/>
        <v>0</v>
      </c>
      <c r="CD285" s="4">
        <f t="shared" si="286"/>
        <v>0</v>
      </c>
      <c r="CE285" s="4">
        <f t="shared" si="287"/>
        <v>0</v>
      </c>
      <c r="CF285" s="4">
        <f t="shared" si="288"/>
        <v>0</v>
      </c>
      <c r="CG285" s="4">
        <f t="shared" si="289"/>
        <v>0</v>
      </c>
      <c r="CH285" s="4">
        <f t="shared" si="290"/>
        <v>0</v>
      </c>
      <c r="CI285" s="4">
        <f t="shared" si="291"/>
        <v>0</v>
      </c>
      <c r="CJ285" s="4">
        <f t="shared" si="292"/>
        <v>0</v>
      </c>
      <c r="CK285" s="4">
        <f t="shared" si="293"/>
        <v>0</v>
      </c>
      <c r="CL285" s="4">
        <f t="shared" si="294"/>
        <v>0</v>
      </c>
      <c r="CM285" s="4">
        <f t="shared" si="295"/>
        <v>0</v>
      </c>
      <c r="CN285" s="4">
        <f t="shared" si="296"/>
        <v>0</v>
      </c>
      <c r="CO285" s="4">
        <f t="shared" si="297"/>
        <v>0</v>
      </c>
      <c r="CP285" s="4">
        <f t="shared" si="298"/>
        <v>0</v>
      </c>
      <c r="CQ285" s="4">
        <f t="shared" si="299"/>
        <v>0</v>
      </c>
      <c r="CR285" s="4">
        <f t="shared" si="300"/>
        <v>0</v>
      </c>
      <c r="CS285" s="4">
        <f t="shared" si="301"/>
        <v>0</v>
      </c>
      <c r="CT285" s="4">
        <f t="shared" si="302"/>
        <v>0</v>
      </c>
      <c r="CU285" s="4">
        <f t="shared" si="303"/>
        <v>0</v>
      </c>
      <c r="CV285" s="4">
        <f t="shared" si="304"/>
        <v>0</v>
      </c>
      <c r="CW285" s="4">
        <f t="shared" si="305"/>
        <v>0</v>
      </c>
      <c r="CX285" s="4">
        <f t="shared" si="306"/>
        <v>0</v>
      </c>
      <c r="CY285" s="4">
        <f t="shared" si="307"/>
        <v>0</v>
      </c>
      <c r="CZ285" s="4">
        <f t="shared" si="308"/>
        <v>0</v>
      </c>
      <c r="DA285" s="4">
        <f t="shared" si="309"/>
        <v>0</v>
      </c>
      <c r="DB285" s="4">
        <f t="shared" si="310"/>
        <v>0</v>
      </c>
      <c r="DC285" s="4">
        <f t="shared" si="311"/>
        <v>0</v>
      </c>
      <c r="DD285" s="4">
        <f t="shared" si="312"/>
        <v>0</v>
      </c>
    </row>
    <row r="286" spans="1:108" x14ac:dyDescent="0.25">
      <c r="A286" s="41">
        <f>Skills!M268</f>
        <v>0</v>
      </c>
      <c r="B286" s="55" t="str">
        <f>Skills!N268</f>
        <v>Appraisal Skills</v>
      </c>
      <c r="C286" s="22">
        <f t="shared" si="313"/>
        <v>0</v>
      </c>
      <c r="D286" s="112" t="str">
        <f>Skills!S268</f>
        <v>- -</v>
      </c>
      <c r="E286" s="113" t="s">
        <v>782</v>
      </c>
      <c r="F286" s="19"/>
      <c r="G286" s="19"/>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56"/>
      <c r="BF286" s="4">
        <f t="shared" si="263"/>
        <v>0</v>
      </c>
      <c r="BG286" s="4">
        <f t="shared" si="263"/>
        <v>0</v>
      </c>
      <c r="BH286" s="4">
        <f t="shared" si="264"/>
        <v>0</v>
      </c>
      <c r="BI286" s="4">
        <f t="shared" si="265"/>
        <v>0</v>
      </c>
      <c r="BJ286" s="4">
        <f t="shared" si="266"/>
        <v>0</v>
      </c>
      <c r="BK286" s="4">
        <f t="shared" si="267"/>
        <v>0</v>
      </c>
      <c r="BL286" s="4">
        <f t="shared" si="268"/>
        <v>0</v>
      </c>
      <c r="BM286" s="4">
        <f t="shared" si="269"/>
        <v>0</v>
      </c>
      <c r="BN286" s="4">
        <f t="shared" si="270"/>
        <v>0</v>
      </c>
      <c r="BO286" s="4">
        <f t="shared" si="271"/>
        <v>0</v>
      </c>
      <c r="BP286" s="4">
        <f t="shared" si="272"/>
        <v>0</v>
      </c>
      <c r="BQ286" s="4">
        <f t="shared" si="273"/>
        <v>0</v>
      </c>
      <c r="BR286" s="4">
        <f t="shared" si="274"/>
        <v>0</v>
      </c>
      <c r="BS286" s="4">
        <f t="shared" si="275"/>
        <v>0</v>
      </c>
      <c r="BT286" s="4">
        <f t="shared" si="276"/>
        <v>0</v>
      </c>
      <c r="BU286" s="4">
        <f t="shared" si="277"/>
        <v>0</v>
      </c>
      <c r="BV286" s="4">
        <f t="shared" si="278"/>
        <v>0</v>
      </c>
      <c r="BW286" s="4">
        <f t="shared" si="279"/>
        <v>0</v>
      </c>
      <c r="BX286" s="4">
        <f t="shared" si="280"/>
        <v>0</v>
      </c>
      <c r="BY286" s="4">
        <f t="shared" si="281"/>
        <v>0</v>
      </c>
      <c r="BZ286" s="4">
        <f t="shared" si="282"/>
        <v>0</v>
      </c>
      <c r="CA286" s="4">
        <f t="shared" si="283"/>
        <v>0</v>
      </c>
      <c r="CB286" s="4">
        <f t="shared" si="284"/>
        <v>0</v>
      </c>
      <c r="CC286" s="4">
        <f t="shared" si="285"/>
        <v>0</v>
      </c>
      <c r="CD286" s="4">
        <f t="shared" si="286"/>
        <v>0</v>
      </c>
      <c r="CE286" s="4">
        <f t="shared" si="287"/>
        <v>0</v>
      </c>
      <c r="CF286" s="4">
        <f t="shared" si="288"/>
        <v>0</v>
      </c>
      <c r="CG286" s="4">
        <f t="shared" si="289"/>
        <v>0</v>
      </c>
      <c r="CH286" s="4">
        <f t="shared" si="290"/>
        <v>0</v>
      </c>
      <c r="CI286" s="4">
        <f t="shared" si="291"/>
        <v>0</v>
      </c>
      <c r="CJ286" s="4">
        <f t="shared" si="292"/>
        <v>0</v>
      </c>
      <c r="CK286" s="4">
        <f t="shared" si="293"/>
        <v>0</v>
      </c>
      <c r="CL286" s="4">
        <f t="shared" si="294"/>
        <v>0</v>
      </c>
      <c r="CM286" s="4">
        <f t="shared" si="295"/>
        <v>0</v>
      </c>
      <c r="CN286" s="4">
        <f t="shared" si="296"/>
        <v>0</v>
      </c>
      <c r="CO286" s="4">
        <f t="shared" si="297"/>
        <v>0</v>
      </c>
      <c r="CP286" s="4">
        <f t="shared" si="298"/>
        <v>0</v>
      </c>
      <c r="CQ286" s="4">
        <f t="shared" si="299"/>
        <v>0</v>
      </c>
      <c r="CR286" s="4">
        <f t="shared" si="300"/>
        <v>0</v>
      </c>
      <c r="CS286" s="4">
        <f t="shared" si="301"/>
        <v>0</v>
      </c>
      <c r="CT286" s="4">
        <f t="shared" si="302"/>
        <v>0</v>
      </c>
      <c r="CU286" s="4">
        <f t="shared" si="303"/>
        <v>0</v>
      </c>
      <c r="CV286" s="4">
        <f t="shared" si="304"/>
        <v>0</v>
      </c>
      <c r="CW286" s="4">
        <f t="shared" si="305"/>
        <v>0</v>
      </c>
      <c r="CX286" s="4">
        <f t="shared" si="306"/>
        <v>0</v>
      </c>
      <c r="CY286" s="4">
        <f t="shared" si="307"/>
        <v>0</v>
      </c>
      <c r="CZ286" s="4">
        <f t="shared" si="308"/>
        <v>0</v>
      </c>
      <c r="DA286" s="4">
        <f t="shared" si="309"/>
        <v>0</v>
      </c>
      <c r="DB286" s="4">
        <f t="shared" si="310"/>
        <v>0</v>
      </c>
      <c r="DC286" s="4">
        <f t="shared" si="311"/>
        <v>0</v>
      </c>
      <c r="DD286" s="4">
        <f t="shared" si="312"/>
        <v>0</v>
      </c>
    </row>
    <row r="287" spans="1:108" x14ac:dyDescent="0.25">
      <c r="A287" s="41" t="str">
        <f>Skills!M269</f>
        <v>Appraisal</v>
      </c>
      <c r="B287" s="57" t="str">
        <f>Skills!N269</f>
        <v>Appraisal</v>
      </c>
      <c r="C287" s="24">
        <f t="shared" si="313"/>
        <v>0</v>
      </c>
      <c r="D287" s="110">
        <f>Skills!S269</f>
        <v>0</v>
      </c>
      <c r="E287" s="111" t="e">
        <f>Profession!$B$140</f>
        <v>#REF!</v>
      </c>
      <c r="F287" s="18"/>
      <c r="G287" s="18"/>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49"/>
      <c r="BF287" s="4">
        <f t="shared" si="263"/>
        <v>0</v>
      </c>
      <c r="BG287" s="4">
        <f t="shared" si="263"/>
        <v>0</v>
      </c>
      <c r="BH287" s="4">
        <f t="shared" si="264"/>
        <v>0</v>
      </c>
      <c r="BI287" s="4">
        <f t="shared" si="265"/>
        <v>0</v>
      </c>
      <c r="BJ287" s="4">
        <f t="shared" si="266"/>
        <v>0</v>
      </c>
      <c r="BK287" s="4">
        <f t="shared" si="267"/>
        <v>0</v>
      </c>
      <c r="BL287" s="4">
        <f t="shared" si="268"/>
        <v>0</v>
      </c>
      <c r="BM287" s="4">
        <f t="shared" si="269"/>
        <v>0</v>
      </c>
      <c r="BN287" s="4">
        <f t="shared" si="270"/>
        <v>0</v>
      </c>
      <c r="BO287" s="4">
        <f t="shared" si="271"/>
        <v>0</v>
      </c>
      <c r="BP287" s="4">
        <f t="shared" si="272"/>
        <v>0</v>
      </c>
      <c r="BQ287" s="4">
        <f t="shared" si="273"/>
        <v>0</v>
      </c>
      <c r="BR287" s="4">
        <f t="shared" si="274"/>
        <v>0</v>
      </c>
      <c r="BS287" s="4">
        <f t="shared" si="275"/>
        <v>0</v>
      </c>
      <c r="BT287" s="4">
        <f t="shared" si="276"/>
        <v>0</v>
      </c>
      <c r="BU287" s="4">
        <f t="shared" si="277"/>
        <v>0</v>
      </c>
      <c r="BV287" s="4">
        <f t="shared" si="278"/>
        <v>0</v>
      </c>
      <c r="BW287" s="4">
        <f t="shared" si="279"/>
        <v>0</v>
      </c>
      <c r="BX287" s="4">
        <f t="shared" si="280"/>
        <v>0</v>
      </c>
      <c r="BY287" s="4">
        <f t="shared" si="281"/>
        <v>0</v>
      </c>
      <c r="BZ287" s="4">
        <f t="shared" si="282"/>
        <v>0</v>
      </c>
      <c r="CA287" s="4">
        <f t="shared" si="283"/>
        <v>0</v>
      </c>
      <c r="CB287" s="4">
        <f t="shared" si="284"/>
        <v>0</v>
      </c>
      <c r="CC287" s="4">
        <f t="shared" si="285"/>
        <v>0</v>
      </c>
      <c r="CD287" s="4">
        <f t="shared" si="286"/>
        <v>0</v>
      </c>
      <c r="CE287" s="4">
        <f t="shared" si="287"/>
        <v>0</v>
      </c>
      <c r="CF287" s="4">
        <f t="shared" si="288"/>
        <v>0</v>
      </c>
      <c r="CG287" s="4">
        <f t="shared" si="289"/>
        <v>0</v>
      </c>
      <c r="CH287" s="4">
        <f t="shared" si="290"/>
        <v>0</v>
      </c>
      <c r="CI287" s="4">
        <f t="shared" si="291"/>
        <v>0</v>
      </c>
      <c r="CJ287" s="4">
        <f t="shared" si="292"/>
        <v>0</v>
      </c>
      <c r="CK287" s="4">
        <f t="shared" si="293"/>
        <v>0</v>
      </c>
      <c r="CL287" s="4">
        <f t="shared" si="294"/>
        <v>0</v>
      </c>
      <c r="CM287" s="4">
        <f t="shared" si="295"/>
        <v>0</v>
      </c>
      <c r="CN287" s="4">
        <f t="shared" si="296"/>
        <v>0</v>
      </c>
      <c r="CO287" s="4">
        <f t="shared" si="297"/>
        <v>0</v>
      </c>
      <c r="CP287" s="4">
        <f t="shared" si="298"/>
        <v>0</v>
      </c>
      <c r="CQ287" s="4">
        <f t="shared" si="299"/>
        <v>0</v>
      </c>
      <c r="CR287" s="4">
        <f t="shared" si="300"/>
        <v>0</v>
      </c>
      <c r="CS287" s="4">
        <f t="shared" si="301"/>
        <v>0</v>
      </c>
      <c r="CT287" s="4">
        <f t="shared" si="302"/>
        <v>0</v>
      </c>
      <c r="CU287" s="4">
        <f t="shared" si="303"/>
        <v>0</v>
      </c>
      <c r="CV287" s="4">
        <f t="shared" si="304"/>
        <v>0</v>
      </c>
      <c r="CW287" s="4">
        <f t="shared" si="305"/>
        <v>0</v>
      </c>
      <c r="CX287" s="4">
        <f t="shared" si="306"/>
        <v>0</v>
      </c>
      <c r="CY287" s="4">
        <f t="shared" si="307"/>
        <v>0</v>
      </c>
      <c r="CZ287" s="4">
        <f t="shared" si="308"/>
        <v>0</v>
      </c>
      <c r="DA287" s="4">
        <f t="shared" si="309"/>
        <v>0</v>
      </c>
      <c r="DB287" s="4">
        <f t="shared" si="310"/>
        <v>0</v>
      </c>
      <c r="DC287" s="4">
        <f t="shared" si="311"/>
        <v>0</v>
      </c>
      <c r="DD287" s="4">
        <f t="shared" si="312"/>
        <v>0</v>
      </c>
    </row>
    <row r="288" spans="1:108" x14ac:dyDescent="0.25">
      <c r="A288" s="41" t="str">
        <f>Skills!M270</f>
        <v>Evaluation, Armour</v>
      </c>
      <c r="B288" s="55" t="str">
        <f>Skills!N270</f>
        <v>Evaluation, Armour</v>
      </c>
      <c r="C288" s="22">
        <f t="shared" si="313"/>
        <v>0</v>
      </c>
      <c r="D288" s="112" t="e">
        <f>Skills!S270</f>
        <v>#N/A</v>
      </c>
      <c r="E288" s="113" t="e">
        <f>Profession!$B$140</f>
        <v>#REF!</v>
      </c>
      <c r="F288" s="19"/>
      <c r="G288" s="19"/>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56"/>
      <c r="BF288" s="4">
        <f t="shared" si="263"/>
        <v>0</v>
      </c>
      <c r="BG288" s="4">
        <f t="shared" si="263"/>
        <v>0</v>
      </c>
      <c r="BH288" s="4">
        <f t="shared" si="264"/>
        <v>0</v>
      </c>
      <c r="BI288" s="4">
        <f t="shared" si="265"/>
        <v>0</v>
      </c>
      <c r="BJ288" s="4">
        <f t="shared" si="266"/>
        <v>0</v>
      </c>
      <c r="BK288" s="4">
        <f t="shared" si="267"/>
        <v>0</v>
      </c>
      <c r="BL288" s="4">
        <f t="shared" si="268"/>
        <v>0</v>
      </c>
      <c r="BM288" s="4">
        <f t="shared" si="269"/>
        <v>0</v>
      </c>
      <c r="BN288" s="4">
        <f t="shared" si="270"/>
        <v>0</v>
      </c>
      <c r="BO288" s="4">
        <f t="shared" si="271"/>
        <v>0</v>
      </c>
      <c r="BP288" s="4">
        <f t="shared" si="272"/>
        <v>0</v>
      </c>
      <c r="BQ288" s="4">
        <f t="shared" si="273"/>
        <v>0</v>
      </c>
      <c r="BR288" s="4">
        <f t="shared" si="274"/>
        <v>0</v>
      </c>
      <c r="BS288" s="4">
        <f t="shared" si="275"/>
        <v>0</v>
      </c>
      <c r="BT288" s="4">
        <f t="shared" si="276"/>
        <v>0</v>
      </c>
      <c r="BU288" s="4">
        <f t="shared" si="277"/>
        <v>0</v>
      </c>
      <c r="BV288" s="4">
        <f t="shared" si="278"/>
        <v>0</v>
      </c>
      <c r="BW288" s="4">
        <f t="shared" si="279"/>
        <v>0</v>
      </c>
      <c r="BX288" s="4">
        <f t="shared" si="280"/>
        <v>0</v>
      </c>
      <c r="BY288" s="4">
        <f t="shared" si="281"/>
        <v>0</v>
      </c>
      <c r="BZ288" s="4">
        <f t="shared" si="282"/>
        <v>0</v>
      </c>
      <c r="CA288" s="4">
        <f t="shared" si="283"/>
        <v>0</v>
      </c>
      <c r="CB288" s="4">
        <f t="shared" si="284"/>
        <v>0</v>
      </c>
      <c r="CC288" s="4">
        <f t="shared" si="285"/>
        <v>0</v>
      </c>
      <c r="CD288" s="4">
        <f t="shared" si="286"/>
        <v>0</v>
      </c>
      <c r="CE288" s="4">
        <f t="shared" si="287"/>
        <v>0</v>
      </c>
      <c r="CF288" s="4">
        <f t="shared" si="288"/>
        <v>0</v>
      </c>
      <c r="CG288" s="4">
        <f t="shared" si="289"/>
        <v>0</v>
      </c>
      <c r="CH288" s="4">
        <f t="shared" si="290"/>
        <v>0</v>
      </c>
      <c r="CI288" s="4">
        <f t="shared" si="291"/>
        <v>0</v>
      </c>
      <c r="CJ288" s="4">
        <f t="shared" si="292"/>
        <v>0</v>
      </c>
      <c r="CK288" s="4">
        <f t="shared" si="293"/>
        <v>0</v>
      </c>
      <c r="CL288" s="4">
        <f t="shared" si="294"/>
        <v>0</v>
      </c>
      <c r="CM288" s="4">
        <f t="shared" si="295"/>
        <v>0</v>
      </c>
      <c r="CN288" s="4">
        <f t="shared" si="296"/>
        <v>0</v>
      </c>
      <c r="CO288" s="4">
        <f t="shared" si="297"/>
        <v>0</v>
      </c>
      <c r="CP288" s="4">
        <f t="shared" si="298"/>
        <v>0</v>
      </c>
      <c r="CQ288" s="4">
        <f t="shared" si="299"/>
        <v>0</v>
      </c>
      <c r="CR288" s="4">
        <f t="shared" si="300"/>
        <v>0</v>
      </c>
      <c r="CS288" s="4">
        <f t="shared" si="301"/>
        <v>0</v>
      </c>
      <c r="CT288" s="4">
        <f t="shared" si="302"/>
        <v>0</v>
      </c>
      <c r="CU288" s="4">
        <f t="shared" si="303"/>
        <v>0</v>
      </c>
      <c r="CV288" s="4">
        <f t="shared" si="304"/>
        <v>0</v>
      </c>
      <c r="CW288" s="4">
        <f t="shared" si="305"/>
        <v>0</v>
      </c>
      <c r="CX288" s="4">
        <f t="shared" si="306"/>
        <v>0</v>
      </c>
      <c r="CY288" s="4">
        <f t="shared" si="307"/>
        <v>0</v>
      </c>
      <c r="CZ288" s="4">
        <f t="shared" si="308"/>
        <v>0</v>
      </c>
      <c r="DA288" s="4">
        <f t="shared" si="309"/>
        <v>0</v>
      </c>
      <c r="DB288" s="4">
        <f t="shared" si="310"/>
        <v>0</v>
      </c>
      <c r="DC288" s="4">
        <f t="shared" si="311"/>
        <v>0</v>
      </c>
      <c r="DD288" s="4">
        <f t="shared" si="312"/>
        <v>0</v>
      </c>
    </row>
    <row r="289" spans="1:108" x14ac:dyDescent="0.25">
      <c r="A289" s="41" t="str">
        <f>Skills!M271</f>
        <v>Evaluation, Weapon</v>
      </c>
      <c r="B289" s="57" t="str">
        <f>Skills!N271</f>
        <v>Evaluation, Weapon</v>
      </c>
      <c r="C289" s="24">
        <f t="shared" si="313"/>
        <v>0</v>
      </c>
      <c r="D289" s="110" t="e">
        <f>Skills!S271</f>
        <v>#N/A</v>
      </c>
      <c r="E289" s="111" t="e">
        <f>Profession!$B$140</f>
        <v>#REF!</v>
      </c>
      <c r="F289" s="18"/>
      <c r="G289" s="18"/>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49"/>
      <c r="BF289" s="4">
        <f t="shared" si="263"/>
        <v>0</v>
      </c>
      <c r="BG289" s="4">
        <f t="shared" si="263"/>
        <v>0</v>
      </c>
      <c r="BH289" s="4">
        <f t="shared" si="264"/>
        <v>0</v>
      </c>
      <c r="BI289" s="4">
        <f t="shared" si="265"/>
        <v>0</v>
      </c>
      <c r="BJ289" s="4">
        <f t="shared" si="266"/>
        <v>0</v>
      </c>
      <c r="BK289" s="4">
        <f t="shared" si="267"/>
        <v>0</v>
      </c>
      <c r="BL289" s="4">
        <f t="shared" si="268"/>
        <v>0</v>
      </c>
      <c r="BM289" s="4">
        <f t="shared" si="269"/>
        <v>0</v>
      </c>
      <c r="BN289" s="4">
        <f t="shared" si="270"/>
        <v>0</v>
      </c>
      <c r="BO289" s="4">
        <f t="shared" si="271"/>
        <v>0</v>
      </c>
      <c r="BP289" s="4">
        <f t="shared" si="272"/>
        <v>0</v>
      </c>
      <c r="BQ289" s="4">
        <f t="shared" si="273"/>
        <v>0</v>
      </c>
      <c r="BR289" s="4">
        <f t="shared" si="274"/>
        <v>0</v>
      </c>
      <c r="BS289" s="4">
        <f t="shared" si="275"/>
        <v>0</v>
      </c>
      <c r="BT289" s="4">
        <f t="shared" si="276"/>
        <v>0</v>
      </c>
      <c r="BU289" s="4">
        <f t="shared" si="277"/>
        <v>0</v>
      </c>
      <c r="BV289" s="4">
        <f t="shared" si="278"/>
        <v>0</v>
      </c>
      <c r="BW289" s="4">
        <f t="shared" si="279"/>
        <v>0</v>
      </c>
      <c r="BX289" s="4">
        <f t="shared" si="280"/>
        <v>0</v>
      </c>
      <c r="BY289" s="4">
        <f t="shared" si="281"/>
        <v>0</v>
      </c>
      <c r="BZ289" s="4">
        <f t="shared" si="282"/>
        <v>0</v>
      </c>
      <c r="CA289" s="4">
        <f t="shared" si="283"/>
        <v>0</v>
      </c>
      <c r="CB289" s="4">
        <f t="shared" si="284"/>
        <v>0</v>
      </c>
      <c r="CC289" s="4">
        <f t="shared" si="285"/>
        <v>0</v>
      </c>
      <c r="CD289" s="4">
        <f t="shared" si="286"/>
        <v>0</v>
      </c>
      <c r="CE289" s="4">
        <f t="shared" si="287"/>
        <v>0</v>
      </c>
      <c r="CF289" s="4">
        <f t="shared" si="288"/>
        <v>0</v>
      </c>
      <c r="CG289" s="4">
        <f t="shared" si="289"/>
        <v>0</v>
      </c>
      <c r="CH289" s="4">
        <f t="shared" si="290"/>
        <v>0</v>
      </c>
      <c r="CI289" s="4">
        <f t="shared" si="291"/>
        <v>0</v>
      </c>
      <c r="CJ289" s="4">
        <f t="shared" si="292"/>
        <v>0</v>
      </c>
      <c r="CK289" s="4">
        <f t="shared" si="293"/>
        <v>0</v>
      </c>
      <c r="CL289" s="4">
        <f t="shared" si="294"/>
        <v>0</v>
      </c>
      <c r="CM289" s="4">
        <f t="shared" si="295"/>
        <v>0</v>
      </c>
      <c r="CN289" s="4">
        <f t="shared" si="296"/>
        <v>0</v>
      </c>
      <c r="CO289" s="4">
        <f t="shared" si="297"/>
        <v>0</v>
      </c>
      <c r="CP289" s="4">
        <f t="shared" si="298"/>
        <v>0</v>
      </c>
      <c r="CQ289" s="4">
        <f t="shared" si="299"/>
        <v>0</v>
      </c>
      <c r="CR289" s="4">
        <f t="shared" si="300"/>
        <v>0</v>
      </c>
      <c r="CS289" s="4">
        <f t="shared" si="301"/>
        <v>0</v>
      </c>
      <c r="CT289" s="4">
        <f t="shared" si="302"/>
        <v>0</v>
      </c>
      <c r="CU289" s="4">
        <f t="shared" si="303"/>
        <v>0</v>
      </c>
      <c r="CV289" s="4">
        <f t="shared" si="304"/>
        <v>0</v>
      </c>
      <c r="CW289" s="4">
        <f t="shared" si="305"/>
        <v>0</v>
      </c>
      <c r="CX289" s="4">
        <f t="shared" si="306"/>
        <v>0</v>
      </c>
      <c r="CY289" s="4">
        <f t="shared" si="307"/>
        <v>0</v>
      </c>
      <c r="CZ289" s="4">
        <f t="shared" si="308"/>
        <v>0</v>
      </c>
      <c r="DA289" s="4">
        <f t="shared" si="309"/>
        <v>0</v>
      </c>
      <c r="DB289" s="4">
        <f t="shared" si="310"/>
        <v>0</v>
      </c>
      <c r="DC289" s="4">
        <f t="shared" si="311"/>
        <v>0</v>
      </c>
      <c r="DD289" s="4">
        <f t="shared" si="312"/>
        <v>0</v>
      </c>
    </row>
    <row r="290" spans="1:108" x14ac:dyDescent="0.25">
      <c r="A290" s="41">
        <f>Skills!M272</f>
        <v>0</v>
      </c>
      <c r="B290" s="55" t="str">
        <f>Skills!N272</f>
        <v>Languages Sub-category</v>
      </c>
      <c r="C290" s="22">
        <f t="shared" si="313"/>
        <v>0</v>
      </c>
      <c r="D290" s="112" t="str">
        <f>Skills!S272</f>
        <v>- -</v>
      </c>
      <c r="E290" s="113" t="s">
        <v>782</v>
      </c>
      <c r="F290" s="19"/>
      <c r="G290" s="19"/>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56"/>
      <c r="BF290" s="4">
        <f t="shared" si="263"/>
        <v>0</v>
      </c>
      <c r="BG290" s="4">
        <f t="shared" si="263"/>
        <v>0</v>
      </c>
      <c r="BH290" s="4">
        <f t="shared" si="264"/>
        <v>0</v>
      </c>
      <c r="BI290" s="4">
        <f t="shared" si="265"/>
        <v>0</v>
      </c>
      <c r="BJ290" s="4">
        <f t="shared" si="266"/>
        <v>0</v>
      </c>
      <c r="BK290" s="4">
        <f t="shared" si="267"/>
        <v>0</v>
      </c>
      <c r="BL290" s="4">
        <f t="shared" si="268"/>
        <v>0</v>
      </c>
      <c r="BM290" s="4">
        <f t="shared" si="269"/>
        <v>0</v>
      </c>
      <c r="BN290" s="4">
        <f t="shared" si="270"/>
        <v>0</v>
      </c>
      <c r="BO290" s="4">
        <f t="shared" si="271"/>
        <v>0</v>
      </c>
      <c r="BP290" s="4">
        <f t="shared" si="272"/>
        <v>0</v>
      </c>
      <c r="BQ290" s="4">
        <f t="shared" si="273"/>
        <v>0</v>
      </c>
      <c r="BR290" s="4">
        <f t="shared" si="274"/>
        <v>0</v>
      </c>
      <c r="BS290" s="4">
        <f t="shared" si="275"/>
        <v>0</v>
      </c>
      <c r="BT290" s="4">
        <f t="shared" si="276"/>
        <v>0</v>
      </c>
      <c r="BU290" s="4">
        <f t="shared" si="277"/>
        <v>0</v>
      </c>
      <c r="BV290" s="4">
        <f t="shared" si="278"/>
        <v>0</v>
      </c>
      <c r="BW290" s="4">
        <f t="shared" si="279"/>
        <v>0</v>
      </c>
      <c r="BX290" s="4">
        <f t="shared" si="280"/>
        <v>0</v>
      </c>
      <c r="BY290" s="4">
        <f t="shared" si="281"/>
        <v>0</v>
      </c>
      <c r="BZ290" s="4">
        <f t="shared" si="282"/>
        <v>0</v>
      </c>
      <c r="CA290" s="4">
        <f t="shared" si="283"/>
        <v>0</v>
      </c>
      <c r="CB290" s="4">
        <f t="shared" si="284"/>
        <v>0</v>
      </c>
      <c r="CC290" s="4">
        <f t="shared" si="285"/>
        <v>0</v>
      </c>
      <c r="CD290" s="4">
        <f t="shared" si="286"/>
        <v>0</v>
      </c>
      <c r="CE290" s="4">
        <f t="shared" si="287"/>
        <v>0</v>
      </c>
      <c r="CF290" s="4">
        <f t="shared" si="288"/>
        <v>0</v>
      </c>
      <c r="CG290" s="4">
        <f t="shared" si="289"/>
        <v>0</v>
      </c>
      <c r="CH290" s="4">
        <f t="shared" si="290"/>
        <v>0</v>
      </c>
      <c r="CI290" s="4">
        <f t="shared" si="291"/>
        <v>0</v>
      </c>
      <c r="CJ290" s="4">
        <f t="shared" si="292"/>
        <v>0</v>
      </c>
      <c r="CK290" s="4">
        <f t="shared" si="293"/>
        <v>0</v>
      </c>
      <c r="CL290" s="4">
        <f t="shared" si="294"/>
        <v>0</v>
      </c>
      <c r="CM290" s="4">
        <f t="shared" si="295"/>
        <v>0</v>
      </c>
      <c r="CN290" s="4">
        <f t="shared" si="296"/>
        <v>0</v>
      </c>
      <c r="CO290" s="4">
        <f t="shared" si="297"/>
        <v>0</v>
      </c>
      <c r="CP290" s="4">
        <f t="shared" si="298"/>
        <v>0</v>
      </c>
      <c r="CQ290" s="4">
        <f t="shared" si="299"/>
        <v>0</v>
      </c>
      <c r="CR290" s="4">
        <f t="shared" si="300"/>
        <v>0</v>
      </c>
      <c r="CS290" s="4">
        <f t="shared" si="301"/>
        <v>0</v>
      </c>
      <c r="CT290" s="4">
        <f t="shared" si="302"/>
        <v>0</v>
      </c>
      <c r="CU290" s="4">
        <f t="shared" si="303"/>
        <v>0</v>
      </c>
      <c r="CV290" s="4">
        <f t="shared" si="304"/>
        <v>0</v>
      </c>
      <c r="CW290" s="4">
        <f t="shared" si="305"/>
        <v>0</v>
      </c>
      <c r="CX290" s="4">
        <f t="shared" si="306"/>
        <v>0</v>
      </c>
      <c r="CY290" s="4">
        <f t="shared" si="307"/>
        <v>0</v>
      </c>
      <c r="CZ290" s="4">
        <f t="shared" si="308"/>
        <v>0</v>
      </c>
      <c r="DA290" s="4">
        <f t="shared" si="309"/>
        <v>0</v>
      </c>
      <c r="DB290" s="4">
        <f t="shared" si="310"/>
        <v>0</v>
      </c>
      <c r="DC290" s="4">
        <f t="shared" si="311"/>
        <v>0</v>
      </c>
      <c r="DD290" s="4">
        <f t="shared" si="312"/>
        <v>0</v>
      </c>
    </row>
    <row r="291" spans="1:108" x14ac:dyDescent="0.25">
      <c r="A291" s="41">
        <f>Skills!M273</f>
        <v>0</v>
      </c>
      <c r="B291" s="57" t="str">
        <f>Skills!N273</f>
        <v>Languages Skills (cat)</v>
      </c>
      <c r="C291" s="24">
        <f t="shared" si="313"/>
        <v>0</v>
      </c>
      <c r="D291" s="110" t="str">
        <f>Skills!S273</f>
        <v>- -</v>
      </c>
      <c r="E291" s="111" t="s">
        <v>782</v>
      </c>
      <c r="F291" s="18"/>
      <c r="G291" s="18"/>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49"/>
      <c r="BF291" s="4">
        <f t="shared" si="263"/>
        <v>0</v>
      </c>
      <c r="BG291" s="4">
        <f t="shared" si="263"/>
        <v>0</v>
      </c>
      <c r="BH291" s="4">
        <f t="shared" si="264"/>
        <v>0</v>
      </c>
      <c r="BI291" s="4">
        <f t="shared" si="265"/>
        <v>0</v>
      </c>
      <c r="BJ291" s="4">
        <f t="shared" si="266"/>
        <v>0</v>
      </c>
      <c r="BK291" s="4">
        <f t="shared" si="267"/>
        <v>0</v>
      </c>
      <c r="BL291" s="4">
        <f t="shared" si="268"/>
        <v>0</v>
      </c>
      <c r="BM291" s="4">
        <f t="shared" si="269"/>
        <v>0</v>
      </c>
      <c r="BN291" s="4">
        <f t="shared" si="270"/>
        <v>0</v>
      </c>
      <c r="BO291" s="4">
        <f t="shared" si="271"/>
        <v>0</v>
      </c>
      <c r="BP291" s="4">
        <f t="shared" si="272"/>
        <v>0</v>
      </c>
      <c r="BQ291" s="4">
        <f t="shared" si="273"/>
        <v>0</v>
      </c>
      <c r="BR291" s="4">
        <f t="shared" si="274"/>
        <v>0</v>
      </c>
      <c r="BS291" s="4">
        <f t="shared" si="275"/>
        <v>0</v>
      </c>
      <c r="BT291" s="4">
        <f t="shared" si="276"/>
        <v>0</v>
      </c>
      <c r="BU291" s="4">
        <f t="shared" si="277"/>
        <v>0</v>
      </c>
      <c r="BV291" s="4">
        <f t="shared" si="278"/>
        <v>0</v>
      </c>
      <c r="BW291" s="4">
        <f t="shared" si="279"/>
        <v>0</v>
      </c>
      <c r="BX291" s="4">
        <f t="shared" si="280"/>
        <v>0</v>
      </c>
      <c r="BY291" s="4">
        <f t="shared" si="281"/>
        <v>0</v>
      </c>
      <c r="BZ291" s="4">
        <f t="shared" si="282"/>
        <v>0</v>
      </c>
      <c r="CA291" s="4">
        <f t="shared" si="283"/>
        <v>0</v>
      </c>
      <c r="CB291" s="4">
        <f t="shared" si="284"/>
        <v>0</v>
      </c>
      <c r="CC291" s="4">
        <f t="shared" si="285"/>
        <v>0</v>
      </c>
      <c r="CD291" s="4">
        <f t="shared" si="286"/>
        <v>0</v>
      </c>
      <c r="CE291" s="4">
        <f t="shared" si="287"/>
        <v>0</v>
      </c>
      <c r="CF291" s="4">
        <f t="shared" si="288"/>
        <v>0</v>
      </c>
      <c r="CG291" s="4">
        <f t="shared" si="289"/>
        <v>0</v>
      </c>
      <c r="CH291" s="4">
        <f t="shared" si="290"/>
        <v>0</v>
      </c>
      <c r="CI291" s="4">
        <f t="shared" si="291"/>
        <v>0</v>
      </c>
      <c r="CJ291" s="4">
        <f t="shared" si="292"/>
        <v>0</v>
      </c>
      <c r="CK291" s="4">
        <f t="shared" si="293"/>
        <v>0</v>
      </c>
      <c r="CL291" s="4">
        <f t="shared" si="294"/>
        <v>0</v>
      </c>
      <c r="CM291" s="4">
        <f t="shared" si="295"/>
        <v>0</v>
      </c>
      <c r="CN291" s="4">
        <f t="shared" si="296"/>
        <v>0</v>
      </c>
      <c r="CO291" s="4">
        <f t="shared" si="297"/>
        <v>0</v>
      </c>
      <c r="CP291" s="4">
        <f t="shared" si="298"/>
        <v>0</v>
      </c>
      <c r="CQ291" s="4">
        <f t="shared" si="299"/>
        <v>0</v>
      </c>
      <c r="CR291" s="4">
        <f t="shared" si="300"/>
        <v>0</v>
      </c>
      <c r="CS291" s="4">
        <f t="shared" si="301"/>
        <v>0</v>
      </c>
      <c r="CT291" s="4">
        <f t="shared" si="302"/>
        <v>0</v>
      </c>
      <c r="CU291" s="4">
        <f t="shared" si="303"/>
        <v>0</v>
      </c>
      <c r="CV291" s="4">
        <f t="shared" si="304"/>
        <v>0</v>
      </c>
      <c r="CW291" s="4">
        <f t="shared" si="305"/>
        <v>0</v>
      </c>
      <c r="CX291" s="4">
        <f t="shared" si="306"/>
        <v>0</v>
      </c>
      <c r="CY291" s="4">
        <f t="shared" si="307"/>
        <v>0</v>
      </c>
      <c r="CZ291" s="4">
        <f t="shared" si="308"/>
        <v>0</v>
      </c>
      <c r="DA291" s="4">
        <f t="shared" si="309"/>
        <v>0</v>
      </c>
      <c r="DB291" s="4">
        <f t="shared" si="310"/>
        <v>0</v>
      </c>
      <c r="DC291" s="4">
        <f t="shared" si="311"/>
        <v>0</v>
      </c>
      <c r="DD291" s="4">
        <f t="shared" si="312"/>
        <v>0</v>
      </c>
    </row>
    <row r="292" spans="1:108" x14ac:dyDescent="0.25">
      <c r="A292" s="41">
        <f>Skills!M274</f>
        <v>0</v>
      </c>
      <c r="B292" s="55" t="str">
        <f>Skills!N274</f>
        <v>Languages, Spoken Sub-category</v>
      </c>
      <c r="C292" s="22">
        <f t="shared" si="313"/>
        <v>0</v>
      </c>
      <c r="D292" s="112" t="str">
        <f>Skills!S274</f>
        <v>- -</v>
      </c>
      <c r="E292" s="113" t="s">
        <v>782</v>
      </c>
      <c r="F292" s="19"/>
      <c r="G292" s="19"/>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56"/>
      <c r="BF292" s="4">
        <f t="shared" si="263"/>
        <v>0</v>
      </c>
      <c r="BG292" s="4">
        <f t="shared" si="263"/>
        <v>0</v>
      </c>
      <c r="BH292" s="4">
        <f t="shared" si="264"/>
        <v>0</v>
      </c>
      <c r="BI292" s="4">
        <f t="shared" si="265"/>
        <v>0</v>
      </c>
      <c r="BJ292" s="4">
        <f t="shared" si="266"/>
        <v>0</v>
      </c>
      <c r="BK292" s="4">
        <f t="shared" si="267"/>
        <v>0</v>
      </c>
      <c r="BL292" s="4">
        <f t="shared" si="268"/>
        <v>0</v>
      </c>
      <c r="BM292" s="4">
        <f t="shared" si="269"/>
        <v>0</v>
      </c>
      <c r="BN292" s="4">
        <f t="shared" si="270"/>
        <v>0</v>
      </c>
      <c r="BO292" s="4">
        <f t="shared" si="271"/>
        <v>0</v>
      </c>
      <c r="BP292" s="4">
        <f t="shared" si="272"/>
        <v>0</v>
      </c>
      <c r="BQ292" s="4">
        <f t="shared" si="273"/>
        <v>0</v>
      </c>
      <c r="BR292" s="4">
        <f t="shared" si="274"/>
        <v>0</v>
      </c>
      <c r="BS292" s="4">
        <f t="shared" si="275"/>
        <v>0</v>
      </c>
      <c r="BT292" s="4">
        <f t="shared" si="276"/>
        <v>0</v>
      </c>
      <c r="BU292" s="4">
        <f t="shared" si="277"/>
        <v>0</v>
      </c>
      <c r="BV292" s="4">
        <f t="shared" si="278"/>
        <v>0</v>
      </c>
      <c r="BW292" s="4">
        <f t="shared" si="279"/>
        <v>0</v>
      </c>
      <c r="BX292" s="4">
        <f t="shared" si="280"/>
        <v>0</v>
      </c>
      <c r="BY292" s="4">
        <f t="shared" si="281"/>
        <v>0</v>
      </c>
      <c r="BZ292" s="4">
        <f t="shared" si="282"/>
        <v>0</v>
      </c>
      <c r="CA292" s="4">
        <f t="shared" si="283"/>
        <v>0</v>
      </c>
      <c r="CB292" s="4">
        <f t="shared" si="284"/>
        <v>0</v>
      </c>
      <c r="CC292" s="4">
        <f t="shared" si="285"/>
        <v>0</v>
      </c>
      <c r="CD292" s="4">
        <f t="shared" si="286"/>
        <v>0</v>
      </c>
      <c r="CE292" s="4">
        <f t="shared" si="287"/>
        <v>0</v>
      </c>
      <c r="CF292" s="4">
        <f t="shared" si="288"/>
        <v>0</v>
      </c>
      <c r="CG292" s="4">
        <f t="shared" si="289"/>
        <v>0</v>
      </c>
      <c r="CH292" s="4">
        <f t="shared" si="290"/>
        <v>0</v>
      </c>
      <c r="CI292" s="4">
        <f t="shared" si="291"/>
        <v>0</v>
      </c>
      <c r="CJ292" s="4">
        <f t="shared" si="292"/>
        <v>0</v>
      </c>
      <c r="CK292" s="4">
        <f t="shared" si="293"/>
        <v>0</v>
      </c>
      <c r="CL292" s="4">
        <f t="shared" si="294"/>
        <v>0</v>
      </c>
      <c r="CM292" s="4">
        <f t="shared" si="295"/>
        <v>0</v>
      </c>
      <c r="CN292" s="4">
        <f t="shared" si="296"/>
        <v>0</v>
      </c>
      <c r="CO292" s="4">
        <f t="shared" si="297"/>
        <v>0</v>
      </c>
      <c r="CP292" s="4">
        <f t="shared" si="298"/>
        <v>0</v>
      </c>
      <c r="CQ292" s="4">
        <f t="shared" si="299"/>
        <v>0</v>
      </c>
      <c r="CR292" s="4">
        <f t="shared" si="300"/>
        <v>0</v>
      </c>
      <c r="CS292" s="4">
        <f t="shared" si="301"/>
        <v>0</v>
      </c>
      <c r="CT292" s="4">
        <f t="shared" si="302"/>
        <v>0</v>
      </c>
      <c r="CU292" s="4">
        <f t="shared" si="303"/>
        <v>0</v>
      </c>
      <c r="CV292" s="4">
        <f t="shared" si="304"/>
        <v>0</v>
      </c>
      <c r="CW292" s="4">
        <f t="shared" si="305"/>
        <v>0</v>
      </c>
      <c r="CX292" s="4">
        <f t="shared" si="306"/>
        <v>0</v>
      </c>
      <c r="CY292" s="4">
        <f t="shared" si="307"/>
        <v>0</v>
      </c>
      <c r="CZ292" s="4">
        <f t="shared" si="308"/>
        <v>0</v>
      </c>
      <c r="DA292" s="4">
        <f t="shared" si="309"/>
        <v>0</v>
      </c>
      <c r="DB292" s="4">
        <f t="shared" si="310"/>
        <v>0</v>
      </c>
      <c r="DC292" s="4">
        <f t="shared" si="311"/>
        <v>0</v>
      </c>
      <c r="DD292" s="4">
        <f t="shared" si="312"/>
        <v>0</v>
      </c>
    </row>
    <row r="293" spans="1:108" x14ac:dyDescent="0.25">
      <c r="A293" s="41">
        <f>Skills!M275</f>
        <v>0</v>
      </c>
      <c r="B293" s="57" t="str">
        <f>Skills!N275</f>
        <v>Languages, Spoken Skills</v>
      </c>
      <c r="C293" s="24">
        <f t="shared" si="313"/>
        <v>0</v>
      </c>
      <c r="D293" s="110" t="str">
        <f>Skills!S275</f>
        <v>- -</v>
      </c>
      <c r="E293" s="111" t="s">
        <v>782</v>
      </c>
      <c r="F293" s="18"/>
      <c r="G293" s="18"/>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49"/>
      <c r="BF293" s="4">
        <f t="shared" si="263"/>
        <v>0</v>
      </c>
      <c r="BG293" s="4">
        <f t="shared" si="263"/>
        <v>0</v>
      </c>
      <c r="BH293" s="4">
        <f t="shared" si="264"/>
        <v>0</v>
      </c>
      <c r="BI293" s="4">
        <f t="shared" si="265"/>
        <v>0</v>
      </c>
      <c r="BJ293" s="4">
        <f t="shared" si="266"/>
        <v>0</v>
      </c>
      <c r="BK293" s="4">
        <f t="shared" si="267"/>
        <v>0</v>
      </c>
      <c r="BL293" s="4">
        <f t="shared" si="268"/>
        <v>0</v>
      </c>
      <c r="BM293" s="4">
        <f t="shared" si="269"/>
        <v>0</v>
      </c>
      <c r="BN293" s="4">
        <f t="shared" si="270"/>
        <v>0</v>
      </c>
      <c r="BO293" s="4">
        <f t="shared" si="271"/>
        <v>0</v>
      </c>
      <c r="BP293" s="4">
        <f t="shared" si="272"/>
        <v>0</v>
      </c>
      <c r="BQ293" s="4">
        <f t="shared" si="273"/>
        <v>0</v>
      </c>
      <c r="BR293" s="4">
        <f t="shared" si="274"/>
        <v>0</v>
      </c>
      <c r="BS293" s="4">
        <f t="shared" si="275"/>
        <v>0</v>
      </c>
      <c r="BT293" s="4">
        <f t="shared" si="276"/>
        <v>0</v>
      </c>
      <c r="BU293" s="4">
        <f t="shared" si="277"/>
        <v>0</v>
      </c>
      <c r="BV293" s="4">
        <f t="shared" si="278"/>
        <v>0</v>
      </c>
      <c r="BW293" s="4">
        <f t="shared" si="279"/>
        <v>0</v>
      </c>
      <c r="BX293" s="4">
        <f t="shared" si="280"/>
        <v>0</v>
      </c>
      <c r="BY293" s="4">
        <f t="shared" si="281"/>
        <v>0</v>
      </c>
      <c r="BZ293" s="4">
        <f t="shared" si="282"/>
        <v>0</v>
      </c>
      <c r="CA293" s="4">
        <f t="shared" si="283"/>
        <v>0</v>
      </c>
      <c r="CB293" s="4">
        <f t="shared" si="284"/>
        <v>0</v>
      </c>
      <c r="CC293" s="4">
        <f t="shared" si="285"/>
        <v>0</v>
      </c>
      <c r="CD293" s="4">
        <f t="shared" si="286"/>
        <v>0</v>
      </c>
      <c r="CE293" s="4">
        <f t="shared" si="287"/>
        <v>0</v>
      </c>
      <c r="CF293" s="4">
        <f t="shared" si="288"/>
        <v>0</v>
      </c>
      <c r="CG293" s="4">
        <f t="shared" si="289"/>
        <v>0</v>
      </c>
      <c r="CH293" s="4">
        <f t="shared" si="290"/>
        <v>0</v>
      </c>
      <c r="CI293" s="4">
        <f t="shared" si="291"/>
        <v>0</v>
      </c>
      <c r="CJ293" s="4">
        <f t="shared" si="292"/>
        <v>0</v>
      </c>
      <c r="CK293" s="4">
        <f t="shared" si="293"/>
        <v>0</v>
      </c>
      <c r="CL293" s="4">
        <f t="shared" si="294"/>
        <v>0</v>
      </c>
      <c r="CM293" s="4">
        <f t="shared" si="295"/>
        <v>0</v>
      </c>
      <c r="CN293" s="4">
        <f t="shared" si="296"/>
        <v>0</v>
      </c>
      <c r="CO293" s="4">
        <f t="shared" si="297"/>
        <v>0</v>
      </c>
      <c r="CP293" s="4">
        <f t="shared" si="298"/>
        <v>0</v>
      </c>
      <c r="CQ293" s="4">
        <f t="shared" si="299"/>
        <v>0</v>
      </c>
      <c r="CR293" s="4">
        <f t="shared" si="300"/>
        <v>0</v>
      </c>
      <c r="CS293" s="4">
        <f t="shared" si="301"/>
        <v>0</v>
      </c>
      <c r="CT293" s="4">
        <f t="shared" si="302"/>
        <v>0</v>
      </c>
      <c r="CU293" s="4">
        <f t="shared" si="303"/>
        <v>0</v>
      </c>
      <c r="CV293" s="4">
        <f t="shared" si="304"/>
        <v>0</v>
      </c>
      <c r="CW293" s="4">
        <f t="shared" si="305"/>
        <v>0</v>
      </c>
      <c r="CX293" s="4">
        <f t="shared" si="306"/>
        <v>0</v>
      </c>
      <c r="CY293" s="4">
        <f t="shared" si="307"/>
        <v>0</v>
      </c>
      <c r="CZ293" s="4">
        <f t="shared" si="308"/>
        <v>0</v>
      </c>
      <c r="DA293" s="4">
        <f t="shared" si="309"/>
        <v>0</v>
      </c>
      <c r="DB293" s="4">
        <f t="shared" si="310"/>
        <v>0</v>
      </c>
      <c r="DC293" s="4">
        <f t="shared" si="311"/>
        <v>0</v>
      </c>
      <c r="DD293" s="4">
        <f t="shared" si="312"/>
        <v>0</v>
      </c>
    </row>
    <row r="294" spans="1:108" x14ac:dyDescent="0.25">
      <c r="A294" s="41" t="str">
        <f>Skills!M276</f>
        <v>Russian, Spoken</v>
      </c>
      <c r="B294" s="55" t="str">
        <f>Skills!N276</f>
        <v>Russian</v>
      </c>
      <c r="C294" s="22">
        <f t="shared" si="313"/>
        <v>0</v>
      </c>
      <c r="D294" s="112" t="e">
        <f>Skills!S276</f>
        <v>#N/A</v>
      </c>
      <c r="E294" s="113" t="e">
        <f>Profession!$B$141</f>
        <v>#REF!</v>
      </c>
      <c r="F294" s="19"/>
      <c r="G294" s="19"/>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56"/>
      <c r="BF294" s="4">
        <f t="shared" si="263"/>
        <v>0</v>
      </c>
      <c r="BG294" s="4">
        <f t="shared" si="263"/>
        <v>0</v>
      </c>
      <c r="BH294" s="4">
        <f t="shared" si="264"/>
        <v>0</v>
      </c>
      <c r="BI294" s="4">
        <f t="shared" si="265"/>
        <v>0</v>
      </c>
      <c r="BJ294" s="4">
        <f t="shared" si="266"/>
        <v>0</v>
      </c>
      <c r="BK294" s="4">
        <f t="shared" si="267"/>
        <v>0</v>
      </c>
      <c r="BL294" s="4">
        <f t="shared" si="268"/>
        <v>0</v>
      </c>
      <c r="BM294" s="4">
        <f t="shared" si="269"/>
        <v>0</v>
      </c>
      <c r="BN294" s="4">
        <f t="shared" si="270"/>
        <v>0</v>
      </c>
      <c r="BO294" s="4">
        <f t="shared" si="271"/>
        <v>0</v>
      </c>
      <c r="BP294" s="4">
        <f t="shared" si="272"/>
        <v>0</v>
      </c>
      <c r="BQ294" s="4">
        <f t="shared" si="273"/>
        <v>0</v>
      </c>
      <c r="BR294" s="4">
        <f t="shared" si="274"/>
        <v>0</v>
      </c>
      <c r="BS294" s="4">
        <f t="shared" si="275"/>
        <v>0</v>
      </c>
      <c r="BT294" s="4">
        <f t="shared" si="276"/>
        <v>0</v>
      </c>
      <c r="BU294" s="4">
        <f t="shared" si="277"/>
        <v>0</v>
      </c>
      <c r="BV294" s="4">
        <f t="shared" si="278"/>
        <v>0</v>
      </c>
      <c r="BW294" s="4">
        <f t="shared" si="279"/>
        <v>0</v>
      </c>
      <c r="BX294" s="4">
        <f t="shared" si="280"/>
        <v>0</v>
      </c>
      <c r="BY294" s="4">
        <f t="shared" si="281"/>
        <v>0</v>
      </c>
      <c r="BZ294" s="4">
        <f t="shared" si="282"/>
        <v>0</v>
      </c>
      <c r="CA294" s="4">
        <f t="shared" si="283"/>
        <v>0</v>
      </c>
      <c r="CB294" s="4">
        <f t="shared" si="284"/>
        <v>0</v>
      </c>
      <c r="CC294" s="4">
        <f t="shared" si="285"/>
        <v>0</v>
      </c>
      <c r="CD294" s="4">
        <f t="shared" si="286"/>
        <v>0</v>
      </c>
      <c r="CE294" s="4">
        <f t="shared" si="287"/>
        <v>0</v>
      </c>
      <c r="CF294" s="4">
        <f t="shared" si="288"/>
        <v>0</v>
      </c>
      <c r="CG294" s="4">
        <f t="shared" si="289"/>
        <v>0</v>
      </c>
      <c r="CH294" s="4">
        <f t="shared" si="290"/>
        <v>0</v>
      </c>
      <c r="CI294" s="4">
        <f t="shared" si="291"/>
        <v>0</v>
      </c>
      <c r="CJ294" s="4">
        <f t="shared" si="292"/>
        <v>0</v>
      </c>
      <c r="CK294" s="4">
        <f t="shared" si="293"/>
        <v>0</v>
      </c>
      <c r="CL294" s="4">
        <f t="shared" si="294"/>
        <v>0</v>
      </c>
      <c r="CM294" s="4">
        <f t="shared" si="295"/>
        <v>0</v>
      </c>
      <c r="CN294" s="4">
        <f t="shared" si="296"/>
        <v>0</v>
      </c>
      <c r="CO294" s="4">
        <f t="shared" si="297"/>
        <v>0</v>
      </c>
      <c r="CP294" s="4">
        <f t="shared" si="298"/>
        <v>0</v>
      </c>
      <c r="CQ294" s="4">
        <f t="shared" si="299"/>
        <v>0</v>
      </c>
      <c r="CR294" s="4">
        <f t="shared" si="300"/>
        <v>0</v>
      </c>
      <c r="CS294" s="4">
        <f t="shared" si="301"/>
        <v>0</v>
      </c>
      <c r="CT294" s="4">
        <f t="shared" si="302"/>
        <v>0</v>
      </c>
      <c r="CU294" s="4">
        <f t="shared" si="303"/>
        <v>0</v>
      </c>
      <c r="CV294" s="4">
        <f t="shared" si="304"/>
        <v>0</v>
      </c>
      <c r="CW294" s="4">
        <f t="shared" si="305"/>
        <v>0</v>
      </c>
      <c r="CX294" s="4">
        <f t="shared" si="306"/>
        <v>0</v>
      </c>
      <c r="CY294" s="4">
        <f t="shared" si="307"/>
        <v>0</v>
      </c>
      <c r="CZ294" s="4">
        <f t="shared" si="308"/>
        <v>0</v>
      </c>
      <c r="DA294" s="4">
        <f t="shared" si="309"/>
        <v>0</v>
      </c>
      <c r="DB294" s="4">
        <f t="shared" si="310"/>
        <v>0</v>
      </c>
      <c r="DC294" s="4">
        <f t="shared" si="311"/>
        <v>0</v>
      </c>
      <c r="DD294" s="4">
        <f t="shared" si="312"/>
        <v>0</v>
      </c>
    </row>
    <row r="295" spans="1:108" x14ac:dyDescent="0.25">
      <c r="A295" s="41" t="str">
        <f>Skills!M277</f>
        <v>English, Spoken</v>
      </c>
      <c r="B295" s="57" t="str">
        <f>Skills!N277</f>
        <v>English</v>
      </c>
      <c r="C295" s="24">
        <f t="shared" si="313"/>
        <v>0</v>
      </c>
      <c r="D295" s="110" t="e">
        <f>Skills!S277</f>
        <v>#N/A</v>
      </c>
      <c r="E295" s="111" t="e">
        <f>Profession!$B$141</f>
        <v>#REF!</v>
      </c>
      <c r="F295" s="18"/>
      <c r="G295" s="18"/>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49"/>
      <c r="BF295" s="4">
        <f t="shared" si="263"/>
        <v>0</v>
      </c>
      <c r="BG295" s="4">
        <f t="shared" si="263"/>
        <v>0</v>
      </c>
      <c r="BH295" s="4">
        <f t="shared" si="264"/>
        <v>0</v>
      </c>
      <c r="BI295" s="4">
        <f t="shared" si="265"/>
        <v>0</v>
      </c>
      <c r="BJ295" s="4">
        <f t="shared" si="266"/>
        <v>0</v>
      </c>
      <c r="BK295" s="4">
        <f t="shared" si="267"/>
        <v>0</v>
      </c>
      <c r="BL295" s="4">
        <f t="shared" si="268"/>
        <v>0</v>
      </c>
      <c r="BM295" s="4">
        <f t="shared" si="269"/>
        <v>0</v>
      </c>
      <c r="BN295" s="4">
        <f t="shared" si="270"/>
        <v>0</v>
      </c>
      <c r="BO295" s="4">
        <f t="shared" si="271"/>
        <v>0</v>
      </c>
      <c r="BP295" s="4">
        <f t="shared" si="272"/>
        <v>0</v>
      </c>
      <c r="BQ295" s="4">
        <f t="shared" si="273"/>
        <v>0</v>
      </c>
      <c r="BR295" s="4">
        <f t="shared" si="274"/>
        <v>0</v>
      </c>
      <c r="BS295" s="4">
        <f t="shared" si="275"/>
        <v>0</v>
      </c>
      <c r="BT295" s="4">
        <f t="shared" si="276"/>
        <v>0</v>
      </c>
      <c r="BU295" s="4">
        <f t="shared" si="277"/>
        <v>0</v>
      </c>
      <c r="BV295" s="4">
        <f t="shared" si="278"/>
        <v>0</v>
      </c>
      <c r="BW295" s="4">
        <f t="shared" si="279"/>
        <v>0</v>
      </c>
      <c r="BX295" s="4">
        <f t="shared" si="280"/>
        <v>0</v>
      </c>
      <c r="BY295" s="4">
        <f t="shared" si="281"/>
        <v>0</v>
      </c>
      <c r="BZ295" s="4">
        <f t="shared" si="282"/>
        <v>0</v>
      </c>
      <c r="CA295" s="4">
        <f t="shared" si="283"/>
        <v>0</v>
      </c>
      <c r="CB295" s="4">
        <f t="shared" si="284"/>
        <v>0</v>
      </c>
      <c r="CC295" s="4">
        <f t="shared" si="285"/>
        <v>0</v>
      </c>
      <c r="CD295" s="4">
        <f t="shared" si="286"/>
        <v>0</v>
      </c>
      <c r="CE295" s="4">
        <f t="shared" si="287"/>
        <v>0</v>
      </c>
      <c r="CF295" s="4">
        <f t="shared" si="288"/>
        <v>0</v>
      </c>
      <c r="CG295" s="4">
        <f t="shared" si="289"/>
        <v>0</v>
      </c>
      <c r="CH295" s="4">
        <f t="shared" si="290"/>
        <v>0</v>
      </c>
      <c r="CI295" s="4">
        <f t="shared" si="291"/>
        <v>0</v>
      </c>
      <c r="CJ295" s="4">
        <f t="shared" si="292"/>
        <v>0</v>
      </c>
      <c r="CK295" s="4">
        <f t="shared" si="293"/>
        <v>0</v>
      </c>
      <c r="CL295" s="4">
        <f t="shared" si="294"/>
        <v>0</v>
      </c>
      <c r="CM295" s="4">
        <f t="shared" si="295"/>
        <v>0</v>
      </c>
      <c r="CN295" s="4">
        <f t="shared" si="296"/>
        <v>0</v>
      </c>
      <c r="CO295" s="4">
        <f t="shared" si="297"/>
        <v>0</v>
      </c>
      <c r="CP295" s="4">
        <f t="shared" si="298"/>
        <v>0</v>
      </c>
      <c r="CQ295" s="4">
        <f t="shared" si="299"/>
        <v>0</v>
      </c>
      <c r="CR295" s="4">
        <f t="shared" si="300"/>
        <v>0</v>
      </c>
      <c r="CS295" s="4">
        <f t="shared" si="301"/>
        <v>0</v>
      </c>
      <c r="CT295" s="4">
        <f t="shared" si="302"/>
        <v>0</v>
      </c>
      <c r="CU295" s="4">
        <f t="shared" si="303"/>
        <v>0</v>
      </c>
      <c r="CV295" s="4">
        <f t="shared" si="304"/>
        <v>0</v>
      </c>
      <c r="CW295" s="4">
        <f t="shared" si="305"/>
        <v>0</v>
      </c>
      <c r="CX295" s="4">
        <f t="shared" si="306"/>
        <v>0</v>
      </c>
      <c r="CY295" s="4">
        <f t="shared" si="307"/>
        <v>0</v>
      </c>
      <c r="CZ295" s="4">
        <f t="shared" si="308"/>
        <v>0</v>
      </c>
      <c r="DA295" s="4">
        <f t="shared" si="309"/>
        <v>0</v>
      </c>
      <c r="DB295" s="4">
        <f t="shared" si="310"/>
        <v>0</v>
      </c>
      <c r="DC295" s="4">
        <f t="shared" si="311"/>
        <v>0</v>
      </c>
      <c r="DD295" s="4">
        <f t="shared" si="312"/>
        <v>0</v>
      </c>
    </row>
    <row r="296" spans="1:108" x14ac:dyDescent="0.25">
      <c r="A296" s="41" t="str">
        <f>Skills!M278</f>
        <v>0, Spoken</v>
      </c>
      <c r="B296" s="55">
        <f>Skills!N278</f>
        <v>0</v>
      </c>
      <c r="C296" s="22">
        <f t="shared" si="313"/>
        <v>0</v>
      </c>
      <c r="D296" s="112" t="e">
        <f>Skills!S278</f>
        <v>#N/A</v>
      </c>
      <c r="E296" s="113" t="e">
        <f>Profession!$B$141</f>
        <v>#REF!</v>
      </c>
      <c r="F296" s="19"/>
      <c r="G296" s="19"/>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56"/>
      <c r="BF296" s="4">
        <f t="shared" si="263"/>
        <v>0</v>
      </c>
      <c r="BG296" s="4">
        <f t="shared" si="263"/>
        <v>0</v>
      </c>
      <c r="BH296" s="4">
        <f t="shared" si="264"/>
        <v>0</v>
      </c>
      <c r="BI296" s="4">
        <f t="shared" si="265"/>
        <v>0</v>
      </c>
      <c r="BJ296" s="4">
        <f t="shared" si="266"/>
        <v>0</v>
      </c>
      <c r="BK296" s="4">
        <f t="shared" si="267"/>
        <v>0</v>
      </c>
      <c r="BL296" s="4">
        <f t="shared" si="268"/>
        <v>0</v>
      </c>
      <c r="BM296" s="4">
        <f t="shared" si="269"/>
        <v>0</v>
      </c>
      <c r="BN296" s="4">
        <f t="shared" si="270"/>
        <v>0</v>
      </c>
      <c r="BO296" s="4">
        <f t="shared" si="271"/>
        <v>0</v>
      </c>
      <c r="BP296" s="4">
        <f t="shared" si="272"/>
        <v>0</v>
      </c>
      <c r="BQ296" s="4">
        <f t="shared" si="273"/>
        <v>0</v>
      </c>
      <c r="BR296" s="4">
        <f t="shared" si="274"/>
        <v>0</v>
      </c>
      <c r="BS296" s="4">
        <f t="shared" si="275"/>
        <v>0</v>
      </c>
      <c r="BT296" s="4">
        <f t="shared" si="276"/>
        <v>0</v>
      </c>
      <c r="BU296" s="4">
        <f t="shared" si="277"/>
        <v>0</v>
      </c>
      <c r="BV296" s="4">
        <f t="shared" si="278"/>
        <v>0</v>
      </c>
      <c r="BW296" s="4">
        <f t="shared" si="279"/>
        <v>0</v>
      </c>
      <c r="BX296" s="4">
        <f t="shared" si="280"/>
        <v>0</v>
      </c>
      <c r="BY296" s="4">
        <f t="shared" si="281"/>
        <v>0</v>
      </c>
      <c r="BZ296" s="4">
        <f t="shared" si="282"/>
        <v>0</v>
      </c>
      <c r="CA296" s="4">
        <f t="shared" si="283"/>
        <v>0</v>
      </c>
      <c r="CB296" s="4">
        <f t="shared" si="284"/>
        <v>0</v>
      </c>
      <c r="CC296" s="4">
        <f t="shared" si="285"/>
        <v>0</v>
      </c>
      <c r="CD296" s="4">
        <f t="shared" si="286"/>
        <v>0</v>
      </c>
      <c r="CE296" s="4">
        <f t="shared" si="287"/>
        <v>0</v>
      </c>
      <c r="CF296" s="4">
        <f t="shared" si="288"/>
        <v>0</v>
      </c>
      <c r="CG296" s="4">
        <f t="shared" si="289"/>
        <v>0</v>
      </c>
      <c r="CH296" s="4">
        <f t="shared" si="290"/>
        <v>0</v>
      </c>
      <c r="CI296" s="4">
        <f t="shared" si="291"/>
        <v>0</v>
      </c>
      <c r="CJ296" s="4">
        <f t="shared" si="292"/>
        <v>0</v>
      </c>
      <c r="CK296" s="4">
        <f t="shared" si="293"/>
        <v>0</v>
      </c>
      <c r="CL296" s="4">
        <f t="shared" si="294"/>
        <v>0</v>
      </c>
      <c r="CM296" s="4">
        <f t="shared" si="295"/>
        <v>0</v>
      </c>
      <c r="CN296" s="4">
        <f t="shared" si="296"/>
        <v>0</v>
      </c>
      <c r="CO296" s="4">
        <f t="shared" si="297"/>
        <v>0</v>
      </c>
      <c r="CP296" s="4">
        <f t="shared" si="298"/>
        <v>0</v>
      </c>
      <c r="CQ296" s="4">
        <f t="shared" si="299"/>
        <v>0</v>
      </c>
      <c r="CR296" s="4">
        <f t="shared" si="300"/>
        <v>0</v>
      </c>
      <c r="CS296" s="4">
        <f t="shared" si="301"/>
        <v>0</v>
      </c>
      <c r="CT296" s="4">
        <f t="shared" si="302"/>
        <v>0</v>
      </c>
      <c r="CU296" s="4">
        <f t="shared" si="303"/>
        <v>0</v>
      </c>
      <c r="CV296" s="4">
        <f t="shared" si="304"/>
        <v>0</v>
      </c>
      <c r="CW296" s="4">
        <f t="shared" si="305"/>
        <v>0</v>
      </c>
      <c r="CX296" s="4">
        <f t="shared" si="306"/>
        <v>0</v>
      </c>
      <c r="CY296" s="4">
        <f t="shared" si="307"/>
        <v>0</v>
      </c>
      <c r="CZ296" s="4">
        <f t="shared" si="308"/>
        <v>0</v>
      </c>
      <c r="DA296" s="4">
        <f t="shared" si="309"/>
        <v>0</v>
      </c>
      <c r="DB296" s="4">
        <f t="shared" si="310"/>
        <v>0</v>
      </c>
      <c r="DC296" s="4">
        <f t="shared" si="311"/>
        <v>0</v>
      </c>
      <c r="DD296" s="4">
        <f t="shared" si="312"/>
        <v>0</v>
      </c>
    </row>
    <row r="297" spans="1:108" x14ac:dyDescent="0.25">
      <c r="A297" s="41">
        <f>Skills!M279</f>
        <v>0</v>
      </c>
      <c r="B297" s="57" t="str">
        <f>Skills!N279</f>
        <v>Languages, Written Sub-category</v>
      </c>
      <c r="C297" s="24">
        <f t="shared" si="313"/>
        <v>0</v>
      </c>
      <c r="D297" s="110" t="str">
        <f>Skills!S279</f>
        <v>- -</v>
      </c>
      <c r="E297" s="111" t="s">
        <v>782</v>
      </c>
      <c r="F297" s="18"/>
      <c r="G297" s="18"/>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49"/>
      <c r="BF297" s="4">
        <f t="shared" si="263"/>
        <v>0</v>
      </c>
      <c r="BG297" s="4">
        <f t="shared" si="263"/>
        <v>0</v>
      </c>
      <c r="BH297" s="4">
        <f t="shared" si="264"/>
        <v>0</v>
      </c>
      <c r="BI297" s="4">
        <f t="shared" si="265"/>
        <v>0</v>
      </c>
      <c r="BJ297" s="4">
        <f t="shared" si="266"/>
        <v>0</v>
      </c>
      <c r="BK297" s="4">
        <f t="shared" si="267"/>
        <v>0</v>
      </c>
      <c r="BL297" s="4">
        <f t="shared" si="268"/>
        <v>0</v>
      </c>
      <c r="BM297" s="4">
        <f t="shared" si="269"/>
        <v>0</v>
      </c>
      <c r="BN297" s="4">
        <f t="shared" si="270"/>
        <v>0</v>
      </c>
      <c r="BO297" s="4">
        <f t="shared" si="271"/>
        <v>0</v>
      </c>
      <c r="BP297" s="4">
        <f t="shared" si="272"/>
        <v>0</v>
      </c>
      <c r="BQ297" s="4">
        <f t="shared" si="273"/>
        <v>0</v>
      </c>
      <c r="BR297" s="4">
        <f t="shared" si="274"/>
        <v>0</v>
      </c>
      <c r="BS297" s="4">
        <f t="shared" si="275"/>
        <v>0</v>
      </c>
      <c r="BT297" s="4">
        <f t="shared" si="276"/>
        <v>0</v>
      </c>
      <c r="BU297" s="4">
        <f t="shared" si="277"/>
        <v>0</v>
      </c>
      <c r="BV297" s="4">
        <f t="shared" si="278"/>
        <v>0</v>
      </c>
      <c r="BW297" s="4">
        <f t="shared" si="279"/>
        <v>0</v>
      </c>
      <c r="BX297" s="4">
        <f t="shared" si="280"/>
        <v>0</v>
      </c>
      <c r="BY297" s="4">
        <f t="shared" si="281"/>
        <v>0</v>
      </c>
      <c r="BZ297" s="4">
        <f t="shared" si="282"/>
        <v>0</v>
      </c>
      <c r="CA297" s="4">
        <f t="shared" si="283"/>
        <v>0</v>
      </c>
      <c r="CB297" s="4">
        <f t="shared" si="284"/>
        <v>0</v>
      </c>
      <c r="CC297" s="4">
        <f t="shared" si="285"/>
        <v>0</v>
      </c>
      <c r="CD297" s="4">
        <f t="shared" si="286"/>
        <v>0</v>
      </c>
      <c r="CE297" s="4">
        <f t="shared" si="287"/>
        <v>0</v>
      </c>
      <c r="CF297" s="4">
        <f t="shared" si="288"/>
        <v>0</v>
      </c>
      <c r="CG297" s="4">
        <f t="shared" si="289"/>
        <v>0</v>
      </c>
      <c r="CH297" s="4">
        <f t="shared" si="290"/>
        <v>0</v>
      </c>
      <c r="CI297" s="4">
        <f t="shared" si="291"/>
        <v>0</v>
      </c>
      <c r="CJ297" s="4">
        <f t="shared" si="292"/>
        <v>0</v>
      </c>
      <c r="CK297" s="4">
        <f t="shared" si="293"/>
        <v>0</v>
      </c>
      <c r="CL297" s="4">
        <f t="shared" si="294"/>
        <v>0</v>
      </c>
      <c r="CM297" s="4">
        <f t="shared" si="295"/>
        <v>0</v>
      </c>
      <c r="CN297" s="4">
        <f t="shared" si="296"/>
        <v>0</v>
      </c>
      <c r="CO297" s="4">
        <f t="shared" si="297"/>
        <v>0</v>
      </c>
      <c r="CP297" s="4">
        <f t="shared" si="298"/>
        <v>0</v>
      </c>
      <c r="CQ297" s="4">
        <f t="shared" si="299"/>
        <v>0</v>
      </c>
      <c r="CR297" s="4">
        <f t="shared" si="300"/>
        <v>0</v>
      </c>
      <c r="CS297" s="4">
        <f t="shared" si="301"/>
        <v>0</v>
      </c>
      <c r="CT297" s="4">
        <f t="shared" si="302"/>
        <v>0</v>
      </c>
      <c r="CU297" s="4">
        <f t="shared" si="303"/>
        <v>0</v>
      </c>
      <c r="CV297" s="4">
        <f t="shared" si="304"/>
        <v>0</v>
      </c>
      <c r="CW297" s="4">
        <f t="shared" si="305"/>
        <v>0</v>
      </c>
      <c r="CX297" s="4">
        <f t="shared" si="306"/>
        <v>0</v>
      </c>
      <c r="CY297" s="4">
        <f t="shared" si="307"/>
        <v>0</v>
      </c>
      <c r="CZ297" s="4">
        <f t="shared" si="308"/>
        <v>0</v>
      </c>
      <c r="DA297" s="4">
        <f t="shared" si="309"/>
        <v>0</v>
      </c>
      <c r="DB297" s="4">
        <f t="shared" si="310"/>
        <v>0</v>
      </c>
      <c r="DC297" s="4">
        <f t="shared" si="311"/>
        <v>0</v>
      </c>
      <c r="DD297" s="4">
        <f t="shared" si="312"/>
        <v>0</v>
      </c>
    </row>
    <row r="298" spans="1:108" x14ac:dyDescent="0.25">
      <c r="A298" s="41">
        <f>Skills!M280</f>
        <v>0</v>
      </c>
      <c r="B298" s="55" t="str">
        <f>Skills!N280</f>
        <v>Languages, Written Skills</v>
      </c>
      <c r="C298" s="22">
        <f t="shared" si="313"/>
        <v>0</v>
      </c>
      <c r="D298" s="112" t="str">
        <f>Skills!S280</f>
        <v>- -</v>
      </c>
      <c r="E298" s="113" t="s">
        <v>782</v>
      </c>
      <c r="F298" s="19"/>
      <c r="G298" s="19"/>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56"/>
      <c r="BF298" s="4">
        <f t="shared" si="263"/>
        <v>0</v>
      </c>
      <c r="BG298" s="4">
        <f t="shared" si="263"/>
        <v>0</v>
      </c>
      <c r="BH298" s="4">
        <f t="shared" si="264"/>
        <v>0</v>
      </c>
      <c r="BI298" s="4">
        <f t="shared" si="265"/>
        <v>0</v>
      </c>
      <c r="BJ298" s="4">
        <f t="shared" si="266"/>
        <v>0</v>
      </c>
      <c r="BK298" s="4">
        <f t="shared" si="267"/>
        <v>0</v>
      </c>
      <c r="BL298" s="4">
        <f t="shared" si="268"/>
        <v>0</v>
      </c>
      <c r="BM298" s="4">
        <f t="shared" si="269"/>
        <v>0</v>
      </c>
      <c r="BN298" s="4">
        <f t="shared" si="270"/>
        <v>0</v>
      </c>
      <c r="BO298" s="4">
        <f t="shared" si="271"/>
        <v>0</v>
      </c>
      <c r="BP298" s="4">
        <f t="shared" si="272"/>
        <v>0</v>
      </c>
      <c r="BQ298" s="4">
        <f t="shared" si="273"/>
        <v>0</v>
      </c>
      <c r="BR298" s="4">
        <f t="shared" si="274"/>
        <v>0</v>
      </c>
      <c r="BS298" s="4">
        <f t="shared" si="275"/>
        <v>0</v>
      </c>
      <c r="BT298" s="4">
        <f t="shared" si="276"/>
        <v>0</v>
      </c>
      <c r="BU298" s="4">
        <f t="shared" si="277"/>
        <v>0</v>
      </c>
      <c r="BV298" s="4">
        <f t="shared" si="278"/>
        <v>0</v>
      </c>
      <c r="BW298" s="4">
        <f t="shared" si="279"/>
        <v>0</v>
      </c>
      <c r="BX298" s="4">
        <f t="shared" si="280"/>
        <v>0</v>
      </c>
      <c r="BY298" s="4">
        <f t="shared" si="281"/>
        <v>0</v>
      </c>
      <c r="BZ298" s="4">
        <f t="shared" si="282"/>
        <v>0</v>
      </c>
      <c r="CA298" s="4">
        <f t="shared" si="283"/>
        <v>0</v>
      </c>
      <c r="CB298" s="4">
        <f t="shared" si="284"/>
        <v>0</v>
      </c>
      <c r="CC298" s="4">
        <f t="shared" si="285"/>
        <v>0</v>
      </c>
      <c r="CD298" s="4">
        <f t="shared" si="286"/>
        <v>0</v>
      </c>
      <c r="CE298" s="4">
        <f t="shared" si="287"/>
        <v>0</v>
      </c>
      <c r="CF298" s="4">
        <f t="shared" si="288"/>
        <v>0</v>
      </c>
      <c r="CG298" s="4">
        <f t="shared" si="289"/>
        <v>0</v>
      </c>
      <c r="CH298" s="4">
        <f t="shared" si="290"/>
        <v>0</v>
      </c>
      <c r="CI298" s="4">
        <f t="shared" si="291"/>
        <v>0</v>
      </c>
      <c r="CJ298" s="4">
        <f t="shared" si="292"/>
        <v>0</v>
      </c>
      <c r="CK298" s="4">
        <f t="shared" si="293"/>
        <v>0</v>
      </c>
      <c r="CL298" s="4">
        <f t="shared" si="294"/>
        <v>0</v>
      </c>
      <c r="CM298" s="4">
        <f t="shared" si="295"/>
        <v>0</v>
      </c>
      <c r="CN298" s="4">
        <f t="shared" si="296"/>
        <v>0</v>
      </c>
      <c r="CO298" s="4">
        <f t="shared" si="297"/>
        <v>0</v>
      </c>
      <c r="CP298" s="4">
        <f t="shared" si="298"/>
        <v>0</v>
      </c>
      <c r="CQ298" s="4">
        <f t="shared" si="299"/>
        <v>0</v>
      </c>
      <c r="CR298" s="4">
        <f t="shared" si="300"/>
        <v>0</v>
      </c>
      <c r="CS298" s="4">
        <f t="shared" si="301"/>
        <v>0</v>
      </c>
      <c r="CT298" s="4">
        <f t="shared" si="302"/>
        <v>0</v>
      </c>
      <c r="CU298" s="4">
        <f t="shared" si="303"/>
        <v>0</v>
      </c>
      <c r="CV298" s="4">
        <f t="shared" si="304"/>
        <v>0</v>
      </c>
      <c r="CW298" s="4">
        <f t="shared" si="305"/>
        <v>0</v>
      </c>
      <c r="CX298" s="4">
        <f t="shared" si="306"/>
        <v>0</v>
      </c>
      <c r="CY298" s="4">
        <f t="shared" si="307"/>
        <v>0</v>
      </c>
      <c r="CZ298" s="4">
        <f t="shared" si="308"/>
        <v>0</v>
      </c>
      <c r="DA298" s="4">
        <f t="shared" si="309"/>
        <v>0</v>
      </c>
      <c r="DB298" s="4">
        <f t="shared" si="310"/>
        <v>0</v>
      </c>
      <c r="DC298" s="4">
        <f t="shared" si="311"/>
        <v>0</v>
      </c>
      <c r="DD298" s="4">
        <f t="shared" si="312"/>
        <v>0</v>
      </c>
    </row>
    <row r="299" spans="1:108" x14ac:dyDescent="0.25">
      <c r="A299" s="41" t="str">
        <f>Skills!M281</f>
        <v>Russian, Written</v>
      </c>
      <c r="B299" s="57" t="str">
        <f>Skills!N281</f>
        <v>Russian</v>
      </c>
      <c r="C299" s="24">
        <f t="shared" si="313"/>
        <v>0</v>
      </c>
      <c r="D299" s="110" t="e">
        <f>Skills!S281</f>
        <v>#N/A</v>
      </c>
      <c r="E299" s="111" t="e">
        <f>Profession!$B$141</f>
        <v>#REF!</v>
      </c>
      <c r="F299" s="18"/>
      <c r="G299" s="18"/>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49"/>
      <c r="BF299" s="4">
        <f t="shared" si="263"/>
        <v>0</v>
      </c>
      <c r="BG299" s="4">
        <f t="shared" si="263"/>
        <v>0</v>
      </c>
      <c r="BH299" s="4">
        <f t="shared" si="264"/>
        <v>0</v>
      </c>
      <c r="BI299" s="4">
        <f t="shared" si="265"/>
        <v>0</v>
      </c>
      <c r="BJ299" s="4">
        <f t="shared" si="266"/>
        <v>0</v>
      </c>
      <c r="BK299" s="4">
        <f t="shared" si="267"/>
        <v>0</v>
      </c>
      <c r="BL299" s="4">
        <f t="shared" si="268"/>
        <v>0</v>
      </c>
      <c r="BM299" s="4">
        <f t="shared" si="269"/>
        <v>0</v>
      </c>
      <c r="BN299" s="4">
        <f t="shared" si="270"/>
        <v>0</v>
      </c>
      <c r="BO299" s="4">
        <f t="shared" si="271"/>
        <v>0</v>
      </c>
      <c r="BP299" s="4">
        <f t="shared" si="272"/>
        <v>0</v>
      </c>
      <c r="BQ299" s="4">
        <f t="shared" si="273"/>
        <v>0</v>
      </c>
      <c r="BR299" s="4">
        <f t="shared" si="274"/>
        <v>0</v>
      </c>
      <c r="BS299" s="4">
        <f t="shared" si="275"/>
        <v>0</v>
      </c>
      <c r="BT299" s="4">
        <f t="shared" si="276"/>
        <v>0</v>
      </c>
      <c r="BU299" s="4">
        <f t="shared" si="277"/>
        <v>0</v>
      </c>
      <c r="BV299" s="4">
        <f t="shared" si="278"/>
        <v>0</v>
      </c>
      <c r="BW299" s="4">
        <f t="shared" si="279"/>
        <v>0</v>
      </c>
      <c r="BX299" s="4">
        <f t="shared" si="280"/>
        <v>0</v>
      </c>
      <c r="BY299" s="4">
        <f t="shared" si="281"/>
        <v>0</v>
      </c>
      <c r="BZ299" s="4">
        <f t="shared" si="282"/>
        <v>0</v>
      </c>
      <c r="CA299" s="4">
        <f t="shared" si="283"/>
        <v>0</v>
      </c>
      <c r="CB299" s="4">
        <f t="shared" si="284"/>
        <v>0</v>
      </c>
      <c r="CC299" s="4">
        <f t="shared" si="285"/>
        <v>0</v>
      </c>
      <c r="CD299" s="4">
        <f t="shared" si="286"/>
        <v>0</v>
      </c>
      <c r="CE299" s="4">
        <f t="shared" si="287"/>
        <v>0</v>
      </c>
      <c r="CF299" s="4">
        <f t="shared" si="288"/>
        <v>0</v>
      </c>
      <c r="CG299" s="4">
        <f t="shared" si="289"/>
        <v>0</v>
      </c>
      <c r="CH299" s="4">
        <f t="shared" si="290"/>
        <v>0</v>
      </c>
      <c r="CI299" s="4">
        <f t="shared" si="291"/>
        <v>0</v>
      </c>
      <c r="CJ299" s="4">
        <f t="shared" si="292"/>
        <v>0</v>
      </c>
      <c r="CK299" s="4">
        <f t="shared" si="293"/>
        <v>0</v>
      </c>
      <c r="CL299" s="4">
        <f t="shared" si="294"/>
        <v>0</v>
      </c>
      <c r="CM299" s="4">
        <f t="shared" si="295"/>
        <v>0</v>
      </c>
      <c r="CN299" s="4">
        <f t="shared" si="296"/>
        <v>0</v>
      </c>
      <c r="CO299" s="4">
        <f t="shared" si="297"/>
        <v>0</v>
      </c>
      <c r="CP299" s="4">
        <f t="shared" si="298"/>
        <v>0</v>
      </c>
      <c r="CQ299" s="4">
        <f t="shared" si="299"/>
        <v>0</v>
      </c>
      <c r="CR299" s="4">
        <f t="shared" si="300"/>
        <v>0</v>
      </c>
      <c r="CS299" s="4">
        <f t="shared" si="301"/>
        <v>0</v>
      </c>
      <c r="CT299" s="4">
        <f t="shared" si="302"/>
        <v>0</v>
      </c>
      <c r="CU299" s="4">
        <f t="shared" si="303"/>
        <v>0</v>
      </c>
      <c r="CV299" s="4">
        <f t="shared" si="304"/>
        <v>0</v>
      </c>
      <c r="CW299" s="4">
        <f t="shared" si="305"/>
        <v>0</v>
      </c>
      <c r="CX299" s="4">
        <f t="shared" si="306"/>
        <v>0</v>
      </c>
      <c r="CY299" s="4">
        <f t="shared" si="307"/>
        <v>0</v>
      </c>
      <c r="CZ299" s="4">
        <f t="shared" si="308"/>
        <v>0</v>
      </c>
      <c r="DA299" s="4">
        <f t="shared" si="309"/>
        <v>0</v>
      </c>
      <c r="DB299" s="4">
        <f t="shared" si="310"/>
        <v>0</v>
      </c>
      <c r="DC299" s="4">
        <f t="shared" si="311"/>
        <v>0</v>
      </c>
      <c r="DD299" s="4">
        <f t="shared" si="312"/>
        <v>0</v>
      </c>
    </row>
    <row r="300" spans="1:108" x14ac:dyDescent="0.25">
      <c r="A300" s="41" t="str">
        <f>Skills!M282</f>
        <v>English, Written</v>
      </c>
      <c r="B300" s="55" t="str">
        <f>Skills!N282</f>
        <v>English</v>
      </c>
      <c r="C300" s="22">
        <f t="shared" si="313"/>
        <v>0</v>
      </c>
      <c r="D300" s="112" t="e">
        <f>Skills!S282</f>
        <v>#N/A</v>
      </c>
      <c r="E300" s="113" t="e">
        <f>Profession!$B$141</f>
        <v>#REF!</v>
      </c>
      <c r="F300" s="19"/>
      <c r="G300" s="19"/>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56"/>
      <c r="BF300" s="4">
        <f t="shared" si="263"/>
        <v>0</v>
      </c>
      <c r="BG300" s="4">
        <f t="shared" si="263"/>
        <v>0</v>
      </c>
      <c r="BH300" s="4">
        <f t="shared" si="264"/>
        <v>0</v>
      </c>
      <c r="BI300" s="4">
        <f t="shared" si="265"/>
        <v>0</v>
      </c>
      <c r="BJ300" s="4">
        <f t="shared" si="266"/>
        <v>0</v>
      </c>
      <c r="BK300" s="4">
        <f t="shared" si="267"/>
        <v>0</v>
      </c>
      <c r="BL300" s="4">
        <f t="shared" si="268"/>
        <v>0</v>
      </c>
      <c r="BM300" s="4">
        <f t="shared" si="269"/>
        <v>0</v>
      </c>
      <c r="BN300" s="4">
        <f t="shared" si="270"/>
        <v>0</v>
      </c>
      <c r="BO300" s="4">
        <f t="shared" si="271"/>
        <v>0</v>
      </c>
      <c r="BP300" s="4">
        <f t="shared" si="272"/>
        <v>0</v>
      </c>
      <c r="BQ300" s="4">
        <f t="shared" si="273"/>
        <v>0</v>
      </c>
      <c r="BR300" s="4">
        <f t="shared" si="274"/>
        <v>0</v>
      </c>
      <c r="BS300" s="4">
        <f t="shared" si="275"/>
        <v>0</v>
      </c>
      <c r="BT300" s="4">
        <f t="shared" si="276"/>
        <v>0</v>
      </c>
      <c r="BU300" s="4">
        <f t="shared" si="277"/>
        <v>0</v>
      </c>
      <c r="BV300" s="4">
        <f t="shared" si="278"/>
        <v>0</v>
      </c>
      <c r="BW300" s="4">
        <f t="shared" si="279"/>
        <v>0</v>
      </c>
      <c r="BX300" s="4">
        <f t="shared" si="280"/>
        <v>0</v>
      </c>
      <c r="BY300" s="4">
        <f t="shared" si="281"/>
        <v>0</v>
      </c>
      <c r="BZ300" s="4">
        <f t="shared" si="282"/>
        <v>0</v>
      </c>
      <c r="CA300" s="4">
        <f t="shared" si="283"/>
        <v>0</v>
      </c>
      <c r="CB300" s="4">
        <f t="shared" si="284"/>
        <v>0</v>
      </c>
      <c r="CC300" s="4">
        <f t="shared" si="285"/>
        <v>0</v>
      </c>
      <c r="CD300" s="4">
        <f t="shared" si="286"/>
        <v>0</v>
      </c>
      <c r="CE300" s="4">
        <f t="shared" si="287"/>
        <v>0</v>
      </c>
      <c r="CF300" s="4">
        <f t="shared" si="288"/>
        <v>0</v>
      </c>
      <c r="CG300" s="4">
        <f t="shared" si="289"/>
        <v>0</v>
      </c>
      <c r="CH300" s="4">
        <f t="shared" si="290"/>
        <v>0</v>
      </c>
      <c r="CI300" s="4">
        <f t="shared" si="291"/>
        <v>0</v>
      </c>
      <c r="CJ300" s="4">
        <f t="shared" si="292"/>
        <v>0</v>
      </c>
      <c r="CK300" s="4">
        <f t="shared" si="293"/>
        <v>0</v>
      </c>
      <c r="CL300" s="4">
        <f t="shared" si="294"/>
        <v>0</v>
      </c>
      <c r="CM300" s="4">
        <f t="shared" si="295"/>
        <v>0</v>
      </c>
      <c r="CN300" s="4">
        <f t="shared" si="296"/>
        <v>0</v>
      </c>
      <c r="CO300" s="4">
        <f t="shared" si="297"/>
        <v>0</v>
      </c>
      <c r="CP300" s="4">
        <f t="shared" si="298"/>
        <v>0</v>
      </c>
      <c r="CQ300" s="4">
        <f t="shared" si="299"/>
        <v>0</v>
      </c>
      <c r="CR300" s="4">
        <f t="shared" si="300"/>
        <v>0</v>
      </c>
      <c r="CS300" s="4">
        <f t="shared" si="301"/>
        <v>0</v>
      </c>
      <c r="CT300" s="4">
        <f t="shared" si="302"/>
        <v>0</v>
      </c>
      <c r="CU300" s="4">
        <f t="shared" si="303"/>
        <v>0</v>
      </c>
      <c r="CV300" s="4">
        <f t="shared" si="304"/>
        <v>0</v>
      </c>
      <c r="CW300" s="4">
        <f t="shared" si="305"/>
        <v>0</v>
      </c>
      <c r="CX300" s="4">
        <f t="shared" si="306"/>
        <v>0</v>
      </c>
      <c r="CY300" s="4">
        <f t="shared" si="307"/>
        <v>0</v>
      </c>
      <c r="CZ300" s="4">
        <f t="shared" si="308"/>
        <v>0</v>
      </c>
      <c r="DA300" s="4">
        <f t="shared" si="309"/>
        <v>0</v>
      </c>
      <c r="DB300" s="4">
        <f t="shared" si="310"/>
        <v>0</v>
      </c>
      <c r="DC300" s="4">
        <f t="shared" si="311"/>
        <v>0</v>
      </c>
      <c r="DD300" s="4">
        <f t="shared" si="312"/>
        <v>0</v>
      </c>
    </row>
    <row r="301" spans="1:108" x14ac:dyDescent="0.25">
      <c r="A301" s="41" t="str">
        <f>Skills!M283</f>
        <v>0, Written</v>
      </c>
      <c r="B301" s="57">
        <f>Skills!N283</f>
        <v>0</v>
      </c>
      <c r="C301" s="24">
        <f t="shared" si="313"/>
        <v>0</v>
      </c>
      <c r="D301" s="110" t="e">
        <f>Skills!S283</f>
        <v>#N/A</v>
      </c>
      <c r="E301" s="111" t="e">
        <f>Profession!$B$141</f>
        <v>#REF!</v>
      </c>
      <c r="F301" s="18"/>
      <c r="G301" s="18"/>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49"/>
      <c r="BF301" s="4">
        <f t="shared" si="263"/>
        <v>0</v>
      </c>
      <c r="BG301" s="4">
        <f t="shared" si="263"/>
        <v>0</v>
      </c>
      <c r="BH301" s="4">
        <f t="shared" si="264"/>
        <v>0</v>
      </c>
      <c r="BI301" s="4">
        <f t="shared" si="265"/>
        <v>0</v>
      </c>
      <c r="BJ301" s="4">
        <f t="shared" si="266"/>
        <v>0</v>
      </c>
      <c r="BK301" s="4">
        <f t="shared" si="267"/>
        <v>0</v>
      </c>
      <c r="BL301" s="4">
        <f t="shared" si="268"/>
        <v>0</v>
      </c>
      <c r="BM301" s="4">
        <f t="shared" si="269"/>
        <v>0</v>
      </c>
      <c r="BN301" s="4">
        <f t="shared" si="270"/>
        <v>0</v>
      </c>
      <c r="BO301" s="4">
        <f t="shared" si="271"/>
        <v>0</v>
      </c>
      <c r="BP301" s="4">
        <f t="shared" si="272"/>
        <v>0</v>
      </c>
      <c r="BQ301" s="4">
        <f t="shared" si="273"/>
        <v>0</v>
      </c>
      <c r="BR301" s="4">
        <f t="shared" si="274"/>
        <v>0</v>
      </c>
      <c r="BS301" s="4">
        <f t="shared" si="275"/>
        <v>0</v>
      </c>
      <c r="BT301" s="4">
        <f t="shared" si="276"/>
        <v>0</v>
      </c>
      <c r="BU301" s="4">
        <f t="shared" si="277"/>
        <v>0</v>
      </c>
      <c r="BV301" s="4">
        <f t="shared" si="278"/>
        <v>0</v>
      </c>
      <c r="BW301" s="4">
        <f t="shared" si="279"/>
        <v>0</v>
      </c>
      <c r="BX301" s="4">
        <f t="shared" si="280"/>
        <v>0</v>
      </c>
      <c r="BY301" s="4">
        <f t="shared" si="281"/>
        <v>0</v>
      </c>
      <c r="BZ301" s="4">
        <f t="shared" si="282"/>
        <v>0</v>
      </c>
      <c r="CA301" s="4">
        <f t="shared" si="283"/>
        <v>0</v>
      </c>
      <c r="CB301" s="4">
        <f t="shared" si="284"/>
        <v>0</v>
      </c>
      <c r="CC301" s="4">
        <f t="shared" si="285"/>
        <v>0</v>
      </c>
      <c r="CD301" s="4">
        <f t="shared" si="286"/>
        <v>0</v>
      </c>
      <c r="CE301" s="4">
        <f t="shared" si="287"/>
        <v>0</v>
      </c>
      <c r="CF301" s="4">
        <f t="shared" si="288"/>
        <v>0</v>
      </c>
      <c r="CG301" s="4">
        <f t="shared" si="289"/>
        <v>0</v>
      </c>
      <c r="CH301" s="4">
        <f t="shared" si="290"/>
        <v>0</v>
      </c>
      <c r="CI301" s="4">
        <f t="shared" si="291"/>
        <v>0</v>
      </c>
      <c r="CJ301" s="4">
        <f t="shared" si="292"/>
        <v>0</v>
      </c>
      <c r="CK301" s="4">
        <f t="shared" si="293"/>
        <v>0</v>
      </c>
      <c r="CL301" s="4">
        <f t="shared" si="294"/>
        <v>0</v>
      </c>
      <c r="CM301" s="4">
        <f t="shared" si="295"/>
        <v>0</v>
      </c>
      <c r="CN301" s="4">
        <f t="shared" si="296"/>
        <v>0</v>
      </c>
      <c r="CO301" s="4">
        <f t="shared" si="297"/>
        <v>0</v>
      </c>
      <c r="CP301" s="4">
        <f t="shared" si="298"/>
        <v>0</v>
      </c>
      <c r="CQ301" s="4">
        <f t="shared" si="299"/>
        <v>0</v>
      </c>
      <c r="CR301" s="4">
        <f t="shared" si="300"/>
        <v>0</v>
      </c>
      <c r="CS301" s="4">
        <f t="shared" si="301"/>
        <v>0</v>
      </c>
      <c r="CT301" s="4">
        <f t="shared" si="302"/>
        <v>0</v>
      </c>
      <c r="CU301" s="4">
        <f t="shared" si="303"/>
        <v>0</v>
      </c>
      <c r="CV301" s="4">
        <f t="shared" si="304"/>
        <v>0</v>
      </c>
      <c r="CW301" s="4">
        <f t="shared" si="305"/>
        <v>0</v>
      </c>
      <c r="CX301" s="4">
        <f t="shared" si="306"/>
        <v>0</v>
      </c>
      <c r="CY301" s="4">
        <f t="shared" si="307"/>
        <v>0</v>
      </c>
      <c r="CZ301" s="4">
        <f t="shared" si="308"/>
        <v>0</v>
      </c>
      <c r="DA301" s="4">
        <f t="shared" si="309"/>
        <v>0</v>
      </c>
      <c r="DB301" s="4">
        <f t="shared" si="310"/>
        <v>0</v>
      </c>
      <c r="DC301" s="4">
        <f t="shared" si="311"/>
        <v>0</v>
      </c>
      <c r="DD301" s="4">
        <f t="shared" si="312"/>
        <v>0</v>
      </c>
    </row>
    <row r="302" spans="1:108" x14ac:dyDescent="0.25">
      <c r="A302" s="41">
        <f>Skills!M284</f>
        <v>0</v>
      </c>
      <c r="B302" s="55" t="str">
        <f>Skills!N284</f>
        <v>Languages Sub-category</v>
      </c>
      <c r="C302" s="22">
        <f t="shared" si="313"/>
        <v>0</v>
      </c>
      <c r="D302" s="112" t="str">
        <f>Skills!S284</f>
        <v>- -</v>
      </c>
      <c r="E302" s="113" t="s">
        <v>782</v>
      </c>
      <c r="F302" s="19"/>
      <c r="G302" s="19"/>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56"/>
      <c r="BF302" s="4">
        <f t="shared" si="263"/>
        <v>0</v>
      </c>
      <c r="BG302" s="4">
        <f t="shared" si="263"/>
        <v>0</v>
      </c>
      <c r="BH302" s="4">
        <f t="shared" si="264"/>
        <v>0</v>
      </c>
      <c r="BI302" s="4">
        <f t="shared" si="265"/>
        <v>0</v>
      </c>
      <c r="BJ302" s="4">
        <f t="shared" si="266"/>
        <v>0</v>
      </c>
      <c r="BK302" s="4">
        <f t="shared" si="267"/>
        <v>0</v>
      </c>
      <c r="BL302" s="4">
        <f t="shared" si="268"/>
        <v>0</v>
      </c>
      <c r="BM302" s="4">
        <f t="shared" si="269"/>
        <v>0</v>
      </c>
      <c r="BN302" s="4">
        <f t="shared" si="270"/>
        <v>0</v>
      </c>
      <c r="BO302" s="4">
        <f t="shared" si="271"/>
        <v>0</v>
      </c>
      <c r="BP302" s="4">
        <f t="shared" si="272"/>
        <v>0</v>
      </c>
      <c r="BQ302" s="4">
        <f t="shared" si="273"/>
        <v>0</v>
      </c>
      <c r="BR302" s="4">
        <f t="shared" si="274"/>
        <v>0</v>
      </c>
      <c r="BS302" s="4">
        <f t="shared" si="275"/>
        <v>0</v>
      </c>
      <c r="BT302" s="4">
        <f t="shared" si="276"/>
        <v>0</v>
      </c>
      <c r="BU302" s="4">
        <f t="shared" si="277"/>
        <v>0</v>
      </c>
      <c r="BV302" s="4">
        <f t="shared" si="278"/>
        <v>0</v>
      </c>
      <c r="BW302" s="4">
        <f t="shared" si="279"/>
        <v>0</v>
      </c>
      <c r="BX302" s="4">
        <f t="shared" si="280"/>
        <v>0</v>
      </c>
      <c r="BY302" s="4">
        <f t="shared" si="281"/>
        <v>0</v>
      </c>
      <c r="BZ302" s="4">
        <f t="shared" si="282"/>
        <v>0</v>
      </c>
      <c r="CA302" s="4">
        <f t="shared" si="283"/>
        <v>0</v>
      </c>
      <c r="CB302" s="4">
        <f t="shared" si="284"/>
        <v>0</v>
      </c>
      <c r="CC302" s="4">
        <f t="shared" si="285"/>
        <v>0</v>
      </c>
      <c r="CD302" s="4">
        <f t="shared" si="286"/>
        <v>0</v>
      </c>
      <c r="CE302" s="4">
        <f t="shared" si="287"/>
        <v>0</v>
      </c>
      <c r="CF302" s="4">
        <f t="shared" si="288"/>
        <v>0</v>
      </c>
      <c r="CG302" s="4">
        <f t="shared" si="289"/>
        <v>0</v>
      </c>
      <c r="CH302" s="4">
        <f t="shared" si="290"/>
        <v>0</v>
      </c>
      <c r="CI302" s="4">
        <f t="shared" si="291"/>
        <v>0</v>
      </c>
      <c r="CJ302" s="4">
        <f t="shared" si="292"/>
        <v>0</v>
      </c>
      <c r="CK302" s="4">
        <f t="shared" si="293"/>
        <v>0</v>
      </c>
      <c r="CL302" s="4">
        <f t="shared" si="294"/>
        <v>0</v>
      </c>
      <c r="CM302" s="4">
        <f t="shared" si="295"/>
        <v>0</v>
      </c>
      <c r="CN302" s="4">
        <f t="shared" si="296"/>
        <v>0</v>
      </c>
      <c r="CO302" s="4">
        <f t="shared" si="297"/>
        <v>0</v>
      </c>
      <c r="CP302" s="4">
        <f t="shared" si="298"/>
        <v>0</v>
      </c>
      <c r="CQ302" s="4">
        <f t="shared" si="299"/>
        <v>0</v>
      </c>
      <c r="CR302" s="4">
        <f t="shared" si="300"/>
        <v>0</v>
      </c>
      <c r="CS302" s="4">
        <f t="shared" si="301"/>
        <v>0</v>
      </c>
      <c r="CT302" s="4">
        <f t="shared" si="302"/>
        <v>0</v>
      </c>
      <c r="CU302" s="4">
        <f t="shared" si="303"/>
        <v>0</v>
      </c>
      <c r="CV302" s="4">
        <f t="shared" si="304"/>
        <v>0</v>
      </c>
      <c r="CW302" s="4">
        <f t="shared" si="305"/>
        <v>0</v>
      </c>
      <c r="CX302" s="4">
        <f t="shared" si="306"/>
        <v>0</v>
      </c>
      <c r="CY302" s="4">
        <f t="shared" si="307"/>
        <v>0</v>
      </c>
      <c r="CZ302" s="4">
        <f t="shared" si="308"/>
        <v>0</v>
      </c>
      <c r="DA302" s="4">
        <f t="shared" si="309"/>
        <v>0</v>
      </c>
      <c r="DB302" s="4">
        <f t="shared" si="310"/>
        <v>0</v>
      </c>
      <c r="DC302" s="4">
        <f t="shared" si="311"/>
        <v>0</v>
      </c>
      <c r="DD302" s="4">
        <f t="shared" si="312"/>
        <v>0</v>
      </c>
    </row>
    <row r="303" spans="1:108" x14ac:dyDescent="0.25">
      <c r="A303" s="41">
        <f>Skills!M285</f>
        <v>0</v>
      </c>
      <c r="B303" s="57" t="str">
        <f>Skills!N285</f>
        <v>Languages Skills (sub-cat)</v>
      </c>
      <c r="C303" s="24">
        <f t="shared" si="313"/>
        <v>0</v>
      </c>
      <c r="D303" s="110" t="str">
        <f>Skills!S285</f>
        <v>- -</v>
      </c>
      <c r="E303" s="111" t="s">
        <v>782</v>
      </c>
      <c r="F303" s="18"/>
      <c r="G303" s="18"/>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49"/>
      <c r="BF303" s="4">
        <f t="shared" si="263"/>
        <v>0</v>
      </c>
      <c r="BG303" s="4">
        <f t="shared" si="263"/>
        <v>0</v>
      </c>
      <c r="BH303" s="4">
        <f t="shared" si="264"/>
        <v>0</v>
      </c>
      <c r="BI303" s="4">
        <f t="shared" si="265"/>
        <v>0</v>
      </c>
      <c r="BJ303" s="4">
        <f t="shared" si="266"/>
        <v>0</v>
      </c>
      <c r="BK303" s="4">
        <f t="shared" si="267"/>
        <v>0</v>
      </c>
      <c r="BL303" s="4">
        <f t="shared" si="268"/>
        <v>0</v>
      </c>
      <c r="BM303" s="4">
        <f t="shared" si="269"/>
        <v>0</v>
      </c>
      <c r="BN303" s="4">
        <f t="shared" si="270"/>
        <v>0</v>
      </c>
      <c r="BO303" s="4">
        <f t="shared" si="271"/>
        <v>0</v>
      </c>
      <c r="BP303" s="4">
        <f t="shared" si="272"/>
        <v>0</v>
      </c>
      <c r="BQ303" s="4">
        <f t="shared" si="273"/>
        <v>0</v>
      </c>
      <c r="BR303" s="4">
        <f t="shared" si="274"/>
        <v>0</v>
      </c>
      <c r="BS303" s="4">
        <f t="shared" si="275"/>
        <v>0</v>
      </c>
      <c r="BT303" s="4">
        <f t="shared" si="276"/>
        <v>0</v>
      </c>
      <c r="BU303" s="4">
        <f t="shared" si="277"/>
        <v>0</v>
      </c>
      <c r="BV303" s="4">
        <f t="shared" si="278"/>
        <v>0</v>
      </c>
      <c r="BW303" s="4">
        <f t="shared" si="279"/>
        <v>0</v>
      </c>
      <c r="BX303" s="4">
        <f t="shared" si="280"/>
        <v>0</v>
      </c>
      <c r="BY303" s="4">
        <f t="shared" si="281"/>
        <v>0</v>
      </c>
      <c r="BZ303" s="4">
        <f t="shared" si="282"/>
        <v>0</v>
      </c>
      <c r="CA303" s="4">
        <f t="shared" si="283"/>
        <v>0</v>
      </c>
      <c r="CB303" s="4">
        <f t="shared" si="284"/>
        <v>0</v>
      </c>
      <c r="CC303" s="4">
        <f t="shared" si="285"/>
        <v>0</v>
      </c>
      <c r="CD303" s="4">
        <f t="shared" si="286"/>
        <v>0</v>
      </c>
      <c r="CE303" s="4">
        <f t="shared" si="287"/>
        <v>0</v>
      </c>
      <c r="CF303" s="4">
        <f t="shared" si="288"/>
        <v>0</v>
      </c>
      <c r="CG303" s="4">
        <f t="shared" si="289"/>
        <v>0</v>
      </c>
      <c r="CH303" s="4">
        <f t="shared" si="290"/>
        <v>0</v>
      </c>
      <c r="CI303" s="4">
        <f t="shared" si="291"/>
        <v>0</v>
      </c>
      <c r="CJ303" s="4">
        <f t="shared" si="292"/>
        <v>0</v>
      </c>
      <c r="CK303" s="4">
        <f t="shared" si="293"/>
        <v>0</v>
      </c>
      <c r="CL303" s="4">
        <f t="shared" si="294"/>
        <v>0</v>
      </c>
      <c r="CM303" s="4">
        <f t="shared" si="295"/>
        <v>0</v>
      </c>
      <c r="CN303" s="4">
        <f t="shared" si="296"/>
        <v>0</v>
      </c>
      <c r="CO303" s="4">
        <f t="shared" si="297"/>
        <v>0</v>
      </c>
      <c r="CP303" s="4">
        <f t="shared" si="298"/>
        <v>0</v>
      </c>
      <c r="CQ303" s="4">
        <f t="shared" si="299"/>
        <v>0</v>
      </c>
      <c r="CR303" s="4">
        <f t="shared" si="300"/>
        <v>0</v>
      </c>
      <c r="CS303" s="4">
        <f t="shared" si="301"/>
        <v>0</v>
      </c>
      <c r="CT303" s="4">
        <f t="shared" si="302"/>
        <v>0</v>
      </c>
      <c r="CU303" s="4">
        <f t="shared" si="303"/>
        <v>0</v>
      </c>
      <c r="CV303" s="4">
        <f t="shared" si="304"/>
        <v>0</v>
      </c>
      <c r="CW303" s="4">
        <f t="shared" si="305"/>
        <v>0</v>
      </c>
      <c r="CX303" s="4">
        <f t="shared" si="306"/>
        <v>0</v>
      </c>
      <c r="CY303" s="4">
        <f t="shared" si="307"/>
        <v>0</v>
      </c>
      <c r="CZ303" s="4">
        <f t="shared" si="308"/>
        <v>0</v>
      </c>
      <c r="DA303" s="4">
        <f t="shared" si="309"/>
        <v>0</v>
      </c>
      <c r="DB303" s="4">
        <f t="shared" si="310"/>
        <v>0</v>
      </c>
      <c r="DC303" s="4">
        <f t="shared" si="311"/>
        <v>0</v>
      </c>
      <c r="DD303" s="4">
        <f t="shared" si="312"/>
        <v>0</v>
      </c>
    </row>
    <row r="304" spans="1:108" x14ac:dyDescent="0.25">
      <c r="A304" s="41" t="str">
        <f>Skills!M286</f>
        <v>Lip Reading</v>
      </c>
      <c r="B304" s="55" t="str">
        <f>Skills!N286</f>
        <v>Lip Reading</v>
      </c>
      <c r="C304" s="22">
        <f t="shared" si="313"/>
        <v>0</v>
      </c>
      <c r="D304" s="112" t="e">
        <f>Skills!S286</f>
        <v>#N/A</v>
      </c>
      <c r="E304" s="113" t="e">
        <f>Profession!$B$141</f>
        <v>#REF!</v>
      </c>
      <c r="F304" s="19"/>
      <c r="G304" s="19"/>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56"/>
      <c r="BF304" s="4">
        <f t="shared" si="263"/>
        <v>0</v>
      </c>
      <c r="BG304" s="4">
        <f t="shared" si="263"/>
        <v>0</v>
      </c>
      <c r="BH304" s="4">
        <f t="shared" si="264"/>
        <v>0</v>
      </c>
      <c r="BI304" s="4">
        <f t="shared" si="265"/>
        <v>0</v>
      </c>
      <c r="BJ304" s="4">
        <f t="shared" si="266"/>
        <v>0</v>
      </c>
      <c r="BK304" s="4">
        <f t="shared" si="267"/>
        <v>0</v>
      </c>
      <c r="BL304" s="4">
        <f t="shared" si="268"/>
        <v>0</v>
      </c>
      <c r="BM304" s="4">
        <f t="shared" si="269"/>
        <v>0</v>
      </c>
      <c r="BN304" s="4">
        <f t="shared" si="270"/>
        <v>0</v>
      </c>
      <c r="BO304" s="4">
        <f t="shared" si="271"/>
        <v>0</v>
      </c>
      <c r="BP304" s="4">
        <f t="shared" si="272"/>
        <v>0</v>
      </c>
      <c r="BQ304" s="4">
        <f t="shared" si="273"/>
        <v>0</v>
      </c>
      <c r="BR304" s="4">
        <f t="shared" si="274"/>
        <v>0</v>
      </c>
      <c r="BS304" s="4">
        <f t="shared" si="275"/>
        <v>0</v>
      </c>
      <c r="BT304" s="4">
        <f t="shared" si="276"/>
        <v>0</v>
      </c>
      <c r="BU304" s="4">
        <f t="shared" si="277"/>
        <v>0</v>
      </c>
      <c r="BV304" s="4">
        <f t="shared" si="278"/>
        <v>0</v>
      </c>
      <c r="BW304" s="4">
        <f t="shared" si="279"/>
        <v>0</v>
      </c>
      <c r="BX304" s="4">
        <f t="shared" si="280"/>
        <v>0</v>
      </c>
      <c r="BY304" s="4">
        <f t="shared" si="281"/>
        <v>0</v>
      </c>
      <c r="BZ304" s="4">
        <f t="shared" si="282"/>
        <v>0</v>
      </c>
      <c r="CA304" s="4">
        <f t="shared" si="283"/>
        <v>0</v>
      </c>
      <c r="CB304" s="4">
        <f t="shared" si="284"/>
        <v>0</v>
      </c>
      <c r="CC304" s="4">
        <f t="shared" si="285"/>
        <v>0</v>
      </c>
      <c r="CD304" s="4">
        <f t="shared" si="286"/>
        <v>0</v>
      </c>
      <c r="CE304" s="4">
        <f t="shared" si="287"/>
        <v>0</v>
      </c>
      <c r="CF304" s="4">
        <f t="shared" si="288"/>
        <v>0</v>
      </c>
      <c r="CG304" s="4">
        <f t="shared" si="289"/>
        <v>0</v>
      </c>
      <c r="CH304" s="4">
        <f t="shared" si="290"/>
        <v>0</v>
      </c>
      <c r="CI304" s="4">
        <f t="shared" si="291"/>
        <v>0</v>
      </c>
      <c r="CJ304" s="4">
        <f t="shared" si="292"/>
        <v>0</v>
      </c>
      <c r="CK304" s="4">
        <f t="shared" si="293"/>
        <v>0</v>
      </c>
      <c r="CL304" s="4">
        <f t="shared" si="294"/>
        <v>0</v>
      </c>
      <c r="CM304" s="4">
        <f t="shared" si="295"/>
        <v>0</v>
      </c>
      <c r="CN304" s="4">
        <f t="shared" si="296"/>
        <v>0</v>
      </c>
      <c r="CO304" s="4">
        <f t="shared" si="297"/>
        <v>0</v>
      </c>
      <c r="CP304" s="4">
        <f t="shared" si="298"/>
        <v>0</v>
      </c>
      <c r="CQ304" s="4">
        <f t="shared" si="299"/>
        <v>0</v>
      </c>
      <c r="CR304" s="4">
        <f t="shared" si="300"/>
        <v>0</v>
      </c>
      <c r="CS304" s="4">
        <f t="shared" si="301"/>
        <v>0</v>
      </c>
      <c r="CT304" s="4">
        <f t="shared" si="302"/>
        <v>0</v>
      </c>
      <c r="CU304" s="4">
        <f t="shared" si="303"/>
        <v>0</v>
      </c>
      <c r="CV304" s="4">
        <f t="shared" si="304"/>
        <v>0</v>
      </c>
      <c r="CW304" s="4">
        <f t="shared" si="305"/>
        <v>0</v>
      </c>
      <c r="CX304" s="4">
        <f t="shared" si="306"/>
        <v>0</v>
      </c>
      <c r="CY304" s="4">
        <f t="shared" si="307"/>
        <v>0</v>
      </c>
      <c r="CZ304" s="4">
        <f t="shared" si="308"/>
        <v>0</v>
      </c>
      <c r="DA304" s="4">
        <f t="shared" si="309"/>
        <v>0</v>
      </c>
      <c r="DB304" s="4">
        <f t="shared" si="310"/>
        <v>0</v>
      </c>
      <c r="DC304" s="4">
        <f t="shared" si="311"/>
        <v>0</v>
      </c>
      <c r="DD304" s="4">
        <f t="shared" si="312"/>
        <v>0</v>
      </c>
    </row>
    <row r="305" spans="1:108" x14ac:dyDescent="0.25">
      <c r="A305" s="41" t="str">
        <f>Skills!M287</f>
        <v>Signalling</v>
      </c>
      <c r="B305" s="57" t="str">
        <f>Skills!N287</f>
        <v>Signalling</v>
      </c>
      <c r="C305" s="24">
        <f t="shared" si="313"/>
        <v>0</v>
      </c>
      <c r="D305" s="110" t="e">
        <f>Skills!S287</f>
        <v>#N/A</v>
      </c>
      <c r="E305" s="111" t="e">
        <f>Profession!$B$141</f>
        <v>#REF!</v>
      </c>
      <c r="F305" s="18"/>
      <c r="G305" s="18"/>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49"/>
      <c r="BF305" s="4">
        <f t="shared" si="263"/>
        <v>0</v>
      </c>
      <c r="BG305" s="4">
        <f t="shared" si="263"/>
        <v>0</v>
      </c>
      <c r="BH305" s="4">
        <f t="shared" si="264"/>
        <v>0</v>
      </c>
      <c r="BI305" s="4">
        <f t="shared" si="265"/>
        <v>0</v>
      </c>
      <c r="BJ305" s="4">
        <f t="shared" si="266"/>
        <v>0</v>
      </c>
      <c r="BK305" s="4">
        <f t="shared" si="267"/>
        <v>0</v>
      </c>
      <c r="BL305" s="4">
        <f t="shared" si="268"/>
        <v>0</v>
      </c>
      <c r="BM305" s="4">
        <f t="shared" si="269"/>
        <v>0</v>
      </c>
      <c r="BN305" s="4">
        <f t="shared" si="270"/>
        <v>0</v>
      </c>
      <c r="BO305" s="4">
        <f t="shared" si="271"/>
        <v>0</v>
      </c>
      <c r="BP305" s="4">
        <f t="shared" si="272"/>
        <v>0</v>
      </c>
      <c r="BQ305" s="4">
        <f t="shared" si="273"/>
        <v>0</v>
      </c>
      <c r="BR305" s="4">
        <f t="shared" si="274"/>
        <v>0</v>
      </c>
      <c r="BS305" s="4">
        <f t="shared" si="275"/>
        <v>0</v>
      </c>
      <c r="BT305" s="4">
        <f t="shared" si="276"/>
        <v>0</v>
      </c>
      <c r="BU305" s="4">
        <f t="shared" si="277"/>
        <v>0</v>
      </c>
      <c r="BV305" s="4">
        <f t="shared" si="278"/>
        <v>0</v>
      </c>
      <c r="BW305" s="4">
        <f t="shared" si="279"/>
        <v>0</v>
      </c>
      <c r="BX305" s="4">
        <f t="shared" si="280"/>
        <v>0</v>
      </c>
      <c r="BY305" s="4">
        <f t="shared" si="281"/>
        <v>0</v>
      </c>
      <c r="BZ305" s="4">
        <f t="shared" si="282"/>
        <v>0</v>
      </c>
      <c r="CA305" s="4">
        <f t="shared" si="283"/>
        <v>0</v>
      </c>
      <c r="CB305" s="4">
        <f t="shared" si="284"/>
        <v>0</v>
      </c>
      <c r="CC305" s="4">
        <f t="shared" si="285"/>
        <v>0</v>
      </c>
      <c r="CD305" s="4">
        <f t="shared" si="286"/>
        <v>0</v>
      </c>
      <c r="CE305" s="4">
        <f t="shared" si="287"/>
        <v>0</v>
      </c>
      <c r="CF305" s="4">
        <f t="shared" si="288"/>
        <v>0</v>
      </c>
      <c r="CG305" s="4">
        <f t="shared" si="289"/>
        <v>0</v>
      </c>
      <c r="CH305" s="4">
        <f t="shared" si="290"/>
        <v>0</v>
      </c>
      <c r="CI305" s="4">
        <f t="shared" si="291"/>
        <v>0</v>
      </c>
      <c r="CJ305" s="4">
        <f t="shared" si="292"/>
        <v>0</v>
      </c>
      <c r="CK305" s="4">
        <f t="shared" si="293"/>
        <v>0</v>
      </c>
      <c r="CL305" s="4">
        <f t="shared" si="294"/>
        <v>0</v>
      </c>
      <c r="CM305" s="4">
        <f t="shared" si="295"/>
        <v>0</v>
      </c>
      <c r="CN305" s="4">
        <f t="shared" si="296"/>
        <v>0</v>
      </c>
      <c r="CO305" s="4">
        <f t="shared" si="297"/>
        <v>0</v>
      </c>
      <c r="CP305" s="4">
        <f t="shared" si="298"/>
        <v>0</v>
      </c>
      <c r="CQ305" s="4">
        <f t="shared" si="299"/>
        <v>0</v>
      </c>
      <c r="CR305" s="4">
        <f t="shared" si="300"/>
        <v>0</v>
      </c>
      <c r="CS305" s="4">
        <f t="shared" si="301"/>
        <v>0</v>
      </c>
      <c r="CT305" s="4">
        <f t="shared" si="302"/>
        <v>0</v>
      </c>
      <c r="CU305" s="4">
        <f t="shared" si="303"/>
        <v>0</v>
      </c>
      <c r="CV305" s="4">
        <f t="shared" si="304"/>
        <v>0</v>
      </c>
      <c r="CW305" s="4">
        <f t="shared" si="305"/>
        <v>0</v>
      </c>
      <c r="CX305" s="4">
        <f t="shared" si="306"/>
        <v>0</v>
      </c>
      <c r="CY305" s="4">
        <f t="shared" si="307"/>
        <v>0</v>
      </c>
      <c r="CZ305" s="4">
        <f t="shared" si="308"/>
        <v>0</v>
      </c>
      <c r="DA305" s="4">
        <f t="shared" si="309"/>
        <v>0</v>
      </c>
      <c r="DB305" s="4">
        <f t="shared" si="310"/>
        <v>0</v>
      </c>
      <c r="DC305" s="4">
        <f t="shared" si="311"/>
        <v>0</v>
      </c>
      <c r="DD305" s="4">
        <f t="shared" si="312"/>
        <v>0</v>
      </c>
    </row>
    <row r="306" spans="1:108" x14ac:dyDescent="0.25">
      <c r="A306" s="41">
        <f>Skills!M288</f>
        <v>0</v>
      </c>
      <c r="B306" s="55" t="str">
        <f>Skills!N288</f>
        <v>Law Sub-category</v>
      </c>
      <c r="C306" s="22">
        <f t="shared" si="313"/>
        <v>0</v>
      </c>
      <c r="D306" s="112" t="str">
        <f>Skills!S288</f>
        <v>- -</v>
      </c>
      <c r="E306" s="113" t="s">
        <v>782</v>
      </c>
      <c r="F306" s="19"/>
      <c r="G306" s="19"/>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56"/>
      <c r="BF306" s="4">
        <f t="shared" si="263"/>
        <v>0</v>
      </c>
      <c r="BG306" s="4">
        <f t="shared" si="263"/>
        <v>0</v>
      </c>
      <c r="BH306" s="4">
        <f t="shared" si="264"/>
        <v>0</v>
      </c>
      <c r="BI306" s="4">
        <f t="shared" si="265"/>
        <v>0</v>
      </c>
      <c r="BJ306" s="4">
        <f t="shared" si="266"/>
        <v>0</v>
      </c>
      <c r="BK306" s="4">
        <f t="shared" si="267"/>
        <v>0</v>
      </c>
      <c r="BL306" s="4">
        <f t="shared" si="268"/>
        <v>0</v>
      </c>
      <c r="BM306" s="4">
        <f t="shared" si="269"/>
        <v>0</v>
      </c>
      <c r="BN306" s="4">
        <f t="shared" si="270"/>
        <v>0</v>
      </c>
      <c r="BO306" s="4">
        <f t="shared" si="271"/>
        <v>0</v>
      </c>
      <c r="BP306" s="4">
        <f t="shared" si="272"/>
        <v>0</v>
      </c>
      <c r="BQ306" s="4">
        <f t="shared" si="273"/>
        <v>0</v>
      </c>
      <c r="BR306" s="4">
        <f t="shared" si="274"/>
        <v>0</v>
      </c>
      <c r="BS306" s="4">
        <f t="shared" si="275"/>
        <v>0</v>
      </c>
      <c r="BT306" s="4">
        <f t="shared" si="276"/>
        <v>0</v>
      </c>
      <c r="BU306" s="4">
        <f t="shared" si="277"/>
        <v>0</v>
      </c>
      <c r="BV306" s="4">
        <f t="shared" si="278"/>
        <v>0</v>
      </c>
      <c r="BW306" s="4">
        <f t="shared" si="279"/>
        <v>0</v>
      </c>
      <c r="BX306" s="4">
        <f t="shared" si="280"/>
        <v>0</v>
      </c>
      <c r="BY306" s="4">
        <f t="shared" si="281"/>
        <v>0</v>
      </c>
      <c r="BZ306" s="4">
        <f t="shared" si="282"/>
        <v>0</v>
      </c>
      <c r="CA306" s="4">
        <f t="shared" si="283"/>
        <v>0</v>
      </c>
      <c r="CB306" s="4">
        <f t="shared" si="284"/>
        <v>0</v>
      </c>
      <c r="CC306" s="4">
        <f t="shared" si="285"/>
        <v>0</v>
      </c>
      <c r="CD306" s="4">
        <f t="shared" si="286"/>
        <v>0</v>
      </c>
      <c r="CE306" s="4">
        <f t="shared" si="287"/>
        <v>0</v>
      </c>
      <c r="CF306" s="4">
        <f t="shared" si="288"/>
        <v>0</v>
      </c>
      <c r="CG306" s="4">
        <f t="shared" si="289"/>
        <v>0</v>
      </c>
      <c r="CH306" s="4">
        <f t="shared" si="290"/>
        <v>0</v>
      </c>
      <c r="CI306" s="4">
        <f t="shared" si="291"/>
        <v>0</v>
      </c>
      <c r="CJ306" s="4">
        <f t="shared" si="292"/>
        <v>0</v>
      </c>
      <c r="CK306" s="4">
        <f t="shared" si="293"/>
        <v>0</v>
      </c>
      <c r="CL306" s="4">
        <f t="shared" si="294"/>
        <v>0</v>
      </c>
      <c r="CM306" s="4">
        <f t="shared" si="295"/>
        <v>0</v>
      </c>
      <c r="CN306" s="4">
        <f t="shared" si="296"/>
        <v>0</v>
      </c>
      <c r="CO306" s="4">
        <f t="shared" si="297"/>
        <v>0</v>
      </c>
      <c r="CP306" s="4">
        <f t="shared" si="298"/>
        <v>0</v>
      </c>
      <c r="CQ306" s="4">
        <f t="shared" si="299"/>
        <v>0</v>
      </c>
      <c r="CR306" s="4">
        <f t="shared" si="300"/>
        <v>0</v>
      </c>
      <c r="CS306" s="4">
        <f t="shared" si="301"/>
        <v>0</v>
      </c>
      <c r="CT306" s="4">
        <f t="shared" si="302"/>
        <v>0</v>
      </c>
      <c r="CU306" s="4">
        <f t="shared" si="303"/>
        <v>0</v>
      </c>
      <c r="CV306" s="4">
        <f t="shared" si="304"/>
        <v>0</v>
      </c>
      <c r="CW306" s="4">
        <f t="shared" si="305"/>
        <v>0</v>
      </c>
      <c r="CX306" s="4">
        <f t="shared" si="306"/>
        <v>0</v>
      </c>
      <c r="CY306" s="4">
        <f t="shared" si="307"/>
        <v>0</v>
      </c>
      <c r="CZ306" s="4">
        <f t="shared" si="308"/>
        <v>0</v>
      </c>
      <c r="DA306" s="4">
        <f t="shared" si="309"/>
        <v>0</v>
      </c>
      <c r="DB306" s="4">
        <f t="shared" si="310"/>
        <v>0</v>
      </c>
      <c r="DC306" s="4">
        <f t="shared" si="311"/>
        <v>0</v>
      </c>
      <c r="DD306" s="4">
        <f t="shared" si="312"/>
        <v>0</v>
      </c>
    </row>
    <row r="307" spans="1:108" x14ac:dyDescent="0.25">
      <c r="A307" s="41">
        <f>Skills!M289</f>
        <v>0</v>
      </c>
      <c r="B307" s="57" t="str">
        <f>Skills!N289</f>
        <v>Law Skills</v>
      </c>
      <c r="C307" s="24">
        <f t="shared" si="313"/>
        <v>0</v>
      </c>
      <c r="D307" s="110" t="str">
        <f>Skills!S289</f>
        <v>- -</v>
      </c>
      <c r="E307" s="111" t="s">
        <v>782</v>
      </c>
      <c r="F307" s="18"/>
      <c r="G307" s="18"/>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49"/>
      <c r="BF307" s="4">
        <f t="shared" si="263"/>
        <v>0</v>
      </c>
      <c r="BG307" s="4">
        <f t="shared" si="263"/>
        <v>0</v>
      </c>
      <c r="BH307" s="4">
        <f t="shared" si="264"/>
        <v>0</v>
      </c>
      <c r="BI307" s="4">
        <f t="shared" si="265"/>
        <v>0</v>
      </c>
      <c r="BJ307" s="4">
        <f t="shared" si="266"/>
        <v>0</v>
      </c>
      <c r="BK307" s="4">
        <f t="shared" si="267"/>
        <v>0</v>
      </c>
      <c r="BL307" s="4">
        <f t="shared" si="268"/>
        <v>0</v>
      </c>
      <c r="BM307" s="4">
        <f t="shared" si="269"/>
        <v>0</v>
      </c>
      <c r="BN307" s="4">
        <f t="shared" si="270"/>
        <v>0</v>
      </c>
      <c r="BO307" s="4">
        <f t="shared" si="271"/>
        <v>0</v>
      </c>
      <c r="BP307" s="4">
        <f t="shared" si="272"/>
        <v>0</v>
      </c>
      <c r="BQ307" s="4">
        <f t="shared" si="273"/>
        <v>0</v>
      </c>
      <c r="BR307" s="4">
        <f t="shared" si="274"/>
        <v>0</v>
      </c>
      <c r="BS307" s="4">
        <f t="shared" si="275"/>
        <v>0</v>
      </c>
      <c r="BT307" s="4">
        <f t="shared" si="276"/>
        <v>0</v>
      </c>
      <c r="BU307" s="4">
        <f t="shared" si="277"/>
        <v>0</v>
      </c>
      <c r="BV307" s="4">
        <f t="shared" si="278"/>
        <v>0</v>
      </c>
      <c r="BW307" s="4">
        <f t="shared" si="279"/>
        <v>0</v>
      </c>
      <c r="BX307" s="4">
        <f t="shared" si="280"/>
        <v>0</v>
      </c>
      <c r="BY307" s="4">
        <f t="shared" si="281"/>
        <v>0</v>
      </c>
      <c r="BZ307" s="4">
        <f t="shared" si="282"/>
        <v>0</v>
      </c>
      <c r="CA307" s="4">
        <f t="shared" si="283"/>
        <v>0</v>
      </c>
      <c r="CB307" s="4">
        <f t="shared" si="284"/>
        <v>0</v>
      </c>
      <c r="CC307" s="4">
        <f t="shared" si="285"/>
        <v>0</v>
      </c>
      <c r="CD307" s="4">
        <f t="shared" si="286"/>
        <v>0</v>
      </c>
      <c r="CE307" s="4">
        <f t="shared" si="287"/>
        <v>0</v>
      </c>
      <c r="CF307" s="4">
        <f t="shared" si="288"/>
        <v>0</v>
      </c>
      <c r="CG307" s="4">
        <f t="shared" si="289"/>
        <v>0</v>
      </c>
      <c r="CH307" s="4">
        <f t="shared" si="290"/>
        <v>0</v>
      </c>
      <c r="CI307" s="4">
        <f t="shared" si="291"/>
        <v>0</v>
      </c>
      <c r="CJ307" s="4">
        <f t="shared" si="292"/>
        <v>0</v>
      </c>
      <c r="CK307" s="4">
        <f t="shared" si="293"/>
        <v>0</v>
      </c>
      <c r="CL307" s="4">
        <f t="shared" si="294"/>
        <v>0</v>
      </c>
      <c r="CM307" s="4">
        <f t="shared" si="295"/>
        <v>0</v>
      </c>
      <c r="CN307" s="4">
        <f t="shared" si="296"/>
        <v>0</v>
      </c>
      <c r="CO307" s="4">
        <f t="shared" si="297"/>
        <v>0</v>
      </c>
      <c r="CP307" s="4">
        <f t="shared" si="298"/>
        <v>0</v>
      </c>
      <c r="CQ307" s="4">
        <f t="shared" si="299"/>
        <v>0</v>
      </c>
      <c r="CR307" s="4">
        <f t="shared" si="300"/>
        <v>0</v>
      </c>
      <c r="CS307" s="4">
        <f t="shared" si="301"/>
        <v>0</v>
      </c>
      <c r="CT307" s="4">
        <f t="shared" si="302"/>
        <v>0</v>
      </c>
      <c r="CU307" s="4">
        <f t="shared" si="303"/>
        <v>0</v>
      </c>
      <c r="CV307" s="4">
        <f t="shared" si="304"/>
        <v>0</v>
      </c>
      <c r="CW307" s="4">
        <f t="shared" si="305"/>
        <v>0</v>
      </c>
      <c r="CX307" s="4">
        <f t="shared" si="306"/>
        <v>0</v>
      </c>
      <c r="CY307" s="4">
        <f t="shared" si="307"/>
        <v>0</v>
      </c>
      <c r="CZ307" s="4">
        <f t="shared" si="308"/>
        <v>0</v>
      </c>
      <c r="DA307" s="4">
        <f t="shared" si="309"/>
        <v>0</v>
      </c>
      <c r="DB307" s="4">
        <f t="shared" si="310"/>
        <v>0</v>
      </c>
      <c r="DC307" s="4">
        <f t="shared" si="311"/>
        <v>0</v>
      </c>
      <c r="DD307" s="4">
        <f t="shared" si="312"/>
        <v>0</v>
      </c>
    </row>
    <row r="308" spans="1:108" x14ac:dyDescent="0.25">
      <c r="A308" s="41" t="str">
        <f>Skills!M290</f>
        <v>Law, Business Law</v>
      </c>
      <c r="B308" s="55" t="str">
        <f>Skills!N290</f>
        <v>Business Law</v>
      </c>
      <c r="C308" s="22">
        <f t="shared" si="313"/>
        <v>0</v>
      </c>
      <c r="D308" s="112" t="e">
        <f>Skills!S290</f>
        <v>#N/A</v>
      </c>
      <c r="E308" s="113" t="e">
        <f>Profession!$B$142</f>
        <v>#REF!</v>
      </c>
      <c r="F308" s="19"/>
      <c r="G308" s="19"/>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56"/>
      <c r="BF308" s="4">
        <f t="shared" si="263"/>
        <v>0</v>
      </c>
      <c r="BG308" s="4">
        <f t="shared" si="263"/>
        <v>0</v>
      </c>
      <c r="BH308" s="4">
        <f t="shared" si="264"/>
        <v>0</v>
      </c>
      <c r="BI308" s="4">
        <f t="shared" si="265"/>
        <v>0</v>
      </c>
      <c r="BJ308" s="4">
        <f t="shared" si="266"/>
        <v>0</v>
      </c>
      <c r="BK308" s="4">
        <f t="shared" si="267"/>
        <v>0</v>
      </c>
      <c r="BL308" s="4">
        <f t="shared" si="268"/>
        <v>0</v>
      </c>
      <c r="BM308" s="4">
        <f t="shared" si="269"/>
        <v>0</v>
      </c>
      <c r="BN308" s="4">
        <f t="shared" si="270"/>
        <v>0</v>
      </c>
      <c r="BO308" s="4">
        <f t="shared" si="271"/>
        <v>0</v>
      </c>
      <c r="BP308" s="4">
        <f t="shared" si="272"/>
        <v>0</v>
      </c>
      <c r="BQ308" s="4">
        <f t="shared" si="273"/>
        <v>0</v>
      </c>
      <c r="BR308" s="4">
        <f t="shared" si="274"/>
        <v>0</v>
      </c>
      <c r="BS308" s="4">
        <f t="shared" si="275"/>
        <v>0</v>
      </c>
      <c r="BT308" s="4">
        <f t="shared" si="276"/>
        <v>0</v>
      </c>
      <c r="BU308" s="4">
        <f t="shared" si="277"/>
        <v>0</v>
      </c>
      <c r="BV308" s="4">
        <f t="shared" si="278"/>
        <v>0</v>
      </c>
      <c r="BW308" s="4">
        <f t="shared" si="279"/>
        <v>0</v>
      </c>
      <c r="BX308" s="4">
        <f t="shared" si="280"/>
        <v>0</v>
      </c>
      <c r="BY308" s="4">
        <f t="shared" si="281"/>
        <v>0</v>
      </c>
      <c r="BZ308" s="4">
        <f t="shared" si="282"/>
        <v>0</v>
      </c>
      <c r="CA308" s="4">
        <f t="shared" si="283"/>
        <v>0</v>
      </c>
      <c r="CB308" s="4">
        <f t="shared" si="284"/>
        <v>0</v>
      </c>
      <c r="CC308" s="4">
        <f t="shared" si="285"/>
        <v>0</v>
      </c>
      <c r="CD308" s="4">
        <f t="shared" si="286"/>
        <v>0</v>
      </c>
      <c r="CE308" s="4">
        <f t="shared" si="287"/>
        <v>0</v>
      </c>
      <c r="CF308" s="4">
        <f t="shared" si="288"/>
        <v>0</v>
      </c>
      <c r="CG308" s="4">
        <f t="shared" si="289"/>
        <v>0</v>
      </c>
      <c r="CH308" s="4">
        <f t="shared" si="290"/>
        <v>0</v>
      </c>
      <c r="CI308" s="4">
        <f t="shared" si="291"/>
        <v>0</v>
      </c>
      <c r="CJ308" s="4">
        <f t="shared" si="292"/>
        <v>0</v>
      </c>
      <c r="CK308" s="4">
        <f t="shared" si="293"/>
        <v>0</v>
      </c>
      <c r="CL308" s="4">
        <f t="shared" si="294"/>
        <v>0</v>
      </c>
      <c r="CM308" s="4">
        <f t="shared" si="295"/>
        <v>0</v>
      </c>
      <c r="CN308" s="4">
        <f t="shared" si="296"/>
        <v>0</v>
      </c>
      <c r="CO308" s="4">
        <f t="shared" si="297"/>
        <v>0</v>
      </c>
      <c r="CP308" s="4">
        <f t="shared" si="298"/>
        <v>0</v>
      </c>
      <c r="CQ308" s="4">
        <f t="shared" si="299"/>
        <v>0</v>
      </c>
      <c r="CR308" s="4">
        <f t="shared" si="300"/>
        <v>0</v>
      </c>
      <c r="CS308" s="4">
        <f t="shared" si="301"/>
        <v>0</v>
      </c>
      <c r="CT308" s="4">
        <f t="shared" si="302"/>
        <v>0</v>
      </c>
      <c r="CU308" s="4">
        <f t="shared" si="303"/>
        <v>0</v>
      </c>
      <c r="CV308" s="4">
        <f t="shared" si="304"/>
        <v>0</v>
      </c>
      <c r="CW308" s="4">
        <f t="shared" si="305"/>
        <v>0</v>
      </c>
      <c r="CX308" s="4">
        <f t="shared" si="306"/>
        <v>0</v>
      </c>
      <c r="CY308" s="4">
        <f t="shared" si="307"/>
        <v>0</v>
      </c>
      <c r="CZ308" s="4">
        <f t="shared" si="308"/>
        <v>0</v>
      </c>
      <c r="DA308" s="4">
        <f t="shared" si="309"/>
        <v>0</v>
      </c>
      <c r="DB308" s="4">
        <f t="shared" si="310"/>
        <v>0</v>
      </c>
      <c r="DC308" s="4">
        <f t="shared" si="311"/>
        <v>0</v>
      </c>
      <c r="DD308" s="4">
        <f t="shared" si="312"/>
        <v>0</v>
      </c>
    </row>
    <row r="309" spans="1:108" x14ac:dyDescent="0.25">
      <c r="A309" s="41" t="str">
        <f>Skills!M291</f>
        <v>Law, Civil Law</v>
      </c>
      <c r="B309" s="57" t="str">
        <f>Skills!N291</f>
        <v>Civil Law</v>
      </c>
      <c r="C309" s="24">
        <f t="shared" si="313"/>
        <v>0</v>
      </c>
      <c r="D309" s="110" t="e">
        <f>Skills!S291</f>
        <v>#N/A</v>
      </c>
      <c r="E309" s="111" t="e">
        <f>Profession!$B$142</f>
        <v>#REF!</v>
      </c>
      <c r="F309" s="18"/>
      <c r="G309" s="18"/>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49"/>
      <c r="BF309" s="4">
        <f t="shared" si="263"/>
        <v>0</v>
      </c>
      <c r="BG309" s="4">
        <f t="shared" si="263"/>
        <v>0</v>
      </c>
      <c r="BH309" s="4">
        <f t="shared" si="264"/>
        <v>0</v>
      </c>
      <c r="BI309" s="4">
        <f t="shared" si="265"/>
        <v>0</v>
      </c>
      <c r="BJ309" s="4">
        <f t="shared" si="266"/>
        <v>0</v>
      </c>
      <c r="BK309" s="4">
        <f t="shared" si="267"/>
        <v>0</v>
      </c>
      <c r="BL309" s="4">
        <f t="shared" si="268"/>
        <v>0</v>
      </c>
      <c r="BM309" s="4">
        <f t="shared" si="269"/>
        <v>0</v>
      </c>
      <c r="BN309" s="4">
        <f t="shared" si="270"/>
        <v>0</v>
      </c>
      <c r="BO309" s="4">
        <f t="shared" si="271"/>
        <v>0</v>
      </c>
      <c r="BP309" s="4">
        <f t="shared" si="272"/>
        <v>0</v>
      </c>
      <c r="BQ309" s="4">
        <f t="shared" si="273"/>
        <v>0</v>
      </c>
      <c r="BR309" s="4">
        <f t="shared" si="274"/>
        <v>0</v>
      </c>
      <c r="BS309" s="4">
        <f t="shared" si="275"/>
        <v>0</v>
      </c>
      <c r="BT309" s="4">
        <f t="shared" si="276"/>
        <v>0</v>
      </c>
      <c r="BU309" s="4">
        <f t="shared" si="277"/>
        <v>0</v>
      </c>
      <c r="BV309" s="4">
        <f t="shared" si="278"/>
        <v>0</v>
      </c>
      <c r="BW309" s="4">
        <f t="shared" si="279"/>
        <v>0</v>
      </c>
      <c r="BX309" s="4">
        <f t="shared" si="280"/>
        <v>0</v>
      </c>
      <c r="BY309" s="4">
        <f t="shared" si="281"/>
        <v>0</v>
      </c>
      <c r="BZ309" s="4">
        <f t="shared" si="282"/>
        <v>0</v>
      </c>
      <c r="CA309" s="4">
        <f t="shared" si="283"/>
        <v>0</v>
      </c>
      <c r="CB309" s="4">
        <f t="shared" si="284"/>
        <v>0</v>
      </c>
      <c r="CC309" s="4">
        <f t="shared" si="285"/>
        <v>0</v>
      </c>
      <c r="CD309" s="4">
        <f t="shared" si="286"/>
        <v>0</v>
      </c>
      <c r="CE309" s="4">
        <f t="shared" si="287"/>
        <v>0</v>
      </c>
      <c r="CF309" s="4">
        <f t="shared" si="288"/>
        <v>0</v>
      </c>
      <c r="CG309" s="4">
        <f t="shared" si="289"/>
        <v>0</v>
      </c>
      <c r="CH309" s="4">
        <f t="shared" si="290"/>
        <v>0</v>
      </c>
      <c r="CI309" s="4">
        <f t="shared" si="291"/>
        <v>0</v>
      </c>
      <c r="CJ309" s="4">
        <f t="shared" si="292"/>
        <v>0</v>
      </c>
      <c r="CK309" s="4">
        <f t="shared" si="293"/>
        <v>0</v>
      </c>
      <c r="CL309" s="4">
        <f t="shared" si="294"/>
        <v>0</v>
      </c>
      <c r="CM309" s="4">
        <f t="shared" si="295"/>
        <v>0</v>
      </c>
      <c r="CN309" s="4">
        <f t="shared" si="296"/>
        <v>0</v>
      </c>
      <c r="CO309" s="4">
        <f t="shared" si="297"/>
        <v>0</v>
      </c>
      <c r="CP309" s="4">
        <f t="shared" si="298"/>
        <v>0</v>
      </c>
      <c r="CQ309" s="4">
        <f t="shared" si="299"/>
        <v>0</v>
      </c>
      <c r="CR309" s="4">
        <f t="shared" si="300"/>
        <v>0</v>
      </c>
      <c r="CS309" s="4">
        <f t="shared" si="301"/>
        <v>0</v>
      </c>
      <c r="CT309" s="4">
        <f t="shared" si="302"/>
        <v>0</v>
      </c>
      <c r="CU309" s="4">
        <f t="shared" si="303"/>
        <v>0</v>
      </c>
      <c r="CV309" s="4">
        <f t="shared" si="304"/>
        <v>0</v>
      </c>
      <c r="CW309" s="4">
        <f t="shared" si="305"/>
        <v>0</v>
      </c>
      <c r="CX309" s="4">
        <f t="shared" si="306"/>
        <v>0</v>
      </c>
      <c r="CY309" s="4">
        <f t="shared" si="307"/>
        <v>0</v>
      </c>
      <c r="CZ309" s="4">
        <f t="shared" si="308"/>
        <v>0</v>
      </c>
      <c r="DA309" s="4">
        <f t="shared" si="309"/>
        <v>0</v>
      </c>
      <c r="DB309" s="4">
        <f t="shared" si="310"/>
        <v>0</v>
      </c>
      <c r="DC309" s="4">
        <f t="shared" si="311"/>
        <v>0</v>
      </c>
      <c r="DD309" s="4">
        <f t="shared" si="312"/>
        <v>0</v>
      </c>
    </row>
    <row r="310" spans="1:108" x14ac:dyDescent="0.25">
      <c r="A310" s="41" t="str">
        <f>Skills!M292</f>
        <v>Law, Criminal Law</v>
      </c>
      <c r="B310" s="55" t="str">
        <f>Skills!N292</f>
        <v>Criminal Law</v>
      </c>
      <c r="C310" s="22">
        <f t="shared" si="313"/>
        <v>0</v>
      </c>
      <c r="D310" s="112" t="e">
        <f>Skills!S292</f>
        <v>#N/A</v>
      </c>
      <c r="E310" s="113" t="e">
        <f>Profession!$B$142</f>
        <v>#REF!</v>
      </c>
      <c r="F310" s="19"/>
      <c r="G310" s="19"/>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56"/>
      <c r="BF310" s="4">
        <f t="shared" si="263"/>
        <v>0</v>
      </c>
      <c r="BG310" s="4">
        <f t="shared" si="263"/>
        <v>0</v>
      </c>
      <c r="BH310" s="4">
        <f t="shared" si="264"/>
        <v>0</v>
      </c>
      <c r="BI310" s="4">
        <f t="shared" si="265"/>
        <v>0</v>
      </c>
      <c r="BJ310" s="4">
        <f t="shared" si="266"/>
        <v>0</v>
      </c>
      <c r="BK310" s="4">
        <f t="shared" si="267"/>
        <v>0</v>
      </c>
      <c r="BL310" s="4">
        <f t="shared" si="268"/>
        <v>0</v>
      </c>
      <c r="BM310" s="4">
        <f t="shared" si="269"/>
        <v>0</v>
      </c>
      <c r="BN310" s="4">
        <f t="shared" si="270"/>
        <v>0</v>
      </c>
      <c r="BO310" s="4">
        <f t="shared" si="271"/>
        <v>0</v>
      </c>
      <c r="BP310" s="4">
        <f t="shared" si="272"/>
        <v>0</v>
      </c>
      <c r="BQ310" s="4">
        <f t="shared" si="273"/>
        <v>0</v>
      </c>
      <c r="BR310" s="4">
        <f t="shared" si="274"/>
        <v>0</v>
      </c>
      <c r="BS310" s="4">
        <f t="shared" si="275"/>
        <v>0</v>
      </c>
      <c r="BT310" s="4">
        <f t="shared" si="276"/>
        <v>0</v>
      </c>
      <c r="BU310" s="4">
        <f t="shared" si="277"/>
        <v>0</v>
      </c>
      <c r="BV310" s="4">
        <f t="shared" si="278"/>
        <v>0</v>
      </c>
      <c r="BW310" s="4">
        <f t="shared" si="279"/>
        <v>0</v>
      </c>
      <c r="BX310" s="4">
        <f t="shared" si="280"/>
        <v>0</v>
      </c>
      <c r="BY310" s="4">
        <f t="shared" si="281"/>
        <v>0</v>
      </c>
      <c r="BZ310" s="4">
        <f t="shared" si="282"/>
        <v>0</v>
      </c>
      <c r="CA310" s="4">
        <f t="shared" si="283"/>
        <v>0</v>
      </c>
      <c r="CB310" s="4">
        <f t="shared" si="284"/>
        <v>0</v>
      </c>
      <c r="CC310" s="4">
        <f t="shared" si="285"/>
        <v>0</v>
      </c>
      <c r="CD310" s="4">
        <f t="shared" si="286"/>
        <v>0</v>
      </c>
      <c r="CE310" s="4">
        <f t="shared" si="287"/>
        <v>0</v>
      </c>
      <c r="CF310" s="4">
        <f t="shared" si="288"/>
        <v>0</v>
      </c>
      <c r="CG310" s="4">
        <f t="shared" si="289"/>
        <v>0</v>
      </c>
      <c r="CH310" s="4">
        <f t="shared" si="290"/>
        <v>0</v>
      </c>
      <c r="CI310" s="4">
        <f t="shared" si="291"/>
        <v>0</v>
      </c>
      <c r="CJ310" s="4">
        <f t="shared" si="292"/>
        <v>0</v>
      </c>
      <c r="CK310" s="4">
        <f t="shared" si="293"/>
        <v>0</v>
      </c>
      <c r="CL310" s="4">
        <f t="shared" si="294"/>
        <v>0</v>
      </c>
      <c r="CM310" s="4">
        <f t="shared" si="295"/>
        <v>0</v>
      </c>
      <c r="CN310" s="4">
        <f t="shared" si="296"/>
        <v>0</v>
      </c>
      <c r="CO310" s="4">
        <f t="shared" si="297"/>
        <v>0</v>
      </c>
      <c r="CP310" s="4">
        <f t="shared" si="298"/>
        <v>0</v>
      </c>
      <c r="CQ310" s="4">
        <f t="shared" si="299"/>
        <v>0</v>
      </c>
      <c r="CR310" s="4">
        <f t="shared" si="300"/>
        <v>0</v>
      </c>
      <c r="CS310" s="4">
        <f t="shared" si="301"/>
        <v>0</v>
      </c>
      <c r="CT310" s="4">
        <f t="shared" si="302"/>
        <v>0</v>
      </c>
      <c r="CU310" s="4">
        <f t="shared" si="303"/>
        <v>0</v>
      </c>
      <c r="CV310" s="4">
        <f t="shared" si="304"/>
        <v>0</v>
      </c>
      <c r="CW310" s="4">
        <f t="shared" si="305"/>
        <v>0</v>
      </c>
      <c r="CX310" s="4">
        <f t="shared" si="306"/>
        <v>0</v>
      </c>
      <c r="CY310" s="4">
        <f t="shared" si="307"/>
        <v>0</v>
      </c>
      <c r="CZ310" s="4">
        <f t="shared" si="308"/>
        <v>0</v>
      </c>
      <c r="DA310" s="4">
        <f t="shared" si="309"/>
        <v>0</v>
      </c>
      <c r="DB310" s="4">
        <f t="shared" si="310"/>
        <v>0</v>
      </c>
      <c r="DC310" s="4">
        <f t="shared" si="311"/>
        <v>0</v>
      </c>
      <c r="DD310" s="4">
        <f t="shared" si="312"/>
        <v>0</v>
      </c>
    </row>
    <row r="311" spans="1:108" x14ac:dyDescent="0.25">
      <c r="A311" s="41">
        <f>Skills!M293</f>
        <v>0</v>
      </c>
      <c r="B311" s="57" t="str">
        <f>Skills!N293</f>
        <v>Materials Lore Sub-category</v>
      </c>
      <c r="C311" s="24">
        <f t="shared" si="313"/>
        <v>0</v>
      </c>
      <c r="D311" s="110" t="str">
        <f>Skills!S293</f>
        <v>- -</v>
      </c>
      <c r="E311" s="111" t="s">
        <v>782</v>
      </c>
      <c r="F311" s="18"/>
      <c r="G311" s="18"/>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49"/>
      <c r="BF311" s="4">
        <f t="shared" si="263"/>
        <v>0</v>
      </c>
      <c r="BG311" s="4">
        <f t="shared" si="263"/>
        <v>0</v>
      </c>
      <c r="BH311" s="4">
        <f t="shared" si="264"/>
        <v>0</v>
      </c>
      <c r="BI311" s="4">
        <f t="shared" si="265"/>
        <v>0</v>
      </c>
      <c r="BJ311" s="4">
        <f t="shared" si="266"/>
        <v>0</v>
      </c>
      <c r="BK311" s="4">
        <f t="shared" si="267"/>
        <v>0</v>
      </c>
      <c r="BL311" s="4">
        <f t="shared" si="268"/>
        <v>0</v>
      </c>
      <c r="BM311" s="4">
        <f t="shared" si="269"/>
        <v>0</v>
      </c>
      <c r="BN311" s="4">
        <f t="shared" si="270"/>
        <v>0</v>
      </c>
      <c r="BO311" s="4">
        <f t="shared" si="271"/>
        <v>0</v>
      </c>
      <c r="BP311" s="4">
        <f t="shared" si="272"/>
        <v>0</v>
      </c>
      <c r="BQ311" s="4">
        <f t="shared" si="273"/>
        <v>0</v>
      </c>
      <c r="BR311" s="4">
        <f t="shared" si="274"/>
        <v>0</v>
      </c>
      <c r="BS311" s="4">
        <f t="shared" si="275"/>
        <v>0</v>
      </c>
      <c r="BT311" s="4">
        <f t="shared" si="276"/>
        <v>0</v>
      </c>
      <c r="BU311" s="4">
        <f t="shared" si="277"/>
        <v>0</v>
      </c>
      <c r="BV311" s="4">
        <f t="shared" si="278"/>
        <v>0</v>
      </c>
      <c r="BW311" s="4">
        <f t="shared" si="279"/>
        <v>0</v>
      </c>
      <c r="BX311" s="4">
        <f t="shared" si="280"/>
        <v>0</v>
      </c>
      <c r="BY311" s="4">
        <f t="shared" si="281"/>
        <v>0</v>
      </c>
      <c r="BZ311" s="4">
        <f t="shared" si="282"/>
        <v>0</v>
      </c>
      <c r="CA311" s="4">
        <f t="shared" si="283"/>
        <v>0</v>
      </c>
      <c r="CB311" s="4">
        <f t="shared" si="284"/>
        <v>0</v>
      </c>
      <c r="CC311" s="4">
        <f t="shared" si="285"/>
        <v>0</v>
      </c>
      <c r="CD311" s="4">
        <f t="shared" si="286"/>
        <v>0</v>
      </c>
      <c r="CE311" s="4">
        <f t="shared" si="287"/>
        <v>0</v>
      </c>
      <c r="CF311" s="4">
        <f t="shared" si="288"/>
        <v>0</v>
      </c>
      <c r="CG311" s="4">
        <f t="shared" si="289"/>
        <v>0</v>
      </c>
      <c r="CH311" s="4">
        <f t="shared" si="290"/>
        <v>0</v>
      </c>
      <c r="CI311" s="4">
        <f t="shared" si="291"/>
        <v>0</v>
      </c>
      <c r="CJ311" s="4">
        <f t="shared" si="292"/>
        <v>0</v>
      </c>
      <c r="CK311" s="4">
        <f t="shared" si="293"/>
        <v>0</v>
      </c>
      <c r="CL311" s="4">
        <f t="shared" si="294"/>
        <v>0</v>
      </c>
      <c r="CM311" s="4">
        <f t="shared" si="295"/>
        <v>0</v>
      </c>
      <c r="CN311" s="4">
        <f t="shared" si="296"/>
        <v>0</v>
      </c>
      <c r="CO311" s="4">
        <f t="shared" si="297"/>
        <v>0</v>
      </c>
      <c r="CP311" s="4">
        <f t="shared" si="298"/>
        <v>0</v>
      </c>
      <c r="CQ311" s="4">
        <f t="shared" si="299"/>
        <v>0</v>
      </c>
      <c r="CR311" s="4">
        <f t="shared" si="300"/>
        <v>0</v>
      </c>
      <c r="CS311" s="4">
        <f t="shared" si="301"/>
        <v>0</v>
      </c>
      <c r="CT311" s="4">
        <f t="shared" si="302"/>
        <v>0</v>
      </c>
      <c r="CU311" s="4">
        <f t="shared" si="303"/>
        <v>0</v>
      </c>
      <c r="CV311" s="4">
        <f t="shared" si="304"/>
        <v>0</v>
      </c>
      <c r="CW311" s="4">
        <f t="shared" si="305"/>
        <v>0</v>
      </c>
      <c r="CX311" s="4">
        <f t="shared" si="306"/>
        <v>0</v>
      </c>
      <c r="CY311" s="4">
        <f t="shared" si="307"/>
        <v>0</v>
      </c>
      <c r="CZ311" s="4">
        <f t="shared" si="308"/>
        <v>0</v>
      </c>
      <c r="DA311" s="4">
        <f t="shared" si="309"/>
        <v>0</v>
      </c>
      <c r="DB311" s="4">
        <f t="shared" si="310"/>
        <v>0</v>
      </c>
      <c r="DC311" s="4">
        <f t="shared" si="311"/>
        <v>0</v>
      </c>
      <c r="DD311" s="4">
        <f t="shared" si="312"/>
        <v>0</v>
      </c>
    </row>
    <row r="312" spans="1:108" x14ac:dyDescent="0.25">
      <c r="A312" s="41">
        <f>Skills!M294</f>
        <v>0</v>
      </c>
      <c r="B312" s="55" t="str">
        <f>Skills!N294</f>
        <v>Materials Lore Skills</v>
      </c>
      <c r="C312" s="22">
        <f t="shared" si="313"/>
        <v>0</v>
      </c>
      <c r="D312" s="112" t="str">
        <f>Skills!S294</f>
        <v>- -</v>
      </c>
      <c r="E312" s="113" t="s">
        <v>782</v>
      </c>
      <c r="F312" s="19"/>
      <c r="G312" s="19"/>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56"/>
      <c r="BF312" s="4">
        <f t="shared" si="263"/>
        <v>0</v>
      </c>
      <c r="BG312" s="4">
        <f t="shared" si="263"/>
        <v>0</v>
      </c>
      <c r="BH312" s="4">
        <f t="shared" si="264"/>
        <v>0</v>
      </c>
      <c r="BI312" s="4">
        <f t="shared" si="265"/>
        <v>0</v>
      </c>
      <c r="BJ312" s="4">
        <f t="shared" si="266"/>
        <v>0</v>
      </c>
      <c r="BK312" s="4">
        <f t="shared" si="267"/>
        <v>0</v>
      </c>
      <c r="BL312" s="4">
        <f t="shared" si="268"/>
        <v>0</v>
      </c>
      <c r="BM312" s="4">
        <f t="shared" si="269"/>
        <v>0</v>
      </c>
      <c r="BN312" s="4">
        <f t="shared" si="270"/>
        <v>0</v>
      </c>
      <c r="BO312" s="4">
        <f t="shared" si="271"/>
        <v>0</v>
      </c>
      <c r="BP312" s="4">
        <f t="shared" si="272"/>
        <v>0</v>
      </c>
      <c r="BQ312" s="4">
        <f t="shared" si="273"/>
        <v>0</v>
      </c>
      <c r="BR312" s="4">
        <f t="shared" si="274"/>
        <v>0</v>
      </c>
      <c r="BS312" s="4">
        <f t="shared" si="275"/>
        <v>0</v>
      </c>
      <c r="BT312" s="4">
        <f t="shared" si="276"/>
        <v>0</v>
      </c>
      <c r="BU312" s="4">
        <f t="shared" si="277"/>
        <v>0</v>
      </c>
      <c r="BV312" s="4">
        <f t="shared" si="278"/>
        <v>0</v>
      </c>
      <c r="BW312" s="4">
        <f t="shared" si="279"/>
        <v>0</v>
      </c>
      <c r="BX312" s="4">
        <f t="shared" si="280"/>
        <v>0</v>
      </c>
      <c r="BY312" s="4">
        <f t="shared" si="281"/>
        <v>0</v>
      </c>
      <c r="BZ312" s="4">
        <f t="shared" si="282"/>
        <v>0</v>
      </c>
      <c r="CA312" s="4">
        <f t="shared" si="283"/>
        <v>0</v>
      </c>
      <c r="CB312" s="4">
        <f t="shared" si="284"/>
        <v>0</v>
      </c>
      <c r="CC312" s="4">
        <f t="shared" si="285"/>
        <v>0</v>
      </c>
      <c r="CD312" s="4">
        <f t="shared" si="286"/>
        <v>0</v>
      </c>
      <c r="CE312" s="4">
        <f t="shared" si="287"/>
        <v>0</v>
      </c>
      <c r="CF312" s="4">
        <f t="shared" si="288"/>
        <v>0</v>
      </c>
      <c r="CG312" s="4">
        <f t="shared" si="289"/>
        <v>0</v>
      </c>
      <c r="CH312" s="4">
        <f t="shared" si="290"/>
        <v>0</v>
      </c>
      <c r="CI312" s="4">
        <f t="shared" si="291"/>
        <v>0</v>
      </c>
      <c r="CJ312" s="4">
        <f t="shared" si="292"/>
        <v>0</v>
      </c>
      <c r="CK312" s="4">
        <f t="shared" si="293"/>
        <v>0</v>
      </c>
      <c r="CL312" s="4">
        <f t="shared" si="294"/>
        <v>0</v>
      </c>
      <c r="CM312" s="4">
        <f t="shared" si="295"/>
        <v>0</v>
      </c>
      <c r="CN312" s="4">
        <f t="shared" si="296"/>
        <v>0</v>
      </c>
      <c r="CO312" s="4">
        <f t="shared" si="297"/>
        <v>0</v>
      </c>
      <c r="CP312" s="4">
        <f t="shared" si="298"/>
        <v>0</v>
      </c>
      <c r="CQ312" s="4">
        <f t="shared" si="299"/>
        <v>0</v>
      </c>
      <c r="CR312" s="4">
        <f t="shared" si="300"/>
        <v>0</v>
      </c>
      <c r="CS312" s="4">
        <f t="shared" si="301"/>
        <v>0</v>
      </c>
      <c r="CT312" s="4">
        <f t="shared" si="302"/>
        <v>0</v>
      </c>
      <c r="CU312" s="4">
        <f t="shared" si="303"/>
        <v>0</v>
      </c>
      <c r="CV312" s="4">
        <f t="shared" si="304"/>
        <v>0</v>
      </c>
      <c r="CW312" s="4">
        <f t="shared" si="305"/>
        <v>0</v>
      </c>
      <c r="CX312" s="4">
        <f t="shared" si="306"/>
        <v>0</v>
      </c>
      <c r="CY312" s="4">
        <f t="shared" si="307"/>
        <v>0</v>
      </c>
      <c r="CZ312" s="4">
        <f t="shared" si="308"/>
        <v>0</v>
      </c>
      <c r="DA312" s="4">
        <f t="shared" si="309"/>
        <v>0</v>
      </c>
      <c r="DB312" s="4">
        <f t="shared" si="310"/>
        <v>0</v>
      </c>
      <c r="DC312" s="4">
        <f t="shared" si="311"/>
        <v>0</v>
      </c>
      <c r="DD312" s="4">
        <f t="shared" si="312"/>
        <v>0</v>
      </c>
    </row>
    <row r="313" spans="1:108" x14ac:dyDescent="0.25">
      <c r="A313" s="41" t="str">
        <f>Skills!M295</f>
        <v>Material Lore, Bone/Horn</v>
      </c>
      <c r="B313" s="57" t="str">
        <f>Skills!N295</f>
        <v>Bone/Horn</v>
      </c>
      <c r="C313" s="24">
        <f t="shared" si="313"/>
        <v>0</v>
      </c>
      <c r="D313" s="110" t="e">
        <f>Skills!S295</f>
        <v>#N/A</v>
      </c>
      <c r="E313" s="111" t="e">
        <f>Profession!$B$143</f>
        <v>#REF!</v>
      </c>
      <c r="F313" s="18"/>
      <c r="G313" s="18"/>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49"/>
      <c r="BF313" s="4">
        <f t="shared" si="263"/>
        <v>0</v>
      </c>
      <c r="BG313" s="4">
        <f t="shared" si="263"/>
        <v>0</v>
      </c>
      <c r="BH313" s="4">
        <f t="shared" si="264"/>
        <v>0</v>
      </c>
      <c r="BI313" s="4">
        <f t="shared" si="265"/>
        <v>0</v>
      </c>
      <c r="BJ313" s="4">
        <f t="shared" si="266"/>
        <v>0</v>
      </c>
      <c r="BK313" s="4">
        <f t="shared" si="267"/>
        <v>0</v>
      </c>
      <c r="BL313" s="4">
        <f t="shared" si="268"/>
        <v>0</v>
      </c>
      <c r="BM313" s="4">
        <f t="shared" si="269"/>
        <v>0</v>
      </c>
      <c r="BN313" s="4">
        <f t="shared" si="270"/>
        <v>0</v>
      </c>
      <c r="BO313" s="4">
        <f t="shared" si="271"/>
        <v>0</v>
      </c>
      <c r="BP313" s="4">
        <f t="shared" si="272"/>
        <v>0</v>
      </c>
      <c r="BQ313" s="4">
        <f t="shared" si="273"/>
        <v>0</v>
      </c>
      <c r="BR313" s="4">
        <f t="shared" si="274"/>
        <v>0</v>
      </c>
      <c r="BS313" s="4">
        <f t="shared" si="275"/>
        <v>0</v>
      </c>
      <c r="BT313" s="4">
        <f t="shared" si="276"/>
        <v>0</v>
      </c>
      <c r="BU313" s="4">
        <f t="shared" si="277"/>
        <v>0</v>
      </c>
      <c r="BV313" s="4">
        <f t="shared" si="278"/>
        <v>0</v>
      </c>
      <c r="BW313" s="4">
        <f t="shared" si="279"/>
        <v>0</v>
      </c>
      <c r="BX313" s="4">
        <f t="shared" si="280"/>
        <v>0</v>
      </c>
      <c r="BY313" s="4">
        <f t="shared" si="281"/>
        <v>0</v>
      </c>
      <c r="BZ313" s="4">
        <f t="shared" si="282"/>
        <v>0</v>
      </c>
      <c r="CA313" s="4">
        <f t="shared" si="283"/>
        <v>0</v>
      </c>
      <c r="CB313" s="4">
        <f t="shared" si="284"/>
        <v>0</v>
      </c>
      <c r="CC313" s="4">
        <f t="shared" si="285"/>
        <v>0</v>
      </c>
      <c r="CD313" s="4">
        <f t="shared" si="286"/>
        <v>0</v>
      </c>
      <c r="CE313" s="4">
        <f t="shared" si="287"/>
        <v>0</v>
      </c>
      <c r="CF313" s="4">
        <f t="shared" si="288"/>
        <v>0</v>
      </c>
      <c r="CG313" s="4">
        <f t="shared" si="289"/>
        <v>0</v>
      </c>
      <c r="CH313" s="4">
        <f t="shared" si="290"/>
        <v>0</v>
      </c>
      <c r="CI313" s="4">
        <f t="shared" si="291"/>
        <v>0</v>
      </c>
      <c r="CJ313" s="4">
        <f t="shared" si="292"/>
        <v>0</v>
      </c>
      <c r="CK313" s="4">
        <f t="shared" si="293"/>
        <v>0</v>
      </c>
      <c r="CL313" s="4">
        <f t="shared" si="294"/>
        <v>0</v>
      </c>
      <c r="CM313" s="4">
        <f t="shared" si="295"/>
        <v>0</v>
      </c>
      <c r="CN313" s="4">
        <f t="shared" si="296"/>
        <v>0</v>
      </c>
      <c r="CO313" s="4">
        <f t="shared" si="297"/>
        <v>0</v>
      </c>
      <c r="CP313" s="4">
        <f t="shared" si="298"/>
        <v>0</v>
      </c>
      <c r="CQ313" s="4">
        <f t="shared" si="299"/>
        <v>0</v>
      </c>
      <c r="CR313" s="4">
        <f t="shared" si="300"/>
        <v>0</v>
      </c>
      <c r="CS313" s="4">
        <f t="shared" si="301"/>
        <v>0</v>
      </c>
      <c r="CT313" s="4">
        <f t="shared" si="302"/>
        <v>0</v>
      </c>
      <c r="CU313" s="4">
        <f t="shared" si="303"/>
        <v>0</v>
      </c>
      <c r="CV313" s="4">
        <f t="shared" si="304"/>
        <v>0</v>
      </c>
      <c r="CW313" s="4">
        <f t="shared" si="305"/>
        <v>0</v>
      </c>
      <c r="CX313" s="4">
        <f t="shared" si="306"/>
        <v>0</v>
      </c>
      <c r="CY313" s="4">
        <f t="shared" si="307"/>
        <v>0</v>
      </c>
      <c r="CZ313" s="4">
        <f t="shared" si="308"/>
        <v>0</v>
      </c>
      <c r="DA313" s="4">
        <f t="shared" si="309"/>
        <v>0</v>
      </c>
      <c r="DB313" s="4">
        <f t="shared" si="310"/>
        <v>0</v>
      </c>
      <c r="DC313" s="4">
        <f t="shared" si="311"/>
        <v>0</v>
      </c>
      <c r="DD313" s="4">
        <f t="shared" si="312"/>
        <v>0</v>
      </c>
    </row>
    <row r="314" spans="1:108" x14ac:dyDescent="0.25">
      <c r="A314" s="41" t="str">
        <f>Skills!M296</f>
        <v>Material Lore, Fabrics</v>
      </c>
      <c r="B314" s="55" t="str">
        <f>Skills!N296</f>
        <v>Fabrics</v>
      </c>
      <c r="C314" s="22">
        <f t="shared" si="313"/>
        <v>0</v>
      </c>
      <c r="D314" s="112" t="e">
        <f>Skills!S296</f>
        <v>#N/A</v>
      </c>
      <c r="E314" s="113" t="e">
        <f>Profession!$B$143</f>
        <v>#REF!</v>
      </c>
      <c r="F314" s="19"/>
      <c r="G314" s="19"/>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56"/>
      <c r="BF314" s="4">
        <f t="shared" si="263"/>
        <v>0</v>
      </c>
      <c r="BG314" s="4">
        <f t="shared" si="263"/>
        <v>0</v>
      </c>
      <c r="BH314" s="4">
        <f t="shared" si="264"/>
        <v>0</v>
      </c>
      <c r="BI314" s="4">
        <f t="shared" si="265"/>
        <v>0</v>
      </c>
      <c r="BJ314" s="4">
        <f t="shared" si="266"/>
        <v>0</v>
      </c>
      <c r="BK314" s="4">
        <f t="shared" si="267"/>
        <v>0</v>
      </c>
      <c r="BL314" s="4">
        <f t="shared" si="268"/>
        <v>0</v>
      </c>
      <c r="BM314" s="4">
        <f t="shared" si="269"/>
        <v>0</v>
      </c>
      <c r="BN314" s="4">
        <f t="shared" si="270"/>
        <v>0</v>
      </c>
      <c r="BO314" s="4">
        <f t="shared" si="271"/>
        <v>0</v>
      </c>
      <c r="BP314" s="4">
        <f t="shared" si="272"/>
        <v>0</v>
      </c>
      <c r="BQ314" s="4">
        <f t="shared" si="273"/>
        <v>0</v>
      </c>
      <c r="BR314" s="4">
        <f t="shared" si="274"/>
        <v>0</v>
      </c>
      <c r="BS314" s="4">
        <f t="shared" si="275"/>
        <v>0</v>
      </c>
      <c r="BT314" s="4">
        <f t="shared" si="276"/>
        <v>0</v>
      </c>
      <c r="BU314" s="4">
        <f t="shared" si="277"/>
        <v>0</v>
      </c>
      <c r="BV314" s="4">
        <f t="shared" si="278"/>
        <v>0</v>
      </c>
      <c r="BW314" s="4">
        <f t="shared" si="279"/>
        <v>0</v>
      </c>
      <c r="BX314" s="4">
        <f t="shared" si="280"/>
        <v>0</v>
      </c>
      <c r="BY314" s="4">
        <f t="shared" si="281"/>
        <v>0</v>
      </c>
      <c r="BZ314" s="4">
        <f t="shared" si="282"/>
        <v>0</v>
      </c>
      <c r="CA314" s="4">
        <f t="shared" si="283"/>
        <v>0</v>
      </c>
      <c r="CB314" s="4">
        <f t="shared" si="284"/>
        <v>0</v>
      </c>
      <c r="CC314" s="4">
        <f t="shared" si="285"/>
        <v>0</v>
      </c>
      <c r="CD314" s="4">
        <f t="shared" si="286"/>
        <v>0</v>
      </c>
      <c r="CE314" s="4">
        <f t="shared" si="287"/>
        <v>0</v>
      </c>
      <c r="CF314" s="4">
        <f t="shared" si="288"/>
        <v>0</v>
      </c>
      <c r="CG314" s="4">
        <f t="shared" si="289"/>
        <v>0</v>
      </c>
      <c r="CH314" s="4">
        <f t="shared" si="290"/>
        <v>0</v>
      </c>
      <c r="CI314" s="4">
        <f t="shared" si="291"/>
        <v>0</v>
      </c>
      <c r="CJ314" s="4">
        <f t="shared" si="292"/>
        <v>0</v>
      </c>
      <c r="CK314" s="4">
        <f t="shared" si="293"/>
        <v>0</v>
      </c>
      <c r="CL314" s="4">
        <f t="shared" si="294"/>
        <v>0</v>
      </c>
      <c r="CM314" s="4">
        <f t="shared" si="295"/>
        <v>0</v>
      </c>
      <c r="CN314" s="4">
        <f t="shared" si="296"/>
        <v>0</v>
      </c>
      <c r="CO314" s="4">
        <f t="shared" si="297"/>
        <v>0</v>
      </c>
      <c r="CP314" s="4">
        <f t="shared" si="298"/>
        <v>0</v>
      </c>
      <c r="CQ314" s="4">
        <f t="shared" si="299"/>
        <v>0</v>
      </c>
      <c r="CR314" s="4">
        <f t="shared" si="300"/>
        <v>0</v>
      </c>
      <c r="CS314" s="4">
        <f t="shared" si="301"/>
        <v>0</v>
      </c>
      <c r="CT314" s="4">
        <f t="shared" si="302"/>
        <v>0</v>
      </c>
      <c r="CU314" s="4">
        <f t="shared" si="303"/>
        <v>0</v>
      </c>
      <c r="CV314" s="4">
        <f t="shared" si="304"/>
        <v>0</v>
      </c>
      <c r="CW314" s="4">
        <f t="shared" si="305"/>
        <v>0</v>
      </c>
      <c r="CX314" s="4">
        <f t="shared" si="306"/>
        <v>0</v>
      </c>
      <c r="CY314" s="4">
        <f t="shared" si="307"/>
        <v>0</v>
      </c>
      <c r="CZ314" s="4">
        <f t="shared" si="308"/>
        <v>0</v>
      </c>
      <c r="DA314" s="4">
        <f t="shared" si="309"/>
        <v>0</v>
      </c>
      <c r="DB314" s="4">
        <f t="shared" si="310"/>
        <v>0</v>
      </c>
      <c r="DC314" s="4">
        <f t="shared" si="311"/>
        <v>0</v>
      </c>
      <c r="DD314" s="4">
        <f t="shared" si="312"/>
        <v>0</v>
      </c>
    </row>
    <row r="315" spans="1:108" x14ac:dyDescent="0.25">
      <c r="A315" s="41" t="str">
        <f>Skills!M297</f>
        <v>Material Lore, Leather</v>
      </c>
      <c r="B315" s="57" t="str">
        <f>Skills!N297</f>
        <v>Leather</v>
      </c>
      <c r="C315" s="24">
        <f t="shared" si="313"/>
        <v>0</v>
      </c>
      <c r="D315" s="110" t="e">
        <f>Skills!S297</f>
        <v>#N/A</v>
      </c>
      <c r="E315" s="111" t="e">
        <f>Profession!$B$143</f>
        <v>#REF!</v>
      </c>
      <c r="F315" s="18"/>
      <c r="G315" s="18"/>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49"/>
      <c r="BF315" s="4">
        <f t="shared" si="263"/>
        <v>0</v>
      </c>
      <c r="BG315" s="4">
        <f t="shared" si="263"/>
        <v>0</v>
      </c>
      <c r="BH315" s="4">
        <f t="shared" si="264"/>
        <v>0</v>
      </c>
      <c r="BI315" s="4">
        <f t="shared" si="265"/>
        <v>0</v>
      </c>
      <c r="BJ315" s="4">
        <f t="shared" si="266"/>
        <v>0</v>
      </c>
      <c r="BK315" s="4">
        <f t="shared" si="267"/>
        <v>0</v>
      </c>
      <c r="BL315" s="4">
        <f t="shared" si="268"/>
        <v>0</v>
      </c>
      <c r="BM315" s="4">
        <f t="shared" si="269"/>
        <v>0</v>
      </c>
      <c r="BN315" s="4">
        <f t="shared" si="270"/>
        <v>0</v>
      </c>
      <c r="BO315" s="4">
        <f t="shared" si="271"/>
        <v>0</v>
      </c>
      <c r="BP315" s="4">
        <f t="shared" si="272"/>
        <v>0</v>
      </c>
      <c r="BQ315" s="4">
        <f t="shared" si="273"/>
        <v>0</v>
      </c>
      <c r="BR315" s="4">
        <f t="shared" si="274"/>
        <v>0</v>
      </c>
      <c r="BS315" s="4">
        <f t="shared" si="275"/>
        <v>0</v>
      </c>
      <c r="BT315" s="4">
        <f t="shared" si="276"/>
        <v>0</v>
      </c>
      <c r="BU315" s="4">
        <f t="shared" si="277"/>
        <v>0</v>
      </c>
      <c r="BV315" s="4">
        <f t="shared" si="278"/>
        <v>0</v>
      </c>
      <c r="BW315" s="4">
        <f t="shared" si="279"/>
        <v>0</v>
      </c>
      <c r="BX315" s="4">
        <f t="shared" si="280"/>
        <v>0</v>
      </c>
      <c r="BY315" s="4">
        <f t="shared" si="281"/>
        <v>0</v>
      </c>
      <c r="BZ315" s="4">
        <f t="shared" si="282"/>
        <v>0</v>
      </c>
      <c r="CA315" s="4">
        <f t="shared" si="283"/>
        <v>0</v>
      </c>
      <c r="CB315" s="4">
        <f t="shared" si="284"/>
        <v>0</v>
      </c>
      <c r="CC315" s="4">
        <f t="shared" si="285"/>
        <v>0</v>
      </c>
      <c r="CD315" s="4">
        <f t="shared" si="286"/>
        <v>0</v>
      </c>
      <c r="CE315" s="4">
        <f t="shared" si="287"/>
        <v>0</v>
      </c>
      <c r="CF315" s="4">
        <f t="shared" si="288"/>
        <v>0</v>
      </c>
      <c r="CG315" s="4">
        <f t="shared" si="289"/>
        <v>0</v>
      </c>
      <c r="CH315" s="4">
        <f t="shared" si="290"/>
        <v>0</v>
      </c>
      <c r="CI315" s="4">
        <f t="shared" si="291"/>
        <v>0</v>
      </c>
      <c r="CJ315" s="4">
        <f t="shared" si="292"/>
        <v>0</v>
      </c>
      <c r="CK315" s="4">
        <f t="shared" si="293"/>
        <v>0</v>
      </c>
      <c r="CL315" s="4">
        <f t="shared" si="294"/>
        <v>0</v>
      </c>
      <c r="CM315" s="4">
        <f t="shared" si="295"/>
        <v>0</v>
      </c>
      <c r="CN315" s="4">
        <f t="shared" si="296"/>
        <v>0</v>
      </c>
      <c r="CO315" s="4">
        <f t="shared" si="297"/>
        <v>0</v>
      </c>
      <c r="CP315" s="4">
        <f t="shared" si="298"/>
        <v>0</v>
      </c>
      <c r="CQ315" s="4">
        <f t="shared" si="299"/>
        <v>0</v>
      </c>
      <c r="CR315" s="4">
        <f t="shared" si="300"/>
        <v>0</v>
      </c>
      <c r="CS315" s="4">
        <f t="shared" si="301"/>
        <v>0</v>
      </c>
      <c r="CT315" s="4">
        <f t="shared" si="302"/>
        <v>0</v>
      </c>
      <c r="CU315" s="4">
        <f t="shared" si="303"/>
        <v>0</v>
      </c>
      <c r="CV315" s="4">
        <f t="shared" si="304"/>
        <v>0</v>
      </c>
      <c r="CW315" s="4">
        <f t="shared" si="305"/>
        <v>0</v>
      </c>
      <c r="CX315" s="4">
        <f t="shared" si="306"/>
        <v>0</v>
      </c>
      <c r="CY315" s="4">
        <f t="shared" si="307"/>
        <v>0</v>
      </c>
      <c r="CZ315" s="4">
        <f t="shared" si="308"/>
        <v>0</v>
      </c>
      <c r="DA315" s="4">
        <f t="shared" si="309"/>
        <v>0</v>
      </c>
      <c r="DB315" s="4">
        <f t="shared" si="310"/>
        <v>0</v>
      </c>
      <c r="DC315" s="4">
        <f t="shared" si="311"/>
        <v>0</v>
      </c>
      <c r="DD315" s="4">
        <f t="shared" si="312"/>
        <v>0</v>
      </c>
    </row>
    <row r="316" spans="1:108" x14ac:dyDescent="0.25">
      <c r="A316" s="41" t="str">
        <f>Skills!M298</f>
        <v>Material Lore, Metal</v>
      </c>
      <c r="B316" s="55" t="str">
        <f>Skills!N298</f>
        <v>Metal</v>
      </c>
      <c r="C316" s="22">
        <f t="shared" si="313"/>
        <v>0</v>
      </c>
      <c r="D316" s="112" t="e">
        <f>Skills!S298</f>
        <v>#N/A</v>
      </c>
      <c r="E316" s="113" t="e">
        <f>Profession!$B$143</f>
        <v>#REF!</v>
      </c>
      <c r="F316" s="19"/>
      <c r="G316" s="19"/>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56"/>
      <c r="BF316" s="4">
        <f t="shared" si="263"/>
        <v>0</v>
      </c>
      <c r="BG316" s="4">
        <f t="shared" si="263"/>
        <v>0</v>
      </c>
      <c r="BH316" s="4">
        <f t="shared" si="264"/>
        <v>0</v>
      </c>
      <c r="BI316" s="4">
        <f t="shared" si="265"/>
        <v>0</v>
      </c>
      <c r="BJ316" s="4">
        <f t="shared" si="266"/>
        <v>0</v>
      </c>
      <c r="BK316" s="4">
        <f t="shared" si="267"/>
        <v>0</v>
      </c>
      <c r="BL316" s="4">
        <f t="shared" si="268"/>
        <v>0</v>
      </c>
      <c r="BM316" s="4">
        <f t="shared" si="269"/>
        <v>0</v>
      </c>
      <c r="BN316" s="4">
        <f t="shared" si="270"/>
        <v>0</v>
      </c>
      <c r="BO316" s="4">
        <f t="shared" si="271"/>
        <v>0</v>
      </c>
      <c r="BP316" s="4">
        <f t="shared" si="272"/>
        <v>0</v>
      </c>
      <c r="BQ316" s="4">
        <f t="shared" si="273"/>
        <v>0</v>
      </c>
      <c r="BR316" s="4">
        <f t="shared" si="274"/>
        <v>0</v>
      </c>
      <c r="BS316" s="4">
        <f t="shared" si="275"/>
        <v>0</v>
      </c>
      <c r="BT316" s="4">
        <f t="shared" si="276"/>
        <v>0</v>
      </c>
      <c r="BU316" s="4">
        <f t="shared" si="277"/>
        <v>0</v>
      </c>
      <c r="BV316" s="4">
        <f t="shared" si="278"/>
        <v>0</v>
      </c>
      <c r="BW316" s="4">
        <f t="shared" si="279"/>
        <v>0</v>
      </c>
      <c r="BX316" s="4">
        <f t="shared" si="280"/>
        <v>0</v>
      </c>
      <c r="BY316" s="4">
        <f t="shared" si="281"/>
        <v>0</v>
      </c>
      <c r="BZ316" s="4">
        <f t="shared" si="282"/>
        <v>0</v>
      </c>
      <c r="CA316" s="4">
        <f t="shared" si="283"/>
        <v>0</v>
      </c>
      <c r="CB316" s="4">
        <f t="shared" si="284"/>
        <v>0</v>
      </c>
      <c r="CC316" s="4">
        <f t="shared" si="285"/>
        <v>0</v>
      </c>
      <c r="CD316" s="4">
        <f t="shared" si="286"/>
        <v>0</v>
      </c>
      <c r="CE316" s="4">
        <f t="shared" si="287"/>
        <v>0</v>
      </c>
      <c r="CF316" s="4">
        <f t="shared" si="288"/>
        <v>0</v>
      </c>
      <c r="CG316" s="4">
        <f t="shared" si="289"/>
        <v>0</v>
      </c>
      <c r="CH316" s="4">
        <f t="shared" si="290"/>
        <v>0</v>
      </c>
      <c r="CI316" s="4">
        <f t="shared" si="291"/>
        <v>0</v>
      </c>
      <c r="CJ316" s="4">
        <f t="shared" si="292"/>
        <v>0</v>
      </c>
      <c r="CK316" s="4">
        <f t="shared" si="293"/>
        <v>0</v>
      </c>
      <c r="CL316" s="4">
        <f t="shared" si="294"/>
        <v>0</v>
      </c>
      <c r="CM316" s="4">
        <f t="shared" si="295"/>
        <v>0</v>
      </c>
      <c r="CN316" s="4">
        <f t="shared" si="296"/>
        <v>0</v>
      </c>
      <c r="CO316" s="4">
        <f t="shared" si="297"/>
        <v>0</v>
      </c>
      <c r="CP316" s="4">
        <f t="shared" si="298"/>
        <v>0</v>
      </c>
      <c r="CQ316" s="4">
        <f t="shared" si="299"/>
        <v>0</v>
      </c>
      <c r="CR316" s="4">
        <f t="shared" si="300"/>
        <v>0</v>
      </c>
      <c r="CS316" s="4">
        <f t="shared" si="301"/>
        <v>0</v>
      </c>
      <c r="CT316" s="4">
        <f t="shared" si="302"/>
        <v>0</v>
      </c>
      <c r="CU316" s="4">
        <f t="shared" si="303"/>
        <v>0</v>
      </c>
      <c r="CV316" s="4">
        <f t="shared" si="304"/>
        <v>0</v>
      </c>
      <c r="CW316" s="4">
        <f t="shared" si="305"/>
        <v>0</v>
      </c>
      <c r="CX316" s="4">
        <f t="shared" si="306"/>
        <v>0</v>
      </c>
      <c r="CY316" s="4">
        <f t="shared" si="307"/>
        <v>0</v>
      </c>
      <c r="CZ316" s="4">
        <f t="shared" si="308"/>
        <v>0</v>
      </c>
      <c r="DA316" s="4">
        <f t="shared" si="309"/>
        <v>0</v>
      </c>
      <c r="DB316" s="4">
        <f t="shared" si="310"/>
        <v>0</v>
      </c>
      <c r="DC316" s="4">
        <f t="shared" si="311"/>
        <v>0</v>
      </c>
      <c r="DD316" s="4">
        <f t="shared" si="312"/>
        <v>0</v>
      </c>
    </row>
    <row r="317" spans="1:108" x14ac:dyDescent="0.25">
      <c r="A317" s="41" t="str">
        <f>Skills!M299</f>
        <v>Material Lore, Stone</v>
      </c>
      <c r="B317" s="57" t="str">
        <f>Skills!N299</f>
        <v>Stone</v>
      </c>
      <c r="C317" s="24">
        <f t="shared" si="313"/>
        <v>0</v>
      </c>
      <c r="D317" s="110" t="e">
        <f>Skills!S299</f>
        <v>#N/A</v>
      </c>
      <c r="E317" s="111" t="e">
        <f>Profession!$B$143</f>
        <v>#REF!</v>
      </c>
      <c r="F317" s="18"/>
      <c r="G317" s="18"/>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49"/>
      <c r="BF317" s="4">
        <f t="shared" si="263"/>
        <v>0</v>
      </c>
      <c r="BG317" s="4">
        <f t="shared" si="263"/>
        <v>0</v>
      </c>
      <c r="BH317" s="4">
        <f t="shared" si="264"/>
        <v>0</v>
      </c>
      <c r="BI317" s="4">
        <f t="shared" si="265"/>
        <v>0</v>
      </c>
      <c r="BJ317" s="4">
        <f t="shared" si="266"/>
        <v>0</v>
      </c>
      <c r="BK317" s="4">
        <f t="shared" si="267"/>
        <v>0</v>
      </c>
      <c r="BL317" s="4">
        <f t="shared" si="268"/>
        <v>0</v>
      </c>
      <c r="BM317" s="4">
        <f t="shared" si="269"/>
        <v>0</v>
      </c>
      <c r="BN317" s="4">
        <f t="shared" si="270"/>
        <v>0</v>
      </c>
      <c r="BO317" s="4">
        <f t="shared" si="271"/>
        <v>0</v>
      </c>
      <c r="BP317" s="4">
        <f t="shared" si="272"/>
        <v>0</v>
      </c>
      <c r="BQ317" s="4">
        <f t="shared" si="273"/>
        <v>0</v>
      </c>
      <c r="BR317" s="4">
        <f t="shared" si="274"/>
        <v>0</v>
      </c>
      <c r="BS317" s="4">
        <f t="shared" si="275"/>
        <v>0</v>
      </c>
      <c r="BT317" s="4">
        <f t="shared" si="276"/>
        <v>0</v>
      </c>
      <c r="BU317" s="4">
        <f t="shared" si="277"/>
        <v>0</v>
      </c>
      <c r="BV317" s="4">
        <f t="shared" si="278"/>
        <v>0</v>
      </c>
      <c r="BW317" s="4">
        <f t="shared" si="279"/>
        <v>0</v>
      </c>
      <c r="BX317" s="4">
        <f t="shared" si="280"/>
        <v>0</v>
      </c>
      <c r="BY317" s="4">
        <f t="shared" si="281"/>
        <v>0</v>
      </c>
      <c r="BZ317" s="4">
        <f t="shared" si="282"/>
        <v>0</v>
      </c>
      <c r="CA317" s="4">
        <f t="shared" si="283"/>
        <v>0</v>
      </c>
      <c r="CB317" s="4">
        <f t="shared" si="284"/>
        <v>0</v>
      </c>
      <c r="CC317" s="4">
        <f t="shared" si="285"/>
        <v>0</v>
      </c>
      <c r="CD317" s="4">
        <f t="shared" si="286"/>
        <v>0</v>
      </c>
      <c r="CE317" s="4">
        <f t="shared" si="287"/>
        <v>0</v>
      </c>
      <c r="CF317" s="4">
        <f t="shared" si="288"/>
        <v>0</v>
      </c>
      <c r="CG317" s="4">
        <f t="shared" si="289"/>
        <v>0</v>
      </c>
      <c r="CH317" s="4">
        <f t="shared" si="290"/>
        <v>0</v>
      </c>
      <c r="CI317" s="4">
        <f t="shared" si="291"/>
        <v>0</v>
      </c>
      <c r="CJ317" s="4">
        <f t="shared" si="292"/>
        <v>0</v>
      </c>
      <c r="CK317" s="4">
        <f t="shared" si="293"/>
        <v>0</v>
      </c>
      <c r="CL317" s="4">
        <f t="shared" si="294"/>
        <v>0</v>
      </c>
      <c r="CM317" s="4">
        <f t="shared" si="295"/>
        <v>0</v>
      </c>
      <c r="CN317" s="4">
        <f t="shared" si="296"/>
        <v>0</v>
      </c>
      <c r="CO317" s="4">
        <f t="shared" si="297"/>
        <v>0</v>
      </c>
      <c r="CP317" s="4">
        <f t="shared" si="298"/>
        <v>0</v>
      </c>
      <c r="CQ317" s="4">
        <f t="shared" si="299"/>
        <v>0</v>
      </c>
      <c r="CR317" s="4">
        <f t="shared" si="300"/>
        <v>0</v>
      </c>
      <c r="CS317" s="4">
        <f t="shared" si="301"/>
        <v>0</v>
      </c>
      <c r="CT317" s="4">
        <f t="shared" si="302"/>
        <v>0</v>
      </c>
      <c r="CU317" s="4">
        <f t="shared" si="303"/>
        <v>0</v>
      </c>
      <c r="CV317" s="4">
        <f t="shared" si="304"/>
        <v>0</v>
      </c>
      <c r="CW317" s="4">
        <f t="shared" si="305"/>
        <v>0</v>
      </c>
      <c r="CX317" s="4">
        <f t="shared" si="306"/>
        <v>0</v>
      </c>
      <c r="CY317" s="4">
        <f t="shared" si="307"/>
        <v>0</v>
      </c>
      <c r="CZ317" s="4">
        <f t="shared" si="308"/>
        <v>0</v>
      </c>
      <c r="DA317" s="4">
        <f t="shared" si="309"/>
        <v>0</v>
      </c>
      <c r="DB317" s="4">
        <f t="shared" si="310"/>
        <v>0</v>
      </c>
      <c r="DC317" s="4">
        <f t="shared" si="311"/>
        <v>0</v>
      </c>
      <c r="DD317" s="4">
        <f t="shared" si="312"/>
        <v>0</v>
      </c>
    </row>
    <row r="318" spans="1:108" x14ac:dyDescent="0.25">
      <c r="A318" s="41" t="str">
        <f>Skills!M300</f>
        <v>Material Lore, Wood</v>
      </c>
      <c r="B318" s="55" t="str">
        <f>Skills!N300</f>
        <v>Wood</v>
      </c>
      <c r="C318" s="22">
        <f t="shared" si="313"/>
        <v>0</v>
      </c>
      <c r="D318" s="112" t="e">
        <f>Skills!S300</f>
        <v>#N/A</v>
      </c>
      <c r="E318" s="113" t="e">
        <f>Profession!$B$143</f>
        <v>#REF!</v>
      </c>
      <c r="F318" s="19"/>
      <c r="G318" s="19"/>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56"/>
      <c r="BF318" s="4">
        <f t="shared" si="263"/>
        <v>0</v>
      </c>
      <c r="BG318" s="4">
        <f t="shared" si="263"/>
        <v>0</v>
      </c>
      <c r="BH318" s="4">
        <f t="shared" si="264"/>
        <v>0</v>
      </c>
      <c r="BI318" s="4">
        <f t="shared" si="265"/>
        <v>0</v>
      </c>
      <c r="BJ318" s="4">
        <f t="shared" si="266"/>
        <v>0</v>
      </c>
      <c r="BK318" s="4">
        <f t="shared" si="267"/>
        <v>0</v>
      </c>
      <c r="BL318" s="4">
        <f t="shared" si="268"/>
        <v>0</v>
      </c>
      <c r="BM318" s="4">
        <f t="shared" si="269"/>
        <v>0</v>
      </c>
      <c r="BN318" s="4">
        <f t="shared" si="270"/>
        <v>0</v>
      </c>
      <c r="BO318" s="4">
        <f t="shared" si="271"/>
        <v>0</v>
      </c>
      <c r="BP318" s="4">
        <f t="shared" si="272"/>
        <v>0</v>
      </c>
      <c r="BQ318" s="4">
        <f t="shared" si="273"/>
        <v>0</v>
      </c>
      <c r="BR318" s="4">
        <f t="shared" si="274"/>
        <v>0</v>
      </c>
      <c r="BS318" s="4">
        <f t="shared" si="275"/>
        <v>0</v>
      </c>
      <c r="BT318" s="4">
        <f t="shared" si="276"/>
        <v>0</v>
      </c>
      <c r="BU318" s="4">
        <f t="shared" si="277"/>
        <v>0</v>
      </c>
      <c r="BV318" s="4">
        <f t="shared" si="278"/>
        <v>0</v>
      </c>
      <c r="BW318" s="4">
        <f t="shared" si="279"/>
        <v>0</v>
      </c>
      <c r="BX318" s="4">
        <f t="shared" si="280"/>
        <v>0</v>
      </c>
      <c r="BY318" s="4">
        <f t="shared" si="281"/>
        <v>0</v>
      </c>
      <c r="BZ318" s="4">
        <f t="shared" si="282"/>
        <v>0</v>
      </c>
      <c r="CA318" s="4">
        <f t="shared" si="283"/>
        <v>0</v>
      </c>
      <c r="CB318" s="4">
        <f t="shared" si="284"/>
        <v>0</v>
      </c>
      <c r="CC318" s="4">
        <f t="shared" si="285"/>
        <v>0</v>
      </c>
      <c r="CD318" s="4">
        <f t="shared" si="286"/>
        <v>0</v>
      </c>
      <c r="CE318" s="4">
        <f t="shared" si="287"/>
        <v>0</v>
      </c>
      <c r="CF318" s="4">
        <f t="shared" si="288"/>
        <v>0</v>
      </c>
      <c r="CG318" s="4">
        <f t="shared" si="289"/>
        <v>0</v>
      </c>
      <c r="CH318" s="4">
        <f t="shared" si="290"/>
        <v>0</v>
      </c>
      <c r="CI318" s="4">
        <f t="shared" si="291"/>
        <v>0</v>
      </c>
      <c r="CJ318" s="4">
        <f t="shared" si="292"/>
        <v>0</v>
      </c>
      <c r="CK318" s="4">
        <f t="shared" si="293"/>
        <v>0</v>
      </c>
      <c r="CL318" s="4">
        <f t="shared" si="294"/>
        <v>0</v>
      </c>
      <c r="CM318" s="4">
        <f t="shared" si="295"/>
        <v>0</v>
      </c>
      <c r="CN318" s="4">
        <f t="shared" si="296"/>
        <v>0</v>
      </c>
      <c r="CO318" s="4">
        <f t="shared" si="297"/>
        <v>0</v>
      </c>
      <c r="CP318" s="4">
        <f t="shared" si="298"/>
        <v>0</v>
      </c>
      <c r="CQ318" s="4">
        <f t="shared" si="299"/>
        <v>0</v>
      </c>
      <c r="CR318" s="4">
        <f t="shared" si="300"/>
        <v>0</v>
      </c>
      <c r="CS318" s="4">
        <f t="shared" si="301"/>
        <v>0</v>
      </c>
      <c r="CT318" s="4">
        <f t="shared" si="302"/>
        <v>0</v>
      </c>
      <c r="CU318" s="4">
        <f t="shared" si="303"/>
        <v>0</v>
      </c>
      <c r="CV318" s="4">
        <f t="shared" si="304"/>
        <v>0</v>
      </c>
      <c r="CW318" s="4">
        <f t="shared" si="305"/>
        <v>0</v>
      </c>
      <c r="CX318" s="4">
        <f t="shared" si="306"/>
        <v>0</v>
      </c>
      <c r="CY318" s="4">
        <f t="shared" si="307"/>
        <v>0</v>
      </c>
      <c r="CZ318" s="4">
        <f t="shared" si="308"/>
        <v>0</v>
      </c>
      <c r="DA318" s="4">
        <f t="shared" si="309"/>
        <v>0</v>
      </c>
      <c r="DB318" s="4">
        <f t="shared" si="310"/>
        <v>0</v>
      </c>
      <c r="DC318" s="4">
        <f t="shared" si="311"/>
        <v>0</v>
      </c>
      <c r="DD318" s="4">
        <f t="shared" si="312"/>
        <v>0</v>
      </c>
    </row>
    <row r="319" spans="1:108" x14ac:dyDescent="0.25">
      <c r="A319" s="41">
        <f>Skills!M301</f>
        <v>0</v>
      </c>
      <c r="B319" s="57" t="str">
        <f>Skills!N301</f>
        <v>Racial Lore Sub-category</v>
      </c>
      <c r="C319" s="24">
        <f t="shared" si="313"/>
        <v>0</v>
      </c>
      <c r="D319" s="110" t="str">
        <f>Skills!S301</f>
        <v>- -</v>
      </c>
      <c r="E319" s="111" t="s">
        <v>782</v>
      </c>
      <c r="F319" s="18"/>
      <c r="G319" s="18"/>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49"/>
      <c r="BF319" s="4">
        <f t="shared" si="263"/>
        <v>0</v>
      </c>
      <c r="BG319" s="4">
        <f t="shared" si="263"/>
        <v>0</v>
      </c>
      <c r="BH319" s="4">
        <f t="shared" si="264"/>
        <v>0</v>
      </c>
      <c r="BI319" s="4">
        <f t="shared" si="265"/>
        <v>0</v>
      </c>
      <c r="BJ319" s="4">
        <f t="shared" si="266"/>
        <v>0</v>
      </c>
      <c r="BK319" s="4">
        <f t="shared" si="267"/>
        <v>0</v>
      </c>
      <c r="BL319" s="4">
        <f t="shared" si="268"/>
        <v>0</v>
      </c>
      <c r="BM319" s="4">
        <f t="shared" si="269"/>
        <v>0</v>
      </c>
      <c r="BN319" s="4">
        <f t="shared" si="270"/>
        <v>0</v>
      </c>
      <c r="BO319" s="4">
        <f t="shared" si="271"/>
        <v>0</v>
      </c>
      <c r="BP319" s="4">
        <f t="shared" si="272"/>
        <v>0</v>
      </c>
      <c r="BQ319" s="4">
        <f t="shared" si="273"/>
        <v>0</v>
      </c>
      <c r="BR319" s="4">
        <f t="shared" si="274"/>
        <v>0</v>
      </c>
      <c r="BS319" s="4">
        <f t="shared" si="275"/>
        <v>0</v>
      </c>
      <c r="BT319" s="4">
        <f t="shared" si="276"/>
        <v>0</v>
      </c>
      <c r="BU319" s="4">
        <f t="shared" si="277"/>
        <v>0</v>
      </c>
      <c r="BV319" s="4">
        <f t="shared" si="278"/>
        <v>0</v>
      </c>
      <c r="BW319" s="4">
        <f t="shared" si="279"/>
        <v>0</v>
      </c>
      <c r="BX319" s="4">
        <f t="shared" si="280"/>
        <v>0</v>
      </c>
      <c r="BY319" s="4">
        <f t="shared" si="281"/>
        <v>0</v>
      </c>
      <c r="BZ319" s="4">
        <f t="shared" si="282"/>
        <v>0</v>
      </c>
      <c r="CA319" s="4">
        <f t="shared" si="283"/>
        <v>0</v>
      </c>
      <c r="CB319" s="4">
        <f t="shared" si="284"/>
        <v>0</v>
      </c>
      <c r="CC319" s="4">
        <f t="shared" si="285"/>
        <v>0</v>
      </c>
      <c r="CD319" s="4">
        <f t="shared" si="286"/>
        <v>0</v>
      </c>
      <c r="CE319" s="4">
        <f t="shared" si="287"/>
        <v>0</v>
      </c>
      <c r="CF319" s="4">
        <f t="shared" si="288"/>
        <v>0</v>
      </c>
      <c r="CG319" s="4">
        <f t="shared" si="289"/>
        <v>0</v>
      </c>
      <c r="CH319" s="4">
        <f t="shared" si="290"/>
        <v>0</v>
      </c>
      <c r="CI319" s="4">
        <f t="shared" si="291"/>
        <v>0</v>
      </c>
      <c r="CJ319" s="4">
        <f t="shared" si="292"/>
        <v>0</v>
      </c>
      <c r="CK319" s="4">
        <f t="shared" si="293"/>
        <v>0</v>
      </c>
      <c r="CL319" s="4">
        <f t="shared" si="294"/>
        <v>0</v>
      </c>
      <c r="CM319" s="4">
        <f t="shared" si="295"/>
        <v>0</v>
      </c>
      <c r="CN319" s="4">
        <f t="shared" si="296"/>
        <v>0</v>
      </c>
      <c r="CO319" s="4">
        <f t="shared" si="297"/>
        <v>0</v>
      </c>
      <c r="CP319" s="4">
        <f t="shared" si="298"/>
        <v>0</v>
      </c>
      <c r="CQ319" s="4">
        <f t="shared" si="299"/>
        <v>0</v>
      </c>
      <c r="CR319" s="4">
        <f t="shared" si="300"/>
        <v>0</v>
      </c>
      <c r="CS319" s="4">
        <f t="shared" si="301"/>
        <v>0</v>
      </c>
      <c r="CT319" s="4">
        <f t="shared" si="302"/>
        <v>0</v>
      </c>
      <c r="CU319" s="4">
        <f t="shared" si="303"/>
        <v>0</v>
      </c>
      <c r="CV319" s="4">
        <f t="shared" si="304"/>
        <v>0</v>
      </c>
      <c r="CW319" s="4">
        <f t="shared" si="305"/>
        <v>0</v>
      </c>
      <c r="CX319" s="4">
        <f t="shared" si="306"/>
        <v>0</v>
      </c>
      <c r="CY319" s="4">
        <f t="shared" si="307"/>
        <v>0</v>
      </c>
      <c r="CZ319" s="4">
        <f t="shared" si="308"/>
        <v>0</v>
      </c>
      <c r="DA319" s="4">
        <f t="shared" si="309"/>
        <v>0</v>
      </c>
      <c r="DB319" s="4">
        <f t="shared" si="310"/>
        <v>0</v>
      </c>
      <c r="DC319" s="4">
        <f t="shared" si="311"/>
        <v>0</v>
      </c>
      <c r="DD319" s="4">
        <f t="shared" si="312"/>
        <v>0</v>
      </c>
    </row>
    <row r="320" spans="1:108" x14ac:dyDescent="0.25">
      <c r="A320" s="41">
        <f>Skills!M302</f>
        <v>0</v>
      </c>
      <c r="B320" s="55" t="str">
        <f>Skills!N302</f>
        <v>Racial Lore Skills</v>
      </c>
      <c r="C320" s="22">
        <f t="shared" si="313"/>
        <v>0</v>
      </c>
      <c r="D320" s="112" t="str">
        <f>Skills!S302</f>
        <v>- -</v>
      </c>
      <c r="E320" s="113" t="s">
        <v>782</v>
      </c>
      <c r="F320" s="19"/>
      <c r="G320" s="19"/>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56"/>
      <c r="BF320" s="4">
        <f t="shared" si="263"/>
        <v>0</v>
      </c>
      <c r="BG320" s="4">
        <f t="shared" si="263"/>
        <v>0</v>
      </c>
      <c r="BH320" s="4">
        <f t="shared" si="264"/>
        <v>0</v>
      </c>
      <c r="BI320" s="4">
        <f t="shared" si="265"/>
        <v>0</v>
      </c>
      <c r="BJ320" s="4">
        <f t="shared" si="266"/>
        <v>0</v>
      </c>
      <c r="BK320" s="4">
        <f t="shared" si="267"/>
        <v>0</v>
      </c>
      <c r="BL320" s="4">
        <f t="shared" si="268"/>
        <v>0</v>
      </c>
      <c r="BM320" s="4">
        <f t="shared" si="269"/>
        <v>0</v>
      </c>
      <c r="BN320" s="4">
        <f t="shared" si="270"/>
        <v>0</v>
      </c>
      <c r="BO320" s="4">
        <f t="shared" si="271"/>
        <v>0</v>
      </c>
      <c r="BP320" s="4">
        <f t="shared" si="272"/>
        <v>0</v>
      </c>
      <c r="BQ320" s="4">
        <f t="shared" si="273"/>
        <v>0</v>
      </c>
      <c r="BR320" s="4">
        <f t="shared" si="274"/>
        <v>0</v>
      </c>
      <c r="BS320" s="4">
        <f t="shared" si="275"/>
        <v>0</v>
      </c>
      <c r="BT320" s="4">
        <f t="shared" si="276"/>
        <v>0</v>
      </c>
      <c r="BU320" s="4">
        <f t="shared" si="277"/>
        <v>0</v>
      </c>
      <c r="BV320" s="4">
        <f t="shared" si="278"/>
        <v>0</v>
      </c>
      <c r="BW320" s="4">
        <f t="shared" si="279"/>
        <v>0</v>
      </c>
      <c r="BX320" s="4">
        <f t="shared" si="280"/>
        <v>0</v>
      </c>
      <c r="BY320" s="4">
        <f t="shared" si="281"/>
        <v>0</v>
      </c>
      <c r="BZ320" s="4">
        <f t="shared" si="282"/>
        <v>0</v>
      </c>
      <c r="CA320" s="4">
        <f t="shared" si="283"/>
        <v>0</v>
      </c>
      <c r="CB320" s="4">
        <f t="shared" si="284"/>
        <v>0</v>
      </c>
      <c r="CC320" s="4">
        <f t="shared" si="285"/>
        <v>0</v>
      </c>
      <c r="CD320" s="4">
        <f t="shared" si="286"/>
        <v>0</v>
      </c>
      <c r="CE320" s="4">
        <f t="shared" si="287"/>
        <v>0</v>
      </c>
      <c r="CF320" s="4">
        <f t="shared" si="288"/>
        <v>0</v>
      </c>
      <c r="CG320" s="4">
        <f t="shared" si="289"/>
        <v>0</v>
      </c>
      <c r="CH320" s="4">
        <f t="shared" si="290"/>
        <v>0</v>
      </c>
      <c r="CI320" s="4">
        <f t="shared" si="291"/>
        <v>0</v>
      </c>
      <c r="CJ320" s="4">
        <f t="shared" si="292"/>
        <v>0</v>
      </c>
      <c r="CK320" s="4">
        <f t="shared" si="293"/>
        <v>0</v>
      </c>
      <c r="CL320" s="4">
        <f t="shared" si="294"/>
        <v>0</v>
      </c>
      <c r="CM320" s="4">
        <f t="shared" si="295"/>
        <v>0</v>
      </c>
      <c r="CN320" s="4">
        <f t="shared" si="296"/>
        <v>0</v>
      </c>
      <c r="CO320" s="4">
        <f t="shared" si="297"/>
        <v>0</v>
      </c>
      <c r="CP320" s="4">
        <f t="shared" si="298"/>
        <v>0</v>
      </c>
      <c r="CQ320" s="4">
        <f t="shared" si="299"/>
        <v>0</v>
      </c>
      <c r="CR320" s="4">
        <f t="shared" si="300"/>
        <v>0</v>
      </c>
      <c r="CS320" s="4">
        <f t="shared" si="301"/>
        <v>0</v>
      </c>
      <c r="CT320" s="4">
        <f t="shared" si="302"/>
        <v>0</v>
      </c>
      <c r="CU320" s="4">
        <f t="shared" si="303"/>
        <v>0</v>
      </c>
      <c r="CV320" s="4">
        <f t="shared" si="304"/>
        <v>0</v>
      </c>
      <c r="CW320" s="4">
        <f t="shared" si="305"/>
        <v>0</v>
      </c>
      <c r="CX320" s="4">
        <f t="shared" si="306"/>
        <v>0</v>
      </c>
      <c r="CY320" s="4">
        <f t="shared" si="307"/>
        <v>0</v>
      </c>
      <c r="CZ320" s="4">
        <f t="shared" si="308"/>
        <v>0</v>
      </c>
      <c r="DA320" s="4">
        <f t="shared" si="309"/>
        <v>0</v>
      </c>
      <c r="DB320" s="4">
        <f t="shared" si="310"/>
        <v>0</v>
      </c>
      <c r="DC320" s="4">
        <f t="shared" si="311"/>
        <v>0</v>
      </c>
      <c r="DD320" s="4">
        <f t="shared" si="312"/>
        <v>0</v>
      </c>
    </row>
    <row r="321" spans="1:108" x14ac:dyDescent="0.25">
      <c r="A321" s="41" t="str">
        <f>Skills!M303</f>
        <v>Racial Lore, Alien</v>
      </c>
      <c r="B321" s="57" t="str">
        <f>Skills!N303</f>
        <v>Alien</v>
      </c>
      <c r="C321" s="24">
        <f t="shared" si="313"/>
        <v>0</v>
      </c>
      <c r="D321" s="110" t="e">
        <f>Skills!S303</f>
        <v>#N/A</v>
      </c>
      <c r="E321" s="111" t="e">
        <f>Profession!$B$144</f>
        <v>#REF!</v>
      </c>
      <c r="F321" s="18"/>
      <c r="G321" s="18"/>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49"/>
      <c r="BF321" s="4">
        <f t="shared" si="263"/>
        <v>0</v>
      </c>
      <c r="BG321" s="4">
        <f t="shared" si="263"/>
        <v>0</v>
      </c>
      <c r="BH321" s="4">
        <f t="shared" si="264"/>
        <v>0</v>
      </c>
      <c r="BI321" s="4">
        <f t="shared" si="265"/>
        <v>0</v>
      </c>
      <c r="BJ321" s="4">
        <f t="shared" si="266"/>
        <v>0</v>
      </c>
      <c r="BK321" s="4">
        <f t="shared" si="267"/>
        <v>0</v>
      </c>
      <c r="BL321" s="4">
        <f t="shared" si="268"/>
        <v>0</v>
      </c>
      <c r="BM321" s="4">
        <f t="shared" si="269"/>
        <v>0</v>
      </c>
      <c r="BN321" s="4">
        <f t="shared" si="270"/>
        <v>0</v>
      </c>
      <c r="BO321" s="4">
        <f t="shared" si="271"/>
        <v>0</v>
      </c>
      <c r="BP321" s="4">
        <f t="shared" si="272"/>
        <v>0</v>
      </c>
      <c r="BQ321" s="4">
        <f t="shared" si="273"/>
        <v>0</v>
      </c>
      <c r="BR321" s="4">
        <f t="shared" si="274"/>
        <v>0</v>
      </c>
      <c r="BS321" s="4">
        <f t="shared" si="275"/>
        <v>0</v>
      </c>
      <c r="BT321" s="4">
        <f t="shared" si="276"/>
        <v>0</v>
      </c>
      <c r="BU321" s="4">
        <f t="shared" si="277"/>
        <v>0</v>
      </c>
      <c r="BV321" s="4">
        <f t="shared" si="278"/>
        <v>0</v>
      </c>
      <c r="BW321" s="4">
        <f t="shared" si="279"/>
        <v>0</v>
      </c>
      <c r="BX321" s="4">
        <f t="shared" si="280"/>
        <v>0</v>
      </c>
      <c r="BY321" s="4">
        <f t="shared" si="281"/>
        <v>0</v>
      </c>
      <c r="BZ321" s="4">
        <f t="shared" si="282"/>
        <v>0</v>
      </c>
      <c r="CA321" s="4">
        <f t="shared" si="283"/>
        <v>0</v>
      </c>
      <c r="CB321" s="4">
        <f t="shared" si="284"/>
        <v>0</v>
      </c>
      <c r="CC321" s="4">
        <f t="shared" si="285"/>
        <v>0</v>
      </c>
      <c r="CD321" s="4">
        <f t="shared" si="286"/>
        <v>0</v>
      </c>
      <c r="CE321" s="4">
        <f t="shared" si="287"/>
        <v>0</v>
      </c>
      <c r="CF321" s="4">
        <f t="shared" si="288"/>
        <v>0</v>
      </c>
      <c r="CG321" s="4">
        <f t="shared" si="289"/>
        <v>0</v>
      </c>
      <c r="CH321" s="4">
        <f t="shared" si="290"/>
        <v>0</v>
      </c>
      <c r="CI321" s="4">
        <f t="shared" si="291"/>
        <v>0</v>
      </c>
      <c r="CJ321" s="4">
        <f t="shared" si="292"/>
        <v>0</v>
      </c>
      <c r="CK321" s="4">
        <f t="shared" si="293"/>
        <v>0</v>
      </c>
      <c r="CL321" s="4">
        <f t="shared" si="294"/>
        <v>0</v>
      </c>
      <c r="CM321" s="4">
        <f t="shared" si="295"/>
        <v>0</v>
      </c>
      <c r="CN321" s="4">
        <f t="shared" si="296"/>
        <v>0</v>
      </c>
      <c r="CO321" s="4">
        <f t="shared" si="297"/>
        <v>0</v>
      </c>
      <c r="CP321" s="4">
        <f t="shared" si="298"/>
        <v>0</v>
      </c>
      <c r="CQ321" s="4">
        <f t="shared" si="299"/>
        <v>0</v>
      </c>
      <c r="CR321" s="4">
        <f t="shared" si="300"/>
        <v>0</v>
      </c>
      <c r="CS321" s="4">
        <f t="shared" si="301"/>
        <v>0</v>
      </c>
      <c r="CT321" s="4">
        <f t="shared" si="302"/>
        <v>0</v>
      </c>
      <c r="CU321" s="4">
        <f t="shared" si="303"/>
        <v>0</v>
      </c>
      <c r="CV321" s="4">
        <f t="shared" si="304"/>
        <v>0</v>
      </c>
      <c r="CW321" s="4">
        <f t="shared" si="305"/>
        <v>0</v>
      </c>
      <c r="CX321" s="4">
        <f t="shared" si="306"/>
        <v>0</v>
      </c>
      <c r="CY321" s="4">
        <f t="shared" si="307"/>
        <v>0</v>
      </c>
      <c r="CZ321" s="4">
        <f t="shared" si="308"/>
        <v>0</v>
      </c>
      <c r="DA321" s="4">
        <f t="shared" si="309"/>
        <v>0</v>
      </c>
      <c r="DB321" s="4">
        <f t="shared" si="310"/>
        <v>0</v>
      </c>
      <c r="DC321" s="4">
        <f t="shared" si="311"/>
        <v>0</v>
      </c>
      <c r="DD321" s="4">
        <f t="shared" si="312"/>
        <v>0</v>
      </c>
    </row>
    <row r="322" spans="1:108" x14ac:dyDescent="0.25">
      <c r="A322" s="41" t="str">
        <f>Skills!M304</f>
        <v>Racial Lore, Human</v>
      </c>
      <c r="B322" s="55" t="str">
        <f>Skills!N304</f>
        <v>Human</v>
      </c>
      <c r="C322" s="22">
        <f t="shared" si="313"/>
        <v>0</v>
      </c>
      <c r="D322" s="112" t="e">
        <f>Skills!S304</f>
        <v>#N/A</v>
      </c>
      <c r="E322" s="113" t="e">
        <f>Profession!$B$144</f>
        <v>#REF!</v>
      </c>
      <c r="F322" s="19"/>
      <c r="G322" s="19"/>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56"/>
      <c r="BF322" s="4">
        <f t="shared" si="263"/>
        <v>0</v>
      </c>
      <c r="BG322" s="4">
        <f t="shared" si="263"/>
        <v>0</v>
      </c>
      <c r="BH322" s="4">
        <f t="shared" si="264"/>
        <v>0</v>
      </c>
      <c r="BI322" s="4">
        <f t="shared" si="265"/>
        <v>0</v>
      </c>
      <c r="BJ322" s="4">
        <f t="shared" si="266"/>
        <v>0</v>
      </c>
      <c r="BK322" s="4">
        <f t="shared" si="267"/>
        <v>0</v>
      </c>
      <c r="BL322" s="4">
        <f t="shared" si="268"/>
        <v>0</v>
      </c>
      <c r="BM322" s="4">
        <f t="shared" si="269"/>
        <v>0</v>
      </c>
      <c r="BN322" s="4">
        <f t="shared" si="270"/>
        <v>0</v>
      </c>
      <c r="BO322" s="4">
        <f t="shared" si="271"/>
        <v>0</v>
      </c>
      <c r="BP322" s="4">
        <f t="shared" si="272"/>
        <v>0</v>
      </c>
      <c r="BQ322" s="4">
        <f t="shared" si="273"/>
        <v>0</v>
      </c>
      <c r="BR322" s="4">
        <f t="shared" si="274"/>
        <v>0</v>
      </c>
      <c r="BS322" s="4">
        <f t="shared" si="275"/>
        <v>0</v>
      </c>
      <c r="BT322" s="4">
        <f t="shared" si="276"/>
        <v>0</v>
      </c>
      <c r="BU322" s="4">
        <f t="shared" si="277"/>
        <v>0</v>
      </c>
      <c r="BV322" s="4">
        <f t="shared" si="278"/>
        <v>0</v>
      </c>
      <c r="BW322" s="4">
        <f t="shared" si="279"/>
        <v>0</v>
      </c>
      <c r="BX322" s="4">
        <f t="shared" si="280"/>
        <v>0</v>
      </c>
      <c r="BY322" s="4">
        <f t="shared" si="281"/>
        <v>0</v>
      </c>
      <c r="BZ322" s="4">
        <f t="shared" si="282"/>
        <v>0</v>
      </c>
      <c r="CA322" s="4">
        <f t="shared" si="283"/>
        <v>0</v>
      </c>
      <c r="CB322" s="4">
        <f t="shared" si="284"/>
        <v>0</v>
      </c>
      <c r="CC322" s="4">
        <f t="shared" si="285"/>
        <v>0</v>
      </c>
      <c r="CD322" s="4">
        <f t="shared" si="286"/>
        <v>0</v>
      </c>
      <c r="CE322" s="4">
        <f t="shared" si="287"/>
        <v>0</v>
      </c>
      <c r="CF322" s="4">
        <f t="shared" si="288"/>
        <v>0</v>
      </c>
      <c r="CG322" s="4">
        <f t="shared" si="289"/>
        <v>0</v>
      </c>
      <c r="CH322" s="4">
        <f t="shared" si="290"/>
        <v>0</v>
      </c>
      <c r="CI322" s="4">
        <f t="shared" si="291"/>
        <v>0</v>
      </c>
      <c r="CJ322" s="4">
        <f t="shared" si="292"/>
        <v>0</v>
      </c>
      <c r="CK322" s="4">
        <f t="shared" si="293"/>
        <v>0</v>
      </c>
      <c r="CL322" s="4">
        <f t="shared" si="294"/>
        <v>0</v>
      </c>
      <c r="CM322" s="4">
        <f t="shared" si="295"/>
        <v>0</v>
      </c>
      <c r="CN322" s="4">
        <f t="shared" si="296"/>
        <v>0</v>
      </c>
      <c r="CO322" s="4">
        <f t="shared" si="297"/>
        <v>0</v>
      </c>
      <c r="CP322" s="4">
        <f t="shared" si="298"/>
        <v>0</v>
      </c>
      <c r="CQ322" s="4">
        <f t="shared" si="299"/>
        <v>0</v>
      </c>
      <c r="CR322" s="4">
        <f t="shared" si="300"/>
        <v>0</v>
      </c>
      <c r="CS322" s="4">
        <f t="shared" si="301"/>
        <v>0</v>
      </c>
      <c r="CT322" s="4">
        <f t="shared" si="302"/>
        <v>0</v>
      </c>
      <c r="CU322" s="4">
        <f t="shared" si="303"/>
        <v>0</v>
      </c>
      <c r="CV322" s="4">
        <f t="shared" si="304"/>
        <v>0</v>
      </c>
      <c r="CW322" s="4">
        <f t="shared" si="305"/>
        <v>0</v>
      </c>
      <c r="CX322" s="4">
        <f t="shared" si="306"/>
        <v>0</v>
      </c>
      <c r="CY322" s="4">
        <f t="shared" si="307"/>
        <v>0</v>
      </c>
      <c r="CZ322" s="4">
        <f t="shared" si="308"/>
        <v>0</v>
      </c>
      <c r="DA322" s="4">
        <f t="shared" si="309"/>
        <v>0</v>
      </c>
      <c r="DB322" s="4">
        <f t="shared" si="310"/>
        <v>0</v>
      </c>
      <c r="DC322" s="4">
        <f t="shared" si="311"/>
        <v>0</v>
      </c>
      <c r="DD322" s="4">
        <f t="shared" si="312"/>
        <v>0</v>
      </c>
    </row>
    <row r="323" spans="1:108" x14ac:dyDescent="0.25">
      <c r="A323" s="41" t="str">
        <f>Skills!M305</f>
        <v>Racial Lore, Sasquatch</v>
      </c>
      <c r="B323" s="57" t="str">
        <f>Skills!N305</f>
        <v>Sasquatch</v>
      </c>
      <c r="C323" s="24">
        <f t="shared" si="313"/>
        <v>0</v>
      </c>
      <c r="D323" s="110" t="e">
        <f>Skills!S305</f>
        <v>#N/A</v>
      </c>
      <c r="E323" s="111" t="e">
        <f>Profession!$B$144</f>
        <v>#REF!</v>
      </c>
      <c r="F323" s="18"/>
      <c r="G323" s="18"/>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49"/>
      <c r="BF323" s="4">
        <f t="shared" si="263"/>
        <v>0</v>
      </c>
      <c r="BG323" s="4">
        <f t="shared" si="263"/>
        <v>0</v>
      </c>
      <c r="BH323" s="4">
        <f t="shared" si="264"/>
        <v>0</v>
      </c>
      <c r="BI323" s="4">
        <f t="shared" si="265"/>
        <v>0</v>
      </c>
      <c r="BJ323" s="4">
        <f t="shared" si="266"/>
        <v>0</v>
      </c>
      <c r="BK323" s="4">
        <f t="shared" si="267"/>
        <v>0</v>
      </c>
      <c r="BL323" s="4">
        <f t="shared" si="268"/>
        <v>0</v>
      </c>
      <c r="BM323" s="4">
        <f t="shared" si="269"/>
        <v>0</v>
      </c>
      <c r="BN323" s="4">
        <f t="shared" si="270"/>
        <v>0</v>
      </c>
      <c r="BO323" s="4">
        <f t="shared" si="271"/>
        <v>0</v>
      </c>
      <c r="BP323" s="4">
        <f t="shared" si="272"/>
        <v>0</v>
      </c>
      <c r="BQ323" s="4">
        <f t="shared" si="273"/>
        <v>0</v>
      </c>
      <c r="BR323" s="4">
        <f t="shared" si="274"/>
        <v>0</v>
      </c>
      <c r="BS323" s="4">
        <f t="shared" si="275"/>
        <v>0</v>
      </c>
      <c r="BT323" s="4">
        <f t="shared" si="276"/>
        <v>0</v>
      </c>
      <c r="BU323" s="4">
        <f t="shared" si="277"/>
        <v>0</v>
      </c>
      <c r="BV323" s="4">
        <f t="shared" si="278"/>
        <v>0</v>
      </c>
      <c r="BW323" s="4">
        <f t="shared" si="279"/>
        <v>0</v>
      </c>
      <c r="BX323" s="4">
        <f t="shared" si="280"/>
        <v>0</v>
      </c>
      <c r="BY323" s="4">
        <f t="shared" si="281"/>
        <v>0</v>
      </c>
      <c r="BZ323" s="4">
        <f t="shared" si="282"/>
        <v>0</v>
      </c>
      <c r="CA323" s="4">
        <f t="shared" si="283"/>
        <v>0</v>
      </c>
      <c r="CB323" s="4">
        <f t="shared" si="284"/>
        <v>0</v>
      </c>
      <c r="CC323" s="4">
        <f t="shared" si="285"/>
        <v>0</v>
      </c>
      <c r="CD323" s="4">
        <f t="shared" si="286"/>
        <v>0</v>
      </c>
      <c r="CE323" s="4">
        <f t="shared" si="287"/>
        <v>0</v>
      </c>
      <c r="CF323" s="4">
        <f t="shared" si="288"/>
        <v>0</v>
      </c>
      <c r="CG323" s="4">
        <f t="shared" si="289"/>
        <v>0</v>
      </c>
      <c r="CH323" s="4">
        <f t="shared" si="290"/>
        <v>0</v>
      </c>
      <c r="CI323" s="4">
        <f t="shared" si="291"/>
        <v>0</v>
      </c>
      <c r="CJ323" s="4">
        <f t="shared" si="292"/>
        <v>0</v>
      </c>
      <c r="CK323" s="4">
        <f t="shared" si="293"/>
        <v>0</v>
      </c>
      <c r="CL323" s="4">
        <f t="shared" si="294"/>
        <v>0</v>
      </c>
      <c r="CM323" s="4">
        <f t="shared" si="295"/>
        <v>0</v>
      </c>
      <c r="CN323" s="4">
        <f t="shared" si="296"/>
        <v>0</v>
      </c>
      <c r="CO323" s="4">
        <f t="shared" si="297"/>
        <v>0</v>
      </c>
      <c r="CP323" s="4">
        <f t="shared" si="298"/>
        <v>0</v>
      </c>
      <c r="CQ323" s="4">
        <f t="shared" si="299"/>
        <v>0</v>
      </c>
      <c r="CR323" s="4">
        <f t="shared" si="300"/>
        <v>0</v>
      </c>
      <c r="CS323" s="4">
        <f t="shared" si="301"/>
        <v>0</v>
      </c>
      <c r="CT323" s="4">
        <f t="shared" si="302"/>
        <v>0</v>
      </c>
      <c r="CU323" s="4">
        <f t="shared" si="303"/>
        <v>0</v>
      </c>
      <c r="CV323" s="4">
        <f t="shared" si="304"/>
        <v>0</v>
      </c>
      <c r="CW323" s="4">
        <f t="shared" si="305"/>
        <v>0</v>
      </c>
      <c r="CX323" s="4">
        <f t="shared" si="306"/>
        <v>0</v>
      </c>
      <c r="CY323" s="4">
        <f t="shared" si="307"/>
        <v>0</v>
      </c>
      <c r="CZ323" s="4">
        <f t="shared" si="308"/>
        <v>0</v>
      </c>
      <c r="DA323" s="4">
        <f t="shared" si="309"/>
        <v>0</v>
      </c>
      <c r="DB323" s="4">
        <f t="shared" si="310"/>
        <v>0</v>
      </c>
      <c r="DC323" s="4">
        <f t="shared" si="311"/>
        <v>0</v>
      </c>
      <c r="DD323" s="4">
        <f t="shared" si="312"/>
        <v>0</v>
      </c>
    </row>
    <row r="324" spans="1:108" x14ac:dyDescent="0.25">
      <c r="A324" s="41" t="str">
        <f>Skills!M306</f>
        <v>Racial Lore, Vampire</v>
      </c>
      <c r="B324" s="55" t="str">
        <f>Skills!N306</f>
        <v>Vampire</v>
      </c>
      <c r="C324" s="22">
        <f t="shared" si="313"/>
        <v>0</v>
      </c>
      <c r="D324" s="112" t="e">
        <f>Skills!S306</f>
        <v>#N/A</v>
      </c>
      <c r="E324" s="113" t="e">
        <f>Profession!$B$144</f>
        <v>#REF!</v>
      </c>
      <c r="F324" s="19"/>
      <c r="G324" s="19"/>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56"/>
      <c r="BF324" s="4">
        <f t="shared" si="263"/>
        <v>0</v>
      </c>
      <c r="BG324" s="4">
        <f t="shared" si="263"/>
        <v>0</v>
      </c>
      <c r="BH324" s="4">
        <f t="shared" si="264"/>
        <v>0</v>
      </c>
      <c r="BI324" s="4">
        <f t="shared" si="265"/>
        <v>0</v>
      </c>
      <c r="BJ324" s="4">
        <f t="shared" si="266"/>
        <v>0</v>
      </c>
      <c r="BK324" s="4">
        <f t="shared" si="267"/>
        <v>0</v>
      </c>
      <c r="BL324" s="4">
        <f t="shared" si="268"/>
        <v>0</v>
      </c>
      <c r="BM324" s="4">
        <f t="shared" si="269"/>
        <v>0</v>
      </c>
      <c r="BN324" s="4">
        <f t="shared" si="270"/>
        <v>0</v>
      </c>
      <c r="BO324" s="4">
        <f t="shared" si="271"/>
        <v>0</v>
      </c>
      <c r="BP324" s="4">
        <f t="shared" si="272"/>
        <v>0</v>
      </c>
      <c r="BQ324" s="4">
        <f t="shared" si="273"/>
        <v>0</v>
      </c>
      <c r="BR324" s="4">
        <f t="shared" si="274"/>
        <v>0</v>
      </c>
      <c r="BS324" s="4">
        <f t="shared" si="275"/>
        <v>0</v>
      </c>
      <c r="BT324" s="4">
        <f t="shared" si="276"/>
        <v>0</v>
      </c>
      <c r="BU324" s="4">
        <f t="shared" si="277"/>
        <v>0</v>
      </c>
      <c r="BV324" s="4">
        <f t="shared" si="278"/>
        <v>0</v>
      </c>
      <c r="BW324" s="4">
        <f t="shared" si="279"/>
        <v>0</v>
      </c>
      <c r="BX324" s="4">
        <f t="shared" si="280"/>
        <v>0</v>
      </c>
      <c r="BY324" s="4">
        <f t="shared" si="281"/>
        <v>0</v>
      </c>
      <c r="BZ324" s="4">
        <f t="shared" si="282"/>
        <v>0</v>
      </c>
      <c r="CA324" s="4">
        <f t="shared" si="283"/>
        <v>0</v>
      </c>
      <c r="CB324" s="4">
        <f t="shared" si="284"/>
        <v>0</v>
      </c>
      <c r="CC324" s="4">
        <f t="shared" si="285"/>
        <v>0</v>
      </c>
      <c r="CD324" s="4">
        <f t="shared" si="286"/>
        <v>0</v>
      </c>
      <c r="CE324" s="4">
        <f t="shared" si="287"/>
        <v>0</v>
      </c>
      <c r="CF324" s="4">
        <f t="shared" si="288"/>
        <v>0</v>
      </c>
      <c r="CG324" s="4">
        <f t="shared" si="289"/>
        <v>0</v>
      </c>
      <c r="CH324" s="4">
        <f t="shared" si="290"/>
        <v>0</v>
      </c>
      <c r="CI324" s="4">
        <f t="shared" si="291"/>
        <v>0</v>
      </c>
      <c r="CJ324" s="4">
        <f t="shared" si="292"/>
        <v>0</v>
      </c>
      <c r="CK324" s="4">
        <f t="shared" si="293"/>
        <v>0</v>
      </c>
      <c r="CL324" s="4">
        <f t="shared" si="294"/>
        <v>0</v>
      </c>
      <c r="CM324" s="4">
        <f t="shared" si="295"/>
        <v>0</v>
      </c>
      <c r="CN324" s="4">
        <f t="shared" si="296"/>
        <v>0</v>
      </c>
      <c r="CO324" s="4">
        <f t="shared" si="297"/>
        <v>0</v>
      </c>
      <c r="CP324" s="4">
        <f t="shared" si="298"/>
        <v>0</v>
      </c>
      <c r="CQ324" s="4">
        <f t="shared" si="299"/>
        <v>0</v>
      </c>
      <c r="CR324" s="4">
        <f t="shared" si="300"/>
        <v>0</v>
      </c>
      <c r="CS324" s="4">
        <f t="shared" si="301"/>
        <v>0</v>
      </c>
      <c r="CT324" s="4">
        <f t="shared" si="302"/>
        <v>0</v>
      </c>
      <c r="CU324" s="4">
        <f t="shared" si="303"/>
        <v>0</v>
      </c>
      <c r="CV324" s="4">
        <f t="shared" si="304"/>
        <v>0</v>
      </c>
      <c r="CW324" s="4">
        <f t="shared" si="305"/>
        <v>0</v>
      </c>
      <c r="CX324" s="4">
        <f t="shared" si="306"/>
        <v>0</v>
      </c>
      <c r="CY324" s="4">
        <f t="shared" si="307"/>
        <v>0</v>
      </c>
      <c r="CZ324" s="4">
        <f t="shared" si="308"/>
        <v>0</v>
      </c>
      <c r="DA324" s="4">
        <f t="shared" si="309"/>
        <v>0</v>
      </c>
      <c r="DB324" s="4">
        <f t="shared" si="310"/>
        <v>0</v>
      </c>
      <c r="DC324" s="4">
        <f t="shared" si="311"/>
        <v>0</v>
      </c>
      <c r="DD324" s="4">
        <f t="shared" si="312"/>
        <v>0</v>
      </c>
    </row>
    <row r="325" spans="1:108" x14ac:dyDescent="0.25">
      <c r="A325" s="41" t="str">
        <f>Skills!M307</f>
        <v>Racial Lore, Werewolf</v>
      </c>
      <c r="B325" s="57" t="str">
        <f>Skills!N307</f>
        <v>Werewolf</v>
      </c>
      <c r="C325" s="24">
        <f t="shared" si="313"/>
        <v>0</v>
      </c>
      <c r="D325" s="110" t="e">
        <f>Skills!S307</f>
        <v>#N/A</v>
      </c>
      <c r="E325" s="111" t="e">
        <f>Profession!$B$144</f>
        <v>#REF!</v>
      </c>
      <c r="F325" s="18"/>
      <c r="G325" s="18"/>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49"/>
      <c r="BF325" s="4">
        <f t="shared" si="263"/>
        <v>0</v>
      </c>
      <c r="BG325" s="4">
        <f t="shared" si="263"/>
        <v>0</v>
      </c>
      <c r="BH325" s="4">
        <f t="shared" si="264"/>
        <v>0</v>
      </c>
      <c r="BI325" s="4">
        <f t="shared" si="265"/>
        <v>0</v>
      </c>
      <c r="BJ325" s="4">
        <f t="shared" si="266"/>
        <v>0</v>
      </c>
      <c r="BK325" s="4">
        <f t="shared" si="267"/>
        <v>0</v>
      </c>
      <c r="BL325" s="4">
        <f t="shared" si="268"/>
        <v>0</v>
      </c>
      <c r="BM325" s="4">
        <f t="shared" si="269"/>
        <v>0</v>
      </c>
      <c r="BN325" s="4">
        <f t="shared" si="270"/>
        <v>0</v>
      </c>
      <c r="BO325" s="4">
        <f t="shared" si="271"/>
        <v>0</v>
      </c>
      <c r="BP325" s="4">
        <f t="shared" si="272"/>
        <v>0</v>
      </c>
      <c r="BQ325" s="4">
        <f t="shared" si="273"/>
        <v>0</v>
      </c>
      <c r="BR325" s="4">
        <f t="shared" si="274"/>
        <v>0</v>
      </c>
      <c r="BS325" s="4">
        <f t="shared" si="275"/>
        <v>0</v>
      </c>
      <c r="BT325" s="4">
        <f t="shared" si="276"/>
        <v>0</v>
      </c>
      <c r="BU325" s="4">
        <f t="shared" si="277"/>
        <v>0</v>
      </c>
      <c r="BV325" s="4">
        <f t="shared" si="278"/>
        <v>0</v>
      </c>
      <c r="BW325" s="4">
        <f t="shared" si="279"/>
        <v>0</v>
      </c>
      <c r="BX325" s="4">
        <f t="shared" si="280"/>
        <v>0</v>
      </c>
      <c r="BY325" s="4">
        <f t="shared" si="281"/>
        <v>0</v>
      </c>
      <c r="BZ325" s="4">
        <f t="shared" si="282"/>
        <v>0</v>
      </c>
      <c r="CA325" s="4">
        <f t="shared" si="283"/>
        <v>0</v>
      </c>
      <c r="CB325" s="4">
        <f t="shared" si="284"/>
        <v>0</v>
      </c>
      <c r="CC325" s="4">
        <f t="shared" si="285"/>
        <v>0</v>
      </c>
      <c r="CD325" s="4">
        <f t="shared" si="286"/>
        <v>0</v>
      </c>
      <c r="CE325" s="4">
        <f t="shared" si="287"/>
        <v>0</v>
      </c>
      <c r="CF325" s="4">
        <f t="shared" si="288"/>
        <v>0</v>
      </c>
      <c r="CG325" s="4">
        <f t="shared" si="289"/>
        <v>0</v>
      </c>
      <c r="CH325" s="4">
        <f t="shared" si="290"/>
        <v>0</v>
      </c>
      <c r="CI325" s="4">
        <f t="shared" si="291"/>
        <v>0</v>
      </c>
      <c r="CJ325" s="4">
        <f t="shared" si="292"/>
        <v>0</v>
      </c>
      <c r="CK325" s="4">
        <f t="shared" si="293"/>
        <v>0</v>
      </c>
      <c r="CL325" s="4">
        <f t="shared" si="294"/>
        <v>0</v>
      </c>
      <c r="CM325" s="4">
        <f t="shared" si="295"/>
        <v>0</v>
      </c>
      <c r="CN325" s="4">
        <f t="shared" si="296"/>
        <v>0</v>
      </c>
      <c r="CO325" s="4">
        <f t="shared" si="297"/>
        <v>0</v>
      </c>
      <c r="CP325" s="4">
        <f t="shared" si="298"/>
        <v>0</v>
      </c>
      <c r="CQ325" s="4">
        <f t="shared" si="299"/>
        <v>0</v>
      </c>
      <c r="CR325" s="4">
        <f t="shared" si="300"/>
        <v>0</v>
      </c>
      <c r="CS325" s="4">
        <f t="shared" si="301"/>
        <v>0</v>
      </c>
      <c r="CT325" s="4">
        <f t="shared" si="302"/>
        <v>0</v>
      </c>
      <c r="CU325" s="4">
        <f t="shared" si="303"/>
        <v>0</v>
      </c>
      <c r="CV325" s="4">
        <f t="shared" si="304"/>
        <v>0</v>
      </c>
      <c r="CW325" s="4">
        <f t="shared" si="305"/>
        <v>0</v>
      </c>
      <c r="CX325" s="4">
        <f t="shared" si="306"/>
        <v>0</v>
      </c>
      <c r="CY325" s="4">
        <f t="shared" si="307"/>
        <v>0</v>
      </c>
      <c r="CZ325" s="4">
        <f t="shared" si="308"/>
        <v>0</v>
      </c>
      <c r="DA325" s="4">
        <f t="shared" si="309"/>
        <v>0</v>
      </c>
      <c r="DB325" s="4">
        <f t="shared" si="310"/>
        <v>0</v>
      </c>
      <c r="DC325" s="4">
        <f t="shared" si="311"/>
        <v>0</v>
      </c>
      <c r="DD325" s="4">
        <f t="shared" si="312"/>
        <v>0</v>
      </c>
    </row>
    <row r="326" spans="1:108" x14ac:dyDescent="0.25">
      <c r="A326" s="41" t="str">
        <f>Skills!M308</f>
        <v>Racial Lore, Witch</v>
      </c>
      <c r="B326" s="55" t="str">
        <f>Skills!N308</f>
        <v>Witch</v>
      </c>
      <c r="C326" s="22">
        <f t="shared" si="313"/>
        <v>0</v>
      </c>
      <c r="D326" s="112" t="e">
        <f>Skills!S308</f>
        <v>#N/A</v>
      </c>
      <c r="E326" s="113" t="e">
        <f>Profession!$B$144</f>
        <v>#REF!</v>
      </c>
      <c r="F326" s="19"/>
      <c r="G326" s="19"/>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56"/>
      <c r="BF326" s="4">
        <f t="shared" si="263"/>
        <v>0</v>
      </c>
      <c r="BG326" s="4">
        <f t="shared" si="263"/>
        <v>0</v>
      </c>
      <c r="BH326" s="4">
        <f t="shared" si="264"/>
        <v>0</v>
      </c>
      <c r="BI326" s="4">
        <f t="shared" si="265"/>
        <v>0</v>
      </c>
      <c r="BJ326" s="4">
        <f t="shared" si="266"/>
        <v>0</v>
      </c>
      <c r="BK326" s="4">
        <f t="shared" si="267"/>
        <v>0</v>
      </c>
      <c r="BL326" s="4">
        <f t="shared" si="268"/>
        <v>0</v>
      </c>
      <c r="BM326" s="4">
        <f t="shared" si="269"/>
        <v>0</v>
      </c>
      <c r="BN326" s="4">
        <f t="shared" si="270"/>
        <v>0</v>
      </c>
      <c r="BO326" s="4">
        <f t="shared" si="271"/>
        <v>0</v>
      </c>
      <c r="BP326" s="4">
        <f t="shared" si="272"/>
        <v>0</v>
      </c>
      <c r="BQ326" s="4">
        <f t="shared" si="273"/>
        <v>0</v>
      </c>
      <c r="BR326" s="4">
        <f t="shared" si="274"/>
        <v>0</v>
      </c>
      <c r="BS326" s="4">
        <f t="shared" si="275"/>
        <v>0</v>
      </c>
      <c r="BT326" s="4">
        <f t="shared" si="276"/>
        <v>0</v>
      </c>
      <c r="BU326" s="4">
        <f t="shared" si="277"/>
        <v>0</v>
      </c>
      <c r="BV326" s="4">
        <f t="shared" si="278"/>
        <v>0</v>
      </c>
      <c r="BW326" s="4">
        <f t="shared" si="279"/>
        <v>0</v>
      </c>
      <c r="BX326" s="4">
        <f t="shared" si="280"/>
        <v>0</v>
      </c>
      <c r="BY326" s="4">
        <f t="shared" si="281"/>
        <v>0</v>
      </c>
      <c r="BZ326" s="4">
        <f t="shared" si="282"/>
        <v>0</v>
      </c>
      <c r="CA326" s="4">
        <f t="shared" si="283"/>
        <v>0</v>
      </c>
      <c r="CB326" s="4">
        <f t="shared" si="284"/>
        <v>0</v>
      </c>
      <c r="CC326" s="4">
        <f t="shared" si="285"/>
        <v>0</v>
      </c>
      <c r="CD326" s="4">
        <f t="shared" si="286"/>
        <v>0</v>
      </c>
      <c r="CE326" s="4">
        <f t="shared" si="287"/>
        <v>0</v>
      </c>
      <c r="CF326" s="4">
        <f t="shared" si="288"/>
        <v>0</v>
      </c>
      <c r="CG326" s="4">
        <f t="shared" si="289"/>
        <v>0</v>
      </c>
      <c r="CH326" s="4">
        <f t="shared" si="290"/>
        <v>0</v>
      </c>
      <c r="CI326" s="4">
        <f t="shared" si="291"/>
        <v>0</v>
      </c>
      <c r="CJ326" s="4">
        <f t="shared" si="292"/>
        <v>0</v>
      </c>
      <c r="CK326" s="4">
        <f t="shared" si="293"/>
        <v>0</v>
      </c>
      <c r="CL326" s="4">
        <f t="shared" si="294"/>
        <v>0</v>
      </c>
      <c r="CM326" s="4">
        <f t="shared" si="295"/>
        <v>0</v>
      </c>
      <c r="CN326" s="4">
        <f t="shared" si="296"/>
        <v>0</v>
      </c>
      <c r="CO326" s="4">
        <f t="shared" si="297"/>
        <v>0</v>
      </c>
      <c r="CP326" s="4">
        <f t="shared" si="298"/>
        <v>0</v>
      </c>
      <c r="CQ326" s="4">
        <f t="shared" si="299"/>
        <v>0</v>
      </c>
      <c r="CR326" s="4">
        <f t="shared" si="300"/>
        <v>0</v>
      </c>
      <c r="CS326" s="4">
        <f t="shared" si="301"/>
        <v>0</v>
      </c>
      <c r="CT326" s="4">
        <f t="shared" si="302"/>
        <v>0</v>
      </c>
      <c r="CU326" s="4">
        <f t="shared" si="303"/>
        <v>0</v>
      </c>
      <c r="CV326" s="4">
        <f t="shared" si="304"/>
        <v>0</v>
      </c>
      <c r="CW326" s="4">
        <f t="shared" si="305"/>
        <v>0</v>
      </c>
      <c r="CX326" s="4">
        <f t="shared" si="306"/>
        <v>0</v>
      </c>
      <c r="CY326" s="4">
        <f t="shared" si="307"/>
        <v>0</v>
      </c>
      <c r="CZ326" s="4">
        <f t="shared" si="308"/>
        <v>0</v>
      </c>
      <c r="DA326" s="4">
        <f t="shared" si="309"/>
        <v>0</v>
      </c>
      <c r="DB326" s="4">
        <f t="shared" si="310"/>
        <v>0</v>
      </c>
      <c r="DC326" s="4">
        <f t="shared" si="311"/>
        <v>0</v>
      </c>
      <c r="DD326" s="4">
        <f t="shared" si="312"/>
        <v>0</v>
      </c>
    </row>
    <row r="327" spans="1:108" x14ac:dyDescent="0.25">
      <c r="A327" s="41">
        <f>Skills!M309</f>
        <v>0</v>
      </c>
      <c r="B327" s="57" t="str">
        <f>Skills!N309</f>
        <v>Region Sub-category</v>
      </c>
      <c r="C327" s="24">
        <f t="shared" si="313"/>
        <v>0</v>
      </c>
      <c r="D327" s="110" t="str">
        <f>Skills!S309</f>
        <v>- -</v>
      </c>
      <c r="E327" s="111" t="s">
        <v>782</v>
      </c>
      <c r="F327" s="18"/>
      <c r="G327" s="18"/>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49"/>
      <c r="BF327" s="4">
        <f t="shared" si="263"/>
        <v>0</v>
      </c>
      <c r="BG327" s="4">
        <f t="shared" si="263"/>
        <v>0</v>
      </c>
      <c r="BH327" s="4">
        <f t="shared" si="264"/>
        <v>0</v>
      </c>
      <c r="BI327" s="4">
        <f t="shared" si="265"/>
        <v>0</v>
      </c>
      <c r="BJ327" s="4">
        <f t="shared" si="266"/>
        <v>0</v>
      </c>
      <c r="BK327" s="4">
        <f t="shared" si="267"/>
        <v>0</v>
      </c>
      <c r="BL327" s="4">
        <f t="shared" si="268"/>
        <v>0</v>
      </c>
      <c r="BM327" s="4">
        <f t="shared" si="269"/>
        <v>0</v>
      </c>
      <c r="BN327" s="4">
        <f t="shared" si="270"/>
        <v>0</v>
      </c>
      <c r="BO327" s="4">
        <f t="shared" si="271"/>
        <v>0</v>
      </c>
      <c r="BP327" s="4">
        <f t="shared" si="272"/>
        <v>0</v>
      </c>
      <c r="BQ327" s="4">
        <f t="shared" si="273"/>
        <v>0</v>
      </c>
      <c r="BR327" s="4">
        <f t="shared" si="274"/>
        <v>0</v>
      </c>
      <c r="BS327" s="4">
        <f t="shared" si="275"/>
        <v>0</v>
      </c>
      <c r="BT327" s="4">
        <f t="shared" si="276"/>
        <v>0</v>
      </c>
      <c r="BU327" s="4">
        <f t="shared" si="277"/>
        <v>0</v>
      </c>
      <c r="BV327" s="4">
        <f t="shared" si="278"/>
        <v>0</v>
      </c>
      <c r="BW327" s="4">
        <f t="shared" si="279"/>
        <v>0</v>
      </c>
      <c r="BX327" s="4">
        <f t="shared" si="280"/>
        <v>0</v>
      </c>
      <c r="BY327" s="4">
        <f t="shared" si="281"/>
        <v>0</v>
      </c>
      <c r="BZ327" s="4">
        <f t="shared" si="282"/>
        <v>0</v>
      </c>
      <c r="CA327" s="4">
        <f t="shared" si="283"/>
        <v>0</v>
      </c>
      <c r="CB327" s="4">
        <f t="shared" si="284"/>
        <v>0</v>
      </c>
      <c r="CC327" s="4">
        <f t="shared" si="285"/>
        <v>0</v>
      </c>
      <c r="CD327" s="4">
        <f t="shared" si="286"/>
        <v>0</v>
      </c>
      <c r="CE327" s="4">
        <f t="shared" si="287"/>
        <v>0</v>
      </c>
      <c r="CF327" s="4">
        <f t="shared" si="288"/>
        <v>0</v>
      </c>
      <c r="CG327" s="4">
        <f t="shared" si="289"/>
        <v>0</v>
      </c>
      <c r="CH327" s="4">
        <f t="shared" si="290"/>
        <v>0</v>
      </c>
      <c r="CI327" s="4">
        <f t="shared" si="291"/>
        <v>0</v>
      </c>
      <c r="CJ327" s="4">
        <f t="shared" si="292"/>
        <v>0</v>
      </c>
      <c r="CK327" s="4">
        <f t="shared" si="293"/>
        <v>0</v>
      </c>
      <c r="CL327" s="4">
        <f t="shared" si="294"/>
        <v>0</v>
      </c>
      <c r="CM327" s="4">
        <f t="shared" si="295"/>
        <v>0</v>
      </c>
      <c r="CN327" s="4">
        <f t="shared" si="296"/>
        <v>0</v>
      </c>
      <c r="CO327" s="4">
        <f t="shared" si="297"/>
        <v>0</v>
      </c>
      <c r="CP327" s="4">
        <f t="shared" si="298"/>
        <v>0</v>
      </c>
      <c r="CQ327" s="4">
        <f t="shared" si="299"/>
        <v>0</v>
      </c>
      <c r="CR327" s="4">
        <f t="shared" si="300"/>
        <v>0</v>
      </c>
      <c r="CS327" s="4">
        <f t="shared" si="301"/>
        <v>0</v>
      </c>
      <c r="CT327" s="4">
        <f t="shared" si="302"/>
        <v>0</v>
      </c>
      <c r="CU327" s="4">
        <f t="shared" si="303"/>
        <v>0</v>
      </c>
      <c r="CV327" s="4">
        <f t="shared" si="304"/>
        <v>0</v>
      </c>
      <c r="CW327" s="4">
        <f t="shared" si="305"/>
        <v>0</v>
      </c>
      <c r="CX327" s="4">
        <f t="shared" si="306"/>
        <v>0</v>
      </c>
      <c r="CY327" s="4">
        <f t="shared" si="307"/>
        <v>0</v>
      </c>
      <c r="CZ327" s="4">
        <f t="shared" si="308"/>
        <v>0</v>
      </c>
      <c r="DA327" s="4">
        <f t="shared" si="309"/>
        <v>0</v>
      </c>
      <c r="DB327" s="4">
        <f t="shared" si="310"/>
        <v>0</v>
      </c>
      <c r="DC327" s="4">
        <f t="shared" si="311"/>
        <v>0</v>
      </c>
      <c r="DD327" s="4">
        <f t="shared" si="312"/>
        <v>0</v>
      </c>
    </row>
    <row r="328" spans="1:108" x14ac:dyDescent="0.25">
      <c r="A328" s="41">
        <f>Skills!M310</f>
        <v>0</v>
      </c>
      <c r="B328" s="55" t="str">
        <f>Skills!N310</f>
        <v>Region Skills</v>
      </c>
      <c r="C328" s="22">
        <f t="shared" si="313"/>
        <v>0</v>
      </c>
      <c r="D328" s="112" t="str">
        <f>Skills!S310</f>
        <v>- -</v>
      </c>
      <c r="E328" s="113" t="s">
        <v>782</v>
      </c>
      <c r="F328" s="19"/>
      <c r="G328" s="19"/>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56"/>
      <c r="BF328" s="4">
        <f t="shared" si="263"/>
        <v>0</v>
      </c>
      <c r="BG328" s="4">
        <f t="shared" si="263"/>
        <v>0</v>
      </c>
      <c r="BH328" s="4">
        <f t="shared" si="264"/>
        <v>0</v>
      </c>
      <c r="BI328" s="4">
        <f t="shared" si="265"/>
        <v>0</v>
      </c>
      <c r="BJ328" s="4">
        <f t="shared" si="266"/>
        <v>0</v>
      </c>
      <c r="BK328" s="4">
        <f t="shared" si="267"/>
        <v>0</v>
      </c>
      <c r="BL328" s="4">
        <f t="shared" si="268"/>
        <v>0</v>
      </c>
      <c r="BM328" s="4">
        <f t="shared" si="269"/>
        <v>0</v>
      </c>
      <c r="BN328" s="4">
        <f t="shared" si="270"/>
        <v>0</v>
      </c>
      <c r="BO328" s="4">
        <f t="shared" si="271"/>
        <v>0</v>
      </c>
      <c r="BP328" s="4">
        <f t="shared" si="272"/>
        <v>0</v>
      </c>
      <c r="BQ328" s="4">
        <f t="shared" si="273"/>
        <v>0</v>
      </c>
      <c r="BR328" s="4">
        <f t="shared" si="274"/>
        <v>0</v>
      </c>
      <c r="BS328" s="4">
        <f t="shared" si="275"/>
        <v>0</v>
      </c>
      <c r="BT328" s="4">
        <f t="shared" si="276"/>
        <v>0</v>
      </c>
      <c r="BU328" s="4">
        <f t="shared" si="277"/>
        <v>0</v>
      </c>
      <c r="BV328" s="4">
        <f t="shared" si="278"/>
        <v>0</v>
      </c>
      <c r="BW328" s="4">
        <f t="shared" si="279"/>
        <v>0</v>
      </c>
      <c r="BX328" s="4">
        <f t="shared" si="280"/>
        <v>0</v>
      </c>
      <c r="BY328" s="4">
        <f t="shared" si="281"/>
        <v>0</v>
      </c>
      <c r="BZ328" s="4">
        <f t="shared" si="282"/>
        <v>0</v>
      </c>
      <c r="CA328" s="4">
        <f t="shared" si="283"/>
        <v>0</v>
      </c>
      <c r="CB328" s="4">
        <f t="shared" si="284"/>
        <v>0</v>
      </c>
      <c r="CC328" s="4">
        <f t="shared" si="285"/>
        <v>0</v>
      </c>
      <c r="CD328" s="4">
        <f t="shared" si="286"/>
        <v>0</v>
      </c>
      <c r="CE328" s="4">
        <f t="shared" si="287"/>
        <v>0</v>
      </c>
      <c r="CF328" s="4">
        <f t="shared" si="288"/>
        <v>0</v>
      </c>
      <c r="CG328" s="4">
        <f t="shared" si="289"/>
        <v>0</v>
      </c>
      <c r="CH328" s="4">
        <f t="shared" si="290"/>
        <v>0</v>
      </c>
      <c r="CI328" s="4">
        <f t="shared" si="291"/>
        <v>0</v>
      </c>
      <c r="CJ328" s="4">
        <f t="shared" si="292"/>
        <v>0</v>
      </c>
      <c r="CK328" s="4">
        <f t="shared" si="293"/>
        <v>0</v>
      </c>
      <c r="CL328" s="4">
        <f t="shared" si="294"/>
        <v>0</v>
      </c>
      <c r="CM328" s="4">
        <f t="shared" si="295"/>
        <v>0</v>
      </c>
      <c r="CN328" s="4">
        <f t="shared" si="296"/>
        <v>0</v>
      </c>
      <c r="CO328" s="4">
        <f t="shared" si="297"/>
        <v>0</v>
      </c>
      <c r="CP328" s="4">
        <f t="shared" si="298"/>
        <v>0</v>
      </c>
      <c r="CQ328" s="4">
        <f t="shared" si="299"/>
        <v>0</v>
      </c>
      <c r="CR328" s="4">
        <f t="shared" si="300"/>
        <v>0</v>
      </c>
      <c r="CS328" s="4">
        <f t="shared" si="301"/>
        <v>0</v>
      </c>
      <c r="CT328" s="4">
        <f t="shared" si="302"/>
        <v>0</v>
      </c>
      <c r="CU328" s="4">
        <f t="shared" si="303"/>
        <v>0</v>
      </c>
      <c r="CV328" s="4">
        <f t="shared" si="304"/>
        <v>0</v>
      </c>
      <c r="CW328" s="4">
        <f t="shared" si="305"/>
        <v>0</v>
      </c>
      <c r="CX328" s="4">
        <f t="shared" si="306"/>
        <v>0</v>
      </c>
      <c r="CY328" s="4">
        <f t="shared" si="307"/>
        <v>0</v>
      </c>
      <c r="CZ328" s="4">
        <f t="shared" si="308"/>
        <v>0</v>
      </c>
      <c r="DA328" s="4">
        <f t="shared" si="309"/>
        <v>0</v>
      </c>
      <c r="DB328" s="4">
        <f t="shared" si="310"/>
        <v>0</v>
      </c>
      <c r="DC328" s="4">
        <f t="shared" si="311"/>
        <v>0</v>
      </c>
      <c r="DD328" s="4">
        <f t="shared" si="312"/>
        <v>0</v>
      </c>
    </row>
    <row r="329" spans="1:108" x14ac:dyDescent="0.25">
      <c r="A329" s="41" t="str">
        <f>Skills!M311</f>
        <v>Region Lore, Region 1</v>
      </c>
      <c r="B329" s="57" t="str">
        <f>Skills!N311</f>
        <v>Region 1</v>
      </c>
      <c r="C329" s="24">
        <f t="shared" si="313"/>
        <v>0</v>
      </c>
      <c r="D329" s="110" t="e">
        <f>Skills!S311</f>
        <v>#N/A</v>
      </c>
      <c r="E329" s="111" t="e">
        <f>Profession!$B$145</f>
        <v>#REF!</v>
      </c>
      <c r="F329" s="18"/>
      <c r="G329" s="18"/>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49"/>
      <c r="BF329" s="4">
        <f t="shared" si="263"/>
        <v>0</v>
      </c>
      <c r="BG329" s="4">
        <f t="shared" si="263"/>
        <v>0</v>
      </c>
      <c r="BH329" s="4">
        <f t="shared" si="264"/>
        <v>0</v>
      </c>
      <c r="BI329" s="4">
        <f t="shared" si="265"/>
        <v>0</v>
      </c>
      <c r="BJ329" s="4">
        <f t="shared" si="266"/>
        <v>0</v>
      </c>
      <c r="BK329" s="4">
        <f t="shared" si="267"/>
        <v>0</v>
      </c>
      <c r="BL329" s="4">
        <f t="shared" si="268"/>
        <v>0</v>
      </c>
      <c r="BM329" s="4">
        <f t="shared" si="269"/>
        <v>0</v>
      </c>
      <c r="BN329" s="4">
        <f t="shared" si="270"/>
        <v>0</v>
      </c>
      <c r="BO329" s="4">
        <f t="shared" si="271"/>
        <v>0</v>
      </c>
      <c r="BP329" s="4">
        <f t="shared" si="272"/>
        <v>0</v>
      </c>
      <c r="BQ329" s="4">
        <f t="shared" si="273"/>
        <v>0</v>
      </c>
      <c r="BR329" s="4">
        <f t="shared" si="274"/>
        <v>0</v>
      </c>
      <c r="BS329" s="4">
        <f t="shared" si="275"/>
        <v>0</v>
      </c>
      <c r="BT329" s="4">
        <f t="shared" si="276"/>
        <v>0</v>
      </c>
      <c r="BU329" s="4">
        <f t="shared" si="277"/>
        <v>0</v>
      </c>
      <c r="BV329" s="4">
        <f t="shared" si="278"/>
        <v>0</v>
      </c>
      <c r="BW329" s="4">
        <f t="shared" si="279"/>
        <v>0</v>
      </c>
      <c r="BX329" s="4">
        <f t="shared" si="280"/>
        <v>0</v>
      </c>
      <c r="BY329" s="4">
        <f t="shared" si="281"/>
        <v>0</v>
      </c>
      <c r="BZ329" s="4">
        <f t="shared" si="282"/>
        <v>0</v>
      </c>
      <c r="CA329" s="4">
        <f t="shared" si="283"/>
        <v>0</v>
      </c>
      <c r="CB329" s="4">
        <f t="shared" si="284"/>
        <v>0</v>
      </c>
      <c r="CC329" s="4">
        <f t="shared" si="285"/>
        <v>0</v>
      </c>
      <c r="CD329" s="4">
        <f t="shared" si="286"/>
        <v>0</v>
      </c>
      <c r="CE329" s="4">
        <f t="shared" si="287"/>
        <v>0</v>
      </c>
      <c r="CF329" s="4">
        <f t="shared" si="288"/>
        <v>0</v>
      </c>
      <c r="CG329" s="4">
        <f t="shared" si="289"/>
        <v>0</v>
      </c>
      <c r="CH329" s="4">
        <f t="shared" si="290"/>
        <v>0</v>
      </c>
      <c r="CI329" s="4">
        <f t="shared" si="291"/>
        <v>0</v>
      </c>
      <c r="CJ329" s="4">
        <f t="shared" si="292"/>
        <v>0</v>
      </c>
      <c r="CK329" s="4">
        <f t="shared" si="293"/>
        <v>0</v>
      </c>
      <c r="CL329" s="4">
        <f t="shared" si="294"/>
        <v>0</v>
      </c>
      <c r="CM329" s="4">
        <f t="shared" si="295"/>
        <v>0</v>
      </c>
      <c r="CN329" s="4">
        <f t="shared" si="296"/>
        <v>0</v>
      </c>
      <c r="CO329" s="4">
        <f t="shared" si="297"/>
        <v>0</v>
      </c>
      <c r="CP329" s="4">
        <f t="shared" si="298"/>
        <v>0</v>
      </c>
      <c r="CQ329" s="4">
        <f t="shared" si="299"/>
        <v>0</v>
      </c>
      <c r="CR329" s="4">
        <f t="shared" si="300"/>
        <v>0</v>
      </c>
      <c r="CS329" s="4">
        <f t="shared" si="301"/>
        <v>0</v>
      </c>
      <c r="CT329" s="4">
        <f t="shared" si="302"/>
        <v>0</v>
      </c>
      <c r="CU329" s="4">
        <f t="shared" si="303"/>
        <v>0</v>
      </c>
      <c r="CV329" s="4">
        <f t="shared" si="304"/>
        <v>0</v>
      </c>
      <c r="CW329" s="4">
        <f t="shared" si="305"/>
        <v>0</v>
      </c>
      <c r="CX329" s="4">
        <f t="shared" si="306"/>
        <v>0</v>
      </c>
      <c r="CY329" s="4">
        <f t="shared" si="307"/>
        <v>0</v>
      </c>
      <c r="CZ329" s="4">
        <f t="shared" si="308"/>
        <v>0</v>
      </c>
      <c r="DA329" s="4">
        <f t="shared" si="309"/>
        <v>0</v>
      </c>
      <c r="DB329" s="4">
        <f t="shared" si="310"/>
        <v>0</v>
      </c>
      <c r="DC329" s="4">
        <f t="shared" si="311"/>
        <v>0</v>
      </c>
      <c r="DD329" s="4">
        <f t="shared" si="312"/>
        <v>0</v>
      </c>
    </row>
    <row r="330" spans="1:108" x14ac:dyDescent="0.25">
      <c r="A330" s="41" t="str">
        <f>Skills!M312</f>
        <v>Region Lore, Region 2</v>
      </c>
      <c r="B330" s="55" t="str">
        <f>Skills!N312</f>
        <v>Region 2</v>
      </c>
      <c r="C330" s="22">
        <f t="shared" si="313"/>
        <v>0</v>
      </c>
      <c r="D330" s="112" t="e">
        <f>Skills!S312</f>
        <v>#N/A</v>
      </c>
      <c r="E330" s="113" t="e">
        <f>Profession!$B$145</f>
        <v>#REF!</v>
      </c>
      <c r="F330" s="19"/>
      <c r="G330" s="19"/>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56"/>
      <c r="BF330" s="4">
        <f t="shared" si="263"/>
        <v>0</v>
      </c>
      <c r="BG330" s="4">
        <f t="shared" si="263"/>
        <v>0</v>
      </c>
      <c r="BH330" s="4">
        <f t="shared" si="264"/>
        <v>0</v>
      </c>
      <c r="BI330" s="4">
        <f t="shared" si="265"/>
        <v>0</v>
      </c>
      <c r="BJ330" s="4">
        <f t="shared" si="266"/>
        <v>0</v>
      </c>
      <c r="BK330" s="4">
        <f t="shared" si="267"/>
        <v>0</v>
      </c>
      <c r="BL330" s="4">
        <f t="shared" si="268"/>
        <v>0</v>
      </c>
      <c r="BM330" s="4">
        <f t="shared" si="269"/>
        <v>0</v>
      </c>
      <c r="BN330" s="4">
        <f t="shared" si="270"/>
        <v>0</v>
      </c>
      <c r="BO330" s="4">
        <f t="shared" si="271"/>
        <v>0</v>
      </c>
      <c r="BP330" s="4">
        <f t="shared" si="272"/>
        <v>0</v>
      </c>
      <c r="BQ330" s="4">
        <f t="shared" si="273"/>
        <v>0</v>
      </c>
      <c r="BR330" s="4">
        <f t="shared" si="274"/>
        <v>0</v>
      </c>
      <c r="BS330" s="4">
        <f t="shared" si="275"/>
        <v>0</v>
      </c>
      <c r="BT330" s="4">
        <f t="shared" si="276"/>
        <v>0</v>
      </c>
      <c r="BU330" s="4">
        <f t="shared" si="277"/>
        <v>0</v>
      </c>
      <c r="BV330" s="4">
        <f t="shared" si="278"/>
        <v>0</v>
      </c>
      <c r="BW330" s="4">
        <f t="shared" si="279"/>
        <v>0</v>
      </c>
      <c r="BX330" s="4">
        <f t="shared" si="280"/>
        <v>0</v>
      </c>
      <c r="BY330" s="4">
        <f t="shared" si="281"/>
        <v>0</v>
      </c>
      <c r="BZ330" s="4">
        <f t="shared" si="282"/>
        <v>0</v>
      </c>
      <c r="CA330" s="4">
        <f t="shared" si="283"/>
        <v>0</v>
      </c>
      <c r="CB330" s="4">
        <f t="shared" si="284"/>
        <v>0</v>
      </c>
      <c r="CC330" s="4">
        <f t="shared" si="285"/>
        <v>0</v>
      </c>
      <c r="CD330" s="4">
        <f t="shared" si="286"/>
        <v>0</v>
      </c>
      <c r="CE330" s="4">
        <f t="shared" si="287"/>
        <v>0</v>
      </c>
      <c r="CF330" s="4">
        <f t="shared" si="288"/>
        <v>0</v>
      </c>
      <c r="CG330" s="4">
        <f t="shared" si="289"/>
        <v>0</v>
      </c>
      <c r="CH330" s="4">
        <f t="shared" si="290"/>
        <v>0</v>
      </c>
      <c r="CI330" s="4">
        <f t="shared" si="291"/>
        <v>0</v>
      </c>
      <c r="CJ330" s="4">
        <f t="shared" si="292"/>
        <v>0</v>
      </c>
      <c r="CK330" s="4">
        <f t="shared" si="293"/>
        <v>0</v>
      </c>
      <c r="CL330" s="4">
        <f t="shared" si="294"/>
        <v>0</v>
      </c>
      <c r="CM330" s="4">
        <f t="shared" si="295"/>
        <v>0</v>
      </c>
      <c r="CN330" s="4">
        <f t="shared" si="296"/>
        <v>0</v>
      </c>
      <c r="CO330" s="4">
        <f t="shared" si="297"/>
        <v>0</v>
      </c>
      <c r="CP330" s="4">
        <f t="shared" si="298"/>
        <v>0</v>
      </c>
      <c r="CQ330" s="4">
        <f t="shared" si="299"/>
        <v>0</v>
      </c>
      <c r="CR330" s="4">
        <f t="shared" si="300"/>
        <v>0</v>
      </c>
      <c r="CS330" s="4">
        <f t="shared" si="301"/>
        <v>0</v>
      </c>
      <c r="CT330" s="4">
        <f t="shared" si="302"/>
        <v>0</v>
      </c>
      <c r="CU330" s="4">
        <f t="shared" si="303"/>
        <v>0</v>
      </c>
      <c r="CV330" s="4">
        <f t="shared" si="304"/>
        <v>0</v>
      </c>
      <c r="CW330" s="4">
        <f t="shared" si="305"/>
        <v>0</v>
      </c>
      <c r="CX330" s="4">
        <f t="shared" si="306"/>
        <v>0</v>
      </c>
      <c r="CY330" s="4">
        <f t="shared" si="307"/>
        <v>0</v>
      </c>
      <c r="CZ330" s="4">
        <f t="shared" si="308"/>
        <v>0</v>
      </c>
      <c r="DA330" s="4">
        <f t="shared" si="309"/>
        <v>0</v>
      </c>
      <c r="DB330" s="4">
        <f t="shared" si="310"/>
        <v>0</v>
      </c>
      <c r="DC330" s="4">
        <f t="shared" si="311"/>
        <v>0</v>
      </c>
      <c r="DD330" s="4">
        <f t="shared" si="312"/>
        <v>0</v>
      </c>
    </row>
    <row r="331" spans="1:108" x14ac:dyDescent="0.25">
      <c r="A331" s="41" t="str">
        <f>Skills!M313</f>
        <v>Region Lore, Region 3</v>
      </c>
      <c r="B331" s="57" t="str">
        <f>Skills!N313</f>
        <v>Region 3</v>
      </c>
      <c r="C331" s="24">
        <f t="shared" si="313"/>
        <v>0</v>
      </c>
      <c r="D331" s="110" t="e">
        <f>Skills!S313</f>
        <v>#N/A</v>
      </c>
      <c r="E331" s="111" t="e">
        <f>Profession!$B$145</f>
        <v>#REF!</v>
      </c>
      <c r="F331" s="18"/>
      <c r="G331" s="18"/>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49"/>
      <c r="BF331" s="4">
        <f t="shared" si="263"/>
        <v>0</v>
      </c>
      <c r="BG331" s="4">
        <f t="shared" si="263"/>
        <v>0</v>
      </c>
      <c r="BH331" s="4">
        <f t="shared" si="264"/>
        <v>0</v>
      </c>
      <c r="BI331" s="4">
        <f t="shared" si="265"/>
        <v>0</v>
      </c>
      <c r="BJ331" s="4">
        <f t="shared" si="266"/>
        <v>0</v>
      </c>
      <c r="BK331" s="4">
        <f t="shared" si="267"/>
        <v>0</v>
      </c>
      <c r="BL331" s="4">
        <f t="shared" si="268"/>
        <v>0</v>
      </c>
      <c r="BM331" s="4">
        <f t="shared" si="269"/>
        <v>0</v>
      </c>
      <c r="BN331" s="4">
        <f t="shared" si="270"/>
        <v>0</v>
      </c>
      <c r="BO331" s="4">
        <f t="shared" si="271"/>
        <v>0</v>
      </c>
      <c r="BP331" s="4">
        <f t="shared" si="272"/>
        <v>0</v>
      </c>
      <c r="BQ331" s="4">
        <f t="shared" si="273"/>
        <v>0</v>
      </c>
      <c r="BR331" s="4">
        <f t="shared" si="274"/>
        <v>0</v>
      </c>
      <c r="BS331" s="4">
        <f t="shared" si="275"/>
        <v>0</v>
      </c>
      <c r="BT331" s="4">
        <f t="shared" si="276"/>
        <v>0</v>
      </c>
      <c r="BU331" s="4">
        <f t="shared" si="277"/>
        <v>0</v>
      </c>
      <c r="BV331" s="4">
        <f t="shared" si="278"/>
        <v>0</v>
      </c>
      <c r="BW331" s="4">
        <f t="shared" si="279"/>
        <v>0</v>
      </c>
      <c r="BX331" s="4">
        <f t="shared" si="280"/>
        <v>0</v>
      </c>
      <c r="BY331" s="4">
        <f t="shared" si="281"/>
        <v>0</v>
      </c>
      <c r="BZ331" s="4">
        <f t="shared" si="282"/>
        <v>0</v>
      </c>
      <c r="CA331" s="4">
        <f t="shared" si="283"/>
        <v>0</v>
      </c>
      <c r="CB331" s="4">
        <f t="shared" si="284"/>
        <v>0</v>
      </c>
      <c r="CC331" s="4">
        <f t="shared" si="285"/>
        <v>0</v>
      </c>
      <c r="CD331" s="4">
        <f t="shared" si="286"/>
        <v>0</v>
      </c>
      <c r="CE331" s="4">
        <f t="shared" si="287"/>
        <v>0</v>
      </c>
      <c r="CF331" s="4">
        <f t="shared" si="288"/>
        <v>0</v>
      </c>
      <c r="CG331" s="4">
        <f t="shared" si="289"/>
        <v>0</v>
      </c>
      <c r="CH331" s="4">
        <f t="shared" si="290"/>
        <v>0</v>
      </c>
      <c r="CI331" s="4">
        <f t="shared" si="291"/>
        <v>0</v>
      </c>
      <c r="CJ331" s="4">
        <f t="shared" si="292"/>
        <v>0</v>
      </c>
      <c r="CK331" s="4">
        <f t="shared" si="293"/>
        <v>0</v>
      </c>
      <c r="CL331" s="4">
        <f t="shared" si="294"/>
        <v>0</v>
      </c>
      <c r="CM331" s="4">
        <f t="shared" si="295"/>
        <v>0</v>
      </c>
      <c r="CN331" s="4">
        <f t="shared" si="296"/>
        <v>0</v>
      </c>
      <c r="CO331" s="4">
        <f t="shared" si="297"/>
        <v>0</v>
      </c>
      <c r="CP331" s="4">
        <f t="shared" si="298"/>
        <v>0</v>
      </c>
      <c r="CQ331" s="4">
        <f t="shared" si="299"/>
        <v>0</v>
      </c>
      <c r="CR331" s="4">
        <f t="shared" si="300"/>
        <v>0</v>
      </c>
      <c r="CS331" s="4">
        <f t="shared" si="301"/>
        <v>0</v>
      </c>
      <c r="CT331" s="4">
        <f t="shared" si="302"/>
        <v>0</v>
      </c>
      <c r="CU331" s="4">
        <f t="shared" si="303"/>
        <v>0</v>
      </c>
      <c r="CV331" s="4">
        <f t="shared" si="304"/>
        <v>0</v>
      </c>
      <c r="CW331" s="4">
        <f t="shared" si="305"/>
        <v>0</v>
      </c>
      <c r="CX331" s="4">
        <f t="shared" si="306"/>
        <v>0</v>
      </c>
      <c r="CY331" s="4">
        <f t="shared" si="307"/>
        <v>0</v>
      </c>
      <c r="CZ331" s="4">
        <f t="shared" si="308"/>
        <v>0</v>
      </c>
      <c r="DA331" s="4">
        <f t="shared" si="309"/>
        <v>0</v>
      </c>
      <c r="DB331" s="4">
        <f t="shared" si="310"/>
        <v>0</v>
      </c>
      <c r="DC331" s="4">
        <f t="shared" si="311"/>
        <v>0</v>
      </c>
      <c r="DD331" s="4">
        <f t="shared" si="312"/>
        <v>0</v>
      </c>
    </row>
    <row r="332" spans="1:108" x14ac:dyDescent="0.25">
      <c r="A332" s="41" t="str">
        <f>Skills!M314</f>
        <v>Region Lore, 0</v>
      </c>
      <c r="B332" s="55">
        <f>Skills!N314</f>
        <v>0</v>
      </c>
      <c r="C332" s="22">
        <f t="shared" si="313"/>
        <v>0</v>
      </c>
      <c r="D332" s="112" t="e">
        <f>Skills!S314</f>
        <v>#N/A</v>
      </c>
      <c r="E332" s="113" t="e">
        <f>Profession!$B$145</f>
        <v>#REF!</v>
      </c>
      <c r="F332" s="19"/>
      <c r="G332" s="19"/>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56"/>
      <c r="BF332" s="4">
        <f t="shared" si="263"/>
        <v>0</v>
      </c>
      <c r="BG332" s="4">
        <f t="shared" si="263"/>
        <v>0</v>
      </c>
      <c r="BH332" s="4">
        <f t="shared" si="264"/>
        <v>0</v>
      </c>
      <c r="BI332" s="4">
        <f t="shared" si="265"/>
        <v>0</v>
      </c>
      <c r="BJ332" s="4">
        <f t="shared" si="266"/>
        <v>0</v>
      </c>
      <c r="BK332" s="4">
        <f t="shared" si="267"/>
        <v>0</v>
      </c>
      <c r="BL332" s="4">
        <f t="shared" si="268"/>
        <v>0</v>
      </c>
      <c r="BM332" s="4">
        <f t="shared" si="269"/>
        <v>0</v>
      </c>
      <c r="BN332" s="4">
        <f t="shared" si="270"/>
        <v>0</v>
      </c>
      <c r="BO332" s="4">
        <f t="shared" si="271"/>
        <v>0</v>
      </c>
      <c r="BP332" s="4">
        <f t="shared" si="272"/>
        <v>0</v>
      </c>
      <c r="BQ332" s="4">
        <f t="shared" si="273"/>
        <v>0</v>
      </c>
      <c r="BR332" s="4">
        <f t="shared" si="274"/>
        <v>0</v>
      </c>
      <c r="BS332" s="4">
        <f t="shared" si="275"/>
        <v>0</v>
      </c>
      <c r="BT332" s="4">
        <f t="shared" si="276"/>
        <v>0</v>
      </c>
      <c r="BU332" s="4">
        <f t="shared" si="277"/>
        <v>0</v>
      </c>
      <c r="BV332" s="4">
        <f t="shared" si="278"/>
        <v>0</v>
      </c>
      <c r="BW332" s="4">
        <f t="shared" si="279"/>
        <v>0</v>
      </c>
      <c r="BX332" s="4">
        <f t="shared" si="280"/>
        <v>0</v>
      </c>
      <c r="BY332" s="4">
        <f t="shared" si="281"/>
        <v>0</v>
      </c>
      <c r="BZ332" s="4">
        <f t="shared" si="282"/>
        <v>0</v>
      </c>
      <c r="CA332" s="4">
        <f t="shared" si="283"/>
        <v>0</v>
      </c>
      <c r="CB332" s="4">
        <f t="shared" si="284"/>
        <v>0</v>
      </c>
      <c r="CC332" s="4">
        <f t="shared" si="285"/>
        <v>0</v>
      </c>
      <c r="CD332" s="4">
        <f t="shared" si="286"/>
        <v>0</v>
      </c>
      <c r="CE332" s="4">
        <f t="shared" si="287"/>
        <v>0</v>
      </c>
      <c r="CF332" s="4">
        <f t="shared" si="288"/>
        <v>0</v>
      </c>
      <c r="CG332" s="4">
        <f t="shared" si="289"/>
        <v>0</v>
      </c>
      <c r="CH332" s="4">
        <f t="shared" si="290"/>
        <v>0</v>
      </c>
      <c r="CI332" s="4">
        <f t="shared" si="291"/>
        <v>0</v>
      </c>
      <c r="CJ332" s="4">
        <f t="shared" si="292"/>
        <v>0</v>
      </c>
      <c r="CK332" s="4">
        <f t="shared" si="293"/>
        <v>0</v>
      </c>
      <c r="CL332" s="4">
        <f t="shared" si="294"/>
        <v>0</v>
      </c>
      <c r="CM332" s="4">
        <f t="shared" si="295"/>
        <v>0</v>
      </c>
      <c r="CN332" s="4">
        <f t="shared" si="296"/>
        <v>0</v>
      </c>
      <c r="CO332" s="4">
        <f t="shared" si="297"/>
        <v>0</v>
      </c>
      <c r="CP332" s="4">
        <f t="shared" si="298"/>
        <v>0</v>
      </c>
      <c r="CQ332" s="4">
        <f t="shared" si="299"/>
        <v>0</v>
      </c>
      <c r="CR332" s="4">
        <f t="shared" si="300"/>
        <v>0</v>
      </c>
      <c r="CS332" s="4">
        <f t="shared" si="301"/>
        <v>0</v>
      </c>
      <c r="CT332" s="4">
        <f t="shared" si="302"/>
        <v>0</v>
      </c>
      <c r="CU332" s="4">
        <f t="shared" si="303"/>
        <v>0</v>
      </c>
      <c r="CV332" s="4">
        <f t="shared" si="304"/>
        <v>0</v>
      </c>
      <c r="CW332" s="4">
        <f t="shared" si="305"/>
        <v>0</v>
      </c>
      <c r="CX332" s="4">
        <f t="shared" si="306"/>
        <v>0</v>
      </c>
      <c r="CY332" s="4">
        <f t="shared" si="307"/>
        <v>0</v>
      </c>
      <c r="CZ332" s="4">
        <f t="shared" si="308"/>
        <v>0</v>
      </c>
      <c r="DA332" s="4">
        <f t="shared" si="309"/>
        <v>0</v>
      </c>
      <c r="DB332" s="4">
        <f t="shared" si="310"/>
        <v>0</v>
      </c>
      <c r="DC332" s="4">
        <f t="shared" si="311"/>
        <v>0</v>
      </c>
      <c r="DD332" s="4">
        <f t="shared" si="312"/>
        <v>0</v>
      </c>
    </row>
    <row r="333" spans="1:108" x14ac:dyDescent="0.25">
      <c r="A333" s="41" t="str">
        <f>Skills!M315</f>
        <v>Region Lore, 0</v>
      </c>
      <c r="B333" s="57">
        <f>Skills!N315</f>
        <v>0</v>
      </c>
      <c r="C333" s="24">
        <f t="shared" si="313"/>
        <v>0</v>
      </c>
      <c r="D333" s="110" t="e">
        <f>Skills!S315</f>
        <v>#N/A</v>
      </c>
      <c r="E333" s="111" t="e">
        <f>Profession!$B$145</f>
        <v>#REF!</v>
      </c>
      <c r="F333" s="18"/>
      <c r="G333" s="18"/>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49"/>
      <c r="BF333" s="4">
        <f t="shared" si="263"/>
        <v>0</v>
      </c>
      <c r="BG333" s="4">
        <f t="shared" si="263"/>
        <v>0</v>
      </c>
      <c r="BH333" s="4">
        <f t="shared" si="264"/>
        <v>0</v>
      </c>
      <c r="BI333" s="4">
        <f t="shared" si="265"/>
        <v>0</v>
      </c>
      <c r="BJ333" s="4">
        <f t="shared" si="266"/>
        <v>0</v>
      </c>
      <c r="BK333" s="4">
        <f t="shared" si="267"/>
        <v>0</v>
      </c>
      <c r="BL333" s="4">
        <f t="shared" si="268"/>
        <v>0</v>
      </c>
      <c r="BM333" s="4">
        <f t="shared" si="269"/>
        <v>0</v>
      </c>
      <c r="BN333" s="4">
        <f t="shared" si="270"/>
        <v>0</v>
      </c>
      <c r="BO333" s="4">
        <f t="shared" si="271"/>
        <v>0</v>
      </c>
      <c r="BP333" s="4">
        <f t="shared" si="272"/>
        <v>0</v>
      </c>
      <c r="BQ333" s="4">
        <f t="shared" si="273"/>
        <v>0</v>
      </c>
      <c r="BR333" s="4">
        <f t="shared" si="274"/>
        <v>0</v>
      </c>
      <c r="BS333" s="4">
        <f t="shared" si="275"/>
        <v>0</v>
      </c>
      <c r="BT333" s="4">
        <f t="shared" si="276"/>
        <v>0</v>
      </c>
      <c r="BU333" s="4">
        <f t="shared" si="277"/>
        <v>0</v>
      </c>
      <c r="BV333" s="4">
        <f t="shared" si="278"/>
        <v>0</v>
      </c>
      <c r="BW333" s="4">
        <f t="shared" si="279"/>
        <v>0</v>
      </c>
      <c r="BX333" s="4">
        <f t="shared" si="280"/>
        <v>0</v>
      </c>
      <c r="BY333" s="4">
        <f t="shared" si="281"/>
        <v>0</v>
      </c>
      <c r="BZ333" s="4">
        <f t="shared" si="282"/>
        <v>0</v>
      </c>
      <c r="CA333" s="4">
        <f t="shared" si="283"/>
        <v>0</v>
      </c>
      <c r="CB333" s="4">
        <f t="shared" si="284"/>
        <v>0</v>
      </c>
      <c r="CC333" s="4">
        <f t="shared" si="285"/>
        <v>0</v>
      </c>
      <c r="CD333" s="4">
        <f t="shared" si="286"/>
        <v>0</v>
      </c>
      <c r="CE333" s="4">
        <f t="shared" si="287"/>
        <v>0</v>
      </c>
      <c r="CF333" s="4">
        <f t="shared" si="288"/>
        <v>0</v>
      </c>
      <c r="CG333" s="4">
        <f t="shared" si="289"/>
        <v>0</v>
      </c>
      <c r="CH333" s="4">
        <f t="shared" si="290"/>
        <v>0</v>
      </c>
      <c r="CI333" s="4">
        <f t="shared" si="291"/>
        <v>0</v>
      </c>
      <c r="CJ333" s="4">
        <f t="shared" si="292"/>
        <v>0</v>
      </c>
      <c r="CK333" s="4">
        <f t="shared" si="293"/>
        <v>0</v>
      </c>
      <c r="CL333" s="4">
        <f t="shared" si="294"/>
        <v>0</v>
      </c>
      <c r="CM333" s="4">
        <f t="shared" si="295"/>
        <v>0</v>
      </c>
      <c r="CN333" s="4">
        <f t="shared" si="296"/>
        <v>0</v>
      </c>
      <c r="CO333" s="4">
        <f t="shared" si="297"/>
        <v>0</v>
      </c>
      <c r="CP333" s="4">
        <f t="shared" si="298"/>
        <v>0</v>
      </c>
      <c r="CQ333" s="4">
        <f t="shared" si="299"/>
        <v>0</v>
      </c>
      <c r="CR333" s="4">
        <f t="shared" si="300"/>
        <v>0</v>
      </c>
      <c r="CS333" s="4">
        <f t="shared" si="301"/>
        <v>0</v>
      </c>
      <c r="CT333" s="4">
        <f t="shared" si="302"/>
        <v>0</v>
      </c>
      <c r="CU333" s="4">
        <f t="shared" si="303"/>
        <v>0</v>
      </c>
      <c r="CV333" s="4">
        <f t="shared" si="304"/>
        <v>0</v>
      </c>
      <c r="CW333" s="4">
        <f t="shared" si="305"/>
        <v>0</v>
      </c>
      <c r="CX333" s="4">
        <f t="shared" si="306"/>
        <v>0</v>
      </c>
      <c r="CY333" s="4">
        <f t="shared" si="307"/>
        <v>0</v>
      </c>
      <c r="CZ333" s="4">
        <f t="shared" si="308"/>
        <v>0</v>
      </c>
      <c r="DA333" s="4">
        <f t="shared" si="309"/>
        <v>0</v>
      </c>
      <c r="DB333" s="4">
        <f t="shared" si="310"/>
        <v>0</v>
      </c>
      <c r="DC333" s="4">
        <f t="shared" si="311"/>
        <v>0</v>
      </c>
      <c r="DD333" s="4">
        <f t="shared" si="312"/>
        <v>0</v>
      </c>
    </row>
    <row r="334" spans="1:108" x14ac:dyDescent="0.25">
      <c r="A334" s="41" t="str">
        <f>Skills!M316</f>
        <v>Region Lore, 0</v>
      </c>
      <c r="B334" s="55">
        <f>Skills!N316</f>
        <v>0</v>
      </c>
      <c r="C334" s="22">
        <f t="shared" si="313"/>
        <v>0</v>
      </c>
      <c r="D334" s="112" t="e">
        <f>Skills!S316</f>
        <v>#N/A</v>
      </c>
      <c r="E334" s="113" t="e">
        <f>Profession!$B$145</f>
        <v>#REF!</v>
      </c>
      <c r="F334" s="19"/>
      <c r="G334" s="19"/>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56"/>
      <c r="BF334" s="4">
        <f t="shared" si="263"/>
        <v>0</v>
      </c>
      <c r="BG334" s="4">
        <f t="shared" si="263"/>
        <v>0</v>
      </c>
      <c r="BH334" s="4">
        <f t="shared" si="264"/>
        <v>0</v>
      </c>
      <c r="BI334" s="4">
        <f t="shared" si="265"/>
        <v>0</v>
      </c>
      <c r="BJ334" s="4">
        <f t="shared" si="266"/>
        <v>0</v>
      </c>
      <c r="BK334" s="4">
        <f t="shared" si="267"/>
        <v>0</v>
      </c>
      <c r="BL334" s="4">
        <f t="shared" si="268"/>
        <v>0</v>
      </c>
      <c r="BM334" s="4">
        <f t="shared" si="269"/>
        <v>0</v>
      </c>
      <c r="BN334" s="4">
        <f t="shared" si="270"/>
        <v>0</v>
      </c>
      <c r="BO334" s="4">
        <f t="shared" si="271"/>
        <v>0</v>
      </c>
      <c r="BP334" s="4">
        <f t="shared" si="272"/>
        <v>0</v>
      </c>
      <c r="BQ334" s="4">
        <f t="shared" si="273"/>
        <v>0</v>
      </c>
      <c r="BR334" s="4">
        <f t="shared" si="274"/>
        <v>0</v>
      </c>
      <c r="BS334" s="4">
        <f t="shared" si="275"/>
        <v>0</v>
      </c>
      <c r="BT334" s="4">
        <f t="shared" si="276"/>
        <v>0</v>
      </c>
      <c r="BU334" s="4">
        <f t="shared" si="277"/>
        <v>0</v>
      </c>
      <c r="BV334" s="4">
        <f t="shared" si="278"/>
        <v>0</v>
      </c>
      <c r="BW334" s="4">
        <f t="shared" si="279"/>
        <v>0</v>
      </c>
      <c r="BX334" s="4">
        <f t="shared" si="280"/>
        <v>0</v>
      </c>
      <c r="BY334" s="4">
        <f t="shared" si="281"/>
        <v>0</v>
      </c>
      <c r="BZ334" s="4">
        <f t="shared" si="282"/>
        <v>0</v>
      </c>
      <c r="CA334" s="4">
        <f t="shared" si="283"/>
        <v>0</v>
      </c>
      <c r="CB334" s="4">
        <f t="shared" si="284"/>
        <v>0</v>
      </c>
      <c r="CC334" s="4">
        <f t="shared" si="285"/>
        <v>0</v>
      </c>
      <c r="CD334" s="4">
        <f t="shared" si="286"/>
        <v>0</v>
      </c>
      <c r="CE334" s="4">
        <f t="shared" si="287"/>
        <v>0</v>
      </c>
      <c r="CF334" s="4">
        <f t="shared" si="288"/>
        <v>0</v>
      </c>
      <c r="CG334" s="4">
        <f t="shared" si="289"/>
        <v>0</v>
      </c>
      <c r="CH334" s="4">
        <f t="shared" si="290"/>
        <v>0</v>
      </c>
      <c r="CI334" s="4">
        <f t="shared" si="291"/>
        <v>0</v>
      </c>
      <c r="CJ334" s="4">
        <f t="shared" si="292"/>
        <v>0</v>
      </c>
      <c r="CK334" s="4">
        <f t="shared" si="293"/>
        <v>0</v>
      </c>
      <c r="CL334" s="4">
        <f t="shared" si="294"/>
        <v>0</v>
      </c>
      <c r="CM334" s="4">
        <f t="shared" si="295"/>
        <v>0</v>
      </c>
      <c r="CN334" s="4">
        <f t="shared" si="296"/>
        <v>0</v>
      </c>
      <c r="CO334" s="4">
        <f t="shared" si="297"/>
        <v>0</v>
      </c>
      <c r="CP334" s="4">
        <f t="shared" si="298"/>
        <v>0</v>
      </c>
      <c r="CQ334" s="4">
        <f t="shared" si="299"/>
        <v>0</v>
      </c>
      <c r="CR334" s="4">
        <f t="shared" si="300"/>
        <v>0</v>
      </c>
      <c r="CS334" s="4">
        <f t="shared" si="301"/>
        <v>0</v>
      </c>
      <c r="CT334" s="4">
        <f t="shared" si="302"/>
        <v>0</v>
      </c>
      <c r="CU334" s="4">
        <f t="shared" si="303"/>
        <v>0</v>
      </c>
      <c r="CV334" s="4">
        <f t="shared" si="304"/>
        <v>0</v>
      </c>
      <c r="CW334" s="4">
        <f t="shared" si="305"/>
        <v>0</v>
      </c>
      <c r="CX334" s="4">
        <f t="shared" si="306"/>
        <v>0</v>
      </c>
      <c r="CY334" s="4">
        <f t="shared" si="307"/>
        <v>0</v>
      </c>
      <c r="CZ334" s="4">
        <f t="shared" si="308"/>
        <v>0</v>
      </c>
      <c r="DA334" s="4">
        <f t="shared" si="309"/>
        <v>0</v>
      </c>
      <c r="DB334" s="4">
        <f t="shared" si="310"/>
        <v>0</v>
      </c>
      <c r="DC334" s="4">
        <f t="shared" si="311"/>
        <v>0</v>
      </c>
      <c r="DD334" s="4">
        <f t="shared" si="312"/>
        <v>0</v>
      </c>
    </row>
    <row r="335" spans="1:108" x14ac:dyDescent="0.25">
      <c r="A335" s="41">
        <f>Skills!M317</f>
        <v>0</v>
      </c>
      <c r="B335" s="57" t="str">
        <f>Skills!N317</f>
        <v>Tactics Sub-category</v>
      </c>
      <c r="C335" s="24">
        <f t="shared" si="313"/>
        <v>0</v>
      </c>
      <c r="D335" s="110" t="str">
        <f>Skills!S317</f>
        <v>- -</v>
      </c>
      <c r="E335" s="111" t="s">
        <v>782</v>
      </c>
      <c r="F335" s="18"/>
      <c r="G335" s="18"/>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49"/>
      <c r="BF335" s="4">
        <f t="shared" si="263"/>
        <v>0</v>
      </c>
      <c r="BG335" s="4">
        <f t="shared" si="263"/>
        <v>0</v>
      </c>
      <c r="BH335" s="4">
        <f t="shared" si="264"/>
        <v>0</v>
      </c>
      <c r="BI335" s="4">
        <f t="shared" si="265"/>
        <v>0</v>
      </c>
      <c r="BJ335" s="4">
        <f t="shared" si="266"/>
        <v>0</v>
      </c>
      <c r="BK335" s="4">
        <f t="shared" si="267"/>
        <v>0</v>
      </c>
      <c r="BL335" s="4">
        <f t="shared" si="268"/>
        <v>0</v>
      </c>
      <c r="BM335" s="4">
        <f t="shared" si="269"/>
        <v>0</v>
      </c>
      <c r="BN335" s="4">
        <f t="shared" si="270"/>
        <v>0</v>
      </c>
      <c r="BO335" s="4">
        <f t="shared" si="271"/>
        <v>0</v>
      </c>
      <c r="BP335" s="4">
        <f t="shared" si="272"/>
        <v>0</v>
      </c>
      <c r="BQ335" s="4">
        <f t="shared" si="273"/>
        <v>0</v>
      </c>
      <c r="BR335" s="4">
        <f t="shared" si="274"/>
        <v>0</v>
      </c>
      <c r="BS335" s="4">
        <f t="shared" si="275"/>
        <v>0</v>
      </c>
      <c r="BT335" s="4">
        <f t="shared" si="276"/>
        <v>0</v>
      </c>
      <c r="BU335" s="4">
        <f t="shared" si="277"/>
        <v>0</v>
      </c>
      <c r="BV335" s="4">
        <f t="shared" si="278"/>
        <v>0</v>
      </c>
      <c r="BW335" s="4">
        <f t="shared" si="279"/>
        <v>0</v>
      </c>
      <c r="BX335" s="4">
        <f t="shared" si="280"/>
        <v>0</v>
      </c>
      <c r="BY335" s="4">
        <f t="shared" si="281"/>
        <v>0</v>
      </c>
      <c r="BZ335" s="4">
        <f t="shared" si="282"/>
        <v>0</v>
      </c>
      <c r="CA335" s="4">
        <f t="shared" si="283"/>
        <v>0</v>
      </c>
      <c r="CB335" s="4">
        <f t="shared" si="284"/>
        <v>0</v>
      </c>
      <c r="CC335" s="4">
        <f t="shared" si="285"/>
        <v>0</v>
      </c>
      <c r="CD335" s="4">
        <f t="shared" si="286"/>
        <v>0</v>
      </c>
      <c r="CE335" s="4">
        <f t="shared" si="287"/>
        <v>0</v>
      </c>
      <c r="CF335" s="4">
        <f t="shared" si="288"/>
        <v>0</v>
      </c>
      <c r="CG335" s="4">
        <f t="shared" si="289"/>
        <v>0</v>
      </c>
      <c r="CH335" s="4">
        <f t="shared" si="290"/>
        <v>0</v>
      </c>
      <c r="CI335" s="4">
        <f t="shared" si="291"/>
        <v>0</v>
      </c>
      <c r="CJ335" s="4">
        <f t="shared" si="292"/>
        <v>0</v>
      </c>
      <c r="CK335" s="4">
        <f t="shared" si="293"/>
        <v>0</v>
      </c>
      <c r="CL335" s="4">
        <f t="shared" si="294"/>
        <v>0</v>
      </c>
      <c r="CM335" s="4">
        <f t="shared" si="295"/>
        <v>0</v>
      </c>
      <c r="CN335" s="4">
        <f t="shared" si="296"/>
        <v>0</v>
      </c>
      <c r="CO335" s="4">
        <f t="shared" si="297"/>
        <v>0</v>
      </c>
      <c r="CP335" s="4">
        <f t="shared" si="298"/>
        <v>0</v>
      </c>
      <c r="CQ335" s="4">
        <f t="shared" si="299"/>
        <v>0</v>
      </c>
      <c r="CR335" s="4">
        <f t="shared" si="300"/>
        <v>0</v>
      </c>
      <c r="CS335" s="4">
        <f t="shared" si="301"/>
        <v>0</v>
      </c>
      <c r="CT335" s="4">
        <f t="shared" si="302"/>
        <v>0</v>
      </c>
      <c r="CU335" s="4">
        <f t="shared" si="303"/>
        <v>0</v>
      </c>
      <c r="CV335" s="4">
        <f t="shared" si="304"/>
        <v>0</v>
      </c>
      <c r="CW335" s="4">
        <f t="shared" si="305"/>
        <v>0</v>
      </c>
      <c r="CX335" s="4">
        <f t="shared" si="306"/>
        <v>0</v>
      </c>
      <c r="CY335" s="4">
        <f t="shared" si="307"/>
        <v>0</v>
      </c>
      <c r="CZ335" s="4">
        <f t="shared" si="308"/>
        <v>0</v>
      </c>
      <c r="DA335" s="4">
        <f t="shared" si="309"/>
        <v>0</v>
      </c>
      <c r="DB335" s="4">
        <f t="shared" si="310"/>
        <v>0</v>
      </c>
      <c r="DC335" s="4">
        <f t="shared" si="311"/>
        <v>0</v>
      </c>
      <c r="DD335" s="4">
        <f t="shared" si="312"/>
        <v>0</v>
      </c>
    </row>
    <row r="336" spans="1:108" x14ac:dyDescent="0.25">
      <c r="A336" s="41">
        <f>Skills!M318</f>
        <v>0</v>
      </c>
      <c r="B336" s="55" t="str">
        <f>Skills!N318</f>
        <v>Tactics Skills</v>
      </c>
      <c r="C336" s="22">
        <f t="shared" si="313"/>
        <v>0</v>
      </c>
      <c r="D336" s="112" t="str">
        <f>Skills!S318</f>
        <v>- -</v>
      </c>
      <c r="E336" s="113" t="s">
        <v>782</v>
      </c>
      <c r="F336" s="19"/>
      <c r="G336" s="19"/>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56"/>
      <c r="BF336" s="4">
        <f t="shared" si="263"/>
        <v>0</v>
      </c>
      <c r="BG336" s="4">
        <f t="shared" si="263"/>
        <v>0</v>
      </c>
      <c r="BH336" s="4">
        <f t="shared" si="264"/>
        <v>0</v>
      </c>
      <c r="BI336" s="4">
        <f t="shared" si="265"/>
        <v>0</v>
      </c>
      <c r="BJ336" s="4">
        <f t="shared" si="266"/>
        <v>0</v>
      </c>
      <c r="BK336" s="4">
        <f t="shared" si="267"/>
        <v>0</v>
      </c>
      <c r="BL336" s="4">
        <f t="shared" si="268"/>
        <v>0</v>
      </c>
      <c r="BM336" s="4">
        <f t="shared" si="269"/>
        <v>0</v>
      </c>
      <c r="BN336" s="4">
        <f t="shared" si="270"/>
        <v>0</v>
      </c>
      <c r="BO336" s="4">
        <f t="shared" si="271"/>
        <v>0</v>
      </c>
      <c r="BP336" s="4">
        <f t="shared" si="272"/>
        <v>0</v>
      </c>
      <c r="BQ336" s="4">
        <f t="shared" si="273"/>
        <v>0</v>
      </c>
      <c r="BR336" s="4">
        <f t="shared" si="274"/>
        <v>0</v>
      </c>
      <c r="BS336" s="4">
        <f t="shared" si="275"/>
        <v>0</v>
      </c>
      <c r="BT336" s="4">
        <f t="shared" si="276"/>
        <v>0</v>
      </c>
      <c r="BU336" s="4">
        <f t="shared" si="277"/>
        <v>0</v>
      </c>
      <c r="BV336" s="4">
        <f t="shared" si="278"/>
        <v>0</v>
      </c>
      <c r="BW336" s="4">
        <f t="shared" si="279"/>
        <v>0</v>
      </c>
      <c r="BX336" s="4">
        <f t="shared" si="280"/>
        <v>0</v>
      </c>
      <c r="BY336" s="4">
        <f t="shared" si="281"/>
        <v>0</v>
      </c>
      <c r="BZ336" s="4">
        <f t="shared" si="282"/>
        <v>0</v>
      </c>
      <c r="CA336" s="4">
        <f t="shared" si="283"/>
        <v>0</v>
      </c>
      <c r="CB336" s="4">
        <f t="shared" si="284"/>
        <v>0</v>
      </c>
      <c r="CC336" s="4">
        <f t="shared" si="285"/>
        <v>0</v>
      </c>
      <c r="CD336" s="4">
        <f t="shared" si="286"/>
        <v>0</v>
      </c>
      <c r="CE336" s="4">
        <f t="shared" si="287"/>
        <v>0</v>
      </c>
      <c r="CF336" s="4">
        <f t="shared" si="288"/>
        <v>0</v>
      </c>
      <c r="CG336" s="4">
        <f t="shared" si="289"/>
        <v>0</v>
      </c>
      <c r="CH336" s="4">
        <f t="shared" si="290"/>
        <v>0</v>
      </c>
      <c r="CI336" s="4">
        <f t="shared" si="291"/>
        <v>0</v>
      </c>
      <c r="CJ336" s="4">
        <f t="shared" si="292"/>
        <v>0</v>
      </c>
      <c r="CK336" s="4">
        <f t="shared" si="293"/>
        <v>0</v>
      </c>
      <c r="CL336" s="4">
        <f t="shared" si="294"/>
        <v>0</v>
      </c>
      <c r="CM336" s="4">
        <f t="shared" si="295"/>
        <v>0</v>
      </c>
      <c r="CN336" s="4">
        <f t="shared" si="296"/>
        <v>0</v>
      </c>
      <c r="CO336" s="4">
        <f t="shared" si="297"/>
        <v>0</v>
      </c>
      <c r="CP336" s="4">
        <f t="shared" si="298"/>
        <v>0</v>
      </c>
      <c r="CQ336" s="4">
        <f t="shared" si="299"/>
        <v>0</v>
      </c>
      <c r="CR336" s="4">
        <f t="shared" si="300"/>
        <v>0</v>
      </c>
      <c r="CS336" s="4">
        <f t="shared" si="301"/>
        <v>0</v>
      </c>
      <c r="CT336" s="4">
        <f t="shared" si="302"/>
        <v>0</v>
      </c>
      <c r="CU336" s="4">
        <f t="shared" si="303"/>
        <v>0</v>
      </c>
      <c r="CV336" s="4">
        <f t="shared" si="304"/>
        <v>0</v>
      </c>
      <c r="CW336" s="4">
        <f t="shared" si="305"/>
        <v>0</v>
      </c>
      <c r="CX336" s="4">
        <f t="shared" si="306"/>
        <v>0</v>
      </c>
      <c r="CY336" s="4">
        <f t="shared" si="307"/>
        <v>0</v>
      </c>
      <c r="CZ336" s="4">
        <f t="shared" si="308"/>
        <v>0</v>
      </c>
      <c r="DA336" s="4">
        <f t="shared" si="309"/>
        <v>0</v>
      </c>
      <c r="DB336" s="4">
        <f t="shared" si="310"/>
        <v>0</v>
      </c>
      <c r="DC336" s="4">
        <f t="shared" si="311"/>
        <v>0</v>
      </c>
      <c r="DD336" s="4">
        <f t="shared" si="312"/>
        <v>0</v>
      </c>
    </row>
    <row r="337" spans="1:108" x14ac:dyDescent="0.25">
      <c r="A337" s="41" t="str">
        <f>Skills!M319</f>
        <v>Tactics Lore, Battlefield</v>
      </c>
      <c r="B337" s="57" t="str">
        <f>Skills!N319</f>
        <v>Battlefield</v>
      </c>
      <c r="C337" s="24">
        <f t="shared" si="313"/>
        <v>0</v>
      </c>
      <c r="D337" s="110" t="e">
        <f>Skills!S319</f>
        <v>#N/A</v>
      </c>
      <c r="E337" s="111" t="e">
        <f>Profession!$B$146</f>
        <v>#REF!</v>
      </c>
      <c r="F337" s="18"/>
      <c r="G337" s="18"/>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49"/>
      <c r="BF337" s="4">
        <f t="shared" si="263"/>
        <v>0</v>
      </c>
      <c r="BG337" s="4">
        <f t="shared" si="263"/>
        <v>0</v>
      </c>
      <c r="BH337" s="4">
        <f t="shared" si="264"/>
        <v>0</v>
      </c>
      <c r="BI337" s="4">
        <f t="shared" si="265"/>
        <v>0</v>
      </c>
      <c r="BJ337" s="4">
        <f t="shared" si="266"/>
        <v>0</v>
      </c>
      <c r="BK337" s="4">
        <f t="shared" si="267"/>
        <v>0</v>
      </c>
      <c r="BL337" s="4">
        <f t="shared" si="268"/>
        <v>0</v>
      </c>
      <c r="BM337" s="4">
        <f t="shared" si="269"/>
        <v>0</v>
      </c>
      <c r="BN337" s="4">
        <f t="shared" si="270"/>
        <v>0</v>
      </c>
      <c r="BO337" s="4">
        <f t="shared" si="271"/>
        <v>0</v>
      </c>
      <c r="BP337" s="4">
        <f t="shared" si="272"/>
        <v>0</v>
      </c>
      <c r="BQ337" s="4">
        <f t="shared" si="273"/>
        <v>0</v>
      </c>
      <c r="BR337" s="4">
        <f t="shared" si="274"/>
        <v>0</v>
      </c>
      <c r="BS337" s="4">
        <f t="shared" si="275"/>
        <v>0</v>
      </c>
      <c r="BT337" s="4">
        <f t="shared" si="276"/>
        <v>0</v>
      </c>
      <c r="BU337" s="4">
        <f t="shared" si="277"/>
        <v>0</v>
      </c>
      <c r="BV337" s="4">
        <f t="shared" si="278"/>
        <v>0</v>
      </c>
      <c r="BW337" s="4">
        <f t="shared" si="279"/>
        <v>0</v>
      </c>
      <c r="BX337" s="4">
        <f t="shared" si="280"/>
        <v>0</v>
      </c>
      <c r="BY337" s="4">
        <f t="shared" si="281"/>
        <v>0</v>
      </c>
      <c r="BZ337" s="4">
        <f t="shared" si="282"/>
        <v>0</v>
      </c>
      <c r="CA337" s="4">
        <f t="shared" si="283"/>
        <v>0</v>
      </c>
      <c r="CB337" s="4">
        <f t="shared" si="284"/>
        <v>0</v>
      </c>
      <c r="CC337" s="4">
        <f t="shared" si="285"/>
        <v>0</v>
      </c>
      <c r="CD337" s="4">
        <f t="shared" si="286"/>
        <v>0</v>
      </c>
      <c r="CE337" s="4">
        <f t="shared" si="287"/>
        <v>0</v>
      </c>
      <c r="CF337" s="4">
        <f t="shared" si="288"/>
        <v>0</v>
      </c>
      <c r="CG337" s="4">
        <f t="shared" si="289"/>
        <v>0</v>
      </c>
      <c r="CH337" s="4">
        <f t="shared" si="290"/>
        <v>0</v>
      </c>
      <c r="CI337" s="4">
        <f t="shared" si="291"/>
        <v>0</v>
      </c>
      <c r="CJ337" s="4">
        <f t="shared" si="292"/>
        <v>0</v>
      </c>
      <c r="CK337" s="4">
        <f t="shared" si="293"/>
        <v>0</v>
      </c>
      <c r="CL337" s="4">
        <f t="shared" si="294"/>
        <v>0</v>
      </c>
      <c r="CM337" s="4">
        <f t="shared" si="295"/>
        <v>0</v>
      </c>
      <c r="CN337" s="4">
        <f t="shared" si="296"/>
        <v>0</v>
      </c>
      <c r="CO337" s="4">
        <f t="shared" si="297"/>
        <v>0</v>
      </c>
      <c r="CP337" s="4">
        <f t="shared" si="298"/>
        <v>0</v>
      </c>
      <c r="CQ337" s="4">
        <f t="shared" si="299"/>
        <v>0</v>
      </c>
      <c r="CR337" s="4">
        <f t="shared" si="300"/>
        <v>0</v>
      </c>
      <c r="CS337" s="4">
        <f t="shared" si="301"/>
        <v>0</v>
      </c>
      <c r="CT337" s="4">
        <f t="shared" si="302"/>
        <v>0</v>
      </c>
      <c r="CU337" s="4">
        <f t="shared" si="303"/>
        <v>0</v>
      </c>
      <c r="CV337" s="4">
        <f t="shared" si="304"/>
        <v>0</v>
      </c>
      <c r="CW337" s="4">
        <f t="shared" si="305"/>
        <v>0</v>
      </c>
      <c r="CX337" s="4">
        <f t="shared" si="306"/>
        <v>0</v>
      </c>
      <c r="CY337" s="4">
        <f t="shared" si="307"/>
        <v>0</v>
      </c>
      <c r="CZ337" s="4">
        <f t="shared" si="308"/>
        <v>0</v>
      </c>
      <c r="DA337" s="4">
        <f t="shared" si="309"/>
        <v>0</v>
      </c>
      <c r="DB337" s="4">
        <f t="shared" si="310"/>
        <v>0</v>
      </c>
      <c r="DC337" s="4">
        <f t="shared" si="311"/>
        <v>0</v>
      </c>
      <c r="DD337" s="4">
        <f t="shared" si="312"/>
        <v>0</v>
      </c>
    </row>
    <row r="338" spans="1:108" x14ac:dyDescent="0.25">
      <c r="A338" s="41" t="str">
        <f>Skills!M320</f>
        <v>Tactics Lore, Guerrilla</v>
      </c>
      <c r="B338" s="55" t="str">
        <f>Skills!N320</f>
        <v>Guerrilla</v>
      </c>
      <c r="C338" s="22">
        <f t="shared" si="313"/>
        <v>0</v>
      </c>
      <c r="D338" s="112" t="e">
        <f>Skills!S320</f>
        <v>#N/A</v>
      </c>
      <c r="E338" s="113" t="e">
        <f>Profession!$B$146</f>
        <v>#REF!</v>
      </c>
      <c r="F338" s="19"/>
      <c r="G338" s="19"/>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56"/>
      <c r="BF338" s="4">
        <f t="shared" si="263"/>
        <v>0</v>
      </c>
      <c r="BG338" s="4">
        <f t="shared" si="263"/>
        <v>0</v>
      </c>
      <c r="BH338" s="4">
        <f t="shared" si="264"/>
        <v>0</v>
      </c>
      <c r="BI338" s="4">
        <f t="shared" si="265"/>
        <v>0</v>
      </c>
      <c r="BJ338" s="4">
        <f t="shared" si="266"/>
        <v>0</v>
      </c>
      <c r="BK338" s="4">
        <f t="shared" si="267"/>
        <v>0</v>
      </c>
      <c r="BL338" s="4">
        <f t="shared" si="268"/>
        <v>0</v>
      </c>
      <c r="BM338" s="4">
        <f t="shared" si="269"/>
        <v>0</v>
      </c>
      <c r="BN338" s="4">
        <f t="shared" si="270"/>
        <v>0</v>
      </c>
      <c r="BO338" s="4">
        <f t="shared" si="271"/>
        <v>0</v>
      </c>
      <c r="BP338" s="4">
        <f t="shared" si="272"/>
        <v>0</v>
      </c>
      <c r="BQ338" s="4">
        <f t="shared" si="273"/>
        <v>0</v>
      </c>
      <c r="BR338" s="4">
        <f t="shared" si="274"/>
        <v>0</v>
      </c>
      <c r="BS338" s="4">
        <f t="shared" si="275"/>
        <v>0</v>
      </c>
      <c r="BT338" s="4">
        <f t="shared" si="276"/>
        <v>0</v>
      </c>
      <c r="BU338" s="4">
        <f t="shared" si="277"/>
        <v>0</v>
      </c>
      <c r="BV338" s="4">
        <f t="shared" si="278"/>
        <v>0</v>
      </c>
      <c r="BW338" s="4">
        <f t="shared" si="279"/>
        <v>0</v>
      </c>
      <c r="BX338" s="4">
        <f t="shared" si="280"/>
        <v>0</v>
      </c>
      <c r="BY338" s="4">
        <f t="shared" si="281"/>
        <v>0</v>
      </c>
      <c r="BZ338" s="4">
        <f t="shared" si="282"/>
        <v>0</v>
      </c>
      <c r="CA338" s="4">
        <f t="shared" si="283"/>
        <v>0</v>
      </c>
      <c r="CB338" s="4">
        <f t="shared" si="284"/>
        <v>0</v>
      </c>
      <c r="CC338" s="4">
        <f t="shared" si="285"/>
        <v>0</v>
      </c>
      <c r="CD338" s="4">
        <f t="shared" si="286"/>
        <v>0</v>
      </c>
      <c r="CE338" s="4">
        <f t="shared" si="287"/>
        <v>0</v>
      </c>
      <c r="CF338" s="4">
        <f t="shared" si="288"/>
        <v>0</v>
      </c>
      <c r="CG338" s="4">
        <f t="shared" si="289"/>
        <v>0</v>
      </c>
      <c r="CH338" s="4">
        <f t="shared" si="290"/>
        <v>0</v>
      </c>
      <c r="CI338" s="4">
        <f t="shared" si="291"/>
        <v>0</v>
      </c>
      <c r="CJ338" s="4">
        <f t="shared" si="292"/>
        <v>0</v>
      </c>
      <c r="CK338" s="4">
        <f t="shared" si="293"/>
        <v>0</v>
      </c>
      <c r="CL338" s="4">
        <f t="shared" si="294"/>
        <v>0</v>
      </c>
      <c r="CM338" s="4">
        <f t="shared" si="295"/>
        <v>0</v>
      </c>
      <c r="CN338" s="4">
        <f t="shared" si="296"/>
        <v>0</v>
      </c>
      <c r="CO338" s="4">
        <f t="shared" si="297"/>
        <v>0</v>
      </c>
      <c r="CP338" s="4">
        <f t="shared" si="298"/>
        <v>0</v>
      </c>
      <c r="CQ338" s="4">
        <f t="shared" si="299"/>
        <v>0</v>
      </c>
      <c r="CR338" s="4">
        <f t="shared" si="300"/>
        <v>0</v>
      </c>
      <c r="CS338" s="4">
        <f t="shared" si="301"/>
        <v>0</v>
      </c>
      <c r="CT338" s="4">
        <f t="shared" si="302"/>
        <v>0</v>
      </c>
      <c r="CU338" s="4">
        <f t="shared" si="303"/>
        <v>0</v>
      </c>
      <c r="CV338" s="4">
        <f t="shared" si="304"/>
        <v>0</v>
      </c>
      <c r="CW338" s="4">
        <f t="shared" si="305"/>
        <v>0</v>
      </c>
      <c r="CX338" s="4">
        <f t="shared" si="306"/>
        <v>0</v>
      </c>
      <c r="CY338" s="4">
        <f t="shared" si="307"/>
        <v>0</v>
      </c>
      <c r="CZ338" s="4">
        <f t="shared" si="308"/>
        <v>0</v>
      </c>
      <c r="DA338" s="4">
        <f t="shared" si="309"/>
        <v>0</v>
      </c>
      <c r="DB338" s="4">
        <f t="shared" si="310"/>
        <v>0</v>
      </c>
      <c r="DC338" s="4">
        <f t="shared" si="311"/>
        <v>0</v>
      </c>
      <c r="DD338" s="4">
        <f t="shared" si="312"/>
        <v>0</v>
      </c>
    </row>
    <row r="339" spans="1:108" x14ac:dyDescent="0.25">
      <c r="A339" s="41" t="str">
        <f>Skills!M321</f>
        <v>Tactics Lore, Sabotage</v>
      </c>
      <c r="B339" s="57" t="str">
        <f>Skills!N321</f>
        <v>Sabotage</v>
      </c>
      <c r="C339" s="24">
        <f t="shared" si="313"/>
        <v>0</v>
      </c>
      <c r="D339" s="110" t="e">
        <f>Skills!S321</f>
        <v>#N/A</v>
      </c>
      <c r="E339" s="111" t="e">
        <f>Profession!$B$146</f>
        <v>#REF!</v>
      </c>
      <c r="F339" s="18"/>
      <c r="G339" s="18"/>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49"/>
      <c r="BF339" s="4">
        <f t="shared" si="263"/>
        <v>0</v>
      </c>
      <c r="BG339" s="4">
        <f t="shared" si="263"/>
        <v>0</v>
      </c>
      <c r="BH339" s="4">
        <f t="shared" si="264"/>
        <v>0</v>
      </c>
      <c r="BI339" s="4">
        <f t="shared" si="265"/>
        <v>0</v>
      </c>
      <c r="BJ339" s="4">
        <f t="shared" si="266"/>
        <v>0</v>
      </c>
      <c r="BK339" s="4">
        <f t="shared" si="267"/>
        <v>0</v>
      </c>
      <c r="BL339" s="4">
        <f t="shared" si="268"/>
        <v>0</v>
      </c>
      <c r="BM339" s="4">
        <f t="shared" si="269"/>
        <v>0</v>
      </c>
      <c r="BN339" s="4">
        <f t="shared" si="270"/>
        <v>0</v>
      </c>
      <c r="BO339" s="4">
        <f t="shared" si="271"/>
        <v>0</v>
      </c>
      <c r="BP339" s="4">
        <f t="shared" si="272"/>
        <v>0</v>
      </c>
      <c r="BQ339" s="4">
        <f t="shared" si="273"/>
        <v>0</v>
      </c>
      <c r="BR339" s="4">
        <f t="shared" si="274"/>
        <v>0</v>
      </c>
      <c r="BS339" s="4">
        <f t="shared" si="275"/>
        <v>0</v>
      </c>
      <c r="BT339" s="4">
        <f t="shared" si="276"/>
        <v>0</v>
      </c>
      <c r="BU339" s="4">
        <f t="shared" si="277"/>
        <v>0</v>
      </c>
      <c r="BV339" s="4">
        <f t="shared" si="278"/>
        <v>0</v>
      </c>
      <c r="BW339" s="4">
        <f t="shared" si="279"/>
        <v>0</v>
      </c>
      <c r="BX339" s="4">
        <f t="shared" si="280"/>
        <v>0</v>
      </c>
      <c r="BY339" s="4">
        <f t="shared" si="281"/>
        <v>0</v>
      </c>
      <c r="BZ339" s="4">
        <f t="shared" si="282"/>
        <v>0</v>
      </c>
      <c r="CA339" s="4">
        <f t="shared" si="283"/>
        <v>0</v>
      </c>
      <c r="CB339" s="4">
        <f t="shared" si="284"/>
        <v>0</v>
      </c>
      <c r="CC339" s="4">
        <f t="shared" si="285"/>
        <v>0</v>
      </c>
      <c r="CD339" s="4">
        <f t="shared" si="286"/>
        <v>0</v>
      </c>
      <c r="CE339" s="4">
        <f t="shared" si="287"/>
        <v>0</v>
      </c>
      <c r="CF339" s="4">
        <f t="shared" si="288"/>
        <v>0</v>
      </c>
      <c r="CG339" s="4">
        <f t="shared" si="289"/>
        <v>0</v>
      </c>
      <c r="CH339" s="4">
        <f t="shared" si="290"/>
        <v>0</v>
      </c>
      <c r="CI339" s="4">
        <f t="shared" si="291"/>
        <v>0</v>
      </c>
      <c r="CJ339" s="4">
        <f t="shared" si="292"/>
        <v>0</v>
      </c>
      <c r="CK339" s="4">
        <f t="shared" si="293"/>
        <v>0</v>
      </c>
      <c r="CL339" s="4">
        <f t="shared" si="294"/>
        <v>0</v>
      </c>
      <c r="CM339" s="4">
        <f t="shared" si="295"/>
        <v>0</v>
      </c>
      <c r="CN339" s="4">
        <f t="shared" si="296"/>
        <v>0</v>
      </c>
      <c r="CO339" s="4">
        <f t="shared" si="297"/>
        <v>0</v>
      </c>
      <c r="CP339" s="4">
        <f t="shared" si="298"/>
        <v>0</v>
      </c>
      <c r="CQ339" s="4">
        <f t="shared" si="299"/>
        <v>0</v>
      </c>
      <c r="CR339" s="4">
        <f t="shared" si="300"/>
        <v>0</v>
      </c>
      <c r="CS339" s="4">
        <f t="shared" si="301"/>
        <v>0</v>
      </c>
      <c r="CT339" s="4">
        <f t="shared" si="302"/>
        <v>0</v>
      </c>
      <c r="CU339" s="4">
        <f t="shared" si="303"/>
        <v>0</v>
      </c>
      <c r="CV339" s="4">
        <f t="shared" si="304"/>
        <v>0</v>
      </c>
      <c r="CW339" s="4">
        <f t="shared" si="305"/>
        <v>0</v>
      </c>
      <c r="CX339" s="4">
        <f t="shared" si="306"/>
        <v>0</v>
      </c>
      <c r="CY339" s="4">
        <f t="shared" si="307"/>
        <v>0</v>
      </c>
      <c r="CZ339" s="4">
        <f t="shared" si="308"/>
        <v>0</v>
      </c>
      <c r="DA339" s="4">
        <f t="shared" si="309"/>
        <v>0</v>
      </c>
      <c r="DB339" s="4">
        <f t="shared" si="310"/>
        <v>0</v>
      </c>
      <c r="DC339" s="4">
        <f t="shared" si="311"/>
        <v>0</v>
      </c>
      <c r="DD339" s="4">
        <f t="shared" si="312"/>
        <v>0</v>
      </c>
    </row>
    <row r="340" spans="1:108" x14ac:dyDescent="0.25">
      <c r="A340" s="41" t="str">
        <f>Skills!M322</f>
        <v>Tactics Lore, Siege</v>
      </c>
      <c r="B340" s="55" t="str">
        <f>Skills!N322</f>
        <v>Siege</v>
      </c>
      <c r="C340" s="22">
        <f t="shared" si="313"/>
        <v>0</v>
      </c>
      <c r="D340" s="112" t="e">
        <f>Skills!S322</f>
        <v>#N/A</v>
      </c>
      <c r="E340" s="113" t="e">
        <f>Profession!$B$146</f>
        <v>#REF!</v>
      </c>
      <c r="F340" s="19"/>
      <c r="G340" s="19"/>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56"/>
      <c r="BF340" s="4">
        <f t="shared" si="263"/>
        <v>0</v>
      </c>
      <c r="BG340" s="4">
        <f t="shared" si="263"/>
        <v>0</v>
      </c>
      <c r="BH340" s="4">
        <f t="shared" si="264"/>
        <v>0</v>
      </c>
      <c r="BI340" s="4">
        <f t="shared" si="265"/>
        <v>0</v>
      </c>
      <c r="BJ340" s="4">
        <f t="shared" si="266"/>
        <v>0</v>
      </c>
      <c r="BK340" s="4">
        <f t="shared" si="267"/>
        <v>0</v>
      </c>
      <c r="BL340" s="4">
        <f t="shared" si="268"/>
        <v>0</v>
      </c>
      <c r="BM340" s="4">
        <f t="shared" si="269"/>
        <v>0</v>
      </c>
      <c r="BN340" s="4">
        <f t="shared" si="270"/>
        <v>0</v>
      </c>
      <c r="BO340" s="4">
        <f t="shared" si="271"/>
        <v>0</v>
      </c>
      <c r="BP340" s="4">
        <f t="shared" si="272"/>
        <v>0</v>
      </c>
      <c r="BQ340" s="4">
        <f t="shared" si="273"/>
        <v>0</v>
      </c>
      <c r="BR340" s="4">
        <f t="shared" si="274"/>
        <v>0</v>
      </c>
      <c r="BS340" s="4">
        <f t="shared" si="275"/>
        <v>0</v>
      </c>
      <c r="BT340" s="4">
        <f t="shared" si="276"/>
        <v>0</v>
      </c>
      <c r="BU340" s="4">
        <f t="shared" si="277"/>
        <v>0</v>
      </c>
      <c r="BV340" s="4">
        <f t="shared" si="278"/>
        <v>0</v>
      </c>
      <c r="BW340" s="4">
        <f t="shared" si="279"/>
        <v>0</v>
      </c>
      <c r="BX340" s="4">
        <f t="shared" si="280"/>
        <v>0</v>
      </c>
      <c r="BY340" s="4">
        <f t="shared" si="281"/>
        <v>0</v>
      </c>
      <c r="BZ340" s="4">
        <f t="shared" si="282"/>
        <v>0</v>
      </c>
      <c r="CA340" s="4">
        <f t="shared" si="283"/>
        <v>0</v>
      </c>
      <c r="CB340" s="4">
        <f t="shared" si="284"/>
        <v>0</v>
      </c>
      <c r="CC340" s="4">
        <f t="shared" si="285"/>
        <v>0</v>
      </c>
      <c r="CD340" s="4">
        <f t="shared" si="286"/>
        <v>0</v>
      </c>
      <c r="CE340" s="4">
        <f t="shared" si="287"/>
        <v>0</v>
      </c>
      <c r="CF340" s="4">
        <f t="shared" si="288"/>
        <v>0</v>
      </c>
      <c r="CG340" s="4">
        <f t="shared" si="289"/>
        <v>0</v>
      </c>
      <c r="CH340" s="4">
        <f t="shared" si="290"/>
        <v>0</v>
      </c>
      <c r="CI340" s="4">
        <f t="shared" si="291"/>
        <v>0</v>
      </c>
      <c r="CJ340" s="4">
        <f t="shared" si="292"/>
        <v>0</v>
      </c>
      <c r="CK340" s="4">
        <f t="shared" si="293"/>
        <v>0</v>
      </c>
      <c r="CL340" s="4">
        <f t="shared" si="294"/>
        <v>0</v>
      </c>
      <c r="CM340" s="4">
        <f t="shared" si="295"/>
        <v>0</v>
      </c>
      <c r="CN340" s="4">
        <f t="shared" si="296"/>
        <v>0</v>
      </c>
      <c r="CO340" s="4">
        <f t="shared" si="297"/>
        <v>0</v>
      </c>
      <c r="CP340" s="4">
        <f t="shared" si="298"/>
        <v>0</v>
      </c>
      <c r="CQ340" s="4">
        <f t="shared" si="299"/>
        <v>0</v>
      </c>
      <c r="CR340" s="4">
        <f t="shared" si="300"/>
        <v>0</v>
      </c>
      <c r="CS340" s="4">
        <f t="shared" si="301"/>
        <v>0</v>
      </c>
      <c r="CT340" s="4">
        <f t="shared" si="302"/>
        <v>0</v>
      </c>
      <c r="CU340" s="4">
        <f t="shared" si="303"/>
        <v>0</v>
      </c>
      <c r="CV340" s="4">
        <f t="shared" si="304"/>
        <v>0</v>
      </c>
      <c r="CW340" s="4">
        <f t="shared" si="305"/>
        <v>0</v>
      </c>
      <c r="CX340" s="4">
        <f t="shared" si="306"/>
        <v>0</v>
      </c>
      <c r="CY340" s="4">
        <f t="shared" si="307"/>
        <v>0</v>
      </c>
      <c r="CZ340" s="4">
        <f t="shared" si="308"/>
        <v>0</v>
      </c>
      <c r="DA340" s="4">
        <f t="shared" si="309"/>
        <v>0</v>
      </c>
      <c r="DB340" s="4">
        <f t="shared" si="310"/>
        <v>0</v>
      </c>
      <c r="DC340" s="4">
        <f t="shared" si="311"/>
        <v>0</v>
      </c>
      <c r="DD340" s="4">
        <f t="shared" si="312"/>
        <v>0</v>
      </c>
    </row>
    <row r="341" spans="1:108" x14ac:dyDescent="0.25">
      <c r="A341" s="41" t="str">
        <f>Skills!M323</f>
        <v>Tactics Lore, Small Unit</v>
      </c>
      <c r="B341" s="57" t="str">
        <f>Skills!N323</f>
        <v>Small Unit</v>
      </c>
      <c r="C341" s="24">
        <f t="shared" si="313"/>
        <v>0</v>
      </c>
      <c r="D341" s="110" t="e">
        <f>Skills!S323</f>
        <v>#N/A</v>
      </c>
      <c r="E341" s="111" t="e">
        <f>Profession!$B$146</f>
        <v>#REF!</v>
      </c>
      <c r="F341" s="18"/>
      <c r="G341" s="18"/>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49"/>
      <c r="BF341" s="4">
        <f t="shared" si="263"/>
        <v>0</v>
      </c>
      <c r="BG341" s="4">
        <f t="shared" si="263"/>
        <v>0</v>
      </c>
      <c r="BH341" s="4">
        <f t="shared" si="264"/>
        <v>0</v>
      </c>
      <c r="BI341" s="4">
        <f t="shared" si="265"/>
        <v>0</v>
      </c>
      <c r="BJ341" s="4">
        <f t="shared" si="266"/>
        <v>0</v>
      </c>
      <c r="BK341" s="4">
        <f t="shared" si="267"/>
        <v>0</v>
      </c>
      <c r="BL341" s="4">
        <f t="shared" si="268"/>
        <v>0</v>
      </c>
      <c r="BM341" s="4">
        <f t="shared" si="269"/>
        <v>0</v>
      </c>
      <c r="BN341" s="4">
        <f t="shared" si="270"/>
        <v>0</v>
      </c>
      <c r="BO341" s="4">
        <f t="shared" si="271"/>
        <v>0</v>
      </c>
      <c r="BP341" s="4">
        <f t="shared" si="272"/>
        <v>0</v>
      </c>
      <c r="BQ341" s="4">
        <f t="shared" si="273"/>
        <v>0</v>
      </c>
      <c r="BR341" s="4">
        <f t="shared" si="274"/>
        <v>0</v>
      </c>
      <c r="BS341" s="4">
        <f t="shared" si="275"/>
        <v>0</v>
      </c>
      <c r="BT341" s="4">
        <f t="shared" si="276"/>
        <v>0</v>
      </c>
      <c r="BU341" s="4">
        <f t="shared" si="277"/>
        <v>0</v>
      </c>
      <c r="BV341" s="4">
        <f t="shared" si="278"/>
        <v>0</v>
      </c>
      <c r="BW341" s="4">
        <f t="shared" si="279"/>
        <v>0</v>
      </c>
      <c r="BX341" s="4">
        <f t="shared" si="280"/>
        <v>0</v>
      </c>
      <c r="BY341" s="4">
        <f t="shared" si="281"/>
        <v>0</v>
      </c>
      <c r="BZ341" s="4">
        <f t="shared" si="282"/>
        <v>0</v>
      </c>
      <c r="CA341" s="4">
        <f t="shared" si="283"/>
        <v>0</v>
      </c>
      <c r="CB341" s="4">
        <f t="shared" si="284"/>
        <v>0</v>
      </c>
      <c r="CC341" s="4">
        <f t="shared" si="285"/>
        <v>0</v>
      </c>
      <c r="CD341" s="4">
        <f t="shared" si="286"/>
        <v>0</v>
      </c>
      <c r="CE341" s="4">
        <f t="shared" si="287"/>
        <v>0</v>
      </c>
      <c r="CF341" s="4">
        <f t="shared" si="288"/>
        <v>0</v>
      </c>
      <c r="CG341" s="4">
        <f t="shared" si="289"/>
        <v>0</v>
      </c>
      <c r="CH341" s="4">
        <f t="shared" si="290"/>
        <v>0</v>
      </c>
      <c r="CI341" s="4">
        <f t="shared" si="291"/>
        <v>0</v>
      </c>
      <c r="CJ341" s="4">
        <f t="shared" si="292"/>
        <v>0</v>
      </c>
      <c r="CK341" s="4">
        <f t="shared" si="293"/>
        <v>0</v>
      </c>
      <c r="CL341" s="4">
        <f t="shared" si="294"/>
        <v>0</v>
      </c>
      <c r="CM341" s="4">
        <f t="shared" si="295"/>
        <v>0</v>
      </c>
      <c r="CN341" s="4">
        <f t="shared" si="296"/>
        <v>0</v>
      </c>
      <c r="CO341" s="4">
        <f t="shared" si="297"/>
        <v>0</v>
      </c>
      <c r="CP341" s="4">
        <f t="shared" si="298"/>
        <v>0</v>
      </c>
      <c r="CQ341" s="4">
        <f t="shared" si="299"/>
        <v>0</v>
      </c>
      <c r="CR341" s="4">
        <f t="shared" si="300"/>
        <v>0</v>
      </c>
      <c r="CS341" s="4">
        <f t="shared" si="301"/>
        <v>0</v>
      </c>
      <c r="CT341" s="4">
        <f t="shared" si="302"/>
        <v>0</v>
      </c>
      <c r="CU341" s="4">
        <f t="shared" si="303"/>
        <v>0</v>
      </c>
      <c r="CV341" s="4">
        <f t="shared" si="304"/>
        <v>0</v>
      </c>
      <c r="CW341" s="4">
        <f t="shared" si="305"/>
        <v>0</v>
      </c>
      <c r="CX341" s="4">
        <f t="shared" si="306"/>
        <v>0</v>
      </c>
      <c r="CY341" s="4">
        <f t="shared" si="307"/>
        <v>0</v>
      </c>
      <c r="CZ341" s="4">
        <f t="shared" si="308"/>
        <v>0</v>
      </c>
      <c r="DA341" s="4">
        <f t="shared" si="309"/>
        <v>0</v>
      </c>
      <c r="DB341" s="4">
        <f t="shared" si="310"/>
        <v>0</v>
      </c>
      <c r="DC341" s="4">
        <f t="shared" si="311"/>
        <v>0</v>
      </c>
      <c r="DD341" s="4">
        <f t="shared" si="312"/>
        <v>0</v>
      </c>
    </row>
    <row r="342" spans="1:108" x14ac:dyDescent="0.25">
      <c r="A342" s="41" t="str">
        <f>Skills!M324</f>
        <v>Tactics Lore, Strategic</v>
      </c>
      <c r="B342" s="55" t="str">
        <f>Skills!N324</f>
        <v>Strategic</v>
      </c>
      <c r="C342" s="22">
        <f t="shared" si="313"/>
        <v>0</v>
      </c>
      <c r="D342" s="112" t="e">
        <f>Skills!S324</f>
        <v>#N/A</v>
      </c>
      <c r="E342" s="113" t="e">
        <f>Profession!$B$146</f>
        <v>#REF!</v>
      </c>
      <c r="F342" s="19"/>
      <c r="G342" s="19"/>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56"/>
      <c r="BF342" s="4">
        <f t="shared" ref="BF342:BG384" si="314">IF(F342=1,(LEFT($E342,2))*1,IF(F342=2,((LEFT($E342,2))+(MID($E342,FIND("/",$E342)+2,2))),IF(F342=3,((LEFT($E342,2))+(MID($E342,FIND("/",$E342)+2,2))+(RIGHT($E342,2))),0)))</f>
        <v>0</v>
      </c>
      <c r="BG342" s="4">
        <f t="shared" si="314"/>
        <v>0</v>
      </c>
      <c r="BH342" s="4">
        <f t="shared" ref="BH342:BH384" si="315">IF(H342=1,(LEFT($E342,2))*1,IF(H342=2,((LEFT($E342,2))+(MID($E342,FIND("/",$E342)+2,2))),IF(H342=3,((LEFT($E342,2))+(MID($E342,FIND("/",$E342)+2,2))+(RIGHT($E342,2))),0)))</f>
        <v>0</v>
      </c>
      <c r="BI342" s="4">
        <f t="shared" ref="BI342:BI384" si="316">IF(I342=1,(LEFT($E342,2))*1,IF(I342=2,((LEFT($E342,2))+(MID($E342,FIND("/",$E342)+2,2))),IF(I342=3,((LEFT($E342,2))+(MID($E342,FIND("/",$E342)+2,2))+(RIGHT($E342,2))),0)))</f>
        <v>0</v>
      </c>
      <c r="BJ342" s="4">
        <f t="shared" ref="BJ342:BJ384" si="317">IF(J342=1,(LEFT($E342,2))*1,IF(J342=2,((LEFT($E342,2))+(MID($E342,FIND("/",$E342)+2,2))),IF(J342=3,((LEFT($E342,2))+(MID($E342,FIND("/",$E342)+2,2))+(RIGHT($E342,2))),0)))</f>
        <v>0</v>
      </c>
      <c r="BK342" s="4">
        <f t="shared" ref="BK342:BK384" si="318">IF(K342=1,(LEFT($E342,2))*1,IF(K342=2,((LEFT($E342,2))+(MID($E342,FIND("/",$E342)+2,2))),IF(K342=3,((LEFT($E342,2))+(MID($E342,FIND("/",$E342)+2,2))+(RIGHT($E342,2))),0)))</f>
        <v>0</v>
      </c>
      <c r="BL342" s="4">
        <f t="shared" ref="BL342:BL384" si="319">IF(L342=1,(LEFT($E342,2))*1,IF(L342=2,((LEFT($E342,2))+(MID($E342,FIND("/",$E342)+2,2))),IF(L342=3,((LEFT($E342,2))+(MID($E342,FIND("/",$E342)+2,2))+(RIGHT($E342,2))),0)))</f>
        <v>0</v>
      </c>
      <c r="BM342" s="4">
        <f t="shared" ref="BM342:BM384" si="320">IF(M342=1,(LEFT($E342,2))*1,IF(M342=2,((LEFT($E342,2))+(MID($E342,FIND("/",$E342)+2,2))),IF(M342=3,((LEFT($E342,2))+(MID($E342,FIND("/",$E342)+2,2))+(RIGHT($E342,2))),0)))</f>
        <v>0</v>
      </c>
      <c r="BN342" s="4">
        <f t="shared" ref="BN342:BN384" si="321">IF(N342=1,(LEFT($E342,2))*1,IF(N342=2,((LEFT($E342,2))+(MID($E342,FIND("/",$E342)+2,2))),IF(N342=3,((LEFT($E342,2))+(MID($E342,FIND("/",$E342)+2,2))+(RIGHT($E342,2))),0)))</f>
        <v>0</v>
      </c>
      <c r="BO342" s="4">
        <f t="shared" ref="BO342:BO384" si="322">IF(O342=1,(LEFT($E342,2))*1,IF(O342=2,((LEFT($E342,2))+(MID($E342,FIND("/",$E342)+2,2))),IF(O342=3,((LEFT($E342,2))+(MID($E342,FIND("/",$E342)+2,2))+(RIGHT($E342,2))),0)))</f>
        <v>0</v>
      </c>
      <c r="BP342" s="4">
        <f t="shared" ref="BP342:BP384" si="323">IF(P342=1,(LEFT($E342,2))*1,IF(P342=2,((LEFT($E342,2))+(MID($E342,FIND("/",$E342)+2,2))),IF(P342=3,((LEFT($E342,2))+(MID($E342,FIND("/",$E342)+2,2))+(RIGHT($E342,2))),0)))</f>
        <v>0</v>
      </c>
      <c r="BQ342" s="4">
        <f t="shared" ref="BQ342:BQ384" si="324">IF(Q342=1,(LEFT($E342,2))*1,IF(Q342=2,((LEFT($E342,2))+(MID($E342,FIND("/",$E342)+2,2))),IF(Q342=3,((LEFT($E342,2))+(MID($E342,FIND("/",$E342)+2,2))+(RIGHT($E342,2))),0)))</f>
        <v>0</v>
      </c>
      <c r="BR342" s="4">
        <f t="shared" ref="BR342:BR384" si="325">IF(R342=1,(LEFT($E342,2))*1,IF(R342=2,((LEFT($E342,2))+(MID($E342,FIND("/",$E342)+2,2))),IF(R342=3,((LEFT($E342,2))+(MID($E342,FIND("/",$E342)+2,2))+(RIGHT($E342,2))),0)))</f>
        <v>0</v>
      </c>
      <c r="BS342" s="4">
        <f t="shared" ref="BS342:BS384" si="326">IF(S342=1,(LEFT($E342,2))*1,IF(S342=2,((LEFT($E342,2))+(MID($E342,FIND("/",$E342)+2,2))),IF(S342=3,((LEFT($E342,2))+(MID($E342,FIND("/",$E342)+2,2))+(RIGHT($E342,2))),0)))</f>
        <v>0</v>
      </c>
      <c r="BT342" s="4">
        <f t="shared" ref="BT342:BT384" si="327">IF(T342=1,(LEFT($E342,2))*1,IF(T342=2,((LEFT($E342,2))+(MID($E342,FIND("/",$E342)+2,2))),IF(T342=3,((LEFT($E342,2))+(MID($E342,FIND("/",$E342)+2,2))+(RIGHT($E342,2))),0)))</f>
        <v>0</v>
      </c>
      <c r="BU342" s="4">
        <f t="shared" ref="BU342:BU384" si="328">IF(U342=1,(LEFT($E342,2))*1,IF(U342=2,((LEFT($E342,2))+(MID($E342,FIND("/",$E342)+2,2))),IF(U342=3,((LEFT($E342,2))+(MID($E342,FIND("/",$E342)+2,2))+(RIGHT($E342,2))),0)))</f>
        <v>0</v>
      </c>
      <c r="BV342" s="4">
        <f t="shared" ref="BV342:BV384" si="329">IF(V342=1,(LEFT($E342,2))*1,IF(V342=2,((LEFT($E342,2))+(MID($E342,FIND("/",$E342)+2,2))),IF(V342=3,((LEFT($E342,2))+(MID($E342,FIND("/",$E342)+2,2))+(RIGHT($E342,2))),0)))</f>
        <v>0</v>
      </c>
      <c r="BW342" s="4">
        <f t="shared" ref="BW342:BW384" si="330">IF(W342=1,(LEFT($E342,2))*1,IF(W342=2,((LEFT($E342,2))+(MID($E342,FIND("/",$E342)+2,2))),IF(W342=3,((LEFT($E342,2))+(MID($E342,FIND("/",$E342)+2,2))+(RIGHT($E342,2))),0)))</f>
        <v>0</v>
      </c>
      <c r="BX342" s="4">
        <f t="shared" ref="BX342:BX384" si="331">IF(X342=1,(LEFT($E342,2))*1,IF(X342=2,((LEFT($E342,2))+(MID($E342,FIND("/",$E342)+2,2))),IF(X342=3,((LEFT($E342,2))+(MID($E342,FIND("/",$E342)+2,2))+(RIGHT($E342,2))),0)))</f>
        <v>0</v>
      </c>
      <c r="BY342" s="4">
        <f t="shared" ref="BY342:BY384" si="332">IF(Y342=1,(LEFT($E342,2))*1,IF(Y342=2,((LEFT($E342,2))+(MID($E342,FIND("/",$E342)+2,2))),IF(Y342=3,((LEFT($E342,2))+(MID($E342,FIND("/",$E342)+2,2))+(RIGHT($E342,2))),0)))</f>
        <v>0</v>
      </c>
      <c r="BZ342" s="4">
        <f t="shared" ref="BZ342:BZ384" si="333">IF(Z342=1,(LEFT($E342,2))*1,IF(Z342=2,((LEFT($E342,2))+(MID($E342,FIND("/",$E342)+2,2))),IF(Z342=3,((LEFT($E342,2))+(MID($E342,FIND("/",$E342)+2,2))+(RIGHT($E342,2))),0)))</f>
        <v>0</v>
      </c>
      <c r="CA342" s="4">
        <f t="shared" ref="CA342:CA384" si="334">IF(AA342=1,(LEFT($E342,2))*1,IF(AA342=2,((LEFT($E342,2))+(MID($E342,FIND("/",$E342)+2,2))),IF(AA342=3,((LEFT($E342,2))+(MID($E342,FIND("/",$E342)+2,2))+(RIGHT($E342,2))),0)))</f>
        <v>0</v>
      </c>
      <c r="CB342" s="4">
        <f t="shared" ref="CB342:CB384" si="335">IF(AB342=1,(LEFT($E342,2))*1,IF(AB342=2,((LEFT($E342,2))+(MID($E342,FIND("/",$E342)+2,2))),IF(AB342=3,((LEFT($E342,2))+(MID($E342,FIND("/",$E342)+2,2))+(RIGHT($E342,2))),0)))</f>
        <v>0</v>
      </c>
      <c r="CC342" s="4">
        <f t="shared" ref="CC342:CC384" si="336">IF(AC342=1,(LEFT($E342,2))*1,IF(AC342=2,((LEFT($E342,2))+(MID($E342,FIND("/",$E342)+2,2))),IF(AC342=3,((LEFT($E342,2))+(MID($E342,FIND("/",$E342)+2,2))+(RIGHT($E342,2))),0)))</f>
        <v>0</v>
      </c>
      <c r="CD342" s="4">
        <f t="shared" ref="CD342:CD384" si="337">IF(AD342=1,(LEFT($E342,2))*1,IF(AD342=2,((LEFT($E342,2))+(MID($E342,FIND("/",$E342)+2,2))),IF(AD342=3,((LEFT($E342,2))+(MID($E342,FIND("/",$E342)+2,2))+(RIGHT($E342,2))),0)))</f>
        <v>0</v>
      </c>
      <c r="CE342" s="4">
        <f t="shared" ref="CE342:CE384" si="338">IF(AE342=1,(LEFT($E342,2))*1,IF(AE342=2,((LEFT($E342,2))+(MID($E342,FIND("/",$E342)+2,2))),IF(AE342=3,((LEFT($E342,2))+(MID($E342,FIND("/",$E342)+2,2))+(RIGHT($E342,2))),0)))</f>
        <v>0</v>
      </c>
      <c r="CF342" s="4">
        <f t="shared" ref="CF342:CF384" si="339">IF(AF342=1,(LEFT($E342,2))*1,IF(AF342=2,((LEFT($E342,2))+(MID($E342,FIND("/",$E342)+2,2))),IF(AF342=3,((LEFT($E342,2))+(MID($E342,FIND("/",$E342)+2,2))+(RIGHT($E342,2))),0)))</f>
        <v>0</v>
      </c>
      <c r="CG342" s="4">
        <f t="shared" ref="CG342:CG384" si="340">IF(AG342=1,(LEFT($E342,2))*1,IF(AG342=2,((LEFT($E342,2))+(MID($E342,FIND("/",$E342)+2,2))),IF(AG342=3,((LEFT($E342,2))+(MID($E342,FIND("/",$E342)+2,2))+(RIGHT($E342,2))),0)))</f>
        <v>0</v>
      </c>
      <c r="CH342" s="4">
        <f t="shared" ref="CH342:CH384" si="341">IF(AH342=1,(LEFT($E342,2))*1,IF(AH342=2,((LEFT($E342,2))+(MID($E342,FIND("/",$E342)+2,2))),IF(AH342=3,((LEFT($E342,2))+(MID($E342,FIND("/",$E342)+2,2))+(RIGHT($E342,2))),0)))</f>
        <v>0</v>
      </c>
      <c r="CI342" s="4">
        <f t="shared" ref="CI342:CI384" si="342">IF(AI342=1,(LEFT($E342,2))*1,IF(AI342=2,((LEFT($E342,2))+(MID($E342,FIND("/",$E342)+2,2))),IF(AI342=3,((LEFT($E342,2))+(MID($E342,FIND("/",$E342)+2,2))+(RIGHT($E342,2))),0)))</f>
        <v>0</v>
      </c>
      <c r="CJ342" s="4">
        <f t="shared" ref="CJ342:CJ384" si="343">IF(AJ342=1,(LEFT($E342,2))*1,IF(AJ342=2,((LEFT($E342,2))+(MID($E342,FIND("/",$E342)+2,2))),IF(AJ342=3,((LEFT($E342,2))+(MID($E342,FIND("/",$E342)+2,2))+(RIGHT($E342,2))),0)))</f>
        <v>0</v>
      </c>
      <c r="CK342" s="4">
        <f t="shared" ref="CK342:CK384" si="344">IF(AK342=1,(LEFT($E342,2))*1,IF(AK342=2,((LEFT($E342,2))+(MID($E342,FIND("/",$E342)+2,2))),IF(AK342=3,((LEFT($E342,2))+(MID($E342,FIND("/",$E342)+2,2))+(RIGHT($E342,2))),0)))</f>
        <v>0</v>
      </c>
      <c r="CL342" s="4">
        <f t="shared" ref="CL342:CL384" si="345">IF(AL342=1,(LEFT($E342,2))*1,IF(AL342=2,((LEFT($E342,2))+(MID($E342,FIND("/",$E342)+2,2))),IF(AL342=3,((LEFT($E342,2))+(MID($E342,FIND("/",$E342)+2,2))+(RIGHT($E342,2))),0)))</f>
        <v>0</v>
      </c>
      <c r="CM342" s="4">
        <f t="shared" ref="CM342:CM384" si="346">IF(AM342=1,(LEFT($E342,2))*1,IF(AM342=2,((LEFT($E342,2))+(MID($E342,FIND("/",$E342)+2,2))),IF(AM342=3,((LEFT($E342,2))+(MID($E342,FIND("/",$E342)+2,2))+(RIGHT($E342,2))),0)))</f>
        <v>0</v>
      </c>
      <c r="CN342" s="4">
        <f t="shared" ref="CN342:CN384" si="347">IF(AN342=1,(LEFT($E342,2))*1,IF(AN342=2,((LEFT($E342,2))+(MID($E342,FIND("/",$E342)+2,2))),IF(AN342=3,((LEFT($E342,2))+(MID($E342,FIND("/",$E342)+2,2))+(RIGHT($E342,2))),0)))</f>
        <v>0</v>
      </c>
      <c r="CO342" s="4">
        <f t="shared" ref="CO342:CO384" si="348">IF(AO342=1,(LEFT($E342,2))*1,IF(AO342=2,((LEFT($E342,2))+(MID($E342,FIND("/",$E342)+2,2))),IF(AO342=3,((LEFT($E342,2))+(MID($E342,FIND("/",$E342)+2,2))+(RIGHT($E342,2))),0)))</f>
        <v>0</v>
      </c>
      <c r="CP342" s="4">
        <f t="shared" ref="CP342:CP384" si="349">IF(AP342=1,(LEFT($E342,2))*1,IF(AP342=2,((LEFT($E342,2))+(MID($E342,FIND("/",$E342)+2,2))),IF(AP342=3,((LEFT($E342,2))+(MID($E342,FIND("/",$E342)+2,2))+(RIGHT($E342,2))),0)))</f>
        <v>0</v>
      </c>
      <c r="CQ342" s="4">
        <f t="shared" ref="CQ342:CQ384" si="350">IF(AQ342=1,(LEFT($E342,2))*1,IF(AQ342=2,((LEFT($E342,2))+(MID($E342,FIND("/",$E342)+2,2))),IF(AQ342=3,((LEFT($E342,2))+(MID($E342,FIND("/",$E342)+2,2))+(RIGHT($E342,2))),0)))</f>
        <v>0</v>
      </c>
      <c r="CR342" s="4">
        <f t="shared" ref="CR342:CR384" si="351">IF(AR342=1,(LEFT($E342,2))*1,IF(AR342=2,((LEFT($E342,2))+(MID($E342,FIND("/",$E342)+2,2))),IF(AR342=3,((LEFT($E342,2))+(MID($E342,FIND("/",$E342)+2,2))+(RIGHT($E342,2))),0)))</f>
        <v>0</v>
      </c>
      <c r="CS342" s="4">
        <f t="shared" ref="CS342:CS384" si="352">IF(AS342=1,(LEFT($E342,2))*1,IF(AS342=2,((LEFT($E342,2))+(MID($E342,FIND("/",$E342)+2,2))),IF(AS342=3,((LEFT($E342,2))+(MID($E342,FIND("/",$E342)+2,2))+(RIGHT($E342,2))),0)))</f>
        <v>0</v>
      </c>
      <c r="CT342" s="4">
        <f t="shared" ref="CT342:CT384" si="353">IF(AT342=1,(LEFT($E342,2))*1,IF(AT342=2,((LEFT($E342,2))+(MID($E342,FIND("/",$E342)+2,2))),IF(AT342=3,((LEFT($E342,2))+(MID($E342,FIND("/",$E342)+2,2))+(RIGHT($E342,2))),0)))</f>
        <v>0</v>
      </c>
      <c r="CU342" s="4">
        <f t="shared" ref="CU342:CU384" si="354">IF(AU342=1,(LEFT($E342,2))*1,IF(AU342=2,((LEFT($E342,2))+(MID($E342,FIND("/",$E342)+2,2))),IF(AU342=3,((LEFT($E342,2))+(MID($E342,FIND("/",$E342)+2,2))+(RIGHT($E342,2))),0)))</f>
        <v>0</v>
      </c>
      <c r="CV342" s="4">
        <f t="shared" ref="CV342:CV384" si="355">IF(AV342=1,(LEFT($E342,2))*1,IF(AV342=2,((LEFT($E342,2))+(MID($E342,FIND("/",$E342)+2,2))),IF(AV342=3,((LEFT($E342,2))+(MID($E342,FIND("/",$E342)+2,2))+(RIGHT($E342,2))),0)))</f>
        <v>0</v>
      </c>
      <c r="CW342" s="4">
        <f t="shared" ref="CW342:CW384" si="356">IF(AW342=1,(LEFT($E342,2))*1,IF(AW342=2,((LEFT($E342,2))+(MID($E342,FIND("/",$E342)+2,2))),IF(AW342=3,((LEFT($E342,2))+(MID($E342,FIND("/",$E342)+2,2))+(RIGHT($E342,2))),0)))</f>
        <v>0</v>
      </c>
      <c r="CX342" s="4">
        <f t="shared" ref="CX342:CX384" si="357">IF(AX342=1,(LEFT($E342,2))*1,IF(AX342=2,((LEFT($E342,2))+(MID($E342,FIND("/",$E342)+2,2))),IF(AX342=3,((LEFT($E342,2))+(MID($E342,FIND("/",$E342)+2,2))+(RIGHT($E342,2))),0)))</f>
        <v>0</v>
      </c>
      <c r="CY342" s="4">
        <f t="shared" ref="CY342:CY384" si="358">IF(AY342=1,(LEFT($E342,2))*1,IF(AY342=2,((LEFT($E342,2))+(MID($E342,FIND("/",$E342)+2,2))),IF(AY342=3,((LEFT($E342,2))+(MID($E342,FIND("/",$E342)+2,2))+(RIGHT($E342,2))),0)))</f>
        <v>0</v>
      </c>
      <c r="CZ342" s="4">
        <f t="shared" ref="CZ342:CZ384" si="359">IF(AZ342=1,(LEFT($E342,2))*1,IF(AZ342=2,((LEFT($E342,2))+(MID($E342,FIND("/",$E342)+2,2))),IF(AZ342=3,((LEFT($E342,2))+(MID($E342,FIND("/",$E342)+2,2))+(RIGHT($E342,2))),0)))</f>
        <v>0</v>
      </c>
      <c r="DA342" s="4">
        <f t="shared" ref="DA342:DA384" si="360">IF(BA342=1,(LEFT($E342,2))*1,IF(BA342=2,((LEFT($E342,2))+(MID($E342,FIND("/",$E342)+2,2))),IF(BA342=3,((LEFT($E342,2))+(MID($E342,FIND("/",$E342)+2,2))+(RIGHT($E342,2))),0)))</f>
        <v>0</v>
      </c>
      <c r="DB342" s="4">
        <f t="shared" ref="DB342:DB384" si="361">IF(BB342=1,(LEFT($E342,2))*1,IF(BB342=2,((LEFT($E342,2))+(MID($E342,FIND("/",$E342)+2,2))),IF(BB342=3,((LEFT($E342,2))+(MID($E342,FIND("/",$E342)+2,2))+(RIGHT($E342,2))),0)))</f>
        <v>0</v>
      </c>
      <c r="DC342" s="4">
        <f t="shared" ref="DC342:DC384" si="362">IF(BC342=1,(LEFT($E342,2))*1,IF(BC342=2,((LEFT($E342,2))+(MID($E342,FIND("/",$E342)+2,2))),IF(BC342=3,((LEFT($E342,2))+(MID($E342,FIND("/",$E342)+2,2))+(RIGHT($E342,2))),0)))</f>
        <v>0</v>
      </c>
      <c r="DD342" s="4">
        <f t="shared" ref="DD342:DD384" si="363">IF(BD342=1,(LEFT($E342,2))*1,IF(BD342=2,((LEFT($E342,2))+(MID($E342,FIND("/",$E342)+2,2))),IF(BD342=3,((LEFT($E342,2))+(MID($E342,FIND("/",$E342)+2,2))+(RIGHT($E342,2))),0)))</f>
        <v>0</v>
      </c>
    </row>
    <row r="343" spans="1:108" x14ac:dyDescent="0.25">
      <c r="A343" s="41">
        <f>Skills!M325</f>
        <v>0</v>
      </c>
      <c r="B343" s="57" t="str">
        <f>Skills!N325</f>
        <v>Medical Category</v>
      </c>
      <c r="C343" s="24">
        <f t="shared" si="313"/>
        <v>0</v>
      </c>
      <c r="D343" s="110" t="str">
        <f>Skills!S325</f>
        <v>- -</v>
      </c>
      <c r="E343" s="111" t="s">
        <v>782</v>
      </c>
      <c r="F343" s="18"/>
      <c r="G343" s="18"/>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49"/>
      <c r="BF343" s="4">
        <f t="shared" si="314"/>
        <v>0</v>
      </c>
      <c r="BG343" s="4">
        <f t="shared" si="314"/>
        <v>0</v>
      </c>
      <c r="BH343" s="4">
        <f t="shared" si="315"/>
        <v>0</v>
      </c>
      <c r="BI343" s="4">
        <f t="shared" si="316"/>
        <v>0</v>
      </c>
      <c r="BJ343" s="4">
        <f t="shared" si="317"/>
        <v>0</v>
      </c>
      <c r="BK343" s="4">
        <f t="shared" si="318"/>
        <v>0</v>
      </c>
      <c r="BL343" s="4">
        <f t="shared" si="319"/>
        <v>0</v>
      </c>
      <c r="BM343" s="4">
        <f t="shared" si="320"/>
        <v>0</v>
      </c>
      <c r="BN343" s="4">
        <f t="shared" si="321"/>
        <v>0</v>
      </c>
      <c r="BO343" s="4">
        <f t="shared" si="322"/>
        <v>0</v>
      </c>
      <c r="BP343" s="4">
        <f t="shared" si="323"/>
        <v>0</v>
      </c>
      <c r="BQ343" s="4">
        <f t="shared" si="324"/>
        <v>0</v>
      </c>
      <c r="BR343" s="4">
        <f t="shared" si="325"/>
        <v>0</v>
      </c>
      <c r="BS343" s="4">
        <f t="shared" si="326"/>
        <v>0</v>
      </c>
      <c r="BT343" s="4">
        <f t="shared" si="327"/>
        <v>0</v>
      </c>
      <c r="BU343" s="4">
        <f t="shared" si="328"/>
        <v>0</v>
      </c>
      <c r="BV343" s="4">
        <f t="shared" si="329"/>
        <v>0</v>
      </c>
      <c r="BW343" s="4">
        <f t="shared" si="330"/>
        <v>0</v>
      </c>
      <c r="BX343" s="4">
        <f t="shared" si="331"/>
        <v>0</v>
      </c>
      <c r="BY343" s="4">
        <f t="shared" si="332"/>
        <v>0</v>
      </c>
      <c r="BZ343" s="4">
        <f t="shared" si="333"/>
        <v>0</v>
      </c>
      <c r="CA343" s="4">
        <f t="shared" si="334"/>
        <v>0</v>
      </c>
      <c r="CB343" s="4">
        <f t="shared" si="335"/>
        <v>0</v>
      </c>
      <c r="CC343" s="4">
        <f t="shared" si="336"/>
        <v>0</v>
      </c>
      <c r="CD343" s="4">
        <f t="shared" si="337"/>
        <v>0</v>
      </c>
      <c r="CE343" s="4">
        <f t="shared" si="338"/>
        <v>0</v>
      </c>
      <c r="CF343" s="4">
        <f t="shared" si="339"/>
        <v>0</v>
      </c>
      <c r="CG343" s="4">
        <f t="shared" si="340"/>
        <v>0</v>
      </c>
      <c r="CH343" s="4">
        <f t="shared" si="341"/>
        <v>0</v>
      </c>
      <c r="CI343" s="4">
        <f t="shared" si="342"/>
        <v>0</v>
      </c>
      <c r="CJ343" s="4">
        <f t="shared" si="343"/>
        <v>0</v>
      </c>
      <c r="CK343" s="4">
        <f t="shared" si="344"/>
        <v>0</v>
      </c>
      <c r="CL343" s="4">
        <f t="shared" si="345"/>
        <v>0</v>
      </c>
      <c r="CM343" s="4">
        <f t="shared" si="346"/>
        <v>0</v>
      </c>
      <c r="CN343" s="4">
        <f t="shared" si="347"/>
        <v>0</v>
      </c>
      <c r="CO343" s="4">
        <f t="shared" si="348"/>
        <v>0</v>
      </c>
      <c r="CP343" s="4">
        <f t="shared" si="349"/>
        <v>0</v>
      </c>
      <c r="CQ343" s="4">
        <f t="shared" si="350"/>
        <v>0</v>
      </c>
      <c r="CR343" s="4">
        <f t="shared" si="351"/>
        <v>0</v>
      </c>
      <c r="CS343" s="4">
        <f t="shared" si="352"/>
        <v>0</v>
      </c>
      <c r="CT343" s="4">
        <f t="shared" si="353"/>
        <v>0</v>
      </c>
      <c r="CU343" s="4">
        <f t="shared" si="354"/>
        <v>0</v>
      </c>
      <c r="CV343" s="4">
        <f t="shared" si="355"/>
        <v>0</v>
      </c>
      <c r="CW343" s="4">
        <f t="shared" si="356"/>
        <v>0</v>
      </c>
      <c r="CX343" s="4">
        <f t="shared" si="357"/>
        <v>0</v>
      </c>
      <c r="CY343" s="4">
        <f t="shared" si="358"/>
        <v>0</v>
      </c>
      <c r="CZ343" s="4">
        <f t="shared" si="359"/>
        <v>0</v>
      </c>
      <c r="DA343" s="4">
        <f t="shared" si="360"/>
        <v>0</v>
      </c>
      <c r="DB343" s="4">
        <f t="shared" si="361"/>
        <v>0</v>
      </c>
      <c r="DC343" s="4">
        <f t="shared" si="362"/>
        <v>0</v>
      </c>
      <c r="DD343" s="4">
        <f t="shared" si="363"/>
        <v>0</v>
      </c>
    </row>
    <row r="344" spans="1:108" x14ac:dyDescent="0.25">
      <c r="A344" s="41">
        <f>Skills!M326</f>
        <v>0</v>
      </c>
      <c r="B344" s="55" t="str">
        <f>Skills!N326</f>
        <v>Medical Skills</v>
      </c>
      <c r="C344" s="22">
        <f t="shared" si="313"/>
        <v>0</v>
      </c>
      <c r="D344" s="112" t="str">
        <f>Skills!S326</f>
        <v>- -</v>
      </c>
      <c r="E344" s="113" t="s">
        <v>782</v>
      </c>
      <c r="F344" s="19"/>
      <c r="G344" s="19"/>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56"/>
      <c r="BF344" s="4">
        <f t="shared" si="314"/>
        <v>0</v>
      </c>
      <c r="BG344" s="4">
        <f t="shared" si="314"/>
        <v>0</v>
      </c>
      <c r="BH344" s="4">
        <f t="shared" si="315"/>
        <v>0</v>
      </c>
      <c r="BI344" s="4">
        <f t="shared" si="316"/>
        <v>0</v>
      </c>
      <c r="BJ344" s="4">
        <f t="shared" si="317"/>
        <v>0</v>
      </c>
      <c r="BK344" s="4">
        <f t="shared" si="318"/>
        <v>0</v>
      </c>
      <c r="BL344" s="4">
        <f t="shared" si="319"/>
        <v>0</v>
      </c>
      <c r="BM344" s="4">
        <f t="shared" si="320"/>
        <v>0</v>
      </c>
      <c r="BN344" s="4">
        <f t="shared" si="321"/>
        <v>0</v>
      </c>
      <c r="BO344" s="4">
        <f t="shared" si="322"/>
        <v>0</v>
      </c>
      <c r="BP344" s="4">
        <f t="shared" si="323"/>
        <v>0</v>
      </c>
      <c r="BQ344" s="4">
        <f t="shared" si="324"/>
        <v>0</v>
      </c>
      <c r="BR344" s="4">
        <f t="shared" si="325"/>
        <v>0</v>
      </c>
      <c r="BS344" s="4">
        <f t="shared" si="326"/>
        <v>0</v>
      </c>
      <c r="BT344" s="4">
        <f t="shared" si="327"/>
        <v>0</v>
      </c>
      <c r="BU344" s="4">
        <f t="shared" si="328"/>
        <v>0</v>
      </c>
      <c r="BV344" s="4">
        <f t="shared" si="329"/>
        <v>0</v>
      </c>
      <c r="BW344" s="4">
        <f t="shared" si="330"/>
        <v>0</v>
      </c>
      <c r="BX344" s="4">
        <f t="shared" si="331"/>
        <v>0</v>
      </c>
      <c r="BY344" s="4">
        <f t="shared" si="332"/>
        <v>0</v>
      </c>
      <c r="BZ344" s="4">
        <f t="shared" si="333"/>
        <v>0</v>
      </c>
      <c r="CA344" s="4">
        <f t="shared" si="334"/>
        <v>0</v>
      </c>
      <c r="CB344" s="4">
        <f t="shared" si="335"/>
        <v>0</v>
      </c>
      <c r="CC344" s="4">
        <f t="shared" si="336"/>
        <v>0</v>
      </c>
      <c r="CD344" s="4">
        <f t="shared" si="337"/>
        <v>0</v>
      </c>
      <c r="CE344" s="4">
        <f t="shared" si="338"/>
        <v>0</v>
      </c>
      <c r="CF344" s="4">
        <f t="shared" si="339"/>
        <v>0</v>
      </c>
      <c r="CG344" s="4">
        <f t="shared" si="340"/>
        <v>0</v>
      </c>
      <c r="CH344" s="4">
        <f t="shared" si="341"/>
        <v>0</v>
      </c>
      <c r="CI344" s="4">
        <f t="shared" si="342"/>
        <v>0</v>
      </c>
      <c r="CJ344" s="4">
        <f t="shared" si="343"/>
        <v>0</v>
      </c>
      <c r="CK344" s="4">
        <f t="shared" si="344"/>
        <v>0</v>
      </c>
      <c r="CL344" s="4">
        <f t="shared" si="345"/>
        <v>0</v>
      </c>
      <c r="CM344" s="4">
        <f t="shared" si="346"/>
        <v>0</v>
      </c>
      <c r="CN344" s="4">
        <f t="shared" si="347"/>
        <v>0</v>
      </c>
      <c r="CO344" s="4">
        <f t="shared" si="348"/>
        <v>0</v>
      </c>
      <c r="CP344" s="4">
        <f t="shared" si="349"/>
        <v>0</v>
      </c>
      <c r="CQ344" s="4">
        <f t="shared" si="350"/>
        <v>0</v>
      </c>
      <c r="CR344" s="4">
        <f t="shared" si="351"/>
        <v>0</v>
      </c>
      <c r="CS344" s="4">
        <f t="shared" si="352"/>
        <v>0</v>
      </c>
      <c r="CT344" s="4">
        <f t="shared" si="353"/>
        <v>0</v>
      </c>
      <c r="CU344" s="4">
        <f t="shared" si="354"/>
        <v>0</v>
      </c>
      <c r="CV344" s="4">
        <f t="shared" si="355"/>
        <v>0</v>
      </c>
      <c r="CW344" s="4">
        <f t="shared" si="356"/>
        <v>0</v>
      </c>
      <c r="CX344" s="4">
        <f t="shared" si="357"/>
        <v>0</v>
      </c>
      <c r="CY344" s="4">
        <f t="shared" si="358"/>
        <v>0</v>
      </c>
      <c r="CZ344" s="4">
        <f t="shared" si="359"/>
        <v>0</v>
      </c>
      <c r="DA344" s="4">
        <f t="shared" si="360"/>
        <v>0</v>
      </c>
      <c r="DB344" s="4">
        <f t="shared" si="361"/>
        <v>0</v>
      </c>
      <c r="DC344" s="4">
        <f t="shared" si="362"/>
        <v>0</v>
      </c>
      <c r="DD344" s="4">
        <f t="shared" si="363"/>
        <v>0</v>
      </c>
    </row>
    <row r="345" spans="1:108" x14ac:dyDescent="0.25">
      <c r="A345" s="41" t="str">
        <f>Skills!M327</f>
        <v>Herbalism</v>
      </c>
      <c r="B345" s="57" t="str">
        <f>Skills!N327</f>
        <v>Herbalism</v>
      </c>
      <c r="C345" s="24">
        <f t="shared" ref="C345:C387" si="364">SUM(F345:BD345)</f>
        <v>0</v>
      </c>
      <c r="D345" s="110">
        <f>Skills!S327</f>
        <v>0</v>
      </c>
      <c r="E345" s="111" t="e">
        <f>Profession!B148</f>
        <v>#REF!</v>
      </c>
      <c r="F345" s="18"/>
      <c r="G345" s="18"/>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49"/>
      <c r="BF345" s="4">
        <f t="shared" si="314"/>
        <v>0</v>
      </c>
      <c r="BG345" s="4">
        <f t="shared" si="314"/>
        <v>0</v>
      </c>
      <c r="BH345" s="4">
        <f t="shared" si="315"/>
        <v>0</v>
      </c>
      <c r="BI345" s="4">
        <f t="shared" si="316"/>
        <v>0</v>
      </c>
      <c r="BJ345" s="4">
        <f t="shared" si="317"/>
        <v>0</v>
      </c>
      <c r="BK345" s="4">
        <f t="shared" si="318"/>
        <v>0</v>
      </c>
      <c r="BL345" s="4">
        <f t="shared" si="319"/>
        <v>0</v>
      </c>
      <c r="BM345" s="4">
        <f t="shared" si="320"/>
        <v>0</v>
      </c>
      <c r="BN345" s="4">
        <f t="shared" si="321"/>
        <v>0</v>
      </c>
      <c r="BO345" s="4">
        <f t="shared" si="322"/>
        <v>0</v>
      </c>
      <c r="BP345" s="4">
        <f t="shared" si="323"/>
        <v>0</v>
      </c>
      <c r="BQ345" s="4">
        <f t="shared" si="324"/>
        <v>0</v>
      </c>
      <c r="BR345" s="4">
        <f t="shared" si="325"/>
        <v>0</v>
      </c>
      <c r="BS345" s="4">
        <f t="shared" si="326"/>
        <v>0</v>
      </c>
      <c r="BT345" s="4">
        <f t="shared" si="327"/>
        <v>0</v>
      </c>
      <c r="BU345" s="4">
        <f t="shared" si="328"/>
        <v>0</v>
      </c>
      <c r="BV345" s="4">
        <f t="shared" si="329"/>
        <v>0</v>
      </c>
      <c r="BW345" s="4">
        <f t="shared" si="330"/>
        <v>0</v>
      </c>
      <c r="BX345" s="4">
        <f t="shared" si="331"/>
        <v>0</v>
      </c>
      <c r="BY345" s="4">
        <f t="shared" si="332"/>
        <v>0</v>
      </c>
      <c r="BZ345" s="4">
        <f t="shared" si="333"/>
        <v>0</v>
      </c>
      <c r="CA345" s="4">
        <f t="shared" si="334"/>
        <v>0</v>
      </c>
      <c r="CB345" s="4">
        <f t="shared" si="335"/>
        <v>0</v>
      </c>
      <c r="CC345" s="4">
        <f t="shared" si="336"/>
        <v>0</v>
      </c>
      <c r="CD345" s="4">
        <f t="shared" si="337"/>
        <v>0</v>
      </c>
      <c r="CE345" s="4">
        <f t="shared" si="338"/>
        <v>0</v>
      </c>
      <c r="CF345" s="4">
        <f t="shared" si="339"/>
        <v>0</v>
      </c>
      <c r="CG345" s="4">
        <f t="shared" si="340"/>
        <v>0</v>
      </c>
      <c r="CH345" s="4">
        <f t="shared" si="341"/>
        <v>0</v>
      </c>
      <c r="CI345" s="4">
        <f t="shared" si="342"/>
        <v>0</v>
      </c>
      <c r="CJ345" s="4">
        <f t="shared" si="343"/>
        <v>0</v>
      </c>
      <c r="CK345" s="4">
        <f t="shared" si="344"/>
        <v>0</v>
      </c>
      <c r="CL345" s="4">
        <f t="shared" si="345"/>
        <v>0</v>
      </c>
      <c r="CM345" s="4">
        <f t="shared" si="346"/>
        <v>0</v>
      </c>
      <c r="CN345" s="4">
        <f t="shared" si="347"/>
        <v>0</v>
      </c>
      <c r="CO345" s="4">
        <f t="shared" si="348"/>
        <v>0</v>
      </c>
      <c r="CP345" s="4">
        <f t="shared" si="349"/>
        <v>0</v>
      </c>
      <c r="CQ345" s="4">
        <f t="shared" si="350"/>
        <v>0</v>
      </c>
      <c r="CR345" s="4">
        <f t="shared" si="351"/>
        <v>0</v>
      </c>
      <c r="CS345" s="4">
        <f t="shared" si="352"/>
        <v>0</v>
      </c>
      <c r="CT345" s="4">
        <f t="shared" si="353"/>
        <v>0</v>
      </c>
      <c r="CU345" s="4">
        <f t="shared" si="354"/>
        <v>0</v>
      </c>
      <c r="CV345" s="4">
        <f t="shared" si="355"/>
        <v>0</v>
      </c>
      <c r="CW345" s="4">
        <f t="shared" si="356"/>
        <v>0</v>
      </c>
      <c r="CX345" s="4">
        <f t="shared" si="357"/>
        <v>0</v>
      </c>
      <c r="CY345" s="4">
        <f t="shared" si="358"/>
        <v>0</v>
      </c>
      <c r="CZ345" s="4">
        <f t="shared" si="359"/>
        <v>0</v>
      </c>
      <c r="DA345" s="4">
        <f t="shared" si="360"/>
        <v>0</v>
      </c>
      <c r="DB345" s="4">
        <f t="shared" si="361"/>
        <v>0</v>
      </c>
      <c r="DC345" s="4">
        <f t="shared" si="362"/>
        <v>0</v>
      </c>
      <c r="DD345" s="4">
        <f t="shared" si="363"/>
        <v>0</v>
      </c>
    </row>
    <row r="346" spans="1:108" x14ac:dyDescent="0.25">
      <c r="A346" s="41" t="str">
        <f>Skills!M328</f>
        <v>First Aid</v>
      </c>
      <c r="B346" s="55" t="str">
        <f>Skills!N328</f>
        <v>First Aid</v>
      </c>
      <c r="C346" s="22">
        <f t="shared" si="364"/>
        <v>0</v>
      </c>
      <c r="D346" s="112">
        <f>Skills!S328</f>
        <v>2</v>
      </c>
      <c r="E346" s="113" t="e">
        <f>Profession!B149</f>
        <v>#REF!</v>
      </c>
      <c r="F346" s="19"/>
      <c r="G346" s="19"/>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56"/>
      <c r="BF346" s="4">
        <f t="shared" si="314"/>
        <v>0</v>
      </c>
      <c r="BG346" s="4">
        <f t="shared" si="314"/>
        <v>0</v>
      </c>
      <c r="BH346" s="4">
        <f t="shared" si="315"/>
        <v>0</v>
      </c>
      <c r="BI346" s="4">
        <f t="shared" si="316"/>
        <v>0</v>
      </c>
      <c r="BJ346" s="4">
        <f t="shared" si="317"/>
        <v>0</v>
      </c>
      <c r="BK346" s="4">
        <f t="shared" si="318"/>
        <v>0</v>
      </c>
      <c r="BL346" s="4">
        <f t="shared" si="319"/>
        <v>0</v>
      </c>
      <c r="BM346" s="4">
        <f t="shared" si="320"/>
        <v>0</v>
      </c>
      <c r="BN346" s="4">
        <f t="shared" si="321"/>
        <v>0</v>
      </c>
      <c r="BO346" s="4">
        <f t="shared" si="322"/>
        <v>0</v>
      </c>
      <c r="BP346" s="4">
        <f t="shared" si="323"/>
        <v>0</v>
      </c>
      <c r="BQ346" s="4">
        <f t="shared" si="324"/>
        <v>0</v>
      </c>
      <c r="BR346" s="4">
        <f t="shared" si="325"/>
        <v>0</v>
      </c>
      <c r="BS346" s="4">
        <f t="shared" si="326"/>
        <v>0</v>
      </c>
      <c r="BT346" s="4">
        <f t="shared" si="327"/>
        <v>0</v>
      </c>
      <c r="BU346" s="4">
        <f t="shared" si="328"/>
        <v>0</v>
      </c>
      <c r="BV346" s="4">
        <f t="shared" si="329"/>
        <v>0</v>
      </c>
      <c r="BW346" s="4">
        <f t="shared" si="330"/>
        <v>0</v>
      </c>
      <c r="BX346" s="4">
        <f t="shared" si="331"/>
        <v>0</v>
      </c>
      <c r="BY346" s="4">
        <f t="shared" si="332"/>
        <v>0</v>
      </c>
      <c r="BZ346" s="4">
        <f t="shared" si="333"/>
        <v>0</v>
      </c>
      <c r="CA346" s="4">
        <f t="shared" si="334"/>
        <v>0</v>
      </c>
      <c r="CB346" s="4">
        <f t="shared" si="335"/>
        <v>0</v>
      </c>
      <c r="CC346" s="4">
        <f t="shared" si="336"/>
        <v>0</v>
      </c>
      <c r="CD346" s="4">
        <f t="shared" si="337"/>
        <v>0</v>
      </c>
      <c r="CE346" s="4">
        <f t="shared" si="338"/>
        <v>0</v>
      </c>
      <c r="CF346" s="4">
        <f t="shared" si="339"/>
        <v>0</v>
      </c>
      <c r="CG346" s="4">
        <f t="shared" si="340"/>
        <v>0</v>
      </c>
      <c r="CH346" s="4">
        <f t="shared" si="341"/>
        <v>0</v>
      </c>
      <c r="CI346" s="4">
        <f t="shared" si="342"/>
        <v>0</v>
      </c>
      <c r="CJ346" s="4">
        <f t="shared" si="343"/>
        <v>0</v>
      </c>
      <c r="CK346" s="4">
        <f t="shared" si="344"/>
        <v>0</v>
      </c>
      <c r="CL346" s="4">
        <f t="shared" si="345"/>
        <v>0</v>
      </c>
      <c r="CM346" s="4">
        <f t="shared" si="346"/>
        <v>0</v>
      </c>
      <c r="CN346" s="4">
        <f t="shared" si="347"/>
        <v>0</v>
      </c>
      <c r="CO346" s="4">
        <f t="shared" si="348"/>
        <v>0</v>
      </c>
      <c r="CP346" s="4">
        <f t="shared" si="349"/>
        <v>0</v>
      </c>
      <c r="CQ346" s="4">
        <f t="shared" si="350"/>
        <v>0</v>
      </c>
      <c r="CR346" s="4">
        <f t="shared" si="351"/>
        <v>0</v>
      </c>
      <c r="CS346" s="4">
        <f t="shared" si="352"/>
        <v>0</v>
      </c>
      <c r="CT346" s="4">
        <f t="shared" si="353"/>
        <v>0</v>
      </c>
      <c r="CU346" s="4">
        <f t="shared" si="354"/>
        <v>0</v>
      </c>
      <c r="CV346" s="4">
        <f t="shared" si="355"/>
        <v>0</v>
      </c>
      <c r="CW346" s="4">
        <f t="shared" si="356"/>
        <v>0</v>
      </c>
      <c r="CX346" s="4">
        <f t="shared" si="357"/>
        <v>0</v>
      </c>
      <c r="CY346" s="4">
        <f t="shared" si="358"/>
        <v>0</v>
      </c>
      <c r="CZ346" s="4">
        <f t="shared" si="359"/>
        <v>0</v>
      </c>
      <c r="DA346" s="4">
        <f t="shared" si="360"/>
        <v>0</v>
      </c>
      <c r="DB346" s="4">
        <f t="shared" si="361"/>
        <v>0</v>
      </c>
      <c r="DC346" s="4">
        <f t="shared" si="362"/>
        <v>0</v>
      </c>
      <c r="DD346" s="4">
        <f t="shared" si="363"/>
        <v>0</v>
      </c>
    </row>
    <row r="347" spans="1:108" x14ac:dyDescent="0.25">
      <c r="A347" s="41" t="str">
        <f>Skills!M329</f>
        <v>Second Aid</v>
      </c>
      <c r="B347" s="57" t="str">
        <f>Skills!N329</f>
        <v>Second Aid</v>
      </c>
      <c r="C347" s="24">
        <f t="shared" si="364"/>
        <v>0</v>
      </c>
      <c r="D347" s="110">
        <f>Skills!S329</f>
        <v>0</v>
      </c>
      <c r="E347" s="111" t="e">
        <f>Profession!B150</f>
        <v>#REF!</v>
      </c>
      <c r="F347" s="18"/>
      <c r="G347" s="18"/>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49"/>
      <c r="BF347" s="4">
        <f t="shared" si="314"/>
        <v>0</v>
      </c>
      <c r="BG347" s="4">
        <f t="shared" si="314"/>
        <v>0</v>
      </c>
      <c r="BH347" s="4">
        <f t="shared" si="315"/>
        <v>0</v>
      </c>
      <c r="BI347" s="4">
        <f t="shared" si="316"/>
        <v>0</v>
      </c>
      <c r="BJ347" s="4">
        <f t="shared" si="317"/>
        <v>0</v>
      </c>
      <c r="BK347" s="4">
        <f t="shared" si="318"/>
        <v>0</v>
      </c>
      <c r="BL347" s="4">
        <f t="shared" si="319"/>
        <v>0</v>
      </c>
      <c r="BM347" s="4">
        <f t="shared" si="320"/>
        <v>0</v>
      </c>
      <c r="BN347" s="4">
        <f t="shared" si="321"/>
        <v>0</v>
      </c>
      <c r="BO347" s="4">
        <f t="shared" si="322"/>
        <v>0</v>
      </c>
      <c r="BP347" s="4">
        <f t="shared" si="323"/>
        <v>0</v>
      </c>
      <c r="BQ347" s="4">
        <f t="shared" si="324"/>
        <v>0</v>
      </c>
      <c r="BR347" s="4">
        <f t="shared" si="325"/>
        <v>0</v>
      </c>
      <c r="BS347" s="4">
        <f t="shared" si="326"/>
        <v>0</v>
      </c>
      <c r="BT347" s="4">
        <f t="shared" si="327"/>
        <v>0</v>
      </c>
      <c r="BU347" s="4">
        <f t="shared" si="328"/>
        <v>0</v>
      </c>
      <c r="BV347" s="4">
        <f t="shared" si="329"/>
        <v>0</v>
      </c>
      <c r="BW347" s="4">
        <f t="shared" si="330"/>
        <v>0</v>
      </c>
      <c r="BX347" s="4">
        <f t="shared" si="331"/>
        <v>0</v>
      </c>
      <c r="BY347" s="4">
        <f t="shared" si="332"/>
        <v>0</v>
      </c>
      <c r="BZ347" s="4">
        <f t="shared" si="333"/>
        <v>0</v>
      </c>
      <c r="CA347" s="4">
        <f t="shared" si="334"/>
        <v>0</v>
      </c>
      <c r="CB347" s="4">
        <f t="shared" si="335"/>
        <v>0</v>
      </c>
      <c r="CC347" s="4">
        <f t="shared" si="336"/>
        <v>0</v>
      </c>
      <c r="CD347" s="4">
        <f t="shared" si="337"/>
        <v>0</v>
      </c>
      <c r="CE347" s="4">
        <f t="shared" si="338"/>
        <v>0</v>
      </c>
      <c r="CF347" s="4">
        <f t="shared" si="339"/>
        <v>0</v>
      </c>
      <c r="CG347" s="4">
        <f t="shared" si="340"/>
        <v>0</v>
      </c>
      <c r="CH347" s="4">
        <f t="shared" si="341"/>
        <v>0</v>
      </c>
      <c r="CI347" s="4">
        <f t="shared" si="342"/>
        <v>0</v>
      </c>
      <c r="CJ347" s="4">
        <f t="shared" si="343"/>
        <v>0</v>
      </c>
      <c r="CK347" s="4">
        <f t="shared" si="344"/>
        <v>0</v>
      </c>
      <c r="CL347" s="4">
        <f t="shared" si="345"/>
        <v>0</v>
      </c>
      <c r="CM347" s="4">
        <f t="shared" si="346"/>
        <v>0</v>
      </c>
      <c r="CN347" s="4">
        <f t="shared" si="347"/>
        <v>0</v>
      </c>
      <c r="CO347" s="4">
        <f t="shared" si="348"/>
        <v>0</v>
      </c>
      <c r="CP347" s="4">
        <f t="shared" si="349"/>
        <v>0</v>
      </c>
      <c r="CQ347" s="4">
        <f t="shared" si="350"/>
        <v>0</v>
      </c>
      <c r="CR347" s="4">
        <f t="shared" si="351"/>
        <v>0</v>
      </c>
      <c r="CS347" s="4">
        <f t="shared" si="352"/>
        <v>0</v>
      </c>
      <c r="CT347" s="4">
        <f t="shared" si="353"/>
        <v>0</v>
      </c>
      <c r="CU347" s="4">
        <f t="shared" si="354"/>
        <v>0</v>
      </c>
      <c r="CV347" s="4">
        <f t="shared" si="355"/>
        <v>0</v>
      </c>
      <c r="CW347" s="4">
        <f t="shared" si="356"/>
        <v>0</v>
      </c>
      <c r="CX347" s="4">
        <f t="shared" si="357"/>
        <v>0</v>
      </c>
      <c r="CY347" s="4">
        <f t="shared" si="358"/>
        <v>0</v>
      </c>
      <c r="CZ347" s="4">
        <f t="shared" si="359"/>
        <v>0</v>
      </c>
      <c r="DA347" s="4">
        <f t="shared" si="360"/>
        <v>0</v>
      </c>
      <c r="DB347" s="4">
        <f t="shared" si="361"/>
        <v>0</v>
      </c>
      <c r="DC347" s="4">
        <f t="shared" si="362"/>
        <v>0</v>
      </c>
      <c r="DD347" s="4">
        <f t="shared" si="363"/>
        <v>0</v>
      </c>
    </row>
    <row r="348" spans="1:108" x14ac:dyDescent="0.25">
      <c r="A348" s="41" t="str">
        <f>Skills!M330</f>
        <v>Medical Practice</v>
      </c>
      <c r="B348" s="55" t="str">
        <f>Skills!N330</f>
        <v>Medical Practice</v>
      </c>
      <c r="C348" s="22">
        <f t="shared" si="364"/>
        <v>0</v>
      </c>
      <c r="D348" s="112">
        <f>Skills!S330</f>
        <v>0</v>
      </c>
      <c r="E348" s="113" t="e">
        <f>Profession!B151</f>
        <v>#REF!</v>
      </c>
      <c r="F348" s="19"/>
      <c r="G348" s="19"/>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56"/>
      <c r="BF348" s="4">
        <f t="shared" si="314"/>
        <v>0</v>
      </c>
      <c r="BG348" s="4">
        <f t="shared" si="314"/>
        <v>0</v>
      </c>
      <c r="BH348" s="4">
        <f t="shared" si="315"/>
        <v>0</v>
      </c>
      <c r="BI348" s="4">
        <f t="shared" si="316"/>
        <v>0</v>
      </c>
      <c r="BJ348" s="4">
        <f t="shared" si="317"/>
        <v>0</v>
      </c>
      <c r="BK348" s="4">
        <f t="shared" si="318"/>
        <v>0</v>
      </c>
      <c r="BL348" s="4">
        <f t="shared" si="319"/>
        <v>0</v>
      </c>
      <c r="BM348" s="4">
        <f t="shared" si="320"/>
        <v>0</v>
      </c>
      <c r="BN348" s="4">
        <f t="shared" si="321"/>
        <v>0</v>
      </c>
      <c r="BO348" s="4">
        <f t="shared" si="322"/>
        <v>0</v>
      </c>
      <c r="BP348" s="4">
        <f t="shared" si="323"/>
        <v>0</v>
      </c>
      <c r="BQ348" s="4">
        <f t="shared" si="324"/>
        <v>0</v>
      </c>
      <c r="BR348" s="4">
        <f t="shared" si="325"/>
        <v>0</v>
      </c>
      <c r="BS348" s="4">
        <f t="shared" si="326"/>
        <v>0</v>
      </c>
      <c r="BT348" s="4">
        <f t="shared" si="327"/>
        <v>0</v>
      </c>
      <c r="BU348" s="4">
        <f t="shared" si="328"/>
        <v>0</v>
      </c>
      <c r="BV348" s="4">
        <f t="shared" si="329"/>
        <v>0</v>
      </c>
      <c r="BW348" s="4">
        <f t="shared" si="330"/>
        <v>0</v>
      </c>
      <c r="BX348" s="4">
        <f t="shared" si="331"/>
        <v>0</v>
      </c>
      <c r="BY348" s="4">
        <f t="shared" si="332"/>
        <v>0</v>
      </c>
      <c r="BZ348" s="4">
        <f t="shared" si="333"/>
        <v>0</v>
      </c>
      <c r="CA348" s="4">
        <f t="shared" si="334"/>
        <v>0</v>
      </c>
      <c r="CB348" s="4">
        <f t="shared" si="335"/>
        <v>0</v>
      </c>
      <c r="CC348" s="4">
        <f t="shared" si="336"/>
        <v>0</v>
      </c>
      <c r="CD348" s="4">
        <f t="shared" si="337"/>
        <v>0</v>
      </c>
      <c r="CE348" s="4">
        <f t="shared" si="338"/>
        <v>0</v>
      </c>
      <c r="CF348" s="4">
        <f t="shared" si="339"/>
        <v>0</v>
      </c>
      <c r="CG348" s="4">
        <f t="shared" si="340"/>
        <v>0</v>
      </c>
      <c r="CH348" s="4">
        <f t="shared" si="341"/>
        <v>0</v>
      </c>
      <c r="CI348" s="4">
        <f t="shared" si="342"/>
        <v>0</v>
      </c>
      <c r="CJ348" s="4">
        <f t="shared" si="343"/>
        <v>0</v>
      </c>
      <c r="CK348" s="4">
        <f t="shared" si="344"/>
        <v>0</v>
      </c>
      <c r="CL348" s="4">
        <f t="shared" si="345"/>
        <v>0</v>
      </c>
      <c r="CM348" s="4">
        <f t="shared" si="346"/>
        <v>0</v>
      </c>
      <c r="CN348" s="4">
        <f t="shared" si="347"/>
        <v>0</v>
      </c>
      <c r="CO348" s="4">
        <f t="shared" si="348"/>
        <v>0</v>
      </c>
      <c r="CP348" s="4">
        <f t="shared" si="349"/>
        <v>0</v>
      </c>
      <c r="CQ348" s="4">
        <f t="shared" si="350"/>
        <v>0</v>
      </c>
      <c r="CR348" s="4">
        <f t="shared" si="351"/>
        <v>0</v>
      </c>
      <c r="CS348" s="4">
        <f t="shared" si="352"/>
        <v>0</v>
      </c>
      <c r="CT348" s="4">
        <f t="shared" si="353"/>
        <v>0</v>
      </c>
      <c r="CU348" s="4">
        <f t="shared" si="354"/>
        <v>0</v>
      </c>
      <c r="CV348" s="4">
        <f t="shared" si="355"/>
        <v>0</v>
      </c>
      <c r="CW348" s="4">
        <f t="shared" si="356"/>
        <v>0</v>
      </c>
      <c r="CX348" s="4">
        <f t="shared" si="357"/>
        <v>0</v>
      </c>
      <c r="CY348" s="4">
        <f t="shared" si="358"/>
        <v>0</v>
      </c>
      <c r="CZ348" s="4">
        <f t="shared" si="359"/>
        <v>0</v>
      </c>
      <c r="DA348" s="4">
        <f t="shared" si="360"/>
        <v>0</v>
      </c>
      <c r="DB348" s="4">
        <f t="shared" si="361"/>
        <v>0</v>
      </c>
      <c r="DC348" s="4">
        <f t="shared" si="362"/>
        <v>0</v>
      </c>
      <c r="DD348" s="4">
        <f t="shared" si="363"/>
        <v>0</v>
      </c>
    </row>
    <row r="349" spans="1:108" x14ac:dyDescent="0.25">
      <c r="A349" s="41" t="str">
        <f>Skills!M331</f>
        <v>Poison Mastery</v>
      </c>
      <c r="B349" s="57" t="str">
        <f>Skills!N331</f>
        <v>Poison Mastery</v>
      </c>
      <c r="C349" s="24">
        <f t="shared" si="364"/>
        <v>0</v>
      </c>
      <c r="D349" s="110">
        <f>Skills!S331</f>
        <v>0</v>
      </c>
      <c r="E349" s="111" t="e">
        <f>Profession!B152</f>
        <v>#REF!</v>
      </c>
      <c r="F349" s="18"/>
      <c r="G349" s="18"/>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49"/>
      <c r="BF349" s="4">
        <f t="shared" si="314"/>
        <v>0</v>
      </c>
      <c r="BG349" s="4">
        <f t="shared" si="314"/>
        <v>0</v>
      </c>
      <c r="BH349" s="4">
        <f t="shared" si="315"/>
        <v>0</v>
      </c>
      <c r="BI349" s="4">
        <f t="shared" si="316"/>
        <v>0</v>
      </c>
      <c r="BJ349" s="4">
        <f t="shared" si="317"/>
        <v>0</v>
      </c>
      <c r="BK349" s="4">
        <f t="shared" si="318"/>
        <v>0</v>
      </c>
      <c r="BL349" s="4">
        <f t="shared" si="319"/>
        <v>0</v>
      </c>
      <c r="BM349" s="4">
        <f t="shared" si="320"/>
        <v>0</v>
      </c>
      <c r="BN349" s="4">
        <f t="shared" si="321"/>
        <v>0</v>
      </c>
      <c r="BO349" s="4">
        <f t="shared" si="322"/>
        <v>0</v>
      </c>
      <c r="BP349" s="4">
        <f t="shared" si="323"/>
        <v>0</v>
      </c>
      <c r="BQ349" s="4">
        <f t="shared" si="324"/>
        <v>0</v>
      </c>
      <c r="BR349" s="4">
        <f t="shared" si="325"/>
        <v>0</v>
      </c>
      <c r="BS349" s="4">
        <f t="shared" si="326"/>
        <v>0</v>
      </c>
      <c r="BT349" s="4">
        <f t="shared" si="327"/>
        <v>0</v>
      </c>
      <c r="BU349" s="4">
        <f t="shared" si="328"/>
        <v>0</v>
      </c>
      <c r="BV349" s="4">
        <f t="shared" si="329"/>
        <v>0</v>
      </c>
      <c r="BW349" s="4">
        <f t="shared" si="330"/>
        <v>0</v>
      </c>
      <c r="BX349" s="4">
        <f t="shared" si="331"/>
        <v>0</v>
      </c>
      <c r="BY349" s="4">
        <f t="shared" si="332"/>
        <v>0</v>
      </c>
      <c r="BZ349" s="4">
        <f t="shared" si="333"/>
        <v>0</v>
      </c>
      <c r="CA349" s="4">
        <f t="shared" si="334"/>
        <v>0</v>
      </c>
      <c r="CB349" s="4">
        <f t="shared" si="335"/>
        <v>0</v>
      </c>
      <c r="CC349" s="4">
        <f t="shared" si="336"/>
        <v>0</v>
      </c>
      <c r="CD349" s="4">
        <f t="shared" si="337"/>
        <v>0</v>
      </c>
      <c r="CE349" s="4">
        <f t="shared" si="338"/>
        <v>0</v>
      </c>
      <c r="CF349" s="4">
        <f t="shared" si="339"/>
        <v>0</v>
      </c>
      <c r="CG349" s="4">
        <f t="shared" si="340"/>
        <v>0</v>
      </c>
      <c r="CH349" s="4">
        <f t="shared" si="341"/>
        <v>0</v>
      </c>
      <c r="CI349" s="4">
        <f t="shared" si="342"/>
        <v>0</v>
      </c>
      <c r="CJ349" s="4">
        <f t="shared" si="343"/>
        <v>0</v>
      </c>
      <c r="CK349" s="4">
        <f t="shared" si="344"/>
        <v>0</v>
      </c>
      <c r="CL349" s="4">
        <f t="shared" si="345"/>
        <v>0</v>
      </c>
      <c r="CM349" s="4">
        <f t="shared" si="346"/>
        <v>0</v>
      </c>
      <c r="CN349" s="4">
        <f t="shared" si="347"/>
        <v>0</v>
      </c>
      <c r="CO349" s="4">
        <f t="shared" si="348"/>
        <v>0</v>
      </c>
      <c r="CP349" s="4">
        <f t="shared" si="349"/>
        <v>0</v>
      </c>
      <c r="CQ349" s="4">
        <f t="shared" si="350"/>
        <v>0</v>
      </c>
      <c r="CR349" s="4">
        <f t="shared" si="351"/>
        <v>0</v>
      </c>
      <c r="CS349" s="4">
        <f t="shared" si="352"/>
        <v>0</v>
      </c>
      <c r="CT349" s="4">
        <f t="shared" si="353"/>
        <v>0</v>
      </c>
      <c r="CU349" s="4">
        <f t="shared" si="354"/>
        <v>0</v>
      </c>
      <c r="CV349" s="4">
        <f t="shared" si="355"/>
        <v>0</v>
      </c>
      <c r="CW349" s="4">
        <f t="shared" si="356"/>
        <v>0</v>
      </c>
      <c r="CX349" s="4">
        <f t="shared" si="357"/>
        <v>0</v>
      </c>
      <c r="CY349" s="4">
        <f t="shared" si="358"/>
        <v>0</v>
      </c>
      <c r="CZ349" s="4">
        <f t="shared" si="359"/>
        <v>0</v>
      </c>
      <c r="DA349" s="4">
        <f t="shared" si="360"/>
        <v>0</v>
      </c>
      <c r="DB349" s="4">
        <f t="shared" si="361"/>
        <v>0</v>
      </c>
      <c r="DC349" s="4">
        <f t="shared" si="362"/>
        <v>0</v>
      </c>
      <c r="DD349" s="4">
        <f t="shared" si="363"/>
        <v>0</v>
      </c>
    </row>
    <row r="350" spans="1:108" x14ac:dyDescent="0.25">
      <c r="A350" s="41">
        <f>Skills!M332</f>
        <v>0</v>
      </c>
      <c r="B350" s="55" t="str">
        <f>Skills!N332</f>
        <v>Medical Science Category</v>
      </c>
      <c r="C350" s="22">
        <f t="shared" si="364"/>
        <v>0</v>
      </c>
      <c r="D350" s="112" t="str">
        <f>Skills!S332</f>
        <v>- -</v>
      </c>
      <c r="E350" s="113" t="s">
        <v>782</v>
      </c>
      <c r="F350" s="19"/>
      <c r="G350" s="19"/>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56"/>
      <c r="BF350" s="4">
        <f t="shared" si="314"/>
        <v>0</v>
      </c>
      <c r="BG350" s="4">
        <f t="shared" si="314"/>
        <v>0</v>
      </c>
      <c r="BH350" s="4">
        <f t="shared" si="315"/>
        <v>0</v>
      </c>
      <c r="BI350" s="4">
        <f t="shared" si="316"/>
        <v>0</v>
      </c>
      <c r="BJ350" s="4">
        <f t="shared" si="317"/>
        <v>0</v>
      </c>
      <c r="BK350" s="4">
        <f t="shared" si="318"/>
        <v>0</v>
      </c>
      <c r="BL350" s="4">
        <f t="shared" si="319"/>
        <v>0</v>
      </c>
      <c r="BM350" s="4">
        <f t="shared" si="320"/>
        <v>0</v>
      </c>
      <c r="BN350" s="4">
        <f t="shared" si="321"/>
        <v>0</v>
      </c>
      <c r="BO350" s="4">
        <f t="shared" si="322"/>
        <v>0</v>
      </c>
      <c r="BP350" s="4">
        <f t="shared" si="323"/>
        <v>0</v>
      </c>
      <c r="BQ350" s="4">
        <f t="shared" si="324"/>
        <v>0</v>
      </c>
      <c r="BR350" s="4">
        <f t="shared" si="325"/>
        <v>0</v>
      </c>
      <c r="BS350" s="4">
        <f t="shared" si="326"/>
        <v>0</v>
      </c>
      <c r="BT350" s="4">
        <f t="shared" si="327"/>
        <v>0</v>
      </c>
      <c r="BU350" s="4">
        <f t="shared" si="328"/>
        <v>0</v>
      </c>
      <c r="BV350" s="4">
        <f t="shared" si="329"/>
        <v>0</v>
      </c>
      <c r="BW350" s="4">
        <f t="shared" si="330"/>
        <v>0</v>
      </c>
      <c r="BX350" s="4">
        <f t="shared" si="331"/>
        <v>0</v>
      </c>
      <c r="BY350" s="4">
        <f t="shared" si="332"/>
        <v>0</v>
      </c>
      <c r="BZ350" s="4">
        <f t="shared" si="333"/>
        <v>0</v>
      </c>
      <c r="CA350" s="4">
        <f t="shared" si="334"/>
        <v>0</v>
      </c>
      <c r="CB350" s="4">
        <f t="shared" si="335"/>
        <v>0</v>
      </c>
      <c r="CC350" s="4">
        <f t="shared" si="336"/>
        <v>0</v>
      </c>
      <c r="CD350" s="4">
        <f t="shared" si="337"/>
        <v>0</v>
      </c>
      <c r="CE350" s="4">
        <f t="shared" si="338"/>
        <v>0</v>
      </c>
      <c r="CF350" s="4">
        <f t="shared" si="339"/>
        <v>0</v>
      </c>
      <c r="CG350" s="4">
        <f t="shared" si="340"/>
        <v>0</v>
      </c>
      <c r="CH350" s="4">
        <f t="shared" si="341"/>
        <v>0</v>
      </c>
      <c r="CI350" s="4">
        <f t="shared" si="342"/>
        <v>0</v>
      </c>
      <c r="CJ350" s="4">
        <f t="shared" si="343"/>
        <v>0</v>
      </c>
      <c r="CK350" s="4">
        <f t="shared" si="344"/>
        <v>0</v>
      </c>
      <c r="CL350" s="4">
        <f t="shared" si="345"/>
        <v>0</v>
      </c>
      <c r="CM350" s="4">
        <f t="shared" si="346"/>
        <v>0</v>
      </c>
      <c r="CN350" s="4">
        <f t="shared" si="347"/>
        <v>0</v>
      </c>
      <c r="CO350" s="4">
        <f t="shared" si="348"/>
        <v>0</v>
      </c>
      <c r="CP350" s="4">
        <f t="shared" si="349"/>
        <v>0</v>
      </c>
      <c r="CQ350" s="4">
        <f t="shared" si="350"/>
        <v>0</v>
      </c>
      <c r="CR350" s="4">
        <f t="shared" si="351"/>
        <v>0</v>
      </c>
      <c r="CS350" s="4">
        <f t="shared" si="352"/>
        <v>0</v>
      </c>
      <c r="CT350" s="4">
        <f t="shared" si="353"/>
        <v>0</v>
      </c>
      <c r="CU350" s="4">
        <f t="shared" si="354"/>
        <v>0</v>
      </c>
      <c r="CV350" s="4">
        <f t="shared" si="355"/>
        <v>0</v>
      </c>
      <c r="CW350" s="4">
        <f t="shared" si="356"/>
        <v>0</v>
      </c>
      <c r="CX350" s="4">
        <f t="shared" si="357"/>
        <v>0</v>
      </c>
      <c r="CY350" s="4">
        <f t="shared" si="358"/>
        <v>0</v>
      </c>
      <c r="CZ350" s="4">
        <f t="shared" si="359"/>
        <v>0</v>
      </c>
      <c r="DA350" s="4">
        <f t="shared" si="360"/>
        <v>0</v>
      </c>
      <c r="DB350" s="4">
        <f t="shared" si="361"/>
        <v>0</v>
      </c>
      <c r="DC350" s="4">
        <f t="shared" si="362"/>
        <v>0</v>
      </c>
      <c r="DD350" s="4">
        <f t="shared" si="363"/>
        <v>0</v>
      </c>
    </row>
    <row r="351" spans="1:108" x14ac:dyDescent="0.25">
      <c r="A351" s="41">
        <f>Skills!M333</f>
        <v>0</v>
      </c>
      <c r="B351" s="57" t="str">
        <f>Skills!N333</f>
        <v>Medical Science Skills</v>
      </c>
      <c r="C351" s="24">
        <f t="shared" si="364"/>
        <v>0</v>
      </c>
      <c r="D351" s="110" t="str">
        <f>Skills!S333</f>
        <v>- -</v>
      </c>
      <c r="E351" s="111" t="s">
        <v>782</v>
      </c>
      <c r="F351" s="18"/>
      <c r="G351" s="18"/>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49"/>
      <c r="BF351" s="4">
        <f t="shared" si="314"/>
        <v>0</v>
      </c>
      <c r="BG351" s="4">
        <f t="shared" si="314"/>
        <v>0</v>
      </c>
      <c r="BH351" s="4">
        <f t="shared" si="315"/>
        <v>0</v>
      </c>
      <c r="BI351" s="4">
        <f t="shared" si="316"/>
        <v>0</v>
      </c>
      <c r="BJ351" s="4">
        <f t="shared" si="317"/>
        <v>0</v>
      </c>
      <c r="BK351" s="4">
        <f t="shared" si="318"/>
        <v>0</v>
      </c>
      <c r="BL351" s="4">
        <f t="shared" si="319"/>
        <v>0</v>
      </c>
      <c r="BM351" s="4">
        <f t="shared" si="320"/>
        <v>0</v>
      </c>
      <c r="BN351" s="4">
        <f t="shared" si="321"/>
        <v>0</v>
      </c>
      <c r="BO351" s="4">
        <f t="shared" si="322"/>
        <v>0</v>
      </c>
      <c r="BP351" s="4">
        <f t="shared" si="323"/>
        <v>0</v>
      </c>
      <c r="BQ351" s="4">
        <f t="shared" si="324"/>
        <v>0</v>
      </c>
      <c r="BR351" s="4">
        <f t="shared" si="325"/>
        <v>0</v>
      </c>
      <c r="BS351" s="4">
        <f t="shared" si="326"/>
        <v>0</v>
      </c>
      <c r="BT351" s="4">
        <f t="shared" si="327"/>
        <v>0</v>
      </c>
      <c r="BU351" s="4">
        <f t="shared" si="328"/>
        <v>0</v>
      </c>
      <c r="BV351" s="4">
        <f t="shared" si="329"/>
        <v>0</v>
      </c>
      <c r="BW351" s="4">
        <f t="shared" si="330"/>
        <v>0</v>
      </c>
      <c r="BX351" s="4">
        <f t="shared" si="331"/>
        <v>0</v>
      </c>
      <c r="BY351" s="4">
        <f t="shared" si="332"/>
        <v>0</v>
      </c>
      <c r="BZ351" s="4">
        <f t="shared" si="333"/>
        <v>0</v>
      </c>
      <c r="CA351" s="4">
        <f t="shared" si="334"/>
        <v>0</v>
      </c>
      <c r="CB351" s="4">
        <f t="shared" si="335"/>
        <v>0</v>
      </c>
      <c r="CC351" s="4">
        <f t="shared" si="336"/>
        <v>0</v>
      </c>
      <c r="CD351" s="4">
        <f t="shared" si="337"/>
        <v>0</v>
      </c>
      <c r="CE351" s="4">
        <f t="shared" si="338"/>
        <v>0</v>
      </c>
      <c r="CF351" s="4">
        <f t="shared" si="339"/>
        <v>0</v>
      </c>
      <c r="CG351" s="4">
        <f t="shared" si="340"/>
        <v>0</v>
      </c>
      <c r="CH351" s="4">
        <f t="shared" si="341"/>
        <v>0</v>
      </c>
      <c r="CI351" s="4">
        <f t="shared" si="342"/>
        <v>0</v>
      </c>
      <c r="CJ351" s="4">
        <f t="shared" si="343"/>
        <v>0</v>
      </c>
      <c r="CK351" s="4">
        <f t="shared" si="344"/>
        <v>0</v>
      </c>
      <c r="CL351" s="4">
        <f t="shared" si="345"/>
        <v>0</v>
      </c>
      <c r="CM351" s="4">
        <f t="shared" si="346"/>
        <v>0</v>
      </c>
      <c r="CN351" s="4">
        <f t="shared" si="347"/>
        <v>0</v>
      </c>
      <c r="CO351" s="4">
        <f t="shared" si="348"/>
        <v>0</v>
      </c>
      <c r="CP351" s="4">
        <f t="shared" si="349"/>
        <v>0</v>
      </c>
      <c r="CQ351" s="4">
        <f t="shared" si="350"/>
        <v>0</v>
      </c>
      <c r="CR351" s="4">
        <f t="shared" si="351"/>
        <v>0</v>
      </c>
      <c r="CS351" s="4">
        <f t="shared" si="352"/>
        <v>0</v>
      </c>
      <c r="CT351" s="4">
        <f t="shared" si="353"/>
        <v>0</v>
      </c>
      <c r="CU351" s="4">
        <f t="shared" si="354"/>
        <v>0</v>
      </c>
      <c r="CV351" s="4">
        <f t="shared" si="355"/>
        <v>0</v>
      </c>
      <c r="CW351" s="4">
        <f t="shared" si="356"/>
        <v>0</v>
      </c>
      <c r="CX351" s="4">
        <f t="shared" si="357"/>
        <v>0</v>
      </c>
      <c r="CY351" s="4">
        <f t="shared" si="358"/>
        <v>0</v>
      </c>
      <c r="CZ351" s="4">
        <f t="shared" si="359"/>
        <v>0</v>
      </c>
      <c r="DA351" s="4">
        <f t="shared" si="360"/>
        <v>0</v>
      </c>
      <c r="DB351" s="4">
        <f t="shared" si="361"/>
        <v>0</v>
      </c>
      <c r="DC351" s="4">
        <f t="shared" si="362"/>
        <v>0</v>
      </c>
      <c r="DD351" s="4">
        <f t="shared" si="363"/>
        <v>0</v>
      </c>
    </row>
    <row r="352" spans="1:108" x14ac:dyDescent="0.25">
      <c r="A352" s="41">
        <f>Skills!M334</f>
        <v>0</v>
      </c>
      <c r="B352" s="55">
        <f>Skills!N334</f>
        <v>0</v>
      </c>
      <c r="C352" s="22">
        <f t="shared" si="364"/>
        <v>0</v>
      </c>
      <c r="D352" s="112" t="e">
        <f>Skills!S334</f>
        <v>#N/A</v>
      </c>
      <c r="E352" s="113" t="e">
        <f>Profession!$B$154</f>
        <v>#REF!</v>
      </c>
      <c r="F352" s="19"/>
      <c r="G352" s="19"/>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56"/>
      <c r="BF352" s="4">
        <f t="shared" si="314"/>
        <v>0</v>
      </c>
      <c r="BG352" s="4">
        <f t="shared" si="314"/>
        <v>0</v>
      </c>
      <c r="BH352" s="4">
        <f t="shared" si="315"/>
        <v>0</v>
      </c>
      <c r="BI352" s="4">
        <f t="shared" si="316"/>
        <v>0</v>
      </c>
      <c r="BJ352" s="4">
        <f t="shared" si="317"/>
        <v>0</v>
      </c>
      <c r="BK352" s="4">
        <f t="shared" si="318"/>
        <v>0</v>
      </c>
      <c r="BL352" s="4">
        <f t="shared" si="319"/>
        <v>0</v>
      </c>
      <c r="BM352" s="4">
        <f t="shared" si="320"/>
        <v>0</v>
      </c>
      <c r="BN352" s="4">
        <f t="shared" si="321"/>
        <v>0</v>
      </c>
      <c r="BO352" s="4">
        <f t="shared" si="322"/>
        <v>0</v>
      </c>
      <c r="BP352" s="4">
        <f t="shared" si="323"/>
        <v>0</v>
      </c>
      <c r="BQ352" s="4">
        <f t="shared" si="324"/>
        <v>0</v>
      </c>
      <c r="BR352" s="4">
        <f t="shared" si="325"/>
        <v>0</v>
      </c>
      <c r="BS352" s="4">
        <f t="shared" si="326"/>
        <v>0</v>
      </c>
      <c r="BT352" s="4">
        <f t="shared" si="327"/>
        <v>0</v>
      </c>
      <c r="BU352" s="4">
        <f t="shared" si="328"/>
        <v>0</v>
      </c>
      <c r="BV352" s="4">
        <f t="shared" si="329"/>
        <v>0</v>
      </c>
      <c r="BW352" s="4">
        <f t="shared" si="330"/>
        <v>0</v>
      </c>
      <c r="BX352" s="4">
        <f t="shared" si="331"/>
        <v>0</v>
      </c>
      <c r="BY352" s="4">
        <f t="shared" si="332"/>
        <v>0</v>
      </c>
      <c r="BZ352" s="4">
        <f t="shared" si="333"/>
        <v>0</v>
      </c>
      <c r="CA352" s="4">
        <f t="shared" si="334"/>
        <v>0</v>
      </c>
      <c r="CB352" s="4">
        <f t="shared" si="335"/>
        <v>0</v>
      </c>
      <c r="CC352" s="4">
        <f t="shared" si="336"/>
        <v>0</v>
      </c>
      <c r="CD352" s="4">
        <f t="shared" si="337"/>
        <v>0</v>
      </c>
      <c r="CE352" s="4">
        <f t="shared" si="338"/>
        <v>0</v>
      </c>
      <c r="CF352" s="4">
        <f t="shared" si="339"/>
        <v>0</v>
      </c>
      <c r="CG352" s="4">
        <f t="shared" si="340"/>
        <v>0</v>
      </c>
      <c r="CH352" s="4">
        <f t="shared" si="341"/>
        <v>0</v>
      </c>
      <c r="CI352" s="4">
        <f t="shared" si="342"/>
        <v>0</v>
      </c>
      <c r="CJ352" s="4">
        <f t="shared" si="343"/>
        <v>0</v>
      </c>
      <c r="CK352" s="4">
        <f t="shared" si="344"/>
        <v>0</v>
      </c>
      <c r="CL352" s="4">
        <f t="shared" si="345"/>
        <v>0</v>
      </c>
      <c r="CM352" s="4">
        <f t="shared" si="346"/>
        <v>0</v>
      </c>
      <c r="CN352" s="4">
        <f t="shared" si="347"/>
        <v>0</v>
      </c>
      <c r="CO352" s="4">
        <f t="shared" si="348"/>
        <v>0</v>
      </c>
      <c r="CP352" s="4">
        <f t="shared" si="349"/>
        <v>0</v>
      </c>
      <c r="CQ352" s="4">
        <f t="shared" si="350"/>
        <v>0</v>
      </c>
      <c r="CR352" s="4">
        <f t="shared" si="351"/>
        <v>0</v>
      </c>
      <c r="CS352" s="4">
        <f t="shared" si="352"/>
        <v>0</v>
      </c>
      <c r="CT352" s="4">
        <f t="shared" si="353"/>
        <v>0</v>
      </c>
      <c r="CU352" s="4">
        <f t="shared" si="354"/>
        <v>0</v>
      </c>
      <c r="CV352" s="4">
        <f t="shared" si="355"/>
        <v>0</v>
      </c>
      <c r="CW352" s="4">
        <f t="shared" si="356"/>
        <v>0</v>
      </c>
      <c r="CX352" s="4">
        <f t="shared" si="357"/>
        <v>0</v>
      </c>
      <c r="CY352" s="4">
        <f t="shared" si="358"/>
        <v>0</v>
      </c>
      <c r="CZ352" s="4">
        <f t="shared" si="359"/>
        <v>0</v>
      </c>
      <c r="DA352" s="4">
        <f t="shared" si="360"/>
        <v>0</v>
      </c>
      <c r="DB352" s="4">
        <f t="shared" si="361"/>
        <v>0</v>
      </c>
      <c r="DC352" s="4">
        <f t="shared" si="362"/>
        <v>0</v>
      </c>
      <c r="DD352" s="4">
        <f t="shared" si="363"/>
        <v>0</v>
      </c>
    </row>
    <row r="353" spans="1:108" x14ac:dyDescent="0.25">
      <c r="A353" s="41">
        <f>Skills!M335</f>
        <v>0</v>
      </c>
      <c r="B353" s="57">
        <f>Skills!N335</f>
        <v>0</v>
      </c>
      <c r="C353" s="24">
        <f t="shared" si="364"/>
        <v>0</v>
      </c>
      <c r="D353" s="110" t="e">
        <f>Skills!S335</f>
        <v>#N/A</v>
      </c>
      <c r="E353" s="111" t="e">
        <f>Profession!$B$154</f>
        <v>#REF!</v>
      </c>
      <c r="F353" s="18"/>
      <c r="G353" s="18"/>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49"/>
      <c r="BF353" s="4">
        <f t="shared" si="314"/>
        <v>0</v>
      </c>
      <c r="BG353" s="4">
        <f t="shared" si="314"/>
        <v>0</v>
      </c>
      <c r="BH353" s="4">
        <f t="shared" si="315"/>
        <v>0</v>
      </c>
      <c r="BI353" s="4">
        <f t="shared" si="316"/>
        <v>0</v>
      </c>
      <c r="BJ353" s="4">
        <f t="shared" si="317"/>
        <v>0</v>
      </c>
      <c r="BK353" s="4">
        <f t="shared" si="318"/>
        <v>0</v>
      </c>
      <c r="BL353" s="4">
        <f t="shared" si="319"/>
        <v>0</v>
      </c>
      <c r="BM353" s="4">
        <f t="shared" si="320"/>
        <v>0</v>
      </c>
      <c r="BN353" s="4">
        <f t="shared" si="321"/>
        <v>0</v>
      </c>
      <c r="BO353" s="4">
        <f t="shared" si="322"/>
        <v>0</v>
      </c>
      <c r="BP353" s="4">
        <f t="shared" si="323"/>
        <v>0</v>
      </c>
      <c r="BQ353" s="4">
        <f t="shared" si="324"/>
        <v>0</v>
      </c>
      <c r="BR353" s="4">
        <f t="shared" si="325"/>
        <v>0</v>
      </c>
      <c r="BS353" s="4">
        <f t="shared" si="326"/>
        <v>0</v>
      </c>
      <c r="BT353" s="4">
        <f t="shared" si="327"/>
        <v>0</v>
      </c>
      <c r="BU353" s="4">
        <f t="shared" si="328"/>
        <v>0</v>
      </c>
      <c r="BV353" s="4">
        <f t="shared" si="329"/>
        <v>0</v>
      </c>
      <c r="BW353" s="4">
        <f t="shared" si="330"/>
        <v>0</v>
      </c>
      <c r="BX353" s="4">
        <f t="shared" si="331"/>
        <v>0</v>
      </c>
      <c r="BY353" s="4">
        <f t="shared" si="332"/>
        <v>0</v>
      </c>
      <c r="BZ353" s="4">
        <f t="shared" si="333"/>
        <v>0</v>
      </c>
      <c r="CA353" s="4">
        <f t="shared" si="334"/>
        <v>0</v>
      </c>
      <c r="CB353" s="4">
        <f t="shared" si="335"/>
        <v>0</v>
      </c>
      <c r="CC353" s="4">
        <f t="shared" si="336"/>
        <v>0</v>
      </c>
      <c r="CD353" s="4">
        <f t="shared" si="337"/>
        <v>0</v>
      </c>
      <c r="CE353" s="4">
        <f t="shared" si="338"/>
        <v>0</v>
      </c>
      <c r="CF353" s="4">
        <f t="shared" si="339"/>
        <v>0</v>
      </c>
      <c r="CG353" s="4">
        <f t="shared" si="340"/>
        <v>0</v>
      </c>
      <c r="CH353" s="4">
        <f t="shared" si="341"/>
        <v>0</v>
      </c>
      <c r="CI353" s="4">
        <f t="shared" si="342"/>
        <v>0</v>
      </c>
      <c r="CJ353" s="4">
        <f t="shared" si="343"/>
        <v>0</v>
      </c>
      <c r="CK353" s="4">
        <f t="shared" si="344"/>
        <v>0</v>
      </c>
      <c r="CL353" s="4">
        <f t="shared" si="345"/>
        <v>0</v>
      </c>
      <c r="CM353" s="4">
        <f t="shared" si="346"/>
        <v>0</v>
      </c>
      <c r="CN353" s="4">
        <f t="shared" si="347"/>
        <v>0</v>
      </c>
      <c r="CO353" s="4">
        <f t="shared" si="348"/>
        <v>0</v>
      </c>
      <c r="CP353" s="4">
        <f t="shared" si="349"/>
        <v>0</v>
      </c>
      <c r="CQ353" s="4">
        <f t="shared" si="350"/>
        <v>0</v>
      </c>
      <c r="CR353" s="4">
        <f t="shared" si="351"/>
        <v>0</v>
      </c>
      <c r="CS353" s="4">
        <f t="shared" si="352"/>
        <v>0</v>
      </c>
      <c r="CT353" s="4">
        <f t="shared" si="353"/>
        <v>0</v>
      </c>
      <c r="CU353" s="4">
        <f t="shared" si="354"/>
        <v>0</v>
      </c>
      <c r="CV353" s="4">
        <f t="shared" si="355"/>
        <v>0</v>
      </c>
      <c r="CW353" s="4">
        <f t="shared" si="356"/>
        <v>0</v>
      </c>
      <c r="CX353" s="4">
        <f t="shared" si="357"/>
        <v>0</v>
      </c>
      <c r="CY353" s="4">
        <f t="shared" si="358"/>
        <v>0</v>
      </c>
      <c r="CZ353" s="4">
        <f t="shared" si="359"/>
        <v>0</v>
      </c>
      <c r="DA353" s="4">
        <f t="shared" si="360"/>
        <v>0</v>
      </c>
      <c r="DB353" s="4">
        <f t="shared" si="361"/>
        <v>0</v>
      </c>
      <c r="DC353" s="4">
        <f t="shared" si="362"/>
        <v>0</v>
      </c>
      <c r="DD353" s="4">
        <f t="shared" si="363"/>
        <v>0</v>
      </c>
    </row>
    <row r="354" spans="1:108" x14ac:dyDescent="0.25">
      <c r="A354" s="41">
        <f>Skills!M336</f>
        <v>0</v>
      </c>
      <c r="B354" s="55">
        <f>Skills!N336</f>
        <v>0</v>
      </c>
      <c r="C354" s="22">
        <f t="shared" si="364"/>
        <v>0</v>
      </c>
      <c r="D354" s="112" t="e">
        <f>Skills!S336</f>
        <v>#N/A</v>
      </c>
      <c r="E354" s="113" t="e">
        <f>Profession!$B$154</f>
        <v>#REF!</v>
      </c>
      <c r="F354" s="19"/>
      <c r="G354" s="19"/>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56"/>
      <c r="BF354" s="4">
        <f t="shared" si="314"/>
        <v>0</v>
      </c>
      <c r="BG354" s="4">
        <f t="shared" si="314"/>
        <v>0</v>
      </c>
      <c r="BH354" s="4">
        <f t="shared" si="315"/>
        <v>0</v>
      </c>
      <c r="BI354" s="4">
        <f t="shared" si="316"/>
        <v>0</v>
      </c>
      <c r="BJ354" s="4">
        <f t="shared" si="317"/>
        <v>0</v>
      </c>
      <c r="BK354" s="4">
        <f t="shared" si="318"/>
        <v>0</v>
      </c>
      <c r="BL354" s="4">
        <f t="shared" si="319"/>
        <v>0</v>
      </c>
      <c r="BM354" s="4">
        <f t="shared" si="320"/>
        <v>0</v>
      </c>
      <c r="BN354" s="4">
        <f t="shared" si="321"/>
        <v>0</v>
      </c>
      <c r="BO354" s="4">
        <f t="shared" si="322"/>
        <v>0</v>
      </c>
      <c r="BP354" s="4">
        <f t="shared" si="323"/>
        <v>0</v>
      </c>
      <c r="BQ354" s="4">
        <f t="shared" si="324"/>
        <v>0</v>
      </c>
      <c r="BR354" s="4">
        <f t="shared" si="325"/>
        <v>0</v>
      </c>
      <c r="BS354" s="4">
        <f t="shared" si="326"/>
        <v>0</v>
      </c>
      <c r="BT354" s="4">
        <f t="shared" si="327"/>
        <v>0</v>
      </c>
      <c r="BU354" s="4">
        <f t="shared" si="328"/>
        <v>0</v>
      </c>
      <c r="BV354" s="4">
        <f t="shared" si="329"/>
        <v>0</v>
      </c>
      <c r="BW354" s="4">
        <f t="shared" si="330"/>
        <v>0</v>
      </c>
      <c r="BX354" s="4">
        <f t="shared" si="331"/>
        <v>0</v>
      </c>
      <c r="BY354" s="4">
        <f t="shared" si="332"/>
        <v>0</v>
      </c>
      <c r="BZ354" s="4">
        <f t="shared" si="333"/>
        <v>0</v>
      </c>
      <c r="CA354" s="4">
        <f t="shared" si="334"/>
        <v>0</v>
      </c>
      <c r="CB354" s="4">
        <f t="shared" si="335"/>
        <v>0</v>
      </c>
      <c r="CC354" s="4">
        <f t="shared" si="336"/>
        <v>0</v>
      </c>
      <c r="CD354" s="4">
        <f t="shared" si="337"/>
        <v>0</v>
      </c>
      <c r="CE354" s="4">
        <f t="shared" si="338"/>
        <v>0</v>
      </c>
      <c r="CF354" s="4">
        <f t="shared" si="339"/>
        <v>0</v>
      </c>
      <c r="CG354" s="4">
        <f t="shared" si="340"/>
        <v>0</v>
      </c>
      <c r="CH354" s="4">
        <f t="shared" si="341"/>
        <v>0</v>
      </c>
      <c r="CI354" s="4">
        <f t="shared" si="342"/>
        <v>0</v>
      </c>
      <c r="CJ354" s="4">
        <f t="shared" si="343"/>
        <v>0</v>
      </c>
      <c r="CK354" s="4">
        <f t="shared" si="344"/>
        <v>0</v>
      </c>
      <c r="CL354" s="4">
        <f t="shared" si="345"/>
        <v>0</v>
      </c>
      <c r="CM354" s="4">
        <f t="shared" si="346"/>
        <v>0</v>
      </c>
      <c r="CN354" s="4">
        <f t="shared" si="347"/>
        <v>0</v>
      </c>
      <c r="CO354" s="4">
        <f t="shared" si="348"/>
        <v>0</v>
      </c>
      <c r="CP354" s="4">
        <f t="shared" si="349"/>
        <v>0</v>
      </c>
      <c r="CQ354" s="4">
        <f t="shared" si="350"/>
        <v>0</v>
      </c>
      <c r="CR354" s="4">
        <f t="shared" si="351"/>
        <v>0</v>
      </c>
      <c r="CS354" s="4">
        <f t="shared" si="352"/>
        <v>0</v>
      </c>
      <c r="CT354" s="4">
        <f t="shared" si="353"/>
        <v>0</v>
      </c>
      <c r="CU354" s="4">
        <f t="shared" si="354"/>
        <v>0</v>
      </c>
      <c r="CV354" s="4">
        <f t="shared" si="355"/>
        <v>0</v>
      </c>
      <c r="CW354" s="4">
        <f t="shared" si="356"/>
        <v>0</v>
      </c>
      <c r="CX354" s="4">
        <f t="shared" si="357"/>
        <v>0</v>
      </c>
      <c r="CY354" s="4">
        <f t="shared" si="358"/>
        <v>0</v>
      </c>
      <c r="CZ354" s="4">
        <f t="shared" si="359"/>
        <v>0</v>
      </c>
      <c r="DA354" s="4">
        <f t="shared" si="360"/>
        <v>0</v>
      </c>
      <c r="DB354" s="4">
        <f t="shared" si="361"/>
        <v>0</v>
      </c>
      <c r="DC354" s="4">
        <f t="shared" si="362"/>
        <v>0</v>
      </c>
      <c r="DD354" s="4">
        <f t="shared" si="363"/>
        <v>0</v>
      </c>
    </row>
    <row r="355" spans="1:108" x14ac:dyDescent="0.25">
      <c r="A355" s="41">
        <f>Skills!M337</f>
        <v>0</v>
      </c>
      <c r="B355" s="57">
        <f>Skills!N337</f>
        <v>0</v>
      </c>
      <c r="C355" s="24">
        <f t="shared" si="364"/>
        <v>0</v>
      </c>
      <c r="D355" s="110" t="e">
        <f>Skills!S337</f>
        <v>#N/A</v>
      </c>
      <c r="E355" s="111" t="e">
        <f>Profession!$B$154</f>
        <v>#REF!</v>
      </c>
      <c r="F355" s="18"/>
      <c r="G355" s="18"/>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49"/>
      <c r="BF355" s="4">
        <f t="shared" si="314"/>
        <v>0</v>
      </c>
      <c r="BG355" s="4">
        <f t="shared" si="314"/>
        <v>0</v>
      </c>
      <c r="BH355" s="4">
        <f t="shared" si="315"/>
        <v>0</v>
      </c>
      <c r="BI355" s="4">
        <f t="shared" si="316"/>
        <v>0</v>
      </c>
      <c r="BJ355" s="4">
        <f t="shared" si="317"/>
        <v>0</v>
      </c>
      <c r="BK355" s="4">
        <f t="shared" si="318"/>
        <v>0</v>
      </c>
      <c r="BL355" s="4">
        <f t="shared" si="319"/>
        <v>0</v>
      </c>
      <c r="BM355" s="4">
        <f t="shared" si="320"/>
        <v>0</v>
      </c>
      <c r="BN355" s="4">
        <f t="shared" si="321"/>
        <v>0</v>
      </c>
      <c r="BO355" s="4">
        <f t="shared" si="322"/>
        <v>0</v>
      </c>
      <c r="BP355" s="4">
        <f t="shared" si="323"/>
        <v>0</v>
      </c>
      <c r="BQ355" s="4">
        <f t="shared" si="324"/>
        <v>0</v>
      </c>
      <c r="BR355" s="4">
        <f t="shared" si="325"/>
        <v>0</v>
      </c>
      <c r="BS355" s="4">
        <f t="shared" si="326"/>
        <v>0</v>
      </c>
      <c r="BT355" s="4">
        <f t="shared" si="327"/>
        <v>0</v>
      </c>
      <c r="BU355" s="4">
        <f t="shared" si="328"/>
        <v>0</v>
      </c>
      <c r="BV355" s="4">
        <f t="shared" si="329"/>
        <v>0</v>
      </c>
      <c r="BW355" s="4">
        <f t="shared" si="330"/>
        <v>0</v>
      </c>
      <c r="BX355" s="4">
        <f t="shared" si="331"/>
        <v>0</v>
      </c>
      <c r="BY355" s="4">
        <f t="shared" si="332"/>
        <v>0</v>
      </c>
      <c r="BZ355" s="4">
        <f t="shared" si="333"/>
        <v>0</v>
      </c>
      <c r="CA355" s="4">
        <f t="shared" si="334"/>
        <v>0</v>
      </c>
      <c r="CB355" s="4">
        <f t="shared" si="335"/>
        <v>0</v>
      </c>
      <c r="CC355" s="4">
        <f t="shared" si="336"/>
        <v>0</v>
      </c>
      <c r="CD355" s="4">
        <f t="shared" si="337"/>
        <v>0</v>
      </c>
      <c r="CE355" s="4">
        <f t="shared" si="338"/>
        <v>0</v>
      </c>
      <c r="CF355" s="4">
        <f t="shared" si="339"/>
        <v>0</v>
      </c>
      <c r="CG355" s="4">
        <f t="shared" si="340"/>
        <v>0</v>
      </c>
      <c r="CH355" s="4">
        <f t="shared" si="341"/>
        <v>0</v>
      </c>
      <c r="CI355" s="4">
        <f t="shared" si="342"/>
        <v>0</v>
      </c>
      <c r="CJ355" s="4">
        <f t="shared" si="343"/>
        <v>0</v>
      </c>
      <c r="CK355" s="4">
        <f t="shared" si="344"/>
        <v>0</v>
      </c>
      <c r="CL355" s="4">
        <f t="shared" si="345"/>
        <v>0</v>
      </c>
      <c r="CM355" s="4">
        <f t="shared" si="346"/>
        <v>0</v>
      </c>
      <c r="CN355" s="4">
        <f t="shared" si="347"/>
        <v>0</v>
      </c>
      <c r="CO355" s="4">
        <f t="shared" si="348"/>
        <v>0</v>
      </c>
      <c r="CP355" s="4">
        <f t="shared" si="349"/>
        <v>0</v>
      </c>
      <c r="CQ355" s="4">
        <f t="shared" si="350"/>
        <v>0</v>
      </c>
      <c r="CR355" s="4">
        <f t="shared" si="351"/>
        <v>0</v>
      </c>
      <c r="CS355" s="4">
        <f t="shared" si="352"/>
        <v>0</v>
      </c>
      <c r="CT355" s="4">
        <f t="shared" si="353"/>
        <v>0</v>
      </c>
      <c r="CU355" s="4">
        <f t="shared" si="354"/>
        <v>0</v>
      </c>
      <c r="CV355" s="4">
        <f t="shared" si="355"/>
        <v>0</v>
      </c>
      <c r="CW355" s="4">
        <f t="shared" si="356"/>
        <v>0</v>
      </c>
      <c r="CX355" s="4">
        <f t="shared" si="357"/>
        <v>0</v>
      </c>
      <c r="CY355" s="4">
        <f t="shared" si="358"/>
        <v>0</v>
      </c>
      <c r="CZ355" s="4">
        <f t="shared" si="359"/>
        <v>0</v>
      </c>
      <c r="DA355" s="4">
        <f t="shared" si="360"/>
        <v>0</v>
      </c>
      <c r="DB355" s="4">
        <f t="shared" si="361"/>
        <v>0</v>
      </c>
      <c r="DC355" s="4">
        <f t="shared" si="362"/>
        <v>0</v>
      </c>
      <c r="DD355" s="4">
        <f t="shared" si="363"/>
        <v>0</v>
      </c>
    </row>
    <row r="356" spans="1:108" x14ac:dyDescent="0.25">
      <c r="A356" s="41">
        <f>Skills!M338</f>
        <v>0</v>
      </c>
      <c r="B356" s="55" t="str">
        <f>Skills!N338</f>
        <v>Mental Discipline Category</v>
      </c>
      <c r="C356" s="22">
        <f t="shared" si="364"/>
        <v>0</v>
      </c>
      <c r="D356" s="112" t="str">
        <f>Skills!S338</f>
        <v>- -</v>
      </c>
      <c r="E356" s="113" t="s">
        <v>782</v>
      </c>
      <c r="F356" s="19"/>
      <c r="G356" s="19"/>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56"/>
      <c r="BF356" s="4">
        <f t="shared" si="314"/>
        <v>0</v>
      </c>
      <c r="BG356" s="4">
        <f t="shared" si="314"/>
        <v>0</v>
      </c>
      <c r="BH356" s="4">
        <f t="shared" si="315"/>
        <v>0</v>
      </c>
      <c r="BI356" s="4">
        <f t="shared" si="316"/>
        <v>0</v>
      </c>
      <c r="BJ356" s="4">
        <f t="shared" si="317"/>
        <v>0</v>
      </c>
      <c r="BK356" s="4">
        <f t="shared" si="318"/>
        <v>0</v>
      </c>
      <c r="BL356" s="4">
        <f t="shared" si="319"/>
        <v>0</v>
      </c>
      <c r="BM356" s="4">
        <f t="shared" si="320"/>
        <v>0</v>
      </c>
      <c r="BN356" s="4">
        <f t="shared" si="321"/>
        <v>0</v>
      </c>
      <c r="BO356" s="4">
        <f t="shared" si="322"/>
        <v>0</v>
      </c>
      <c r="BP356" s="4">
        <f t="shared" si="323"/>
        <v>0</v>
      </c>
      <c r="BQ356" s="4">
        <f t="shared" si="324"/>
        <v>0</v>
      </c>
      <c r="BR356" s="4">
        <f t="shared" si="325"/>
        <v>0</v>
      </c>
      <c r="BS356" s="4">
        <f t="shared" si="326"/>
        <v>0</v>
      </c>
      <c r="BT356" s="4">
        <f t="shared" si="327"/>
        <v>0</v>
      </c>
      <c r="BU356" s="4">
        <f t="shared" si="328"/>
        <v>0</v>
      </c>
      <c r="BV356" s="4">
        <f t="shared" si="329"/>
        <v>0</v>
      </c>
      <c r="BW356" s="4">
        <f t="shared" si="330"/>
        <v>0</v>
      </c>
      <c r="BX356" s="4">
        <f t="shared" si="331"/>
        <v>0</v>
      </c>
      <c r="BY356" s="4">
        <f t="shared" si="332"/>
        <v>0</v>
      </c>
      <c r="BZ356" s="4">
        <f t="shared" si="333"/>
        <v>0</v>
      </c>
      <c r="CA356" s="4">
        <f t="shared" si="334"/>
        <v>0</v>
      </c>
      <c r="CB356" s="4">
        <f t="shared" si="335"/>
        <v>0</v>
      </c>
      <c r="CC356" s="4">
        <f t="shared" si="336"/>
        <v>0</v>
      </c>
      <c r="CD356" s="4">
        <f t="shared" si="337"/>
        <v>0</v>
      </c>
      <c r="CE356" s="4">
        <f t="shared" si="338"/>
        <v>0</v>
      </c>
      <c r="CF356" s="4">
        <f t="shared" si="339"/>
        <v>0</v>
      </c>
      <c r="CG356" s="4">
        <f t="shared" si="340"/>
        <v>0</v>
      </c>
      <c r="CH356" s="4">
        <f t="shared" si="341"/>
        <v>0</v>
      </c>
      <c r="CI356" s="4">
        <f t="shared" si="342"/>
        <v>0</v>
      </c>
      <c r="CJ356" s="4">
        <f t="shared" si="343"/>
        <v>0</v>
      </c>
      <c r="CK356" s="4">
        <f t="shared" si="344"/>
        <v>0</v>
      </c>
      <c r="CL356" s="4">
        <f t="shared" si="345"/>
        <v>0</v>
      </c>
      <c r="CM356" s="4">
        <f t="shared" si="346"/>
        <v>0</v>
      </c>
      <c r="CN356" s="4">
        <f t="shared" si="347"/>
        <v>0</v>
      </c>
      <c r="CO356" s="4">
        <f t="shared" si="348"/>
        <v>0</v>
      </c>
      <c r="CP356" s="4">
        <f t="shared" si="349"/>
        <v>0</v>
      </c>
      <c r="CQ356" s="4">
        <f t="shared" si="350"/>
        <v>0</v>
      </c>
      <c r="CR356" s="4">
        <f t="shared" si="351"/>
        <v>0</v>
      </c>
      <c r="CS356" s="4">
        <f t="shared" si="352"/>
        <v>0</v>
      </c>
      <c r="CT356" s="4">
        <f t="shared" si="353"/>
        <v>0</v>
      </c>
      <c r="CU356" s="4">
        <f t="shared" si="354"/>
        <v>0</v>
      </c>
      <c r="CV356" s="4">
        <f t="shared" si="355"/>
        <v>0</v>
      </c>
      <c r="CW356" s="4">
        <f t="shared" si="356"/>
        <v>0</v>
      </c>
      <c r="CX356" s="4">
        <f t="shared" si="357"/>
        <v>0</v>
      </c>
      <c r="CY356" s="4">
        <f t="shared" si="358"/>
        <v>0</v>
      </c>
      <c r="CZ356" s="4">
        <f t="shared" si="359"/>
        <v>0</v>
      </c>
      <c r="DA356" s="4">
        <f t="shared" si="360"/>
        <v>0</v>
      </c>
      <c r="DB356" s="4">
        <f t="shared" si="361"/>
        <v>0</v>
      </c>
      <c r="DC356" s="4">
        <f t="shared" si="362"/>
        <v>0</v>
      </c>
      <c r="DD356" s="4">
        <f t="shared" si="363"/>
        <v>0</v>
      </c>
    </row>
    <row r="357" spans="1:108" x14ac:dyDescent="0.25">
      <c r="A357" s="41">
        <f>Skills!M339</f>
        <v>0</v>
      </c>
      <c r="B357" s="57" t="str">
        <f>Skills!N339</f>
        <v>Mental Discipline Skills</v>
      </c>
      <c r="C357" s="24">
        <f t="shared" si="364"/>
        <v>0</v>
      </c>
      <c r="D357" s="110" t="str">
        <f>Skills!S339</f>
        <v>- -</v>
      </c>
      <c r="E357" s="111" t="s">
        <v>782</v>
      </c>
      <c r="F357" s="18"/>
      <c r="G357" s="18"/>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49"/>
      <c r="BF357" s="4">
        <f t="shared" si="314"/>
        <v>0</v>
      </c>
      <c r="BG357" s="4">
        <f t="shared" si="314"/>
        <v>0</v>
      </c>
      <c r="BH357" s="4">
        <f t="shared" si="315"/>
        <v>0</v>
      </c>
      <c r="BI357" s="4">
        <f t="shared" si="316"/>
        <v>0</v>
      </c>
      <c r="BJ357" s="4">
        <f t="shared" si="317"/>
        <v>0</v>
      </c>
      <c r="BK357" s="4">
        <f t="shared" si="318"/>
        <v>0</v>
      </c>
      <c r="BL357" s="4">
        <f t="shared" si="319"/>
        <v>0</v>
      </c>
      <c r="BM357" s="4">
        <f t="shared" si="320"/>
        <v>0</v>
      </c>
      <c r="BN357" s="4">
        <f t="shared" si="321"/>
        <v>0</v>
      </c>
      <c r="BO357" s="4">
        <f t="shared" si="322"/>
        <v>0</v>
      </c>
      <c r="BP357" s="4">
        <f t="shared" si="323"/>
        <v>0</v>
      </c>
      <c r="BQ357" s="4">
        <f t="shared" si="324"/>
        <v>0</v>
      </c>
      <c r="BR357" s="4">
        <f t="shared" si="325"/>
        <v>0</v>
      </c>
      <c r="BS357" s="4">
        <f t="shared" si="326"/>
        <v>0</v>
      </c>
      <c r="BT357" s="4">
        <f t="shared" si="327"/>
        <v>0</v>
      </c>
      <c r="BU357" s="4">
        <f t="shared" si="328"/>
        <v>0</v>
      </c>
      <c r="BV357" s="4">
        <f t="shared" si="329"/>
        <v>0</v>
      </c>
      <c r="BW357" s="4">
        <f t="shared" si="330"/>
        <v>0</v>
      </c>
      <c r="BX357" s="4">
        <f t="shared" si="331"/>
        <v>0</v>
      </c>
      <c r="BY357" s="4">
        <f t="shared" si="332"/>
        <v>0</v>
      </c>
      <c r="BZ357" s="4">
        <f t="shared" si="333"/>
        <v>0</v>
      </c>
      <c r="CA357" s="4">
        <f t="shared" si="334"/>
        <v>0</v>
      </c>
      <c r="CB357" s="4">
        <f t="shared" si="335"/>
        <v>0</v>
      </c>
      <c r="CC357" s="4">
        <f t="shared" si="336"/>
        <v>0</v>
      </c>
      <c r="CD357" s="4">
        <f t="shared" si="337"/>
        <v>0</v>
      </c>
      <c r="CE357" s="4">
        <f t="shared" si="338"/>
        <v>0</v>
      </c>
      <c r="CF357" s="4">
        <f t="shared" si="339"/>
        <v>0</v>
      </c>
      <c r="CG357" s="4">
        <f t="shared" si="340"/>
        <v>0</v>
      </c>
      <c r="CH357" s="4">
        <f t="shared" si="341"/>
        <v>0</v>
      </c>
      <c r="CI357" s="4">
        <f t="shared" si="342"/>
        <v>0</v>
      </c>
      <c r="CJ357" s="4">
        <f t="shared" si="343"/>
        <v>0</v>
      </c>
      <c r="CK357" s="4">
        <f t="shared" si="344"/>
        <v>0</v>
      </c>
      <c r="CL357" s="4">
        <f t="shared" si="345"/>
        <v>0</v>
      </c>
      <c r="CM357" s="4">
        <f t="shared" si="346"/>
        <v>0</v>
      </c>
      <c r="CN357" s="4">
        <f t="shared" si="347"/>
        <v>0</v>
      </c>
      <c r="CO357" s="4">
        <f t="shared" si="348"/>
        <v>0</v>
      </c>
      <c r="CP357" s="4">
        <f t="shared" si="349"/>
        <v>0</v>
      </c>
      <c r="CQ357" s="4">
        <f t="shared" si="350"/>
        <v>0</v>
      </c>
      <c r="CR357" s="4">
        <f t="shared" si="351"/>
        <v>0</v>
      </c>
      <c r="CS357" s="4">
        <f t="shared" si="352"/>
        <v>0</v>
      </c>
      <c r="CT357" s="4">
        <f t="shared" si="353"/>
        <v>0</v>
      </c>
      <c r="CU357" s="4">
        <f t="shared" si="354"/>
        <v>0</v>
      </c>
      <c r="CV357" s="4">
        <f t="shared" si="355"/>
        <v>0</v>
      </c>
      <c r="CW357" s="4">
        <f t="shared" si="356"/>
        <v>0</v>
      </c>
      <c r="CX357" s="4">
        <f t="shared" si="357"/>
        <v>0</v>
      </c>
      <c r="CY357" s="4">
        <f t="shared" si="358"/>
        <v>0</v>
      </c>
      <c r="CZ357" s="4">
        <f t="shared" si="359"/>
        <v>0</v>
      </c>
      <c r="DA357" s="4">
        <f t="shared" si="360"/>
        <v>0</v>
      </c>
      <c r="DB357" s="4">
        <f t="shared" si="361"/>
        <v>0</v>
      </c>
      <c r="DC357" s="4">
        <f t="shared" si="362"/>
        <v>0</v>
      </c>
      <c r="DD357" s="4">
        <f t="shared" si="363"/>
        <v>0</v>
      </c>
    </row>
    <row r="358" spans="1:108" x14ac:dyDescent="0.25">
      <c r="A358" s="41" t="str">
        <f>Skills!M340</f>
        <v>Control Lycanthropy</v>
      </c>
      <c r="B358" s="55" t="str">
        <f>Skills!N340</f>
        <v>Control Lycanthropy</v>
      </c>
      <c r="C358" s="22">
        <f t="shared" si="364"/>
        <v>0</v>
      </c>
      <c r="D358" s="112">
        <f>Skills!S340</f>
        <v>0</v>
      </c>
      <c r="E358" s="113" t="e">
        <f>Profession!B156</f>
        <v>#REF!</v>
      </c>
      <c r="F358" s="19"/>
      <c r="G358" s="19"/>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56"/>
      <c r="BF358" s="4">
        <f t="shared" si="314"/>
        <v>0</v>
      </c>
      <c r="BG358" s="4">
        <f t="shared" si="314"/>
        <v>0</v>
      </c>
      <c r="BH358" s="4">
        <f t="shared" si="315"/>
        <v>0</v>
      </c>
      <c r="BI358" s="4">
        <f t="shared" si="316"/>
        <v>0</v>
      </c>
      <c r="BJ358" s="4">
        <f t="shared" si="317"/>
        <v>0</v>
      </c>
      <c r="BK358" s="4">
        <f t="shared" si="318"/>
        <v>0</v>
      </c>
      <c r="BL358" s="4">
        <f t="shared" si="319"/>
        <v>0</v>
      </c>
      <c r="BM358" s="4">
        <f t="shared" si="320"/>
        <v>0</v>
      </c>
      <c r="BN358" s="4">
        <f t="shared" si="321"/>
        <v>0</v>
      </c>
      <c r="BO358" s="4">
        <f t="shared" si="322"/>
        <v>0</v>
      </c>
      <c r="BP358" s="4">
        <f t="shared" si="323"/>
        <v>0</v>
      </c>
      <c r="BQ358" s="4">
        <f t="shared" si="324"/>
        <v>0</v>
      </c>
      <c r="BR358" s="4">
        <f t="shared" si="325"/>
        <v>0</v>
      </c>
      <c r="BS358" s="4">
        <f t="shared" si="326"/>
        <v>0</v>
      </c>
      <c r="BT358" s="4">
        <f t="shared" si="327"/>
        <v>0</v>
      </c>
      <c r="BU358" s="4">
        <f t="shared" si="328"/>
        <v>0</v>
      </c>
      <c r="BV358" s="4">
        <f t="shared" si="329"/>
        <v>0</v>
      </c>
      <c r="BW358" s="4">
        <f t="shared" si="330"/>
        <v>0</v>
      </c>
      <c r="BX358" s="4">
        <f t="shared" si="331"/>
        <v>0</v>
      </c>
      <c r="BY358" s="4">
        <f t="shared" si="332"/>
        <v>0</v>
      </c>
      <c r="BZ358" s="4">
        <f t="shared" si="333"/>
        <v>0</v>
      </c>
      <c r="CA358" s="4">
        <f t="shared" si="334"/>
        <v>0</v>
      </c>
      <c r="CB358" s="4">
        <f t="shared" si="335"/>
        <v>0</v>
      </c>
      <c r="CC358" s="4">
        <f t="shared" si="336"/>
        <v>0</v>
      </c>
      <c r="CD358" s="4">
        <f t="shared" si="337"/>
        <v>0</v>
      </c>
      <c r="CE358" s="4">
        <f t="shared" si="338"/>
        <v>0</v>
      </c>
      <c r="CF358" s="4">
        <f t="shared" si="339"/>
        <v>0</v>
      </c>
      <c r="CG358" s="4">
        <f t="shared" si="340"/>
        <v>0</v>
      </c>
      <c r="CH358" s="4">
        <f t="shared" si="341"/>
        <v>0</v>
      </c>
      <c r="CI358" s="4">
        <f t="shared" si="342"/>
        <v>0</v>
      </c>
      <c r="CJ358" s="4">
        <f t="shared" si="343"/>
        <v>0</v>
      </c>
      <c r="CK358" s="4">
        <f t="shared" si="344"/>
        <v>0</v>
      </c>
      <c r="CL358" s="4">
        <f t="shared" si="345"/>
        <v>0</v>
      </c>
      <c r="CM358" s="4">
        <f t="shared" si="346"/>
        <v>0</v>
      </c>
      <c r="CN358" s="4">
        <f t="shared" si="347"/>
        <v>0</v>
      </c>
      <c r="CO358" s="4">
        <f t="shared" si="348"/>
        <v>0</v>
      </c>
      <c r="CP358" s="4">
        <f t="shared" si="349"/>
        <v>0</v>
      </c>
      <c r="CQ358" s="4">
        <f t="shared" si="350"/>
        <v>0</v>
      </c>
      <c r="CR358" s="4">
        <f t="shared" si="351"/>
        <v>0</v>
      </c>
      <c r="CS358" s="4">
        <f t="shared" si="352"/>
        <v>0</v>
      </c>
      <c r="CT358" s="4">
        <f t="shared" si="353"/>
        <v>0</v>
      </c>
      <c r="CU358" s="4">
        <f t="shared" si="354"/>
        <v>0</v>
      </c>
      <c r="CV358" s="4">
        <f t="shared" si="355"/>
        <v>0</v>
      </c>
      <c r="CW358" s="4">
        <f t="shared" si="356"/>
        <v>0</v>
      </c>
      <c r="CX358" s="4">
        <f t="shared" si="357"/>
        <v>0</v>
      </c>
      <c r="CY358" s="4">
        <f t="shared" si="358"/>
        <v>0</v>
      </c>
      <c r="CZ358" s="4">
        <f t="shared" si="359"/>
        <v>0</v>
      </c>
      <c r="DA358" s="4">
        <f t="shared" si="360"/>
        <v>0</v>
      </c>
      <c r="DB358" s="4">
        <f t="shared" si="361"/>
        <v>0</v>
      </c>
      <c r="DC358" s="4">
        <f t="shared" si="362"/>
        <v>0</v>
      </c>
      <c r="DD358" s="4">
        <f t="shared" si="363"/>
        <v>0</v>
      </c>
    </row>
    <row r="359" spans="1:108" x14ac:dyDescent="0.25">
      <c r="A359" s="41" t="str">
        <f>Skills!M341</f>
        <v>Meditation</v>
      </c>
      <c r="B359" s="57" t="str">
        <f>Skills!N341</f>
        <v>Meditation</v>
      </c>
      <c r="C359" s="24">
        <f t="shared" si="364"/>
        <v>0</v>
      </c>
      <c r="D359" s="110">
        <f>Skills!S341</f>
        <v>0</v>
      </c>
      <c r="E359" s="111" t="e">
        <f>Profession!B157</f>
        <v>#REF!</v>
      </c>
      <c r="F359" s="18"/>
      <c r="G359" s="18"/>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49"/>
      <c r="BF359" s="4">
        <f t="shared" si="314"/>
        <v>0</v>
      </c>
      <c r="BG359" s="4">
        <f t="shared" si="314"/>
        <v>0</v>
      </c>
      <c r="BH359" s="4">
        <f t="shared" si="315"/>
        <v>0</v>
      </c>
      <c r="BI359" s="4">
        <f t="shared" si="316"/>
        <v>0</v>
      </c>
      <c r="BJ359" s="4">
        <f t="shared" si="317"/>
        <v>0</v>
      </c>
      <c r="BK359" s="4">
        <f t="shared" si="318"/>
        <v>0</v>
      </c>
      <c r="BL359" s="4">
        <f t="shared" si="319"/>
        <v>0</v>
      </c>
      <c r="BM359" s="4">
        <f t="shared" si="320"/>
        <v>0</v>
      </c>
      <c r="BN359" s="4">
        <f t="shared" si="321"/>
        <v>0</v>
      </c>
      <c r="BO359" s="4">
        <f t="shared" si="322"/>
        <v>0</v>
      </c>
      <c r="BP359" s="4">
        <f t="shared" si="323"/>
        <v>0</v>
      </c>
      <c r="BQ359" s="4">
        <f t="shared" si="324"/>
        <v>0</v>
      </c>
      <c r="BR359" s="4">
        <f t="shared" si="325"/>
        <v>0</v>
      </c>
      <c r="BS359" s="4">
        <f t="shared" si="326"/>
        <v>0</v>
      </c>
      <c r="BT359" s="4">
        <f t="shared" si="327"/>
        <v>0</v>
      </c>
      <c r="BU359" s="4">
        <f t="shared" si="328"/>
        <v>0</v>
      </c>
      <c r="BV359" s="4">
        <f t="shared" si="329"/>
        <v>0</v>
      </c>
      <c r="BW359" s="4">
        <f t="shared" si="330"/>
        <v>0</v>
      </c>
      <c r="BX359" s="4">
        <f t="shared" si="331"/>
        <v>0</v>
      </c>
      <c r="BY359" s="4">
        <f t="shared" si="332"/>
        <v>0</v>
      </c>
      <c r="BZ359" s="4">
        <f t="shared" si="333"/>
        <v>0</v>
      </c>
      <c r="CA359" s="4">
        <f t="shared" si="334"/>
        <v>0</v>
      </c>
      <c r="CB359" s="4">
        <f t="shared" si="335"/>
        <v>0</v>
      </c>
      <c r="CC359" s="4">
        <f t="shared" si="336"/>
        <v>0</v>
      </c>
      <c r="CD359" s="4">
        <f t="shared" si="337"/>
        <v>0</v>
      </c>
      <c r="CE359" s="4">
        <f t="shared" si="338"/>
        <v>0</v>
      </c>
      <c r="CF359" s="4">
        <f t="shared" si="339"/>
        <v>0</v>
      </c>
      <c r="CG359" s="4">
        <f t="shared" si="340"/>
        <v>0</v>
      </c>
      <c r="CH359" s="4">
        <f t="shared" si="341"/>
        <v>0</v>
      </c>
      <c r="CI359" s="4">
        <f t="shared" si="342"/>
        <v>0</v>
      </c>
      <c r="CJ359" s="4">
        <f t="shared" si="343"/>
        <v>0</v>
      </c>
      <c r="CK359" s="4">
        <f t="shared" si="344"/>
        <v>0</v>
      </c>
      <c r="CL359" s="4">
        <f t="shared" si="345"/>
        <v>0</v>
      </c>
      <c r="CM359" s="4">
        <f t="shared" si="346"/>
        <v>0</v>
      </c>
      <c r="CN359" s="4">
        <f t="shared" si="347"/>
        <v>0</v>
      </c>
      <c r="CO359" s="4">
        <f t="shared" si="348"/>
        <v>0</v>
      </c>
      <c r="CP359" s="4">
        <f t="shared" si="349"/>
        <v>0</v>
      </c>
      <c r="CQ359" s="4">
        <f t="shared" si="350"/>
        <v>0</v>
      </c>
      <c r="CR359" s="4">
        <f t="shared" si="351"/>
        <v>0</v>
      </c>
      <c r="CS359" s="4">
        <f t="shared" si="352"/>
        <v>0</v>
      </c>
      <c r="CT359" s="4">
        <f t="shared" si="353"/>
        <v>0</v>
      </c>
      <c r="CU359" s="4">
        <f t="shared" si="354"/>
        <v>0</v>
      </c>
      <c r="CV359" s="4">
        <f t="shared" si="355"/>
        <v>0</v>
      </c>
      <c r="CW359" s="4">
        <f t="shared" si="356"/>
        <v>0</v>
      </c>
      <c r="CX359" s="4">
        <f t="shared" si="357"/>
        <v>0</v>
      </c>
      <c r="CY359" s="4">
        <f t="shared" si="358"/>
        <v>0</v>
      </c>
      <c r="CZ359" s="4">
        <f t="shared" si="359"/>
        <v>0</v>
      </c>
      <c r="DA359" s="4">
        <f t="shared" si="360"/>
        <v>0</v>
      </c>
      <c r="DB359" s="4">
        <f t="shared" si="361"/>
        <v>0</v>
      </c>
      <c r="DC359" s="4">
        <f t="shared" si="362"/>
        <v>0</v>
      </c>
      <c r="DD359" s="4">
        <f t="shared" si="363"/>
        <v>0</v>
      </c>
    </row>
    <row r="360" spans="1:108" x14ac:dyDescent="0.25">
      <c r="A360" s="41" t="str">
        <f>Skills!M342</f>
        <v>Mental Focus</v>
      </c>
      <c r="B360" s="55" t="str">
        <f>Skills!N342</f>
        <v>Mental Focus</v>
      </c>
      <c r="C360" s="22">
        <f t="shared" si="364"/>
        <v>0</v>
      </c>
      <c r="D360" s="112">
        <f>Skills!S342</f>
        <v>0</v>
      </c>
      <c r="E360" s="113" t="e">
        <f>Profession!B158</f>
        <v>#REF!</v>
      </c>
      <c r="F360" s="19"/>
      <c r="G360" s="19"/>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56"/>
      <c r="BF360" s="4">
        <f t="shared" si="314"/>
        <v>0</v>
      </c>
      <c r="BG360" s="4">
        <f t="shared" si="314"/>
        <v>0</v>
      </c>
      <c r="BH360" s="4">
        <f t="shared" si="315"/>
        <v>0</v>
      </c>
      <c r="BI360" s="4">
        <f t="shared" si="316"/>
        <v>0</v>
      </c>
      <c r="BJ360" s="4">
        <f t="shared" si="317"/>
        <v>0</v>
      </c>
      <c r="BK360" s="4">
        <f t="shared" si="318"/>
        <v>0</v>
      </c>
      <c r="BL360" s="4">
        <f t="shared" si="319"/>
        <v>0</v>
      </c>
      <c r="BM360" s="4">
        <f t="shared" si="320"/>
        <v>0</v>
      </c>
      <c r="BN360" s="4">
        <f t="shared" si="321"/>
        <v>0</v>
      </c>
      <c r="BO360" s="4">
        <f t="shared" si="322"/>
        <v>0</v>
      </c>
      <c r="BP360" s="4">
        <f t="shared" si="323"/>
        <v>0</v>
      </c>
      <c r="BQ360" s="4">
        <f t="shared" si="324"/>
        <v>0</v>
      </c>
      <c r="BR360" s="4">
        <f t="shared" si="325"/>
        <v>0</v>
      </c>
      <c r="BS360" s="4">
        <f t="shared" si="326"/>
        <v>0</v>
      </c>
      <c r="BT360" s="4">
        <f t="shared" si="327"/>
        <v>0</v>
      </c>
      <c r="BU360" s="4">
        <f t="shared" si="328"/>
        <v>0</v>
      </c>
      <c r="BV360" s="4">
        <f t="shared" si="329"/>
        <v>0</v>
      </c>
      <c r="BW360" s="4">
        <f t="shared" si="330"/>
        <v>0</v>
      </c>
      <c r="BX360" s="4">
        <f t="shared" si="331"/>
        <v>0</v>
      </c>
      <c r="BY360" s="4">
        <f t="shared" si="332"/>
        <v>0</v>
      </c>
      <c r="BZ360" s="4">
        <f t="shared" si="333"/>
        <v>0</v>
      </c>
      <c r="CA360" s="4">
        <f t="shared" si="334"/>
        <v>0</v>
      </c>
      <c r="CB360" s="4">
        <f t="shared" si="335"/>
        <v>0</v>
      </c>
      <c r="CC360" s="4">
        <f t="shared" si="336"/>
        <v>0</v>
      </c>
      <c r="CD360" s="4">
        <f t="shared" si="337"/>
        <v>0</v>
      </c>
      <c r="CE360" s="4">
        <f t="shared" si="338"/>
        <v>0</v>
      </c>
      <c r="CF360" s="4">
        <f t="shared" si="339"/>
        <v>0</v>
      </c>
      <c r="CG360" s="4">
        <f t="shared" si="340"/>
        <v>0</v>
      </c>
      <c r="CH360" s="4">
        <f t="shared" si="341"/>
        <v>0</v>
      </c>
      <c r="CI360" s="4">
        <f t="shared" si="342"/>
        <v>0</v>
      </c>
      <c r="CJ360" s="4">
        <f t="shared" si="343"/>
        <v>0</v>
      </c>
      <c r="CK360" s="4">
        <f t="shared" si="344"/>
        <v>0</v>
      </c>
      <c r="CL360" s="4">
        <f t="shared" si="345"/>
        <v>0</v>
      </c>
      <c r="CM360" s="4">
        <f t="shared" si="346"/>
        <v>0</v>
      </c>
      <c r="CN360" s="4">
        <f t="shared" si="347"/>
        <v>0</v>
      </c>
      <c r="CO360" s="4">
        <f t="shared" si="348"/>
        <v>0</v>
      </c>
      <c r="CP360" s="4">
        <f t="shared" si="349"/>
        <v>0</v>
      </c>
      <c r="CQ360" s="4">
        <f t="shared" si="350"/>
        <v>0</v>
      </c>
      <c r="CR360" s="4">
        <f t="shared" si="351"/>
        <v>0</v>
      </c>
      <c r="CS360" s="4">
        <f t="shared" si="352"/>
        <v>0</v>
      </c>
      <c r="CT360" s="4">
        <f t="shared" si="353"/>
        <v>0</v>
      </c>
      <c r="CU360" s="4">
        <f t="shared" si="354"/>
        <v>0</v>
      </c>
      <c r="CV360" s="4">
        <f t="shared" si="355"/>
        <v>0</v>
      </c>
      <c r="CW360" s="4">
        <f t="shared" si="356"/>
        <v>0</v>
      </c>
      <c r="CX360" s="4">
        <f t="shared" si="357"/>
        <v>0</v>
      </c>
      <c r="CY360" s="4">
        <f t="shared" si="358"/>
        <v>0</v>
      </c>
      <c r="CZ360" s="4">
        <f t="shared" si="359"/>
        <v>0</v>
      </c>
      <c r="DA360" s="4">
        <f t="shared" si="360"/>
        <v>0</v>
      </c>
      <c r="DB360" s="4">
        <f t="shared" si="361"/>
        <v>0</v>
      </c>
      <c r="DC360" s="4">
        <f t="shared" si="362"/>
        <v>0</v>
      </c>
      <c r="DD360" s="4">
        <f t="shared" si="363"/>
        <v>0</v>
      </c>
    </row>
    <row r="361" spans="1:108" x14ac:dyDescent="0.25">
      <c r="A361" s="41" t="str">
        <f>Skills!M343</f>
        <v>Mnemonics</v>
      </c>
      <c r="B361" s="57" t="str">
        <f>Skills!N343</f>
        <v>Mnemonics</v>
      </c>
      <c r="C361" s="24">
        <f t="shared" si="364"/>
        <v>0</v>
      </c>
      <c r="D361" s="110">
        <f>Skills!S343</f>
        <v>0</v>
      </c>
      <c r="E361" s="111" t="e">
        <f>Profession!B159</f>
        <v>#REF!</v>
      </c>
      <c r="F361" s="18"/>
      <c r="G361" s="18"/>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49"/>
      <c r="BF361" s="4">
        <f t="shared" si="314"/>
        <v>0</v>
      </c>
      <c r="BG361" s="4">
        <f t="shared" si="314"/>
        <v>0</v>
      </c>
      <c r="BH361" s="4">
        <f t="shared" si="315"/>
        <v>0</v>
      </c>
      <c r="BI361" s="4">
        <f t="shared" si="316"/>
        <v>0</v>
      </c>
      <c r="BJ361" s="4">
        <f t="shared" si="317"/>
        <v>0</v>
      </c>
      <c r="BK361" s="4">
        <f t="shared" si="318"/>
        <v>0</v>
      </c>
      <c r="BL361" s="4">
        <f t="shared" si="319"/>
        <v>0</v>
      </c>
      <c r="BM361" s="4">
        <f t="shared" si="320"/>
        <v>0</v>
      </c>
      <c r="BN361" s="4">
        <f t="shared" si="321"/>
        <v>0</v>
      </c>
      <c r="BO361" s="4">
        <f t="shared" si="322"/>
        <v>0</v>
      </c>
      <c r="BP361" s="4">
        <f t="shared" si="323"/>
        <v>0</v>
      </c>
      <c r="BQ361" s="4">
        <f t="shared" si="324"/>
        <v>0</v>
      </c>
      <c r="BR361" s="4">
        <f t="shared" si="325"/>
        <v>0</v>
      </c>
      <c r="BS361" s="4">
        <f t="shared" si="326"/>
        <v>0</v>
      </c>
      <c r="BT361" s="4">
        <f t="shared" si="327"/>
        <v>0</v>
      </c>
      <c r="BU361" s="4">
        <f t="shared" si="328"/>
        <v>0</v>
      </c>
      <c r="BV361" s="4">
        <f t="shared" si="329"/>
        <v>0</v>
      </c>
      <c r="BW361" s="4">
        <f t="shared" si="330"/>
        <v>0</v>
      </c>
      <c r="BX361" s="4">
        <f t="shared" si="331"/>
        <v>0</v>
      </c>
      <c r="BY361" s="4">
        <f t="shared" si="332"/>
        <v>0</v>
      </c>
      <c r="BZ361" s="4">
        <f t="shared" si="333"/>
        <v>0</v>
      </c>
      <c r="CA361" s="4">
        <f t="shared" si="334"/>
        <v>0</v>
      </c>
      <c r="CB361" s="4">
        <f t="shared" si="335"/>
        <v>0</v>
      </c>
      <c r="CC361" s="4">
        <f t="shared" si="336"/>
        <v>0</v>
      </c>
      <c r="CD361" s="4">
        <f t="shared" si="337"/>
        <v>0</v>
      </c>
      <c r="CE361" s="4">
        <f t="shared" si="338"/>
        <v>0</v>
      </c>
      <c r="CF361" s="4">
        <f t="shared" si="339"/>
        <v>0</v>
      </c>
      <c r="CG361" s="4">
        <f t="shared" si="340"/>
        <v>0</v>
      </c>
      <c r="CH361" s="4">
        <f t="shared" si="341"/>
        <v>0</v>
      </c>
      <c r="CI361" s="4">
        <f t="shared" si="342"/>
        <v>0</v>
      </c>
      <c r="CJ361" s="4">
        <f t="shared" si="343"/>
        <v>0</v>
      </c>
      <c r="CK361" s="4">
        <f t="shared" si="344"/>
        <v>0</v>
      </c>
      <c r="CL361" s="4">
        <f t="shared" si="345"/>
        <v>0</v>
      </c>
      <c r="CM361" s="4">
        <f t="shared" si="346"/>
        <v>0</v>
      </c>
      <c r="CN361" s="4">
        <f t="shared" si="347"/>
        <v>0</v>
      </c>
      <c r="CO361" s="4">
        <f t="shared" si="348"/>
        <v>0</v>
      </c>
      <c r="CP361" s="4">
        <f t="shared" si="349"/>
        <v>0</v>
      </c>
      <c r="CQ361" s="4">
        <f t="shared" si="350"/>
        <v>0</v>
      </c>
      <c r="CR361" s="4">
        <f t="shared" si="351"/>
        <v>0</v>
      </c>
      <c r="CS361" s="4">
        <f t="shared" si="352"/>
        <v>0</v>
      </c>
      <c r="CT361" s="4">
        <f t="shared" si="353"/>
        <v>0</v>
      </c>
      <c r="CU361" s="4">
        <f t="shared" si="354"/>
        <v>0</v>
      </c>
      <c r="CV361" s="4">
        <f t="shared" si="355"/>
        <v>0</v>
      </c>
      <c r="CW361" s="4">
        <f t="shared" si="356"/>
        <v>0</v>
      </c>
      <c r="CX361" s="4">
        <f t="shared" si="357"/>
        <v>0</v>
      </c>
      <c r="CY361" s="4">
        <f t="shared" si="358"/>
        <v>0</v>
      </c>
      <c r="CZ361" s="4">
        <f t="shared" si="359"/>
        <v>0</v>
      </c>
      <c r="DA361" s="4">
        <f t="shared" si="360"/>
        <v>0</v>
      </c>
      <c r="DB361" s="4">
        <f t="shared" si="361"/>
        <v>0</v>
      </c>
      <c r="DC361" s="4">
        <f t="shared" si="362"/>
        <v>0</v>
      </c>
      <c r="DD361" s="4">
        <f t="shared" si="363"/>
        <v>0</v>
      </c>
    </row>
    <row r="362" spans="1:108" x14ac:dyDescent="0.25">
      <c r="A362" s="41">
        <f>Skills!M344</f>
        <v>0</v>
      </c>
      <c r="B362" s="55" t="str">
        <f>Skills!N344</f>
        <v>Movement Category</v>
      </c>
      <c r="C362" s="22">
        <f t="shared" si="364"/>
        <v>0</v>
      </c>
      <c r="D362" s="112" t="str">
        <f>Skills!S344</f>
        <v>- -</v>
      </c>
      <c r="E362" s="113" t="s">
        <v>782</v>
      </c>
      <c r="F362" s="19"/>
      <c r="G362" s="19"/>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56"/>
      <c r="BF362" s="4">
        <f t="shared" si="314"/>
        <v>0</v>
      </c>
      <c r="BG362" s="4">
        <f t="shared" si="314"/>
        <v>0</v>
      </c>
      <c r="BH362" s="4">
        <f t="shared" si="315"/>
        <v>0</v>
      </c>
      <c r="BI362" s="4">
        <f t="shared" si="316"/>
        <v>0</v>
      </c>
      <c r="BJ362" s="4">
        <f t="shared" si="317"/>
        <v>0</v>
      </c>
      <c r="BK362" s="4">
        <f t="shared" si="318"/>
        <v>0</v>
      </c>
      <c r="BL362" s="4">
        <f t="shared" si="319"/>
        <v>0</v>
      </c>
      <c r="BM362" s="4">
        <f t="shared" si="320"/>
        <v>0</v>
      </c>
      <c r="BN362" s="4">
        <f t="shared" si="321"/>
        <v>0</v>
      </c>
      <c r="BO362" s="4">
        <f t="shared" si="322"/>
        <v>0</v>
      </c>
      <c r="BP362" s="4">
        <f t="shared" si="323"/>
        <v>0</v>
      </c>
      <c r="BQ362" s="4">
        <f t="shared" si="324"/>
        <v>0</v>
      </c>
      <c r="BR362" s="4">
        <f t="shared" si="325"/>
        <v>0</v>
      </c>
      <c r="BS362" s="4">
        <f t="shared" si="326"/>
        <v>0</v>
      </c>
      <c r="BT362" s="4">
        <f t="shared" si="327"/>
        <v>0</v>
      </c>
      <c r="BU362" s="4">
        <f t="shared" si="328"/>
        <v>0</v>
      </c>
      <c r="BV362" s="4">
        <f t="shared" si="329"/>
        <v>0</v>
      </c>
      <c r="BW362" s="4">
        <f t="shared" si="330"/>
        <v>0</v>
      </c>
      <c r="BX362" s="4">
        <f t="shared" si="331"/>
        <v>0</v>
      </c>
      <c r="BY362" s="4">
        <f t="shared" si="332"/>
        <v>0</v>
      </c>
      <c r="BZ362" s="4">
        <f t="shared" si="333"/>
        <v>0</v>
      </c>
      <c r="CA362" s="4">
        <f t="shared" si="334"/>
        <v>0</v>
      </c>
      <c r="CB362" s="4">
        <f t="shared" si="335"/>
        <v>0</v>
      </c>
      <c r="CC362" s="4">
        <f t="shared" si="336"/>
        <v>0</v>
      </c>
      <c r="CD362" s="4">
        <f t="shared" si="337"/>
        <v>0</v>
      </c>
      <c r="CE362" s="4">
        <f t="shared" si="338"/>
        <v>0</v>
      </c>
      <c r="CF362" s="4">
        <f t="shared" si="339"/>
        <v>0</v>
      </c>
      <c r="CG362" s="4">
        <f t="shared" si="340"/>
        <v>0</v>
      </c>
      <c r="CH362" s="4">
        <f t="shared" si="341"/>
        <v>0</v>
      </c>
      <c r="CI362" s="4">
        <f t="shared" si="342"/>
        <v>0</v>
      </c>
      <c r="CJ362" s="4">
        <f t="shared" si="343"/>
        <v>0</v>
      </c>
      <c r="CK362" s="4">
        <f t="shared" si="344"/>
        <v>0</v>
      </c>
      <c r="CL362" s="4">
        <f t="shared" si="345"/>
        <v>0</v>
      </c>
      <c r="CM362" s="4">
        <f t="shared" si="346"/>
        <v>0</v>
      </c>
      <c r="CN362" s="4">
        <f t="shared" si="347"/>
        <v>0</v>
      </c>
      <c r="CO362" s="4">
        <f t="shared" si="348"/>
        <v>0</v>
      </c>
      <c r="CP362" s="4">
        <f t="shared" si="349"/>
        <v>0</v>
      </c>
      <c r="CQ362" s="4">
        <f t="shared" si="350"/>
        <v>0</v>
      </c>
      <c r="CR362" s="4">
        <f t="shared" si="351"/>
        <v>0</v>
      </c>
      <c r="CS362" s="4">
        <f t="shared" si="352"/>
        <v>0</v>
      </c>
      <c r="CT362" s="4">
        <f t="shared" si="353"/>
        <v>0</v>
      </c>
      <c r="CU362" s="4">
        <f t="shared" si="354"/>
        <v>0</v>
      </c>
      <c r="CV362" s="4">
        <f t="shared" si="355"/>
        <v>0</v>
      </c>
      <c r="CW362" s="4">
        <f t="shared" si="356"/>
        <v>0</v>
      </c>
      <c r="CX362" s="4">
        <f t="shared" si="357"/>
        <v>0</v>
      </c>
      <c r="CY362" s="4">
        <f t="shared" si="358"/>
        <v>0</v>
      </c>
      <c r="CZ362" s="4">
        <f t="shared" si="359"/>
        <v>0</v>
      </c>
      <c r="DA362" s="4">
        <f t="shared" si="360"/>
        <v>0</v>
      </c>
      <c r="DB362" s="4">
        <f t="shared" si="361"/>
        <v>0</v>
      </c>
      <c r="DC362" s="4">
        <f t="shared" si="362"/>
        <v>0</v>
      </c>
      <c r="DD362" s="4">
        <f t="shared" si="363"/>
        <v>0</v>
      </c>
    </row>
    <row r="363" spans="1:108" x14ac:dyDescent="0.25">
      <c r="A363" s="41">
        <f>Skills!M345</f>
        <v>0</v>
      </c>
      <c r="B363" s="57" t="str">
        <f>Skills!N345</f>
        <v>Movement Skills</v>
      </c>
      <c r="C363" s="24">
        <f t="shared" si="364"/>
        <v>0</v>
      </c>
      <c r="D363" s="110" t="str">
        <f>Skills!S345</f>
        <v>- -</v>
      </c>
      <c r="E363" s="111" t="s">
        <v>782</v>
      </c>
      <c r="F363" s="18"/>
      <c r="G363" s="18"/>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49"/>
      <c r="BF363" s="4">
        <f t="shared" si="314"/>
        <v>0</v>
      </c>
      <c r="BG363" s="4">
        <f t="shared" si="314"/>
        <v>0</v>
      </c>
      <c r="BH363" s="4">
        <f t="shared" si="315"/>
        <v>0</v>
      </c>
      <c r="BI363" s="4">
        <f t="shared" si="316"/>
        <v>0</v>
      </c>
      <c r="BJ363" s="4">
        <f t="shared" si="317"/>
        <v>0</v>
      </c>
      <c r="BK363" s="4">
        <f t="shared" si="318"/>
        <v>0</v>
      </c>
      <c r="BL363" s="4">
        <f t="shared" si="319"/>
        <v>0</v>
      </c>
      <c r="BM363" s="4">
        <f t="shared" si="320"/>
        <v>0</v>
      </c>
      <c r="BN363" s="4">
        <f t="shared" si="321"/>
        <v>0</v>
      </c>
      <c r="BO363" s="4">
        <f t="shared" si="322"/>
        <v>0</v>
      </c>
      <c r="BP363" s="4">
        <f t="shared" si="323"/>
        <v>0</v>
      </c>
      <c r="BQ363" s="4">
        <f t="shared" si="324"/>
        <v>0</v>
      </c>
      <c r="BR363" s="4">
        <f t="shared" si="325"/>
        <v>0</v>
      </c>
      <c r="BS363" s="4">
        <f t="shared" si="326"/>
        <v>0</v>
      </c>
      <c r="BT363" s="4">
        <f t="shared" si="327"/>
        <v>0</v>
      </c>
      <c r="BU363" s="4">
        <f t="shared" si="328"/>
        <v>0</v>
      </c>
      <c r="BV363" s="4">
        <f t="shared" si="329"/>
        <v>0</v>
      </c>
      <c r="BW363" s="4">
        <f t="shared" si="330"/>
        <v>0</v>
      </c>
      <c r="BX363" s="4">
        <f t="shared" si="331"/>
        <v>0</v>
      </c>
      <c r="BY363" s="4">
        <f t="shared" si="332"/>
        <v>0</v>
      </c>
      <c r="BZ363" s="4">
        <f t="shared" si="333"/>
        <v>0</v>
      </c>
      <c r="CA363" s="4">
        <f t="shared" si="334"/>
        <v>0</v>
      </c>
      <c r="CB363" s="4">
        <f t="shared" si="335"/>
        <v>0</v>
      </c>
      <c r="CC363" s="4">
        <f t="shared" si="336"/>
        <v>0</v>
      </c>
      <c r="CD363" s="4">
        <f t="shared" si="337"/>
        <v>0</v>
      </c>
      <c r="CE363" s="4">
        <f t="shared" si="338"/>
        <v>0</v>
      </c>
      <c r="CF363" s="4">
        <f t="shared" si="339"/>
        <v>0</v>
      </c>
      <c r="CG363" s="4">
        <f t="shared" si="340"/>
        <v>0</v>
      </c>
      <c r="CH363" s="4">
        <f t="shared" si="341"/>
        <v>0</v>
      </c>
      <c r="CI363" s="4">
        <f t="shared" si="342"/>
        <v>0</v>
      </c>
      <c r="CJ363" s="4">
        <f t="shared" si="343"/>
        <v>0</v>
      </c>
      <c r="CK363" s="4">
        <f t="shared" si="344"/>
        <v>0</v>
      </c>
      <c r="CL363" s="4">
        <f t="shared" si="345"/>
        <v>0</v>
      </c>
      <c r="CM363" s="4">
        <f t="shared" si="346"/>
        <v>0</v>
      </c>
      <c r="CN363" s="4">
        <f t="shared" si="347"/>
        <v>0</v>
      </c>
      <c r="CO363" s="4">
        <f t="shared" si="348"/>
        <v>0</v>
      </c>
      <c r="CP363" s="4">
        <f t="shared" si="349"/>
        <v>0</v>
      </c>
      <c r="CQ363" s="4">
        <f t="shared" si="350"/>
        <v>0</v>
      </c>
      <c r="CR363" s="4">
        <f t="shared" si="351"/>
        <v>0</v>
      </c>
      <c r="CS363" s="4">
        <f t="shared" si="352"/>
        <v>0</v>
      </c>
      <c r="CT363" s="4">
        <f t="shared" si="353"/>
        <v>0</v>
      </c>
      <c r="CU363" s="4">
        <f t="shared" si="354"/>
        <v>0</v>
      </c>
      <c r="CV363" s="4">
        <f t="shared" si="355"/>
        <v>0</v>
      </c>
      <c r="CW363" s="4">
        <f t="shared" si="356"/>
        <v>0</v>
      </c>
      <c r="CX363" s="4">
        <f t="shared" si="357"/>
        <v>0</v>
      </c>
      <c r="CY363" s="4">
        <f t="shared" si="358"/>
        <v>0</v>
      </c>
      <c r="CZ363" s="4">
        <f t="shared" si="359"/>
        <v>0</v>
      </c>
      <c r="DA363" s="4">
        <f t="shared" si="360"/>
        <v>0</v>
      </c>
      <c r="DB363" s="4">
        <f t="shared" si="361"/>
        <v>0</v>
      </c>
      <c r="DC363" s="4">
        <f t="shared" si="362"/>
        <v>0</v>
      </c>
      <c r="DD363" s="4">
        <f t="shared" si="363"/>
        <v>0</v>
      </c>
    </row>
    <row r="364" spans="1:108" x14ac:dyDescent="0.25">
      <c r="A364" s="41" t="str">
        <f>Skills!M346</f>
        <v>Climbing</v>
      </c>
      <c r="B364" s="55" t="str">
        <f>Skills!N346</f>
        <v>Climbing</v>
      </c>
      <c r="C364" s="22">
        <f t="shared" si="364"/>
        <v>0</v>
      </c>
      <c r="D364" s="112">
        <f>Skills!S346</f>
        <v>0</v>
      </c>
      <c r="E364" s="113" t="e">
        <f>Profession!B161</f>
        <v>#REF!</v>
      </c>
      <c r="F364" s="19"/>
      <c r="G364" s="19"/>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56"/>
      <c r="BF364" s="4">
        <f t="shared" si="314"/>
        <v>0</v>
      </c>
      <c r="BG364" s="4">
        <f t="shared" si="314"/>
        <v>0</v>
      </c>
      <c r="BH364" s="4">
        <f t="shared" si="315"/>
        <v>0</v>
      </c>
      <c r="BI364" s="4">
        <f t="shared" si="316"/>
        <v>0</v>
      </c>
      <c r="BJ364" s="4">
        <f t="shared" si="317"/>
        <v>0</v>
      </c>
      <c r="BK364" s="4">
        <f t="shared" si="318"/>
        <v>0</v>
      </c>
      <c r="BL364" s="4">
        <f t="shared" si="319"/>
        <v>0</v>
      </c>
      <c r="BM364" s="4">
        <f t="shared" si="320"/>
        <v>0</v>
      </c>
      <c r="BN364" s="4">
        <f t="shared" si="321"/>
        <v>0</v>
      </c>
      <c r="BO364" s="4">
        <f t="shared" si="322"/>
        <v>0</v>
      </c>
      <c r="BP364" s="4">
        <f t="shared" si="323"/>
        <v>0</v>
      </c>
      <c r="BQ364" s="4">
        <f t="shared" si="324"/>
        <v>0</v>
      </c>
      <c r="BR364" s="4">
        <f t="shared" si="325"/>
        <v>0</v>
      </c>
      <c r="BS364" s="4">
        <f t="shared" si="326"/>
        <v>0</v>
      </c>
      <c r="BT364" s="4">
        <f t="shared" si="327"/>
        <v>0</v>
      </c>
      <c r="BU364" s="4">
        <f t="shared" si="328"/>
        <v>0</v>
      </c>
      <c r="BV364" s="4">
        <f t="shared" si="329"/>
        <v>0</v>
      </c>
      <c r="BW364" s="4">
        <f t="shared" si="330"/>
        <v>0</v>
      </c>
      <c r="BX364" s="4">
        <f t="shared" si="331"/>
        <v>0</v>
      </c>
      <c r="BY364" s="4">
        <f t="shared" si="332"/>
        <v>0</v>
      </c>
      <c r="BZ364" s="4">
        <f t="shared" si="333"/>
        <v>0</v>
      </c>
      <c r="CA364" s="4">
        <f t="shared" si="334"/>
        <v>0</v>
      </c>
      <c r="CB364" s="4">
        <f t="shared" si="335"/>
        <v>0</v>
      </c>
      <c r="CC364" s="4">
        <f t="shared" si="336"/>
        <v>0</v>
      </c>
      <c r="CD364" s="4">
        <f t="shared" si="337"/>
        <v>0</v>
      </c>
      <c r="CE364" s="4">
        <f t="shared" si="338"/>
        <v>0</v>
      </c>
      <c r="CF364" s="4">
        <f t="shared" si="339"/>
        <v>0</v>
      </c>
      <c r="CG364" s="4">
        <f t="shared" si="340"/>
        <v>0</v>
      </c>
      <c r="CH364" s="4">
        <f t="shared" si="341"/>
        <v>0</v>
      </c>
      <c r="CI364" s="4">
        <f t="shared" si="342"/>
        <v>0</v>
      </c>
      <c r="CJ364" s="4">
        <f t="shared" si="343"/>
        <v>0</v>
      </c>
      <c r="CK364" s="4">
        <f t="shared" si="344"/>
        <v>0</v>
      </c>
      <c r="CL364" s="4">
        <f t="shared" si="345"/>
        <v>0</v>
      </c>
      <c r="CM364" s="4">
        <f t="shared" si="346"/>
        <v>0</v>
      </c>
      <c r="CN364" s="4">
        <f t="shared" si="347"/>
        <v>0</v>
      </c>
      <c r="CO364" s="4">
        <f t="shared" si="348"/>
        <v>0</v>
      </c>
      <c r="CP364" s="4">
        <f t="shared" si="349"/>
        <v>0</v>
      </c>
      <c r="CQ364" s="4">
        <f t="shared" si="350"/>
        <v>0</v>
      </c>
      <c r="CR364" s="4">
        <f t="shared" si="351"/>
        <v>0</v>
      </c>
      <c r="CS364" s="4">
        <f t="shared" si="352"/>
        <v>0</v>
      </c>
      <c r="CT364" s="4">
        <f t="shared" si="353"/>
        <v>0</v>
      </c>
      <c r="CU364" s="4">
        <f t="shared" si="354"/>
        <v>0</v>
      </c>
      <c r="CV364" s="4">
        <f t="shared" si="355"/>
        <v>0</v>
      </c>
      <c r="CW364" s="4">
        <f t="shared" si="356"/>
        <v>0</v>
      </c>
      <c r="CX364" s="4">
        <f t="shared" si="357"/>
        <v>0</v>
      </c>
      <c r="CY364" s="4">
        <f t="shared" si="358"/>
        <v>0</v>
      </c>
      <c r="CZ364" s="4">
        <f t="shared" si="359"/>
        <v>0</v>
      </c>
      <c r="DA364" s="4">
        <f t="shared" si="360"/>
        <v>0</v>
      </c>
      <c r="DB364" s="4">
        <f t="shared" si="361"/>
        <v>0</v>
      </c>
      <c r="DC364" s="4">
        <f t="shared" si="362"/>
        <v>0</v>
      </c>
      <c r="DD364" s="4">
        <f t="shared" si="363"/>
        <v>0</v>
      </c>
    </row>
    <row r="365" spans="1:108" x14ac:dyDescent="0.25">
      <c r="A365" s="41" t="str">
        <f>Skills!M347</f>
        <v>Flying</v>
      </c>
      <c r="B365" s="57" t="str">
        <f>Skills!N347</f>
        <v>Flying</v>
      </c>
      <c r="C365" s="24">
        <f t="shared" si="364"/>
        <v>0</v>
      </c>
      <c r="D365" s="110">
        <f>Skills!S347</f>
        <v>0</v>
      </c>
      <c r="E365" s="111" t="e">
        <f>Profession!B162</f>
        <v>#REF!</v>
      </c>
      <c r="F365" s="18"/>
      <c r="G365" s="18"/>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49"/>
      <c r="BF365" s="4">
        <f t="shared" si="314"/>
        <v>0</v>
      </c>
      <c r="BG365" s="4">
        <f t="shared" si="314"/>
        <v>0</v>
      </c>
      <c r="BH365" s="4">
        <f t="shared" si="315"/>
        <v>0</v>
      </c>
      <c r="BI365" s="4">
        <f t="shared" si="316"/>
        <v>0</v>
      </c>
      <c r="BJ365" s="4">
        <f t="shared" si="317"/>
        <v>0</v>
      </c>
      <c r="BK365" s="4">
        <f t="shared" si="318"/>
        <v>0</v>
      </c>
      <c r="BL365" s="4">
        <f t="shared" si="319"/>
        <v>0</v>
      </c>
      <c r="BM365" s="4">
        <f t="shared" si="320"/>
        <v>0</v>
      </c>
      <c r="BN365" s="4">
        <f t="shared" si="321"/>
        <v>0</v>
      </c>
      <c r="BO365" s="4">
        <f t="shared" si="322"/>
        <v>0</v>
      </c>
      <c r="BP365" s="4">
        <f t="shared" si="323"/>
        <v>0</v>
      </c>
      <c r="BQ365" s="4">
        <f t="shared" si="324"/>
        <v>0</v>
      </c>
      <c r="BR365" s="4">
        <f t="shared" si="325"/>
        <v>0</v>
      </c>
      <c r="BS365" s="4">
        <f t="shared" si="326"/>
        <v>0</v>
      </c>
      <c r="BT365" s="4">
        <f t="shared" si="327"/>
        <v>0</v>
      </c>
      <c r="BU365" s="4">
        <f t="shared" si="328"/>
        <v>0</v>
      </c>
      <c r="BV365" s="4">
        <f t="shared" si="329"/>
        <v>0</v>
      </c>
      <c r="BW365" s="4">
        <f t="shared" si="330"/>
        <v>0</v>
      </c>
      <c r="BX365" s="4">
        <f t="shared" si="331"/>
        <v>0</v>
      </c>
      <c r="BY365" s="4">
        <f t="shared" si="332"/>
        <v>0</v>
      </c>
      <c r="BZ365" s="4">
        <f t="shared" si="333"/>
        <v>0</v>
      </c>
      <c r="CA365" s="4">
        <f t="shared" si="334"/>
        <v>0</v>
      </c>
      <c r="CB365" s="4">
        <f t="shared" si="335"/>
        <v>0</v>
      </c>
      <c r="CC365" s="4">
        <f t="shared" si="336"/>
        <v>0</v>
      </c>
      <c r="CD365" s="4">
        <f t="shared" si="337"/>
        <v>0</v>
      </c>
      <c r="CE365" s="4">
        <f t="shared" si="338"/>
        <v>0</v>
      </c>
      <c r="CF365" s="4">
        <f t="shared" si="339"/>
        <v>0</v>
      </c>
      <c r="CG365" s="4">
        <f t="shared" si="340"/>
        <v>0</v>
      </c>
      <c r="CH365" s="4">
        <f t="shared" si="341"/>
        <v>0</v>
      </c>
      <c r="CI365" s="4">
        <f t="shared" si="342"/>
        <v>0</v>
      </c>
      <c r="CJ365" s="4">
        <f t="shared" si="343"/>
        <v>0</v>
      </c>
      <c r="CK365" s="4">
        <f t="shared" si="344"/>
        <v>0</v>
      </c>
      <c r="CL365" s="4">
        <f t="shared" si="345"/>
        <v>0</v>
      </c>
      <c r="CM365" s="4">
        <f t="shared" si="346"/>
        <v>0</v>
      </c>
      <c r="CN365" s="4">
        <f t="shared" si="347"/>
        <v>0</v>
      </c>
      <c r="CO365" s="4">
        <f t="shared" si="348"/>
        <v>0</v>
      </c>
      <c r="CP365" s="4">
        <f t="shared" si="349"/>
        <v>0</v>
      </c>
      <c r="CQ365" s="4">
        <f t="shared" si="350"/>
        <v>0</v>
      </c>
      <c r="CR365" s="4">
        <f t="shared" si="351"/>
        <v>0</v>
      </c>
      <c r="CS365" s="4">
        <f t="shared" si="352"/>
        <v>0</v>
      </c>
      <c r="CT365" s="4">
        <f t="shared" si="353"/>
        <v>0</v>
      </c>
      <c r="CU365" s="4">
        <f t="shared" si="354"/>
        <v>0</v>
      </c>
      <c r="CV365" s="4">
        <f t="shared" si="355"/>
        <v>0</v>
      </c>
      <c r="CW365" s="4">
        <f t="shared" si="356"/>
        <v>0</v>
      </c>
      <c r="CX365" s="4">
        <f t="shared" si="357"/>
        <v>0</v>
      </c>
      <c r="CY365" s="4">
        <f t="shared" si="358"/>
        <v>0</v>
      </c>
      <c r="CZ365" s="4">
        <f t="shared" si="359"/>
        <v>0</v>
      </c>
      <c r="DA365" s="4">
        <f t="shared" si="360"/>
        <v>0</v>
      </c>
      <c r="DB365" s="4">
        <f t="shared" si="361"/>
        <v>0</v>
      </c>
      <c r="DC365" s="4">
        <f t="shared" si="362"/>
        <v>0</v>
      </c>
      <c r="DD365" s="4">
        <f t="shared" si="363"/>
        <v>0</v>
      </c>
    </row>
    <row r="366" spans="1:108" x14ac:dyDescent="0.25">
      <c r="A366" s="41" t="str">
        <f>Skills!M348</f>
        <v>Running</v>
      </c>
      <c r="B366" s="55" t="str">
        <f>Skills!N348</f>
        <v>Running</v>
      </c>
      <c r="C366" s="22">
        <f t="shared" si="364"/>
        <v>0</v>
      </c>
      <c r="D366" s="112">
        <f>Skills!S348</f>
        <v>2</v>
      </c>
      <c r="E366" s="113" t="e">
        <f>Profession!B163</f>
        <v>#REF!</v>
      </c>
      <c r="F366" s="19"/>
      <c r="G366" s="19"/>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56"/>
      <c r="BF366" s="4">
        <f t="shared" si="314"/>
        <v>0</v>
      </c>
      <c r="BG366" s="4">
        <f t="shared" si="314"/>
        <v>0</v>
      </c>
      <c r="BH366" s="4">
        <f t="shared" si="315"/>
        <v>0</v>
      </c>
      <c r="BI366" s="4">
        <f t="shared" si="316"/>
        <v>0</v>
      </c>
      <c r="BJ366" s="4">
        <f t="shared" si="317"/>
        <v>0</v>
      </c>
      <c r="BK366" s="4">
        <f t="shared" si="318"/>
        <v>0</v>
      </c>
      <c r="BL366" s="4">
        <f t="shared" si="319"/>
        <v>0</v>
      </c>
      <c r="BM366" s="4">
        <f t="shared" si="320"/>
        <v>0</v>
      </c>
      <c r="BN366" s="4">
        <f t="shared" si="321"/>
        <v>0</v>
      </c>
      <c r="BO366" s="4">
        <f t="shared" si="322"/>
        <v>0</v>
      </c>
      <c r="BP366" s="4">
        <f t="shared" si="323"/>
        <v>0</v>
      </c>
      <c r="BQ366" s="4">
        <f t="shared" si="324"/>
        <v>0</v>
      </c>
      <c r="BR366" s="4">
        <f t="shared" si="325"/>
        <v>0</v>
      </c>
      <c r="BS366" s="4">
        <f t="shared" si="326"/>
        <v>0</v>
      </c>
      <c r="BT366" s="4">
        <f t="shared" si="327"/>
        <v>0</v>
      </c>
      <c r="BU366" s="4">
        <f t="shared" si="328"/>
        <v>0</v>
      </c>
      <c r="BV366" s="4">
        <f t="shared" si="329"/>
        <v>0</v>
      </c>
      <c r="BW366" s="4">
        <f t="shared" si="330"/>
        <v>0</v>
      </c>
      <c r="BX366" s="4">
        <f t="shared" si="331"/>
        <v>0</v>
      </c>
      <c r="BY366" s="4">
        <f t="shared" si="332"/>
        <v>0</v>
      </c>
      <c r="BZ366" s="4">
        <f t="shared" si="333"/>
        <v>0</v>
      </c>
      <c r="CA366" s="4">
        <f t="shared" si="334"/>
        <v>0</v>
      </c>
      <c r="CB366" s="4">
        <f t="shared" si="335"/>
        <v>0</v>
      </c>
      <c r="CC366" s="4">
        <f t="shared" si="336"/>
        <v>0</v>
      </c>
      <c r="CD366" s="4">
        <f t="shared" si="337"/>
        <v>0</v>
      </c>
      <c r="CE366" s="4">
        <f t="shared" si="338"/>
        <v>0</v>
      </c>
      <c r="CF366" s="4">
        <f t="shared" si="339"/>
        <v>0</v>
      </c>
      <c r="CG366" s="4">
        <f t="shared" si="340"/>
        <v>0</v>
      </c>
      <c r="CH366" s="4">
        <f t="shared" si="341"/>
        <v>0</v>
      </c>
      <c r="CI366" s="4">
        <f t="shared" si="342"/>
        <v>0</v>
      </c>
      <c r="CJ366" s="4">
        <f t="shared" si="343"/>
        <v>0</v>
      </c>
      <c r="CK366" s="4">
        <f t="shared" si="344"/>
        <v>0</v>
      </c>
      <c r="CL366" s="4">
        <f t="shared" si="345"/>
        <v>0</v>
      </c>
      <c r="CM366" s="4">
        <f t="shared" si="346"/>
        <v>0</v>
      </c>
      <c r="CN366" s="4">
        <f t="shared" si="347"/>
        <v>0</v>
      </c>
      <c r="CO366" s="4">
        <f t="shared" si="348"/>
        <v>0</v>
      </c>
      <c r="CP366" s="4">
        <f t="shared" si="349"/>
        <v>0</v>
      </c>
      <c r="CQ366" s="4">
        <f t="shared" si="350"/>
        <v>0</v>
      </c>
      <c r="CR366" s="4">
        <f t="shared" si="351"/>
        <v>0</v>
      </c>
      <c r="CS366" s="4">
        <f t="shared" si="352"/>
        <v>0</v>
      </c>
      <c r="CT366" s="4">
        <f t="shared" si="353"/>
        <v>0</v>
      </c>
      <c r="CU366" s="4">
        <f t="shared" si="354"/>
        <v>0</v>
      </c>
      <c r="CV366" s="4">
        <f t="shared" si="355"/>
        <v>0</v>
      </c>
      <c r="CW366" s="4">
        <f t="shared" si="356"/>
        <v>0</v>
      </c>
      <c r="CX366" s="4">
        <f t="shared" si="357"/>
        <v>0</v>
      </c>
      <c r="CY366" s="4">
        <f t="shared" si="358"/>
        <v>0</v>
      </c>
      <c r="CZ366" s="4">
        <f t="shared" si="359"/>
        <v>0</v>
      </c>
      <c r="DA366" s="4">
        <f t="shared" si="360"/>
        <v>0</v>
      </c>
      <c r="DB366" s="4">
        <f t="shared" si="361"/>
        <v>0</v>
      </c>
      <c r="DC366" s="4">
        <f t="shared" si="362"/>
        <v>0</v>
      </c>
      <c r="DD366" s="4">
        <f t="shared" si="363"/>
        <v>0</v>
      </c>
    </row>
    <row r="367" spans="1:108" x14ac:dyDescent="0.25">
      <c r="A367" s="41" t="str">
        <f>Skills!M349</f>
        <v>Swimming</v>
      </c>
      <c r="B367" s="57" t="str">
        <f>Skills!N349</f>
        <v>Swimming</v>
      </c>
      <c r="C367" s="24">
        <f t="shared" si="364"/>
        <v>0</v>
      </c>
      <c r="D367" s="110">
        <f>Skills!S349</f>
        <v>0</v>
      </c>
      <c r="E367" s="111" t="e">
        <f>Profession!B164</f>
        <v>#REF!</v>
      </c>
      <c r="F367" s="18"/>
      <c r="G367" s="18"/>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49"/>
      <c r="BF367" s="4">
        <f t="shared" si="314"/>
        <v>0</v>
      </c>
      <c r="BG367" s="4">
        <f t="shared" si="314"/>
        <v>0</v>
      </c>
      <c r="BH367" s="4">
        <f t="shared" si="315"/>
        <v>0</v>
      </c>
      <c r="BI367" s="4">
        <f t="shared" si="316"/>
        <v>0</v>
      </c>
      <c r="BJ367" s="4">
        <f t="shared" si="317"/>
        <v>0</v>
      </c>
      <c r="BK367" s="4">
        <f t="shared" si="318"/>
        <v>0</v>
      </c>
      <c r="BL367" s="4">
        <f t="shared" si="319"/>
        <v>0</v>
      </c>
      <c r="BM367" s="4">
        <f t="shared" si="320"/>
        <v>0</v>
      </c>
      <c r="BN367" s="4">
        <f t="shared" si="321"/>
        <v>0</v>
      </c>
      <c r="BO367" s="4">
        <f t="shared" si="322"/>
        <v>0</v>
      </c>
      <c r="BP367" s="4">
        <f t="shared" si="323"/>
        <v>0</v>
      </c>
      <c r="BQ367" s="4">
        <f t="shared" si="324"/>
        <v>0</v>
      </c>
      <c r="BR367" s="4">
        <f t="shared" si="325"/>
        <v>0</v>
      </c>
      <c r="BS367" s="4">
        <f t="shared" si="326"/>
        <v>0</v>
      </c>
      <c r="BT367" s="4">
        <f t="shared" si="327"/>
        <v>0</v>
      </c>
      <c r="BU367" s="4">
        <f t="shared" si="328"/>
        <v>0</v>
      </c>
      <c r="BV367" s="4">
        <f t="shared" si="329"/>
        <v>0</v>
      </c>
      <c r="BW367" s="4">
        <f t="shared" si="330"/>
        <v>0</v>
      </c>
      <c r="BX367" s="4">
        <f t="shared" si="331"/>
        <v>0</v>
      </c>
      <c r="BY367" s="4">
        <f t="shared" si="332"/>
        <v>0</v>
      </c>
      <c r="BZ367" s="4">
        <f t="shared" si="333"/>
        <v>0</v>
      </c>
      <c r="CA367" s="4">
        <f t="shared" si="334"/>
        <v>0</v>
      </c>
      <c r="CB367" s="4">
        <f t="shared" si="335"/>
        <v>0</v>
      </c>
      <c r="CC367" s="4">
        <f t="shared" si="336"/>
        <v>0</v>
      </c>
      <c r="CD367" s="4">
        <f t="shared" si="337"/>
        <v>0</v>
      </c>
      <c r="CE367" s="4">
        <f t="shared" si="338"/>
        <v>0</v>
      </c>
      <c r="CF367" s="4">
        <f t="shared" si="339"/>
        <v>0</v>
      </c>
      <c r="CG367" s="4">
        <f t="shared" si="340"/>
        <v>0</v>
      </c>
      <c r="CH367" s="4">
        <f t="shared" si="341"/>
        <v>0</v>
      </c>
      <c r="CI367" s="4">
        <f t="shared" si="342"/>
        <v>0</v>
      </c>
      <c r="CJ367" s="4">
        <f t="shared" si="343"/>
        <v>0</v>
      </c>
      <c r="CK367" s="4">
        <f t="shared" si="344"/>
        <v>0</v>
      </c>
      <c r="CL367" s="4">
        <f t="shared" si="345"/>
        <v>0</v>
      </c>
      <c r="CM367" s="4">
        <f t="shared" si="346"/>
        <v>0</v>
      </c>
      <c r="CN367" s="4">
        <f t="shared" si="347"/>
        <v>0</v>
      </c>
      <c r="CO367" s="4">
        <f t="shared" si="348"/>
        <v>0</v>
      </c>
      <c r="CP367" s="4">
        <f t="shared" si="349"/>
        <v>0</v>
      </c>
      <c r="CQ367" s="4">
        <f t="shared" si="350"/>
        <v>0</v>
      </c>
      <c r="CR367" s="4">
        <f t="shared" si="351"/>
        <v>0</v>
      </c>
      <c r="CS367" s="4">
        <f t="shared" si="352"/>
        <v>0</v>
      </c>
      <c r="CT367" s="4">
        <f t="shared" si="353"/>
        <v>0</v>
      </c>
      <c r="CU367" s="4">
        <f t="shared" si="354"/>
        <v>0</v>
      </c>
      <c r="CV367" s="4">
        <f t="shared" si="355"/>
        <v>0</v>
      </c>
      <c r="CW367" s="4">
        <f t="shared" si="356"/>
        <v>0</v>
      </c>
      <c r="CX367" s="4">
        <f t="shared" si="357"/>
        <v>0</v>
      </c>
      <c r="CY367" s="4">
        <f t="shared" si="358"/>
        <v>0</v>
      </c>
      <c r="CZ367" s="4">
        <f t="shared" si="359"/>
        <v>0</v>
      </c>
      <c r="DA367" s="4">
        <f t="shared" si="360"/>
        <v>0</v>
      </c>
      <c r="DB367" s="4">
        <f t="shared" si="361"/>
        <v>0</v>
      </c>
      <c r="DC367" s="4">
        <f t="shared" si="362"/>
        <v>0</v>
      </c>
      <c r="DD367" s="4">
        <f t="shared" si="363"/>
        <v>0</v>
      </c>
    </row>
    <row r="368" spans="1:108" x14ac:dyDescent="0.25">
      <c r="A368" s="41">
        <f>Skills!M350</f>
        <v>0</v>
      </c>
      <c r="B368" s="55" t="str">
        <f>Skills!N350</f>
        <v>Performance Art Category</v>
      </c>
      <c r="C368" s="22">
        <f t="shared" si="364"/>
        <v>0</v>
      </c>
      <c r="D368" s="112" t="str">
        <f>Skills!S350</f>
        <v>- -</v>
      </c>
      <c r="E368" s="113" t="s">
        <v>782</v>
      </c>
      <c r="F368" s="19"/>
      <c r="G368" s="19"/>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56"/>
      <c r="BF368" s="4">
        <f t="shared" si="314"/>
        <v>0</v>
      </c>
      <c r="BG368" s="4">
        <f t="shared" si="314"/>
        <v>0</v>
      </c>
      <c r="BH368" s="4">
        <f t="shared" si="315"/>
        <v>0</v>
      </c>
      <c r="BI368" s="4">
        <f t="shared" si="316"/>
        <v>0</v>
      </c>
      <c r="BJ368" s="4">
        <f t="shared" si="317"/>
        <v>0</v>
      </c>
      <c r="BK368" s="4">
        <f t="shared" si="318"/>
        <v>0</v>
      </c>
      <c r="BL368" s="4">
        <f t="shared" si="319"/>
        <v>0</v>
      </c>
      <c r="BM368" s="4">
        <f t="shared" si="320"/>
        <v>0</v>
      </c>
      <c r="BN368" s="4">
        <f t="shared" si="321"/>
        <v>0</v>
      </c>
      <c r="BO368" s="4">
        <f t="shared" si="322"/>
        <v>0</v>
      </c>
      <c r="BP368" s="4">
        <f t="shared" si="323"/>
        <v>0</v>
      </c>
      <c r="BQ368" s="4">
        <f t="shared" si="324"/>
        <v>0</v>
      </c>
      <c r="BR368" s="4">
        <f t="shared" si="325"/>
        <v>0</v>
      </c>
      <c r="BS368" s="4">
        <f t="shared" si="326"/>
        <v>0</v>
      </c>
      <c r="BT368" s="4">
        <f t="shared" si="327"/>
        <v>0</v>
      </c>
      <c r="BU368" s="4">
        <f t="shared" si="328"/>
        <v>0</v>
      </c>
      <c r="BV368" s="4">
        <f t="shared" si="329"/>
        <v>0</v>
      </c>
      <c r="BW368" s="4">
        <f t="shared" si="330"/>
        <v>0</v>
      </c>
      <c r="BX368" s="4">
        <f t="shared" si="331"/>
        <v>0</v>
      </c>
      <c r="BY368" s="4">
        <f t="shared" si="332"/>
        <v>0</v>
      </c>
      <c r="BZ368" s="4">
        <f t="shared" si="333"/>
        <v>0</v>
      </c>
      <c r="CA368" s="4">
        <f t="shared" si="334"/>
        <v>0</v>
      </c>
      <c r="CB368" s="4">
        <f t="shared" si="335"/>
        <v>0</v>
      </c>
      <c r="CC368" s="4">
        <f t="shared" si="336"/>
        <v>0</v>
      </c>
      <c r="CD368" s="4">
        <f t="shared" si="337"/>
        <v>0</v>
      </c>
      <c r="CE368" s="4">
        <f t="shared" si="338"/>
        <v>0</v>
      </c>
      <c r="CF368" s="4">
        <f t="shared" si="339"/>
        <v>0</v>
      </c>
      <c r="CG368" s="4">
        <f t="shared" si="340"/>
        <v>0</v>
      </c>
      <c r="CH368" s="4">
        <f t="shared" si="341"/>
        <v>0</v>
      </c>
      <c r="CI368" s="4">
        <f t="shared" si="342"/>
        <v>0</v>
      </c>
      <c r="CJ368" s="4">
        <f t="shared" si="343"/>
        <v>0</v>
      </c>
      <c r="CK368" s="4">
        <f t="shared" si="344"/>
        <v>0</v>
      </c>
      <c r="CL368" s="4">
        <f t="shared" si="345"/>
        <v>0</v>
      </c>
      <c r="CM368" s="4">
        <f t="shared" si="346"/>
        <v>0</v>
      </c>
      <c r="CN368" s="4">
        <f t="shared" si="347"/>
        <v>0</v>
      </c>
      <c r="CO368" s="4">
        <f t="shared" si="348"/>
        <v>0</v>
      </c>
      <c r="CP368" s="4">
        <f t="shared" si="349"/>
        <v>0</v>
      </c>
      <c r="CQ368" s="4">
        <f t="shared" si="350"/>
        <v>0</v>
      </c>
      <c r="CR368" s="4">
        <f t="shared" si="351"/>
        <v>0</v>
      </c>
      <c r="CS368" s="4">
        <f t="shared" si="352"/>
        <v>0</v>
      </c>
      <c r="CT368" s="4">
        <f t="shared" si="353"/>
        <v>0</v>
      </c>
      <c r="CU368" s="4">
        <f t="shared" si="354"/>
        <v>0</v>
      </c>
      <c r="CV368" s="4">
        <f t="shared" si="355"/>
        <v>0</v>
      </c>
      <c r="CW368" s="4">
        <f t="shared" si="356"/>
        <v>0</v>
      </c>
      <c r="CX368" s="4">
        <f t="shared" si="357"/>
        <v>0</v>
      </c>
      <c r="CY368" s="4">
        <f t="shared" si="358"/>
        <v>0</v>
      </c>
      <c r="CZ368" s="4">
        <f t="shared" si="359"/>
        <v>0</v>
      </c>
      <c r="DA368" s="4">
        <f t="shared" si="360"/>
        <v>0</v>
      </c>
      <c r="DB368" s="4">
        <f t="shared" si="361"/>
        <v>0</v>
      </c>
      <c r="DC368" s="4">
        <f t="shared" si="362"/>
        <v>0</v>
      </c>
      <c r="DD368" s="4">
        <f t="shared" si="363"/>
        <v>0</v>
      </c>
    </row>
    <row r="369" spans="1:108" x14ac:dyDescent="0.25">
      <c r="A369" s="41">
        <f>Skills!M351</f>
        <v>0</v>
      </c>
      <c r="B369" s="57" t="str">
        <f>Skills!N351</f>
        <v>Performance Art Skills (cat)</v>
      </c>
      <c r="C369" s="24">
        <f t="shared" si="364"/>
        <v>0</v>
      </c>
      <c r="D369" s="110" t="str">
        <f>Skills!S351</f>
        <v>- -</v>
      </c>
      <c r="E369" s="111" t="s">
        <v>782</v>
      </c>
      <c r="F369" s="18"/>
      <c r="G369" s="18"/>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49"/>
      <c r="BF369" s="4">
        <f t="shared" si="314"/>
        <v>0</v>
      </c>
      <c r="BG369" s="4">
        <f t="shared" si="314"/>
        <v>0</v>
      </c>
      <c r="BH369" s="4">
        <f t="shared" si="315"/>
        <v>0</v>
      </c>
      <c r="BI369" s="4">
        <f t="shared" si="316"/>
        <v>0</v>
      </c>
      <c r="BJ369" s="4">
        <f t="shared" si="317"/>
        <v>0</v>
      </c>
      <c r="BK369" s="4">
        <f t="shared" si="318"/>
        <v>0</v>
      </c>
      <c r="BL369" s="4">
        <f t="shared" si="319"/>
        <v>0</v>
      </c>
      <c r="BM369" s="4">
        <f t="shared" si="320"/>
        <v>0</v>
      </c>
      <c r="BN369" s="4">
        <f t="shared" si="321"/>
        <v>0</v>
      </c>
      <c r="BO369" s="4">
        <f t="shared" si="322"/>
        <v>0</v>
      </c>
      <c r="BP369" s="4">
        <f t="shared" si="323"/>
        <v>0</v>
      </c>
      <c r="BQ369" s="4">
        <f t="shared" si="324"/>
        <v>0</v>
      </c>
      <c r="BR369" s="4">
        <f t="shared" si="325"/>
        <v>0</v>
      </c>
      <c r="BS369" s="4">
        <f t="shared" si="326"/>
        <v>0</v>
      </c>
      <c r="BT369" s="4">
        <f t="shared" si="327"/>
        <v>0</v>
      </c>
      <c r="BU369" s="4">
        <f t="shared" si="328"/>
        <v>0</v>
      </c>
      <c r="BV369" s="4">
        <f t="shared" si="329"/>
        <v>0</v>
      </c>
      <c r="BW369" s="4">
        <f t="shared" si="330"/>
        <v>0</v>
      </c>
      <c r="BX369" s="4">
        <f t="shared" si="331"/>
        <v>0</v>
      </c>
      <c r="BY369" s="4">
        <f t="shared" si="332"/>
        <v>0</v>
      </c>
      <c r="BZ369" s="4">
        <f t="shared" si="333"/>
        <v>0</v>
      </c>
      <c r="CA369" s="4">
        <f t="shared" si="334"/>
        <v>0</v>
      </c>
      <c r="CB369" s="4">
        <f t="shared" si="335"/>
        <v>0</v>
      </c>
      <c r="CC369" s="4">
        <f t="shared" si="336"/>
        <v>0</v>
      </c>
      <c r="CD369" s="4">
        <f t="shared" si="337"/>
        <v>0</v>
      </c>
      <c r="CE369" s="4">
        <f t="shared" si="338"/>
        <v>0</v>
      </c>
      <c r="CF369" s="4">
        <f t="shared" si="339"/>
        <v>0</v>
      </c>
      <c r="CG369" s="4">
        <f t="shared" si="340"/>
        <v>0</v>
      </c>
      <c r="CH369" s="4">
        <f t="shared" si="341"/>
        <v>0</v>
      </c>
      <c r="CI369" s="4">
        <f t="shared" si="342"/>
        <v>0</v>
      </c>
      <c r="CJ369" s="4">
        <f t="shared" si="343"/>
        <v>0</v>
      </c>
      <c r="CK369" s="4">
        <f t="shared" si="344"/>
        <v>0</v>
      </c>
      <c r="CL369" s="4">
        <f t="shared" si="345"/>
        <v>0</v>
      </c>
      <c r="CM369" s="4">
        <f t="shared" si="346"/>
        <v>0</v>
      </c>
      <c r="CN369" s="4">
        <f t="shared" si="347"/>
        <v>0</v>
      </c>
      <c r="CO369" s="4">
        <f t="shared" si="348"/>
        <v>0</v>
      </c>
      <c r="CP369" s="4">
        <f t="shared" si="349"/>
        <v>0</v>
      </c>
      <c r="CQ369" s="4">
        <f t="shared" si="350"/>
        <v>0</v>
      </c>
      <c r="CR369" s="4">
        <f t="shared" si="351"/>
        <v>0</v>
      </c>
      <c r="CS369" s="4">
        <f t="shared" si="352"/>
        <v>0</v>
      </c>
      <c r="CT369" s="4">
        <f t="shared" si="353"/>
        <v>0</v>
      </c>
      <c r="CU369" s="4">
        <f t="shared" si="354"/>
        <v>0</v>
      </c>
      <c r="CV369" s="4">
        <f t="shared" si="355"/>
        <v>0</v>
      </c>
      <c r="CW369" s="4">
        <f t="shared" si="356"/>
        <v>0</v>
      </c>
      <c r="CX369" s="4">
        <f t="shared" si="357"/>
        <v>0</v>
      </c>
      <c r="CY369" s="4">
        <f t="shared" si="358"/>
        <v>0</v>
      </c>
      <c r="CZ369" s="4">
        <f t="shared" si="359"/>
        <v>0</v>
      </c>
      <c r="DA369" s="4">
        <f t="shared" si="360"/>
        <v>0</v>
      </c>
      <c r="DB369" s="4">
        <f t="shared" si="361"/>
        <v>0</v>
      </c>
      <c r="DC369" s="4">
        <f t="shared" si="362"/>
        <v>0</v>
      </c>
      <c r="DD369" s="4">
        <f t="shared" si="363"/>
        <v>0</v>
      </c>
    </row>
    <row r="370" spans="1:108" x14ac:dyDescent="0.25">
      <c r="A370" s="41">
        <f>Skills!M352</f>
        <v>0</v>
      </c>
      <c r="B370" s="55" t="str">
        <f>Skills!N352</f>
        <v>Performance Art Sub-category</v>
      </c>
      <c r="C370" s="22">
        <f t="shared" si="364"/>
        <v>0</v>
      </c>
      <c r="D370" s="112" t="str">
        <f>Skills!S352</f>
        <v>- -</v>
      </c>
      <c r="E370" s="113" t="s">
        <v>782</v>
      </c>
      <c r="F370" s="19"/>
      <c r="G370" s="19"/>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56"/>
      <c r="BF370" s="4">
        <f t="shared" si="314"/>
        <v>0</v>
      </c>
      <c r="BG370" s="4">
        <f t="shared" si="314"/>
        <v>0</v>
      </c>
      <c r="BH370" s="4">
        <f t="shared" si="315"/>
        <v>0</v>
      </c>
      <c r="BI370" s="4">
        <f t="shared" si="316"/>
        <v>0</v>
      </c>
      <c r="BJ370" s="4">
        <f t="shared" si="317"/>
        <v>0</v>
      </c>
      <c r="BK370" s="4">
        <f t="shared" si="318"/>
        <v>0</v>
      </c>
      <c r="BL370" s="4">
        <f t="shared" si="319"/>
        <v>0</v>
      </c>
      <c r="BM370" s="4">
        <f t="shared" si="320"/>
        <v>0</v>
      </c>
      <c r="BN370" s="4">
        <f t="shared" si="321"/>
        <v>0</v>
      </c>
      <c r="BO370" s="4">
        <f t="shared" si="322"/>
        <v>0</v>
      </c>
      <c r="BP370" s="4">
        <f t="shared" si="323"/>
        <v>0</v>
      </c>
      <c r="BQ370" s="4">
        <f t="shared" si="324"/>
        <v>0</v>
      </c>
      <c r="BR370" s="4">
        <f t="shared" si="325"/>
        <v>0</v>
      </c>
      <c r="BS370" s="4">
        <f t="shared" si="326"/>
        <v>0</v>
      </c>
      <c r="BT370" s="4">
        <f t="shared" si="327"/>
        <v>0</v>
      </c>
      <c r="BU370" s="4">
        <f t="shared" si="328"/>
        <v>0</v>
      </c>
      <c r="BV370" s="4">
        <f t="shared" si="329"/>
        <v>0</v>
      </c>
      <c r="BW370" s="4">
        <f t="shared" si="330"/>
        <v>0</v>
      </c>
      <c r="BX370" s="4">
        <f t="shared" si="331"/>
        <v>0</v>
      </c>
      <c r="BY370" s="4">
        <f t="shared" si="332"/>
        <v>0</v>
      </c>
      <c r="BZ370" s="4">
        <f t="shared" si="333"/>
        <v>0</v>
      </c>
      <c r="CA370" s="4">
        <f t="shared" si="334"/>
        <v>0</v>
      </c>
      <c r="CB370" s="4">
        <f t="shared" si="335"/>
        <v>0</v>
      </c>
      <c r="CC370" s="4">
        <f t="shared" si="336"/>
        <v>0</v>
      </c>
      <c r="CD370" s="4">
        <f t="shared" si="337"/>
        <v>0</v>
      </c>
      <c r="CE370" s="4">
        <f t="shared" si="338"/>
        <v>0</v>
      </c>
      <c r="CF370" s="4">
        <f t="shared" si="339"/>
        <v>0</v>
      </c>
      <c r="CG370" s="4">
        <f t="shared" si="340"/>
        <v>0</v>
      </c>
      <c r="CH370" s="4">
        <f t="shared" si="341"/>
        <v>0</v>
      </c>
      <c r="CI370" s="4">
        <f t="shared" si="342"/>
        <v>0</v>
      </c>
      <c r="CJ370" s="4">
        <f t="shared" si="343"/>
        <v>0</v>
      </c>
      <c r="CK370" s="4">
        <f t="shared" si="344"/>
        <v>0</v>
      </c>
      <c r="CL370" s="4">
        <f t="shared" si="345"/>
        <v>0</v>
      </c>
      <c r="CM370" s="4">
        <f t="shared" si="346"/>
        <v>0</v>
      </c>
      <c r="CN370" s="4">
        <f t="shared" si="347"/>
        <v>0</v>
      </c>
      <c r="CO370" s="4">
        <f t="shared" si="348"/>
        <v>0</v>
      </c>
      <c r="CP370" s="4">
        <f t="shared" si="349"/>
        <v>0</v>
      </c>
      <c r="CQ370" s="4">
        <f t="shared" si="350"/>
        <v>0</v>
      </c>
      <c r="CR370" s="4">
        <f t="shared" si="351"/>
        <v>0</v>
      </c>
      <c r="CS370" s="4">
        <f t="shared" si="352"/>
        <v>0</v>
      </c>
      <c r="CT370" s="4">
        <f t="shared" si="353"/>
        <v>0</v>
      </c>
      <c r="CU370" s="4">
        <f t="shared" si="354"/>
        <v>0</v>
      </c>
      <c r="CV370" s="4">
        <f t="shared" si="355"/>
        <v>0</v>
      </c>
      <c r="CW370" s="4">
        <f t="shared" si="356"/>
        <v>0</v>
      </c>
      <c r="CX370" s="4">
        <f t="shared" si="357"/>
        <v>0</v>
      </c>
      <c r="CY370" s="4">
        <f t="shared" si="358"/>
        <v>0</v>
      </c>
      <c r="CZ370" s="4">
        <f t="shared" si="359"/>
        <v>0</v>
      </c>
      <c r="DA370" s="4">
        <f t="shared" si="360"/>
        <v>0</v>
      </c>
      <c r="DB370" s="4">
        <f t="shared" si="361"/>
        <v>0</v>
      </c>
      <c r="DC370" s="4">
        <f t="shared" si="362"/>
        <v>0</v>
      </c>
      <c r="DD370" s="4">
        <f t="shared" si="363"/>
        <v>0</v>
      </c>
    </row>
    <row r="371" spans="1:108" x14ac:dyDescent="0.25">
      <c r="A371" s="41">
        <f>Skills!M353</f>
        <v>0</v>
      </c>
      <c r="B371" s="57" t="str">
        <f>Skills!N353</f>
        <v>Performance Art Skills (sub-cat)</v>
      </c>
      <c r="C371" s="24">
        <f t="shared" si="364"/>
        <v>0</v>
      </c>
      <c r="D371" s="110" t="str">
        <f>Skills!S353</f>
        <v>- -</v>
      </c>
      <c r="E371" s="111" t="s">
        <v>782</v>
      </c>
      <c r="F371" s="18"/>
      <c r="G371" s="18"/>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49"/>
      <c r="BF371" s="4">
        <f t="shared" si="314"/>
        <v>0</v>
      </c>
      <c r="BG371" s="4">
        <f t="shared" si="314"/>
        <v>0</v>
      </c>
      <c r="BH371" s="4">
        <f t="shared" si="315"/>
        <v>0</v>
      </c>
      <c r="BI371" s="4">
        <f t="shared" si="316"/>
        <v>0</v>
      </c>
      <c r="BJ371" s="4">
        <f t="shared" si="317"/>
        <v>0</v>
      </c>
      <c r="BK371" s="4">
        <f t="shared" si="318"/>
        <v>0</v>
      </c>
      <c r="BL371" s="4">
        <f t="shared" si="319"/>
        <v>0</v>
      </c>
      <c r="BM371" s="4">
        <f t="shared" si="320"/>
        <v>0</v>
      </c>
      <c r="BN371" s="4">
        <f t="shared" si="321"/>
        <v>0</v>
      </c>
      <c r="BO371" s="4">
        <f t="shared" si="322"/>
        <v>0</v>
      </c>
      <c r="BP371" s="4">
        <f t="shared" si="323"/>
        <v>0</v>
      </c>
      <c r="BQ371" s="4">
        <f t="shared" si="324"/>
        <v>0</v>
      </c>
      <c r="BR371" s="4">
        <f t="shared" si="325"/>
        <v>0</v>
      </c>
      <c r="BS371" s="4">
        <f t="shared" si="326"/>
        <v>0</v>
      </c>
      <c r="BT371" s="4">
        <f t="shared" si="327"/>
        <v>0</v>
      </c>
      <c r="BU371" s="4">
        <f t="shared" si="328"/>
        <v>0</v>
      </c>
      <c r="BV371" s="4">
        <f t="shared" si="329"/>
        <v>0</v>
      </c>
      <c r="BW371" s="4">
        <f t="shared" si="330"/>
        <v>0</v>
      </c>
      <c r="BX371" s="4">
        <f t="shared" si="331"/>
        <v>0</v>
      </c>
      <c r="BY371" s="4">
        <f t="shared" si="332"/>
        <v>0</v>
      </c>
      <c r="BZ371" s="4">
        <f t="shared" si="333"/>
        <v>0</v>
      </c>
      <c r="CA371" s="4">
        <f t="shared" si="334"/>
        <v>0</v>
      </c>
      <c r="CB371" s="4">
        <f t="shared" si="335"/>
        <v>0</v>
      </c>
      <c r="CC371" s="4">
        <f t="shared" si="336"/>
        <v>0</v>
      </c>
      <c r="CD371" s="4">
        <f t="shared" si="337"/>
        <v>0</v>
      </c>
      <c r="CE371" s="4">
        <f t="shared" si="338"/>
        <v>0</v>
      </c>
      <c r="CF371" s="4">
        <f t="shared" si="339"/>
        <v>0</v>
      </c>
      <c r="CG371" s="4">
        <f t="shared" si="340"/>
        <v>0</v>
      </c>
      <c r="CH371" s="4">
        <f t="shared" si="341"/>
        <v>0</v>
      </c>
      <c r="CI371" s="4">
        <f t="shared" si="342"/>
        <v>0</v>
      </c>
      <c r="CJ371" s="4">
        <f t="shared" si="343"/>
        <v>0</v>
      </c>
      <c r="CK371" s="4">
        <f t="shared" si="344"/>
        <v>0</v>
      </c>
      <c r="CL371" s="4">
        <f t="shared" si="345"/>
        <v>0</v>
      </c>
      <c r="CM371" s="4">
        <f t="shared" si="346"/>
        <v>0</v>
      </c>
      <c r="CN371" s="4">
        <f t="shared" si="347"/>
        <v>0</v>
      </c>
      <c r="CO371" s="4">
        <f t="shared" si="348"/>
        <v>0</v>
      </c>
      <c r="CP371" s="4">
        <f t="shared" si="349"/>
        <v>0</v>
      </c>
      <c r="CQ371" s="4">
        <f t="shared" si="350"/>
        <v>0</v>
      </c>
      <c r="CR371" s="4">
        <f t="shared" si="351"/>
        <v>0</v>
      </c>
      <c r="CS371" s="4">
        <f t="shared" si="352"/>
        <v>0</v>
      </c>
      <c r="CT371" s="4">
        <f t="shared" si="353"/>
        <v>0</v>
      </c>
      <c r="CU371" s="4">
        <f t="shared" si="354"/>
        <v>0</v>
      </c>
      <c r="CV371" s="4">
        <f t="shared" si="355"/>
        <v>0</v>
      </c>
      <c r="CW371" s="4">
        <f t="shared" si="356"/>
        <v>0</v>
      </c>
      <c r="CX371" s="4">
        <f t="shared" si="357"/>
        <v>0</v>
      </c>
      <c r="CY371" s="4">
        <f t="shared" si="358"/>
        <v>0</v>
      </c>
      <c r="CZ371" s="4">
        <f t="shared" si="359"/>
        <v>0</v>
      </c>
      <c r="DA371" s="4">
        <f t="shared" si="360"/>
        <v>0</v>
      </c>
      <c r="DB371" s="4">
        <f t="shared" si="361"/>
        <v>0</v>
      </c>
      <c r="DC371" s="4">
        <f t="shared" si="362"/>
        <v>0</v>
      </c>
      <c r="DD371" s="4">
        <f t="shared" si="363"/>
        <v>0</v>
      </c>
    </row>
    <row r="372" spans="1:108" x14ac:dyDescent="0.25">
      <c r="A372" s="41" t="str">
        <f>Skills!M354</f>
        <v>Acting</v>
      </c>
      <c r="B372" s="55" t="str">
        <f>Skills!N354</f>
        <v>Acting</v>
      </c>
      <c r="C372" s="22">
        <f t="shared" si="364"/>
        <v>0</v>
      </c>
      <c r="D372" s="112">
        <f>Skills!S354</f>
        <v>0</v>
      </c>
      <c r="E372" s="113" t="e">
        <f>Profession!B166</f>
        <v>#REF!</v>
      </c>
      <c r="F372" s="19"/>
      <c r="G372" s="19"/>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56"/>
      <c r="BF372" s="4">
        <f t="shared" si="314"/>
        <v>0</v>
      </c>
      <c r="BG372" s="4">
        <f t="shared" si="314"/>
        <v>0</v>
      </c>
      <c r="BH372" s="4">
        <f t="shared" si="315"/>
        <v>0</v>
      </c>
      <c r="BI372" s="4">
        <f t="shared" si="316"/>
        <v>0</v>
      </c>
      <c r="BJ372" s="4">
        <f t="shared" si="317"/>
        <v>0</v>
      </c>
      <c r="BK372" s="4">
        <f t="shared" si="318"/>
        <v>0</v>
      </c>
      <c r="BL372" s="4">
        <f t="shared" si="319"/>
        <v>0</v>
      </c>
      <c r="BM372" s="4">
        <f t="shared" si="320"/>
        <v>0</v>
      </c>
      <c r="BN372" s="4">
        <f t="shared" si="321"/>
        <v>0</v>
      </c>
      <c r="BO372" s="4">
        <f t="shared" si="322"/>
        <v>0</v>
      </c>
      <c r="BP372" s="4">
        <f t="shared" si="323"/>
        <v>0</v>
      </c>
      <c r="BQ372" s="4">
        <f t="shared" si="324"/>
        <v>0</v>
      </c>
      <c r="BR372" s="4">
        <f t="shared" si="325"/>
        <v>0</v>
      </c>
      <c r="BS372" s="4">
        <f t="shared" si="326"/>
        <v>0</v>
      </c>
      <c r="BT372" s="4">
        <f t="shared" si="327"/>
        <v>0</v>
      </c>
      <c r="BU372" s="4">
        <f t="shared" si="328"/>
        <v>0</v>
      </c>
      <c r="BV372" s="4">
        <f t="shared" si="329"/>
        <v>0</v>
      </c>
      <c r="BW372" s="4">
        <f t="shared" si="330"/>
        <v>0</v>
      </c>
      <c r="BX372" s="4">
        <f t="shared" si="331"/>
        <v>0</v>
      </c>
      <c r="BY372" s="4">
        <f t="shared" si="332"/>
        <v>0</v>
      </c>
      <c r="BZ372" s="4">
        <f t="shared" si="333"/>
        <v>0</v>
      </c>
      <c r="CA372" s="4">
        <f t="shared" si="334"/>
        <v>0</v>
      </c>
      <c r="CB372" s="4">
        <f t="shared" si="335"/>
        <v>0</v>
      </c>
      <c r="CC372" s="4">
        <f t="shared" si="336"/>
        <v>0</v>
      </c>
      <c r="CD372" s="4">
        <f t="shared" si="337"/>
        <v>0</v>
      </c>
      <c r="CE372" s="4">
        <f t="shared" si="338"/>
        <v>0</v>
      </c>
      <c r="CF372" s="4">
        <f t="shared" si="339"/>
        <v>0</v>
      </c>
      <c r="CG372" s="4">
        <f t="shared" si="340"/>
        <v>0</v>
      </c>
      <c r="CH372" s="4">
        <f t="shared" si="341"/>
        <v>0</v>
      </c>
      <c r="CI372" s="4">
        <f t="shared" si="342"/>
        <v>0</v>
      </c>
      <c r="CJ372" s="4">
        <f t="shared" si="343"/>
        <v>0</v>
      </c>
      <c r="CK372" s="4">
        <f t="shared" si="344"/>
        <v>0</v>
      </c>
      <c r="CL372" s="4">
        <f t="shared" si="345"/>
        <v>0</v>
      </c>
      <c r="CM372" s="4">
        <f t="shared" si="346"/>
        <v>0</v>
      </c>
      <c r="CN372" s="4">
        <f t="shared" si="347"/>
        <v>0</v>
      </c>
      <c r="CO372" s="4">
        <f t="shared" si="348"/>
        <v>0</v>
      </c>
      <c r="CP372" s="4">
        <f t="shared" si="349"/>
        <v>0</v>
      </c>
      <c r="CQ372" s="4">
        <f t="shared" si="350"/>
        <v>0</v>
      </c>
      <c r="CR372" s="4">
        <f t="shared" si="351"/>
        <v>0</v>
      </c>
      <c r="CS372" s="4">
        <f t="shared" si="352"/>
        <v>0</v>
      </c>
      <c r="CT372" s="4">
        <f t="shared" si="353"/>
        <v>0</v>
      </c>
      <c r="CU372" s="4">
        <f t="shared" si="354"/>
        <v>0</v>
      </c>
      <c r="CV372" s="4">
        <f t="shared" si="355"/>
        <v>0</v>
      </c>
      <c r="CW372" s="4">
        <f t="shared" si="356"/>
        <v>0</v>
      </c>
      <c r="CX372" s="4">
        <f t="shared" si="357"/>
        <v>0</v>
      </c>
      <c r="CY372" s="4">
        <f t="shared" si="358"/>
        <v>0</v>
      </c>
      <c r="CZ372" s="4">
        <f t="shared" si="359"/>
        <v>0</v>
      </c>
      <c r="DA372" s="4">
        <f t="shared" si="360"/>
        <v>0</v>
      </c>
      <c r="DB372" s="4">
        <f t="shared" si="361"/>
        <v>0</v>
      </c>
      <c r="DC372" s="4">
        <f t="shared" si="362"/>
        <v>0</v>
      </c>
      <c r="DD372" s="4">
        <f t="shared" si="363"/>
        <v>0</v>
      </c>
    </row>
    <row r="373" spans="1:108" x14ac:dyDescent="0.25">
      <c r="A373" s="41" t="str">
        <f>Skills!M355</f>
        <v>Public Speaking</v>
      </c>
      <c r="B373" s="57" t="str">
        <f>Skills!N355</f>
        <v>Public Speaking</v>
      </c>
      <c r="C373" s="24">
        <f t="shared" si="364"/>
        <v>0</v>
      </c>
      <c r="D373" s="110">
        <f>Skills!S355</f>
        <v>0</v>
      </c>
      <c r="E373" s="111" t="e">
        <f>Profession!B167</f>
        <v>#REF!</v>
      </c>
      <c r="F373" s="18"/>
      <c r="G373" s="18"/>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49"/>
      <c r="BF373" s="4">
        <f t="shared" si="314"/>
        <v>0</v>
      </c>
      <c r="BG373" s="4">
        <f t="shared" si="314"/>
        <v>0</v>
      </c>
      <c r="BH373" s="4">
        <f t="shared" si="315"/>
        <v>0</v>
      </c>
      <c r="BI373" s="4">
        <f t="shared" si="316"/>
        <v>0</v>
      </c>
      <c r="BJ373" s="4">
        <f t="shared" si="317"/>
        <v>0</v>
      </c>
      <c r="BK373" s="4">
        <f t="shared" si="318"/>
        <v>0</v>
      </c>
      <c r="BL373" s="4">
        <f t="shared" si="319"/>
        <v>0</v>
      </c>
      <c r="BM373" s="4">
        <f t="shared" si="320"/>
        <v>0</v>
      </c>
      <c r="BN373" s="4">
        <f t="shared" si="321"/>
        <v>0</v>
      </c>
      <c r="BO373" s="4">
        <f t="shared" si="322"/>
        <v>0</v>
      </c>
      <c r="BP373" s="4">
        <f t="shared" si="323"/>
        <v>0</v>
      </c>
      <c r="BQ373" s="4">
        <f t="shared" si="324"/>
        <v>0</v>
      </c>
      <c r="BR373" s="4">
        <f t="shared" si="325"/>
        <v>0</v>
      </c>
      <c r="BS373" s="4">
        <f t="shared" si="326"/>
        <v>0</v>
      </c>
      <c r="BT373" s="4">
        <f t="shared" si="327"/>
        <v>0</v>
      </c>
      <c r="BU373" s="4">
        <f t="shared" si="328"/>
        <v>0</v>
      </c>
      <c r="BV373" s="4">
        <f t="shared" si="329"/>
        <v>0</v>
      </c>
      <c r="BW373" s="4">
        <f t="shared" si="330"/>
        <v>0</v>
      </c>
      <c r="BX373" s="4">
        <f t="shared" si="331"/>
        <v>0</v>
      </c>
      <c r="BY373" s="4">
        <f t="shared" si="332"/>
        <v>0</v>
      </c>
      <c r="BZ373" s="4">
        <f t="shared" si="333"/>
        <v>0</v>
      </c>
      <c r="CA373" s="4">
        <f t="shared" si="334"/>
        <v>0</v>
      </c>
      <c r="CB373" s="4">
        <f t="shared" si="335"/>
        <v>0</v>
      </c>
      <c r="CC373" s="4">
        <f t="shared" si="336"/>
        <v>0</v>
      </c>
      <c r="CD373" s="4">
        <f t="shared" si="337"/>
        <v>0</v>
      </c>
      <c r="CE373" s="4">
        <f t="shared" si="338"/>
        <v>0</v>
      </c>
      <c r="CF373" s="4">
        <f t="shared" si="339"/>
        <v>0</v>
      </c>
      <c r="CG373" s="4">
        <f t="shared" si="340"/>
        <v>0</v>
      </c>
      <c r="CH373" s="4">
        <f t="shared" si="341"/>
        <v>0</v>
      </c>
      <c r="CI373" s="4">
        <f t="shared" si="342"/>
        <v>0</v>
      </c>
      <c r="CJ373" s="4">
        <f t="shared" si="343"/>
        <v>0</v>
      </c>
      <c r="CK373" s="4">
        <f t="shared" si="344"/>
        <v>0</v>
      </c>
      <c r="CL373" s="4">
        <f t="shared" si="345"/>
        <v>0</v>
      </c>
      <c r="CM373" s="4">
        <f t="shared" si="346"/>
        <v>0</v>
      </c>
      <c r="CN373" s="4">
        <f t="shared" si="347"/>
        <v>0</v>
      </c>
      <c r="CO373" s="4">
        <f t="shared" si="348"/>
        <v>0</v>
      </c>
      <c r="CP373" s="4">
        <f t="shared" si="349"/>
        <v>0</v>
      </c>
      <c r="CQ373" s="4">
        <f t="shared" si="350"/>
        <v>0</v>
      </c>
      <c r="CR373" s="4">
        <f t="shared" si="351"/>
        <v>0</v>
      </c>
      <c r="CS373" s="4">
        <f t="shared" si="352"/>
        <v>0</v>
      </c>
      <c r="CT373" s="4">
        <f t="shared" si="353"/>
        <v>0</v>
      </c>
      <c r="CU373" s="4">
        <f t="shared" si="354"/>
        <v>0</v>
      </c>
      <c r="CV373" s="4">
        <f t="shared" si="355"/>
        <v>0</v>
      </c>
      <c r="CW373" s="4">
        <f t="shared" si="356"/>
        <v>0</v>
      </c>
      <c r="CX373" s="4">
        <f t="shared" si="357"/>
        <v>0</v>
      </c>
      <c r="CY373" s="4">
        <f t="shared" si="358"/>
        <v>0</v>
      </c>
      <c r="CZ373" s="4">
        <f t="shared" si="359"/>
        <v>0</v>
      </c>
      <c r="DA373" s="4">
        <f t="shared" si="360"/>
        <v>0</v>
      </c>
      <c r="DB373" s="4">
        <f t="shared" si="361"/>
        <v>0</v>
      </c>
      <c r="DC373" s="4">
        <f t="shared" si="362"/>
        <v>0</v>
      </c>
      <c r="DD373" s="4">
        <f t="shared" si="363"/>
        <v>0</v>
      </c>
    </row>
    <row r="374" spans="1:108" x14ac:dyDescent="0.25">
      <c r="A374" s="41" t="str">
        <f>Skills!M356</f>
        <v>Ventriloquism</v>
      </c>
      <c r="B374" s="55" t="str">
        <f>Skills!N356</f>
        <v>Ventriloquism</v>
      </c>
      <c r="C374" s="22">
        <f t="shared" si="364"/>
        <v>0</v>
      </c>
      <c r="D374" s="112">
        <f>Skills!S356</f>
        <v>0</v>
      </c>
      <c r="E374" s="113" t="e">
        <f>Profession!B168</f>
        <v>#REF!</v>
      </c>
      <c r="F374" s="19"/>
      <c r="G374" s="19"/>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56"/>
      <c r="BF374" s="4">
        <f t="shared" si="314"/>
        <v>0</v>
      </c>
      <c r="BG374" s="4">
        <f t="shared" si="314"/>
        <v>0</v>
      </c>
      <c r="BH374" s="4">
        <f t="shared" si="315"/>
        <v>0</v>
      </c>
      <c r="BI374" s="4">
        <f t="shared" si="316"/>
        <v>0</v>
      </c>
      <c r="BJ374" s="4">
        <f t="shared" si="317"/>
        <v>0</v>
      </c>
      <c r="BK374" s="4">
        <f t="shared" si="318"/>
        <v>0</v>
      </c>
      <c r="BL374" s="4">
        <f t="shared" si="319"/>
        <v>0</v>
      </c>
      <c r="BM374" s="4">
        <f t="shared" si="320"/>
        <v>0</v>
      </c>
      <c r="BN374" s="4">
        <f t="shared" si="321"/>
        <v>0</v>
      </c>
      <c r="BO374" s="4">
        <f t="shared" si="322"/>
        <v>0</v>
      </c>
      <c r="BP374" s="4">
        <f t="shared" si="323"/>
        <v>0</v>
      </c>
      <c r="BQ374" s="4">
        <f t="shared" si="324"/>
        <v>0</v>
      </c>
      <c r="BR374" s="4">
        <f t="shared" si="325"/>
        <v>0</v>
      </c>
      <c r="BS374" s="4">
        <f t="shared" si="326"/>
        <v>0</v>
      </c>
      <c r="BT374" s="4">
        <f t="shared" si="327"/>
        <v>0</v>
      </c>
      <c r="BU374" s="4">
        <f t="shared" si="328"/>
        <v>0</v>
      </c>
      <c r="BV374" s="4">
        <f t="shared" si="329"/>
        <v>0</v>
      </c>
      <c r="BW374" s="4">
        <f t="shared" si="330"/>
        <v>0</v>
      </c>
      <c r="BX374" s="4">
        <f t="shared" si="331"/>
        <v>0</v>
      </c>
      <c r="BY374" s="4">
        <f t="shared" si="332"/>
        <v>0</v>
      </c>
      <c r="BZ374" s="4">
        <f t="shared" si="333"/>
        <v>0</v>
      </c>
      <c r="CA374" s="4">
        <f t="shared" si="334"/>
        <v>0</v>
      </c>
      <c r="CB374" s="4">
        <f t="shared" si="335"/>
        <v>0</v>
      </c>
      <c r="CC374" s="4">
        <f t="shared" si="336"/>
        <v>0</v>
      </c>
      <c r="CD374" s="4">
        <f t="shared" si="337"/>
        <v>0</v>
      </c>
      <c r="CE374" s="4">
        <f t="shared" si="338"/>
        <v>0</v>
      </c>
      <c r="CF374" s="4">
        <f t="shared" si="339"/>
        <v>0</v>
      </c>
      <c r="CG374" s="4">
        <f t="shared" si="340"/>
        <v>0</v>
      </c>
      <c r="CH374" s="4">
        <f t="shared" si="341"/>
        <v>0</v>
      </c>
      <c r="CI374" s="4">
        <f t="shared" si="342"/>
        <v>0</v>
      </c>
      <c r="CJ374" s="4">
        <f t="shared" si="343"/>
        <v>0</v>
      </c>
      <c r="CK374" s="4">
        <f t="shared" si="344"/>
        <v>0</v>
      </c>
      <c r="CL374" s="4">
        <f t="shared" si="345"/>
        <v>0</v>
      </c>
      <c r="CM374" s="4">
        <f t="shared" si="346"/>
        <v>0</v>
      </c>
      <c r="CN374" s="4">
        <f t="shared" si="347"/>
        <v>0</v>
      </c>
      <c r="CO374" s="4">
        <f t="shared" si="348"/>
        <v>0</v>
      </c>
      <c r="CP374" s="4">
        <f t="shared" si="349"/>
        <v>0</v>
      </c>
      <c r="CQ374" s="4">
        <f t="shared" si="350"/>
        <v>0</v>
      </c>
      <c r="CR374" s="4">
        <f t="shared" si="351"/>
        <v>0</v>
      </c>
      <c r="CS374" s="4">
        <f t="shared" si="352"/>
        <v>0</v>
      </c>
      <c r="CT374" s="4">
        <f t="shared" si="353"/>
        <v>0</v>
      </c>
      <c r="CU374" s="4">
        <f t="shared" si="354"/>
        <v>0</v>
      </c>
      <c r="CV374" s="4">
        <f t="shared" si="355"/>
        <v>0</v>
      </c>
      <c r="CW374" s="4">
        <f t="shared" si="356"/>
        <v>0</v>
      </c>
      <c r="CX374" s="4">
        <f t="shared" si="357"/>
        <v>0</v>
      </c>
      <c r="CY374" s="4">
        <f t="shared" si="358"/>
        <v>0</v>
      </c>
      <c r="CZ374" s="4">
        <f t="shared" si="359"/>
        <v>0</v>
      </c>
      <c r="DA374" s="4">
        <f t="shared" si="360"/>
        <v>0</v>
      </c>
      <c r="DB374" s="4">
        <f t="shared" si="361"/>
        <v>0</v>
      </c>
      <c r="DC374" s="4">
        <f t="shared" si="362"/>
        <v>0</v>
      </c>
      <c r="DD374" s="4">
        <f t="shared" si="363"/>
        <v>0</v>
      </c>
    </row>
    <row r="375" spans="1:108" x14ac:dyDescent="0.25">
      <c r="A375" s="41" t="str">
        <f>Skills!M357</f>
        <v>Singing</v>
      </c>
      <c r="B375" s="57" t="str">
        <f>Skills!N357</f>
        <v>Singing</v>
      </c>
      <c r="C375" s="24">
        <f t="shared" si="364"/>
        <v>0</v>
      </c>
      <c r="D375" s="110">
        <f>Skills!S357</f>
        <v>0</v>
      </c>
      <c r="E375" s="111" t="e">
        <f>Profession!B169</f>
        <v>#REF!</v>
      </c>
      <c r="F375" s="18"/>
      <c r="G375" s="18"/>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49"/>
      <c r="BF375" s="4">
        <f t="shared" si="314"/>
        <v>0</v>
      </c>
      <c r="BG375" s="4">
        <f t="shared" si="314"/>
        <v>0</v>
      </c>
      <c r="BH375" s="4">
        <f t="shared" si="315"/>
        <v>0</v>
      </c>
      <c r="BI375" s="4">
        <f t="shared" si="316"/>
        <v>0</v>
      </c>
      <c r="BJ375" s="4">
        <f t="shared" si="317"/>
        <v>0</v>
      </c>
      <c r="BK375" s="4">
        <f t="shared" si="318"/>
        <v>0</v>
      </c>
      <c r="BL375" s="4">
        <f t="shared" si="319"/>
        <v>0</v>
      </c>
      <c r="BM375" s="4">
        <f t="shared" si="320"/>
        <v>0</v>
      </c>
      <c r="BN375" s="4">
        <f t="shared" si="321"/>
        <v>0</v>
      </c>
      <c r="BO375" s="4">
        <f t="shared" si="322"/>
        <v>0</v>
      </c>
      <c r="BP375" s="4">
        <f t="shared" si="323"/>
        <v>0</v>
      </c>
      <c r="BQ375" s="4">
        <f t="shared" si="324"/>
        <v>0</v>
      </c>
      <c r="BR375" s="4">
        <f t="shared" si="325"/>
        <v>0</v>
      </c>
      <c r="BS375" s="4">
        <f t="shared" si="326"/>
        <v>0</v>
      </c>
      <c r="BT375" s="4">
        <f t="shared" si="327"/>
        <v>0</v>
      </c>
      <c r="BU375" s="4">
        <f t="shared" si="328"/>
        <v>0</v>
      </c>
      <c r="BV375" s="4">
        <f t="shared" si="329"/>
        <v>0</v>
      </c>
      <c r="BW375" s="4">
        <f t="shared" si="330"/>
        <v>0</v>
      </c>
      <c r="BX375" s="4">
        <f t="shared" si="331"/>
        <v>0</v>
      </c>
      <c r="BY375" s="4">
        <f t="shared" si="332"/>
        <v>0</v>
      </c>
      <c r="BZ375" s="4">
        <f t="shared" si="333"/>
        <v>0</v>
      </c>
      <c r="CA375" s="4">
        <f t="shared" si="334"/>
        <v>0</v>
      </c>
      <c r="CB375" s="4">
        <f t="shared" si="335"/>
        <v>0</v>
      </c>
      <c r="CC375" s="4">
        <f t="shared" si="336"/>
        <v>0</v>
      </c>
      <c r="CD375" s="4">
        <f t="shared" si="337"/>
        <v>0</v>
      </c>
      <c r="CE375" s="4">
        <f t="shared" si="338"/>
        <v>0</v>
      </c>
      <c r="CF375" s="4">
        <f t="shared" si="339"/>
        <v>0</v>
      </c>
      <c r="CG375" s="4">
        <f t="shared" si="340"/>
        <v>0</v>
      </c>
      <c r="CH375" s="4">
        <f t="shared" si="341"/>
        <v>0</v>
      </c>
      <c r="CI375" s="4">
        <f t="shared" si="342"/>
        <v>0</v>
      </c>
      <c r="CJ375" s="4">
        <f t="shared" si="343"/>
        <v>0</v>
      </c>
      <c r="CK375" s="4">
        <f t="shared" si="344"/>
        <v>0</v>
      </c>
      <c r="CL375" s="4">
        <f t="shared" si="345"/>
        <v>0</v>
      </c>
      <c r="CM375" s="4">
        <f t="shared" si="346"/>
        <v>0</v>
      </c>
      <c r="CN375" s="4">
        <f t="shared" si="347"/>
        <v>0</v>
      </c>
      <c r="CO375" s="4">
        <f t="shared" si="348"/>
        <v>0</v>
      </c>
      <c r="CP375" s="4">
        <f t="shared" si="349"/>
        <v>0</v>
      </c>
      <c r="CQ375" s="4">
        <f t="shared" si="350"/>
        <v>0</v>
      </c>
      <c r="CR375" s="4">
        <f t="shared" si="351"/>
        <v>0</v>
      </c>
      <c r="CS375" s="4">
        <f t="shared" si="352"/>
        <v>0</v>
      </c>
      <c r="CT375" s="4">
        <f t="shared" si="353"/>
        <v>0</v>
      </c>
      <c r="CU375" s="4">
        <f t="shared" si="354"/>
        <v>0</v>
      </c>
      <c r="CV375" s="4">
        <f t="shared" si="355"/>
        <v>0</v>
      </c>
      <c r="CW375" s="4">
        <f t="shared" si="356"/>
        <v>0</v>
      </c>
      <c r="CX375" s="4">
        <f t="shared" si="357"/>
        <v>0</v>
      </c>
      <c r="CY375" s="4">
        <f t="shared" si="358"/>
        <v>0</v>
      </c>
      <c r="CZ375" s="4">
        <f t="shared" si="359"/>
        <v>0</v>
      </c>
      <c r="DA375" s="4">
        <f t="shared" si="360"/>
        <v>0</v>
      </c>
      <c r="DB375" s="4">
        <f t="shared" si="361"/>
        <v>0</v>
      </c>
      <c r="DC375" s="4">
        <f t="shared" si="362"/>
        <v>0</v>
      </c>
      <c r="DD375" s="4">
        <f t="shared" si="363"/>
        <v>0</v>
      </c>
    </row>
    <row r="376" spans="1:108" x14ac:dyDescent="0.25">
      <c r="A376" s="41" t="str">
        <f>Skills!M358</f>
        <v>Canon</v>
      </c>
      <c r="B376" s="55" t="str">
        <f>Skills!N358</f>
        <v>Canon</v>
      </c>
      <c r="C376" s="22">
        <f t="shared" si="364"/>
        <v>0</v>
      </c>
      <c r="D376" s="112">
        <f>Skills!S358</f>
        <v>0</v>
      </c>
      <c r="E376" s="113" t="e">
        <f>Profession!B170</f>
        <v>#REF!</v>
      </c>
      <c r="F376" s="19"/>
      <c r="G376" s="19"/>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56"/>
      <c r="BF376" s="4">
        <f t="shared" si="314"/>
        <v>0</v>
      </c>
      <c r="BG376" s="4">
        <f t="shared" si="314"/>
        <v>0</v>
      </c>
      <c r="BH376" s="4">
        <f t="shared" si="315"/>
        <v>0</v>
      </c>
      <c r="BI376" s="4">
        <f t="shared" si="316"/>
        <v>0</v>
      </c>
      <c r="BJ376" s="4">
        <f t="shared" si="317"/>
        <v>0</v>
      </c>
      <c r="BK376" s="4">
        <f t="shared" si="318"/>
        <v>0</v>
      </c>
      <c r="BL376" s="4">
        <f t="shared" si="319"/>
        <v>0</v>
      </c>
      <c r="BM376" s="4">
        <f t="shared" si="320"/>
        <v>0</v>
      </c>
      <c r="BN376" s="4">
        <f t="shared" si="321"/>
        <v>0</v>
      </c>
      <c r="BO376" s="4">
        <f t="shared" si="322"/>
        <v>0</v>
      </c>
      <c r="BP376" s="4">
        <f t="shared" si="323"/>
        <v>0</v>
      </c>
      <c r="BQ376" s="4">
        <f t="shared" si="324"/>
        <v>0</v>
      </c>
      <c r="BR376" s="4">
        <f t="shared" si="325"/>
        <v>0</v>
      </c>
      <c r="BS376" s="4">
        <f t="shared" si="326"/>
        <v>0</v>
      </c>
      <c r="BT376" s="4">
        <f t="shared" si="327"/>
        <v>0</v>
      </c>
      <c r="BU376" s="4">
        <f t="shared" si="328"/>
        <v>0</v>
      </c>
      <c r="BV376" s="4">
        <f t="shared" si="329"/>
        <v>0</v>
      </c>
      <c r="BW376" s="4">
        <f t="shared" si="330"/>
        <v>0</v>
      </c>
      <c r="BX376" s="4">
        <f t="shared" si="331"/>
        <v>0</v>
      </c>
      <c r="BY376" s="4">
        <f t="shared" si="332"/>
        <v>0</v>
      </c>
      <c r="BZ376" s="4">
        <f t="shared" si="333"/>
        <v>0</v>
      </c>
      <c r="CA376" s="4">
        <f t="shared" si="334"/>
        <v>0</v>
      </c>
      <c r="CB376" s="4">
        <f t="shared" si="335"/>
        <v>0</v>
      </c>
      <c r="CC376" s="4">
        <f t="shared" si="336"/>
        <v>0</v>
      </c>
      <c r="CD376" s="4">
        <f t="shared" si="337"/>
        <v>0</v>
      </c>
      <c r="CE376" s="4">
        <f t="shared" si="338"/>
        <v>0</v>
      </c>
      <c r="CF376" s="4">
        <f t="shared" si="339"/>
        <v>0</v>
      </c>
      <c r="CG376" s="4">
        <f t="shared" si="340"/>
        <v>0</v>
      </c>
      <c r="CH376" s="4">
        <f t="shared" si="341"/>
        <v>0</v>
      </c>
      <c r="CI376" s="4">
        <f t="shared" si="342"/>
        <v>0</v>
      </c>
      <c r="CJ376" s="4">
        <f t="shared" si="343"/>
        <v>0</v>
      </c>
      <c r="CK376" s="4">
        <f t="shared" si="344"/>
        <v>0</v>
      </c>
      <c r="CL376" s="4">
        <f t="shared" si="345"/>
        <v>0</v>
      </c>
      <c r="CM376" s="4">
        <f t="shared" si="346"/>
        <v>0</v>
      </c>
      <c r="CN376" s="4">
        <f t="shared" si="347"/>
        <v>0</v>
      </c>
      <c r="CO376" s="4">
        <f t="shared" si="348"/>
        <v>0</v>
      </c>
      <c r="CP376" s="4">
        <f t="shared" si="349"/>
        <v>0</v>
      </c>
      <c r="CQ376" s="4">
        <f t="shared" si="350"/>
        <v>0</v>
      </c>
      <c r="CR376" s="4">
        <f t="shared" si="351"/>
        <v>0</v>
      </c>
      <c r="CS376" s="4">
        <f t="shared" si="352"/>
        <v>0</v>
      </c>
      <c r="CT376" s="4">
        <f t="shared" si="353"/>
        <v>0</v>
      </c>
      <c r="CU376" s="4">
        <f t="shared" si="354"/>
        <v>0</v>
      </c>
      <c r="CV376" s="4">
        <f t="shared" si="355"/>
        <v>0</v>
      </c>
      <c r="CW376" s="4">
        <f t="shared" si="356"/>
        <v>0</v>
      </c>
      <c r="CX376" s="4">
        <f t="shared" si="357"/>
        <v>0</v>
      </c>
      <c r="CY376" s="4">
        <f t="shared" si="358"/>
        <v>0</v>
      </c>
      <c r="CZ376" s="4">
        <f t="shared" si="359"/>
        <v>0</v>
      </c>
      <c r="DA376" s="4">
        <f t="shared" si="360"/>
        <v>0</v>
      </c>
      <c r="DB376" s="4">
        <f t="shared" si="361"/>
        <v>0</v>
      </c>
      <c r="DC376" s="4">
        <f t="shared" si="362"/>
        <v>0</v>
      </c>
      <c r="DD376" s="4">
        <f t="shared" si="363"/>
        <v>0</v>
      </c>
    </row>
    <row r="377" spans="1:108" x14ac:dyDescent="0.25">
      <c r="A377" s="41" t="str">
        <f>Skills!M359</f>
        <v>Mimickry</v>
      </c>
      <c r="B377" s="57" t="str">
        <f>Skills!N359</f>
        <v>Mimickry</v>
      </c>
      <c r="C377" s="24">
        <f t="shared" si="364"/>
        <v>0</v>
      </c>
      <c r="D377" s="110">
        <f>Skills!S359</f>
        <v>0</v>
      </c>
      <c r="E377" s="111" t="e">
        <f>Profession!B171</f>
        <v>#REF!</v>
      </c>
      <c r="F377" s="18"/>
      <c r="G377" s="18"/>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49"/>
      <c r="BF377" s="4">
        <f t="shared" si="314"/>
        <v>0</v>
      </c>
      <c r="BG377" s="4">
        <f t="shared" si="314"/>
        <v>0</v>
      </c>
      <c r="BH377" s="4">
        <f t="shared" si="315"/>
        <v>0</v>
      </c>
      <c r="BI377" s="4">
        <f t="shared" si="316"/>
        <v>0</v>
      </c>
      <c r="BJ377" s="4">
        <f t="shared" si="317"/>
        <v>0</v>
      </c>
      <c r="BK377" s="4">
        <f t="shared" si="318"/>
        <v>0</v>
      </c>
      <c r="BL377" s="4">
        <f t="shared" si="319"/>
        <v>0</v>
      </c>
      <c r="BM377" s="4">
        <f t="shared" si="320"/>
        <v>0</v>
      </c>
      <c r="BN377" s="4">
        <f t="shared" si="321"/>
        <v>0</v>
      </c>
      <c r="BO377" s="4">
        <f t="shared" si="322"/>
        <v>0</v>
      </c>
      <c r="BP377" s="4">
        <f t="shared" si="323"/>
        <v>0</v>
      </c>
      <c r="BQ377" s="4">
        <f t="shared" si="324"/>
        <v>0</v>
      </c>
      <c r="BR377" s="4">
        <f t="shared" si="325"/>
        <v>0</v>
      </c>
      <c r="BS377" s="4">
        <f t="shared" si="326"/>
        <v>0</v>
      </c>
      <c r="BT377" s="4">
        <f t="shared" si="327"/>
        <v>0</v>
      </c>
      <c r="BU377" s="4">
        <f t="shared" si="328"/>
        <v>0</v>
      </c>
      <c r="BV377" s="4">
        <f t="shared" si="329"/>
        <v>0</v>
      </c>
      <c r="BW377" s="4">
        <f t="shared" si="330"/>
        <v>0</v>
      </c>
      <c r="BX377" s="4">
        <f t="shared" si="331"/>
        <v>0</v>
      </c>
      <c r="BY377" s="4">
        <f t="shared" si="332"/>
        <v>0</v>
      </c>
      <c r="BZ377" s="4">
        <f t="shared" si="333"/>
        <v>0</v>
      </c>
      <c r="CA377" s="4">
        <f t="shared" si="334"/>
        <v>0</v>
      </c>
      <c r="CB377" s="4">
        <f t="shared" si="335"/>
        <v>0</v>
      </c>
      <c r="CC377" s="4">
        <f t="shared" si="336"/>
        <v>0</v>
      </c>
      <c r="CD377" s="4">
        <f t="shared" si="337"/>
        <v>0</v>
      </c>
      <c r="CE377" s="4">
        <f t="shared" si="338"/>
        <v>0</v>
      </c>
      <c r="CF377" s="4">
        <f t="shared" si="339"/>
        <v>0</v>
      </c>
      <c r="CG377" s="4">
        <f t="shared" si="340"/>
        <v>0</v>
      </c>
      <c r="CH377" s="4">
        <f t="shared" si="341"/>
        <v>0</v>
      </c>
      <c r="CI377" s="4">
        <f t="shared" si="342"/>
        <v>0</v>
      </c>
      <c r="CJ377" s="4">
        <f t="shared" si="343"/>
        <v>0</v>
      </c>
      <c r="CK377" s="4">
        <f t="shared" si="344"/>
        <v>0</v>
      </c>
      <c r="CL377" s="4">
        <f t="shared" si="345"/>
        <v>0</v>
      </c>
      <c r="CM377" s="4">
        <f t="shared" si="346"/>
        <v>0</v>
      </c>
      <c r="CN377" s="4">
        <f t="shared" si="347"/>
        <v>0</v>
      </c>
      <c r="CO377" s="4">
        <f t="shared" si="348"/>
        <v>0</v>
      </c>
      <c r="CP377" s="4">
        <f t="shared" si="349"/>
        <v>0</v>
      </c>
      <c r="CQ377" s="4">
        <f t="shared" si="350"/>
        <v>0</v>
      </c>
      <c r="CR377" s="4">
        <f t="shared" si="351"/>
        <v>0</v>
      </c>
      <c r="CS377" s="4">
        <f t="shared" si="352"/>
        <v>0</v>
      </c>
      <c r="CT377" s="4">
        <f t="shared" si="353"/>
        <v>0</v>
      </c>
      <c r="CU377" s="4">
        <f t="shared" si="354"/>
        <v>0</v>
      </c>
      <c r="CV377" s="4">
        <f t="shared" si="355"/>
        <v>0</v>
      </c>
      <c r="CW377" s="4">
        <f t="shared" si="356"/>
        <v>0</v>
      </c>
      <c r="CX377" s="4">
        <f t="shared" si="357"/>
        <v>0</v>
      </c>
      <c r="CY377" s="4">
        <f t="shared" si="358"/>
        <v>0</v>
      </c>
      <c r="CZ377" s="4">
        <f t="shared" si="359"/>
        <v>0</v>
      </c>
      <c r="DA377" s="4">
        <f t="shared" si="360"/>
        <v>0</v>
      </c>
      <c r="DB377" s="4">
        <f t="shared" si="361"/>
        <v>0</v>
      </c>
      <c r="DC377" s="4">
        <f t="shared" si="362"/>
        <v>0</v>
      </c>
      <c r="DD377" s="4">
        <f t="shared" si="363"/>
        <v>0</v>
      </c>
    </row>
    <row r="378" spans="1:108" x14ac:dyDescent="0.25">
      <c r="A378" s="41" t="str">
        <f>Skills!M360</f>
        <v>Mimery</v>
      </c>
      <c r="B378" s="55" t="str">
        <f>Skills!N360</f>
        <v>Mimery</v>
      </c>
      <c r="C378" s="22">
        <f t="shared" si="364"/>
        <v>0</v>
      </c>
      <c r="D378" s="112">
        <f>Skills!S360</f>
        <v>0</v>
      </c>
      <c r="E378" s="113" t="e">
        <f>Profession!B172</f>
        <v>#REF!</v>
      </c>
      <c r="F378" s="19"/>
      <c r="G378" s="19"/>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56"/>
      <c r="BF378" s="4">
        <f t="shared" si="314"/>
        <v>0</v>
      </c>
      <c r="BG378" s="4">
        <f t="shared" si="314"/>
        <v>0</v>
      </c>
      <c r="BH378" s="4">
        <f t="shared" si="315"/>
        <v>0</v>
      </c>
      <c r="BI378" s="4">
        <f t="shared" si="316"/>
        <v>0</v>
      </c>
      <c r="BJ378" s="4">
        <f t="shared" si="317"/>
        <v>0</v>
      </c>
      <c r="BK378" s="4">
        <f t="shared" si="318"/>
        <v>0</v>
      </c>
      <c r="BL378" s="4">
        <f t="shared" si="319"/>
        <v>0</v>
      </c>
      <c r="BM378" s="4">
        <f t="shared" si="320"/>
        <v>0</v>
      </c>
      <c r="BN378" s="4">
        <f t="shared" si="321"/>
        <v>0</v>
      </c>
      <c r="BO378" s="4">
        <f t="shared" si="322"/>
        <v>0</v>
      </c>
      <c r="BP378" s="4">
        <f t="shared" si="323"/>
        <v>0</v>
      </c>
      <c r="BQ378" s="4">
        <f t="shared" si="324"/>
        <v>0</v>
      </c>
      <c r="BR378" s="4">
        <f t="shared" si="325"/>
        <v>0</v>
      </c>
      <c r="BS378" s="4">
        <f t="shared" si="326"/>
        <v>0</v>
      </c>
      <c r="BT378" s="4">
        <f t="shared" si="327"/>
        <v>0</v>
      </c>
      <c r="BU378" s="4">
        <f t="shared" si="328"/>
        <v>0</v>
      </c>
      <c r="BV378" s="4">
        <f t="shared" si="329"/>
        <v>0</v>
      </c>
      <c r="BW378" s="4">
        <f t="shared" si="330"/>
        <v>0</v>
      </c>
      <c r="BX378" s="4">
        <f t="shared" si="331"/>
        <v>0</v>
      </c>
      <c r="BY378" s="4">
        <f t="shared" si="332"/>
        <v>0</v>
      </c>
      <c r="BZ378" s="4">
        <f t="shared" si="333"/>
        <v>0</v>
      </c>
      <c r="CA378" s="4">
        <f t="shared" si="334"/>
        <v>0</v>
      </c>
      <c r="CB378" s="4">
        <f t="shared" si="335"/>
        <v>0</v>
      </c>
      <c r="CC378" s="4">
        <f t="shared" si="336"/>
        <v>0</v>
      </c>
      <c r="CD378" s="4">
        <f t="shared" si="337"/>
        <v>0</v>
      </c>
      <c r="CE378" s="4">
        <f t="shared" si="338"/>
        <v>0</v>
      </c>
      <c r="CF378" s="4">
        <f t="shared" si="339"/>
        <v>0</v>
      </c>
      <c r="CG378" s="4">
        <f t="shared" si="340"/>
        <v>0</v>
      </c>
      <c r="CH378" s="4">
        <f t="shared" si="341"/>
        <v>0</v>
      </c>
      <c r="CI378" s="4">
        <f t="shared" si="342"/>
        <v>0</v>
      </c>
      <c r="CJ378" s="4">
        <f t="shared" si="343"/>
        <v>0</v>
      </c>
      <c r="CK378" s="4">
        <f t="shared" si="344"/>
        <v>0</v>
      </c>
      <c r="CL378" s="4">
        <f t="shared" si="345"/>
        <v>0</v>
      </c>
      <c r="CM378" s="4">
        <f t="shared" si="346"/>
        <v>0</v>
      </c>
      <c r="CN378" s="4">
        <f t="shared" si="347"/>
        <v>0</v>
      </c>
      <c r="CO378" s="4">
        <f t="shared" si="348"/>
        <v>0</v>
      </c>
      <c r="CP378" s="4">
        <f t="shared" si="349"/>
        <v>0</v>
      </c>
      <c r="CQ378" s="4">
        <f t="shared" si="350"/>
        <v>0</v>
      </c>
      <c r="CR378" s="4">
        <f t="shared" si="351"/>
        <v>0</v>
      </c>
      <c r="CS378" s="4">
        <f t="shared" si="352"/>
        <v>0</v>
      </c>
      <c r="CT378" s="4">
        <f t="shared" si="353"/>
        <v>0</v>
      </c>
      <c r="CU378" s="4">
        <f t="shared" si="354"/>
        <v>0</v>
      </c>
      <c r="CV378" s="4">
        <f t="shared" si="355"/>
        <v>0</v>
      </c>
      <c r="CW378" s="4">
        <f t="shared" si="356"/>
        <v>0</v>
      </c>
      <c r="CX378" s="4">
        <f t="shared" si="357"/>
        <v>0</v>
      </c>
      <c r="CY378" s="4">
        <f t="shared" si="358"/>
        <v>0</v>
      </c>
      <c r="CZ378" s="4">
        <f t="shared" si="359"/>
        <v>0</v>
      </c>
      <c r="DA378" s="4">
        <f t="shared" si="360"/>
        <v>0</v>
      </c>
      <c r="DB378" s="4">
        <f t="shared" si="361"/>
        <v>0</v>
      </c>
      <c r="DC378" s="4">
        <f t="shared" si="362"/>
        <v>0</v>
      </c>
      <c r="DD378" s="4">
        <f t="shared" si="363"/>
        <v>0</v>
      </c>
    </row>
    <row r="379" spans="1:108" x14ac:dyDescent="0.25">
      <c r="A379" s="41" t="str">
        <f>Skills!M361</f>
        <v>Tale Telling</v>
      </c>
      <c r="B379" s="57" t="str">
        <f>Skills!N361</f>
        <v>Tale Telling</v>
      </c>
      <c r="C379" s="24">
        <f t="shared" si="364"/>
        <v>0</v>
      </c>
      <c r="D379" s="110">
        <f>Skills!S361</f>
        <v>0</v>
      </c>
      <c r="E379" s="111" t="e">
        <f>Profession!B173</f>
        <v>#REF!</v>
      </c>
      <c r="F379" s="18"/>
      <c r="G379" s="18"/>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49"/>
      <c r="BF379" s="4">
        <f t="shared" si="314"/>
        <v>0</v>
      </c>
      <c r="BG379" s="4">
        <f t="shared" si="314"/>
        <v>0</v>
      </c>
      <c r="BH379" s="4">
        <f t="shared" si="315"/>
        <v>0</v>
      </c>
      <c r="BI379" s="4">
        <f t="shared" si="316"/>
        <v>0</v>
      </c>
      <c r="BJ379" s="4">
        <f t="shared" si="317"/>
        <v>0</v>
      </c>
      <c r="BK379" s="4">
        <f t="shared" si="318"/>
        <v>0</v>
      </c>
      <c r="BL379" s="4">
        <f t="shared" si="319"/>
        <v>0</v>
      </c>
      <c r="BM379" s="4">
        <f t="shared" si="320"/>
        <v>0</v>
      </c>
      <c r="BN379" s="4">
        <f t="shared" si="321"/>
        <v>0</v>
      </c>
      <c r="BO379" s="4">
        <f t="shared" si="322"/>
        <v>0</v>
      </c>
      <c r="BP379" s="4">
        <f t="shared" si="323"/>
        <v>0</v>
      </c>
      <c r="BQ379" s="4">
        <f t="shared" si="324"/>
        <v>0</v>
      </c>
      <c r="BR379" s="4">
        <f t="shared" si="325"/>
        <v>0</v>
      </c>
      <c r="BS379" s="4">
        <f t="shared" si="326"/>
        <v>0</v>
      </c>
      <c r="BT379" s="4">
        <f t="shared" si="327"/>
        <v>0</v>
      </c>
      <c r="BU379" s="4">
        <f t="shared" si="328"/>
        <v>0</v>
      </c>
      <c r="BV379" s="4">
        <f t="shared" si="329"/>
        <v>0</v>
      </c>
      <c r="BW379" s="4">
        <f t="shared" si="330"/>
        <v>0</v>
      </c>
      <c r="BX379" s="4">
        <f t="shared" si="331"/>
        <v>0</v>
      </c>
      <c r="BY379" s="4">
        <f t="shared" si="332"/>
        <v>0</v>
      </c>
      <c r="BZ379" s="4">
        <f t="shared" si="333"/>
        <v>0</v>
      </c>
      <c r="CA379" s="4">
        <f t="shared" si="334"/>
        <v>0</v>
      </c>
      <c r="CB379" s="4">
        <f t="shared" si="335"/>
        <v>0</v>
      </c>
      <c r="CC379" s="4">
        <f t="shared" si="336"/>
        <v>0</v>
      </c>
      <c r="CD379" s="4">
        <f t="shared" si="337"/>
        <v>0</v>
      </c>
      <c r="CE379" s="4">
        <f t="shared" si="338"/>
        <v>0</v>
      </c>
      <c r="CF379" s="4">
        <f t="shared" si="339"/>
        <v>0</v>
      </c>
      <c r="CG379" s="4">
        <f t="shared" si="340"/>
        <v>0</v>
      </c>
      <c r="CH379" s="4">
        <f t="shared" si="341"/>
        <v>0</v>
      </c>
      <c r="CI379" s="4">
        <f t="shared" si="342"/>
        <v>0</v>
      </c>
      <c r="CJ379" s="4">
        <f t="shared" si="343"/>
        <v>0</v>
      </c>
      <c r="CK379" s="4">
        <f t="shared" si="344"/>
        <v>0</v>
      </c>
      <c r="CL379" s="4">
        <f t="shared" si="345"/>
        <v>0</v>
      </c>
      <c r="CM379" s="4">
        <f t="shared" si="346"/>
        <v>0</v>
      </c>
      <c r="CN379" s="4">
        <f t="shared" si="347"/>
        <v>0</v>
      </c>
      <c r="CO379" s="4">
        <f t="shared" si="348"/>
        <v>0</v>
      </c>
      <c r="CP379" s="4">
        <f t="shared" si="349"/>
        <v>0</v>
      </c>
      <c r="CQ379" s="4">
        <f t="shared" si="350"/>
        <v>0</v>
      </c>
      <c r="CR379" s="4">
        <f t="shared" si="351"/>
        <v>0</v>
      </c>
      <c r="CS379" s="4">
        <f t="shared" si="352"/>
        <v>0</v>
      </c>
      <c r="CT379" s="4">
        <f t="shared" si="353"/>
        <v>0</v>
      </c>
      <c r="CU379" s="4">
        <f t="shared" si="354"/>
        <v>0</v>
      </c>
      <c r="CV379" s="4">
        <f t="shared" si="355"/>
        <v>0</v>
      </c>
      <c r="CW379" s="4">
        <f t="shared" si="356"/>
        <v>0</v>
      </c>
      <c r="CX379" s="4">
        <f t="shared" si="357"/>
        <v>0</v>
      </c>
      <c r="CY379" s="4">
        <f t="shared" si="358"/>
        <v>0</v>
      </c>
      <c r="CZ379" s="4">
        <f t="shared" si="359"/>
        <v>0</v>
      </c>
      <c r="DA379" s="4">
        <f t="shared" si="360"/>
        <v>0</v>
      </c>
      <c r="DB379" s="4">
        <f t="shared" si="361"/>
        <v>0</v>
      </c>
      <c r="DC379" s="4">
        <f t="shared" si="362"/>
        <v>0</v>
      </c>
      <c r="DD379" s="4">
        <f t="shared" si="363"/>
        <v>0</v>
      </c>
    </row>
    <row r="380" spans="1:108" x14ac:dyDescent="0.25">
      <c r="A380" s="41" t="str">
        <f>Skills!M362</f>
        <v>Dancing</v>
      </c>
      <c r="B380" s="55" t="str">
        <f>Skills!N362</f>
        <v>Dancing</v>
      </c>
      <c r="C380" s="22">
        <f t="shared" si="364"/>
        <v>0</v>
      </c>
      <c r="D380" s="112">
        <f>Skills!S362</f>
        <v>0</v>
      </c>
      <c r="E380" s="113" t="e">
        <f>Profession!B174</f>
        <v>#REF!</v>
      </c>
      <c r="F380" s="19"/>
      <c r="G380" s="19"/>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56"/>
      <c r="BF380" s="4">
        <f t="shared" si="314"/>
        <v>0</v>
      </c>
      <c r="BG380" s="4">
        <f t="shared" si="314"/>
        <v>0</v>
      </c>
      <c r="BH380" s="4">
        <f t="shared" si="315"/>
        <v>0</v>
      </c>
      <c r="BI380" s="4">
        <f t="shared" si="316"/>
        <v>0</v>
      </c>
      <c r="BJ380" s="4">
        <f t="shared" si="317"/>
        <v>0</v>
      </c>
      <c r="BK380" s="4">
        <f t="shared" si="318"/>
        <v>0</v>
      </c>
      <c r="BL380" s="4">
        <f t="shared" si="319"/>
        <v>0</v>
      </c>
      <c r="BM380" s="4">
        <f t="shared" si="320"/>
        <v>0</v>
      </c>
      <c r="BN380" s="4">
        <f t="shared" si="321"/>
        <v>0</v>
      </c>
      <c r="BO380" s="4">
        <f t="shared" si="322"/>
        <v>0</v>
      </c>
      <c r="BP380" s="4">
        <f t="shared" si="323"/>
        <v>0</v>
      </c>
      <c r="BQ380" s="4">
        <f t="shared" si="324"/>
        <v>0</v>
      </c>
      <c r="BR380" s="4">
        <f t="shared" si="325"/>
        <v>0</v>
      </c>
      <c r="BS380" s="4">
        <f t="shared" si="326"/>
        <v>0</v>
      </c>
      <c r="BT380" s="4">
        <f t="shared" si="327"/>
        <v>0</v>
      </c>
      <c r="BU380" s="4">
        <f t="shared" si="328"/>
        <v>0</v>
      </c>
      <c r="BV380" s="4">
        <f t="shared" si="329"/>
        <v>0</v>
      </c>
      <c r="BW380" s="4">
        <f t="shared" si="330"/>
        <v>0</v>
      </c>
      <c r="BX380" s="4">
        <f t="shared" si="331"/>
        <v>0</v>
      </c>
      <c r="BY380" s="4">
        <f t="shared" si="332"/>
        <v>0</v>
      </c>
      <c r="BZ380" s="4">
        <f t="shared" si="333"/>
        <v>0</v>
      </c>
      <c r="CA380" s="4">
        <f t="shared" si="334"/>
        <v>0</v>
      </c>
      <c r="CB380" s="4">
        <f t="shared" si="335"/>
        <v>0</v>
      </c>
      <c r="CC380" s="4">
        <f t="shared" si="336"/>
        <v>0</v>
      </c>
      <c r="CD380" s="4">
        <f t="shared" si="337"/>
        <v>0</v>
      </c>
      <c r="CE380" s="4">
        <f t="shared" si="338"/>
        <v>0</v>
      </c>
      <c r="CF380" s="4">
        <f t="shared" si="339"/>
        <v>0</v>
      </c>
      <c r="CG380" s="4">
        <f t="shared" si="340"/>
        <v>0</v>
      </c>
      <c r="CH380" s="4">
        <f t="shared" si="341"/>
        <v>0</v>
      </c>
      <c r="CI380" s="4">
        <f t="shared" si="342"/>
        <v>0</v>
      </c>
      <c r="CJ380" s="4">
        <f t="shared" si="343"/>
        <v>0</v>
      </c>
      <c r="CK380" s="4">
        <f t="shared" si="344"/>
        <v>0</v>
      </c>
      <c r="CL380" s="4">
        <f t="shared" si="345"/>
        <v>0</v>
      </c>
      <c r="CM380" s="4">
        <f t="shared" si="346"/>
        <v>0</v>
      </c>
      <c r="CN380" s="4">
        <f t="shared" si="347"/>
        <v>0</v>
      </c>
      <c r="CO380" s="4">
        <f t="shared" si="348"/>
        <v>0</v>
      </c>
      <c r="CP380" s="4">
        <f t="shared" si="349"/>
        <v>0</v>
      </c>
      <c r="CQ380" s="4">
        <f t="shared" si="350"/>
        <v>0</v>
      </c>
      <c r="CR380" s="4">
        <f t="shared" si="351"/>
        <v>0</v>
      </c>
      <c r="CS380" s="4">
        <f t="shared" si="352"/>
        <v>0</v>
      </c>
      <c r="CT380" s="4">
        <f t="shared" si="353"/>
        <v>0</v>
      </c>
      <c r="CU380" s="4">
        <f t="shared" si="354"/>
        <v>0</v>
      </c>
      <c r="CV380" s="4">
        <f t="shared" si="355"/>
        <v>0</v>
      </c>
      <c r="CW380" s="4">
        <f t="shared" si="356"/>
        <v>0</v>
      </c>
      <c r="CX380" s="4">
        <f t="shared" si="357"/>
        <v>0</v>
      </c>
      <c r="CY380" s="4">
        <f t="shared" si="358"/>
        <v>0</v>
      </c>
      <c r="CZ380" s="4">
        <f t="shared" si="359"/>
        <v>0</v>
      </c>
      <c r="DA380" s="4">
        <f t="shared" si="360"/>
        <v>0</v>
      </c>
      <c r="DB380" s="4">
        <f t="shared" si="361"/>
        <v>0</v>
      </c>
      <c r="DC380" s="4">
        <f t="shared" si="362"/>
        <v>0</v>
      </c>
      <c r="DD380" s="4">
        <f t="shared" si="363"/>
        <v>0</v>
      </c>
    </row>
    <row r="381" spans="1:108" x14ac:dyDescent="0.25">
      <c r="A381" s="41" t="str">
        <f>Skills!M363</f>
        <v>Stage Magic</v>
      </c>
      <c r="B381" s="57" t="str">
        <f>Skills!N363</f>
        <v>Stage Magic</v>
      </c>
      <c r="C381" s="24">
        <f t="shared" si="364"/>
        <v>0</v>
      </c>
      <c r="D381" s="110">
        <f>Skills!S363</f>
        <v>0</v>
      </c>
      <c r="E381" s="111" t="e">
        <f>Profession!B175</f>
        <v>#REF!</v>
      </c>
      <c r="F381" s="18"/>
      <c r="G381" s="18"/>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49"/>
      <c r="BF381" s="4">
        <f t="shared" si="314"/>
        <v>0</v>
      </c>
      <c r="BG381" s="4">
        <f t="shared" si="314"/>
        <v>0</v>
      </c>
      <c r="BH381" s="4">
        <f t="shared" si="315"/>
        <v>0</v>
      </c>
      <c r="BI381" s="4">
        <f t="shared" si="316"/>
        <v>0</v>
      </c>
      <c r="BJ381" s="4">
        <f t="shared" si="317"/>
        <v>0</v>
      </c>
      <c r="BK381" s="4">
        <f t="shared" si="318"/>
        <v>0</v>
      </c>
      <c r="BL381" s="4">
        <f t="shared" si="319"/>
        <v>0</v>
      </c>
      <c r="BM381" s="4">
        <f t="shared" si="320"/>
        <v>0</v>
      </c>
      <c r="BN381" s="4">
        <f t="shared" si="321"/>
        <v>0</v>
      </c>
      <c r="BO381" s="4">
        <f t="shared" si="322"/>
        <v>0</v>
      </c>
      <c r="BP381" s="4">
        <f t="shared" si="323"/>
        <v>0</v>
      </c>
      <c r="BQ381" s="4">
        <f t="shared" si="324"/>
        <v>0</v>
      </c>
      <c r="BR381" s="4">
        <f t="shared" si="325"/>
        <v>0</v>
      </c>
      <c r="BS381" s="4">
        <f t="shared" si="326"/>
        <v>0</v>
      </c>
      <c r="BT381" s="4">
        <f t="shared" si="327"/>
        <v>0</v>
      </c>
      <c r="BU381" s="4">
        <f t="shared" si="328"/>
        <v>0</v>
      </c>
      <c r="BV381" s="4">
        <f t="shared" si="329"/>
        <v>0</v>
      </c>
      <c r="BW381" s="4">
        <f t="shared" si="330"/>
        <v>0</v>
      </c>
      <c r="BX381" s="4">
        <f t="shared" si="331"/>
        <v>0</v>
      </c>
      <c r="BY381" s="4">
        <f t="shared" si="332"/>
        <v>0</v>
      </c>
      <c r="BZ381" s="4">
        <f t="shared" si="333"/>
        <v>0</v>
      </c>
      <c r="CA381" s="4">
        <f t="shared" si="334"/>
        <v>0</v>
      </c>
      <c r="CB381" s="4">
        <f t="shared" si="335"/>
        <v>0</v>
      </c>
      <c r="CC381" s="4">
        <f t="shared" si="336"/>
        <v>0</v>
      </c>
      <c r="CD381" s="4">
        <f t="shared" si="337"/>
        <v>0</v>
      </c>
      <c r="CE381" s="4">
        <f t="shared" si="338"/>
        <v>0</v>
      </c>
      <c r="CF381" s="4">
        <f t="shared" si="339"/>
        <v>0</v>
      </c>
      <c r="CG381" s="4">
        <f t="shared" si="340"/>
        <v>0</v>
      </c>
      <c r="CH381" s="4">
        <f t="shared" si="341"/>
        <v>0</v>
      </c>
      <c r="CI381" s="4">
        <f t="shared" si="342"/>
        <v>0</v>
      </c>
      <c r="CJ381" s="4">
        <f t="shared" si="343"/>
        <v>0</v>
      </c>
      <c r="CK381" s="4">
        <f t="shared" si="344"/>
        <v>0</v>
      </c>
      <c r="CL381" s="4">
        <f t="shared" si="345"/>
        <v>0</v>
      </c>
      <c r="CM381" s="4">
        <f t="shared" si="346"/>
        <v>0</v>
      </c>
      <c r="CN381" s="4">
        <f t="shared" si="347"/>
        <v>0</v>
      </c>
      <c r="CO381" s="4">
        <f t="shared" si="348"/>
        <v>0</v>
      </c>
      <c r="CP381" s="4">
        <f t="shared" si="349"/>
        <v>0</v>
      </c>
      <c r="CQ381" s="4">
        <f t="shared" si="350"/>
        <v>0</v>
      </c>
      <c r="CR381" s="4">
        <f t="shared" si="351"/>
        <v>0</v>
      </c>
      <c r="CS381" s="4">
        <f t="shared" si="352"/>
        <v>0</v>
      </c>
      <c r="CT381" s="4">
        <f t="shared" si="353"/>
        <v>0</v>
      </c>
      <c r="CU381" s="4">
        <f t="shared" si="354"/>
        <v>0</v>
      </c>
      <c r="CV381" s="4">
        <f t="shared" si="355"/>
        <v>0</v>
      </c>
      <c r="CW381" s="4">
        <f t="shared" si="356"/>
        <v>0</v>
      </c>
      <c r="CX381" s="4">
        <f t="shared" si="357"/>
        <v>0</v>
      </c>
      <c r="CY381" s="4">
        <f t="shared" si="358"/>
        <v>0</v>
      </c>
      <c r="CZ381" s="4">
        <f t="shared" si="359"/>
        <v>0</v>
      </c>
      <c r="DA381" s="4">
        <f t="shared" si="360"/>
        <v>0</v>
      </c>
      <c r="DB381" s="4">
        <f t="shared" si="361"/>
        <v>0</v>
      </c>
      <c r="DC381" s="4">
        <f t="shared" si="362"/>
        <v>0</v>
      </c>
      <c r="DD381" s="4">
        <f t="shared" si="363"/>
        <v>0</v>
      </c>
    </row>
    <row r="382" spans="1:108" x14ac:dyDescent="0.25">
      <c r="A382" s="41">
        <f>Skills!M364</f>
        <v>0</v>
      </c>
      <c r="B382" s="55" t="str">
        <f>Skills!N364</f>
        <v>Play Instrument Sub-category</v>
      </c>
      <c r="C382" s="22">
        <f t="shared" si="364"/>
        <v>0</v>
      </c>
      <c r="D382" s="112" t="str">
        <f>Skills!S364</f>
        <v>- -</v>
      </c>
      <c r="E382" s="113" t="s">
        <v>782</v>
      </c>
      <c r="F382" s="19"/>
      <c r="G382" s="19"/>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56"/>
      <c r="BF382" s="4">
        <f t="shared" si="314"/>
        <v>0</v>
      </c>
      <c r="BG382" s="4">
        <f t="shared" si="314"/>
        <v>0</v>
      </c>
      <c r="BH382" s="4">
        <f t="shared" si="315"/>
        <v>0</v>
      </c>
      <c r="BI382" s="4">
        <f t="shared" si="316"/>
        <v>0</v>
      </c>
      <c r="BJ382" s="4">
        <f t="shared" si="317"/>
        <v>0</v>
      </c>
      <c r="BK382" s="4">
        <f t="shared" si="318"/>
        <v>0</v>
      </c>
      <c r="BL382" s="4">
        <f t="shared" si="319"/>
        <v>0</v>
      </c>
      <c r="BM382" s="4">
        <f t="shared" si="320"/>
        <v>0</v>
      </c>
      <c r="BN382" s="4">
        <f t="shared" si="321"/>
        <v>0</v>
      </c>
      <c r="BO382" s="4">
        <f t="shared" si="322"/>
        <v>0</v>
      </c>
      <c r="BP382" s="4">
        <f t="shared" si="323"/>
        <v>0</v>
      </c>
      <c r="BQ382" s="4">
        <f t="shared" si="324"/>
        <v>0</v>
      </c>
      <c r="BR382" s="4">
        <f t="shared" si="325"/>
        <v>0</v>
      </c>
      <c r="BS382" s="4">
        <f t="shared" si="326"/>
        <v>0</v>
      </c>
      <c r="BT382" s="4">
        <f t="shared" si="327"/>
        <v>0</v>
      </c>
      <c r="BU382" s="4">
        <f t="shared" si="328"/>
        <v>0</v>
      </c>
      <c r="BV382" s="4">
        <f t="shared" si="329"/>
        <v>0</v>
      </c>
      <c r="BW382" s="4">
        <f t="shared" si="330"/>
        <v>0</v>
      </c>
      <c r="BX382" s="4">
        <f t="shared" si="331"/>
        <v>0</v>
      </c>
      <c r="BY382" s="4">
        <f t="shared" si="332"/>
        <v>0</v>
      </c>
      <c r="BZ382" s="4">
        <f t="shared" si="333"/>
        <v>0</v>
      </c>
      <c r="CA382" s="4">
        <f t="shared" si="334"/>
        <v>0</v>
      </c>
      <c r="CB382" s="4">
        <f t="shared" si="335"/>
        <v>0</v>
      </c>
      <c r="CC382" s="4">
        <f t="shared" si="336"/>
        <v>0</v>
      </c>
      <c r="CD382" s="4">
        <f t="shared" si="337"/>
        <v>0</v>
      </c>
      <c r="CE382" s="4">
        <f t="shared" si="338"/>
        <v>0</v>
      </c>
      <c r="CF382" s="4">
        <f t="shared" si="339"/>
        <v>0</v>
      </c>
      <c r="CG382" s="4">
        <f t="shared" si="340"/>
        <v>0</v>
      </c>
      <c r="CH382" s="4">
        <f t="shared" si="341"/>
        <v>0</v>
      </c>
      <c r="CI382" s="4">
        <f t="shared" si="342"/>
        <v>0</v>
      </c>
      <c r="CJ382" s="4">
        <f t="shared" si="343"/>
        <v>0</v>
      </c>
      <c r="CK382" s="4">
        <f t="shared" si="344"/>
        <v>0</v>
      </c>
      <c r="CL382" s="4">
        <f t="shared" si="345"/>
        <v>0</v>
      </c>
      <c r="CM382" s="4">
        <f t="shared" si="346"/>
        <v>0</v>
      </c>
      <c r="CN382" s="4">
        <f t="shared" si="347"/>
        <v>0</v>
      </c>
      <c r="CO382" s="4">
        <f t="shared" si="348"/>
        <v>0</v>
      </c>
      <c r="CP382" s="4">
        <f t="shared" si="349"/>
        <v>0</v>
      </c>
      <c r="CQ382" s="4">
        <f t="shared" si="350"/>
        <v>0</v>
      </c>
      <c r="CR382" s="4">
        <f t="shared" si="351"/>
        <v>0</v>
      </c>
      <c r="CS382" s="4">
        <f t="shared" si="352"/>
        <v>0</v>
      </c>
      <c r="CT382" s="4">
        <f t="shared" si="353"/>
        <v>0</v>
      </c>
      <c r="CU382" s="4">
        <f t="shared" si="354"/>
        <v>0</v>
      </c>
      <c r="CV382" s="4">
        <f t="shared" si="355"/>
        <v>0</v>
      </c>
      <c r="CW382" s="4">
        <f t="shared" si="356"/>
        <v>0</v>
      </c>
      <c r="CX382" s="4">
        <f t="shared" si="357"/>
        <v>0</v>
      </c>
      <c r="CY382" s="4">
        <f t="shared" si="358"/>
        <v>0</v>
      </c>
      <c r="CZ382" s="4">
        <f t="shared" si="359"/>
        <v>0</v>
      </c>
      <c r="DA382" s="4">
        <f t="shared" si="360"/>
        <v>0</v>
      </c>
      <c r="DB382" s="4">
        <f t="shared" si="361"/>
        <v>0</v>
      </c>
      <c r="DC382" s="4">
        <f t="shared" si="362"/>
        <v>0</v>
      </c>
      <c r="DD382" s="4">
        <f t="shared" si="363"/>
        <v>0</v>
      </c>
    </row>
    <row r="383" spans="1:108" x14ac:dyDescent="0.25">
      <c r="A383" s="41">
        <f>Skills!M365</f>
        <v>0</v>
      </c>
      <c r="B383" s="57" t="str">
        <f>Skills!N365</f>
        <v>Play Instrument Skills</v>
      </c>
      <c r="C383" s="24">
        <f t="shared" si="364"/>
        <v>0</v>
      </c>
      <c r="D383" s="110" t="str">
        <f>Skills!S365</f>
        <v>- -</v>
      </c>
      <c r="E383" s="111" t="s">
        <v>782</v>
      </c>
      <c r="F383" s="18"/>
      <c r="G383" s="18"/>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49"/>
      <c r="BF383" s="4">
        <f t="shared" si="314"/>
        <v>0</v>
      </c>
      <c r="BG383" s="4">
        <f t="shared" si="314"/>
        <v>0</v>
      </c>
      <c r="BH383" s="4">
        <f t="shared" si="315"/>
        <v>0</v>
      </c>
      <c r="BI383" s="4">
        <f t="shared" si="316"/>
        <v>0</v>
      </c>
      <c r="BJ383" s="4">
        <f t="shared" si="317"/>
        <v>0</v>
      </c>
      <c r="BK383" s="4">
        <f t="shared" si="318"/>
        <v>0</v>
      </c>
      <c r="BL383" s="4">
        <f t="shared" si="319"/>
        <v>0</v>
      </c>
      <c r="BM383" s="4">
        <f t="shared" si="320"/>
        <v>0</v>
      </c>
      <c r="BN383" s="4">
        <f t="shared" si="321"/>
        <v>0</v>
      </c>
      <c r="BO383" s="4">
        <f t="shared" si="322"/>
        <v>0</v>
      </c>
      <c r="BP383" s="4">
        <f t="shared" si="323"/>
        <v>0</v>
      </c>
      <c r="BQ383" s="4">
        <f t="shared" si="324"/>
        <v>0</v>
      </c>
      <c r="BR383" s="4">
        <f t="shared" si="325"/>
        <v>0</v>
      </c>
      <c r="BS383" s="4">
        <f t="shared" si="326"/>
        <v>0</v>
      </c>
      <c r="BT383" s="4">
        <f t="shared" si="327"/>
        <v>0</v>
      </c>
      <c r="BU383" s="4">
        <f t="shared" si="328"/>
        <v>0</v>
      </c>
      <c r="BV383" s="4">
        <f t="shared" si="329"/>
        <v>0</v>
      </c>
      <c r="BW383" s="4">
        <f t="shared" si="330"/>
        <v>0</v>
      </c>
      <c r="BX383" s="4">
        <f t="shared" si="331"/>
        <v>0</v>
      </c>
      <c r="BY383" s="4">
        <f t="shared" si="332"/>
        <v>0</v>
      </c>
      <c r="BZ383" s="4">
        <f t="shared" si="333"/>
        <v>0</v>
      </c>
      <c r="CA383" s="4">
        <f t="shared" si="334"/>
        <v>0</v>
      </c>
      <c r="CB383" s="4">
        <f t="shared" si="335"/>
        <v>0</v>
      </c>
      <c r="CC383" s="4">
        <f t="shared" si="336"/>
        <v>0</v>
      </c>
      <c r="CD383" s="4">
        <f t="shared" si="337"/>
        <v>0</v>
      </c>
      <c r="CE383" s="4">
        <f t="shared" si="338"/>
        <v>0</v>
      </c>
      <c r="CF383" s="4">
        <f t="shared" si="339"/>
        <v>0</v>
      </c>
      <c r="CG383" s="4">
        <f t="shared" si="340"/>
        <v>0</v>
      </c>
      <c r="CH383" s="4">
        <f t="shared" si="341"/>
        <v>0</v>
      </c>
      <c r="CI383" s="4">
        <f t="shared" si="342"/>
        <v>0</v>
      </c>
      <c r="CJ383" s="4">
        <f t="shared" si="343"/>
        <v>0</v>
      </c>
      <c r="CK383" s="4">
        <f t="shared" si="344"/>
        <v>0</v>
      </c>
      <c r="CL383" s="4">
        <f t="shared" si="345"/>
        <v>0</v>
      </c>
      <c r="CM383" s="4">
        <f t="shared" si="346"/>
        <v>0</v>
      </c>
      <c r="CN383" s="4">
        <f t="shared" si="347"/>
        <v>0</v>
      </c>
      <c r="CO383" s="4">
        <f t="shared" si="348"/>
        <v>0</v>
      </c>
      <c r="CP383" s="4">
        <f t="shared" si="349"/>
        <v>0</v>
      </c>
      <c r="CQ383" s="4">
        <f t="shared" si="350"/>
        <v>0</v>
      </c>
      <c r="CR383" s="4">
        <f t="shared" si="351"/>
        <v>0</v>
      </c>
      <c r="CS383" s="4">
        <f t="shared" si="352"/>
        <v>0</v>
      </c>
      <c r="CT383" s="4">
        <f t="shared" si="353"/>
        <v>0</v>
      </c>
      <c r="CU383" s="4">
        <f t="shared" si="354"/>
        <v>0</v>
      </c>
      <c r="CV383" s="4">
        <f t="shared" si="355"/>
        <v>0</v>
      </c>
      <c r="CW383" s="4">
        <f t="shared" si="356"/>
        <v>0</v>
      </c>
      <c r="CX383" s="4">
        <f t="shared" si="357"/>
        <v>0</v>
      </c>
      <c r="CY383" s="4">
        <f t="shared" si="358"/>
        <v>0</v>
      </c>
      <c r="CZ383" s="4">
        <f t="shared" si="359"/>
        <v>0</v>
      </c>
      <c r="DA383" s="4">
        <f t="shared" si="360"/>
        <v>0</v>
      </c>
      <c r="DB383" s="4">
        <f t="shared" si="361"/>
        <v>0</v>
      </c>
      <c r="DC383" s="4">
        <f t="shared" si="362"/>
        <v>0</v>
      </c>
      <c r="DD383" s="4">
        <f t="shared" si="363"/>
        <v>0</v>
      </c>
    </row>
    <row r="384" spans="1:108" x14ac:dyDescent="0.25">
      <c r="A384" s="41" t="str">
        <f>Skills!M366</f>
        <v>Play, String Instrument</v>
      </c>
      <c r="B384" s="55" t="str">
        <f>Skills!N366</f>
        <v>String Instrument</v>
      </c>
      <c r="C384" s="22">
        <f t="shared" si="364"/>
        <v>0</v>
      </c>
      <c r="D384" s="112" t="e">
        <f>Skills!S366</f>
        <v>#N/A</v>
      </c>
      <c r="E384" s="113" t="e">
        <f>Profession!$B$176</f>
        <v>#REF!</v>
      </c>
      <c r="F384" s="19"/>
      <c r="G384" s="19"/>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56"/>
      <c r="BF384" s="4">
        <f t="shared" si="314"/>
        <v>0</v>
      </c>
      <c r="BG384" s="4">
        <f t="shared" si="314"/>
        <v>0</v>
      </c>
      <c r="BH384" s="4">
        <f t="shared" si="315"/>
        <v>0</v>
      </c>
      <c r="BI384" s="4">
        <f t="shared" si="316"/>
        <v>0</v>
      </c>
      <c r="BJ384" s="4">
        <f t="shared" si="317"/>
        <v>0</v>
      </c>
      <c r="BK384" s="4">
        <f t="shared" si="318"/>
        <v>0</v>
      </c>
      <c r="BL384" s="4">
        <f t="shared" si="319"/>
        <v>0</v>
      </c>
      <c r="BM384" s="4">
        <f t="shared" si="320"/>
        <v>0</v>
      </c>
      <c r="BN384" s="4">
        <f t="shared" si="321"/>
        <v>0</v>
      </c>
      <c r="BO384" s="4">
        <f t="shared" si="322"/>
        <v>0</v>
      </c>
      <c r="BP384" s="4">
        <f t="shared" si="323"/>
        <v>0</v>
      </c>
      <c r="BQ384" s="4">
        <f t="shared" si="324"/>
        <v>0</v>
      </c>
      <c r="BR384" s="4">
        <f t="shared" si="325"/>
        <v>0</v>
      </c>
      <c r="BS384" s="4">
        <f t="shared" si="326"/>
        <v>0</v>
      </c>
      <c r="BT384" s="4">
        <f t="shared" si="327"/>
        <v>0</v>
      </c>
      <c r="BU384" s="4">
        <f t="shared" si="328"/>
        <v>0</v>
      </c>
      <c r="BV384" s="4">
        <f t="shared" si="329"/>
        <v>0</v>
      </c>
      <c r="BW384" s="4">
        <f t="shared" si="330"/>
        <v>0</v>
      </c>
      <c r="BX384" s="4">
        <f t="shared" si="331"/>
        <v>0</v>
      </c>
      <c r="BY384" s="4">
        <f t="shared" si="332"/>
        <v>0</v>
      </c>
      <c r="BZ384" s="4">
        <f t="shared" si="333"/>
        <v>0</v>
      </c>
      <c r="CA384" s="4">
        <f t="shared" si="334"/>
        <v>0</v>
      </c>
      <c r="CB384" s="4">
        <f t="shared" si="335"/>
        <v>0</v>
      </c>
      <c r="CC384" s="4">
        <f t="shared" si="336"/>
        <v>0</v>
      </c>
      <c r="CD384" s="4">
        <f t="shared" si="337"/>
        <v>0</v>
      </c>
      <c r="CE384" s="4">
        <f t="shared" si="338"/>
        <v>0</v>
      </c>
      <c r="CF384" s="4">
        <f t="shared" si="339"/>
        <v>0</v>
      </c>
      <c r="CG384" s="4">
        <f t="shared" si="340"/>
        <v>0</v>
      </c>
      <c r="CH384" s="4">
        <f t="shared" si="341"/>
        <v>0</v>
      </c>
      <c r="CI384" s="4">
        <f t="shared" si="342"/>
        <v>0</v>
      </c>
      <c r="CJ384" s="4">
        <f t="shared" si="343"/>
        <v>0</v>
      </c>
      <c r="CK384" s="4">
        <f t="shared" si="344"/>
        <v>0</v>
      </c>
      <c r="CL384" s="4">
        <f t="shared" si="345"/>
        <v>0</v>
      </c>
      <c r="CM384" s="4">
        <f t="shared" si="346"/>
        <v>0</v>
      </c>
      <c r="CN384" s="4">
        <f t="shared" si="347"/>
        <v>0</v>
      </c>
      <c r="CO384" s="4">
        <f t="shared" si="348"/>
        <v>0</v>
      </c>
      <c r="CP384" s="4">
        <f t="shared" si="349"/>
        <v>0</v>
      </c>
      <c r="CQ384" s="4">
        <f t="shared" si="350"/>
        <v>0</v>
      </c>
      <c r="CR384" s="4">
        <f t="shared" si="351"/>
        <v>0</v>
      </c>
      <c r="CS384" s="4">
        <f t="shared" si="352"/>
        <v>0</v>
      </c>
      <c r="CT384" s="4">
        <f t="shared" si="353"/>
        <v>0</v>
      </c>
      <c r="CU384" s="4">
        <f t="shared" si="354"/>
        <v>0</v>
      </c>
      <c r="CV384" s="4">
        <f t="shared" si="355"/>
        <v>0</v>
      </c>
      <c r="CW384" s="4">
        <f t="shared" si="356"/>
        <v>0</v>
      </c>
      <c r="CX384" s="4">
        <f t="shared" si="357"/>
        <v>0</v>
      </c>
      <c r="CY384" s="4">
        <f t="shared" si="358"/>
        <v>0</v>
      </c>
      <c r="CZ384" s="4">
        <f t="shared" si="359"/>
        <v>0</v>
      </c>
      <c r="DA384" s="4">
        <f t="shared" si="360"/>
        <v>0</v>
      </c>
      <c r="DB384" s="4">
        <f t="shared" si="361"/>
        <v>0</v>
      </c>
      <c r="DC384" s="4">
        <f t="shared" si="362"/>
        <v>0</v>
      </c>
      <c r="DD384" s="4">
        <f t="shared" si="363"/>
        <v>0</v>
      </c>
    </row>
    <row r="385" spans="1:108" x14ac:dyDescent="0.25">
      <c r="A385" s="41" t="str">
        <f>Skills!M367</f>
        <v>Play, Percussion Instrument</v>
      </c>
      <c r="B385" s="57" t="str">
        <f>Skills!N367</f>
        <v>Percussion Instrument</v>
      </c>
      <c r="C385" s="24">
        <f t="shared" si="364"/>
        <v>0</v>
      </c>
      <c r="D385" s="110" t="e">
        <f>Skills!S367</f>
        <v>#N/A</v>
      </c>
      <c r="E385" s="111" t="e">
        <f>Profession!$B$176</f>
        <v>#REF!</v>
      </c>
      <c r="F385" s="18"/>
      <c r="G385" s="18"/>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49"/>
      <c r="BF385" s="4">
        <f t="shared" ref="BF385:BG451" si="365">IF(F385=1,(LEFT($E385,2))*1,IF(F385=2,((LEFT($E385,2))+(MID($E385,FIND("/",$E385)+2,2))),IF(F385=3,((LEFT($E385,2))+(MID($E385,FIND("/",$E385)+2,2))+(RIGHT($E385,2))),0)))</f>
        <v>0</v>
      </c>
      <c r="BG385" s="4">
        <f t="shared" si="365"/>
        <v>0</v>
      </c>
      <c r="BH385" s="4">
        <f t="shared" ref="BH385:BH451" si="366">IF(H385=1,(LEFT($E385,2))*1,IF(H385=2,((LEFT($E385,2))+(MID($E385,FIND("/",$E385)+2,2))),IF(H385=3,((LEFT($E385,2))+(MID($E385,FIND("/",$E385)+2,2))+(RIGHT($E385,2))),0)))</f>
        <v>0</v>
      </c>
      <c r="BI385" s="4">
        <f t="shared" ref="BI385:BI451" si="367">IF(I385=1,(LEFT($E385,2))*1,IF(I385=2,((LEFT($E385,2))+(MID($E385,FIND("/",$E385)+2,2))),IF(I385=3,((LEFT($E385,2))+(MID($E385,FIND("/",$E385)+2,2))+(RIGHT($E385,2))),0)))</f>
        <v>0</v>
      </c>
      <c r="BJ385" s="4">
        <f t="shared" ref="BJ385:BJ451" si="368">IF(J385=1,(LEFT($E385,2))*1,IF(J385=2,((LEFT($E385,2))+(MID($E385,FIND("/",$E385)+2,2))),IF(J385=3,((LEFT($E385,2))+(MID($E385,FIND("/",$E385)+2,2))+(RIGHT($E385,2))),0)))</f>
        <v>0</v>
      </c>
      <c r="BK385" s="4">
        <f t="shared" ref="BK385:BK451" si="369">IF(K385=1,(LEFT($E385,2))*1,IF(K385=2,((LEFT($E385,2))+(MID($E385,FIND("/",$E385)+2,2))),IF(K385=3,((LEFT($E385,2))+(MID($E385,FIND("/",$E385)+2,2))+(RIGHT($E385,2))),0)))</f>
        <v>0</v>
      </c>
      <c r="BL385" s="4">
        <f t="shared" ref="BL385:BL451" si="370">IF(L385=1,(LEFT($E385,2))*1,IF(L385=2,((LEFT($E385,2))+(MID($E385,FIND("/",$E385)+2,2))),IF(L385=3,((LEFT($E385,2))+(MID($E385,FIND("/",$E385)+2,2))+(RIGHT($E385,2))),0)))</f>
        <v>0</v>
      </c>
      <c r="BM385" s="4">
        <f t="shared" ref="BM385:BM451" si="371">IF(M385=1,(LEFT($E385,2))*1,IF(M385=2,((LEFT($E385,2))+(MID($E385,FIND("/",$E385)+2,2))),IF(M385=3,((LEFT($E385,2))+(MID($E385,FIND("/",$E385)+2,2))+(RIGHT($E385,2))),0)))</f>
        <v>0</v>
      </c>
      <c r="BN385" s="4">
        <f t="shared" ref="BN385:BN451" si="372">IF(N385=1,(LEFT($E385,2))*1,IF(N385=2,((LEFT($E385,2))+(MID($E385,FIND("/",$E385)+2,2))),IF(N385=3,((LEFT($E385,2))+(MID($E385,FIND("/",$E385)+2,2))+(RIGHT($E385,2))),0)))</f>
        <v>0</v>
      </c>
      <c r="BO385" s="4">
        <f t="shared" ref="BO385:BO451" si="373">IF(O385=1,(LEFT($E385,2))*1,IF(O385=2,((LEFT($E385,2))+(MID($E385,FIND("/",$E385)+2,2))),IF(O385=3,((LEFT($E385,2))+(MID($E385,FIND("/",$E385)+2,2))+(RIGHT($E385,2))),0)))</f>
        <v>0</v>
      </c>
      <c r="BP385" s="4">
        <f t="shared" ref="BP385:BP451" si="374">IF(P385=1,(LEFT($E385,2))*1,IF(P385=2,((LEFT($E385,2))+(MID($E385,FIND("/",$E385)+2,2))),IF(P385=3,((LEFT($E385,2))+(MID($E385,FIND("/",$E385)+2,2))+(RIGHT($E385,2))),0)))</f>
        <v>0</v>
      </c>
      <c r="BQ385" s="4">
        <f t="shared" ref="BQ385:BQ451" si="375">IF(Q385=1,(LEFT($E385,2))*1,IF(Q385=2,((LEFT($E385,2))+(MID($E385,FIND("/",$E385)+2,2))),IF(Q385=3,((LEFT($E385,2))+(MID($E385,FIND("/",$E385)+2,2))+(RIGHT($E385,2))),0)))</f>
        <v>0</v>
      </c>
      <c r="BR385" s="4">
        <f t="shared" ref="BR385:BR451" si="376">IF(R385=1,(LEFT($E385,2))*1,IF(R385=2,((LEFT($E385,2))+(MID($E385,FIND("/",$E385)+2,2))),IF(R385=3,((LEFT($E385,2))+(MID($E385,FIND("/",$E385)+2,2))+(RIGHT($E385,2))),0)))</f>
        <v>0</v>
      </c>
      <c r="BS385" s="4">
        <f t="shared" ref="BS385:BS451" si="377">IF(S385=1,(LEFT($E385,2))*1,IF(S385=2,((LEFT($E385,2))+(MID($E385,FIND("/",$E385)+2,2))),IF(S385=3,((LEFT($E385,2))+(MID($E385,FIND("/",$E385)+2,2))+(RIGHT($E385,2))),0)))</f>
        <v>0</v>
      </c>
      <c r="BT385" s="4">
        <f t="shared" ref="BT385:BT451" si="378">IF(T385=1,(LEFT($E385,2))*1,IF(T385=2,((LEFT($E385,2))+(MID($E385,FIND("/",$E385)+2,2))),IF(T385=3,((LEFT($E385,2))+(MID($E385,FIND("/",$E385)+2,2))+(RIGHT($E385,2))),0)))</f>
        <v>0</v>
      </c>
      <c r="BU385" s="4">
        <f t="shared" ref="BU385:BU451" si="379">IF(U385=1,(LEFT($E385,2))*1,IF(U385=2,((LEFT($E385,2))+(MID($E385,FIND("/",$E385)+2,2))),IF(U385=3,((LEFT($E385,2))+(MID($E385,FIND("/",$E385)+2,2))+(RIGHT($E385,2))),0)))</f>
        <v>0</v>
      </c>
      <c r="BV385" s="4">
        <f t="shared" ref="BV385:BV451" si="380">IF(V385=1,(LEFT($E385,2))*1,IF(V385=2,((LEFT($E385,2))+(MID($E385,FIND("/",$E385)+2,2))),IF(V385=3,((LEFT($E385,2))+(MID($E385,FIND("/",$E385)+2,2))+(RIGHT($E385,2))),0)))</f>
        <v>0</v>
      </c>
      <c r="BW385" s="4">
        <f t="shared" ref="BW385:BW451" si="381">IF(W385=1,(LEFT($E385,2))*1,IF(W385=2,((LEFT($E385,2))+(MID($E385,FIND("/",$E385)+2,2))),IF(W385=3,((LEFT($E385,2))+(MID($E385,FIND("/",$E385)+2,2))+(RIGHT($E385,2))),0)))</f>
        <v>0</v>
      </c>
      <c r="BX385" s="4">
        <f t="shared" ref="BX385:BX451" si="382">IF(X385=1,(LEFT($E385,2))*1,IF(X385=2,((LEFT($E385,2))+(MID($E385,FIND("/",$E385)+2,2))),IF(X385=3,((LEFT($E385,2))+(MID($E385,FIND("/",$E385)+2,2))+(RIGHT($E385,2))),0)))</f>
        <v>0</v>
      </c>
      <c r="BY385" s="4">
        <f t="shared" ref="BY385:BY451" si="383">IF(Y385=1,(LEFT($E385,2))*1,IF(Y385=2,((LEFT($E385,2))+(MID($E385,FIND("/",$E385)+2,2))),IF(Y385=3,((LEFT($E385,2))+(MID($E385,FIND("/",$E385)+2,2))+(RIGHT($E385,2))),0)))</f>
        <v>0</v>
      </c>
      <c r="BZ385" s="4">
        <f t="shared" ref="BZ385:BZ451" si="384">IF(Z385=1,(LEFT($E385,2))*1,IF(Z385=2,((LEFT($E385,2))+(MID($E385,FIND("/",$E385)+2,2))),IF(Z385=3,((LEFT($E385,2))+(MID($E385,FIND("/",$E385)+2,2))+(RIGHT($E385,2))),0)))</f>
        <v>0</v>
      </c>
      <c r="CA385" s="4">
        <f t="shared" ref="CA385:CA451" si="385">IF(AA385=1,(LEFT($E385,2))*1,IF(AA385=2,((LEFT($E385,2))+(MID($E385,FIND("/",$E385)+2,2))),IF(AA385=3,((LEFT($E385,2))+(MID($E385,FIND("/",$E385)+2,2))+(RIGHT($E385,2))),0)))</f>
        <v>0</v>
      </c>
      <c r="CB385" s="4">
        <f t="shared" ref="CB385:CB451" si="386">IF(AB385=1,(LEFT($E385,2))*1,IF(AB385=2,((LEFT($E385,2))+(MID($E385,FIND("/",$E385)+2,2))),IF(AB385=3,((LEFT($E385,2))+(MID($E385,FIND("/",$E385)+2,2))+(RIGHT($E385,2))),0)))</f>
        <v>0</v>
      </c>
      <c r="CC385" s="4">
        <f t="shared" ref="CC385:CC451" si="387">IF(AC385=1,(LEFT($E385,2))*1,IF(AC385=2,((LEFT($E385,2))+(MID($E385,FIND("/",$E385)+2,2))),IF(AC385=3,((LEFT($E385,2))+(MID($E385,FIND("/",$E385)+2,2))+(RIGHT($E385,2))),0)))</f>
        <v>0</v>
      </c>
      <c r="CD385" s="4">
        <f t="shared" ref="CD385:CD451" si="388">IF(AD385=1,(LEFT($E385,2))*1,IF(AD385=2,((LEFT($E385,2))+(MID($E385,FIND("/",$E385)+2,2))),IF(AD385=3,((LEFT($E385,2))+(MID($E385,FIND("/",$E385)+2,2))+(RIGHT($E385,2))),0)))</f>
        <v>0</v>
      </c>
      <c r="CE385" s="4">
        <f t="shared" ref="CE385:CE451" si="389">IF(AE385=1,(LEFT($E385,2))*1,IF(AE385=2,((LEFT($E385,2))+(MID($E385,FIND("/",$E385)+2,2))),IF(AE385=3,((LEFT($E385,2))+(MID($E385,FIND("/",$E385)+2,2))+(RIGHT($E385,2))),0)))</f>
        <v>0</v>
      </c>
      <c r="CF385" s="4">
        <f t="shared" ref="CF385:CF451" si="390">IF(AF385=1,(LEFT($E385,2))*1,IF(AF385=2,((LEFT($E385,2))+(MID($E385,FIND("/",$E385)+2,2))),IF(AF385=3,((LEFT($E385,2))+(MID($E385,FIND("/",$E385)+2,2))+(RIGHT($E385,2))),0)))</f>
        <v>0</v>
      </c>
      <c r="CG385" s="4">
        <f t="shared" ref="CG385:CG451" si="391">IF(AG385=1,(LEFT($E385,2))*1,IF(AG385=2,((LEFT($E385,2))+(MID($E385,FIND("/",$E385)+2,2))),IF(AG385=3,((LEFT($E385,2))+(MID($E385,FIND("/",$E385)+2,2))+(RIGHT($E385,2))),0)))</f>
        <v>0</v>
      </c>
      <c r="CH385" s="4">
        <f t="shared" ref="CH385:CH451" si="392">IF(AH385=1,(LEFT($E385,2))*1,IF(AH385=2,((LEFT($E385,2))+(MID($E385,FIND("/",$E385)+2,2))),IF(AH385=3,((LEFT($E385,2))+(MID($E385,FIND("/",$E385)+2,2))+(RIGHT($E385,2))),0)))</f>
        <v>0</v>
      </c>
      <c r="CI385" s="4">
        <f t="shared" ref="CI385:CI451" si="393">IF(AI385=1,(LEFT($E385,2))*1,IF(AI385=2,((LEFT($E385,2))+(MID($E385,FIND("/",$E385)+2,2))),IF(AI385=3,((LEFT($E385,2))+(MID($E385,FIND("/",$E385)+2,2))+(RIGHT($E385,2))),0)))</f>
        <v>0</v>
      </c>
      <c r="CJ385" s="4">
        <f t="shared" ref="CJ385:CJ451" si="394">IF(AJ385=1,(LEFT($E385,2))*1,IF(AJ385=2,((LEFT($E385,2))+(MID($E385,FIND("/",$E385)+2,2))),IF(AJ385=3,((LEFT($E385,2))+(MID($E385,FIND("/",$E385)+2,2))+(RIGHT($E385,2))),0)))</f>
        <v>0</v>
      </c>
      <c r="CK385" s="4">
        <f t="shared" ref="CK385:CK451" si="395">IF(AK385=1,(LEFT($E385,2))*1,IF(AK385=2,((LEFT($E385,2))+(MID($E385,FIND("/",$E385)+2,2))),IF(AK385=3,((LEFT($E385,2))+(MID($E385,FIND("/",$E385)+2,2))+(RIGHT($E385,2))),0)))</f>
        <v>0</v>
      </c>
      <c r="CL385" s="4">
        <f t="shared" ref="CL385:CL451" si="396">IF(AL385=1,(LEFT($E385,2))*1,IF(AL385=2,((LEFT($E385,2))+(MID($E385,FIND("/",$E385)+2,2))),IF(AL385=3,((LEFT($E385,2))+(MID($E385,FIND("/",$E385)+2,2))+(RIGHT($E385,2))),0)))</f>
        <v>0</v>
      </c>
      <c r="CM385" s="4">
        <f t="shared" ref="CM385:CM451" si="397">IF(AM385=1,(LEFT($E385,2))*1,IF(AM385=2,((LEFT($E385,2))+(MID($E385,FIND("/",$E385)+2,2))),IF(AM385=3,((LEFT($E385,2))+(MID($E385,FIND("/",$E385)+2,2))+(RIGHT($E385,2))),0)))</f>
        <v>0</v>
      </c>
      <c r="CN385" s="4">
        <f t="shared" ref="CN385:CN451" si="398">IF(AN385=1,(LEFT($E385,2))*1,IF(AN385=2,((LEFT($E385,2))+(MID($E385,FIND("/",$E385)+2,2))),IF(AN385=3,((LEFT($E385,2))+(MID($E385,FIND("/",$E385)+2,2))+(RIGHT($E385,2))),0)))</f>
        <v>0</v>
      </c>
      <c r="CO385" s="4">
        <f t="shared" ref="CO385:CO451" si="399">IF(AO385=1,(LEFT($E385,2))*1,IF(AO385=2,((LEFT($E385,2))+(MID($E385,FIND("/",$E385)+2,2))),IF(AO385=3,((LEFT($E385,2))+(MID($E385,FIND("/",$E385)+2,2))+(RIGHT($E385,2))),0)))</f>
        <v>0</v>
      </c>
      <c r="CP385" s="4">
        <f t="shared" ref="CP385:CP451" si="400">IF(AP385=1,(LEFT($E385,2))*1,IF(AP385=2,((LEFT($E385,2))+(MID($E385,FIND("/",$E385)+2,2))),IF(AP385=3,((LEFT($E385,2))+(MID($E385,FIND("/",$E385)+2,2))+(RIGHT($E385,2))),0)))</f>
        <v>0</v>
      </c>
      <c r="CQ385" s="4">
        <f t="shared" ref="CQ385:CQ451" si="401">IF(AQ385=1,(LEFT($E385,2))*1,IF(AQ385=2,((LEFT($E385,2))+(MID($E385,FIND("/",$E385)+2,2))),IF(AQ385=3,((LEFT($E385,2))+(MID($E385,FIND("/",$E385)+2,2))+(RIGHT($E385,2))),0)))</f>
        <v>0</v>
      </c>
      <c r="CR385" s="4">
        <f t="shared" ref="CR385:CR451" si="402">IF(AR385=1,(LEFT($E385,2))*1,IF(AR385=2,((LEFT($E385,2))+(MID($E385,FIND("/",$E385)+2,2))),IF(AR385=3,((LEFT($E385,2))+(MID($E385,FIND("/",$E385)+2,2))+(RIGHT($E385,2))),0)))</f>
        <v>0</v>
      </c>
      <c r="CS385" s="4">
        <f t="shared" ref="CS385:CS451" si="403">IF(AS385=1,(LEFT($E385,2))*1,IF(AS385=2,((LEFT($E385,2))+(MID($E385,FIND("/",$E385)+2,2))),IF(AS385=3,((LEFT($E385,2))+(MID($E385,FIND("/",$E385)+2,2))+(RIGHT($E385,2))),0)))</f>
        <v>0</v>
      </c>
      <c r="CT385" s="4">
        <f t="shared" ref="CT385:CT451" si="404">IF(AT385=1,(LEFT($E385,2))*1,IF(AT385=2,((LEFT($E385,2))+(MID($E385,FIND("/",$E385)+2,2))),IF(AT385=3,((LEFT($E385,2))+(MID($E385,FIND("/",$E385)+2,2))+(RIGHT($E385,2))),0)))</f>
        <v>0</v>
      </c>
      <c r="CU385" s="4">
        <f t="shared" ref="CU385:CU451" si="405">IF(AU385=1,(LEFT($E385,2))*1,IF(AU385=2,((LEFT($E385,2))+(MID($E385,FIND("/",$E385)+2,2))),IF(AU385=3,((LEFT($E385,2))+(MID($E385,FIND("/",$E385)+2,2))+(RIGHT($E385,2))),0)))</f>
        <v>0</v>
      </c>
      <c r="CV385" s="4">
        <f t="shared" ref="CV385:CV451" si="406">IF(AV385=1,(LEFT($E385,2))*1,IF(AV385=2,((LEFT($E385,2))+(MID($E385,FIND("/",$E385)+2,2))),IF(AV385=3,((LEFT($E385,2))+(MID($E385,FIND("/",$E385)+2,2))+(RIGHT($E385,2))),0)))</f>
        <v>0</v>
      </c>
      <c r="CW385" s="4">
        <f t="shared" ref="CW385:CW451" si="407">IF(AW385=1,(LEFT($E385,2))*1,IF(AW385=2,((LEFT($E385,2))+(MID($E385,FIND("/",$E385)+2,2))),IF(AW385=3,((LEFT($E385,2))+(MID($E385,FIND("/",$E385)+2,2))+(RIGHT($E385,2))),0)))</f>
        <v>0</v>
      </c>
      <c r="CX385" s="4">
        <f t="shared" ref="CX385:CX451" si="408">IF(AX385=1,(LEFT($E385,2))*1,IF(AX385=2,((LEFT($E385,2))+(MID($E385,FIND("/",$E385)+2,2))),IF(AX385=3,((LEFT($E385,2))+(MID($E385,FIND("/",$E385)+2,2))+(RIGHT($E385,2))),0)))</f>
        <v>0</v>
      </c>
      <c r="CY385" s="4">
        <f t="shared" ref="CY385:CY451" si="409">IF(AY385=1,(LEFT($E385,2))*1,IF(AY385=2,((LEFT($E385,2))+(MID($E385,FIND("/",$E385)+2,2))),IF(AY385=3,((LEFT($E385,2))+(MID($E385,FIND("/",$E385)+2,2))+(RIGHT($E385,2))),0)))</f>
        <v>0</v>
      </c>
      <c r="CZ385" s="4">
        <f t="shared" ref="CZ385:CZ451" si="410">IF(AZ385=1,(LEFT($E385,2))*1,IF(AZ385=2,((LEFT($E385,2))+(MID($E385,FIND("/",$E385)+2,2))),IF(AZ385=3,((LEFT($E385,2))+(MID($E385,FIND("/",$E385)+2,2))+(RIGHT($E385,2))),0)))</f>
        <v>0</v>
      </c>
      <c r="DA385" s="4">
        <f t="shared" ref="DA385:DA451" si="411">IF(BA385=1,(LEFT($E385,2))*1,IF(BA385=2,((LEFT($E385,2))+(MID($E385,FIND("/",$E385)+2,2))),IF(BA385=3,((LEFT($E385,2))+(MID($E385,FIND("/",$E385)+2,2))+(RIGHT($E385,2))),0)))</f>
        <v>0</v>
      </c>
      <c r="DB385" s="4">
        <f t="shared" ref="DB385:DB451" si="412">IF(BB385=1,(LEFT($E385,2))*1,IF(BB385=2,((LEFT($E385,2))+(MID($E385,FIND("/",$E385)+2,2))),IF(BB385=3,((LEFT($E385,2))+(MID($E385,FIND("/",$E385)+2,2))+(RIGHT($E385,2))),0)))</f>
        <v>0</v>
      </c>
      <c r="DC385" s="4">
        <f t="shared" ref="DC385:DC451" si="413">IF(BC385=1,(LEFT($E385,2))*1,IF(BC385=2,((LEFT($E385,2))+(MID($E385,FIND("/",$E385)+2,2))),IF(BC385=3,((LEFT($E385,2))+(MID($E385,FIND("/",$E385)+2,2))+(RIGHT($E385,2))),0)))</f>
        <v>0</v>
      </c>
      <c r="DD385" s="4">
        <f t="shared" ref="DD385:DD451" si="414">IF(BD385=1,(LEFT($E385,2))*1,IF(BD385=2,((LEFT($E385,2))+(MID($E385,FIND("/",$E385)+2,2))),IF(BD385=3,((LEFT($E385,2))+(MID($E385,FIND("/",$E385)+2,2))+(RIGHT($E385,2))),0)))</f>
        <v>0</v>
      </c>
    </row>
    <row r="386" spans="1:108" x14ac:dyDescent="0.25">
      <c r="A386" s="41" t="str">
        <f>Skills!M368</f>
        <v>Play, Wind Instrument</v>
      </c>
      <c r="B386" s="55" t="str">
        <f>Skills!N368</f>
        <v>Wind Instrument</v>
      </c>
      <c r="C386" s="22">
        <f t="shared" si="364"/>
        <v>0</v>
      </c>
      <c r="D386" s="112" t="e">
        <f>Skills!S368</f>
        <v>#N/A</v>
      </c>
      <c r="E386" s="113" t="e">
        <f>Profession!$B$176</f>
        <v>#REF!</v>
      </c>
      <c r="F386" s="19"/>
      <c r="G386" s="19"/>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56"/>
      <c r="BF386" s="4">
        <f t="shared" si="365"/>
        <v>0</v>
      </c>
      <c r="BG386" s="4">
        <f t="shared" si="365"/>
        <v>0</v>
      </c>
      <c r="BH386" s="4">
        <f t="shared" si="366"/>
        <v>0</v>
      </c>
      <c r="BI386" s="4">
        <f t="shared" si="367"/>
        <v>0</v>
      </c>
      <c r="BJ386" s="4">
        <f t="shared" si="368"/>
        <v>0</v>
      </c>
      <c r="BK386" s="4">
        <f t="shared" si="369"/>
        <v>0</v>
      </c>
      <c r="BL386" s="4">
        <f t="shared" si="370"/>
        <v>0</v>
      </c>
      <c r="BM386" s="4">
        <f t="shared" si="371"/>
        <v>0</v>
      </c>
      <c r="BN386" s="4">
        <f t="shared" si="372"/>
        <v>0</v>
      </c>
      <c r="BO386" s="4">
        <f t="shared" si="373"/>
        <v>0</v>
      </c>
      <c r="BP386" s="4">
        <f t="shared" si="374"/>
        <v>0</v>
      </c>
      <c r="BQ386" s="4">
        <f t="shared" si="375"/>
        <v>0</v>
      </c>
      <c r="BR386" s="4">
        <f t="shared" si="376"/>
        <v>0</v>
      </c>
      <c r="BS386" s="4">
        <f t="shared" si="377"/>
        <v>0</v>
      </c>
      <c r="BT386" s="4">
        <f t="shared" si="378"/>
        <v>0</v>
      </c>
      <c r="BU386" s="4">
        <f t="shared" si="379"/>
        <v>0</v>
      </c>
      <c r="BV386" s="4">
        <f t="shared" si="380"/>
        <v>0</v>
      </c>
      <c r="BW386" s="4">
        <f t="shared" si="381"/>
        <v>0</v>
      </c>
      <c r="BX386" s="4">
        <f t="shared" si="382"/>
        <v>0</v>
      </c>
      <c r="BY386" s="4">
        <f t="shared" si="383"/>
        <v>0</v>
      </c>
      <c r="BZ386" s="4">
        <f t="shared" si="384"/>
        <v>0</v>
      </c>
      <c r="CA386" s="4">
        <f t="shared" si="385"/>
        <v>0</v>
      </c>
      <c r="CB386" s="4">
        <f t="shared" si="386"/>
        <v>0</v>
      </c>
      <c r="CC386" s="4">
        <f t="shared" si="387"/>
        <v>0</v>
      </c>
      <c r="CD386" s="4">
        <f t="shared" si="388"/>
        <v>0</v>
      </c>
      <c r="CE386" s="4">
        <f t="shared" si="389"/>
        <v>0</v>
      </c>
      <c r="CF386" s="4">
        <f t="shared" si="390"/>
        <v>0</v>
      </c>
      <c r="CG386" s="4">
        <f t="shared" si="391"/>
        <v>0</v>
      </c>
      <c r="CH386" s="4">
        <f t="shared" si="392"/>
        <v>0</v>
      </c>
      <c r="CI386" s="4">
        <f t="shared" si="393"/>
        <v>0</v>
      </c>
      <c r="CJ386" s="4">
        <f t="shared" si="394"/>
        <v>0</v>
      </c>
      <c r="CK386" s="4">
        <f t="shared" si="395"/>
        <v>0</v>
      </c>
      <c r="CL386" s="4">
        <f t="shared" si="396"/>
        <v>0</v>
      </c>
      <c r="CM386" s="4">
        <f t="shared" si="397"/>
        <v>0</v>
      </c>
      <c r="CN386" s="4">
        <f t="shared" si="398"/>
        <v>0</v>
      </c>
      <c r="CO386" s="4">
        <f t="shared" si="399"/>
        <v>0</v>
      </c>
      <c r="CP386" s="4">
        <f t="shared" si="400"/>
        <v>0</v>
      </c>
      <c r="CQ386" s="4">
        <f t="shared" si="401"/>
        <v>0</v>
      </c>
      <c r="CR386" s="4">
        <f t="shared" si="402"/>
        <v>0</v>
      </c>
      <c r="CS386" s="4">
        <f t="shared" si="403"/>
        <v>0</v>
      </c>
      <c r="CT386" s="4">
        <f t="shared" si="404"/>
        <v>0</v>
      </c>
      <c r="CU386" s="4">
        <f t="shared" si="405"/>
        <v>0</v>
      </c>
      <c r="CV386" s="4">
        <f t="shared" si="406"/>
        <v>0</v>
      </c>
      <c r="CW386" s="4">
        <f t="shared" si="407"/>
        <v>0</v>
      </c>
      <c r="CX386" s="4">
        <f t="shared" si="408"/>
        <v>0</v>
      </c>
      <c r="CY386" s="4">
        <f t="shared" si="409"/>
        <v>0</v>
      </c>
      <c r="CZ386" s="4">
        <f t="shared" si="410"/>
        <v>0</v>
      </c>
      <c r="DA386" s="4">
        <f t="shared" si="411"/>
        <v>0</v>
      </c>
      <c r="DB386" s="4">
        <f t="shared" si="412"/>
        <v>0</v>
      </c>
      <c r="DC386" s="4">
        <f t="shared" si="413"/>
        <v>0</v>
      </c>
      <c r="DD386" s="4">
        <f t="shared" si="414"/>
        <v>0</v>
      </c>
    </row>
    <row r="387" spans="1:108" x14ac:dyDescent="0.25">
      <c r="A387" s="41">
        <f>Skills!M369</f>
        <v>0</v>
      </c>
      <c r="B387" s="57" t="str">
        <f>Skills!N369</f>
        <v>Psionic Expertise Category</v>
      </c>
      <c r="C387" s="24">
        <f t="shared" si="364"/>
        <v>0</v>
      </c>
      <c r="D387" s="110" t="str">
        <f>Skills!S369</f>
        <v>- -</v>
      </c>
      <c r="E387" s="111" t="s">
        <v>782</v>
      </c>
      <c r="F387" s="18"/>
      <c r="G387" s="18"/>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49"/>
      <c r="BF387" s="4">
        <f t="shared" si="365"/>
        <v>0</v>
      </c>
      <c r="BG387" s="4">
        <f t="shared" si="365"/>
        <v>0</v>
      </c>
      <c r="BH387" s="4">
        <f t="shared" si="366"/>
        <v>0</v>
      </c>
      <c r="BI387" s="4">
        <f t="shared" si="367"/>
        <v>0</v>
      </c>
      <c r="BJ387" s="4">
        <f t="shared" si="368"/>
        <v>0</v>
      </c>
      <c r="BK387" s="4">
        <f t="shared" si="369"/>
        <v>0</v>
      </c>
      <c r="BL387" s="4">
        <f t="shared" si="370"/>
        <v>0</v>
      </c>
      <c r="BM387" s="4">
        <f t="shared" si="371"/>
        <v>0</v>
      </c>
      <c r="BN387" s="4">
        <f t="shared" si="372"/>
        <v>0</v>
      </c>
      <c r="BO387" s="4">
        <f t="shared" si="373"/>
        <v>0</v>
      </c>
      <c r="BP387" s="4">
        <f t="shared" si="374"/>
        <v>0</v>
      </c>
      <c r="BQ387" s="4">
        <f t="shared" si="375"/>
        <v>0</v>
      </c>
      <c r="BR387" s="4">
        <f t="shared" si="376"/>
        <v>0</v>
      </c>
      <c r="BS387" s="4">
        <f t="shared" si="377"/>
        <v>0</v>
      </c>
      <c r="BT387" s="4">
        <f t="shared" si="378"/>
        <v>0</v>
      </c>
      <c r="BU387" s="4">
        <f t="shared" si="379"/>
        <v>0</v>
      </c>
      <c r="BV387" s="4">
        <f t="shared" si="380"/>
        <v>0</v>
      </c>
      <c r="BW387" s="4">
        <f t="shared" si="381"/>
        <v>0</v>
      </c>
      <c r="BX387" s="4">
        <f t="shared" si="382"/>
        <v>0</v>
      </c>
      <c r="BY387" s="4">
        <f t="shared" si="383"/>
        <v>0</v>
      </c>
      <c r="BZ387" s="4">
        <f t="shared" si="384"/>
        <v>0</v>
      </c>
      <c r="CA387" s="4">
        <f t="shared" si="385"/>
        <v>0</v>
      </c>
      <c r="CB387" s="4">
        <f t="shared" si="386"/>
        <v>0</v>
      </c>
      <c r="CC387" s="4">
        <f t="shared" si="387"/>
        <v>0</v>
      </c>
      <c r="CD387" s="4">
        <f t="shared" si="388"/>
        <v>0</v>
      </c>
      <c r="CE387" s="4">
        <f t="shared" si="389"/>
        <v>0</v>
      </c>
      <c r="CF387" s="4">
        <f t="shared" si="390"/>
        <v>0</v>
      </c>
      <c r="CG387" s="4">
        <f t="shared" si="391"/>
        <v>0</v>
      </c>
      <c r="CH387" s="4">
        <f t="shared" si="392"/>
        <v>0</v>
      </c>
      <c r="CI387" s="4">
        <f t="shared" si="393"/>
        <v>0</v>
      </c>
      <c r="CJ387" s="4">
        <f t="shared" si="394"/>
        <v>0</v>
      </c>
      <c r="CK387" s="4">
        <f t="shared" si="395"/>
        <v>0</v>
      </c>
      <c r="CL387" s="4">
        <f t="shared" si="396"/>
        <v>0</v>
      </c>
      <c r="CM387" s="4">
        <f t="shared" si="397"/>
        <v>0</v>
      </c>
      <c r="CN387" s="4">
        <f t="shared" si="398"/>
        <v>0</v>
      </c>
      <c r="CO387" s="4">
        <f t="shared" si="399"/>
        <v>0</v>
      </c>
      <c r="CP387" s="4">
        <f t="shared" si="400"/>
        <v>0</v>
      </c>
      <c r="CQ387" s="4">
        <f t="shared" si="401"/>
        <v>0</v>
      </c>
      <c r="CR387" s="4">
        <f t="shared" si="402"/>
        <v>0</v>
      </c>
      <c r="CS387" s="4">
        <f t="shared" si="403"/>
        <v>0</v>
      </c>
      <c r="CT387" s="4">
        <f t="shared" si="404"/>
        <v>0</v>
      </c>
      <c r="CU387" s="4">
        <f t="shared" si="405"/>
        <v>0</v>
      </c>
      <c r="CV387" s="4">
        <f t="shared" si="406"/>
        <v>0</v>
      </c>
      <c r="CW387" s="4">
        <f t="shared" si="407"/>
        <v>0</v>
      </c>
      <c r="CX387" s="4">
        <f t="shared" si="408"/>
        <v>0</v>
      </c>
      <c r="CY387" s="4">
        <f t="shared" si="409"/>
        <v>0</v>
      </c>
      <c r="CZ387" s="4">
        <f t="shared" si="410"/>
        <v>0</v>
      </c>
      <c r="DA387" s="4">
        <f t="shared" si="411"/>
        <v>0</v>
      </c>
      <c r="DB387" s="4">
        <f t="shared" si="412"/>
        <v>0</v>
      </c>
      <c r="DC387" s="4">
        <f t="shared" si="413"/>
        <v>0</v>
      </c>
      <c r="DD387" s="4">
        <f t="shared" si="414"/>
        <v>0</v>
      </c>
    </row>
    <row r="388" spans="1:108" x14ac:dyDescent="0.25">
      <c r="A388" s="41">
        <f>Skills!M370</f>
        <v>0</v>
      </c>
      <c r="B388" s="55" t="str">
        <f>Skills!N370</f>
        <v>Psionic Expertise Skills</v>
      </c>
      <c r="C388" s="22">
        <f t="shared" ref="C388:C454" si="415">SUM(F388:BD388)</f>
        <v>0</v>
      </c>
      <c r="D388" s="112" t="str">
        <f>Skills!S370</f>
        <v>- -</v>
      </c>
      <c r="E388" s="113" t="s">
        <v>782</v>
      </c>
      <c r="F388" s="19"/>
      <c r="G388" s="19"/>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56"/>
      <c r="BF388" s="4">
        <f t="shared" si="365"/>
        <v>0</v>
      </c>
      <c r="BG388" s="4">
        <f t="shared" si="365"/>
        <v>0</v>
      </c>
      <c r="BH388" s="4">
        <f t="shared" si="366"/>
        <v>0</v>
      </c>
      <c r="BI388" s="4">
        <f t="shared" si="367"/>
        <v>0</v>
      </c>
      <c r="BJ388" s="4">
        <f t="shared" si="368"/>
        <v>0</v>
      </c>
      <c r="BK388" s="4">
        <f t="shared" si="369"/>
        <v>0</v>
      </c>
      <c r="BL388" s="4">
        <f t="shared" si="370"/>
        <v>0</v>
      </c>
      <c r="BM388" s="4">
        <f t="shared" si="371"/>
        <v>0</v>
      </c>
      <c r="BN388" s="4">
        <f t="shared" si="372"/>
        <v>0</v>
      </c>
      <c r="BO388" s="4">
        <f t="shared" si="373"/>
        <v>0</v>
      </c>
      <c r="BP388" s="4">
        <f t="shared" si="374"/>
        <v>0</v>
      </c>
      <c r="BQ388" s="4">
        <f t="shared" si="375"/>
        <v>0</v>
      </c>
      <c r="BR388" s="4">
        <f t="shared" si="376"/>
        <v>0</v>
      </c>
      <c r="BS388" s="4">
        <f t="shared" si="377"/>
        <v>0</v>
      </c>
      <c r="BT388" s="4">
        <f t="shared" si="378"/>
        <v>0</v>
      </c>
      <c r="BU388" s="4">
        <f t="shared" si="379"/>
        <v>0</v>
      </c>
      <c r="BV388" s="4">
        <f t="shared" si="380"/>
        <v>0</v>
      </c>
      <c r="BW388" s="4">
        <f t="shared" si="381"/>
        <v>0</v>
      </c>
      <c r="BX388" s="4">
        <f t="shared" si="382"/>
        <v>0</v>
      </c>
      <c r="BY388" s="4">
        <f t="shared" si="383"/>
        <v>0</v>
      </c>
      <c r="BZ388" s="4">
        <f t="shared" si="384"/>
        <v>0</v>
      </c>
      <c r="CA388" s="4">
        <f t="shared" si="385"/>
        <v>0</v>
      </c>
      <c r="CB388" s="4">
        <f t="shared" si="386"/>
        <v>0</v>
      </c>
      <c r="CC388" s="4">
        <f t="shared" si="387"/>
        <v>0</v>
      </c>
      <c r="CD388" s="4">
        <f t="shared" si="388"/>
        <v>0</v>
      </c>
      <c r="CE388" s="4">
        <f t="shared" si="389"/>
        <v>0</v>
      </c>
      <c r="CF388" s="4">
        <f t="shared" si="390"/>
        <v>0</v>
      </c>
      <c r="CG388" s="4">
        <f t="shared" si="391"/>
        <v>0</v>
      </c>
      <c r="CH388" s="4">
        <f t="shared" si="392"/>
        <v>0</v>
      </c>
      <c r="CI388" s="4">
        <f t="shared" si="393"/>
        <v>0</v>
      </c>
      <c r="CJ388" s="4">
        <f t="shared" si="394"/>
        <v>0</v>
      </c>
      <c r="CK388" s="4">
        <f t="shared" si="395"/>
        <v>0</v>
      </c>
      <c r="CL388" s="4">
        <f t="shared" si="396"/>
        <v>0</v>
      </c>
      <c r="CM388" s="4">
        <f t="shared" si="397"/>
        <v>0</v>
      </c>
      <c r="CN388" s="4">
        <f t="shared" si="398"/>
        <v>0</v>
      </c>
      <c r="CO388" s="4">
        <f t="shared" si="399"/>
        <v>0</v>
      </c>
      <c r="CP388" s="4">
        <f t="shared" si="400"/>
        <v>0</v>
      </c>
      <c r="CQ388" s="4">
        <f t="shared" si="401"/>
        <v>0</v>
      </c>
      <c r="CR388" s="4">
        <f t="shared" si="402"/>
        <v>0</v>
      </c>
      <c r="CS388" s="4">
        <f t="shared" si="403"/>
        <v>0</v>
      </c>
      <c r="CT388" s="4">
        <f t="shared" si="404"/>
        <v>0</v>
      </c>
      <c r="CU388" s="4">
        <f t="shared" si="405"/>
        <v>0</v>
      </c>
      <c r="CV388" s="4">
        <f t="shared" si="406"/>
        <v>0</v>
      </c>
      <c r="CW388" s="4">
        <f t="shared" si="407"/>
        <v>0</v>
      </c>
      <c r="CX388" s="4">
        <f t="shared" si="408"/>
        <v>0</v>
      </c>
      <c r="CY388" s="4">
        <f t="shared" si="409"/>
        <v>0</v>
      </c>
      <c r="CZ388" s="4">
        <f t="shared" si="410"/>
        <v>0</v>
      </c>
      <c r="DA388" s="4">
        <f t="shared" si="411"/>
        <v>0</v>
      </c>
      <c r="DB388" s="4">
        <f t="shared" si="412"/>
        <v>0</v>
      </c>
      <c r="DC388" s="4">
        <f t="shared" si="413"/>
        <v>0</v>
      </c>
      <c r="DD388" s="4">
        <f t="shared" si="414"/>
        <v>0</v>
      </c>
    </row>
    <row r="389" spans="1:108" x14ac:dyDescent="0.25">
      <c r="A389" s="41">
        <f>Skills!M371</f>
        <v>0</v>
      </c>
      <c r="B389" s="57" t="str">
        <f>Skills!N371</f>
        <v>Psionic Expertise Sub-category</v>
      </c>
      <c r="C389" s="24">
        <f>SUM(F389:BD389)</f>
        <v>0</v>
      </c>
      <c r="D389" s="110" t="str">
        <f>Skills!S371</f>
        <v>- -</v>
      </c>
      <c r="E389" s="111" t="s">
        <v>782</v>
      </c>
      <c r="F389" s="18"/>
      <c r="G389" s="18"/>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49"/>
      <c r="BF389" s="4">
        <f t="shared" ref="BF389:BO392" si="416">IF(F389=1,(LEFT($E389,2))*1,IF(F389=2,((LEFT($E389,2))+(MID($E389,FIND("/",$E389)+2,2))),IF(F389=3,((LEFT($E389,2))+(MID($E389,FIND("/",$E389)+2,2))+(RIGHT($E389,2))),0)))</f>
        <v>0</v>
      </c>
      <c r="BG389" s="4">
        <f t="shared" si="416"/>
        <v>0</v>
      </c>
      <c r="BH389" s="4">
        <f t="shared" si="416"/>
        <v>0</v>
      </c>
      <c r="BI389" s="4">
        <f t="shared" si="416"/>
        <v>0</v>
      </c>
      <c r="BJ389" s="4">
        <f t="shared" si="416"/>
        <v>0</v>
      </c>
      <c r="BK389" s="4">
        <f t="shared" si="416"/>
        <v>0</v>
      </c>
      <c r="BL389" s="4">
        <f t="shared" si="416"/>
        <v>0</v>
      </c>
      <c r="BM389" s="4">
        <f t="shared" si="416"/>
        <v>0</v>
      </c>
      <c r="BN389" s="4">
        <f t="shared" si="416"/>
        <v>0</v>
      </c>
      <c r="BO389" s="4">
        <f t="shared" si="416"/>
        <v>0</v>
      </c>
      <c r="BP389" s="4">
        <f t="shared" si="374"/>
        <v>0</v>
      </c>
      <c r="BQ389" s="4">
        <f t="shared" si="375"/>
        <v>0</v>
      </c>
      <c r="BR389" s="4">
        <f t="shared" si="376"/>
        <v>0</v>
      </c>
      <c r="BS389" s="4">
        <f t="shared" si="377"/>
        <v>0</v>
      </c>
      <c r="BT389" s="4">
        <f t="shared" si="378"/>
        <v>0</v>
      </c>
      <c r="BU389" s="4">
        <f t="shared" si="379"/>
        <v>0</v>
      </c>
      <c r="BV389" s="4">
        <f t="shared" si="380"/>
        <v>0</v>
      </c>
      <c r="BW389" s="4">
        <f t="shared" si="381"/>
        <v>0</v>
      </c>
      <c r="BX389" s="4">
        <f t="shared" si="382"/>
        <v>0</v>
      </c>
      <c r="BY389" s="4">
        <f t="shared" si="383"/>
        <v>0</v>
      </c>
      <c r="BZ389" s="4">
        <f t="shared" si="384"/>
        <v>0</v>
      </c>
      <c r="CA389" s="4">
        <f t="shared" si="385"/>
        <v>0</v>
      </c>
      <c r="CB389" s="4">
        <f t="shared" si="386"/>
        <v>0</v>
      </c>
      <c r="CC389" s="4">
        <f t="shared" si="387"/>
        <v>0</v>
      </c>
      <c r="CD389" s="4">
        <f t="shared" si="388"/>
        <v>0</v>
      </c>
      <c r="CE389" s="4">
        <f t="shared" si="389"/>
        <v>0</v>
      </c>
      <c r="CF389" s="4">
        <f t="shared" si="390"/>
        <v>0</v>
      </c>
      <c r="CG389" s="4">
        <f t="shared" si="391"/>
        <v>0</v>
      </c>
      <c r="CH389" s="4">
        <f t="shared" si="392"/>
        <v>0</v>
      </c>
      <c r="CI389" s="4">
        <f t="shared" si="393"/>
        <v>0</v>
      </c>
      <c r="CJ389" s="4">
        <f t="shared" si="394"/>
        <v>0</v>
      </c>
      <c r="CK389" s="4">
        <f t="shared" si="395"/>
        <v>0</v>
      </c>
      <c r="CL389" s="4">
        <f t="shared" si="396"/>
        <v>0</v>
      </c>
      <c r="CM389" s="4">
        <f t="shared" si="397"/>
        <v>0</v>
      </c>
      <c r="CN389" s="4">
        <f t="shared" si="398"/>
        <v>0</v>
      </c>
      <c r="CO389" s="4">
        <f t="shared" si="399"/>
        <v>0</v>
      </c>
      <c r="CP389" s="4">
        <f t="shared" si="400"/>
        <v>0</v>
      </c>
      <c r="CQ389" s="4">
        <f t="shared" si="401"/>
        <v>0</v>
      </c>
      <c r="CR389" s="4">
        <f t="shared" si="402"/>
        <v>0</v>
      </c>
      <c r="CS389" s="4">
        <f t="shared" si="403"/>
        <v>0</v>
      </c>
      <c r="CT389" s="4">
        <f t="shared" si="404"/>
        <v>0</v>
      </c>
      <c r="CU389" s="4">
        <f t="shared" si="405"/>
        <v>0</v>
      </c>
      <c r="CV389" s="4">
        <f t="shared" si="406"/>
        <v>0</v>
      </c>
      <c r="CW389" s="4">
        <f t="shared" si="407"/>
        <v>0</v>
      </c>
      <c r="CX389" s="4">
        <f t="shared" si="408"/>
        <v>0</v>
      </c>
      <c r="CY389" s="4">
        <f t="shared" si="409"/>
        <v>0</v>
      </c>
      <c r="CZ389" s="4">
        <f t="shared" si="410"/>
        <v>0</v>
      </c>
      <c r="DA389" s="4">
        <f t="shared" si="411"/>
        <v>0</v>
      </c>
      <c r="DB389" s="4">
        <f t="shared" si="412"/>
        <v>0</v>
      </c>
      <c r="DC389" s="4">
        <f t="shared" si="413"/>
        <v>0</v>
      </c>
      <c r="DD389" s="4">
        <f t="shared" si="414"/>
        <v>0</v>
      </c>
    </row>
    <row r="390" spans="1:108" x14ac:dyDescent="0.25">
      <c r="A390" s="41">
        <f>Skills!M372</f>
        <v>0</v>
      </c>
      <c r="B390" s="55" t="str">
        <f>Skills!N372</f>
        <v>Psionic Expertise Skills (sub-category)</v>
      </c>
      <c r="C390" s="22">
        <f>SUM(F390:BD390)</f>
        <v>0</v>
      </c>
      <c r="D390" s="112" t="str">
        <f>Skills!S372</f>
        <v>- -</v>
      </c>
      <c r="E390" s="113" t="s">
        <v>782</v>
      </c>
      <c r="F390" s="19"/>
      <c r="G390" s="19"/>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56"/>
      <c r="BF390" s="4">
        <f t="shared" si="416"/>
        <v>0</v>
      </c>
      <c r="BG390" s="4">
        <f t="shared" si="416"/>
        <v>0</v>
      </c>
      <c r="BH390" s="4">
        <f t="shared" si="416"/>
        <v>0</v>
      </c>
      <c r="BI390" s="4">
        <f t="shared" si="416"/>
        <v>0</v>
      </c>
      <c r="BJ390" s="4">
        <f t="shared" si="416"/>
        <v>0</v>
      </c>
      <c r="BK390" s="4">
        <f t="shared" si="416"/>
        <v>0</v>
      </c>
      <c r="BL390" s="4">
        <f t="shared" si="416"/>
        <v>0</v>
      </c>
      <c r="BM390" s="4">
        <f t="shared" si="416"/>
        <v>0</v>
      </c>
      <c r="BN390" s="4">
        <f t="shared" si="416"/>
        <v>0</v>
      </c>
      <c r="BO390" s="4">
        <f t="shared" si="416"/>
        <v>0</v>
      </c>
      <c r="BP390" s="4">
        <f t="shared" si="374"/>
        <v>0</v>
      </c>
      <c r="BQ390" s="4">
        <f t="shared" si="375"/>
        <v>0</v>
      </c>
      <c r="BR390" s="4">
        <f t="shared" si="376"/>
        <v>0</v>
      </c>
      <c r="BS390" s="4">
        <f t="shared" si="377"/>
        <v>0</v>
      </c>
      <c r="BT390" s="4">
        <f t="shared" si="378"/>
        <v>0</v>
      </c>
      <c r="BU390" s="4">
        <f t="shared" si="379"/>
        <v>0</v>
      </c>
      <c r="BV390" s="4">
        <f t="shared" si="380"/>
        <v>0</v>
      </c>
      <c r="BW390" s="4">
        <f t="shared" si="381"/>
        <v>0</v>
      </c>
      <c r="BX390" s="4">
        <f t="shared" si="382"/>
        <v>0</v>
      </c>
      <c r="BY390" s="4">
        <f t="shared" si="383"/>
        <v>0</v>
      </c>
      <c r="BZ390" s="4">
        <f t="shared" si="384"/>
        <v>0</v>
      </c>
      <c r="CA390" s="4">
        <f t="shared" si="385"/>
        <v>0</v>
      </c>
      <c r="CB390" s="4">
        <f t="shared" si="386"/>
        <v>0</v>
      </c>
      <c r="CC390" s="4">
        <f t="shared" si="387"/>
        <v>0</v>
      </c>
      <c r="CD390" s="4">
        <f t="shared" si="388"/>
        <v>0</v>
      </c>
      <c r="CE390" s="4">
        <f t="shared" si="389"/>
        <v>0</v>
      </c>
      <c r="CF390" s="4">
        <f t="shared" si="390"/>
        <v>0</v>
      </c>
      <c r="CG390" s="4">
        <f t="shared" si="391"/>
        <v>0</v>
      </c>
      <c r="CH390" s="4">
        <f t="shared" si="392"/>
        <v>0</v>
      </c>
      <c r="CI390" s="4">
        <f t="shared" si="393"/>
        <v>0</v>
      </c>
      <c r="CJ390" s="4">
        <f t="shared" si="394"/>
        <v>0</v>
      </c>
      <c r="CK390" s="4">
        <f t="shared" si="395"/>
        <v>0</v>
      </c>
      <c r="CL390" s="4">
        <f t="shared" si="396"/>
        <v>0</v>
      </c>
      <c r="CM390" s="4">
        <f t="shared" si="397"/>
        <v>0</v>
      </c>
      <c r="CN390" s="4">
        <f t="shared" si="398"/>
        <v>0</v>
      </c>
      <c r="CO390" s="4">
        <f t="shared" si="399"/>
        <v>0</v>
      </c>
      <c r="CP390" s="4">
        <f t="shared" si="400"/>
        <v>0</v>
      </c>
      <c r="CQ390" s="4">
        <f t="shared" si="401"/>
        <v>0</v>
      </c>
      <c r="CR390" s="4">
        <f t="shared" si="402"/>
        <v>0</v>
      </c>
      <c r="CS390" s="4">
        <f t="shared" si="403"/>
        <v>0</v>
      </c>
      <c r="CT390" s="4">
        <f t="shared" si="404"/>
        <v>0</v>
      </c>
      <c r="CU390" s="4">
        <f t="shared" si="405"/>
        <v>0</v>
      </c>
      <c r="CV390" s="4">
        <f t="shared" si="406"/>
        <v>0</v>
      </c>
      <c r="CW390" s="4">
        <f t="shared" si="407"/>
        <v>0</v>
      </c>
      <c r="CX390" s="4">
        <f t="shared" si="408"/>
        <v>0</v>
      </c>
      <c r="CY390" s="4">
        <f t="shared" si="409"/>
        <v>0</v>
      </c>
      <c r="CZ390" s="4">
        <f t="shared" si="410"/>
        <v>0</v>
      </c>
      <c r="DA390" s="4">
        <f t="shared" si="411"/>
        <v>0</v>
      </c>
      <c r="DB390" s="4">
        <f t="shared" si="412"/>
        <v>0</v>
      </c>
      <c r="DC390" s="4">
        <f t="shared" si="413"/>
        <v>0</v>
      </c>
      <c r="DD390" s="4">
        <f t="shared" si="414"/>
        <v>0</v>
      </c>
    </row>
    <row r="391" spans="1:108" x14ac:dyDescent="0.25">
      <c r="A391" s="41" t="str">
        <f>Skills!M373</f>
        <v>Transcendence</v>
      </c>
      <c r="B391" s="57" t="str">
        <f>Skills!N373</f>
        <v>Transcendence</v>
      </c>
      <c r="C391" s="24">
        <f>SUM(F391:BD391)</f>
        <v>0</v>
      </c>
      <c r="D391" s="110">
        <f>Skills!S373</f>
        <v>0</v>
      </c>
      <c r="E391" s="111" t="e">
        <f>Profession!$B$178</f>
        <v>#REF!</v>
      </c>
      <c r="F391" s="18"/>
      <c r="G391" s="18"/>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49"/>
      <c r="BF391" s="4">
        <f t="shared" si="416"/>
        <v>0</v>
      </c>
      <c r="BG391" s="4">
        <f t="shared" si="416"/>
        <v>0</v>
      </c>
      <c r="BH391" s="4">
        <f t="shared" si="416"/>
        <v>0</v>
      </c>
      <c r="BI391" s="4">
        <f t="shared" si="416"/>
        <v>0</v>
      </c>
      <c r="BJ391" s="4">
        <f t="shared" si="416"/>
        <v>0</v>
      </c>
      <c r="BK391" s="4">
        <f t="shared" si="416"/>
        <v>0</v>
      </c>
      <c r="BL391" s="4">
        <f t="shared" si="416"/>
        <v>0</v>
      </c>
      <c r="BM391" s="4">
        <f t="shared" si="416"/>
        <v>0</v>
      </c>
      <c r="BN391" s="4">
        <f t="shared" si="416"/>
        <v>0</v>
      </c>
      <c r="BO391" s="4">
        <f t="shared" si="416"/>
        <v>0</v>
      </c>
      <c r="BP391" s="4">
        <f t="shared" si="374"/>
        <v>0</v>
      </c>
      <c r="BQ391" s="4">
        <f t="shared" si="375"/>
        <v>0</v>
      </c>
      <c r="BR391" s="4">
        <f t="shared" si="376"/>
        <v>0</v>
      </c>
      <c r="BS391" s="4">
        <f t="shared" si="377"/>
        <v>0</v>
      </c>
      <c r="BT391" s="4">
        <f t="shared" si="378"/>
        <v>0</v>
      </c>
      <c r="BU391" s="4">
        <f t="shared" si="379"/>
        <v>0</v>
      </c>
      <c r="BV391" s="4">
        <f t="shared" si="380"/>
        <v>0</v>
      </c>
      <c r="BW391" s="4">
        <f t="shared" si="381"/>
        <v>0</v>
      </c>
      <c r="BX391" s="4">
        <f t="shared" si="382"/>
        <v>0</v>
      </c>
      <c r="BY391" s="4">
        <f t="shared" si="383"/>
        <v>0</v>
      </c>
      <c r="BZ391" s="4">
        <f t="shared" si="384"/>
        <v>0</v>
      </c>
      <c r="CA391" s="4">
        <f t="shared" si="385"/>
        <v>0</v>
      </c>
      <c r="CB391" s="4">
        <f t="shared" si="386"/>
        <v>0</v>
      </c>
      <c r="CC391" s="4">
        <f t="shared" si="387"/>
        <v>0</v>
      </c>
      <c r="CD391" s="4">
        <f t="shared" si="388"/>
        <v>0</v>
      </c>
      <c r="CE391" s="4">
        <f t="shared" si="389"/>
        <v>0</v>
      </c>
      <c r="CF391" s="4">
        <f t="shared" si="390"/>
        <v>0</v>
      </c>
      <c r="CG391" s="4">
        <f t="shared" si="391"/>
        <v>0</v>
      </c>
      <c r="CH391" s="4">
        <f t="shared" si="392"/>
        <v>0</v>
      </c>
      <c r="CI391" s="4">
        <f t="shared" si="393"/>
        <v>0</v>
      </c>
      <c r="CJ391" s="4">
        <f t="shared" si="394"/>
        <v>0</v>
      </c>
      <c r="CK391" s="4">
        <f t="shared" si="395"/>
        <v>0</v>
      </c>
      <c r="CL391" s="4">
        <f t="shared" si="396"/>
        <v>0</v>
      </c>
      <c r="CM391" s="4">
        <f t="shared" si="397"/>
        <v>0</v>
      </c>
      <c r="CN391" s="4">
        <f t="shared" si="398"/>
        <v>0</v>
      </c>
      <c r="CO391" s="4">
        <f t="shared" si="399"/>
        <v>0</v>
      </c>
      <c r="CP391" s="4">
        <f t="shared" si="400"/>
        <v>0</v>
      </c>
      <c r="CQ391" s="4">
        <f t="shared" si="401"/>
        <v>0</v>
      </c>
      <c r="CR391" s="4">
        <f t="shared" si="402"/>
        <v>0</v>
      </c>
      <c r="CS391" s="4">
        <f t="shared" si="403"/>
        <v>0</v>
      </c>
      <c r="CT391" s="4">
        <f t="shared" si="404"/>
        <v>0</v>
      </c>
      <c r="CU391" s="4">
        <f t="shared" si="405"/>
        <v>0</v>
      </c>
      <c r="CV391" s="4">
        <f t="shared" si="406"/>
        <v>0</v>
      </c>
      <c r="CW391" s="4">
        <f t="shared" si="407"/>
        <v>0</v>
      </c>
      <c r="CX391" s="4">
        <f t="shared" si="408"/>
        <v>0</v>
      </c>
      <c r="CY391" s="4">
        <f t="shared" si="409"/>
        <v>0</v>
      </c>
      <c r="CZ391" s="4">
        <f t="shared" si="410"/>
        <v>0</v>
      </c>
      <c r="DA391" s="4">
        <f t="shared" si="411"/>
        <v>0</v>
      </c>
      <c r="DB391" s="4">
        <f t="shared" si="412"/>
        <v>0</v>
      </c>
      <c r="DC391" s="4">
        <f t="shared" si="413"/>
        <v>0</v>
      </c>
      <c r="DD391" s="4">
        <f t="shared" si="414"/>
        <v>0</v>
      </c>
    </row>
    <row r="392" spans="1:108" x14ac:dyDescent="0.25">
      <c r="A392" s="41">
        <f>Skills!M374</f>
        <v>0</v>
      </c>
      <c r="B392" s="55" t="str">
        <f>Skills!N374</f>
        <v>Grace Sub-category</v>
      </c>
      <c r="C392" s="22">
        <f>SUM(F392:BD392)</f>
        <v>0</v>
      </c>
      <c r="D392" s="112" t="str">
        <f>Skills!S374</f>
        <v>- -</v>
      </c>
      <c r="E392" s="113" t="s">
        <v>782</v>
      </c>
      <c r="F392" s="19"/>
      <c r="G392" s="19"/>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56"/>
      <c r="BF392" s="4">
        <f t="shared" si="416"/>
        <v>0</v>
      </c>
      <c r="BG392" s="4">
        <f t="shared" si="416"/>
        <v>0</v>
      </c>
      <c r="BH392" s="4">
        <f t="shared" si="416"/>
        <v>0</v>
      </c>
      <c r="BI392" s="4">
        <f t="shared" si="416"/>
        <v>0</v>
      </c>
      <c r="BJ392" s="4">
        <f t="shared" si="416"/>
        <v>0</v>
      </c>
      <c r="BK392" s="4">
        <f t="shared" si="416"/>
        <v>0</v>
      </c>
      <c r="BL392" s="4">
        <f t="shared" si="416"/>
        <v>0</v>
      </c>
      <c r="BM392" s="4">
        <f t="shared" si="416"/>
        <v>0</v>
      </c>
      <c r="BN392" s="4">
        <f t="shared" si="416"/>
        <v>0</v>
      </c>
      <c r="BO392" s="4">
        <f t="shared" si="416"/>
        <v>0</v>
      </c>
      <c r="BP392" s="4">
        <f t="shared" si="374"/>
        <v>0</v>
      </c>
      <c r="BQ392" s="4">
        <f t="shared" si="375"/>
        <v>0</v>
      </c>
      <c r="BR392" s="4">
        <f t="shared" si="376"/>
        <v>0</v>
      </c>
      <c r="BS392" s="4">
        <f t="shared" si="377"/>
        <v>0</v>
      </c>
      <c r="BT392" s="4">
        <f t="shared" si="378"/>
        <v>0</v>
      </c>
      <c r="BU392" s="4">
        <f t="shared" si="379"/>
        <v>0</v>
      </c>
      <c r="BV392" s="4">
        <f t="shared" si="380"/>
        <v>0</v>
      </c>
      <c r="BW392" s="4">
        <f t="shared" si="381"/>
        <v>0</v>
      </c>
      <c r="BX392" s="4">
        <f t="shared" si="382"/>
        <v>0</v>
      </c>
      <c r="BY392" s="4">
        <f t="shared" si="383"/>
        <v>0</v>
      </c>
      <c r="BZ392" s="4">
        <f t="shared" si="384"/>
        <v>0</v>
      </c>
      <c r="CA392" s="4">
        <f t="shared" si="385"/>
        <v>0</v>
      </c>
      <c r="CB392" s="4">
        <f t="shared" si="386"/>
        <v>0</v>
      </c>
      <c r="CC392" s="4">
        <f t="shared" si="387"/>
        <v>0</v>
      </c>
      <c r="CD392" s="4">
        <f t="shared" si="388"/>
        <v>0</v>
      </c>
      <c r="CE392" s="4">
        <f t="shared" si="389"/>
        <v>0</v>
      </c>
      <c r="CF392" s="4">
        <f t="shared" si="390"/>
        <v>0</v>
      </c>
      <c r="CG392" s="4">
        <f t="shared" si="391"/>
        <v>0</v>
      </c>
      <c r="CH392" s="4">
        <f t="shared" si="392"/>
        <v>0</v>
      </c>
      <c r="CI392" s="4">
        <f t="shared" si="393"/>
        <v>0</v>
      </c>
      <c r="CJ392" s="4">
        <f t="shared" si="394"/>
        <v>0</v>
      </c>
      <c r="CK392" s="4">
        <f t="shared" si="395"/>
        <v>0</v>
      </c>
      <c r="CL392" s="4">
        <f t="shared" si="396"/>
        <v>0</v>
      </c>
      <c r="CM392" s="4">
        <f t="shared" si="397"/>
        <v>0</v>
      </c>
      <c r="CN392" s="4">
        <f t="shared" si="398"/>
        <v>0</v>
      </c>
      <c r="CO392" s="4">
        <f t="shared" si="399"/>
        <v>0</v>
      </c>
      <c r="CP392" s="4">
        <f t="shared" si="400"/>
        <v>0</v>
      </c>
      <c r="CQ392" s="4">
        <f t="shared" si="401"/>
        <v>0</v>
      </c>
      <c r="CR392" s="4">
        <f t="shared" si="402"/>
        <v>0</v>
      </c>
      <c r="CS392" s="4">
        <f t="shared" si="403"/>
        <v>0</v>
      </c>
      <c r="CT392" s="4">
        <f t="shared" si="404"/>
        <v>0</v>
      </c>
      <c r="CU392" s="4">
        <f t="shared" si="405"/>
        <v>0</v>
      </c>
      <c r="CV392" s="4">
        <f t="shared" si="406"/>
        <v>0</v>
      </c>
      <c r="CW392" s="4">
        <f t="shared" si="407"/>
        <v>0</v>
      </c>
      <c r="CX392" s="4">
        <f t="shared" si="408"/>
        <v>0</v>
      </c>
      <c r="CY392" s="4">
        <f t="shared" si="409"/>
        <v>0</v>
      </c>
      <c r="CZ392" s="4">
        <f t="shared" si="410"/>
        <v>0</v>
      </c>
      <c r="DA392" s="4">
        <f t="shared" si="411"/>
        <v>0</v>
      </c>
      <c r="DB392" s="4">
        <f t="shared" si="412"/>
        <v>0</v>
      </c>
      <c r="DC392" s="4">
        <f t="shared" si="413"/>
        <v>0</v>
      </c>
      <c r="DD392" s="4">
        <f t="shared" si="414"/>
        <v>0</v>
      </c>
    </row>
    <row r="393" spans="1:108" x14ac:dyDescent="0.25">
      <c r="A393" s="41">
        <f>Skills!M375</f>
        <v>0</v>
      </c>
      <c r="B393" s="57" t="str">
        <f>Skills!N375</f>
        <v>Grace Skills</v>
      </c>
      <c r="C393" s="24">
        <f t="shared" si="415"/>
        <v>0</v>
      </c>
      <c r="D393" s="110" t="str">
        <f>Skills!S375</f>
        <v>- -</v>
      </c>
      <c r="E393" s="111" t="s">
        <v>782</v>
      </c>
      <c r="F393" s="18"/>
      <c r="G393" s="18"/>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49"/>
      <c r="BF393" s="4">
        <f t="shared" si="365"/>
        <v>0</v>
      </c>
      <c r="BG393" s="4">
        <f t="shared" si="365"/>
        <v>0</v>
      </c>
      <c r="BH393" s="4">
        <f t="shared" si="366"/>
        <v>0</v>
      </c>
      <c r="BI393" s="4">
        <f t="shared" si="367"/>
        <v>0</v>
      </c>
      <c r="BJ393" s="4">
        <f t="shared" si="368"/>
        <v>0</v>
      </c>
      <c r="BK393" s="4">
        <f t="shared" si="369"/>
        <v>0</v>
      </c>
      <c r="BL393" s="4">
        <f t="shared" si="370"/>
        <v>0</v>
      </c>
      <c r="BM393" s="4">
        <f t="shared" si="371"/>
        <v>0</v>
      </c>
      <c r="BN393" s="4">
        <f t="shared" si="372"/>
        <v>0</v>
      </c>
      <c r="BO393" s="4">
        <f t="shared" si="373"/>
        <v>0</v>
      </c>
      <c r="BP393" s="4">
        <f t="shared" si="374"/>
        <v>0</v>
      </c>
      <c r="BQ393" s="4">
        <f t="shared" si="375"/>
        <v>0</v>
      </c>
      <c r="BR393" s="4">
        <f t="shared" si="376"/>
        <v>0</v>
      </c>
      <c r="BS393" s="4">
        <f t="shared" si="377"/>
        <v>0</v>
      </c>
      <c r="BT393" s="4">
        <f t="shared" si="378"/>
        <v>0</v>
      </c>
      <c r="BU393" s="4">
        <f t="shared" si="379"/>
        <v>0</v>
      </c>
      <c r="BV393" s="4">
        <f t="shared" si="380"/>
        <v>0</v>
      </c>
      <c r="BW393" s="4">
        <f t="shared" si="381"/>
        <v>0</v>
      </c>
      <c r="BX393" s="4">
        <f t="shared" si="382"/>
        <v>0</v>
      </c>
      <c r="BY393" s="4">
        <f t="shared" si="383"/>
        <v>0</v>
      </c>
      <c r="BZ393" s="4">
        <f t="shared" si="384"/>
        <v>0</v>
      </c>
      <c r="CA393" s="4">
        <f t="shared" si="385"/>
        <v>0</v>
      </c>
      <c r="CB393" s="4">
        <f t="shared" si="386"/>
        <v>0</v>
      </c>
      <c r="CC393" s="4">
        <f t="shared" si="387"/>
        <v>0</v>
      </c>
      <c r="CD393" s="4">
        <f t="shared" si="388"/>
        <v>0</v>
      </c>
      <c r="CE393" s="4">
        <f t="shared" si="389"/>
        <v>0</v>
      </c>
      <c r="CF393" s="4">
        <f t="shared" si="390"/>
        <v>0</v>
      </c>
      <c r="CG393" s="4">
        <f t="shared" si="391"/>
        <v>0</v>
      </c>
      <c r="CH393" s="4">
        <f t="shared" si="392"/>
        <v>0</v>
      </c>
      <c r="CI393" s="4">
        <f t="shared" si="393"/>
        <v>0</v>
      </c>
      <c r="CJ393" s="4">
        <f t="shared" si="394"/>
        <v>0</v>
      </c>
      <c r="CK393" s="4">
        <f t="shared" si="395"/>
        <v>0</v>
      </c>
      <c r="CL393" s="4">
        <f t="shared" si="396"/>
        <v>0</v>
      </c>
      <c r="CM393" s="4">
        <f t="shared" si="397"/>
        <v>0</v>
      </c>
      <c r="CN393" s="4">
        <f t="shared" si="398"/>
        <v>0</v>
      </c>
      <c r="CO393" s="4">
        <f t="shared" si="399"/>
        <v>0</v>
      </c>
      <c r="CP393" s="4">
        <f t="shared" si="400"/>
        <v>0</v>
      </c>
      <c r="CQ393" s="4">
        <f t="shared" si="401"/>
        <v>0</v>
      </c>
      <c r="CR393" s="4">
        <f t="shared" si="402"/>
        <v>0</v>
      </c>
      <c r="CS393" s="4">
        <f t="shared" si="403"/>
        <v>0</v>
      </c>
      <c r="CT393" s="4">
        <f t="shared" si="404"/>
        <v>0</v>
      </c>
      <c r="CU393" s="4">
        <f t="shared" si="405"/>
        <v>0</v>
      </c>
      <c r="CV393" s="4">
        <f t="shared" si="406"/>
        <v>0</v>
      </c>
      <c r="CW393" s="4">
        <f t="shared" si="407"/>
        <v>0</v>
      </c>
      <c r="CX393" s="4">
        <f t="shared" si="408"/>
        <v>0</v>
      </c>
      <c r="CY393" s="4">
        <f t="shared" si="409"/>
        <v>0</v>
      </c>
      <c r="CZ393" s="4">
        <f t="shared" si="410"/>
        <v>0</v>
      </c>
      <c r="DA393" s="4">
        <f t="shared" si="411"/>
        <v>0</v>
      </c>
      <c r="DB393" s="4">
        <f t="shared" si="412"/>
        <v>0</v>
      </c>
      <c r="DC393" s="4">
        <f t="shared" si="413"/>
        <v>0</v>
      </c>
      <c r="DD393" s="4">
        <f t="shared" si="414"/>
        <v>0</v>
      </c>
    </row>
    <row r="394" spans="1:108" x14ac:dyDescent="0.25">
      <c r="A394" s="41" t="str">
        <f>Skills!M376</f>
        <v>Grace, List 1</v>
      </c>
      <c r="B394" s="55" t="str">
        <f>Skills!N376</f>
        <v>List 1</v>
      </c>
      <c r="C394" s="22">
        <f t="shared" si="415"/>
        <v>0</v>
      </c>
      <c r="D394" s="112" t="e">
        <f>Skills!S376</f>
        <v>#N/A</v>
      </c>
      <c r="E394" s="113" t="e">
        <f>Profession!$B$179</f>
        <v>#REF!</v>
      </c>
      <c r="F394" s="19"/>
      <c r="G394" s="19"/>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56"/>
      <c r="BF394" s="4">
        <f t="shared" si="365"/>
        <v>0</v>
      </c>
      <c r="BG394" s="4">
        <f t="shared" si="365"/>
        <v>0</v>
      </c>
      <c r="BH394" s="4">
        <f t="shared" si="366"/>
        <v>0</v>
      </c>
      <c r="BI394" s="4">
        <f t="shared" si="367"/>
        <v>0</v>
      </c>
      <c r="BJ394" s="4">
        <f t="shared" si="368"/>
        <v>0</v>
      </c>
      <c r="BK394" s="4">
        <f t="shared" si="369"/>
        <v>0</v>
      </c>
      <c r="BL394" s="4">
        <f t="shared" si="370"/>
        <v>0</v>
      </c>
      <c r="BM394" s="4">
        <f t="shared" si="371"/>
        <v>0</v>
      </c>
      <c r="BN394" s="4">
        <f t="shared" si="372"/>
        <v>0</v>
      </c>
      <c r="BO394" s="4">
        <f t="shared" si="373"/>
        <v>0</v>
      </c>
      <c r="BP394" s="4">
        <f t="shared" si="374"/>
        <v>0</v>
      </c>
      <c r="BQ394" s="4">
        <f t="shared" si="375"/>
        <v>0</v>
      </c>
      <c r="BR394" s="4">
        <f t="shared" si="376"/>
        <v>0</v>
      </c>
      <c r="BS394" s="4">
        <f t="shared" si="377"/>
        <v>0</v>
      </c>
      <c r="BT394" s="4">
        <f t="shared" si="378"/>
        <v>0</v>
      </c>
      <c r="BU394" s="4">
        <f t="shared" si="379"/>
        <v>0</v>
      </c>
      <c r="BV394" s="4">
        <f t="shared" si="380"/>
        <v>0</v>
      </c>
      <c r="BW394" s="4">
        <f t="shared" si="381"/>
        <v>0</v>
      </c>
      <c r="BX394" s="4">
        <f t="shared" si="382"/>
        <v>0</v>
      </c>
      <c r="BY394" s="4">
        <f t="shared" si="383"/>
        <v>0</v>
      </c>
      <c r="BZ394" s="4">
        <f t="shared" si="384"/>
        <v>0</v>
      </c>
      <c r="CA394" s="4">
        <f t="shared" si="385"/>
        <v>0</v>
      </c>
      <c r="CB394" s="4">
        <f t="shared" si="386"/>
        <v>0</v>
      </c>
      <c r="CC394" s="4">
        <f t="shared" si="387"/>
        <v>0</v>
      </c>
      <c r="CD394" s="4">
        <f t="shared" si="388"/>
        <v>0</v>
      </c>
      <c r="CE394" s="4">
        <f t="shared" si="389"/>
        <v>0</v>
      </c>
      <c r="CF394" s="4">
        <f t="shared" si="390"/>
        <v>0</v>
      </c>
      <c r="CG394" s="4">
        <f t="shared" si="391"/>
        <v>0</v>
      </c>
      <c r="CH394" s="4">
        <f t="shared" si="392"/>
        <v>0</v>
      </c>
      <c r="CI394" s="4">
        <f t="shared" si="393"/>
        <v>0</v>
      </c>
      <c r="CJ394" s="4">
        <f t="shared" si="394"/>
        <v>0</v>
      </c>
      <c r="CK394" s="4">
        <f t="shared" si="395"/>
        <v>0</v>
      </c>
      <c r="CL394" s="4">
        <f t="shared" si="396"/>
        <v>0</v>
      </c>
      <c r="CM394" s="4">
        <f t="shared" si="397"/>
        <v>0</v>
      </c>
      <c r="CN394" s="4">
        <f t="shared" si="398"/>
        <v>0</v>
      </c>
      <c r="CO394" s="4">
        <f t="shared" si="399"/>
        <v>0</v>
      </c>
      <c r="CP394" s="4">
        <f t="shared" si="400"/>
        <v>0</v>
      </c>
      <c r="CQ394" s="4">
        <f t="shared" si="401"/>
        <v>0</v>
      </c>
      <c r="CR394" s="4">
        <f t="shared" si="402"/>
        <v>0</v>
      </c>
      <c r="CS394" s="4">
        <f t="shared" si="403"/>
        <v>0</v>
      </c>
      <c r="CT394" s="4">
        <f t="shared" si="404"/>
        <v>0</v>
      </c>
      <c r="CU394" s="4">
        <f t="shared" si="405"/>
        <v>0</v>
      </c>
      <c r="CV394" s="4">
        <f t="shared" si="406"/>
        <v>0</v>
      </c>
      <c r="CW394" s="4">
        <f t="shared" si="407"/>
        <v>0</v>
      </c>
      <c r="CX394" s="4">
        <f t="shared" si="408"/>
        <v>0</v>
      </c>
      <c r="CY394" s="4">
        <f t="shared" si="409"/>
        <v>0</v>
      </c>
      <c r="CZ394" s="4">
        <f t="shared" si="410"/>
        <v>0</v>
      </c>
      <c r="DA394" s="4">
        <f t="shared" si="411"/>
        <v>0</v>
      </c>
      <c r="DB394" s="4">
        <f t="shared" si="412"/>
        <v>0</v>
      </c>
      <c r="DC394" s="4">
        <f t="shared" si="413"/>
        <v>0</v>
      </c>
      <c r="DD394" s="4">
        <f t="shared" si="414"/>
        <v>0</v>
      </c>
    </row>
    <row r="395" spans="1:108" x14ac:dyDescent="0.25">
      <c r="A395" s="41" t="str">
        <f>Skills!M377</f>
        <v>Grace, List 2</v>
      </c>
      <c r="B395" s="57" t="str">
        <f>Skills!N377</f>
        <v>List 2</v>
      </c>
      <c r="C395" s="24">
        <f t="shared" si="415"/>
        <v>0</v>
      </c>
      <c r="D395" s="110" t="e">
        <f>Skills!S377</f>
        <v>#N/A</v>
      </c>
      <c r="E395" s="111" t="e">
        <f>Profession!$B$179</f>
        <v>#REF!</v>
      </c>
      <c r="F395" s="18"/>
      <c r="G395" s="18"/>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49"/>
      <c r="BF395" s="4">
        <f t="shared" si="365"/>
        <v>0</v>
      </c>
      <c r="BG395" s="4">
        <f t="shared" si="365"/>
        <v>0</v>
      </c>
      <c r="BH395" s="4">
        <f t="shared" si="366"/>
        <v>0</v>
      </c>
      <c r="BI395" s="4">
        <f t="shared" si="367"/>
        <v>0</v>
      </c>
      <c r="BJ395" s="4">
        <f t="shared" si="368"/>
        <v>0</v>
      </c>
      <c r="BK395" s="4">
        <f t="shared" si="369"/>
        <v>0</v>
      </c>
      <c r="BL395" s="4">
        <f t="shared" si="370"/>
        <v>0</v>
      </c>
      <c r="BM395" s="4">
        <f t="shared" si="371"/>
        <v>0</v>
      </c>
      <c r="BN395" s="4">
        <f t="shared" si="372"/>
        <v>0</v>
      </c>
      <c r="BO395" s="4">
        <f t="shared" si="373"/>
        <v>0</v>
      </c>
      <c r="BP395" s="4">
        <f t="shared" si="374"/>
        <v>0</v>
      </c>
      <c r="BQ395" s="4">
        <f t="shared" si="375"/>
        <v>0</v>
      </c>
      <c r="BR395" s="4">
        <f t="shared" si="376"/>
        <v>0</v>
      </c>
      <c r="BS395" s="4">
        <f t="shared" si="377"/>
        <v>0</v>
      </c>
      <c r="BT395" s="4">
        <f t="shared" si="378"/>
        <v>0</v>
      </c>
      <c r="BU395" s="4">
        <f t="shared" si="379"/>
        <v>0</v>
      </c>
      <c r="BV395" s="4">
        <f t="shared" si="380"/>
        <v>0</v>
      </c>
      <c r="BW395" s="4">
        <f t="shared" si="381"/>
        <v>0</v>
      </c>
      <c r="BX395" s="4">
        <f t="shared" si="382"/>
        <v>0</v>
      </c>
      <c r="BY395" s="4">
        <f t="shared" si="383"/>
        <v>0</v>
      </c>
      <c r="BZ395" s="4">
        <f t="shared" si="384"/>
        <v>0</v>
      </c>
      <c r="CA395" s="4">
        <f t="shared" si="385"/>
        <v>0</v>
      </c>
      <c r="CB395" s="4">
        <f t="shared" si="386"/>
        <v>0</v>
      </c>
      <c r="CC395" s="4">
        <f t="shared" si="387"/>
        <v>0</v>
      </c>
      <c r="CD395" s="4">
        <f t="shared" si="388"/>
        <v>0</v>
      </c>
      <c r="CE395" s="4">
        <f t="shared" si="389"/>
        <v>0</v>
      </c>
      <c r="CF395" s="4">
        <f t="shared" si="390"/>
        <v>0</v>
      </c>
      <c r="CG395" s="4">
        <f t="shared" si="391"/>
        <v>0</v>
      </c>
      <c r="CH395" s="4">
        <f t="shared" si="392"/>
        <v>0</v>
      </c>
      <c r="CI395" s="4">
        <f t="shared" si="393"/>
        <v>0</v>
      </c>
      <c r="CJ395" s="4">
        <f t="shared" si="394"/>
        <v>0</v>
      </c>
      <c r="CK395" s="4">
        <f t="shared" si="395"/>
        <v>0</v>
      </c>
      <c r="CL395" s="4">
        <f t="shared" si="396"/>
        <v>0</v>
      </c>
      <c r="CM395" s="4">
        <f t="shared" si="397"/>
        <v>0</v>
      </c>
      <c r="CN395" s="4">
        <f t="shared" si="398"/>
        <v>0</v>
      </c>
      <c r="CO395" s="4">
        <f t="shared" si="399"/>
        <v>0</v>
      </c>
      <c r="CP395" s="4">
        <f t="shared" si="400"/>
        <v>0</v>
      </c>
      <c r="CQ395" s="4">
        <f t="shared" si="401"/>
        <v>0</v>
      </c>
      <c r="CR395" s="4">
        <f t="shared" si="402"/>
        <v>0</v>
      </c>
      <c r="CS395" s="4">
        <f t="shared" si="403"/>
        <v>0</v>
      </c>
      <c r="CT395" s="4">
        <f t="shared" si="404"/>
        <v>0</v>
      </c>
      <c r="CU395" s="4">
        <f t="shared" si="405"/>
        <v>0</v>
      </c>
      <c r="CV395" s="4">
        <f t="shared" si="406"/>
        <v>0</v>
      </c>
      <c r="CW395" s="4">
        <f t="shared" si="407"/>
        <v>0</v>
      </c>
      <c r="CX395" s="4">
        <f t="shared" si="408"/>
        <v>0</v>
      </c>
      <c r="CY395" s="4">
        <f t="shared" si="409"/>
        <v>0</v>
      </c>
      <c r="CZ395" s="4">
        <f t="shared" si="410"/>
        <v>0</v>
      </c>
      <c r="DA395" s="4">
        <f t="shared" si="411"/>
        <v>0</v>
      </c>
      <c r="DB395" s="4">
        <f t="shared" si="412"/>
        <v>0</v>
      </c>
      <c r="DC395" s="4">
        <f t="shared" si="413"/>
        <v>0</v>
      </c>
      <c r="DD395" s="4">
        <f t="shared" si="414"/>
        <v>0</v>
      </c>
    </row>
    <row r="396" spans="1:108" x14ac:dyDescent="0.25">
      <c r="A396" s="41" t="str">
        <f>Skills!M378</f>
        <v>Grace, List 3</v>
      </c>
      <c r="B396" s="55" t="str">
        <f>Skills!N378</f>
        <v>List 3</v>
      </c>
      <c r="C396" s="22">
        <f t="shared" si="415"/>
        <v>0</v>
      </c>
      <c r="D396" s="112" t="e">
        <f>Skills!S378</f>
        <v>#N/A</v>
      </c>
      <c r="E396" s="113" t="e">
        <f>Profession!$B$179</f>
        <v>#REF!</v>
      </c>
      <c r="F396" s="19"/>
      <c r="G396" s="19"/>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56"/>
      <c r="BF396" s="4">
        <f t="shared" si="365"/>
        <v>0</v>
      </c>
      <c r="BG396" s="4">
        <f t="shared" si="365"/>
        <v>0</v>
      </c>
      <c r="BH396" s="4">
        <f t="shared" si="366"/>
        <v>0</v>
      </c>
      <c r="BI396" s="4">
        <f t="shared" si="367"/>
        <v>0</v>
      </c>
      <c r="BJ396" s="4">
        <f t="shared" si="368"/>
        <v>0</v>
      </c>
      <c r="BK396" s="4">
        <f t="shared" si="369"/>
        <v>0</v>
      </c>
      <c r="BL396" s="4">
        <f t="shared" si="370"/>
        <v>0</v>
      </c>
      <c r="BM396" s="4">
        <f t="shared" si="371"/>
        <v>0</v>
      </c>
      <c r="BN396" s="4">
        <f t="shared" si="372"/>
        <v>0</v>
      </c>
      <c r="BO396" s="4">
        <f t="shared" si="373"/>
        <v>0</v>
      </c>
      <c r="BP396" s="4">
        <f t="shared" si="374"/>
        <v>0</v>
      </c>
      <c r="BQ396" s="4">
        <f t="shared" si="375"/>
        <v>0</v>
      </c>
      <c r="BR396" s="4">
        <f t="shared" si="376"/>
        <v>0</v>
      </c>
      <c r="BS396" s="4">
        <f t="shared" si="377"/>
        <v>0</v>
      </c>
      <c r="BT396" s="4">
        <f t="shared" si="378"/>
        <v>0</v>
      </c>
      <c r="BU396" s="4">
        <f t="shared" si="379"/>
        <v>0</v>
      </c>
      <c r="BV396" s="4">
        <f t="shared" si="380"/>
        <v>0</v>
      </c>
      <c r="BW396" s="4">
        <f t="shared" si="381"/>
        <v>0</v>
      </c>
      <c r="BX396" s="4">
        <f t="shared" si="382"/>
        <v>0</v>
      </c>
      <c r="BY396" s="4">
        <f t="shared" si="383"/>
        <v>0</v>
      </c>
      <c r="BZ396" s="4">
        <f t="shared" si="384"/>
        <v>0</v>
      </c>
      <c r="CA396" s="4">
        <f t="shared" si="385"/>
        <v>0</v>
      </c>
      <c r="CB396" s="4">
        <f t="shared" si="386"/>
        <v>0</v>
      </c>
      <c r="CC396" s="4">
        <f t="shared" si="387"/>
        <v>0</v>
      </c>
      <c r="CD396" s="4">
        <f t="shared" si="388"/>
        <v>0</v>
      </c>
      <c r="CE396" s="4">
        <f t="shared" si="389"/>
        <v>0</v>
      </c>
      <c r="CF396" s="4">
        <f t="shared" si="390"/>
        <v>0</v>
      </c>
      <c r="CG396" s="4">
        <f t="shared" si="391"/>
        <v>0</v>
      </c>
      <c r="CH396" s="4">
        <f t="shared" si="392"/>
        <v>0</v>
      </c>
      <c r="CI396" s="4">
        <f t="shared" si="393"/>
        <v>0</v>
      </c>
      <c r="CJ396" s="4">
        <f t="shared" si="394"/>
        <v>0</v>
      </c>
      <c r="CK396" s="4">
        <f t="shared" si="395"/>
        <v>0</v>
      </c>
      <c r="CL396" s="4">
        <f t="shared" si="396"/>
        <v>0</v>
      </c>
      <c r="CM396" s="4">
        <f t="shared" si="397"/>
        <v>0</v>
      </c>
      <c r="CN396" s="4">
        <f t="shared" si="398"/>
        <v>0</v>
      </c>
      <c r="CO396" s="4">
        <f t="shared" si="399"/>
        <v>0</v>
      </c>
      <c r="CP396" s="4">
        <f t="shared" si="400"/>
        <v>0</v>
      </c>
      <c r="CQ396" s="4">
        <f t="shared" si="401"/>
        <v>0</v>
      </c>
      <c r="CR396" s="4">
        <f t="shared" si="402"/>
        <v>0</v>
      </c>
      <c r="CS396" s="4">
        <f t="shared" si="403"/>
        <v>0</v>
      </c>
      <c r="CT396" s="4">
        <f t="shared" si="404"/>
        <v>0</v>
      </c>
      <c r="CU396" s="4">
        <f t="shared" si="405"/>
        <v>0</v>
      </c>
      <c r="CV396" s="4">
        <f t="shared" si="406"/>
        <v>0</v>
      </c>
      <c r="CW396" s="4">
        <f t="shared" si="407"/>
        <v>0</v>
      </c>
      <c r="CX396" s="4">
        <f t="shared" si="408"/>
        <v>0</v>
      </c>
      <c r="CY396" s="4">
        <f t="shared" si="409"/>
        <v>0</v>
      </c>
      <c r="CZ396" s="4">
        <f t="shared" si="410"/>
        <v>0</v>
      </c>
      <c r="DA396" s="4">
        <f t="shared" si="411"/>
        <v>0</v>
      </c>
      <c r="DB396" s="4">
        <f t="shared" si="412"/>
        <v>0</v>
      </c>
      <c r="DC396" s="4">
        <f t="shared" si="413"/>
        <v>0</v>
      </c>
      <c r="DD396" s="4">
        <f t="shared" si="414"/>
        <v>0</v>
      </c>
    </row>
    <row r="397" spans="1:108" x14ac:dyDescent="0.25">
      <c r="A397" s="41" t="str">
        <f>Skills!M379</f>
        <v>Grace, 0</v>
      </c>
      <c r="B397" s="57">
        <f>Skills!N379</f>
        <v>0</v>
      </c>
      <c r="C397" s="24">
        <f t="shared" si="415"/>
        <v>0</v>
      </c>
      <c r="D397" s="110" t="e">
        <f>Skills!S379</f>
        <v>#N/A</v>
      </c>
      <c r="E397" s="111" t="e">
        <f>Profession!$B$179</f>
        <v>#REF!</v>
      </c>
      <c r="F397" s="18"/>
      <c r="G397" s="18"/>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49"/>
      <c r="BF397" s="4">
        <f t="shared" si="365"/>
        <v>0</v>
      </c>
      <c r="BG397" s="4">
        <f t="shared" si="365"/>
        <v>0</v>
      </c>
      <c r="BH397" s="4">
        <f t="shared" si="366"/>
        <v>0</v>
      </c>
      <c r="BI397" s="4">
        <f t="shared" si="367"/>
        <v>0</v>
      </c>
      <c r="BJ397" s="4">
        <f t="shared" si="368"/>
        <v>0</v>
      </c>
      <c r="BK397" s="4">
        <f t="shared" si="369"/>
        <v>0</v>
      </c>
      <c r="BL397" s="4">
        <f t="shared" si="370"/>
        <v>0</v>
      </c>
      <c r="BM397" s="4">
        <f t="shared" si="371"/>
        <v>0</v>
      </c>
      <c r="BN397" s="4">
        <f t="shared" si="372"/>
        <v>0</v>
      </c>
      <c r="BO397" s="4">
        <f t="shared" si="373"/>
        <v>0</v>
      </c>
      <c r="BP397" s="4">
        <f t="shared" si="374"/>
        <v>0</v>
      </c>
      <c r="BQ397" s="4">
        <f t="shared" si="375"/>
        <v>0</v>
      </c>
      <c r="BR397" s="4">
        <f t="shared" si="376"/>
        <v>0</v>
      </c>
      <c r="BS397" s="4">
        <f t="shared" si="377"/>
        <v>0</v>
      </c>
      <c r="BT397" s="4">
        <f t="shared" si="378"/>
        <v>0</v>
      </c>
      <c r="BU397" s="4">
        <f t="shared" si="379"/>
        <v>0</v>
      </c>
      <c r="BV397" s="4">
        <f t="shared" si="380"/>
        <v>0</v>
      </c>
      <c r="BW397" s="4">
        <f t="shared" si="381"/>
        <v>0</v>
      </c>
      <c r="BX397" s="4">
        <f t="shared" si="382"/>
        <v>0</v>
      </c>
      <c r="BY397" s="4">
        <f t="shared" si="383"/>
        <v>0</v>
      </c>
      <c r="BZ397" s="4">
        <f t="shared" si="384"/>
        <v>0</v>
      </c>
      <c r="CA397" s="4">
        <f t="shared" si="385"/>
        <v>0</v>
      </c>
      <c r="CB397" s="4">
        <f t="shared" si="386"/>
        <v>0</v>
      </c>
      <c r="CC397" s="4">
        <f t="shared" si="387"/>
        <v>0</v>
      </c>
      <c r="CD397" s="4">
        <f t="shared" si="388"/>
        <v>0</v>
      </c>
      <c r="CE397" s="4">
        <f t="shared" si="389"/>
        <v>0</v>
      </c>
      <c r="CF397" s="4">
        <f t="shared" si="390"/>
        <v>0</v>
      </c>
      <c r="CG397" s="4">
        <f t="shared" si="391"/>
        <v>0</v>
      </c>
      <c r="CH397" s="4">
        <f t="shared" si="392"/>
        <v>0</v>
      </c>
      <c r="CI397" s="4">
        <f t="shared" si="393"/>
        <v>0</v>
      </c>
      <c r="CJ397" s="4">
        <f t="shared" si="394"/>
        <v>0</v>
      </c>
      <c r="CK397" s="4">
        <f t="shared" si="395"/>
        <v>0</v>
      </c>
      <c r="CL397" s="4">
        <f t="shared" si="396"/>
        <v>0</v>
      </c>
      <c r="CM397" s="4">
        <f t="shared" si="397"/>
        <v>0</v>
      </c>
      <c r="CN397" s="4">
        <f t="shared" si="398"/>
        <v>0</v>
      </c>
      <c r="CO397" s="4">
        <f t="shared" si="399"/>
        <v>0</v>
      </c>
      <c r="CP397" s="4">
        <f t="shared" si="400"/>
        <v>0</v>
      </c>
      <c r="CQ397" s="4">
        <f t="shared" si="401"/>
        <v>0</v>
      </c>
      <c r="CR397" s="4">
        <f t="shared" si="402"/>
        <v>0</v>
      </c>
      <c r="CS397" s="4">
        <f t="shared" si="403"/>
        <v>0</v>
      </c>
      <c r="CT397" s="4">
        <f t="shared" si="404"/>
        <v>0</v>
      </c>
      <c r="CU397" s="4">
        <f t="shared" si="405"/>
        <v>0</v>
      </c>
      <c r="CV397" s="4">
        <f t="shared" si="406"/>
        <v>0</v>
      </c>
      <c r="CW397" s="4">
        <f t="shared" si="407"/>
        <v>0</v>
      </c>
      <c r="CX397" s="4">
        <f t="shared" si="408"/>
        <v>0</v>
      </c>
      <c r="CY397" s="4">
        <f t="shared" si="409"/>
        <v>0</v>
      </c>
      <c r="CZ397" s="4">
        <f t="shared" si="410"/>
        <v>0</v>
      </c>
      <c r="DA397" s="4">
        <f t="shared" si="411"/>
        <v>0</v>
      </c>
      <c r="DB397" s="4">
        <f t="shared" si="412"/>
        <v>0</v>
      </c>
      <c r="DC397" s="4">
        <f t="shared" si="413"/>
        <v>0</v>
      </c>
      <c r="DD397" s="4">
        <f t="shared" si="414"/>
        <v>0</v>
      </c>
    </row>
    <row r="398" spans="1:108" x14ac:dyDescent="0.25">
      <c r="A398" s="41" t="str">
        <f>Skills!M380</f>
        <v>Grace, 0</v>
      </c>
      <c r="B398" s="55">
        <f>Skills!N380</f>
        <v>0</v>
      </c>
      <c r="C398" s="22">
        <f t="shared" si="415"/>
        <v>0</v>
      </c>
      <c r="D398" s="112" t="e">
        <f>Skills!S380</f>
        <v>#N/A</v>
      </c>
      <c r="E398" s="113" t="e">
        <f>Profession!$B$179</f>
        <v>#REF!</v>
      </c>
      <c r="F398" s="19"/>
      <c r="G398" s="19"/>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56"/>
      <c r="BF398" s="4">
        <f t="shared" si="365"/>
        <v>0</v>
      </c>
      <c r="BG398" s="4">
        <f t="shared" si="365"/>
        <v>0</v>
      </c>
      <c r="BH398" s="4">
        <f t="shared" si="366"/>
        <v>0</v>
      </c>
      <c r="BI398" s="4">
        <f t="shared" si="367"/>
        <v>0</v>
      </c>
      <c r="BJ398" s="4">
        <f t="shared" si="368"/>
        <v>0</v>
      </c>
      <c r="BK398" s="4">
        <f t="shared" si="369"/>
        <v>0</v>
      </c>
      <c r="BL398" s="4">
        <f t="shared" si="370"/>
        <v>0</v>
      </c>
      <c r="BM398" s="4">
        <f t="shared" si="371"/>
        <v>0</v>
      </c>
      <c r="BN398" s="4">
        <f t="shared" si="372"/>
        <v>0</v>
      </c>
      <c r="BO398" s="4">
        <f t="shared" si="373"/>
        <v>0</v>
      </c>
      <c r="BP398" s="4">
        <f t="shared" si="374"/>
        <v>0</v>
      </c>
      <c r="BQ398" s="4">
        <f t="shared" si="375"/>
        <v>0</v>
      </c>
      <c r="BR398" s="4">
        <f t="shared" si="376"/>
        <v>0</v>
      </c>
      <c r="BS398" s="4">
        <f t="shared" si="377"/>
        <v>0</v>
      </c>
      <c r="BT398" s="4">
        <f t="shared" si="378"/>
        <v>0</v>
      </c>
      <c r="BU398" s="4">
        <f t="shared" si="379"/>
        <v>0</v>
      </c>
      <c r="BV398" s="4">
        <f t="shared" si="380"/>
        <v>0</v>
      </c>
      <c r="BW398" s="4">
        <f t="shared" si="381"/>
        <v>0</v>
      </c>
      <c r="BX398" s="4">
        <f t="shared" si="382"/>
        <v>0</v>
      </c>
      <c r="BY398" s="4">
        <f t="shared" si="383"/>
        <v>0</v>
      </c>
      <c r="BZ398" s="4">
        <f t="shared" si="384"/>
        <v>0</v>
      </c>
      <c r="CA398" s="4">
        <f t="shared" si="385"/>
        <v>0</v>
      </c>
      <c r="CB398" s="4">
        <f t="shared" si="386"/>
        <v>0</v>
      </c>
      <c r="CC398" s="4">
        <f t="shared" si="387"/>
        <v>0</v>
      </c>
      <c r="CD398" s="4">
        <f t="shared" si="388"/>
        <v>0</v>
      </c>
      <c r="CE398" s="4">
        <f t="shared" si="389"/>
        <v>0</v>
      </c>
      <c r="CF398" s="4">
        <f t="shared" si="390"/>
        <v>0</v>
      </c>
      <c r="CG398" s="4">
        <f t="shared" si="391"/>
        <v>0</v>
      </c>
      <c r="CH398" s="4">
        <f t="shared" si="392"/>
        <v>0</v>
      </c>
      <c r="CI398" s="4">
        <f t="shared" si="393"/>
        <v>0</v>
      </c>
      <c r="CJ398" s="4">
        <f t="shared" si="394"/>
        <v>0</v>
      </c>
      <c r="CK398" s="4">
        <f t="shared" si="395"/>
        <v>0</v>
      </c>
      <c r="CL398" s="4">
        <f t="shared" si="396"/>
        <v>0</v>
      </c>
      <c r="CM398" s="4">
        <f t="shared" si="397"/>
        <v>0</v>
      </c>
      <c r="CN398" s="4">
        <f t="shared" si="398"/>
        <v>0</v>
      </c>
      <c r="CO398" s="4">
        <f t="shared" si="399"/>
        <v>0</v>
      </c>
      <c r="CP398" s="4">
        <f t="shared" si="400"/>
        <v>0</v>
      </c>
      <c r="CQ398" s="4">
        <f t="shared" si="401"/>
        <v>0</v>
      </c>
      <c r="CR398" s="4">
        <f t="shared" si="402"/>
        <v>0</v>
      </c>
      <c r="CS398" s="4">
        <f t="shared" si="403"/>
        <v>0</v>
      </c>
      <c r="CT398" s="4">
        <f t="shared" si="404"/>
        <v>0</v>
      </c>
      <c r="CU398" s="4">
        <f t="shared" si="405"/>
        <v>0</v>
      </c>
      <c r="CV398" s="4">
        <f t="shared" si="406"/>
        <v>0</v>
      </c>
      <c r="CW398" s="4">
        <f t="shared" si="407"/>
        <v>0</v>
      </c>
      <c r="CX398" s="4">
        <f t="shared" si="408"/>
        <v>0</v>
      </c>
      <c r="CY398" s="4">
        <f t="shared" si="409"/>
        <v>0</v>
      </c>
      <c r="CZ398" s="4">
        <f t="shared" si="410"/>
        <v>0</v>
      </c>
      <c r="DA398" s="4">
        <f t="shared" si="411"/>
        <v>0</v>
      </c>
      <c r="DB398" s="4">
        <f t="shared" si="412"/>
        <v>0</v>
      </c>
      <c r="DC398" s="4">
        <f t="shared" si="413"/>
        <v>0</v>
      </c>
      <c r="DD398" s="4">
        <f t="shared" si="414"/>
        <v>0</v>
      </c>
    </row>
    <row r="399" spans="1:108" x14ac:dyDescent="0.25">
      <c r="A399" s="41">
        <f>Skills!M381</f>
        <v>0</v>
      </c>
      <c r="B399" s="57" t="str">
        <f>Skills!N381</f>
        <v>Spell Trickery Sub-category</v>
      </c>
      <c r="C399" s="24">
        <f t="shared" si="415"/>
        <v>0</v>
      </c>
      <c r="D399" s="110" t="str">
        <f>Skills!S381</f>
        <v>- -</v>
      </c>
      <c r="E399" s="111" t="s">
        <v>782</v>
      </c>
      <c r="F399" s="18"/>
      <c r="G399" s="18"/>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49"/>
      <c r="BF399" s="4">
        <f t="shared" si="365"/>
        <v>0</v>
      </c>
      <c r="BG399" s="4">
        <f t="shared" si="365"/>
        <v>0</v>
      </c>
      <c r="BH399" s="4">
        <f t="shared" si="366"/>
        <v>0</v>
      </c>
      <c r="BI399" s="4">
        <f t="shared" si="367"/>
        <v>0</v>
      </c>
      <c r="BJ399" s="4">
        <f t="shared" si="368"/>
        <v>0</v>
      </c>
      <c r="BK399" s="4">
        <f t="shared" si="369"/>
        <v>0</v>
      </c>
      <c r="BL399" s="4">
        <f t="shared" si="370"/>
        <v>0</v>
      </c>
      <c r="BM399" s="4">
        <f t="shared" si="371"/>
        <v>0</v>
      </c>
      <c r="BN399" s="4">
        <f t="shared" si="372"/>
        <v>0</v>
      </c>
      <c r="BO399" s="4">
        <f t="shared" si="373"/>
        <v>0</v>
      </c>
      <c r="BP399" s="4">
        <f t="shared" si="374"/>
        <v>0</v>
      </c>
      <c r="BQ399" s="4">
        <f t="shared" si="375"/>
        <v>0</v>
      </c>
      <c r="BR399" s="4">
        <f t="shared" si="376"/>
        <v>0</v>
      </c>
      <c r="BS399" s="4">
        <f t="shared" si="377"/>
        <v>0</v>
      </c>
      <c r="BT399" s="4">
        <f t="shared" si="378"/>
        <v>0</v>
      </c>
      <c r="BU399" s="4">
        <f t="shared" si="379"/>
        <v>0</v>
      </c>
      <c r="BV399" s="4">
        <f t="shared" si="380"/>
        <v>0</v>
      </c>
      <c r="BW399" s="4">
        <f t="shared" si="381"/>
        <v>0</v>
      </c>
      <c r="BX399" s="4">
        <f t="shared" si="382"/>
        <v>0</v>
      </c>
      <c r="BY399" s="4">
        <f t="shared" si="383"/>
        <v>0</v>
      </c>
      <c r="BZ399" s="4">
        <f t="shared" si="384"/>
        <v>0</v>
      </c>
      <c r="CA399" s="4">
        <f t="shared" si="385"/>
        <v>0</v>
      </c>
      <c r="CB399" s="4">
        <f t="shared" si="386"/>
        <v>0</v>
      </c>
      <c r="CC399" s="4">
        <f t="shared" si="387"/>
        <v>0</v>
      </c>
      <c r="CD399" s="4">
        <f t="shared" si="388"/>
        <v>0</v>
      </c>
      <c r="CE399" s="4">
        <f t="shared" si="389"/>
        <v>0</v>
      </c>
      <c r="CF399" s="4">
        <f t="shared" si="390"/>
        <v>0</v>
      </c>
      <c r="CG399" s="4">
        <f t="shared" si="391"/>
        <v>0</v>
      </c>
      <c r="CH399" s="4">
        <f t="shared" si="392"/>
        <v>0</v>
      </c>
      <c r="CI399" s="4">
        <f t="shared" si="393"/>
        <v>0</v>
      </c>
      <c r="CJ399" s="4">
        <f t="shared" si="394"/>
        <v>0</v>
      </c>
      <c r="CK399" s="4">
        <f t="shared" si="395"/>
        <v>0</v>
      </c>
      <c r="CL399" s="4">
        <f t="shared" si="396"/>
        <v>0</v>
      </c>
      <c r="CM399" s="4">
        <f t="shared" si="397"/>
        <v>0</v>
      </c>
      <c r="CN399" s="4">
        <f t="shared" si="398"/>
        <v>0</v>
      </c>
      <c r="CO399" s="4">
        <f t="shared" si="399"/>
        <v>0</v>
      </c>
      <c r="CP399" s="4">
        <f t="shared" si="400"/>
        <v>0</v>
      </c>
      <c r="CQ399" s="4">
        <f t="shared" si="401"/>
        <v>0</v>
      </c>
      <c r="CR399" s="4">
        <f t="shared" si="402"/>
        <v>0</v>
      </c>
      <c r="CS399" s="4">
        <f t="shared" si="403"/>
        <v>0</v>
      </c>
      <c r="CT399" s="4">
        <f t="shared" si="404"/>
        <v>0</v>
      </c>
      <c r="CU399" s="4">
        <f t="shared" si="405"/>
        <v>0</v>
      </c>
      <c r="CV399" s="4">
        <f t="shared" si="406"/>
        <v>0</v>
      </c>
      <c r="CW399" s="4">
        <f t="shared" si="407"/>
        <v>0</v>
      </c>
      <c r="CX399" s="4">
        <f t="shared" si="408"/>
        <v>0</v>
      </c>
      <c r="CY399" s="4">
        <f t="shared" si="409"/>
        <v>0</v>
      </c>
      <c r="CZ399" s="4">
        <f t="shared" si="410"/>
        <v>0</v>
      </c>
      <c r="DA399" s="4">
        <f t="shared" si="411"/>
        <v>0</v>
      </c>
      <c r="DB399" s="4">
        <f t="shared" si="412"/>
        <v>0</v>
      </c>
      <c r="DC399" s="4">
        <f t="shared" si="413"/>
        <v>0</v>
      </c>
      <c r="DD399" s="4">
        <f t="shared" si="414"/>
        <v>0</v>
      </c>
    </row>
    <row r="400" spans="1:108" x14ac:dyDescent="0.25">
      <c r="A400" s="41">
        <f>Skills!M382</f>
        <v>0</v>
      </c>
      <c r="B400" s="55" t="str">
        <f>Skills!N382</f>
        <v>Spell Trickery Skills</v>
      </c>
      <c r="C400" s="22">
        <f t="shared" si="415"/>
        <v>0</v>
      </c>
      <c r="D400" s="112" t="str">
        <f>Skills!S382</f>
        <v>- -</v>
      </c>
      <c r="E400" s="113" t="s">
        <v>782</v>
      </c>
      <c r="F400" s="19"/>
      <c r="G400" s="19"/>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56"/>
      <c r="BF400" s="4">
        <f t="shared" si="365"/>
        <v>0</v>
      </c>
      <c r="BG400" s="4">
        <f t="shared" si="365"/>
        <v>0</v>
      </c>
      <c r="BH400" s="4">
        <f t="shared" si="366"/>
        <v>0</v>
      </c>
      <c r="BI400" s="4">
        <f t="shared" si="367"/>
        <v>0</v>
      </c>
      <c r="BJ400" s="4">
        <f t="shared" si="368"/>
        <v>0</v>
      </c>
      <c r="BK400" s="4">
        <f t="shared" si="369"/>
        <v>0</v>
      </c>
      <c r="BL400" s="4">
        <f t="shared" si="370"/>
        <v>0</v>
      </c>
      <c r="BM400" s="4">
        <f t="shared" si="371"/>
        <v>0</v>
      </c>
      <c r="BN400" s="4">
        <f t="shared" si="372"/>
        <v>0</v>
      </c>
      <c r="BO400" s="4">
        <f t="shared" si="373"/>
        <v>0</v>
      </c>
      <c r="BP400" s="4">
        <f t="shared" si="374"/>
        <v>0</v>
      </c>
      <c r="BQ400" s="4">
        <f t="shared" si="375"/>
        <v>0</v>
      </c>
      <c r="BR400" s="4">
        <f t="shared" si="376"/>
        <v>0</v>
      </c>
      <c r="BS400" s="4">
        <f t="shared" si="377"/>
        <v>0</v>
      </c>
      <c r="BT400" s="4">
        <f t="shared" si="378"/>
        <v>0</v>
      </c>
      <c r="BU400" s="4">
        <f t="shared" si="379"/>
        <v>0</v>
      </c>
      <c r="BV400" s="4">
        <f t="shared" si="380"/>
        <v>0</v>
      </c>
      <c r="BW400" s="4">
        <f t="shared" si="381"/>
        <v>0</v>
      </c>
      <c r="BX400" s="4">
        <f t="shared" si="382"/>
        <v>0</v>
      </c>
      <c r="BY400" s="4">
        <f t="shared" si="383"/>
        <v>0</v>
      </c>
      <c r="BZ400" s="4">
        <f t="shared" si="384"/>
        <v>0</v>
      </c>
      <c r="CA400" s="4">
        <f t="shared" si="385"/>
        <v>0</v>
      </c>
      <c r="CB400" s="4">
        <f t="shared" si="386"/>
        <v>0</v>
      </c>
      <c r="CC400" s="4">
        <f t="shared" si="387"/>
        <v>0</v>
      </c>
      <c r="CD400" s="4">
        <f t="shared" si="388"/>
        <v>0</v>
      </c>
      <c r="CE400" s="4">
        <f t="shared" si="389"/>
        <v>0</v>
      </c>
      <c r="CF400" s="4">
        <f t="shared" si="390"/>
        <v>0</v>
      </c>
      <c r="CG400" s="4">
        <f t="shared" si="391"/>
        <v>0</v>
      </c>
      <c r="CH400" s="4">
        <f t="shared" si="392"/>
        <v>0</v>
      </c>
      <c r="CI400" s="4">
        <f t="shared" si="393"/>
        <v>0</v>
      </c>
      <c r="CJ400" s="4">
        <f t="shared" si="394"/>
        <v>0</v>
      </c>
      <c r="CK400" s="4">
        <f t="shared" si="395"/>
        <v>0</v>
      </c>
      <c r="CL400" s="4">
        <f t="shared" si="396"/>
        <v>0</v>
      </c>
      <c r="CM400" s="4">
        <f t="shared" si="397"/>
        <v>0</v>
      </c>
      <c r="CN400" s="4">
        <f t="shared" si="398"/>
        <v>0</v>
      </c>
      <c r="CO400" s="4">
        <f t="shared" si="399"/>
        <v>0</v>
      </c>
      <c r="CP400" s="4">
        <f t="shared" si="400"/>
        <v>0</v>
      </c>
      <c r="CQ400" s="4">
        <f t="shared" si="401"/>
        <v>0</v>
      </c>
      <c r="CR400" s="4">
        <f t="shared" si="402"/>
        <v>0</v>
      </c>
      <c r="CS400" s="4">
        <f t="shared" si="403"/>
        <v>0</v>
      </c>
      <c r="CT400" s="4">
        <f t="shared" si="404"/>
        <v>0</v>
      </c>
      <c r="CU400" s="4">
        <f t="shared" si="405"/>
        <v>0</v>
      </c>
      <c r="CV400" s="4">
        <f t="shared" si="406"/>
        <v>0</v>
      </c>
      <c r="CW400" s="4">
        <f t="shared" si="407"/>
        <v>0</v>
      </c>
      <c r="CX400" s="4">
        <f t="shared" si="408"/>
        <v>0</v>
      </c>
      <c r="CY400" s="4">
        <f t="shared" si="409"/>
        <v>0</v>
      </c>
      <c r="CZ400" s="4">
        <f t="shared" si="410"/>
        <v>0</v>
      </c>
      <c r="DA400" s="4">
        <f t="shared" si="411"/>
        <v>0</v>
      </c>
      <c r="DB400" s="4">
        <f t="shared" si="412"/>
        <v>0</v>
      </c>
      <c r="DC400" s="4">
        <f t="shared" si="413"/>
        <v>0</v>
      </c>
      <c r="DD400" s="4">
        <f t="shared" si="414"/>
        <v>0</v>
      </c>
    </row>
    <row r="401" spans="1:108" x14ac:dyDescent="0.25">
      <c r="A401" s="41" t="str">
        <f>Skills!M383</f>
        <v>Spell Trickery, List 1</v>
      </c>
      <c r="B401" s="57" t="str">
        <f>Skills!N383</f>
        <v>List 1</v>
      </c>
      <c r="C401" s="24">
        <f t="shared" si="415"/>
        <v>0</v>
      </c>
      <c r="D401" s="110" t="e">
        <f>Skills!S383</f>
        <v>#N/A</v>
      </c>
      <c r="E401" s="111" t="e">
        <f>Profession!$B$180</f>
        <v>#REF!</v>
      </c>
      <c r="F401" s="18"/>
      <c r="G401" s="18"/>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49"/>
      <c r="BF401" s="4">
        <f t="shared" si="365"/>
        <v>0</v>
      </c>
      <c r="BG401" s="4">
        <f t="shared" si="365"/>
        <v>0</v>
      </c>
      <c r="BH401" s="4">
        <f t="shared" si="366"/>
        <v>0</v>
      </c>
      <c r="BI401" s="4">
        <f t="shared" si="367"/>
        <v>0</v>
      </c>
      <c r="BJ401" s="4">
        <f t="shared" si="368"/>
        <v>0</v>
      </c>
      <c r="BK401" s="4">
        <f t="shared" si="369"/>
        <v>0</v>
      </c>
      <c r="BL401" s="4">
        <f t="shared" si="370"/>
        <v>0</v>
      </c>
      <c r="BM401" s="4">
        <f t="shared" si="371"/>
        <v>0</v>
      </c>
      <c r="BN401" s="4">
        <f t="shared" si="372"/>
        <v>0</v>
      </c>
      <c r="BO401" s="4">
        <f t="shared" si="373"/>
        <v>0</v>
      </c>
      <c r="BP401" s="4">
        <f t="shared" si="374"/>
        <v>0</v>
      </c>
      <c r="BQ401" s="4">
        <f t="shared" si="375"/>
        <v>0</v>
      </c>
      <c r="BR401" s="4">
        <f t="shared" si="376"/>
        <v>0</v>
      </c>
      <c r="BS401" s="4">
        <f t="shared" si="377"/>
        <v>0</v>
      </c>
      <c r="BT401" s="4">
        <f t="shared" si="378"/>
        <v>0</v>
      </c>
      <c r="BU401" s="4">
        <f t="shared" si="379"/>
        <v>0</v>
      </c>
      <c r="BV401" s="4">
        <f t="shared" si="380"/>
        <v>0</v>
      </c>
      <c r="BW401" s="4">
        <f t="shared" si="381"/>
        <v>0</v>
      </c>
      <c r="BX401" s="4">
        <f t="shared" si="382"/>
        <v>0</v>
      </c>
      <c r="BY401" s="4">
        <f t="shared" si="383"/>
        <v>0</v>
      </c>
      <c r="BZ401" s="4">
        <f t="shared" si="384"/>
        <v>0</v>
      </c>
      <c r="CA401" s="4">
        <f t="shared" si="385"/>
        <v>0</v>
      </c>
      <c r="CB401" s="4">
        <f t="shared" si="386"/>
        <v>0</v>
      </c>
      <c r="CC401" s="4">
        <f t="shared" si="387"/>
        <v>0</v>
      </c>
      <c r="CD401" s="4">
        <f t="shared" si="388"/>
        <v>0</v>
      </c>
      <c r="CE401" s="4">
        <f t="shared" si="389"/>
        <v>0</v>
      </c>
      <c r="CF401" s="4">
        <f t="shared" si="390"/>
        <v>0</v>
      </c>
      <c r="CG401" s="4">
        <f t="shared" si="391"/>
        <v>0</v>
      </c>
      <c r="CH401" s="4">
        <f t="shared" si="392"/>
        <v>0</v>
      </c>
      <c r="CI401" s="4">
        <f t="shared" si="393"/>
        <v>0</v>
      </c>
      <c r="CJ401" s="4">
        <f t="shared" si="394"/>
        <v>0</v>
      </c>
      <c r="CK401" s="4">
        <f t="shared" si="395"/>
        <v>0</v>
      </c>
      <c r="CL401" s="4">
        <f t="shared" si="396"/>
        <v>0</v>
      </c>
      <c r="CM401" s="4">
        <f t="shared" si="397"/>
        <v>0</v>
      </c>
      <c r="CN401" s="4">
        <f t="shared" si="398"/>
        <v>0</v>
      </c>
      <c r="CO401" s="4">
        <f t="shared" si="399"/>
        <v>0</v>
      </c>
      <c r="CP401" s="4">
        <f t="shared" si="400"/>
        <v>0</v>
      </c>
      <c r="CQ401" s="4">
        <f t="shared" si="401"/>
        <v>0</v>
      </c>
      <c r="CR401" s="4">
        <f t="shared" si="402"/>
        <v>0</v>
      </c>
      <c r="CS401" s="4">
        <f t="shared" si="403"/>
        <v>0</v>
      </c>
      <c r="CT401" s="4">
        <f t="shared" si="404"/>
        <v>0</v>
      </c>
      <c r="CU401" s="4">
        <f t="shared" si="405"/>
        <v>0</v>
      </c>
      <c r="CV401" s="4">
        <f t="shared" si="406"/>
        <v>0</v>
      </c>
      <c r="CW401" s="4">
        <f t="shared" si="407"/>
        <v>0</v>
      </c>
      <c r="CX401" s="4">
        <f t="shared" si="408"/>
        <v>0</v>
      </c>
      <c r="CY401" s="4">
        <f t="shared" si="409"/>
        <v>0</v>
      </c>
      <c r="CZ401" s="4">
        <f t="shared" si="410"/>
        <v>0</v>
      </c>
      <c r="DA401" s="4">
        <f t="shared" si="411"/>
        <v>0</v>
      </c>
      <c r="DB401" s="4">
        <f t="shared" si="412"/>
        <v>0</v>
      </c>
      <c r="DC401" s="4">
        <f t="shared" si="413"/>
        <v>0</v>
      </c>
      <c r="DD401" s="4">
        <f t="shared" si="414"/>
        <v>0</v>
      </c>
    </row>
    <row r="402" spans="1:108" x14ac:dyDescent="0.25">
      <c r="A402" s="41" t="str">
        <f>Skills!M384</f>
        <v>Spell Trickery, List 2</v>
      </c>
      <c r="B402" s="55" t="str">
        <f>Skills!N384</f>
        <v>List 2</v>
      </c>
      <c r="C402" s="22">
        <f t="shared" si="415"/>
        <v>0</v>
      </c>
      <c r="D402" s="112" t="e">
        <f>Skills!S384</f>
        <v>#N/A</v>
      </c>
      <c r="E402" s="113" t="e">
        <f>Profession!$B$180</f>
        <v>#REF!</v>
      </c>
      <c r="F402" s="19"/>
      <c r="G402" s="19"/>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56"/>
      <c r="BF402" s="4">
        <f t="shared" si="365"/>
        <v>0</v>
      </c>
      <c r="BG402" s="4">
        <f t="shared" si="365"/>
        <v>0</v>
      </c>
      <c r="BH402" s="4">
        <f t="shared" si="366"/>
        <v>0</v>
      </c>
      <c r="BI402" s="4">
        <f t="shared" si="367"/>
        <v>0</v>
      </c>
      <c r="BJ402" s="4">
        <f t="shared" si="368"/>
        <v>0</v>
      </c>
      <c r="BK402" s="4">
        <f t="shared" si="369"/>
        <v>0</v>
      </c>
      <c r="BL402" s="4">
        <f t="shared" si="370"/>
        <v>0</v>
      </c>
      <c r="BM402" s="4">
        <f t="shared" si="371"/>
        <v>0</v>
      </c>
      <c r="BN402" s="4">
        <f t="shared" si="372"/>
        <v>0</v>
      </c>
      <c r="BO402" s="4">
        <f t="shared" si="373"/>
        <v>0</v>
      </c>
      <c r="BP402" s="4">
        <f t="shared" si="374"/>
        <v>0</v>
      </c>
      <c r="BQ402" s="4">
        <f t="shared" si="375"/>
        <v>0</v>
      </c>
      <c r="BR402" s="4">
        <f t="shared" si="376"/>
        <v>0</v>
      </c>
      <c r="BS402" s="4">
        <f t="shared" si="377"/>
        <v>0</v>
      </c>
      <c r="BT402" s="4">
        <f t="shared" si="378"/>
        <v>0</v>
      </c>
      <c r="BU402" s="4">
        <f t="shared" si="379"/>
        <v>0</v>
      </c>
      <c r="BV402" s="4">
        <f t="shared" si="380"/>
        <v>0</v>
      </c>
      <c r="BW402" s="4">
        <f t="shared" si="381"/>
        <v>0</v>
      </c>
      <c r="BX402" s="4">
        <f t="shared" si="382"/>
        <v>0</v>
      </c>
      <c r="BY402" s="4">
        <f t="shared" si="383"/>
        <v>0</v>
      </c>
      <c r="BZ402" s="4">
        <f t="shared" si="384"/>
        <v>0</v>
      </c>
      <c r="CA402" s="4">
        <f t="shared" si="385"/>
        <v>0</v>
      </c>
      <c r="CB402" s="4">
        <f t="shared" si="386"/>
        <v>0</v>
      </c>
      <c r="CC402" s="4">
        <f t="shared" si="387"/>
        <v>0</v>
      </c>
      <c r="CD402" s="4">
        <f t="shared" si="388"/>
        <v>0</v>
      </c>
      <c r="CE402" s="4">
        <f t="shared" si="389"/>
        <v>0</v>
      </c>
      <c r="CF402" s="4">
        <f t="shared" si="390"/>
        <v>0</v>
      </c>
      <c r="CG402" s="4">
        <f t="shared" si="391"/>
        <v>0</v>
      </c>
      <c r="CH402" s="4">
        <f t="shared" si="392"/>
        <v>0</v>
      </c>
      <c r="CI402" s="4">
        <f t="shared" si="393"/>
        <v>0</v>
      </c>
      <c r="CJ402" s="4">
        <f t="shared" si="394"/>
        <v>0</v>
      </c>
      <c r="CK402" s="4">
        <f t="shared" si="395"/>
        <v>0</v>
      </c>
      <c r="CL402" s="4">
        <f t="shared" si="396"/>
        <v>0</v>
      </c>
      <c r="CM402" s="4">
        <f t="shared" si="397"/>
        <v>0</v>
      </c>
      <c r="CN402" s="4">
        <f t="shared" si="398"/>
        <v>0</v>
      </c>
      <c r="CO402" s="4">
        <f t="shared" si="399"/>
        <v>0</v>
      </c>
      <c r="CP402" s="4">
        <f t="shared" si="400"/>
        <v>0</v>
      </c>
      <c r="CQ402" s="4">
        <f t="shared" si="401"/>
        <v>0</v>
      </c>
      <c r="CR402" s="4">
        <f t="shared" si="402"/>
        <v>0</v>
      </c>
      <c r="CS402" s="4">
        <f t="shared" si="403"/>
        <v>0</v>
      </c>
      <c r="CT402" s="4">
        <f t="shared" si="404"/>
        <v>0</v>
      </c>
      <c r="CU402" s="4">
        <f t="shared" si="405"/>
        <v>0</v>
      </c>
      <c r="CV402" s="4">
        <f t="shared" si="406"/>
        <v>0</v>
      </c>
      <c r="CW402" s="4">
        <f t="shared" si="407"/>
        <v>0</v>
      </c>
      <c r="CX402" s="4">
        <f t="shared" si="408"/>
        <v>0</v>
      </c>
      <c r="CY402" s="4">
        <f t="shared" si="409"/>
        <v>0</v>
      </c>
      <c r="CZ402" s="4">
        <f t="shared" si="410"/>
        <v>0</v>
      </c>
      <c r="DA402" s="4">
        <f t="shared" si="411"/>
        <v>0</v>
      </c>
      <c r="DB402" s="4">
        <f t="shared" si="412"/>
        <v>0</v>
      </c>
      <c r="DC402" s="4">
        <f t="shared" si="413"/>
        <v>0</v>
      </c>
      <c r="DD402" s="4">
        <f t="shared" si="414"/>
        <v>0</v>
      </c>
    </row>
    <row r="403" spans="1:108" x14ac:dyDescent="0.25">
      <c r="A403" s="41" t="str">
        <f>Skills!M385</f>
        <v>Spell Trickery, List 3</v>
      </c>
      <c r="B403" s="57" t="str">
        <f>Skills!N385</f>
        <v>List 3</v>
      </c>
      <c r="C403" s="24">
        <f t="shared" si="415"/>
        <v>0</v>
      </c>
      <c r="D403" s="110" t="e">
        <f>Skills!S385</f>
        <v>#N/A</v>
      </c>
      <c r="E403" s="111" t="e">
        <f>Profession!$B$180</f>
        <v>#REF!</v>
      </c>
      <c r="F403" s="18"/>
      <c r="G403" s="18"/>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49"/>
      <c r="BF403" s="4">
        <f t="shared" si="365"/>
        <v>0</v>
      </c>
      <c r="BG403" s="4">
        <f t="shared" si="365"/>
        <v>0</v>
      </c>
      <c r="BH403" s="4">
        <f t="shared" si="366"/>
        <v>0</v>
      </c>
      <c r="BI403" s="4">
        <f t="shared" si="367"/>
        <v>0</v>
      </c>
      <c r="BJ403" s="4">
        <f t="shared" si="368"/>
        <v>0</v>
      </c>
      <c r="BK403" s="4">
        <f t="shared" si="369"/>
        <v>0</v>
      </c>
      <c r="BL403" s="4">
        <f t="shared" si="370"/>
        <v>0</v>
      </c>
      <c r="BM403" s="4">
        <f t="shared" si="371"/>
        <v>0</v>
      </c>
      <c r="BN403" s="4">
        <f t="shared" si="372"/>
        <v>0</v>
      </c>
      <c r="BO403" s="4">
        <f t="shared" si="373"/>
        <v>0</v>
      </c>
      <c r="BP403" s="4">
        <f t="shared" si="374"/>
        <v>0</v>
      </c>
      <c r="BQ403" s="4">
        <f t="shared" si="375"/>
        <v>0</v>
      </c>
      <c r="BR403" s="4">
        <f t="shared" si="376"/>
        <v>0</v>
      </c>
      <c r="BS403" s="4">
        <f t="shared" si="377"/>
        <v>0</v>
      </c>
      <c r="BT403" s="4">
        <f t="shared" si="378"/>
        <v>0</v>
      </c>
      <c r="BU403" s="4">
        <f t="shared" si="379"/>
        <v>0</v>
      </c>
      <c r="BV403" s="4">
        <f t="shared" si="380"/>
        <v>0</v>
      </c>
      <c r="BW403" s="4">
        <f t="shared" si="381"/>
        <v>0</v>
      </c>
      <c r="BX403" s="4">
        <f t="shared" si="382"/>
        <v>0</v>
      </c>
      <c r="BY403" s="4">
        <f t="shared" si="383"/>
        <v>0</v>
      </c>
      <c r="BZ403" s="4">
        <f t="shared" si="384"/>
        <v>0</v>
      </c>
      <c r="CA403" s="4">
        <f t="shared" si="385"/>
        <v>0</v>
      </c>
      <c r="CB403" s="4">
        <f t="shared" si="386"/>
        <v>0</v>
      </c>
      <c r="CC403" s="4">
        <f t="shared" si="387"/>
        <v>0</v>
      </c>
      <c r="CD403" s="4">
        <f t="shared" si="388"/>
        <v>0</v>
      </c>
      <c r="CE403" s="4">
        <f t="shared" si="389"/>
        <v>0</v>
      </c>
      <c r="CF403" s="4">
        <f t="shared" si="390"/>
        <v>0</v>
      </c>
      <c r="CG403" s="4">
        <f t="shared" si="391"/>
        <v>0</v>
      </c>
      <c r="CH403" s="4">
        <f t="shared" si="392"/>
        <v>0</v>
      </c>
      <c r="CI403" s="4">
        <f t="shared" si="393"/>
        <v>0</v>
      </c>
      <c r="CJ403" s="4">
        <f t="shared" si="394"/>
        <v>0</v>
      </c>
      <c r="CK403" s="4">
        <f t="shared" si="395"/>
        <v>0</v>
      </c>
      <c r="CL403" s="4">
        <f t="shared" si="396"/>
        <v>0</v>
      </c>
      <c r="CM403" s="4">
        <f t="shared" si="397"/>
        <v>0</v>
      </c>
      <c r="CN403" s="4">
        <f t="shared" si="398"/>
        <v>0</v>
      </c>
      <c r="CO403" s="4">
        <f t="shared" si="399"/>
        <v>0</v>
      </c>
      <c r="CP403" s="4">
        <f t="shared" si="400"/>
        <v>0</v>
      </c>
      <c r="CQ403" s="4">
        <f t="shared" si="401"/>
        <v>0</v>
      </c>
      <c r="CR403" s="4">
        <f t="shared" si="402"/>
        <v>0</v>
      </c>
      <c r="CS403" s="4">
        <f t="shared" si="403"/>
        <v>0</v>
      </c>
      <c r="CT403" s="4">
        <f t="shared" si="404"/>
        <v>0</v>
      </c>
      <c r="CU403" s="4">
        <f t="shared" si="405"/>
        <v>0</v>
      </c>
      <c r="CV403" s="4">
        <f t="shared" si="406"/>
        <v>0</v>
      </c>
      <c r="CW403" s="4">
        <f t="shared" si="407"/>
        <v>0</v>
      </c>
      <c r="CX403" s="4">
        <f t="shared" si="408"/>
        <v>0</v>
      </c>
      <c r="CY403" s="4">
        <f t="shared" si="409"/>
        <v>0</v>
      </c>
      <c r="CZ403" s="4">
        <f t="shared" si="410"/>
        <v>0</v>
      </c>
      <c r="DA403" s="4">
        <f t="shared" si="411"/>
        <v>0</v>
      </c>
      <c r="DB403" s="4">
        <f t="shared" si="412"/>
        <v>0</v>
      </c>
      <c r="DC403" s="4">
        <f t="shared" si="413"/>
        <v>0</v>
      </c>
      <c r="DD403" s="4">
        <f t="shared" si="414"/>
        <v>0</v>
      </c>
    </row>
    <row r="404" spans="1:108" x14ac:dyDescent="0.25">
      <c r="A404" s="41" t="str">
        <f>Skills!M386</f>
        <v>Spell Trickery, 0</v>
      </c>
      <c r="B404" s="55">
        <f>Skills!N386</f>
        <v>0</v>
      </c>
      <c r="C404" s="22">
        <f t="shared" si="415"/>
        <v>0</v>
      </c>
      <c r="D404" s="112" t="e">
        <f>Skills!S386</f>
        <v>#N/A</v>
      </c>
      <c r="E404" s="113" t="e">
        <f>Profession!$B$180</f>
        <v>#REF!</v>
      </c>
      <c r="F404" s="19"/>
      <c r="G404" s="19"/>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56"/>
      <c r="BF404" s="4">
        <f t="shared" si="365"/>
        <v>0</v>
      </c>
      <c r="BG404" s="4">
        <f t="shared" si="365"/>
        <v>0</v>
      </c>
      <c r="BH404" s="4">
        <f t="shared" si="366"/>
        <v>0</v>
      </c>
      <c r="BI404" s="4">
        <f t="shared" si="367"/>
        <v>0</v>
      </c>
      <c r="BJ404" s="4">
        <f t="shared" si="368"/>
        <v>0</v>
      </c>
      <c r="BK404" s="4">
        <f t="shared" si="369"/>
        <v>0</v>
      </c>
      <c r="BL404" s="4">
        <f t="shared" si="370"/>
        <v>0</v>
      </c>
      <c r="BM404" s="4">
        <f t="shared" si="371"/>
        <v>0</v>
      </c>
      <c r="BN404" s="4">
        <f t="shared" si="372"/>
        <v>0</v>
      </c>
      <c r="BO404" s="4">
        <f t="shared" si="373"/>
        <v>0</v>
      </c>
      <c r="BP404" s="4">
        <f t="shared" si="374"/>
        <v>0</v>
      </c>
      <c r="BQ404" s="4">
        <f t="shared" si="375"/>
        <v>0</v>
      </c>
      <c r="BR404" s="4">
        <f t="shared" si="376"/>
        <v>0</v>
      </c>
      <c r="BS404" s="4">
        <f t="shared" si="377"/>
        <v>0</v>
      </c>
      <c r="BT404" s="4">
        <f t="shared" si="378"/>
        <v>0</v>
      </c>
      <c r="BU404" s="4">
        <f t="shared" si="379"/>
        <v>0</v>
      </c>
      <c r="BV404" s="4">
        <f t="shared" si="380"/>
        <v>0</v>
      </c>
      <c r="BW404" s="4">
        <f t="shared" si="381"/>
        <v>0</v>
      </c>
      <c r="BX404" s="4">
        <f t="shared" si="382"/>
        <v>0</v>
      </c>
      <c r="BY404" s="4">
        <f t="shared" si="383"/>
        <v>0</v>
      </c>
      <c r="BZ404" s="4">
        <f t="shared" si="384"/>
        <v>0</v>
      </c>
      <c r="CA404" s="4">
        <f t="shared" si="385"/>
        <v>0</v>
      </c>
      <c r="CB404" s="4">
        <f t="shared" si="386"/>
        <v>0</v>
      </c>
      <c r="CC404" s="4">
        <f t="shared" si="387"/>
        <v>0</v>
      </c>
      <c r="CD404" s="4">
        <f t="shared" si="388"/>
        <v>0</v>
      </c>
      <c r="CE404" s="4">
        <f t="shared" si="389"/>
        <v>0</v>
      </c>
      <c r="CF404" s="4">
        <f t="shared" si="390"/>
        <v>0</v>
      </c>
      <c r="CG404" s="4">
        <f t="shared" si="391"/>
        <v>0</v>
      </c>
      <c r="CH404" s="4">
        <f t="shared" si="392"/>
        <v>0</v>
      </c>
      <c r="CI404" s="4">
        <f t="shared" si="393"/>
        <v>0</v>
      </c>
      <c r="CJ404" s="4">
        <f t="shared" si="394"/>
        <v>0</v>
      </c>
      <c r="CK404" s="4">
        <f t="shared" si="395"/>
        <v>0</v>
      </c>
      <c r="CL404" s="4">
        <f t="shared" si="396"/>
        <v>0</v>
      </c>
      <c r="CM404" s="4">
        <f t="shared" si="397"/>
        <v>0</v>
      </c>
      <c r="CN404" s="4">
        <f t="shared" si="398"/>
        <v>0</v>
      </c>
      <c r="CO404" s="4">
        <f t="shared" si="399"/>
        <v>0</v>
      </c>
      <c r="CP404" s="4">
        <f t="shared" si="400"/>
        <v>0</v>
      </c>
      <c r="CQ404" s="4">
        <f t="shared" si="401"/>
        <v>0</v>
      </c>
      <c r="CR404" s="4">
        <f t="shared" si="402"/>
        <v>0</v>
      </c>
      <c r="CS404" s="4">
        <f t="shared" si="403"/>
        <v>0</v>
      </c>
      <c r="CT404" s="4">
        <f t="shared" si="404"/>
        <v>0</v>
      </c>
      <c r="CU404" s="4">
        <f t="shared" si="405"/>
        <v>0</v>
      </c>
      <c r="CV404" s="4">
        <f t="shared" si="406"/>
        <v>0</v>
      </c>
      <c r="CW404" s="4">
        <f t="shared" si="407"/>
        <v>0</v>
      </c>
      <c r="CX404" s="4">
        <f t="shared" si="408"/>
        <v>0</v>
      </c>
      <c r="CY404" s="4">
        <f t="shared" si="409"/>
        <v>0</v>
      </c>
      <c r="CZ404" s="4">
        <f t="shared" si="410"/>
        <v>0</v>
      </c>
      <c r="DA404" s="4">
        <f t="shared" si="411"/>
        <v>0</v>
      </c>
      <c r="DB404" s="4">
        <f t="shared" si="412"/>
        <v>0</v>
      </c>
      <c r="DC404" s="4">
        <f t="shared" si="413"/>
        <v>0</v>
      </c>
      <c r="DD404" s="4">
        <f t="shared" si="414"/>
        <v>0</v>
      </c>
    </row>
    <row r="405" spans="1:108" x14ac:dyDescent="0.25">
      <c r="A405" s="41" t="str">
        <f>Skills!M387</f>
        <v>Spell Trickery, 0</v>
      </c>
      <c r="B405" s="57">
        <f>Skills!N387</f>
        <v>0</v>
      </c>
      <c r="C405" s="24">
        <f t="shared" si="415"/>
        <v>0</v>
      </c>
      <c r="D405" s="110" t="e">
        <f>Skills!S387</f>
        <v>#N/A</v>
      </c>
      <c r="E405" s="111" t="e">
        <f>Profession!$B$180</f>
        <v>#REF!</v>
      </c>
      <c r="F405" s="18"/>
      <c r="G405" s="18"/>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49"/>
      <c r="BF405" s="4">
        <f t="shared" si="365"/>
        <v>0</v>
      </c>
      <c r="BG405" s="4">
        <f t="shared" si="365"/>
        <v>0</v>
      </c>
      <c r="BH405" s="4">
        <f t="shared" si="366"/>
        <v>0</v>
      </c>
      <c r="BI405" s="4">
        <f t="shared" si="367"/>
        <v>0</v>
      </c>
      <c r="BJ405" s="4">
        <f t="shared" si="368"/>
        <v>0</v>
      </c>
      <c r="BK405" s="4">
        <f t="shared" si="369"/>
        <v>0</v>
      </c>
      <c r="BL405" s="4">
        <f t="shared" si="370"/>
        <v>0</v>
      </c>
      <c r="BM405" s="4">
        <f t="shared" si="371"/>
        <v>0</v>
      </c>
      <c r="BN405" s="4">
        <f t="shared" si="372"/>
        <v>0</v>
      </c>
      <c r="BO405" s="4">
        <f t="shared" si="373"/>
        <v>0</v>
      </c>
      <c r="BP405" s="4">
        <f t="shared" si="374"/>
        <v>0</v>
      </c>
      <c r="BQ405" s="4">
        <f t="shared" si="375"/>
        <v>0</v>
      </c>
      <c r="BR405" s="4">
        <f t="shared" si="376"/>
        <v>0</v>
      </c>
      <c r="BS405" s="4">
        <f t="shared" si="377"/>
        <v>0</v>
      </c>
      <c r="BT405" s="4">
        <f t="shared" si="378"/>
        <v>0</v>
      </c>
      <c r="BU405" s="4">
        <f t="shared" si="379"/>
        <v>0</v>
      </c>
      <c r="BV405" s="4">
        <f t="shared" si="380"/>
        <v>0</v>
      </c>
      <c r="BW405" s="4">
        <f t="shared" si="381"/>
        <v>0</v>
      </c>
      <c r="BX405" s="4">
        <f t="shared" si="382"/>
        <v>0</v>
      </c>
      <c r="BY405" s="4">
        <f t="shared" si="383"/>
        <v>0</v>
      </c>
      <c r="BZ405" s="4">
        <f t="shared" si="384"/>
        <v>0</v>
      </c>
      <c r="CA405" s="4">
        <f t="shared" si="385"/>
        <v>0</v>
      </c>
      <c r="CB405" s="4">
        <f t="shared" si="386"/>
        <v>0</v>
      </c>
      <c r="CC405" s="4">
        <f t="shared" si="387"/>
        <v>0</v>
      </c>
      <c r="CD405" s="4">
        <f t="shared" si="388"/>
        <v>0</v>
      </c>
      <c r="CE405" s="4">
        <f t="shared" si="389"/>
        <v>0</v>
      </c>
      <c r="CF405" s="4">
        <f t="shared" si="390"/>
        <v>0</v>
      </c>
      <c r="CG405" s="4">
        <f t="shared" si="391"/>
        <v>0</v>
      </c>
      <c r="CH405" s="4">
        <f t="shared" si="392"/>
        <v>0</v>
      </c>
      <c r="CI405" s="4">
        <f t="shared" si="393"/>
        <v>0</v>
      </c>
      <c r="CJ405" s="4">
        <f t="shared" si="394"/>
        <v>0</v>
      </c>
      <c r="CK405" s="4">
        <f t="shared" si="395"/>
        <v>0</v>
      </c>
      <c r="CL405" s="4">
        <f t="shared" si="396"/>
        <v>0</v>
      </c>
      <c r="CM405" s="4">
        <f t="shared" si="397"/>
        <v>0</v>
      </c>
      <c r="CN405" s="4">
        <f t="shared" si="398"/>
        <v>0</v>
      </c>
      <c r="CO405" s="4">
        <f t="shared" si="399"/>
        <v>0</v>
      </c>
      <c r="CP405" s="4">
        <f t="shared" si="400"/>
        <v>0</v>
      </c>
      <c r="CQ405" s="4">
        <f t="shared" si="401"/>
        <v>0</v>
      </c>
      <c r="CR405" s="4">
        <f t="shared" si="402"/>
        <v>0</v>
      </c>
      <c r="CS405" s="4">
        <f t="shared" si="403"/>
        <v>0</v>
      </c>
      <c r="CT405" s="4">
        <f t="shared" si="404"/>
        <v>0</v>
      </c>
      <c r="CU405" s="4">
        <f t="shared" si="405"/>
        <v>0</v>
      </c>
      <c r="CV405" s="4">
        <f t="shared" si="406"/>
        <v>0</v>
      </c>
      <c r="CW405" s="4">
        <f t="shared" si="407"/>
        <v>0</v>
      </c>
      <c r="CX405" s="4">
        <f t="shared" si="408"/>
        <v>0</v>
      </c>
      <c r="CY405" s="4">
        <f t="shared" si="409"/>
        <v>0</v>
      </c>
      <c r="CZ405" s="4">
        <f t="shared" si="410"/>
        <v>0</v>
      </c>
      <c r="DA405" s="4">
        <f t="shared" si="411"/>
        <v>0</v>
      </c>
      <c r="DB405" s="4">
        <f t="shared" si="412"/>
        <v>0</v>
      </c>
      <c r="DC405" s="4">
        <f t="shared" si="413"/>
        <v>0</v>
      </c>
      <c r="DD405" s="4">
        <f t="shared" si="414"/>
        <v>0</v>
      </c>
    </row>
    <row r="406" spans="1:108" x14ac:dyDescent="0.25">
      <c r="A406" s="41">
        <f>Skills!M388</f>
        <v>0</v>
      </c>
      <c r="B406" s="55" t="str">
        <f>Skills!N388</f>
        <v>Power Manipulation Category</v>
      </c>
      <c r="C406" s="22">
        <f t="shared" si="415"/>
        <v>0</v>
      </c>
      <c r="D406" s="112" t="str">
        <f>Skills!S388</f>
        <v>- -</v>
      </c>
      <c r="E406" s="113" t="s">
        <v>782</v>
      </c>
      <c r="F406" s="19"/>
      <c r="G406" s="19"/>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56"/>
      <c r="BF406" s="4">
        <f t="shared" si="365"/>
        <v>0</v>
      </c>
      <c r="BG406" s="4">
        <f t="shared" si="365"/>
        <v>0</v>
      </c>
      <c r="BH406" s="4">
        <f t="shared" si="366"/>
        <v>0</v>
      </c>
      <c r="BI406" s="4">
        <f t="shared" si="367"/>
        <v>0</v>
      </c>
      <c r="BJ406" s="4">
        <f t="shared" si="368"/>
        <v>0</v>
      </c>
      <c r="BK406" s="4">
        <f t="shared" si="369"/>
        <v>0</v>
      </c>
      <c r="BL406" s="4">
        <f t="shared" si="370"/>
        <v>0</v>
      </c>
      <c r="BM406" s="4">
        <f t="shared" si="371"/>
        <v>0</v>
      </c>
      <c r="BN406" s="4">
        <f t="shared" si="372"/>
        <v>0</v>
      </c>
      <c r="BO406" s="4">
        <f t="shared" si="373"/>
        <v>0</v>
      </c>
      <c r="BP406" s="4">
        <f t="shared" si="374"/>
        <v>0</v>
      </c>
      <c r="BQ406" s="4">
        <f t="shared" si="375"/>
        <v>0</v>
      </c>
      <c r="BR406" s="4">
        <f t="shared" si="376"/>
        <v>0</v>
      </c>
      <c r="BS406" s="4">
        <f t="shared" si="377"/>
        <v>0</v>
      </c>
      <c r="BT406" s="4">
        <f t="shared" si="378"/>
        <v>0</v>
      </c>
      <c r="BU406" s="4">
        <f t="shared" si="379"/>
        <v>0</v>
      </c>
      <c r="BV406" s="4">
        <f t="shared" si="380"/>
        <v>0</v>
      </c>
      <c r="BW406" s="4">
        <f t="shared" si="381"/>
        <v>0</v>
      </c>
      <c r="BX406" s="4">
        <f t="shared" si="382"/>
        <v>0</v>
      </c>
      <c r="BY406" s="4">
        <f t="shared" si="383"/>
        <v>0</v>
      </c>
      <c r="BZ406" s="4">
        <f t="shared" si="384"/>
        <v>0</v>
      </c>
      <c r="CA406" s="4">
        <f t="shared" si="385"/>
        <v>0</v>
      </c>
      <c r="CB406" s="4">
        <f t="shared" si="386"/>
        <v>0</v>
      </c>
      <c r="CC406" s="4">
        <f t="shared" si="387"/>
        <v>0</v>
      </c>
      <c r="CD406" s="4">
        <f t="shared" si="388"/>
        <v>0</v>
      </c>
      <c r="CE406" s="4">
        <f t="shared" si="389"/>
        <v>0</v>
      </c>
      <c r="CF406" s="4">
        <f t="shared" si="390"/>
        <v>0</v>
      </c>
      <c r="CG406" s="4">
        <f t="shared" si="391"/>
        <v>0</v>
      </c>
      <c r="CH406" s="4">
        <f t="shared" si="392"/>
        <v>0</v>
      </c>
      <c r="CI406" s="4">
        <f t="shared" si="393"/>
        <v>0</v>
      </c>
      <c r="CJ406" s="4">
        <f t="shared" si="394"/>
        <v>0</v>
      </c>
      <c r="CK406" s="4">
        <f t="shared" si="395"/>
        <v>0</v>
      </c>
      <c r="CL406" s="4">
        <f t="shared" si="396"/>
        <v>0</v>
      </c>
      <c r="CM406" s="4">
        <f t="shared" si="397"/>
        <v>0</v>
      </c>
      <c r="CN406" s="4">
        <f t="shared" si="398"/>
        <v>0</v>
      </c>
      <c r="CO406" s="4">
        <f t="shared" si="399"/>
        <v>0</v>
      </c>
      <c r="CP406" s="4">
        <f t="shared" si="400"/>
        <v>0</v>
      </c>
      <c r="CQ406" s="4">
        <f t="shared" si="401"/>
        <v>0</v>
      </c>
      <c r="CR406" s="4">
        <f t="shared" si="402"/>
        <v>0</v>
      </c>
      <c r="CS406" s="4">
        <f t="shared" si="403"/>
        <v>0</v>
      </c>
      <c r="CT406" s="4">
        <f t="shared" si="404"/>
        <v>0</v>
      </c>
      <c r="CU406" s="4">
        <f t="shared" si="405"/>
        <v>0</v>
      </c>
      <c r="CV406" s="4">
        <f t="shared" si="406"/>
        <v>0</v>
      </c>
      <c r="CW406" s="4">
        <f t="shared" si="407"/>
        <v>0</v>
      </c>
      <c r="CX406" s="4">
        <f t="shared" si="408"/>
        <v>0</v>
      </c>
      <c r="CY406" s="4">
        <f t="shared" si="409"/>
        <v>0</v>
      </c>
      <c r="CZ406" s="4">
        <f t="shared" si="410"/>
        <v>0</v>
      </c>
      <c r="DA406" s="4">
        <f t="shared" si="411"/>
        <v>0</v>
      </c>
      <c r="DB406" s="4">
        <f t="shared" si="412"/>
        <v>0</v>
      </c>
      <c r="DC406" s="4">
        <f t="shared" si="413"/>
        <v>0</v>
      </c>
      <c r="DD406" s="4">
        <f t="shared" si="414"/>
        <v>0</v>
      </c>
    </row>
    <row r="407" spans="1:108" x14ac:dyDescent="0.25">
      <c r="A407" s="41">
        <f>Skills!M389</f>
        <v>0</v>
      </c>
      <c r="B407" s="57" t="str">
        <f>Skills!N389</f>
        <v>Power Manipulation Skills (cat)</v>
      </c>
      <c r="C407" s="24">
        <f t="shared" si="415"/>
        <v>0</v>
      </c>
      <c r="D407" s="110" t="str">
        <f>Skills!S389</f>
        <v>- -</v>
      </c>
      <c r="E407" s="111" t="s">
        <v>782</v>
      </c>
      <c r="F407" s="18"/>
      <c r="G407" s="18"/>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49"/>
      <c r="BF407" s="4">
        <f t="shared" si="365"/>
        <v>0</v>
      </c>
      <c r="BG407" s="4">
        <f t="shared" si="365"/>
        <v>0</v>
      </c>
      <c r="BH407" s="4">
        <f t="shared" si="366"/>
        <v>0</v>
      </c>
      <c r="BI407" s="4">
        <f t="shared" si="367"/>
        <v>0</v>
      </c>
      <c r="BJ407" s="4">
        <f t="shared" si="368"/>
        <v>0</v>
      </c>
      <c r="BK407" s="4">
        <f t="shared" si="369"/>
        <v>0</v>
      </c>
      <c r="BL407" s="4">
        <f t="shared" si="370"/>
        <v>0</v>
      </c>
      <c r="BM407" s="4">
        <f t="shared" si="371"/>
        <v>0</v>
      </c>
      <c r="BN407" s="4">
        <f t="shared" si="372"/>
        <v>0</v>
      </c>
      <c r="BO407" s="4">
        <f t="shared" si="373"/>
        <v>0</v>
      </c>
      <c r="BP407" s="4">
        <f t="shared" si="374"/>
        <v>0</v>
      </c>
      <c r="BQ407" s="4">
        <f t="shared" si="375"/>
        <v>0</v>
      </c>
      <c r="BR407" s="4">
        <f t="shared" si="376"/>
        <v>0</v>
      </c>
      <c r="BS407" s="4">
        <f t="shared" si="377"/>
        <v>0</v>
      </c>
      <c r="BT407" s="4">
        <f t="shared" si="378"/>
        <v>0</v>
      </c>
      <c r="BU407" s="4">
        <f t="shared" si="379"/>
        <v>0</v>
      </c>
      <c r="BV407" s="4">
        <f t="shared" si="380"/>
        <v>0</v>
      </c>
      <c r="BW407" s="4">
        <f t="shared" si="381"/>
        <v>0</v>
      </c>
      <c r="BX407" s="4">
        <f t="shared" si="382"/>
        <v>0</v>
      </c>
      <c r="BY407" s="4">
        <f t="shared" si="383"/>
        <v>0</v>
      </c>
      <c r="BZ407" s="4">
        <f t="shared" si="384"/>
        <v>0</v>
      </c>
      <c r="CA407" s="4">
        <f t="shared" si="385"/>
        <v>0</v>
      </c>
      <c r="CB407" s="4">
        <f t="shared" si="386"/>
        <v>0</v>
      </c>
      <c r="CC407" s="4">
        <f t="shared" si="387"/>
        <v>0</v>
      </c>
      <c r="CD407" s="4">
        <f t="shared" si="388"/>
        <v>0</v>
      </c>
      <c r="CE407" s="4">
        <f t="shared" si="389"/>
        <v>0</v>
      </c>
      <c r="CF407" s="4">
        <f t="shared" si="390"/>
        <v>0</v>
      </c>
      <c r="CG407" s="4">
        <f t="shared" si="391"/>
        <v>0</v>
      </c>
      <c r="CH407" s="4">
        <f t="shared" si="392"/>
        <v>0</v>
      </c>
      <c r="CI407" s="4">
        <f t="shared" si="393"/>
        <v>0</v>
      </c>
      <c r="CJ407" s="4">
        <f t="shared" si="394"/>
        <v>0</v>
      </c>
      <c r="CK407" s="4">
        <f t="shared" si="395"/>
        <v>0</v>
      </c>
      <c r="CL407" s="4">
        <f t="shared" si="396"/>
        <v>0</v>
      </c>
      <c r="CM407" s="4">
        <f t="shared" si="397"/>
        <v>0</v>
      </c>
      <c r="CN407" s="4">
        <f t="shared" si="398"/>
        <v>0</v>
      </c>
      <c r="CO407" s="4">
        <f t="shared" si="399"/>
        <v>0</v>
      </c>
      <c r="CP407" s="4">
        <f t="shared" si="400"/>
        <v>0</v>
      </c>
      <c r="CQ407" s="4">
        <f t="shared" si="401"/>
        <v>0</v>
      </c>
      <c r="CR407" s="4">
        <f t="shared" si="402"/>
        <v>0</v>
      </c>
      <c r="CS407" s="4">
        <f t="shared" si="403"/>
        <v>0</v>
      </c>
      <c r="CT407" s="4">
        <f t="shared" si="404"/>
        <v>0</v>
      </c>
      <c r="CU407" s="4">
        <f t="shared" si="405"/>
        <v>0</v>
      </c>
      <c r="CV407" s="4">
        <f t="shared" si="406"/>
        <v>0</v>
      </c>
      <c r="CW407" s="4">
        <f t="shared" si="407"/>
        <v>0</v>
      </c>
      <c r="CX407" s="4">
        <f t="shared" si="408"/>
        <v>0</v>
      </c>
      <c r="CY407" s="4">
        <f t="shared" si="409"/>
        <v>0</v>
      </c>
      <c r="CZ407" s="4">
        <f t="shared" si="410"/>
        <v>0</v>
      </c>
      <c r="DA407" s="4">
        <f t="shared" si="411"/>
        <v>0</v>
      </c>
      <c r="DB407" s="4">
        <f t="shared" si="412"/>
        <v>0</v>
      </c>
      <c r="DC407" s="4">
        <f t="shared" si="413"/>
        <v>0</v>
      </c>
      <c r="DD407" s="4">
        <f t="shared" si="414"/>
        <v>0</v>
      </c>
    </row>
    <row r="408" spans="1:108" x14ac:dyDescent="0.25">
      <c r="A408" s="41">
        <f>Skills!M390</f>
        <v>0</v>
      </c>
      <c r="B408" s="55" t="str">
        <f>Skills!N390</f>
        <v>Power Manipulation Sub-category</v>
      </c>
      <c r="C408" s="22">
        <f t="shared" si="415"/>
        <v>0</v>
      </c>
      <c r="D408" s="112" t="str">
        <f>Skills!S390</f>
        <v>- -</v>
      </c>
      <c r="E408" s="113" t="s">
        <v>782</v>
      </c>
      <c r="F408" s="19"/>
      <c r="G408" s="19"/>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56"/>
      <c r="BF408" s="4">
        <f t="shared" si="365"/>
        <v>0</v>
      </c>
      <c r="BG408" s="4">
        <f t="shared" si="365"/>
        <v>0</v>
      </c>
      <c r="BH408" s="4">
        <f t="shared" si="366"/>
        <v>0</v>
      </c>
      <c r="BI408" s="4">
        <f t="shared" si="367"/>
        <v>0</v>
      </c>
      <c r="BJ408" s="4">
        <f t="shared" si="368"/>
        <v>0</v>
      </c>
      <c r="BK408" s="4">
        <f t="shared" si="369"/>
        <v>0</v>
      </c>
      <c r="BL408" s="4">
        <f t="shared" si="370"/>
        <v>0</v>
      </c>
      <c r="BM408" s="4">
        <f t="shared" si="371"/>
        <v>0</v>
      </c>
      <c r="BN408" s="4">
        <f t="shared" si="372"/>
        <v>0</v>
      </c>
      <c r="BO408" s="4">
        <f t="shared" si="373"/>
        <v>0</v>
      </c>
      <c r="BP408" s="4">
        <f t="shared" si="374"/>
        <v>0</v>
      </c>
      <c r="BQ408" s="4">
        <f t="shared" si="375"/>
        <v>0</v>
      </c>
      <c r="BR408" s="4">
        <f t="shared" si="376"/>
        <v>0</v>
      </c>
      <c r="BS408" s="4">
        <f t="shared" si="377"/>
        <v>0</v>
      </c>
      <c r="BT408" s="4">
        <f t="shared" si="378"/>
        <v>0</v>
      </c>
      <c r="BU408" s="4">
        <f t="shared" si="379"/>
        <v>0</v>
      </c>
      <c r="BV408" s="4">
        <f t="shared" si="380"/>
        <v>0</v>
      </c>
      <c r="BW408" s="4">
        <f t="shared" si="381"/>
        <v>0</v>
      </c>
      <c r="BX408" s="4">
        <f t="shared" si="382"/>
        <v>0</v>
      </c>
      <c r="BY408" s="4">
        <f t="shared" si="383"/>
        <v>0</v>
      </c>
      <c r="BZ408" s="4">
        <f t="shared" si="384"/>
        <v>0</v>
      </c>
      <c r="CA408" s="4">
        <f t="shared" si="385"/>
        <v>0</v>
      </c>
      <c r="CB408" s="4">
        <f t="shared" si="386"/>
        <v>0</v>
      </c>
      <c r="CC408" s="4">
        <f t="shared" si="387"/>
        <v>0</v>
      </c>
      <c r="CD408" s="4">
        <f t="shared" si="388"/>
        <v>0</v>
      </c>
      <c r="CE408" s="4">
        <f t="shared" si="389"/>
        <v>0</v>
      </c>
      <c r="CF408" s="4">
        <f t="shared" si="390"/>
        <v>0</v>
      </c>
      <c r="CG408" s="4">
        <f t="shared" si="391"/>
        <v>0</v>
      </c>
      <c r="CH408" s="4">
        <f t="shared" si="392"/>
        <v>0</v>
      </c>
      <c r="CI408" s="4">
        <f t="shared" si="393"/>
        <v>0</v>
      </c>
      <c r="CJ408" s="4">
        <f t="shared" si="394"/>
        <v>0</v>
      </c>
      <c r="CK408" s="4">
        <f t="shared" si="395"/>
        <v>0</v>
      </c>
      <c r="CL408" s="4">
        <f t="shared" si="396"/>
        <v>0</v>
      </c>
      <c r="CM408" s="4">
        <f t="shared" si="397"/>
        <v>0</v>
      </c>
      <c r="CN408" s="4">
        <f t="shared" si="398"/>
        <v>0</v>
      </c>
      <c r="CO408" s="4">
        <f t="shared" si="399"/>
        <v>0</v>
      </c>
      <c r="CP408" s="4">
        <f t="shared" si="400"/>
        <v>0</v>
      </c>
      <c r="CQ408" s="4">
        <f t="shared" si="401"/>
        <v>0</v>
      </c>
      <c r="CR408" s="4">
        <f t="shared" si="402"/>
        <v>0</v>
      </c>
      <c r="CS408" s="4">
        <f t="shared" si="403"/>
        <v>0</v>
      </c>
      <c r="CT408" s="4">
        <f t="shared" si="404"/>
        <v>0</v>
      </c>
      <c r="CU408" s="4">
        <f t="shared" si="405"/>
        <v>0</v>
      </c>
      <c r="CV408" s="4">
        <f t="shared" si="406"/>
        <v>0</v>
      </c>
      <c r="CW408" s="4">
        <f t="shared" si="407"/>
        <v>0</v>
      </c>
      <c r="CX408" s="4">
        <f t="shared" si="408"/>
        <v>0</v>
      </c>
      <c r="CY408" s="4">
        <f t="shared" si="409"/>
        <v>0</v>
      </c>
      <c r="CZ408" s="4">
        <f t="shared" si="410"/>
        <v>0</v>
      </c>
      <c r="DA408" s="4">
        <f t="shared" si="411"/>
        <v>0</v>
      </c>
      <c r="DB408" s="4">
        <f t="shared" si="412"/>
        <v>0</v>
      </c>
      <c r="DC408" s="4">
        <f t="shared" si="413"/>
        <v>0</v>
      </c>
      <c r="DD408" s="4">
        <f t="shared" si="414"/>
        <v>0</v>
      </c>
    </row>
    <row r="409" spans="1:108" x14ac:dyDescent="0.25">
      <c r="A409" s="41">
        <f>Skills!M391</f>
        <v>0</v>
      </c>
      <c r="B409" s="57" t="str">
        <f>Skills!N391</f>
        <v>Power Manipulation Skills (sub-cat)</v>
      </c>
      <c r="C409" s="24">
        <f t="shared" si="415"/>
        <v>0</v>
      </c>
      <c r="D409" s="110" t="str">
        <f>Skills!S391</f>
        <v>- -</v>
      </c>
      <c r="E409" s="111" t="s">
        <v>782</v>
      </c>
      <c r="F409" s="18"/>
      <c r="G409" s="18"/>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49"/>
      <c r="BF409" s="4">
        <f t="shared" si="365"/>
        <v>0</v>
      </c>
      <c r="BG409" s="4">
        <f t="shared" si="365"/>
        <v>0</v>
      </c>
      <c r="BH409" s="4">
        <f t="shared" si="366"/>
        <v>0</v>
      </c>
      <c r="BI409" s="4">
        <f t="shared" si="367"/>
        <v>0</v>
      </c>
      <c r="BJ409" s="4">
        <f t="shared" si="368"/>
        <v>0</v>
      </c>
      <c r="BK409" s="4">
        <f t="shared" si="369"/>
        <v>0</v>
      </c>
      <c r="BL409" s="4">
        <f t="shared" si="370"/>
        <v>0</v>
      </c>
      <c r="BM409" s="4">
        <f t="shared" si="371"/>
        <v>0</v>
      </c>
      <c r="BN409" s="4">
        <f t="shared" si="372"/>
        <v>0</v>
      </c>
      <c r="BO409" s="4">
        <f t="shared" si="373"/>
        <v>0</v>
      </c>
      <c r="BP409" s="4">
        <f t="shared" si="374"/>
        <v>0</v>
      </c>
      <c r="BQ409" s="4">
        <f t="shared" si="375"/>
        <v>0</v>
      </c>
      <c r="BR409" s="4">
        <f t="shared" si="376"/>
        <v>0</v>
      </c>
      <c r="BS409" s="4">
        <f t="shared" si="377"/>
        <v>0</v>
      </c>
      <c r="BT409" s="4">
        <f t="shared" si="378"/>
        <v>0</v>
      </c>
      <c r="BU409" s="4">
        <f t="shared" si="379"/>
        <v>0</v>
      </c>
      <c r="BV409" s="4">
        <f t="shared" si="380"/>
        <v>0</v>
      </c>
      <c r="BW409" s="4">
        <f t="shared" si="381"/>
        <v>0</v>
      </c>
      <c r="BX409" s="4">
        <f t="shared" si="382"/>
        <v>0</v>
      </c>
      <c r="BY409" s="4">
        <f t="shared" si="383"/>
        <v>0</v>
      </c>
      <c r="BZ409" s="4">
        <f t="shared" si="384"/>
        <v>0</v>
      </c>
      <c r="CA409" s="4">
        <f t="shared" si="385"/>
        <v>0</v>
      </c>
      <c r="CB409" s="4">
        <f t="shared" si="386"/>
        <v>0</v>
      </c>
      <c r="CC409" s="4">
        <f t="shared" si="387"/>
        <v>0</v>
      </c>
      <c r="CD409" s="4">
        <f t="shared" si="388"/>
        <v>0</v>
      </c>
      <c r="CE409" s="4">
        <f t="shared" si="389"/>
        <v>0</v>
      </c>
      <c r="CF409" s="4">
        <f t="shared" si="390"/>
        <v>0</v>
      </c>
      <c r="CG409" s="4">
        <f t="shared" si="391"/>
        <v>0</v>
      </c>
      <c r="CH409" s="4">
        <f t="shared" si="392"/>
        <v>0</v>
      </c>
      <c r="CI409" s="4">
        <f t="shared" si="393"/>
        <v>0</v>
      </c>
      <c r="CJ409" s="4">
        <f t="shared" si="394"/>
        <v>0</v>
      </c>
      <c r="CK409" s="4">
        <f t="shared" si="395"/>
        <v>0</v>
      </c>
      <c r="CL409" s="4">
        <f t="shared" si="396"/>
        <v>0</v>
      </c>
      <c r="CM409" s="4">
        <f t="shared" si="397"/>
        <v>0</v>
      </c>
      <c r="CN409" s="4">
        <f t="shared" si="398"/>
        <v>0</v>
      </c>
      <c r="CO409" s="4">
        <f t="shared" si="399"/>
        <v>0</v>
      </c>
      <c r="CP409" s="4">
        <f t="shared" si="400"/>
        <v>0</v>
      </c>
      <c r="CQ409" s="4">
        <f t="shared" si="401"/>
        <v>0</v>
      </c>
      <c r="CR409" s="4">
        <f t="shared" si="402"/>
        <v>0</v>
      </c>
      <c r="CS409" s="4">
        <f t="shared" si="403"/>
        <v>0</v>
      </c>
      <c r="CT409" s="4">
        <f t="shared" si="404"/>
        <v>0</v>
      </c>
      <c r="CU409" s="4">
        <f t="shared" si="405"/>
        <v>0</v>
      </c>
      <c r="CV409" s="4">
        <f t="shared" si="406"/>
        <v>0</v>
      </c>
      <c r="CW409" s="4">
        <f t="shared" si="407"/>
        <v>0</v>
      </c>
      <c r="CX409" s="4">
        <f t="shared" si="408"/>
        <v>0</v>
      </c>
      <c r="CY409" s="4">
        <f t="shared" si="409"/>
        <v>0</v>
      </c>
      <c r="CZ409" s="4">
        <f t="shared" si="410"/>
        <v>0</v>
      </c>
      <c r="DA409" s="4">
        <f t="shared" si="411"/>
        <v>0</v>
      </c>
      <c r="DB409" s="4">
        <f t="shared" si="412"/>
        <v>0</v>
      </c>
      <c r="DC409" s="4">
        <f t="shared" si="413"/>
        <v>0</v>
      </c>
      <c r="DD409" s="4">
        <f t="shared" si="414"/>
        <v>0</v>
      </c>
    </row>
    <row r="410" spans="1:108" x14ac:dyDescent="0.25">
      <c r="A410" s="41" t="str">
        <f>Skills!M392</f>
        <v>Channeling</v>
      </c>
      <c r="B410" s="55" t="str">
        <f>Skills!N392</f>
        <v>Channeling</v>
      </c>
      <c r="C410" s="22">
        <f t="shared" si="415"/>
        <v>0</v>
      </c>
      <c r="D410" s="112">
        <f>Skills!S392</f>
        <v>0</v>
      </c>
      <c r="E410" s="113" t="e">
        <f>Profession!B182</f>
        <v>#REF!</v>
      </c>
      <c r="F410" s="19"/>
      <c r="G410" s="19"/>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56"/>
      <c r="BF410" s="4">
        <f t="shared" si="365"/>
        <v>0</v>
      </c>
      <c r="BG410" s="4">
        <f t="shared" si="365"/>
        <v>0</v>
      </c>
      <c r="BH410" s="4">
        <f t="shared" si="366"/>
        <v>0</v>
      </c>
      <c r="BI410" s="4">
        <f t="shared" si="367"/>
        <v>0</v>
      </c>
      <c r="BJ410" s="4">
        <f t="shared" si="368"/>
        <v>0</v>
      </c>
      <c r="BK410" s="4">
        <f t="shared" si="369"/>
        <v>0</v>
      </c>
      <c r="BL410" s="4">
        <f t="shared" si="370"/>
        <v>0</v>
      </c>
      <c r="BM410" s="4">
        <f t="shared" si="371"/>
        <v>0</v>
      </c>
      <c r="BN410" s="4">
        <f t="shared" si="372"/>
        <v>0</v>
      </c>
      <c r="BO410" s="4">
        <f t="shared" si="373"/>
        <v>0</v>
      </c>
      <c r="BP410" s="4">
        <f t="shared" si="374"/>
        <v>0</v>
      </c>
      <c r="BQ410" s="4">
        <f t="shared" si="375"/>
        <v>0</v>
      </c>
      <c r="BR410" s="4">
        <f t="shared" si="376"/>
        <v>0</v>
      </c>
      <c r="BS410" s="4">
        <f t="shared" si="377"/>
        <v>0</v>
      </c>
      <c r="BT410" s="4">
        <f t="shared" si="378"/>
        <v>0</v>
      </c>
      <c r="BU410" s="4">
        <f t="shared" si="379"/>
        <v>0</v>
      </c>
      <c r="BV410" s="4">
        <f t="shared" si="380"/>
        <v>0</v>
      </c>
      <c r="BW410" s="4">
        <f t="shared" si="381"/>
        <v>0</v>
      </c>
      <c r="BX410" s="4">
        <f t="shared" si="382"/>
        <v>0</v>
      </c>
      <c r="BY410" s="4">
        <f t="shared" si="383"/>
        <v>0</v>
      </c>
      <c r="BZ410" s="4">
        <f t="shared" si="384"/>
        <v>0</v>
      </c>
      <c r="CA410" s="4">
        <f t="shared" si="385"/>
        <v>0</v>
      </c>
      <c r="CB410" s="4">
        <f t="shared" si="386"/>
        <v>0</v>
      </c>
      <c r="CC410" s="4">
        <f t="shared" si="387"/>
        <v>0</v>
      </c>
      <c r="CD410" s="4">
        <f t="shared" si="388"/>
        <v>0</v>
      </c>
      <c r="CE410" s="4">
        <f t="shared" si="389"/>
        <v>0</v>
      </c>
      <c r="CF410" s="4">
        <f t="shared" si="390"/>
        <v>0</v>
      </c>
      <c r="CG410" s="4">
        <f t="shared" si="391"/>
        <v>0</v>
      </c>
      <c r="CH410" s="4">
        <f t="shared" si="392"/>
        <v>0</v>
      </c>
      <c r="CI410" s="4">
        <f t="shared" si="393"/>
        <v>0</v>
      </c>
      <c r="CJ410" s="4">
        <f t="shared" si="394"/>
        <v>0</v>
      </c>
      <c r="CK410" s="4">
        <f t="shared" si="395"/>
        <v>0</v>
      </c>
      <c r="CL410" s="4">
        <f t="shared" si="396"/>
        <v>0</v>
      </c>
      <c r="CM410" s="4">
        <f t="shared" si="397"/>
        <v>0</v>
      </c>
      <c r="CN410" s="4">
        <f t="shared" si="398"/>
        <v>0</v>
      </c>
      <c r="CO410" s="4">
        <f t="shared" si="399"/>
        <v>0</v>
      </c>
      <c r="CP410" s="4">
        <f t="shared" si="400"/>
        <v>0</v>
      </c>
      <c r="CQ410" s="4">
        <f t="shared" si="401"/>
        <v>0</v>
      </c>
      <c r="CR410" s="4">
        <f t="shared" si="402"/>
        <v>0</v>
      </c>
      <c r="CS410" s="4">
        <f t="shared" si="403"/>
        <v>0</v>
      </c>
      <c r="CT410" s="4">
        <f t="shared" si="404"/>
        <v>0</v>
      </c>
      <c r="CU410" s="4">
        <f t="shared" si="405"/>
        <v>0</v>
      </c>
      <c r="CV410" s="4">
        <f t="shared" si="406"/>
        <v>0</v>
      </c>
      <c r="CW410" s="4">
        <f t="shared" si="407"/>
        <v>0</v>
      </c>
      <c r="CX410" s="4">
        <f t="shared" si="408"/>
        <v>0</v>
      </c>
      <c r="CY410" s="4">
        <f t="shared" si="409"/>
        <v>0</v>
      </c>
      <c r="CZ410" s="4">
        <f t="shared" si="410"/>
        <v>0</v>
      </c>
      <c r="DA410" s="4">
        <f t="shared" si="411"/>
        <v>0</v>
      </c>
      <c r="DB410" s="4">
        <f t="shared" si="412"/>
        <v>0</v>
      </c>
      <c r="DC410" s="4">
        <f t="shared" si="413"/>
        <v>0</v>
      </c>
      <c r="DD410" s="4">
        <f t="shared" si="414"/>
        <v>0</v>
      </c>
    </row>
    <row r="411" spans="1:108" x14ac:dyDescent="0.25">
      <c r="A411" s="41" t="str">
        <f>Skills!M393</f>
        <v>Power Development</v>
      </c>
      <c r="B411" s="57" t="str">
        <f>Skills!N393</f>
        <v>Power Development</v>
      </c>
      <c r="C411" s="24">
        <f t="shared" si="415"/>
        <v>0</v>
      </c>
      <c r="D411" s="110" t="e">
        <f>Skills!S393</f>
        <v>#N/A</v>
      </c>
      <c r="E411" s="111" t="e">
        <f>Profession!B183</f>
        <v>#REF!</v>
      </c>
      <c r="F411" s="18"/>
      <c r="G411" s="18"/>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49"/>
      <c r="BF411" s="4">
        <f t="shared" si="365"/>
        <v>0</v>
      </c>
      <c r="BG411" s="4">
        <f t="shared" si="365"/>
        <v>0</v>
      </c>
      <c r="BH411" s="4">
        <f t="shared" si="366"/>
        <v>0</v>
      </c>
      <c r="BI411" s="4">
        <f t="shared" si="367"/>
        <v>0</v>
      </c>
      <c r="BJ411" s="4">
        <f t="shared" si="368"/>
        <v>0</v>
      </c>
      <c r="BK411" s="4">
        <f t="shared" si="369"/>
        <v>0</v>
      </c>
      <c r="BL411" s="4">
        <f t="shared" si="370"/>
        <v>0</v>
      </c>
      <c r="BM411" s="4">
        <f t="shared" si="371"/>
        <v>0</v>
      </c>
      <c r="BN411" s="4">
        <f t="shared" si="372"/>
        <v>0</v>
      </c>
      <c r="BO411" s="4">
        <f t="shared" si="373"/>
        <v>0</v>
      </c>
      <c r="BP411" s="4">
        <f t="shared" si="374"/>
        <v>0</v>
      </c>
      <c r="BQ411" s="4">
        <f t="shared" si="375"/>
        <v>0</v>
      </c>
      <c r="BR411" s="4">
        <f t="shared" si="376"/>
        <v>0</v>
      </c>
      <c r="BS411" s="4">
        <f t="shared" si="377"/>
        <v>0</v>
      </c>
      <c r="BT411" s="4">
        <f t="shared" si="378"/>
        <v>0</v>
      </c>
      <c r="BU411" s="4">
        <f t="shared" si="379"/>
        <v>0</v>
      </c>
      <c r="BV411" s="4">
        <f t="shared" si="380"/>
        <v>0</v>
      </c>
      <c r="BW411" s="4">
        <f t="shared" si="381"/>
        <v>0</v>
      </c>
      <c r="BX411" s="4">
        <f t="shared" si="382"/>
        <v>0</v>
      </c>
      <c r="BY411" s="4">
        <f t="shared" si="383"/>
        <v>0</v>
      </c>
      <c r="BZ411" s="4">
        <f t="shared" si="384"/>
        <v>0</v>
      </c>
      <c r="CA411" s="4">
        <f t="shared" si="385"/>
        <v>0</v>
      </c>
      <c r="CB411" s="4">
        <f t="shared" si="386"/>
        <v>0</v>
      </c>
      <c r="CC411" s="4">
        <f t="shared" si="387"/>
        <v>0</v>
      </c>
      <c r="CD411" s="4">
        <f t="shared" si="388"/>
        <v>0</v>
      </c>
      <c r="CE411" s="4">
        <f t="shared" si="389"/>
        <v>0</v>
      </c>
      <c r="CF411" s="4">
        <f t="shared" si="390"/>
        <v>0</v>
      </c>
      <c r="CG411" s="4">
        <f t="shared" si="391"/>
        <v>0</v>
      </c>
      <c r="CH411" s="4">
        <f t="shared" si="392"/>
        <v>0</v>
      </c>
      <c r="CI411" s="4">
        <f t="shared" si="393"/>
        <v>0</v>
      </c>
      <c r="CJ411" s="4">
        <f t="shared" si="394"/>
        <v>0</v>
      </c>
      <c r="CK411" s="4">
        <f t="shared" si="395"/>
        <v>0</v>
      </c>
      <c r="CL411" s="4">
        <f t="shared" si="396"/>
        <v>0</v>
      </c>
      <c r="CM411" s="4">
        <f t="shared" si="397"/>
        <v>0</v>
      </c>
      <c r="CN411" s="4">
        <f t="shared" si="398"/>
        <v>0</v>
      </c>
      <c r="CO411" s="4">
        <f t="shared" si="399"/>
        <v>0</v>
      </c>
      <c r="CP411" s="4">
        <f t="shared" si="400"/>
        <v>0</v>
      </c>
      <c r="CQ411" s="4">
        <f t="shared" si="401"/>
        <v>0</v>
      </c>
      <c r="CR411" s="4">
        <f t="shared" si="402"/>
        <v>0</v>
      </c>
      <c r="CS411" s="4">
        <f t="shared" si="403"/>
        <v>0</v>
      </c>
      <c r="CT411" s="4">
        <f t="shared" si="404"/>
        <v>0</v>
      </c>
      <c r="CU411" s="4">
        <f t="shared" si="405"/>
        <v>0</v>
      </c>
      <c r="CV411" s="4">
        <f t="shared" si="406"/>
        <v>0</v>
      </c>
      <c r="CW411" s="4">
        <f t="shared" si="407"/>
        <v>0</v>
      </c>
      <c r="CX411" s="4">
        <f t="shared" si="408"/>
        <v>0</v>
      </c>
      <c r="CY411" s="4">
        <f t="shared" si="409"/>
        <v>0</v>
      </c>
      <c r="CZ411" s="4">
        <f t="shared" si="410"/>
        <v>0</v>
      </c>
      <c r="DA411" s="4">
        <f t="shared" si="411"/>
        <v>0</v>
      </c>
      <c r="DB411" s="4">
        <f t="shared" si="412"/>
        <v>0</v>
      </c>
      <c r="DC411" s="4">
        <f t="shared" si="413"/>
        <v>0</v>
      </c>
      <c r="DD411" s="4">
        <f t="shared" si="414"/>
        <v>0</v>
      </c>
    </row>
    <row r="412" spans="1:108" x14ac:dyDescent="0.25">
      <c r="A412" s="41" t="str">
        <f>Skills!M394</f>
        <v>Power Projection</v>
      </c>
      <c r="B412" s="55" t="str">
        <f>Skills!N394</f>
        <v>Power Projection</v>
      </c>
      <c r="C412" s="22">
        <f t="shared" si="415"/>
        <v>0</v>
      </c>
      <c r="D412" s="112">
        <f>Skills!S394</f>
        <v>0</v>
      </c>
      <c r="E412" s="113" t="e">
        <f>Profession!B184</f>
        <v>#REF!</v>
      </c>
      <c r="F412" s="19"/>
      <c r="G412" s="19"/>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56"/>
      <c r="BF412" s="4">
        <f t="shared" si="365"/>
        <v>0</v>
      </c>
      <c r="BG412" s="4">
        <f t="shared" si="365"/>
        <v>0</v>
      </c>
      <c r="BH412" s="4">
        <f t="shared" si="366"/>
        <v>0</v>
      </c>
      <c r="BI412" s="4">
        <f t="shared" si="367"/>
        <v>0</v>
      </c>
      <c r="BJ412" s="4">
        <f t="shared" si="368"/>
        <v>0</v>
      </c>
      <c r="BK412" s="4">
        <f t="shared" si="369"/>
        <v>0</v>
      </c>
      <c r="BL412" s="4">
        <f t="shared" si="370"/>
        <v>0</v>
      </c>
      <c r="BM412" s="4">
        <f t="shared" si="371"/>
        <v>0</v>
      </c>
      <c r="BN412" s="4">
        <f t="shared" si="372"/>
        <v>0</v>
      </c>
      <c r="BO412" s="4">
        <f t="shared" si="373"/>
        <v>0</v>
      </c>
      <c r="BP412" s="4">
        <f t="shared" si="374"/>
        <v>0</v>
      </c>
      <c r="BQ412" s="4">
        <f t="shared" si="375"/>
        <v>0</v>
      </c>
      <c r="BR412" s="4">
        <f t="shared" si="376"/>
        <v>0</v>
      </c>
      <c r="BS412" s="4">
        <f t="shared" si="377"/>
        <v>0</v>
      </c>
      <c r="BT412" s="4">
        <f t="shared" si="378"/>
        <v>0</v>
      </c>
      <c r="BU412" s="4">
        <f t="shared" si="379"/>
        <v>0</v>
      </c>
      <c r="BV412" s="4">
        <f t="shared" si="380"/>
        <v>0</v>
      </c>
      <c r="BW412" s="4">
        <f t="shared" si="381"/>
        <v>0</v>
      </c>
      <c r="BX412" s="4">
        <f t="shared" si="382"/>
        <v>0</v>
      </c>
      <c r="BY412" s="4">
        <f t="shared" si="383"/>
        <v>0</v>
      </c>
      <c r="BZ412" s="4">
        <f t="shared" si="384"/>
        <v>0</v>
      </c>
      <c r="CA412" s="4">
        <f t="shared" si="385"/>
        <v>0</v>
      </c>
      <c r="CB412" s="4">
        <f t="shared" si="386"/>
        <v>0</v>
      </c>
      <c r="CC412" s="4">
        <f t="shared" si="387"/>
        <v>0</v>
      </c>
      <c r="CD412" s="4">
        <f t="shared" si="388"/>
        <v>0</v>
      </c>
      <c r="CE412" s="4">
        <f t="shared" si="389"/>
        <v>0</v>
      </c>
      <c r="CF412" s="4">
        <f t="shared" si="390"/>
        <v>0</v>
      </c>
      <c r="CG412" s="4">
        <f t="shared" si="391"/>
        <v>0</v>
      </c>
      <c r="CH412" s="4">
        <f t="shared" si="392"/>
        <v>0</v>
      </c>
      <c r="CI412" s="4">
        <f t="shared" si="393"/>
        <v>0</v>
      </c>
      <c r="CJ412" s="4">
        <f t="shared" si="394"/>
        <v>0</v>
      </c>
      <c r="CK412" s="4">
        <f t="shared" si="395"/>
        <v>0</v>
      </c>
      <c r="CL412" s="4">
        <f t="shared" si="396"/>
        <v>0</v>
      </c>
      <c r="CM412" s="4">
        <f t="shared" si="397"/>
        <v>0</v>
      </c>
      <c r="CN412" s="4">
        <f t="shared" si="398"/>
        <v>0</v>
      </c>
      <c r="CO412" s="4">
        <f t="shared" si="399"/>
        <v>0</v>
      </c>
      <c r="CP412" s="4">
        <f t="shared" si="400"/>
        <v>0</v>
      </c>
      <c r="CQ412" s="4">
        <f t="shared" si="401"/>
        <v>0</v>
      </c>
      <c r="CR412" s="4">
        <f t="shared" si="402"/>
        <v>0</v>
      </c>
      <c r="CS412" s="4">
        <f t="shared" si="403"/>
        <v>0</v>
      </c>
      <c r="CT412" s="4">
        <f t="shared" si="404"/>
        <v>0</v>
      </c>
      <c r="CU412" s="4">
        <f t="shared" si="405"/>
        <v>0</v>
      </c>
      <c r="CV412" s="4">
        <f t="shared" si="406"/>
        <v>0</v>
      </c>
      <c r="CW412" s="4">
        <f t="shared" si="407"/>
        <v>0</v>
      </c>
      <c r="CX412" s="4">
        <f t="shared" si="408"/>
        <v>0</v>
      </c>
      <c r="CY412" s="4">
        <f t="shared" si="409"/>
        <v>0</v>
      </c>
      <c r="CZ412" s="4">
        <f t="shared" si="410"/>
        <v>0</v>
      </c>
      <c r="DA412" s="4">
        <f t="shared" si="411"/>
        <v>0</v>
      </c>
      <c r="DB412" s="4">
        <f t="shared" si="412"/>
        <v>0</v>
      </c>
      <c r="DC412" s="4">
        <f t="shared" si="413"/>
        <v>0</v>
      </c>
      <c r="DD412" s="4">
        <f t="shared" si="414"/>
        <v>0</v>
      </c>
    </row>
    <row r="413" spans="1:108" x14ac:dyDescent="0.25">
      <c r="A413" s="41">
        <f>Skills!M395</f>
        <v>0</v>
      </c>
      <c r="B413" s="57" t="str">
        <f>Skills!N395</f>
        <v>Directed Spell Sub-category</v>
      </c>
      <c r="C413" s="24">
        <f t="shared" si="415"/>
        <v>0</v>
      </c>
      <c r="D413" s="110" t="str">
        <f>Skills!S395</f>
        <v>- -</v>
      </c>
      <c r="E413" s="111" t="s">
        <v>782</v>
      </c>
      <c r="F413" s="18"/>
      <c r="G413" s="18"/>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49"/>
      <c r="BF413" s="4">
        <f t="shared" si="365"/>
        <v>0</v>
      </c>
      <c r="BG413" s="4">
        <f t="shared" si="365"/>
        <v>0</v>
      </c>
      <c r="BH413" s="4">
        <f t="shared" si="366"/>
        <v>0</v>
      </c>
      <c r="BI413" s="4">
        <f t="shared" si="367"/>
        <v>0</v>
      </c>
      <c r="BJ413" s="4">
        <f t="shared" si="368"/>
        <v>0</v>
      </c>
      <c r="BK413" s="4">
        <f t="shared" si="369"/>
        <v>0</v>
      </c>
      <c r="BL413" s="4">
        <f t="shared" si="370"/>
        <v>0</v>
      </c>
      <c r="BM413" s="4">
        <f t="shared" si="371"/>
        <v>0</v>
      </c>
      <c r="BN413" s="4">
        <f t="shared" si="372"/>
        <v>0</v>
      </c>
      <c r="BO413" s="4">
        <f t="shared" si="373"/>
        <v>0</v>
      </c>
      <c r="BP413" s="4">
        <f t="shared" si="374"/>
        <v>0</v>
      </c>
      <c r="BQ413" s="4">
        <f t="shared" si="375"/>
        <v>0</v>
      </c>
      <c r="BR413" s="4">
        <f t="shared" si="376"/>
        <v>0</v>
      </c>
      <c r="BS413" s="4">
        <f t="shared" si="377"/>
        <v>0</v>
      </c>
      <c r="BT413" s="4">
        <f t="shared" si="378"/>
        <v>0</v>
      </c>
      <c r="BU413" s="4">
        <f t="shared" si="379"/>
        <v>0</v>
      </c>
      <c r="BV413" s="4">
        <f t="shared" si="380"/>
        <v>0</v>
      </c>
      <c r="BW413" s="4">
        <f t="shared" si="381"/>
        <v>0</v>
      </c>
      <c r="BX413" s="4">
        <f t="shared" si="382"/>
        <v>0</v>
      </c>
      <c r="BY413" s="4">
        <f t="shared" si="383"/>
        <v>0</v>
      </c>
      <c r="BZ413" s="4">
        <f t="shared" si="384"/>
        <v>0</v>
      </c>
      <c r="CA413" s="4">
        <f t="shared" si="385"/>
        <v>0</v>
      </c>
      <c r="CB413" s="4">
        <f t="shared" si="386"/>
        <v>0</v>
      </c>
      <c r="CC413" s="4">
        <f t="shared" si="387"/>
        <v>0</v>
      </c>
      <c r="CD413" s="4">
        <f t="shared" si="388"/>
        <v>0</v>
      </c>
      <c r="CE413" s="4">
        <f t="shared" si="389"/>
        <v>0</v>
      </c>
      <c r="CF413" s="4">
        <f t="shared" si="390"/>
        <v>0</v>
      </c>
      <c r="CG413" s="4">
        <f t="shared" si="391"/>
        <v>0</v>
      </c>
      <c r="CH413" s="4">
        <f t="shared" si="392"/>
        <v>0</v>
      </c>
      <c r="CI413" s="4">
        <f t="shared" si="393"/>
        <v>0</v>
      </c>
      <c r="CJ413" s="4">
        <f t="shared" si="394"/>
        <v>0</v>
      </c>
      <c r="CK413" s="4">
        <f t="shared" si="395"/>
        <v>0</v>
      </c>
      <c r="CL413" s="4">
        <f t="shared" si="396"/>
        <v>0</v>
      </c>
      <c r="CM413" s="4">
        <f t="shared" si="397"/>
        <v>0</v>
      </c>
      <c r="CN413" s="4">
        <f t="shared" si="398"/>
        <v>0</v>
      </c>
      <c r="CO413" s="4">
        <f t="shared" si="399"/>
        <v>0</v>
      </c>
      <c r="CP413" s="4">
        <f t="shared" si="400"/>
        <v>0</v>
      </c>
      <c r="CQ413" s="4">
        <f t="shared" si="401"/>
        <v>0</v>
      </c>
      <c r="CR413" s="4">
        <f t="shared" si="402"/>
        <v>0</v>
      </c>
      <c r="CS413" s="4">
        <f t="shared" si="403"/>
        <v>0</v>
      </c>
      <c r="CT413" s="4">
        <f t="shared" si="404"/>
        <v>0</v>
      </c>
      <c r="CU413" s="4">
        <f t="shared" si="405"/>
        <v>0</v>
      </c>
      <c r="CV413" s="4">
        <f t="shared" si="406"/>
        <v>0</v>
      </c>
      <c r="CW413" s="4">
        <f t="shared" si="407"/>
        <v>0</v>
      </c>
      <c r="CX413" s="4">
        <f t="shared" si="408"/>
        <v>0</v>
      </c>
      <c r="CY413" s="4">
        <f t="shared" si="409"/>
        <v>0</v>
      </c>
      <c r="CZ413" s="4">
        <f t="shared" si="410"/>
        <v>0</v>
      </c>
      <c r="DA413" s="4">
        <f t="shared" si="411"/>
        <v>0</v>
      </c>
      <c r="DB413" s="4">
        <f t="shared" si="412"/>
        <v>0</v>
      </c>
      <c r="DC413" s="4">
        <f t="shared" si="413"/>
        <v>0</v>
      </c>
      <c r="DD413" s="4">
        <f t="shared" si="414"/>
        <v>0</v>
      </c>
    </row>
    <row r="414" spans="1:108" x14ac:dyDescent="0.25">
      <c r="A414" s="41">
        <f>Skills!M396</f>
        <v>0</v>
      </c>
      <c r="B414" s="55" t="str">
        <f>Skills!N396</f>
        <v>Directed Spell Skills</v>
      </c>
      <c r="C414" s="22">
        <f t="shared" si="415"/>
        <v>0</v>
      </c>
      <c r="D414" s="112" t="str">
        <f>Skills!S396</f>
        <v>- -</v>
      </c>
      <c r="E414" s="113" t="s">
        <v>782</v>
      </c>
      <c r="F414" s="19"/>
      <c r="G414" s="19"/>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56"/>
      <c r="BF414" s="4">
        <f t="shared" si="365"/>
        <v>0</v>
      </c>
      <c r="BG414" s="4">
        <f t="shared" si="365"/>
        <v>0</v>
      </c>
      <c r="BH414" s="4">
        <f t="shared" si="366"/>
        <v>0</v>
      </c>
      <c r="BI414" s="4">
        <f t="shared" si="367"/>
        <v>0</v>
      </c>
      <c r="BJ414" s="4">
        <f t="shared" si="368"/>
        <v>0</v>
      </c>
      <c r="BK414" s="4">
        <f t="shared" si="369"/>
        <v>0</v>
      </c>
      <c r="BL414" s="4">
        <f t="shared" si="370"/>
        <v>0</v>
      </c>
      <c r="BM414" s="4">
        <f t="shared" si="371"/>
        <v>0</v>
      </c>
      <c r="BN414" s="4">
        <f t="shared" si="372"/>
        <v>0</v>
      </c>
      <c r="BO414" s="4">
        <f t="shared" si="373"/>
        <v>0</v>
      </c>
      <c r="BP414" s="4">
        <f t="shared" si="374"/>
        <v>0</v>
      </c>
      <c r="BQ414" s="4">
        <f t="shared" si="375"/>
        <v>0</v>
      </c>
      <c r="BR414" s="4">
        <f t="shared" si="376"/>
        <v>0</v>
      </c>
      <c r="BS414" s="4">
        <f t="shared" si="377"/>
        <v>0</v>
      </c>
      <c r="BT414" s="4">
        <f t="shared" si="378"/>
        <v>0</v>
      </c>
      <c r="BU414" s="4">
        <f t="shared" si="379"/>
        <v>0</v>
      </c>
      <c r="BV414" s="4">
        <f t="shared" si="380"/>
        <v>0</v>
      </c>
      <c r="BW414" s="4">
        <f t="shared" si="381"/>
        <v>0</v>
      </c>
      <c r="BX414" s="4">
        <f t="shared" si="382"/>
        <v>0</v>
      </c>
      <c r="BY414" s="4">
        <f t="shared" si="383"/>
        <v>0</v>
      </c>
      <c r="BZ414" s="4">
        <f t="shared" si="384"/>
        <v>0</v>
      </c>
      <c r="CA414" s="4">
        <f t="shared" si="385"/>
        <v>0</v>
      </c>
      <c r="CB414" s="4">
        <f t="shared" si="386"/>
        <v>0</v>
      </c>
      <c r="CC414" s="4">
        <f t="shared" si="387"/>
        <v>0</v>
      </c>
      <c r="CD414" s="4">
        <f t="shared" si="388"/>
        <v>0</v>
      </c>
      <c r="CE414" s="4">
        <f t="shared" si="389"/>
        <v>0</v>
      </c>
      <c r="CF414" s="4">
        <f t="shared" si="390"/>
        <v>0</v>
      </c>
      <c r="CG414" s="4">
        <f t="shared" si="391"/>
        <v>0</v>
      </c>
      <c r="CH414" s="4">
        <f t="shared" si="392"/>
        <v>0</v>
      </c>
      <c r="CI414" s="4">
        <f t="shared" si="393"/>
        <v>0</v>
      </c>
      <c r="CJ414" s="4">
        <f t="shared" si="394"/>
        <v>0</v>
      </c>
      <c r="CK414" s="4">
        <f t="shared" si="395"/>
        <v>0</v>
      </c>
      <c r="CL414" s="4">
        <f t="shared" si="396"/>
        <v>0</v>
      </c>
      <c r="CM414" s="4">
        <f t="shared" si="397"/>
        <v>0</v>
      </c>
      <c r="CN414" s="4">
        <f t="shared" si="398"/>
        <v>0</v>
      </c>
      <c r="CO414" s="4">
        <f t="shared" si="399"/>
        <v>0</v>
      </c>
      <c r="CP414" s="4">
        <f t="shared" si="400"/>
        <v>0</v>
      </c>
      <c r="CQ414" s="4">
        <f t="shared" si="401"/>
        <v>0</v>
      </c>
      <c r="CR414" s="4">
        <f t="shared" si="402"/>
        <v>0</v>
      </c>
      <c r="CS414" s="4">
        <f t="shared" si="403"/>
        <v>0</v>
      </c>
      <c r="CT414" s="4">
        <f t="shared" si="404"/>
        <v>0</v>
      </c>
      <c r="CU414" s="4">
        <f t="shared" si="405"/>
        <v>0</v>
      </c>
      <c r="CV414" s="4">
        <f t="shared" si="406"/>
        <v>0</v>
      </c>
      <c r="CW414" s="4">
        <f t="shared" si="407"/>
        <v>0</v>
      </c>
      <c r="CX414" s="4">
        <f t="shared" si="408"/>
        <v>0</v>
      </c>
      <c r="CY414" s="4">
        <f t="shared" si="409"/>
        <v>0</v>
      </c>
      <c r="CZ414" s="4">
        <f t="shared" si="410"/>
        <v>0</v>
      </c>
      <c r="DA414" s="4">
        <f t="shared" si="411"/>
        <v>0</v>
      </c>
      <c r="DB414" s="4">
        <f t="shared" si="412"/>
        <v>0</v>
      </c>
      <c r="DC414" s="4">
        <f t="shared" si="413"/>
        <v>0</v>
      </c>
      <c r="DD414" s="4">
        <f t="shared" si="414"/>
        <v>0</v>
      </c>
    </row>
    <row r="415" spans="1:108" x14ac:dyDescent="0.25">
      <c r="A415" s="41" t="str">
        <f>Skills!M397</f>
        <v>Directed Spell, Elemental Attacks</v>
      </c>
      <c r="B415" s="57" t="str">
        <f>Skills!N397</f>
        <v>Elemental Attacks</v>
      </c>
      <c r="C415" s="24">
        <f t="shared" si="415"/>
        <v>0</v>
      </c>
      <c r="D415" s="110" t="e">
        <f>Skills!S397</f>
        <v>#N/A</v>
      </c>
      <c r="E415" s="111" t="e">
        <f>Profession!$B$185</f>
        <v>#REF!</v>
      </c>
      <c r="F415" s="18"/>
      <c r="G415" s="18"/>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49"/>
      <c r="BF415" s="4">
        <f t="shared" si="365"/>
        <v>0</v>
      </c>
      <c r="BG415" s="4">
        <f t="shared" si="365"/>
        <v>0</v>
      </c>
      <c r="BH415" s="4">
        <f t="shared" si="366"/>
        <v>0</v>
      </c>
      <c r="BI415" s="4">
        <f t="shared" si="367"/>
        <v>0</v>
      </c>
      <c r="BJ415" s="4">
        <f t="shared" si="368"/>
        <v>0</v>
      </c>
      <c r="BK415" s="4">
        <f t="shared" si="369"/>
        <v>0</v>
      </c>
      <c r="BL415" s="4">
        <f t="shared" si="370"/>
        <v>0</v>
      </c>
      <c r="BM415" s="4">
        <f t="shared" si="371"/>
        <v>0</v>
      </c>
      <c r="BN415" s="4">
        <f t="shared" si="372"/>
        <v>0</v>
      </c>
      <c r="BO415" s="4">
        <f t="shared" si="373"/>
        <v>0</v>
      </c>
      <c r="BP415" s="4">
        <f t="shared" si="374"/>
        <v>0</v>
      </c>
      <c r="BQ415" s="4">
        <f t="shared" si="375"/>
        <v>0</v>
      </c>
      <c r="BR415" s="4">
        <f t="shared" si="376"/>
        <v>0</v>
      </c>
      <c r="BS415" s="4">
        <f t="shared" si="377"/>
        <v>0</v>
      </c>
      <c r="BT415" s="4">
        <f t="shared" si="378"/>
        <v>0</v>
      </c>
      <c r="BU415" s="4">
        <f t="shared" si="379"/>
        <v>0</v>
      </c>
      <c r="BV415" s="4">
        <f t="shared" si="380"/>
        <v>0</v>
      </c>
      <c r="BW415" s="4">
        <f t="shared" si="381"/>
        <v>0</v>
      </c>
      <c r="BX415" s="4">
        <f t="shared" si="382"/>
        <v>0</v>
      </c>
      <c r="BY415" s="4">
        <f t="shared" si="383"/>
        <v>0</v>
      </c>
      <c r="BZ415" s="4">
        <f t="shared" si="384"/>
        <v>0</v>
      </c>
      <c r="CA415" s="4">
        <f t="shared" si="385"/>
        <v>0</v>
      </c>
      <c r="CB415" s="4">
        <f t="shared" si="386"/>
        <v>0</v>
      </c>
      <c r="CC415" s="4">
        <f t="shared" si="387"/>
        <v>0</v>
      </c>
      <c r="CD415" s="4">
        <f t="shared" si="388"/>
        <v>0</v>
      </c>
      <c r="CE415" s="4">
        <f t="shared" si="389"/>
        <v>0</v>
      </c>
      <c r="CF415" s="4">
        <f t="shared" si="390"/>
        <v>0</v>
      </c>
      <c r="CG415" s="4">
        <f t="shared" si="391"/>
        <v>0</v>
      </c>
      <c r="CH415" s="4">
        <f t="shared" si="392"/>
        <v>0</v>
      </c>
      <c r="CI415" s="4">
        <f t="shared" si="393"/>
        <v>0</v>
      </c>
      <c r="CJ415" s="4">
        <f t="shared" si="394"/>
        <v>0</v>
      </c>
      <c r="CK415" s="4">
        <f t="shared" si="395"/>
        <v>0</v>
      </c>
      <c r="CL415" s="4">
        <f t="shared" si="396"/>
        <v>0</v>
      </c>
      <c r="CM415" s="4">
        <f t="shared" si="397"/>
        <v>0</v>
      </c>
      <c r="CN415" s="4">
        <f t="shared" si="398"/>
        <v>0</v>
      </c>
      <c r="CO415" s="4">
        <f t="shared" si="399"/>
        <v>0</v>
      </c>
      <c r="CP415" s="4">
        <f t="shared" si="400"/>
        <v>0</v>
      </c>
      <c r="CQ415" s="4">
        <f t="shared" si="401"/>
        <v>0</v>
      </c>
      <c r="CR415" s="4">
        <f t="shared" si="402"/>
        <v>0</v>
      </c>
      <c r="CS415" s="4">
        <f t="shared" si="403"/>
        <v>0</v>
      </c>
      <c r="CT415" s="4">
        <f t="shared" si="404"/>
        <v>0</v>
      </c>
      <c r="CU415" s="4">
        <f t="shared" si="405"/>
        <v>0</v>
      </c>
      <c r="CV415" s="4">
        <f t="shared" si="406"/>
        <v>0</v>
      </c>
      <c r="CW415" s="4">
        <f t="shared" si="407"/>
        <v>0</v>
      </c>
      <c r="CX415" s="4">
        <f t="shared" si="408"/>
        <v>0</v>
      </c>
      <c r="CY415" s="4">
        <f t="shared" si="409"/>
        <v>0</v>
      </c>
      <c r="CZ415" s="4">
        <f t="shared" si="410"/>
        <v>0</v>
      </c>
      <c r="DA415" s="4">
        <f t="shared" si="411"/>
        <v>0</v>
      </c>
      <c r="DB415" s="4">
        <f t="shared" si="412"/>
        <v>0</v>
      </c>
      <c r="DC415" s="4">
        <f t="shared" si="413"/>
        <v>0</v>
      </c>
      <c r="DD415" s="4">
        <f t="shared" si="414"/>
        <v>0</v>
      </c>
    </row>
    <row r="416" spans="1:108" x14ac:dyDescent="0.25">
      <c r="A416" s="41" t="str">
        <f>Skills!M398</f>
        <v>Directed Spell, Illusionary Attacks</v>
      </c>
      <c r="B416" s="55" t="str">
        <f>Skills!N398</f>
        <v>Illusionary Attacks</v>
      </c>
      <c r="C416" s="22">
        <f t="shared" si="415"/>
        <v>0</v>
      </c>
      <c r="D416" s="112" t="e">
        <f>Skills!S398</f>
        <v>#N/A</v>
      </c>
      <c r="E416" s="113" t="e">
        <f>Profession!$B$185</f>
        <v>#REF!</v>
      </c>
      <c r="F416" s="19"/>
      <c r="G416" s="19"/>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56"/>
      <c r="BF416" s="4">
        <f t="shared" si="365"/>
        <v>0</v>
      </c>
      <c r="BG416" s="4">
        <f t="shared" si="365"/>
        <v>0</v>
      </c>
      <c r="BH416" s="4">
        <f t="shared" si="366"/>
        <v>0</v>
      </c>
      <c r="BI416" s="4">
        <f t="shared" si="367"/>
        <v>0</v>
      </c>
      <c r="BJ416" s="4">
        <f t="shared" si="368"/>
        <v>0</v>
      </c>
      <c r="BK416" s="4">
        <f t="shared" si="369"/>
        <v>0</v>
      </c>
      <c r="BL416" s="4">
        <f t="shared" si="370"/>
        <v>0</v>
      </c>
      <c r="BM416" s="4">
        <f t="shared" si="371"/>
        <v>0</v>
      </c>
      <c r="BN416" s="4">
        <f t="shared" si="372"/>
        <v>0</v>
      </c>
      <c r="BO416" s="4">
        <f t="shared" si="373"/>
        <v>0</v>
      </c>
      <c r="BP416" s="4">
        <f t="shared" si="374"/>
        <v>0</v>
      </c>
      <c r="BQ416" s="4">
        <f t="shared" si="375"/>
        <v>0</v>
      </c>
      <c r="BR416" s="4">
        <f t="shared" si="376"/>
        <v>0</v>
      </c>
      <c r="BS416" s="4">
        <f t="shared" si="377"/>
        <v>0</v>
      </c>
      <c r="BT416" s="4">
        <f t="shared" si="378"/>
        <v>0</v>
      </c>
      <c r="BU416" s="4">
        <f t="shared" si="379"/>
        <v>0</v>
      </c>
      <c r="BV416" s="4">
        <f t="shared" si="380"/>
        <v>0</v>
      </c>
      <c r="BW416" s="4">
        <f t="shared" si="381"/>
        <v>0</v>
      </c>
      <c r="BX416" s="4">
        <f t="shared" si="382"/>
        <v>0</v>
      </c>
      <c r="BY416" s="4">
        <f t="shared" si="383"/>
        <v>0</v>
      </c>
      <c r="BZ416" s="4">
        <f t="shared" si="384"/>
        <v>0</v>
      </c>
      <c r="CA416" s="4">
        <f t="shared" si="385"/>
        <v>0</v>
      </c>
      <c r="CB416" s="4">
        <f t="shared" si="386"/>
        <v>0</v>
      </c>
      <c r="CC416" s="4">
        <f t="shared" si="387"/>
        <v>0</v>
      </c>
      <c r="CD416" s="4">
        <f t="shared" si="388"/>
        <v>0</v>
      </c>
      <c r="CE416" s="4">
        <f t="shared" si="389"/>
        <v>0</v>
      </c>
      <c r="CF416" s="4">
        <f t="shared" si="390"/>
        <v>0</v>
      </c>
      <c r="CG416" s="4">
        <f t="shared" si="391"/>
        <v>0</v>
      </c>
      <c r="CH416" s="4">
        <f t="shared" si="392"/>
        <v>0</v>
      </c>
      <c r="CI416" s="4">
        <f t="shared" si="393"/>
        <v>0</v>
      </c>
      <c r="CJ416" s="4">
        <f t="shared" si="394"/>
        <v>0</v>
      </c>
      <c r="CK416" s="4">
        <f t="shared" si="395"/>
        <v>0</v>
      </c>
      <c r="CL416" s="4">
        <f t="shared" si="396"/>
        <v>0</v>
      </c>
      <c r="CM416" s="4">
        <f t="shared" si="397"/>
        <v>0</v>
      </c>
      <c r="CN416" s="4">
        <f t="shared" si="398"/>
        <v>0</v>
      </c>
      <c r="CO416" s="4">
        <f t="shared" si="399"/>
        <v>0</v>
      </c>
      <c r="CP416" s="4">
        <f t="shared" si="400"/>
        <v>0</v>
      </c>
      <c r="CQ416" s="4">
        <f t="shared" si="401"/>
        <v>0</v>
      </c>
      <c r="CR416" s="4">
        <f t="shared" si="402"/>
        <v>0</v>
      </c>
      <c r="CS416" s="4">
        <f t="shared" si="403"/>
        <v>0</v>
      </c>
      <c r="CT416" s="4">
        <f t="shared" si="404"/>
        <v>0</v>
      </c>
      <c r="CU416" s="4">
        <f t="shared" si="405"/>
        <v>0</v>
      </c>
      <c r="CV416" s="4">
        <f t="shared" si="406"/>
        <v>0</v>
      </c>
      <c r="CW416" s="4">
        <f t="shared" si="407"/>
        <v>0</v>
      </c>
      <c r="CX416" s="4">
        <f t="shared" si="408"/>
        <v>0</v>
      </c>
      <c r="CY416" s="4">
        <f t="shared" si="409"/>
        <v>0</v>
      </c>
      <c r="CZ416" s="4">
        <f t="shared" si="410"/>
        <v>0</v>
      </c>
      <c r="DA416" s="4">
        <f t="shared" si="411"/>
        <v>0</v>
      </c>
      <c r="DB416" s="4">
        <f t="shared" si="412"/>
        <v>0</v>
      </c>
      <c r="DC416" s="4">
        <f t="shared" si="413"/>
        <v>0</v>
      </c>
      <c r="DD416" s="4">
        <f t="shared" si="414"/>
        <v>0</v>
      </c>
    </row>
    <row r="417" spans="1:108" x14ac:dyDescent="0.25">
      <c r="A417" s="41" t="str">
        <f>Skills!M399</f>
        <v>Directed Spell, Hurling</v>
      </c>
      <c r="B417" s="57" t="str">
        <f>Skills!N399</f>
        <v>Hurling</v>
      </c>
      <c r="C417" s="24">
        <f t="shared" si="415"/>
        <v>0</v>
      </c>
      <c r="D417" s="110" t="e">
        <f>Skills!S399</f>
        <v>#N/A</v>
      </c>
      <c r="E417" s="111" t="e">
        <f>Profession!$B$185</f>
        <v>#REF!</v>
      </c>
      <c r="F417" s="18"/>
      <c r="G417" s="18"/>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49"/>
      <c r="BF417" s="4">
        <f t="shared" si="365"/>
        <v>0</v>
      </c>
      <c r="BG417" s="4">
        <f t="shared" si="365"/>
        <v>0</v>
      </c>
      <c r="BH417" s="4">
        <f t="shared" si="366"/>
        <v>0</v>
      </c>
      <c r="BI417" s="4">
        <f t="shared" si="367"/>
        <v>0</v>
      </c>
      <c r="BJ417" s="4">
        <f t="shared" si="368"/>
        <v>0</v>
      </c>
      <c r="BK417" s="4">
        <f t="shared" si="369"/>
        <v>0</v>
      </c>
      <c r="BL417" s="4">
        <f t="shared" si="370"/>
        <v>0</v>
      </c>
      <c r="BM417" s="4">
        <f t="shared" si="371"/>
        <v>0</v>
      </c>
      <c r="BN417" s="4">
        <f t="shared" si="372"/>
        <v>0</v>
      </c>
      <c r="BO417" s="4">
        <f t="shared" si="373"/>
        <v>0</v>
      </c>
      <c r="BP417" s="4">
        <f t="shared" si="374"/>
        <v>0</v>
      </c>
      <c r="BQ417" s="4">
        <f t="shared" si="375"/>
        <v>0</v>
      </c>
      <c r="BR417" s="4">
        <f t="shared" si="376"/>
        <v>0</v>
      </c>
      <c r="BS417" s="4">
        <f t="shared" si="377"/>
        <v>0</v>
      </c>
      <c r="BT417" s="4">
        <f t="shared" si="378"/>
        <v>0</v>
      </c>
      <c r="BU417" s="4">
        <f t="shared" si="379"/>
        <v>0</v>
      </c>
      <c r="BV417" s="4">
        <f t="shared" si="380"/>
        <v>0</v>
      </c>
      <c r="BW417" s="4">
        <f t="shared" si="381"/>
        <v>0</v>
      </c>
      <c r="BX417" s="4">
        <f t="shared" si="382"/>
        <v>0</v>
      </c>
      <c r="BY417" s="4">
        <f t="shared" si="383"/>
        <v>0</v>
      </c>
      <c r="BZ417" s="4">
        <f t="shared" si="384"/>
        <v>0</v>
      </c>
      <c r="CA417" s="4">
        <f t="shared" si="385"/>
        <v>0</v>
      </c>
      <c r="CB417" s="4">
        <f t="shared" si="386"/>
        <v>0</v>
      </c>
      <c r="CC417" s="4">
        <f t="shared" si="387"/>
        <v>0</v>
      </c>
      <c r="CD417" s="4">
        <f t="shared" si="388"/>
        <v>0</v>
      </c>
      <c r="CE417" s="4">
        <f t="shared" si="389"/>
        <v>0</v>
      </c>
      <c r="CF417" s="4">
        <f t="shared" si="390"/>
        <v>0</v>
      </c>
      <c r="CG417" s="4">
        <f t="shared" si="391"/>
        <v>0</v>
      </c>
      <c r="CH417" s="4">
        <f t="shared" si="392"/>
        <v>0</v>
      </c>
      <c r="CI417" s="4">
        <f t="shared" si="393"/>
        <v>0</v>
      </c>
      <c r="CJ417" s="4">
        <f t="shared" si="394"/>
        <v>0</v>
      </c>
      <c r="CK417" s="4">
        <f t="shared" si="395"/>
        <v>0</v>
      </c>
      <c r="CL417" s="4">
        <f t="shared" si="396"/>
        <v>0</v>
      </c>
      <c r="CM417" s="4">
        <f t="shared" si="397"/>
        <v>0</v>
      </c>
      <c r="CN417" s="4">
        <f t="shared" si="398"/>
        <v>0</v>
      </c>
      <c r="CO417" s="4">
        <f t="shared" si="399"/>
        <v>0</v>
      </c>
      <c r="CP417" s="4">
        <f t="shared" si="400"/>
        <v>0</v>
      </c>
      <c r="CQ417" s="4">
        <f t="shared" si="401"/>
        <v>0</v>
      </c>
      <c r="CR417" s="4">
        <f t="shared" si="402"/>
        <v>0</v>
      </c>
      <c r="CS417" s="4">
        <f t="shared" si="403"/>
        <v>0</v>
      </c>
      <c r="CT417" s="4">
        <f t="shared" si="404"/>
        <v>0</v>
      </c>
      <c r="CU417" s="4">
        <f t="shared" si="405"/>
        <v>0</v>
      </c>
      <c r="CV417" s="4">
        <f t="shared" si="406"/>
        <v>0</v>
      </c>
      <c r="CW417" s="4">
        <f t="shared" si="407"/>
        <v>0</v>
      </c>
      <c r="CX417" s="4">
        <f t="shared" si="408"/>
        <v>0</v>
      </c>
      <c r="CY417" s="4">
        <f t="shared" si="409"/>
        <v>0</v>
      </c>
      <c r="CZ417" s="4">
        <f t="shared" si="410"/>
        <v>0</v>
      </c>
      <c r="DA417" s="4">
        <f t="shared" si="411"/>
        <v>0</v>
      </c>
      <c r="DB417" s="4">
        <f t="shared" si="412"/>
        <v>0</v>
      </c>
      <c r="DC417" s="4">
        <f t="shared" si="413"/>
        <v>0</v>
      </c>
      <c r="DD417" s="4">
        <f t="shared" si="414"/>
        <v>0</v>
      </c>
    </row>
    <row r="418" spans="1:108" x14ac:dyDescent="0.25">
      <c r="A418" s="41">
        <f>Skills!M400</f>
        <v>0</v>
      </c>
      <c r="B418" s="55" t="str">
        <f>Skills!N400</f>
        <v>Magical Powers Category</v>
      </c>
      <c r="C418" s="22">
        <f t="shared" si="415"/>
        <v>0</v>
      </c>
      <c r="D418" s="112" t="str">
        <f>Skills!S400</f>
        <v>- -</v>
      </c>
      <c r="E418" s="113" t="s">
        <v>782</v>
      </c>
      <c r="F418" s="19"/>
      <c r="G418" s="19"/>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56"/>
      <c r="BF418" s="4">
        <f t="shared" si="365"/>
        <v>0</v>
      </c>
      <c r="BG418" s="4">
        <f t="shared" si="365"/>
        <v>0</v>
      </c>
      <c r="BH418" s="4">
        <f t="shared" si="366"/>
        <v>0</v>
      </c>
      <c r="BI418" s="4">
        <f t="shared" si="367"/>
        <v>0</v>
      </c>
      <c r="BJ418" s="4">
        <f t="shared" si="368"/>
        <v>0</v>
      </c>
      <c r="BK418" s="4">
        <f t="shared" si="369"/>
        <v>0</v>
      </c>
      <c r="BL418" s="4">
        <f t="shared" si="370"/>
        <v>0</v>
      </c>
      <c r="BM418" s="4">
        <f t="shared" si="371"/>
        <v>0</v>
      </c>
      <c r="BN418" s="4">
        <f t="shared" si="372"/>
        <v>0</v>
      </c>
      <c r="BO418" s="4">
        <f t="shared" si="373"/>
        <v>0</v>
      </c>
      <c r="BP418" s="4">
        <f t="shared" si="374"/>
        <v>0</v>
      </c>
      <c r="BQ418" s="4">
        <f t="shared" si="375"/>
        <v>0</v>
      </c>
      <c r="BR418" s="4">
        <f t="shared" si="376"/>
        <v>0</v>
      </c>
      <c r="BS418" s="4">
        <f t="shared" si="377"/>
        <v>0</v>
      </c>
      <c r="BT418" s="4">
        <f t="shared" si="378"/>
        <v>0</v>
      </c>
      <c r="BU418" s="4">
        <f t="shared" si="379"/>
        <v>0</v>
      </c>
      <c r="BV418" s="4">
        <f t="shared" si="380"/>
        <v>0</v>
      </c>
      <c r="BW418" s="4">
        <f t="shared" si="381"/>
        <v>0</v>
      </c>
      <c r="BX418" s="4">
        <f t="shared" si="382"/>
        <v>0</v>
      </c>
      <c r="BY418" s="4">
        <f t="shared" si="383"/>
        <v>0</v>
      </c>
      <c r="BZ418" s="4">
        <f t="shared" si="384"/>
        <v>0</v>
      </c>
      <c r="CA418" s="4">
        <f t="shared" si="385"/>
        <v>0</v>
      </c>
      <c r="CB418" s="4">
        <f t="shared" si="386"/>
        <v>0</v>
      </c>
      <c r="CC418" s="4">
        <f t="shared" si="387"/>
        <v>0</v>
      </c>
      <c r="CD418" s="4">
        <f t="shared" si="388"/>
        <v>0</v>
      </c>
      <c r="CE418" s="4">
        <f t="shared" si="389"/>
        <v>0</v>
      </c>
      <c r="CF418" s="4">
        <f t="shared" si="390"/>
        <v>0</v>
      </c>
      <c r="CG418" s="4">
        <f t="shared" si="391"/>
        <v>0</v>
      </c>
      <c r="CH418" s="4">
        <f t="shared" si="392"/>
        <v>0</v>
      </c>
      <c r="CI418" s="4">
        <f t="shared" si="393"/>
        <v>0</v>
      </c>
      <c r="CJ418" s="4">
        <f t="shared" si="394"/>
        <v>0</v>
      </c>
      <c r="CK418" s="4">
        <f t="shared" si="395"/>
        <v>0</v>
      </c>
      <c r="CL418" s="4">
        <f t="shared" si="396"/>
        <v>0</v>
      </c>
      <c r="CM418" s="4">
        <f t="shared" si="397"/>
        <v>0</v>
      </c>
      <c r="CN418" s="4">
        <f t="shared" si="398"/>
        <v>0</v>
      </c>
      <c r="CO418" s="4">
        <f t="shared" si="399"/>
        <v>0</v>
      </c>
      <c r="CP418" s="4">
        <f t="shared" si="400"/>
        <v>0</v>
      </c>
      <c r="CQ418" s="4">
        <f t="shared" si="401"/>
        <v>0</v>
      </c>
      <c r="CR418" s="4">
        <f t="shared" si="402"/>
        <v>0</v>
      </c>
      <c r="CS418" s="4">
        <f t="shared" si="403"/>
        <v>0</v>
      </c>
      <c r="CT418" s="4">
        <f t="shared" si="404"/>
        <v>0</v>
      </c>
      <c r="CU418" s="4">
        <f t="shared" si="405"/>
        <v>0</v>
      </c>
      <c r="CV418" s="4">
        <f t="shared" si="406"/>
        <v>0</v>
      </c>
      <c r="CW418" s="4">
        <f t="shared" si="407"/>
        <v>0</v>
      </c>
      <c r="CX418" s="4">
        <f t="shared" si="408"/>
        <v>0</v>
      </c>
      <c r="CY418" s="4">
        <f t="shared" si="409"/>
        <v>0</v>
      </c>
      <c r="CZ418" s="4">
        <f t="shared" si="410"/>
        <v>0</v>
      </c>
      <c r="DA418" s="4">
        <f t="shared" si="411"/>
        <v>0</v>
      </c>
      <c r="DB418" s="4">
        <f t="shared" si="412"/>
        <v>0</v>
      </c>
      <c r="DC418" s="4">
        <f t="shared" si="413"/>
        <v>0</v>
      </c>
      <c r="DD418" s="4">
        <f t="shared" si="414"/>
        <v>0</v>
      </c>
    </row>
    <row r="419" spans="1:108" x14ac:dyDescent="0.25">
      <c r="A419" s="41">
        <f>Skills!M401</f>
        <v>0</v>
      </c>
      <c r="B419" s="57" t="str">
        <f>Skills!N401</f>
        <v>Magical Powers Skills</v>
      </c>
      <c r="C419" s="24">
        <f t="shared" si="415"/>
        <v>0</v>
      </c>
      <c r="D419" s="110" t="str">
        <f>Skills!S401</f>
        <v>- -</v>
      </c>
      <c r="E419" s="111" t="s">
        <v>782</v>
      </c>
      <c r="F419" s="18"/>
      <c r="G419" s="18"/>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49"/>
      <c r="BF419" s="4">
        <f t="shared" si="365"/>
        <v>0</v>
      </c>
      <c r="BG419" s="4">
        <f t="shared" si="365"/>
        <v>0</v>
      </c>
      <c r="BH419" s="4">
        <f t="shared" si="366"/>
        <v>0</v>
      </c>
      <c r="BI419" s="4">
        <f t="shared" si="367"/>
        <v>0</v>
      </c>
      <c r="BJ419" s="4">
        <f t="shared" si="368"/>
        <v>0</v>
      </c>
      <c r="BK419" s="4">
        <f t="shared" si="369"/>
        <v>0</v>
      </c>
      <c r="BL419" s="4">
        <f t="shared" si="370"/>
        <v>0</v>
      </c>
      <c r="BM419" s="4">
        <f t="shared" si="371"/>
        <v>0</v>
      </c>
      <c r="BN419" s="4">
        <f t="shared" si="372"/>
        <v>0</v>
      </c>
      <c r="BO419" s="4">
        <f t="shared" si="373"/>
        <v>0</v>
      </c>
      <c r="BP419" s="4">
        <f t="shared" si="374"/>
        <v>0</v>
      </c>
      <c r="BQ419" s="4">
        <f t="shared" si="375"/>
        <v>0</v>
      </c>
      <c r="BR419" s="4">
        <f t="shared" si="376"/>
        <v>0</v>
      </c>
      <c r="BS419" s="4">
        <f t="shared" si="377"/>
        <v>0</v>
      </c>
      <c r="BT419" s="4">
        <f t="shared" si="378"/>
        <v>0</v>
      </c>
      <c r="BU419" s="4">
        <f t="shared" si="379"/>
        <v>0</v>
      </c>
      <c r="BV419" s="4">
        <f t="shared" si="380"/>
        <v>0</v>
      </c>
      <c r="BW419" s="4">
        <f t="shared" si="381"/>
        <v>0</v>
      </c>
      <c r="BX419" s="4">
        <f t="shared" si="382"/>
        <v>0</v>
      </c>
      <c r="BY419" s="4">
        <f t="shared" si="383"/>
        <v>0</v>
      </c>
      <c r="BZ419" s="4">
        <f t="shared" si="384"/>
        <v>0</v>
      </c>
      <c r="CA419" s="4">
        <f t="shared" si="385"/>
        <v>0</v>
      </c>
      <c r="CB419" s="4">
        <f t="shared" si="386"/>
        <v>0</v>
      </c>
      <c r="CC419" s="4">
        <f t="shared" si="387"/>
        <v>0</v>
      </c>
      <c r="CD419" s="4">
        <f t="shared" si="388"/>
        <v>0</v>
      </c>
      <c r="CE419" s="4">
        <f t="shared" si="389"/>
        <v>0</v>
      </c>
      <c r="CF419" s="4">
        <f t="shared" si="390"/>
        <v>0</v>
      </c>
      <c r="CG419" s="4">
        <f t="shared" si="391"/>
        <v>0</v>
      </c>
      <c r="CH419" s="4">
        <f t="shared" si="392"/>
        <v>0</v>
      </c>
      <c r="CI419" s="4">
        <f t="shared" si="393"/>
        <v>0</v>
      </c>
      <c r="CJ419" s="4">
        <f t="shared" si="394"/>
        <v>0</v>
      </c>
      <c r="CK419" s="4">
        <f t="shared" si="395"/>
        <v>0</v>
      </c>
      <c r="CL419" s="4">
        <f t="shared" si="396"/>
        <v>0</v>
      </c>
      <c r="CM419" s="4">
        <f t="shared" si="397"/>
        <v>0</v>
      </c>
      <c r="CN419" s="4">
        <f t="shared" si="398"/>
        <v>0</v>
      </c>
      <c r="CO419" s="4">
        <f t="shared" si="399"/>
        <v>0</v>
      </c>
      <c r="CP419" s="4">
        <f t="shared" si="400"/>
        <v>0</v>
      </c>
      <c r="CQ419" s="4">
        <f t="shared" si="401"/>
        <v>0</v>
      </c>
      <c r="CR419" s="4">
        <f t="shared" si="402"/>
        <v>0</v>
      </c>
      <c r="CS419" s="4">
        <f t="shared" si="403"/>
        <v>0</v>
      </c>
      <c r="CT419" s="4">
        <f t="shared" si="404"/>
        <v>0</v>
      </c>
      <c r="CU419" s="4">
        <f t="shared" si="405"/>
        <v>0</v>
      </c>
      <c r="CV419" s="4">
        <f t="shared" si="406"/>
        <v>0</v>
      </c>
      <c r="CW419" s="4">
        <f t="shared" si="407"/>
        <v>0</v>
      </c>
      <c r="CX419" s="4">
        <f t="shared" si="408"/>
        <v>0</v>
      </c>
      <c r="CY419" s="4">
        <f t="shared" si="409"/>
        <v>0</v>
      </c>
      <c r="CZ419" s="4">
        <f t="shared" si="410"/>
        <v>0</v>
      </c>
      <c r="DA419" s="4">
        <f t="shared" si="411"/>
        <v>0</v>
      </c>
      <c r="DB419" s="4">
        <f t="shared" si="412"/>
        <v>0</v>
      </c>
      <c r="DC419" s="4">
        <f t="shared" si="413"/>
        <v>0</v>
      </c>
      <c r="DD419" s="4">
        <f t="shared" si="414"/>
        <v>0</v>
      </c>
    </row>
    <row r="420" spans="1:108" x14ac:dyDescent="0.25">
      <c r="A420" s="41">
        <f>Skills!M402</f>
        <v>0</v>
      </c>
      <c r="B420" s="55" t="str">
        <f>Skills!N402</f>
        <v>Magical Training Sub-category</v>
      </c>
      <c r="C420" s="22">
        <f t="shared" si="415"/>
        <v>0</v>
      </c>
      <c r="D420" s="112" t="str">
        <f>Skills!S402</f>
        <v>- -</v>
      </c>
      <c r="E420" s="113" t="s">
        <v>782</v>
      </c>
      <c r="F420" s="19"/>
      <c r="G420" s="19"/>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56"/>
      <c r="BF420" s="4">
        <f t="shared" si="365"/>
        <v>0</v>
      </c>
      <c r="BG420" s="4">
        <f t="shared" si="365"/>
        <v>0</v>
      </c>
      <c r="BH420" s="4">
        <f t="shared" si="366"/>
        <v>0</v>
      </c>
      <c r="BI420" s="4">
        <f t="shared" si="367"/>
        <v>0</v>
      </c>
      <c r="BJ420" s="4">
        <f t="shared" si="368"/>
        <v>0</v>
      </c>
      <c r="BK420" s="4">
        <f t="shared" si="369"/>
        <v>0</v>
      </c>
      <c r="BL420" s="4">
        <f t="shared" si="370"/>
        <v>0</v>
      </c>
      <c r="BM420" s="4">
        <f t="shared" si="371"/>
        <v>0</v>
      </c>
      <c r="BN420" s="4">
        <f t="shared" si="372"/>
        <v>0</v>
      </c>
      <c r="BO420" s="4">
        <f t="shared" si="373"/>
        <v>0</v>
      </c>
      <c r="BP420" s="4">
        <f t="shared" si="374"/>
        <v>0</v>
      </c>
      <c r="BQ420" s="4">
        <f t="shared" si="375"/>
        <v>0</v>
      </c>
      <c r="BR420" s="4">
        <f t="shared" si="376"/>
        <v>0</v>
      </c>
      <c r="BS420" s="4">
        <f t="shared" si="377"/>
        <v>0</v>
      </c>
      <c r="BT420" s="4">
        <f t="shared" si="378"/>
        <v>0</v>
      </c>
      <c r="BU420" s="4">
        <f t="shared" si="379"/>
        <v>0</v>
      </c>
      <c r="BV420" s="4">
        <f t="shared" si="380"/>
        <v>0</v>
      </c>
      <c r="BW420" s="4">
        <f t="shared" si="381"/>
        <v>0</v>
      </c>
      <c r="BX420" s="4">
        <f t="shared" si="382"/>
        <v>0</v>
      </c>
      <c r="BY420" s="4">
        <f t="shared" si="383"/>
        <v>0</v>
      </c>
      <c r="BZ420" s="4">
        <f t="shared" si="384"/>
        <v>0</v>
      </c>
      <c r="CA420" s="4">
        <f t="shared" si="385"/>
        <v>0</v>
      </c>
      <c r="CB420" s="4">
        <f t="shared" si="386"/>
        <v>0</v>
      </c>
      <c r="CC420" s="4">
        <f t="shared" si="387"/>
        <v>0</v>
      </c>
      <c r="CD420" s="4">
        <f t="shared" si="388"/>
        <v>0</v>
      </c>
      <c r="CE420" s="4">
        <f t="shared" si="389"/>
        <v>0</v>
      </c>
      <c r="CF420" s="4">
        <f t="shared" si="390"/>
        <v>0</v>
      </c>
      <c r="CG420" s="4">
        <f t="shared" si="391"/>
        <v>0</v>
      </c>
      <c r="CH420" s="4">
        <f t="shared" si="392"/>
        <v>0</v>
      </c>
      <c r="CI420" s="4">
        <f t="shared" si="393"/>
        <v>0</v>
      </c>
      <c r="CJ420" s="4">
        <f t="shared" si="394"/>
        <v>0</v>
      </c>
      <c r="CK420" s="4">
        <f t="shared" si="395"/>
        <v>0</v>
      </c>
      <c r="CL420" s="4">
        <f t="shared" si="396"/>
        <v>0</v>
      </c>
      <c r="CM420" s="4">
        <f t="shared" si="397"/>
        <v>0</v>
      </c>
      <c r="CN420" s="4">
        <f t="shared" si="398"/>
        <v>0</v>
      </c>
      <c r="CO420" s="4">
        <f t="shared" si="399"/>
        <v>0</v>
      </c>
      <c r="CP420" s="4">
        <f t="shared" si="400"/>
        <v>0</v>
      </c>
      <c r="CQ420" s="4">
        <f t="shared" si="401"/>
        <v>0</v>
      </c>
      <c r="CR420" s="4">
        <f t="shared" si="402"/>
        <v>0</v>
      </c>
      <c r="CS420" s="4">
        <f t="shared" si="403"/>
        <v>0</v>
      </c>
      <c r="CT420" s="4">
        <f t="shared" si="404"/>
        <v>0</v>
      </c>
      <c r="CU420" s="4">
        <f t="shared" si="405"/>
        <v>0</v>
      </c>
      <c r="CV420" s="4">
        <f t="shared" si="406"/>
        <v>0</v>
      </c>
      <c r="CW420" s="4">
        <f t="shared" si="407"/>
        <v>0</v>
      </c>
      <c r="CX420" s="4">
        <f t="shared" si="408"/>
        <v>0</v>
      </c>
      <c r="CY420" s="4">
        <f t="shared" si="409"/>
        <v>0</v>
      </c>
      <c r="CZ420" s="4">
        <f t="shared" si="410"/>
        <v>0</v>
      </c>
      <c r="DA420" s="4">
        <f t="shared" si="411"/>
        <v>0</v>
      </c>
      <c r="DB420" s="4">
        <f t="shared" si="412"/>
        <v>0</v>
      </c>
      <c r="DC420" s="4">
        <f t="shared" si="413"/>
        <v>0</v>
      </c>
      <c r="DD420" s="4">
        <f t="shared" si="414"/>
        <v>0</v>
      </c>
    </row>
    <row r="421" spans="1:108" x14ac:dyDescent="0.25">
      <c r="A421" s="41">
        <f>Skills!M403</f>
        <v>0</v>
      </c>
      <c r="B421" s="57" t="str">
        <f>Skills!N403</f>
        <v>Base Lists Sub-category</v>
      </c>
      <c r="C421" s="24">
        <f t="shared" si="415"/>
        <v>0</v>
      </c>
      <c r="D421" s="110" t="str">
        <f>Skills!S403</f>
        <v>- -</v>
      </c>
      <c r="E421" s="111" t="s">
        <v>782</v>
      </c>
      <c r="F421" s="18"/>
      <c r="G421" s="18"/>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49"/>
      <c r="BF421" s="4">
        <f t="shared" si="365"/>
        <v>0</v>
      </c>
      <c r="BG421" s="4">
        <f t="shared" si="365"/>
        <v>0</v>
      </c>
      <c r="BH421" s="4">
        <f t="shared" si="366"/>
        <v>0</v>
      </c>
      <c r="BI421" s="4">
        <f t="shared" si="367"/>
        <v>0</v>
      </c>
      <c r="BJ421" s="4">
        <f t="shared" si="368"/>
        <v>0</v>
      </c>
      <c r="BK421" s="4">
        <f t="shared" si="369"/>
        <v>0</v>
      </c>
      <c r="BL421" s="4">
        <f t="shared" si="370"/>
        <v>0</v>
      </c>
      <c r="BM421" s="4">
        <f t="shared" si="371"/>
        <v>0</v>
      </c>
      <c r="BN421" s="4">
        <f t="shared" si="372"/>
        <v>0</v>
      </c>
      <c r="BO421" s="4">
        <f t="shared" si="373"/>
        <v>0</v>
      </c>
      <c r="BP421" s="4">
        <f t="shared" si="374"/>
        <v>0</v>
      </c>
      <c r="BQ421" s="4">
        <f t="shared" si="375"/>
        <v>0</v>
      </c>
      <c r="BR421" s="4">
        <f t="shared" si="376"/>
        <v>0</v>
      </c>
      <c r="BS421" s="4">
        <f t="shared" si="377"/>
        <v>0</v>
      </c>
      <c r="BT421" s="4">
        <f t="shared" si="378"/>
        <v>0</v>
      </c>
      <c r="BU421" s="4">
        <f t="shared" si="379"/>
        <v>0</v>
      </c>
      <c r="BV421" s="4">
        <f t="shared" si="380"/>
        <v>0</v>
      </c>
      <c r="BW421" s="4">
        <f t="shared" si="381"/>
        <v>0</v>
      </c>
      <c r="BX421" s="4">
        <f t="shared" si="382"/>
        <v>0</v>
      </c>
      <c r="BY421" s="4">
        <f t="shared" si="383"/>
        <v>0</v>
      </c>
      <c r="BZ421" s="4">
        <f t="shared" si="384"/>
        <v>0</v>
      </c>
      <c r="CA421" s="4">
        <f t="shared" si="385"/>
        <v>0</v>
      </c>
      <c r="CB421" s="4">
        <f t="shared" si="386"/>
        <v>0</v>
      </c>
      <c r="CC421" s="4">
        <f t="shared" si="387"/>
        <v>0</v>
      </c>
      <c r="CD421" s="4">
        <f t="shared" si="388"/>
        <v>0</v>
      </c>
      <c r="CE421" s="4">
        <f t="shared" si="389"/>
        <v>0</v>
      </c>
      <c r="CF421" s="4">
        <f t="shared" si="390"/>
        <v>0</v>
      </c>
      <c r="CG421" s="4">
        <f t="shared" si="391"/>
        <v>0</v>
      </c>
      <c r="CH421" s="4">
        <f t="shared" si="392"/>
        <v>0</v>
      </c>
      <c r="CI421" s="4">
        <f t="shared" si="393"/>
        <v>0</v>
      </c>
      <c r="CJ421" s="4">
        <f t="shared" si="394"/>
        <v>0</v>
      </c>
      <c r="CK421" s="4">
        <f t="shared" si="395"/>
        <v>0</v>
      </c>
      <c r="CL421" s="4">
        <f t="shared" si="396"/>
        <v>0</v>
      </c>
      <c r="CM421" s="4">
        <f t="shared" si="397"/>
        <v>0</v>
      </c>
      <c r="CN421" s="4">
        <f t="shared" si="398"/>
        <v>0</v>
      </c>
      <c r="CO421" s="4">
        <f t="shared" si="399"/>
        <v>0</v>
      </c>
      <c r="CP421" s="4">
        <f t="shared" si="400"/>
        <v>0</v>
      </c>
      <c r="CQ421" s="4">
        <f t="shared" si="401"/>
        <v>0</v>
      </c>
      <c r="CR421" s="4">
        <f t="shared" si="402"/>
        <v>0</v>
      </c>
      <c r="CS421" s="4">
        <f t="shared" si="403"/>
        <v>0</v>
      </c>
      <c r="CT421" s="4">
        <f t="shared" si="404"/>
        <v>0</v>
      </c>
      <c r="CU421" s="4">
        <f t="shared" si="405"/>
        <v>0</v>
      </c>
      <c r="CV421" s="4">
        <f t="shared" si="406"/>
        <v>0</v>
      </c>
      <c r="CW421" s="4">
        <f t="shared" si="407"/>
        <v>0</v>
      </c>
      <c r="CX421" s="4">
        <f t="shared" si="408"/>
        <v>0</v>
      </c>
      <c r="CY421" s="4">
        <f t="shared" si="409"/>
        <v>0</v>
      </c>
      <c r="CZ421" s="4">
        <f t="shared" si="410"/>
        <v>0</v>
      </c>
      <c r="DA421" s="4">
        <f t="shared" si="411"/>
        <v>0</v>
      </c>
      <c r="DB421" s="4">
        <f t="shared" si="412"/>
        <v>0</v>
      </c>
      <c r="DC421" s="4">
        <f t="shared" si="413"/>
        <v>0</v>
      </c>
      <c r="DD421" s="4">
        <f t="shared" si="414"/>
        <v>0</v>
      </c>
    </row>
    <row r="422" spans="1:108" x14ac:dyDescent="0.25">
      <c r="A422" s="41">
        <f>Skills!M404</f>
        <v>0</v>
      </c>
      <c r="B422" s="55" t="str">
        <f>Skills!N404</f>
        <v>Base Lists Skills</v>
      </c>
      <c r="C422" s="22">
        <f t="shared" si="415"/>
        <v>0</v>
      </c>
      <c r="D422" s="112" t="str">
        <f>Skills!S404</f>
        <v>- -</v>
      </c>
      <c r="E422" s="113" t="s">
        <v>782</v>
      </c>
      <c r="F422" s="19"/>
      <c r="G422" s="19"/>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56"/>
      <c r="BF422" s="4">
        <f t="shared" si="365"/>
        <v>0</v>
      </c>
      <c r="BG422" s="4">
        <f t="shared" si="365"/>
        <v>0</v>
      </c>
      <c r="BH422" s="4">
        <f t="shared" si="366"/>
        <v>0</v>
      </c>
      <c r="BI422" s="4">
        <f t="shared" si="367"/>
        <v>0</v>
      </c>
      <c r="BJ422" s="4">
        <f t="shared" si="368"/>
        <v>0</v>
      </c>
      <c r="BK422" s="4">
        <f t="shared" si="369"/>
        <v>0</v>
      </c>
      <c r="BL422" s="4">
        <f t="shared" si="370"/>
        <v>0</v>
      </c>
      <c r="BM422" s="4">
        <f t="shared" si="371"/>
        <v>0</v>
      </c>
      <c r="BN422" s="4">
        <f t="shared" si="372"/>
        <v>0</v>
      </c>
      <c r="BO422" s="4">
        <f t="shared" si="373"/>
        <v>0</v>
      </c>
      <c r="BP422" s="4">
        <f t="shared" si="374"/>
        <v>0</v>
      </c>
      <c r="BQ422" s="4">
        <f t="shared" si="375"/>
        <v>0</v>
      </c>
      <c r="BR422" s="4">
        <f t="shared" si="376"/>
        <v>0</v>
      </c>
      <c r="BS422" s="4">
        <f t="shared" si="377"/>
        <v>0</v>
      </c>
      <c r="BT422" s="4">
        <f t="shared" si="378"/>
        <v>0</v>
      </c>
      <c r="BU422" s="4">
        <f t="shared" si="379"/>
        <v>0</v>
      </c>
      <c r="BV422" s="4">
        <f t="shared" si="380"/>
        <v>0</v>
      </c>
      <c r="BW422" s="4">
        <f t="shared" si="381"/>
        <v>0</v>
      </c>
      <c r="BX422" s="4">
        <f t="shared" si="382"/>
        <v>0</v>
      </c>
      <c r="BY422" s="4">
        <f t="shared" si="383"/>
        <v>0</v>
      </c>
      <c r="BZ422" s="4">
        <f t="shared" si="384"/>
        <v>0</v>
      </c>
      <c r="CA422" s="4">
        <f t="shared" si="385"/>
        <v>0</v>
      </c>
      <c r="CB422" s="4">
        <f t="shared" si="386"/>
        <v>0</v>
      </c>
      <c r="CC422" s="4">
        <f t="shared" si="387"/>
        <v>0</v>
      </c>
      <c r="CD422" s="4">
        <f t="shared" si="388"/>
        <v>0</v>
      </c>
      <c r="CE422" s="4">
        <f t="shared" si="389"/>
        <v>0</v>
      </c>
      <c r="CF422" s="4">
        <f t="shared" si="390"/>
        <v>0</v>
      </c>
      <c r="CG422" s="4">
        <f t="shared" si="391"/>
        <v>0</v>
      </c>
      <c r="CH422" s="4">
        <f t="shared" si="392"/>
        <v>0</v>
      </c>
      <c r="CI422" s="4">
        <f t="shared" si="393"/>
        <v>0</v>
      </c>
      <c r="CJ422" s="4">
        <f t="shared" si="394"/>
        <v>0</v>
      </c>
      <c r="CK422" s="4">
        <f t="shared" si="395"/>
        <v>0</v>
      </c>
      <c r="CL422" s="4">
        <f t="shared" si="396"/>
        <v>0</v>
      </c>
      <c r="CM422" s="4">
        <f t="shared" si="397"/>
        <v>0</v>
      </c>
      <c r="CN422" s="4">
        <f t="shared" si="398"/>
        <v>0</v>
      </c>
      <c r="CO422" s="4">
        <f t="shared" si="399"/>
        <v>0</v>
      </c>
      <c r="CP422" s="4">
        <f t="shared" si="400"/>
        <v>0</v>
      </c>
      <c r="CQ422" s="4">
        <f t="shared" si="401"/>
        <v>0</v>
      </c>
      <c r="CR422" s="4">
        <f t="shared" si="402"/>
        <v>0</v>
      </c>
      <c r="CS422" s="4">
        <f t="shared" si="403"/>
        <v>0</v>
      </c>
      <c r="CT422" s="4">
        <f t="shared" si="404"/>
        <v>0</v>
      </c>
      <c r="CU422" s="4">
        <f t="shared" si="405"/>
        <v>0</v>
      </c>
      <c r="CV422" s="4">
        <f t="shared" si="406"/>
        <v>0</v>
      </c>
      <c r="CW422" s="4">
        <f t="shared" si="407"/>
        <v>0</v>
      </c>
      <c r="CX422" s="4">
        <f t="shared" si="408"/>
        <v>0</v>
      </c>
      <c r="CY422" s="4">
        <f t="shared" si="409"/>
        <v>0</v>
      </c>
      <c r="CZ422" s="4">
        <f t="shared" si="410"/>
        <v>0</v>
      </c>
      <c r="DA422" s="4">
        <f t="shared" si="411"/>
        <v>0</v>
      </c>
      <c r="DB422" s="4">
        <f t="shared" si="412"/>
        <v>0</v>
      </c>
      <c r="DC422" s="4">
        <f t="shared" si="413"/>
        <v>0</v>
      </c>
      <c r="DD422" s="4">
        <f t="shared" si="414"/>
        <v>0</v>
      </c>
    </row>
    <row r="423" spans="1:108" x14ac:dyDescent="0.25">
      <c r="A423" s="41" t="str">
        <f ca="1">Skills!M405</f>
        <v>Houri's Beguilement</v>
      </c>
      <c r="B423" s="57" t="str">
        <f ca="1">Skills!N405</f>
        <v>Houri's Beguilement</v>
      </c>
      <c r="C423" s="24">
        <f t="shared" si="415"/>
        <v>0</v>
      </c>
      <c r="D423" s="110" t="e">
        <f ca="1">Skills!S405</f>
        <v>#N/A</v>
      </c>
      <c r="E423" s="111" t="e">
        <f>Profession!$B$187</f>
        <v>#REF!</v>
      </c>
      <c r="F423" s="18"/>
      <c r="G423" s="18"/>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49"/>
      <c r="BF423" s="4">
        <f t="shared" si="365"/>
        <v>0</v>
      </c>
      <c r="BG423" s="4">
        <f t="shared" si="365"/>
        <v>0</v>
      </c>
      <c r="BH423" s="4">
        <f t="shared" si="366"/>
        <v>0</v>
      </c>
      <c r="BI423" s="4">
        <f t="shared" si="367"/>
        <v>0</v>
      </c>
      <c r="BJ423" s="4">
        <f t="shared" si="368"/>
        <v>0</v>
      </c>
      <c r="BK423" s="4">
        <f t="shared" si="369"/>
        <v>0</v>
      </c>
      <c r="BL423" s="4">
        <f t="shared" si="370"/>
        <v>0</v>
      </c>
      <c r="BM423" s="4">
        <f t="shared" si="371"/>
        <v>0</v>
      </c>
      <c r="BN423" s="4">
        <f t="shared" si="372"/>
        <v>0</v>
      </c>
      <c r="BO423" s="4">
        <f t="shared" si="373"/>
        <v>0</v>
      </c>
      <c r="BP423" s="4">
        <f t="shared" si="374"/>
        <v>0</v>
      </c>
      <c r="BQ423" s="4">
        <f t="shared" si="375"/>
        <v>0</v>
      </c>
      <c r="BR423" s="4">
        <f t="shared" si="376"/>
        <v>0</v>
      </c>
      <c r="BS423" s="4">
        <f t="shared" si="377"/>
        <v>0</v>
      </c>
      <c r="BT423" s="4">
        <f t="shared" si="378"/>
        <v>0</v>
      </c>
      <c r="BU423" s="4">
        <f t="shared" si="379"/>
        <v>0</v>
      </c>
      <c r="BV423" s="4">
        <f t="shared" si="380"/>
        <v>0</v>
      </c>
      <c r="BW423" s="4">
        <f t="shared" si="381"/>
        <v>0</v>
      </c>
      <c r="BX423" s="4">
        <f t="shared" si="382"/>
        <v>0</v>
      </c>
      <c r="BY423" s="4">
        <f t="shared" si="383"/>
        <v>0</v>
      </c>
      <c r="BZ423" s="4">
        <f t="shared" si="384"/>
        <v>0</v>
      </c>
      <c r="CA423" s="4">
        <f t="shared" si="385"/>
        <v>0</v>
      </c>
      <c r="CB423" s="4">
        <f t="shared" si="386"/>
        <v>0</v>
      </c>
      <c r="CC423" s="4">
        <f t="shared" si="387"/>
        <v>0</v>
      </c>
      <c r="CD423" s="4">
        <f t="shared" si="388"/>
        <v>0</v>
      </c>
      <c r="CE423" s="4">
        <f t="shared" si="389"/>
        <v>0</v>
      </c>
      <c r="CF423" s="4">
        <f t="shared" si="390"/>
        <v>0</v>
      </c>
      <c r="CG423" s="4">
        <f t="shared" si="391"/>
        <v>0</v>
      </c>
      <c r="CH423" s="4">
        <f t="shared" si="392"/>
        <v>0</v>
      </c>
      <c r="CI423" s="4">
        <f t="shared" si="393"/>
        <v>0</v>
      </c>
      <c r="CJ423" s="4">
        <f t="shared" si="394"/>
        <v>0</v>
      </c>
      <c r="CK423" s="4">
        <f t="shared" si="395"/>
        <v>0</v>
      </c>
      <c r="CL423" s="4">
        <f t="shared" si="396"/>
        <v>0</v>
      </c>
      <c r="CM423" s="4">
        <f t="shared" si="397"/>
        <v>0</v>
      </c>
      <c r="CN423" s="4">
        <f t="shared" si="398"/>
        <v>0</v>
      </c>
      <c r="CO423" s="4">
        <f t="shared" si="399"/>
        <v>0</v>
      </c>
      <c r="CP423" s="4">
        <f t="shared" si="400"/>
        <v>0</v>
      </c>
      <c r="CQ423" s="4">
        <f t="shared" si="401"/>
        <v>0</v>
      </c>
      <c r="CR423" s="4">
        <f t="shared" si="402"/>
        <v>0</v>
      </c>
      <c r="CS423" s="4">
        <f t="shared" si="403"/>
        <v>0</v>
      </c>
      <c r="CT423" s="4">
        <f t="shared" si="404"/>
        <v>0</v>
      </c>
      <c r="CU423" s="4">
        <f t="shared" si="405"/>
        <v>0</v>
      </c>
      <c r="CV423" s="4">
        <f t="shared" si="406"/>
        <v>0</v>
      </c>
      <c r="CW423" s="4">
        <f t="shared" si="407"/>
        <v>0</v>
      </c>
      <c r="CX423" s="4">
        <f t="shared" si="408"/>
        <v>0</v>
      </c>
      <c r="CY423" s="4">
        <f t="shared" si="409"/>
        <v>0</v>
      </c>
      <c r="CZ423" s="4">
        <f t="shared" si="410"/>
        <v>0</v>
      </c>
      <c r="DA423" s="4">
        <f t="shared" si="411"/>
        <v>0</v>
      </c>
      <c r="DB423" s="4">
        <f t="shared" si="412"/>
        <v>0</v>
      </c>
      <c r="DC423" s="4">
        <f t="shared" si="413"/>
        <v>0</v>
      </c>
      <c r="DD423" s="4">
        <f t="shared" si="414"/>
        <v>0</v>
      </c>
    </row>
    <row r="424" spans="1:108" x14ac:dyDescent="0.25">
      <c r="A424" s="41" t="str">
        <f ca="1">Skills!M406</f>
        <v>Houri's Kisses</v>
      </c>
      <c r="B424" s="55" t="str">
        <f ca="1">Skills!N406</f>
        <v>Houri's Kisses</v>
      </c>
      <c r="C424" s="22">
        <f t="shared" si="415"/>
        <v>0</v>
      </c>
      <c r="D424" s="112" t="e">
        <f ca="1">Skills!S406</f>
        <v>#N/A</v>
      </c>
      <c r="E424" s="113" t="e">
        <f>Profession!$B$187</f>
        <v>#REF!</v>
      </c>
      <c r="F424" s="19"/>
      <c r="G424" s="19"/>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56"/>
      <c r="BF424" s="4">
        <f t="shared" si="365"/>
        <v>0</v>
      </c>
      <c r="BG424" s="4">
        <f t="shared" si="365"/>
        <v>0</v>
      </c>
      <c r="BH424" s="4">
        <f t="shared" si="366"/>
        <v>0</v>
      </c>
      <c r="BI424" s="4">
        <f t="shared" si="367"/>
        <v>0</v>
      </c>
      <c r="BJ424" s="4">
        <f t="shared" si="368"/>
        <v>0</v>
      </c>
      <c r="BK424" s="4">
        <f t="shared" si="369"/>
        <v>0</v>
      </c>
      <c r="BL424" s="4">
        <f t="shared" si="370"/>
        <v>0</v>
      </c>
      <c r="BM424" s="4">
        <f t="shared" si="371"/>
        <v>0</v>
      </c>
      <c r="BN424" s="4">
        <f t="shared" si="372"/>
        <v>0</v>
      </c>
      <c r="BO424" s="4">
        <f t="shared" si="373"/>
        <v>0</v>
      </c>
      <c r="BP424" s="4">
        <f t="shared" si="374"/>
        <v>0</v>
      </c>
      <c r="BQ424" s="4">
        <f t="shared" si="375"/>
        <v>0</v>
      </c>
      <c r="BR424" s="4">
        <f t="shared" si="376"/>
        <v>0</v>
      </c>
      <c r="BS424" s="4">
        <f t="shared" si="377"/>
        <v>0</v>
      </c>
      <c r="BT424" s="4">
        <f t="shared" si="378"/>
        <v>0</v>
      </c>
      <c r="BU424" s="4">
        <f t="shared" si="379"/>
        <v>0</v>
      </c>
      <c r="BV424" s="4">
        <f t="shared" si="380"/>
        <v>0</v>
      </c>
      <c r="BW424" s="4">
        <f t="shared" si="381"/>
        <v>0</v>
      </c>
      <c r="BX424" s="4">
        <f t="shared" si="382"/>
        <v>0</v>
      </c>
      <c r="BY424" s="4">
        <f t="shared" si="383"/>
        <v>0</v>
      </c>
      <c r="BZ424" s="4">
        <f t="shared" si="384"/>
        <v>0</v>
      </c>
      <c r="CA424" s="4">
        <f t="shared" si="385"/>
        <v>0</v>
      </c>
      <c r="CB424" s="4">
        <f t="shared" si="386"/>
        <v>0</v>
      </c>
      <c r="CC424" s="4">
        <f t="shared" si="387"/>
        <v>0</v>
      </c>
      <c r="CD424" s="4">
        <f t="shared" si="388"/>
        <v>0</v>
      </c>
      <c r="CE424" s="4">
        <f t="shared" si="389"/>
        <v>0</v>
      </c>
      <c r="CF424" s="4">
        <f t="shared" si="390"/>
        <v>0</v>
      </c>
      <c r="CG424" s="4">
        <f t="shared" si="391"/>
        <v>0</v>
      </c>
      <c r="CH424" s="4">
        <f t="shared" si="392"/>
        <v>0</v>
      </c>
      <c r="CI424" s="4">
        <f t="shared" si="393"/>
        <v>0</v>
      </c>
      <c r="CJ424" s="4">
        <f t="shared" si="394"/>
        <v>0</v>
      </c>
      <c r="CK424" s="4">
        <f t="shared" si="395"/>
        <v>0</v>
      </c>
      <c r="CL424" s="4">
        <f t="shared" si="396"/>
        <v>0</v>
      </c>
      <c r="CM424" s="4">
        <f t="shared" si="397"/>
        <v>0</v>
      </c>
      <c r="CN424" s="4">
        <f t="shared" si="398"/>
        <v>0</v>
      </c>
      <c r="CO424" s="4">
        <f t="shared" si="399"/>
        <v>0</v>
      </c>
      <c r="CP424" s="4">
        <f t="shared" si="400"/>
        <v>0</v>
      </c>
      <c r="CQ424" s="4">
        <f t="shared" si="401"/>
        <v>0</v>
      </c>
      <c r="CR424" s="4">
        <f t="shared" si="402"/>
        <v>0</v>
      </c>
      <c r="CS424" s="4">
        <f t="shared" si="403"/>
        <v>0</v>
      </c>
      <c r="CT424" s="4">
        <f t="shared" si="404"/>
        <v>0</v>
      </c>
      <c r="CU424" s="4">
        <f t="shared" si="405"/>
        <v>0</v>
      </c>
      <c r="CV424" s="4">
        <f t="shared" si="406"/>
        <v>0</v>
      </c>
      <c r="CW424" s="4">
        <f t="shared" si="407"/>
        <v>0</v>
      </c>
      <c r="CX424" s="4">
        <f t="shared" si="408"/>
        <v>0</v>
      </c>
      <c r="CY424" s="4">
        <f t="shared" si="409"/>
        <v>0</v>
      </c>
      <c r="CZ424" s="4">
        <f t="shared" si="410"/>
        <v>0</v>
      </c>
      <c r="DA424" s="4">
        <f t="shared" si="411"/>
        <v>0</v>
      </c>
      <c r="DB424" s="4">
        <f t="shared" si="412"/>
        <v>0</v>
      </c>
      <c r="DC424" s="4">
        <f t="shared" si="413"/>
        <v>0</v>
      </c>
      <c r="DD424" s="4">
        <f t="shared" si="414"/>
        <v>0</v>
      </c>
    </row>
    <row r="425" spans="1:108" x14ac:dyDescent="0.25">
      <c r="A425" s="41" t="str">
        <f ca="1">Skills!M407</f>
        <v>Influences</v>
      </c>
      <c r="B425" s="57" t="str">
        <f ca="1">Skills!N407</f>
        <v>Influences</v>
      </c>
      <c r="C425" s="24">
        <f t="shared" si="415"/>
        <v>0</v>
      </c>
      <c r="D425" s="110" t="e">
        <f ca="1">Skills!S407</f>
        <v>#N/A</v>
      </c>
      <c r="E425" s="111" t="e">
        <f>Profession!$B$187</f>
        <v>#REF!</v>
      </c>
      <c r="F425" s="18"/>
      <c r="G425" s="18"/>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49"/>
      <c r="BF425" s="4">
        <f t="shared" si="365"/>
        <v>0</v>
      </c>
      <c r="BG425" s="4">
        <f t="shared" si="365"/>
        <v>0</v>
      </c>
      <c r="BH425" s="4">
        <f t="shared" si="366"/>
        <v>0</v>
      </c>
      <c r="BI425" s="4">
        <f t="shared" si="367"/>
        <v>0</v>
      </c>
      <c r="BJ425" s="4">
        <f t="shared" si="368"/>
        <v>0</v>
      </c>
      <c r="BK425" s="4">
        <f t="shared" si="369"/>
        <v>0</v>
      </c>
      <c r="BL425" s="4">
        <f t="shared" si="370"/>
        <v>0</v>
      </c>
      <c r="BM425" s="4">
        <f t="shared" si="371"/>
        <v>0</v>
      </c>
      <c r="BN425" s="4">
        <f t="shared" si="372"/>
        <v>0</v>
      </c>
      <c r="BO425" s="4">
        <f t="shared" si="373"/>
        <v>0</v>
      </c>
      <c r="BP425" s="4">
        <f t="shared" si="374"/>
        <v>0</v>
      </c>
      <c r="BQ425" s="4">
        <f t="shared" si="375"/>
        <v>0</v>
      </c>
      <c r="BR425" s="4">
        <f t="shared" si="376"/>
        <v>0</v>
      </c>
      <c r="BS425" s="4">
        <f t="shared" si="377"/>
        <v>0</v>
      </c>
      <c r="BT425" s="4">
        <f t="shared" si="378"/>
        <v>0</v>
      </c>
      <c r="BU425" s="4">
        <f t="shared" si="379"/>
        <v>0</v>
      </c>
      <c r="BV425" s="4">
        <f t="shared" si="380"/>
        <v>0</v>
      </c>
      <c r="BW425" s="4">
        <f t="shared" si="381"/>
        <v>0</v>
      </c>
      <c r="BX425" s="4">
        <f t="shared" si="382"/>
        <v>0</v>
      </c>
      <c r="BY425" s="4">
        <f t="shared" si="383"/>
        <v>0</v>
      </c>
      <c r="BZ425" s="4">
        <f t="shared" si="384"/>
        <v>0</v>
      </c>
      <c r="CA425" s="4">
        <f t="shared" si="385"/>
        <v>0</v>
      </c>
      <c r="CB425" s="4">
        <f t="shared" si="386"/>
        <v>0</v>
      </c>
      <c r="CC425" s="4">
        <f t="shared" si="387"/>
        <v>0</v>
      </c>
      <c r="CD425" s="4">
        <f t="shared" si="388"/>
        <v>0</v>
      </c>
      <c r="CE425" s="4">
        <f t="shared" si="389"/>
        <v>0</v>
      </c>
      <c r="CF425" s="4">
        <f t="shared" si="390"/>
        <v>0</v>
      </c>
      <c r="CG425" s="4">
        <f t="shared" si="391"/>
        <v>0</v>
      </c>
      <c r="CH425" s="4">
        <f t="shared" si="392"/>
        <v>0</v>
      </c>
      <c r="CI425" s="4">
        <f t="shared" si="393"/>
        <v>0</v>
      </c>
      <c r="CJ425" s="4">
        <f t="shared" si="394"/>
        <v>0</v>
      </c>
      <c r="CK425" s="4">
        <f t="shared" si="395"/>
        <v>0</v>
      </c>
      <c r="CL425" s="4">
        <f t="shared" si="396"/>
        <v>0</v>
      </c>
      <c r="CM425" s="4">
        <f t="shared" si="397"/>
        <v>0</v>
      </c>
      <c r="CN425" s="4">
        <f t="shared" si="398"/>
        <v>0</v>
      </c>
      <c r="CO425" s="4">
        <f t="shared" si="399"/>
        <v>0</v>
      </c>
      <c r="CP425" s="4">
        <f t="shared" si="400"/>
        <v>0</v>
      </c>
      <c r="CQ425" s="4">
        <f t="shared" si="401"/>
        <v>0</v>
      </c>
      <c r="CR425" s="4">
        <f t="shared" si="402"/>
        <v>0</v>
      </c>
      <c r="CS425" s="4">
        <f t="shared" si="403"/>
        <v>0</v>
      </c>
      <c r="CT425" s="4">
        <f t="shared" si="404"/>
        <v>0</v>
      </c>
      <c r="CU425" s="4">
        <f t="shared" si="405"/>
        <v>0</v>
      </c>
      <c r="CV425" s="4">
        <f t="shared" si="406"/>
        <v>0</v>
      </c>
      <c r="CW425" s="4">
        <f t="shared" si="407"/>
        <v>0</v>
      </c>
      <c r="CX425" s="4">
        <f t="shared" si="408"/>
        <v>0</v>
      </c>
      <c r="CY425" s="4">
        <f t="shared" si="409"/>
        <v>0</v>
      </c>
      <c r="CZ425" s="4">
        <f t="shared" si="410"/>
        <v>0</v>
      </c>
      <c r="DA425" s="4">
        <f t="shared" si="411"/>
        <v>0</v>
      </c>
      <c r="DB425" s="4">
        <f t="shared" si="412"/>
        <v>0</v>
      </c>
      <c r="DC425" s="4">
        <f t="shared" si="413"/>
        <v>0</v>
      </c>
      <c r="DD425" s="4">
        <f t="shared" si="414"/>
        <v>0</v>
      </c>
    </row>
    <row r="426" spans="1:108" x14ac:dyDescent="0.25">
      <c r="A426" s="41" t="str">
        <f ca="1">Skills!M408</f>
        <v>Controlling Songs</v>
      </c>
      <c r="B426" s="55" t="str">
        <f ca="1">Skills!N408</f>
        <v>Controlling Songs</v>
      </c>
      <c r="C426" s="22">
        <f t="shared" si="415"/>
        <v>0</v>
      </c>
      <c r="D426" s="112" t="e">
        <f ca="1">Skills!S408</f>
        <v>#N/A</v>
      </c>
      <c r="E426" s="113" t="e">
        <f>Profession!$B$187</f>
        <v>#REF!</v>
      </c>
      <c r="F426" s="19"/>
      <c r="G426" s="19"/>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56"/>
      <c r="BF426" s="4">
        <f t="shared" si="365"/>
        <v>0</v>
      </c>
      <c r="BG426" s="4">
        <f t="shared" si="365"/>
        <v>0</v>
      </c>
      <c r="BH426" s="4">
        <f t="shared" si="366"/>
        <v>0</v>
      </c>
      <c r="BI426" s="4">
        <f t="shared" si="367"/>
        <v>0</v>
      </c>
      <c r="BJ426" s="4">
        <f t="shared" si="368"/>
        <v>0</v>
      </c>
      <c r="BK426" s="4">
        <f t="shared" si="369"/>
        <v>0</v>
      </c>
      <c r="BL426" s="4">
        <f t="shared" si="370"/>
        <v>0</v>
      </c>
      <c r="BM426" s="4">
        <f t="shared" si="371"/>
        <v>0</v>
      </c>
      <c r="BN426" s="4">
        <f t="shared" si="372"/>
        <v>0</v>
      </c>
      <c r="BO426" s="4">
        <f t="shared" si="373"/>
        <v>0</v>
      </c>
      <c r="BP426" s="4">
        <f t="shared" si="374"/>
        <v>0</v>
      </c>
      <c r="BQ426" s="4">
        <f t="shared" si="375"/>
        <v>0</v>
      </c>
      <c r="BR426" s="4">
        <f t="shared" si="376"/>
        <v>0</v>
      </c>
      <c r="BS426" s="4">
        <f t="shared" si="377"/>
        <v>0</v>
      </c>
      <c r="BT426" s="4">
        <f t="shared" si="378"/>
        <v>0</v>
      </c>
      <c r="BU426" s="4">
        <f t="shared" si="379"/>
        <v>0</v>
      </c>
      <c r="BV426" s="4">
        <f t="shared" si="380"/>
        <v>0</v>
      </c>
      <c r="BW426" s="4">
        <f t="shared" si="381"/>
        <v>0</v>
      </c>
      <c r="BX426" s="4">
        <f t="shared" si="382"/>
        <v>0</v>
      </c>
      <c r="BY426" s="4">
        <f t="shared" si="383"/>
        <v>0</v>
      </c>
      <c r="BZ426" s="4">
        <f t="shared" si="384"/>
        <v>0</v>
      </c>
      <c r="CA426" s="4">
        <f t="shared" si="385"/>
        <v>0</v>
      </c>
      <c r="CB426" s="4">
        <f t="shared" si="386"/>
        <v>0</v>
      </c>
      <c r="CC426" s="4">
        <f t="shared" si="387"/>
        <v>0</v>
      </c>
      <c r="CD426" s="4">
        <f t="shared" si="388"/>
        <v>0</v>
      </c>
      <c r="CE426" s="4">
        <f t="shared" si="389"/>
        <v>0</v>
      </c>
      <c r="CF426" s="4">
        <f t="shared" si="390"/>
        <v>0</v>
      </c>
      <c r="CG426" s="4">
        <f t="shared" si="391"/>
        <v>0</v>
      </c>
      <c r="CH426" s="4">
        <f t="shared" si="392"/>
        <v>0</v>
      </c>
      <c r="CI426" s="4">
        <f t="shared" si="393"/>
        <v>0</v>
      </c>
      <c r="CJ426" s="4">
        <f t="shared" si="394"/>
        <v>0</v>
      </c>
      <c r="CK426" s="4">
        <f t="shared" si="395"/>
        <v>0</v>
      </c>
      <c r="CL426" s="4">
        <f t="shared" si="396"/>
        <v>0</v>
      </c>
      <c r="CM426" s="4">
        <f t="shared" si="397"/>
        <v>0</v>
      </c>
      <c r="CN426" s="4">
        <f t="shared" si="398"/>
        <v>0</v>
      </c>
      <c r="CO426" s="4">
        <f t="shared" si="399"/>
        <v>0</v>
      </c>
      <c r="CP426" s="4">
        <f t="shared" si="400"/>
        <v>0</v>
      </c>
      <c r="CQ426" s="4">
        <f t="shared" si="401"/>
        <v>0</v>
      </c>
      <c r="CR426" s="4">
        <f t="shared" si="402"/>
        <v>0</v>
      </c>
      <c r="CS426" s="4">
        <f t="shared" si="403"/>
        <v>0</v>
      </c>
      <c r="CT426" s="4">
        <f t="shared" si="404"/>
        <v>0</v>
      </c>
      <c r="CU426" s="4">
        <f t="shared" si="405"/>
        <v>0</v>
      </c>
      <c r="CV426" s="4">
        <f t="shared" si="406"/>
        <v>0</v>
      </c>
      <c r="CW426" s="4">
        <f t="shared" si="407"/>
        <v>0</v>
      </c>
      <c r="CX426" s="4">
        <f t="shared" si="408"/>
        <v>0</v>
      </c>
      <c r="CY426" s="4">
        <f t="shared" si="409"/>
        <v>0</v>
      </c>
      <c r="CZ426" s="4">
        <f t="shared" si="410"/>
        <v>0</v>
      </c>
      <c r="DA426" s="4">
        <f t="shared" si="411"/>
        <v>0</v>
      </c>
      <c r="DB426" s="4">
        <f t="shared" si="412"/>
        <v>0</v>
      </c>
      <c r="DC426" s="4">
        <f t="shared" si="413"/>
        <v>0</v>
      </c>
      <c r="DD426" s="4">
        <f t="shared" si="414"/>
        <v>0</v>
      </c>
    </row>
    <row r="427" spans="1:108" x14ac:dyDescent="0.25">
      <c r="A427" s="41" t="str">
        <f ca="1">Skills!M409</f>
        <v>Inspiring Songs</v>
      </c>
      <c r="B427" s="57" t="str">
        <f ca="1">Skills!N409</f>
        <v>Inspiring Songs</v>
      </c>
      <c r="C427" s="24">
        <f t="shared" si="415"/>
        <v>0</v>
      </c>
      <c r="D427" s="110" t="e">
        <f ca="1">Skills!S409</f>
        <v>#N/A</v>
      </c>
      <c r="E427" s="111" t="e">
        <f>Profession!$B$187</f>
        <v>#REF!</v>
      </c>
      <c r="F427" s="18"/>
      <c r="G427" s="18"/>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49"/>
      <c r="BF427" s="4">
        <f t="shared" si="365"/>
        <v>0</v>
      </c>
      <c r="BG427" s="4">
        <f t="shared" si="365"/>
        <v>0</v>
      </c>
      <c r="BH427" s="4">
        <f t="shared" si="366"/>
        <v>0</v>
      </c>
      <c r="BI427" s="4">
        <f t="shared" si="367"/>
        <v>0</v>
      </c>
      <c r="BJ427" s="4">
        <f t="shared" si="368"/>
        <v>0</v>
      </c>
      <c r="BK427" s="4">
        <f t="shared" si="369"/>
        <v>0</v>
      </c>
      <c r="BL427" s="4">
        <f t="shared" si="370"/>
        <v>0</v>
      </c>
      <c r="BM427" s="4">
        <f t="shared" si="371"/>
        <v>0</v>
      </c>
      <c r="BN427" s="4">
        <f t="shared" si="372"/>
        <v>0</v>
      </c>
      <c r="BO427" s="4">
        <f t="shared" si="373"/>
        <v>0</v>
      </c>
      <c r="BP427" s="4">
        <f t="shared" si="374"/>
        <v>0</v>
      </c>
      <c r="BQ427" s="4">
        <f t="shared" si="375"/>
        <v>0</v>
      </c>
      <c r="BR427" s="4">
        <f t="shared" si="376"/>
        <v>0</v>
      </c>
      <c r="BS427" s="4">
        <f t="shared" si="377"/>
        <v>0</v>
      </c>
      <c r="BT427" s="4">
        <f t="shared" si="378"/>
        <v>0</v>
      </c>
      <c r="BU427" s="4">
        <f t="shared" si="379"/>
        <v>0</v>
      </c>
      <c r="BV427" s="4">
        <f t="shared" si="380"/>
        <v>0</v>
      </c>
      <c r="BW427" s="4">
        <f t="shared" si="381"/>
        <v>0</v>
      </c>
      <c r="BX427" s="4">
        <f t="shared" si="382"/>
        <v>0</v>
      </c>
      <c r="BY427" s="4">
        <f t="shared" si="383"/>
        <v>0</v>
      </c>
      <c r="BZ427" s="4">
        <f t="shared" si="384"/>
        <v>0</v>
      </c>
      <c r="CA427" s="4">
        <f t="shared" si="385"/>
        <v>0</v>
      </c>
      <c r="CB427" s="4">
        <f t="shared" si="386"/>
        <v>0</v>
      </c>
      <c r="CC427" s="4">
        <f t="shared" si="387"/>
        <v>0</v>
      </c>
      <c r="CD427" s="4">
        <f t="shared" si="388"/>
        <v>0</v>
      </c>
      <c r="CE427" s="4">
        <f t="shared" si="389"/>
        <v>0</v>
      </c>
      <c r="CF427" s="4">
        <f t="shared" si="390"/>
        <v>0</v>
      </c>
      <c r="CG427" s="4">
        <f t="shared" si="391"/>
        <v>0</v>
      </c>
      <c r="CH427" s="4">
        <f t="shared" si="392"/>
        <v>0</v>
      </c>
      <c r="CI427" s="4">
        <f t="shared" si="393"/>
        <v>0</v>
      </c>
      <c r="CJ427" s="4">
        <f t="shared" si="394"/>
        <v>0</v>
      </c>
      <c r="CK427" s="4">
        <f t="shared" si="395"/>
        <v>0</v>
      </c>
      <c r="CL427" s="4">
        <f t="shared" si="396"/>
        <v>0</v>
      </c>
      <c r="CM427" s="4">
        <f t="shared" si="397"/>
        <v>0</v>
      </c>
      <c r="CN427" s="4">
        <f t="shared" si="398"/>
        <v>0</v>
      </c>
      <c r="CO427" s="4">
        <f t="shared" si="399"/>
        <v>0</v>
      </c>
      <c r="CP427" s="4">
        <f t="shared" si="400"/>
        <v>0</v>
      </c>
      <c r="CQ427" s="4">
        <f t="shared" si="401"/>
        <v>0</v>
      </c>
      <c r="CR427" s="4">
        <f t="shared" si="402"/>
        <v>0</v>
      </c>
      <c r="CS427" s="4">
        <f t="shared" si="403"/>
        <v>0</v>
      </c>
      <c r="CT427" s="4">
        <f t="shared" si="404"/>
        <v>0</v>
      </c>
      <c r="CU427" s="4">
        <f t="shared" si="405"/>
        <v>0</v>
      </c>
      <c r="CV427" s="4">
        <f t="shared" si="406"/>
        <v>0</v>
      </c>
      <c r="CW427" s="4">
        <f t="shared" si="407"/>
        <v>0</v>
      </c>
      <c r="CX427" s="4">
        <f t="shared" si="408"/>
        <v>0</v>
      </c>
      <c r="CY427" s="4">
        <f t="shared" si="409"/>
        <v>0</v>
      </c>
      <c r="CZ427" s="4">
        <f t="shared" si="410"/>
        <v>0</v>
      </c>
      <c r="DA427" s="4">
        <f t="shared" si="411"/>
        <v>0</v>
      </c>
      <c r="DB427" s="4">
        <f t="shared" si="412"/>
        <v>0</v>
      </c>
      <c r="DC427" s="4">
        <f t="shared" si="413"/>
        <v>0</v>
      </c>
      <c r="DD427" s="4">
        <f t="shared" si="414"/>
        <v>0</v>
      </c>
    </row>
    <row r="428" spans="1:108" x14ac:dyDescent="0.25">
      <c r="A428" s="41" t="str">
        <f ca="1">Skills!M410</f>
        <v>Assassination Mastery</v>
      </c>
      <c r="B428" s="55" t="str">
        <f ca="1">Skills!N410</f>
        <v>Assassination Mastery</v>
      </c>
      <c r="C428" s="22">
        <f t="shared" si="415"/>
        <v>0</v>
      </c>
      <c r="D428" s="112" t="e">
        <f ca="1">Skills!S410</f>
        <v>#N/A</v>
      </c>
      <c r="E428" s="113" t="e">
        <f>Profession!$B$187</f>
        <v>#REF!</v>
      </c>
      <c r="F428" s="19"/>
      <c r="G428" s="19"/>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56"/>
      <c r="BF428" s="4">
        <f t="shared" si="365"/>
        <v>0</v>
      </c>
      <c r="BG428" s="4">
        <f t="shared" si="365"/>
        <v>0</v>
      </c>
      <c r="BH428" s="4">
        <f t="shared" si="366"/>
        <v>0</v>
      </c>
      <c r="BI428" s="4">
        <f t="shared" si="367"/>
        <v>0</v>
      </c>
      <c r="BJ428" s="4">
        <f t="shared" si="368"/>
        <v>0</v>
      </c>
      <c r="BK428" s="4">
        <f t="shared" si="369"/>
        <v>0</v>
      </c>
      <c r="BL428" s="4">
        <f t="shared" si="370"/>
        <v>0</v>
      </c>
      <c r="BM428" s="4">
        <f t="shared" si="371"/>
        <v>0</v>
      </c>
      <c r="BN428" s="4">
        <f t="shared" si="372"/>
        <v>0</v>
      </c>
      <c r="BO428" s="4">
        <f t="shared" si="373"/>
        <v>0</v>
      </c>
      <c r="BP428" s="4">
        <f t="shared" si="374"/>
        <v>0</v>
      </c>
      <c r="BQ428" s="4">
        <f t="shared" si="375"/>
        <v>0</v>
      </c>
      <c r="BR428" s="4">
        <f t="shared" si="376"/>
        <v>0</v>
      </c>
      <c r="BS428" s="4">
        <f t="shared" si="377"/>
        <v>0</v>
      </c>
      <c r="BT428" s="4">
        <f t="shared" si="378"/>
        <v>0</v>
      </c>
      <c r="BU428" s="4">
        <f t="shared" si="379"/>
        <v>0</v>
      </c>
      <c r="BV428" s="4">
        <f t="shared" si="380"/>
        <v>0</v>
      </c>
      <c r="BW428" s="4">
        <f t="shared" si="381"/>
        <v>0</v>
      </c>
      <c r="BX428" s="4">
        <f t="shared" si="382"/>
        <v>0</v>
      </c>
      <c r="BY428" s="4">
        <f t="shared" si="383"/>
        <v>0</v>
      </c>
      <c r="BZ428" s="4">
        <f t="shared" si="384"/>
        <v>0</v>
      </c>
      <c r="CA428" s="4">
        <f t="shared" si="385"/>
        <v>0</v>
      </c>
      <c r="CB428" s="4">
        <f t="shared" si="386"/>
        <v>0</v>
      </c>
      <c r="CC428" s="4">
        <f t="shared" si="387"/>
        <v>0</v>
      </c>
      <c r="CD428" s="4">
        <f t="shared" si="388"/>
        <v>0</v>
      </c>
      <c r="CE428" s="4">
        <f t="shared" si="389"/>
        <v>0</v>
      </c>
      <c r="CF428" s="4">
        <f t="shared" si="390"/>
        <v>0</v>
      </c>
      <c r="CG428" s="4">
        <f t="shared" si="391"/>
        <v>0</v>
      </c>
      <c r="CH428" s="4">
        <f t="shared" si="392"/>
        <v>0</v>
      </c>
      <c r="CI428" s="4">
        <f t="shared" si="393"/>
        <v>0</v>
      </c>
      <c r="CJ428" s="4">
        <f t="shared" si="394"/>
        <v>0</v>
      </c>
      <c r="CK428" s="4">
        <f t="shared" si="395"/>
        <v>0</v>
      </c>
      <c r="CL428" s="4">
        <f t="shared" si="396"/>
        <v>0</v>
      </c>
      <c r="CM428" s="4">
        <f t="shared" si="397"/>
        <v>0</v>
      </c>
      <c r="CN428" s="4">
        <f t="shared" si="398"/>
        <v>0</v>
      </c>
      <c r="CO428" s="4">
        <f t="shared" si="399"/>
        <v>0</v>
      </c>
      <c r="CP428" s="4">
        <f t="shared" si="400"/>
        <v>0</v>
      </c>
      <c r="CQ428" s="4">
        <f t="shared" si="401"/>
        <v>0</v>
      </c>
      <c r="CR428" s="4">
        <f t="shared" si="402"/>
        <v>0</v>
      </c>
      <c r="CS428" s="4">
        <f t="shared" si="403"/>
        <v>0</v>
      </c>
      <c r="CT428" s="4">
        <f t="shared" si="404"/>
        <v>0</v>
      </c>
      <c r="CU428" s="4">
        <f t="shared" si="405"/>
        <v>0</v>
      </c>
      <c r="CV428" s="4">
        <f t="shared" si="406"/>
        <v>0</v>
      </c>
      <c r="CW428" s="4">
        <f t="shared" si="407"/>
        <v>0</v>
      </c>
      <c r="CX428" s="4">
        <f t="shared" si="408"/>
        <v>0</v>
      </c>
      <c r="CY428" s="4">
        <f t="shared" si="409"/>
        <v>0</v>
      </c>
      <c r="CZ428" s="4">
        <f t="shared" si="410"/>
        <v>0</v>
      </c>
      <c r="DA428" s="4">
        <f t="shared" si="411"/>
        <v>0</v>
      </c>
      <c r="DB428" s="4">
        <f t="shared" si="412"/>
        <v>0</v>
      </c>
      <c r="DC428" s="4">
        <f t="shared" si="413"/>
        <v>0</v>
      </c>
      <c r="DD428" s="4">
        <f t="shared" si="414"/>
        <v>0</v>
      </c>
    </row>
    <row r="429" spans="1:108" x14ac:dyDescent="0.25">
      <c r="A429" s="41">
        <f>Skills!M411</f>
        <v>0</v>
      </c>
      <c r="B429" s="57" t="str">
        <f>Skills!N411</f>
        <v>Open Lists Sub-category</v>
      </c>
      <c r="C429" s="24">
        <f t="shared" si="415"/>
        <v>0</v>
      </c>
      <c r="D429" s="110" t="str">
        <f>Skills!S411</f>
        <v>- -</v>
      </c>
      <c r="E429" s="111" t="s">
        <v>782</v>
      </c>
      <c r="F429" s="18"/>
      <c r="G429" s="18"/>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49"/>
      <c r="BF429" s="4">
        <f t="shared" si="365"/>
        <v>0</v>
      </c>
      <c r="BG429" s="4">
        <f t="shared" si="365"/>
        <v>0</v>
      </c>
      <c r="BH429" s="4">
        <f t="shared" si="366"/>
        <v>0</v>
      </c>
      <c r="BI429" s="4">
        <f t="shared" si="367"/>
        <v>0</v>
      </c>
      <c r="BJ429" s="4">
        <f t="shared" si="368"/>
        <v>0</v>
      </c>
      <c r="BK429" s="4">
        <f t="shared" si="369"/>
        <v>0</v>
      </c>
      <c r="BL429" s="4">
        <f t="shared" si="370"/>
        <v>0</v>
      </c>
      <c r="BM429" s="4">
        <f t="shared" si="371"/>
        <v>0</v>
      </c>
      <c r="BN429" s="4">
        <f t="shared" si="372"/>
        <v>0</v>
      </c>
      <c r="BO429" s="4">
        <f t="shared" si="373"/>
        <v>0</v>
      </c>
      <c r="BP429" s="4">
        <f t="shared" si="374"/>
        <v>0</v>
      </c>
      <c r="BQ429" s="4">
        <f t="shared" si="375"/>
        <v>0</v>
      </c>
      <c r="BR429" s="4">
        <f t="shared" si="376"/>
        <v>0</v>
      </c>
      <c r="BS429" s="4">
        <f t="shared" si="377"/>
        <v>0</v>
      </c>
      <c r="BT429" s="4">
        <f t="shared" si="378"/>
        <v>0</v>
      </c>
      <c r="BU429" s="4">
        <f t="shared" si="379"/>
        <v>0</v>
      </c>
      <c r="BV429" s="4">
        <f t="shared" si="380"/>
        <v>0</v>
      </c>
      <c r="BW429" s="4">
        <f t="shared" si="381"/>
        <v>0</v>
      </c>
      <c r="BX429" s="4">
        <f t="shared" si="382"/>
        <v>0</v>
      </c>
      <c r="BY429" s="4">
        <f t="shared" si="383"/>
        <v>0</v>
      </c>
      <c r="BZ429" s="4">
        <f t="shared" si="384"/>
        <v>0</v>
      </c>
      <c r="CA429" s="4">
        <f t="shared" si="385"/>
        <v>0</v>
      </c>
      <c r="CB429" s="4">
        <f t="shared" si="386"/>
        <v>0</v>
      </c>
      <c r="CC429" s="4">
        <f t="shared" si="387"/>
        <v>0</v>
      </c>
      <c r="CD429" s="4">
        <f t="shared" si="388"/>
        <v>0</v>
      </c>
      <c r="CE429" s="4">
        <f t="shared" si="389"/>
        <v>0</v>
      </c>
      <c r="CF429" s="4">
        <f t="shared" si="390"/>
        <v>0</v>
      </c>
      <c r="CG429" s="4">
        <f t="shared" si="391"/>
        <v>0</v>
      </c>
      <c r="CH429" s="4">
        <f t="shared" si="392"/>
        <v>0</v>
      </c>
      <c r="CI429" s="4">
        <f t="shared" si="393"/>
        <v>0</v>
      </c>
      <c r="CJ429" s="4">
        <f t="shared" si="394"/>
        <v>0</v>
      </c>
      <c r="CK429" s="4">
        <f t="shared" si="395"/>
        <v>0</v>
      </c>
      <c r="CL429" s="4">
        <f t="shared" si="396"/>
        <v>0</v>
      </c>
      <c r="CM429" s="4">
        <f t="shared" si="397"/>
        <v>0</v>
      </c>
      <c r="CN429" s="4">
        <f t="shared" si="398"/>
        <v>0</v>
      </c>
      <c r="CO429" s="4">
        <f t="shared" si="399"/>
        <v>0</v>
      </c>
      <c r="CP429" s="4">
        <f t="shared" si="400"/>
        <v>0</v>
      </c>
      <c r="CQ429" s="4">
        <f t="shared" si="401"/>
        <v>0</v>
      </c>
      <c r="CR429" s="4">
        <f t="shared" si="402"/>
        <v>0</v>
      </c>
      <c r="CS429" s="4">
        <f t="shared" si="403"/>
        <v>0</v>
      </c>
      <c r="CT429" s="4">
        <f t="shared" si="404"/>
        <v>0</v>
      </c>
      <c r="CU429" s="4">
        <f t="shared" si="405"/>
        <v>0</v>
      </c>
      <c r="CV429" s="4">
        <f t="shared" si="406"/>
        <v>0</v>
      </c>
      <c r="CW429" s="4">
        <f t="shared" si="407"/>
        <v>0</v>
      </c>
      <c r="CX429" s="4">
        <f t="shared" si="408"/>
        <v>0</v>
      </c>
      <c r="CY429" s="4">
        <f t="shared" si="409"/>
        <v>0</v>
      </c>
      <c r="CZ429" s="4">
        <f t="shared" si="410"/>
        <v>0</v>
      </c>
      <c r="DA429" s="4">
        <f t="shared" si="411"/>
        <v>0</v>
      </c>
      <c r="DB429" s="4">
        <f t="shared" si="412"/>
        <v>0</v>
      </c>
      <c r="DC429" s="4">
        <f t="shared" si="413"/>
        <v>0</v>
      </c>
      <c r="DD429" s="4">
        <f t="shared" si="414"/>
        <v>0</v>
      </c>
    </row>
    <row r="430" spans="1:108" x14ac:dyDescent="0.25">
      <c r="A430" s="41">
        <f>Skills!M412</f>
        <v>0</v>
      </c>
      <c r="B430" s="55" t="str">
        <f>Skills!N412</f>
        <v>Open Lists Skills</v>
      </c>
      <c r="C430" s="22">
        <f t="shared" si="415"/>
        <v>0</v>
      </c>
      <c r="D430" s="112" t="str">
        <f>Skills!S412</f>
        <v>- -</v>
      </c>
      <c r="E430" s="113" t="s">
        <v>782</v>
      </c>
      <c r="F430" s="19"/>
      <c r="G430" s="19"/>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56"/>
      <c r="BF430" s="4">
        <f t="shared" si="365"/>
        <v>0</v>
      </c>
      <c r="BG430" s="4">
        <f t="shared" si="365"/>
        <v>0</v>
      </c>
      <c r="BH430" s="4">
        <f t="shared" si="366"/>
        <v>0</v>
      </c>
      <c r="BI430" s="4">
        <f t="shared" si="367"/>
        <v>0</v>
      </c>
      <c r="BJ430" s="4">
        <f t="shared" si="368"/>
        <v>0</v>
      </c>
      <c r="BK430" s="4">
        <f t="shared" si="369"/>
        <v>0</v>
      </c>
      <c r="BL430" s="4">
        <f t="shared" si="370"/>
        <v>0</v>
      </c>
      <c r="BM430" s="4">
        <f t="shared" si="371"/>
        <v>0</v>
      </c>
      <c r="BN430" s="4">
        <f t="shared" si="372"/>
        <v>0</v>
      </c>
      <c r="BO430" s="4">
        <f t="shared" si="373"/>
        <v>0</v>
      </c>
      <c r="BP430" s="4">
        <f t="shared" si="374"/>
        <v>0</v>
      </c>
      <c r="BQ430" s="4">
        <f t="shared" si="375"/>
        <v>0</v>
      </c>
      <c r="BR430" s="4">
        <f t="shared" si="376"/>
        <v>0</v>
      </c>
      <c r="BS430" s="4">
        <f t="shared" si="377"/>
        <v>0</v>
      </c>
      <c r="BT430" s="4">
        <f t="shared" si="378"/>
        <v>0</v>
      </c>
      <c r="BU430" s="4">
        <f t="shared" si="379"/>
        <v>0</v>
      </c>
      <c r="BV430" s="4">
        <f t="shared" si="380"/>
        <v>0</v>
      </c>
      <c r="BW430" s="4">
        <f t="shared" si="381"/>
        <v>0</v>
      </c>
      <c r="BX430" s="4">
        <f t="shared" si="382"/>
        <v>0</v>
      </c>
      <c r="BY430" s="4">
        <f t="shared" si="383"/>
        <v>0</v>
      </c>
      <c r="BZ430" s="4">
        <f t="shared" si="384"/>
        <v>0</v>
      </c>
      <c r="CA430" s="4">
        <f t="shared" si="385"/>
        <v>0</v>
      </c>
      <c r="CB430" s="4">
        <f t="shared" si="386"/>
        <v>0</v>
      </c>
      <c r="CC430" s="4">
        <f t="shared" si="387"/>
        <v>0</v>
      </c>
      <c r="CD430" s="4">
        <f t="shared" si="388"/>
        <v>0</v>
      </c>
      <c r="CE430" s="4">
        <f t="shared" si="389"/>
        <v>0</v>
      </c>
      <c r="CF430" s="4">
        <f t="shared" si="390"/>
        <v>0</v>
      </c>
      <c r="CG430" s="4">
        <f t="shared" si="391"/>
        <v>0</v>
      </c>
      <c r="CH430" s="4">
        <f t="shared" si="392"/>
        <v>0</v>
      </c>
      <c r="CI430" s="4">
        <f t="shared" si="393"/>
        <v>0</v>
      </c>
      <c r="CJ430" s="4">
        <f t="shared" si="394"/>
        <v>0</v>
      </c>
      <c r="CK430" s="4">
        <f t="shared" si="395"/>
        <v>0</v>
      </c>
      <c r="CL430" s="4">
        <f t="shared" si="396"/>
        <v>0</v>
      </c>
      <c r="CM430" s="4">
        <f t="shared" si="397"/>
        <v>0</v>
      </c>
      <c r="CN430" s="4">
        <f t="shared" si="398"/>
        <v>0</v>
      </c>
      <c r="CO430" s="4">
        <f t="shared" si="399"/>
        <v>0</v>
      </c>
      <c r="CP430" s="4">
        <f t="shared" si="400"/>
        <v>0</v>
      </c>
      <c r="CQ430" s="4">
        <f t="shared" si="401"/>
        <v>0</v>
      </c>
      <c r="CR430" s="4">
        <f t="shared" si="402"/>
        <v>0</v>
      </c>
      <c r="CS430" s="4">
        <f t="shared" si="403"/>
        <v>0</v>
      </c>
      <c r="CT430" s="4">
        <f t="shared" si="404"/>
        <v>0</v>
      </c>
      <c r="CU430" s="4">
        <f t="shared" si="405"/>
        <v>0</v>
      </c>
      <c r="CV430" s="4">
        <f t="shared" si="406"/>
        <v>0</v>
      </c>
      <c r="CW430" s="4">
        <f t="shared" si="407"/>
        <v>0</v>
      </c>
      <c r="CX430" s="4">
        <f t="shared" si="408"/>
        <v>0</v>
      </c>
      <c r="CY430" s="4">
        <f t="shared" si="409"/>
        <v>0</v>
      </c>
      <c r="CZ430" s="4">
        <f t="shared" si="410"/>
        <v>0</v>
      </c>
      <c r="DA430" s="4">
        <f t="shared" si="411"/>
        <v>0</v>
      </c>
      <c r="DB430" s="4">
        <f t="shared" si="412"/>
        <v>0</v>
      </c>
      <c r="DC430" s="4">
        <f t="shared" si="413"/>
        <v>0</v>
      </c>
      <c r="DD430" s="4">
        <f t="shared" si="414"/>
        <v>0</v>
      </c>
    </row>
    <row r="431" spans="1:108" x14ac:dyDescent="0.25">
      <c r="A431" s="41" t="str">
        <f ca="1">Skills!M413</f>
        <v>Delving Ways</v>
      </c>
      <c r="B431" s="57" t="str">
        <f ca="1">Skills!N413</f>
        <v>Delving Ways</v>
      </c>
      <c r="C431" s="24">
        <f t="shared" si="415"/>
        <v>0</v>
      </c>
      <c r="D431" s="110" t="e">
        <f ca="1">Skills!S413</f>
        <v>#N/A</v>
      </c>
      <c r="E431" s="111" t="e">
        <f>Profession!$B$188</f>
        <v>#REF!</v>
      </c>
      <c r="F431" s="18"/>
      <c r="G431" s="18"/>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49"/>
      <c r="BF431" s="4">
        <f t="shared" si="365"/>
        <v>0</v>
      </c>
      <c r="BG431" s="4">
        <f t="shared" si="365"/>
        <v>0</v>
      </c>
      <c r="BH431" s="4">
        <f t="shared" si="366"/>
        <v>0</v>
      </c>
      <c r="BI431" s="4">
        <f t="shared" si="367"/>
        <v>0</v>
      </c>
      <c r="BJ431" s="4">
        <f t="shared" si="368"/>
        <v>0</v>
      </c>
      <c r="BK431" s="4">
        <f t="shared" si="369"/>
        <v>0</v>
      </c>
      <c r="BL431" s="4">
        <f t="shared" si="370"/>
        <v>0</v>
      </c>
      <c r="BM431" s="4">
        <f t="shared" si="371"/>
        <v>0</v>
      </c>
      <c r="BN431" s="4">
        <f t="shared" si="372"/>
        <v>0</v>
      </c>
      <c r="BO431" s="4">
        <f t="shared" si="373"/>
        <v>0</v>
      </c>
      <c r="BP431" s="4">
        <f t="shared" si="374"/>
        <v>0</v>
      </c>
      <c r="BQ431" s="4">
        <f t="shared" si="375"/>
        <v>0</v>
      </c>
      <c r="BR431" s="4">
        <f t="shared" si="376"/>
        <v>0</v>
      </c>
      <c r="BS431" s="4">
        <f t="shared" si="377"/>
        <v>0</v>
      </c>
      <c r="BT431" s="4">
        <f t="shared" si="378"/>
        <v>0</v>
      </c>
      <c r="BU431" s="4">
        <f t="shared" si="379"/>
        <v>0</v>
      </c>
      <c r="BV431" s="4">
        <f t="shared" si="380"/>
        <v>0</v>
      </c>
      <c r="BW431" s="4">
        <f t="shared" si="381"/>
        <v>0</v>
      </c>
      <c r="BX431" s="4">
        <f t="shared" si="382"/>
        <v>0</v>
      </c>
      <c r="BY431" s="4">
        <f t="shared" si="383"/>
        <v>0</v>
      </c>
      <c r="BZ431" s="4">
        <f t="shared" si="384"/>
        <v>0</v>
      </c>
      <c r="CA431" s="4">
        <f t="shared" si="385"/>
        <v>0</v>
      </c>
      <c r="CB431" s="4">
        <f t="shared" si="386"/>
        <v>0</v>
      </c>
      <c r="CC431" s="4">
        <f t="shared" si="387"/>
        <v>0</v>
      </c>
      <c r="CD431" s="4">
        <f t="shared" si="388"/>
        <v>0</v>
      </c>
      <c r="CE431" s="4">
        <f t="shared" si="389"/>
        <v>0</v>
      </c>
      <c r="CF431" s="4">
        <f t="shared" si="390"/>
        <v>0</v>
      </c>
      <c r="CG431" s="4">
        <f t="shared" si="391"/>
        <v>0</v>
      </c>
      <c r="CH431" s="4">
        <f t="shared" si="392"/>
        <v>0</v>
      </c>
      <c r="CI431" s="4">
        <f t="shared" si="393"/>
        <v>0</v>
      </c>
      <c r="CJ431" s="4">
        <f t="shared" si="394"/>
        <v>0</v>
      </c>
      <c r="CK431" s="4">
        <f t="shared" si="395"/>
        <v>0</v>
      </c>
      <c r="CL431" s="4">
        <f t="shared" si="396"/>
        <v>0</v>
      </c>
      <c r="CM431" s="4">
        <f t="shared" si="397"/>
        <v>0</v>
      </c>
      <c r="CN431" s="4">
        <f t="shared" si="398"/>
        <v>0</v>
      </c>
      <c r="CO431" s="4">
        <f t="shared" si="399"/>
        <v>0</v>
      </c>
      <c r="CP431" s="4">
        <f t="shared" si="400"/>
        <v>0</v>
      </c>
      <c r="CQ431" s="4">
        <f t="shared" si="401"/>
        <v>0</v>
      </c>
      <c r="CR431" s="4">
        <f t="shared" si="402"/>
        <v>0</v>
      </c>
      <c r="CS431" s="4">
        <f t="shared" si="403"/>
        <v>0</v>
      </c>
      <c r="CT431" s="4">
        <f t="shared" si="404"/>
        <v>0</v>
      </c>
      <c r="CU431" s="4">
        <f t="shared" si="405"/>
        <v>0</v>
      </c>
      <c r="CV431" s="4">
        <f t="shared" si="406"/>
        <v>0</v>
      </c>
      <c r="CW431" s="4">
        <f t="shared" si="407"/>
        <v>0</v>
      </c>
      <c r="CX431" s="4">
        <f t="shared" si="408"/>
        <v>0</v>
      </c>
      <c r="CY431" s="4">
        <f t="shared" si="409"/>
        <v>0</v>
      </c>
      <c r="CZ431" s="4">
        <f t="shared" si="410"/>
        <v>0</v>
      </c>
      <c r="DA431" s="4">
        <f t="shared" si="411"/>
        <v>0</v>
      </c>
      <c r="DB431" s="4">
        <f t="shared" si="412"/>
        <v>0</v>
      </c>
      <c r="DC431" s="4">
        <f t="shared" si="413"/>
        <v>0</v>
      </c>
      <c r="DD431" s="4">
        <f t="shared" si="414"/>
        <v>0</v>
      </c>
    </row>
    <row r="432" spans="1:108" x14ac:dyDescent="0.25">
      <c r="A432" s="41" t="str">
        <f ca="1">Skills!M414</f>
        <v>Detecting Ways</v>
      </c>
      <c r="B432" s="55" t="str">
        <f ca="1">Skills!N414</f>
        <v>Detecting Ways</v>
      </c>
      <c r="C432" s="22">
        <f t="shared" si="415"/>
        <v>0</v>
      </c>
      <c r="D432" s="112" t="e">
        <f ca="1">Skills!S414</f>
        <v>#N/A</v>
      </c>
      <c r="E432" s="113" t="e">
        <f>Profession!$B$188</f>
        <v>#REF!</v>
      </c>
      <c r="F432" s="19"/>
      <c r="G432" s="19"/>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56"/>
      <c r="BF432" s="4">
        <f t="shared" si="365"/>
        <v>0</v>
      </c>
      <c r="BG432" s="4">
        <f t="shared" si="365"/>
        <v>0</v>
      </c>
      <c r="BH432" s="4">
        <f t="shared" si="366"/>
        <v>0</v>
      </c>
      <c r="BI432" s="4">
        <f t="shared" si="367"/>
        <v>0</v>
      </c>
      <c r="BJ432" s="4">
        <f t="shared" si="368"/>
        <v>0</v>
      </c>
      <c r="BK432" s="4">
        <f t="shared" si="369"/>
        <v>0</v>
      </c>
      <c r="BL432" s="4">
        <f t="shared" si="370"/>
        <v>0</v>
      </c>
      <c r="BM432" s="4">
        <f t="shared" si="371"/>
        <v>0</v>
      </c>
      <c r="BN432" s="4">
        <f t="shared" si="372"/>
        <v>0</v>
      </c>
      <c r="BO432" s="4">
        <f t="shared" si="373"/>
        <v>0</v>
      </c>
      <c r="BP432" s="4">
        <f t="shared" si="374"/>
        <v>0</v>
      </c>
      <c r="BQ432" s="4">
        <f t="shared" si="375"/>
        <v>0</v>
      </c>
      <c r="BR432" s="4">
        <f t="shared" si="376"/>
        <v>0</v>
      </c>
      <c r="BS432" s="4">
        <f t="shared" si="377"/>
        <v>0</v>
      </c>
      <c r="BT432" s="4">
        <f t="shared" si="378"/>
        <v>0</v>
      </c>
      <c r="BU432" s="4">
        <f t="shared" si="379"/>
        <v>0</v>
      </c>
      <c r="BV432" s="4">
        <f t="shared" si="380"/>
        <v>0</v>
      </c>
      <c r="BW432" s="4">
        <f t="shared" si="381"/>
        <v>0</v>
      </c>
      <c r="BX432" s="4">
        <f t="shared" si="382"/>
        <v>0</v>
      </c>
      <c r="BY432" s="4">
        <f t="shared" si="383"/>
        <v>0</v>
      </c>
      <c r="BZ432" s="4">
        <f t="shared" si="384"/>
        <v>0</v>
      </c>
      <c r="CA432" s="4">
        <f t="shared" si="385"/>
        <v>0</v>
      </c>
      <c r="CB432" s="4">
        <f t="shared" si="386"/>
        <v>0</v>
      </c>
      <c r="CC432" s="4">
        <f t="shared" si="387"/>
        <v>0</v>
      </c>
      <c r="CD432" s="4">
        <f t="shared" si="388"/>
        <v>0</v>
      </c>
      <c r="CE432" s="4">
        <f t="shared" si="389"/>
        <v>0</v>
      </c>
      <c r="CF432" s="4">
        <f t="shared" si="390"/>
        <v>0</v>
      </c>
      <c r="CG432" s="4">
        <f t="shared" si="391"/>
        <v>0</v>
      </c>
      <c r="CH432" s="4">
        <f t="shared" si="392"/>
        <v>0</v>
      </c>
      <c r="CI432" s="4">
        <f t="shared" si="393"/>
        <v>0</v>
      </c>
      <c r="CJ432" s="4">
        <f t="shared" si="394"/>
        <v>0</v>
      </c>
      <c r="CK432" s="4">
        <f t="shared" si="395"/>
        <v>0</v>
      </c>
      <c r="CL432" s="4">
        <f t="shared" si="396"/>
        <v>0</v>
      </c>
      <c r="CM432" s="4">
        <f t="shared" si="397"/>
        <v>0</v>
      </c>
      <c r="CN432" s="4">
        <f t="shared" si="398"/>
        <v>0</v>
      </c>
      <c r="CO432" s="4">
        <f t="shared" si="399"/>
        <v>0</v>
      </c>
      <c r="CP432" s="4">
        <f t="shared" si="400"/>
        <v>0</v>
      </c>
      <c r="CQ432" s="4">
        <f t="shared" si="401"/>
        <v>0</v>
      </c>
      <c r="CR432" s="4">
        <f t="shared" si="402"/>
        <v>0</v>
      </c>
      <c r="CS432" s="4">
        <f t="shared" si="403"/>
        <v>0</v>
      </c>
      <c r="CT432" s="4">
        <f t="shared" si="404"/>
        <v>0</v>
      </c>
      <c r="CU432" s="4">
        <f t="shared" si="405"/>
        <v>0</v>
      </c>
      <c r="CV432" s="4">
        <f t="shared" si="406"/>
        <v>0</v>
      </c>
      <c r="CW432" s="4">
        <f t="shared" si="407"/>
        <v>0</v>
      </c>
      <c r="CX432" s="4">
        <f t="shared" si="408"/>
        <v>0</v>
      </c>
      <c r="CY432" s="4">
        <f t="shared" si="409"/>
        <v>0</v>
      </c>
      <c r="CZ432" s="4">
        <f t="shared" si="410"/>
        <v>0</v>
      </c>
      <c r="DA432" s="4">
        <f t="shared" si="411"/>
        <v>0</v>
      </c>
      <c r="DB432" s="4">
        <f t="shared" si="412"/>
        <v>0</v>
      </c>
      <c r="DC432" s="4">
        <f t="shared" si="413"/>
        <v>0</v>
      </c>
      <c r="DD432" s="4">
        <f t="shared" si="414"/>
        <v>0</v>
      </c>
    </row>
    <row r="433" spans="1:108" x14ac:dyDescent="0.25">
      <c r="A433" s="41" t="str">
        <f ca="1">Skills!M415</f>
        <v>Elemental Shields</v>
      </c>
      <c r="B433" s="57" t="str">
        <f ca="1">Skills!N415</f>
        <v>Elemental Shields</v>
      </c>
      <c r="C433" s="24">
        <f t="shared" si="415"/>
        <v>0</v>
      </c>
      <c r="D433" s="110" t="e">
        <f ca="1">Skills!S415</f>
        <v>#N/A</v>
      </c>
      <c r="E433" s="111" t="e">
        <f>Profession!$B$188</f>
        <v>#REF!</v>
      </c>
      <c r="F433" s="18"/>
      <c r="G433" s="18"/>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49"/>
      <c r="BF433" s="4">
        <f t="shared" si="365"/>
        <v>0</v>
      </c>
      <c r="BG433" s="4">
        <f t="shared" si="365"/>
        <v>0</v>
      </c>
      <c r="BH433" s="4">
        <f t="shared" si="366"/>
        <v>0</v>
      </c>
      <c r="BI433" s="4">
        <f t="shared" si="367"/>
        <v>0</v>
      </c>
      <c r="BJ433" s="4">
        <f t="shared" si="368"/>
        <v>0</v>
      </c>
      <c r="BK433" s="4">
        <f t="shared" si="369"/>
        <v>0</v>
      </c>
      <c r="BL433" s="4">
        <f t="shared" si="370"/>
        <v>0</v>
      </c>
      <c r="BM433" s="4">
        <f t="shared" si="371"/>
        <v>0</v>
      </c>
      <c r="BN433" s="4">
        <f t="shared" si="372"/>
        <v>0</v>
      </c>
      <c r="BO433" s="4">
        <f t="shared" si="373"/>
        <v>0</v>
      </c>
      <c r="BP433" s="4">
        <f t="shared" si="374"/>
        <v>0</v>
      </c>
      <c r="BQ433" s="4">
        <f t="shared" si="375"/>
        <v>0</v>
      </c>
      <c r="BR433" s="4">
        <f t="shared" si="376"/>
        <v>0</v>
      </c>
      <c r="BS433" s="4">
        <f t="shared" si="377"/>
        <v>0</v>
      </c>
      <c r="BT433" s="4">
        <f t="shared" si="378"/>
        <v>0</v>
      </c>
      <c r="BU433" s="4">
        <f t="shared" si="379"/>
        <v>0</v>
      </c>
      <c r="BV433" s="4">
        <f t="shared" si="380"/>
        <v>0</v>
      </c>
      <c r="BW433" s="4">
        <f t="shared" si="381"/>
        <v>0</v>
      </c>
      <c r="BX433" s="4">
        <f t="shared" si="382"/>
        <v>0</v>
      </c>
      <c r="BY433" s="4">
        <f t="shared" si="383"/>
        <v>0</v>
      </c>
      <c r="BZ433" s="4">
        <f t="shared" si="384"/>
        <v>0</v>
      </c>
      <c r="CA433" s="4">
        <f t="shared" si="385"/>
        <v>0</v>
      </c>
      <c r="CB433" s="4">
        <f t="shared" si="386"/>
        <v>0</v>
      </c>
      <c r="CC433" s="4">
        <f t="shared" si="387"/>
        <v>0</v>
      </c>
      <c r="CD433" s="4">
        <f t="shared" si="388"/>
        <v>0</v>
      </c>
      <c r="CE433" s="4">
        <f t="shared" si="389"/>
        <v>0</v>
      </c>
      <c r="CF433" s="4">
        <f t="shared" si="390"/>
        <v>0</v>
      </c>
      <c r="CG433" s="4">
        <f t="shared" si="391"/>
        <v>0</v>
      </c>
      <c r="CH433" s="4">
        <f t="shared" si="392"/>
        <v>0</v>
      </c>
      <c r="CI433" s="4">
        <f t="shared" si="393"/>
        <v>0</v>
      </c>
      <c r="CJ433" s="4">
        <f t="shared" si="394"/>
        <v>0</v>
      </c>
      <c r="CK433" s="4">
        <f t="shared" si="395"/>
        <v>0</v>
      </c>
      <c r="CL433" s="4">
        <f t="shared" si="396"/>
        <v>0</v>
      </c>
      <c r="CM433" s="4">
        <f t="shared" si="397"/>
        <v>0</v>
      </c>
      <c r="CN433" s="4">
        <f t="shared" si="398"/>
        <v>0</v>
      </c>
      <c r="CO433" s="4">
        <f t="shared" si="399"/>
        <v>0</v>
      </c>
      <c r="CP433" s="4">
        <f t="shared" si="400"/>
        <v>0</v>
      </c>
      <c r="CQ433" s="4">
        <f t="shared" si="401"/>
        <v>0</v>
      </c>
      <c r="CR433" s="4">
        <f t="shared" si="402"/>
        <v>0</v>
      </c>
      <c r="CS433" s="4">
        <f t="shared" si="403"/>
        <v>0</v>
      </c>
      <c r="CT433" s="4">
        <f t="shared" si="404"/>
        <v>0</v>
      </c>
      <c r="CU433" s="4">
        <f t="shared" si="405"/>
        <v>0</v>
      </c>
      <c r="CV433" s="4">
        <f t="shared" si="406"/>
        <v>0</v>
      </c>
      <c r="CW433" s="4">
        <f t="shared" si="407"/>
        <v>0</v>
      </c>
      <c r="CX433" s="4">
        <f t="shared" si="408"/>
        <v>0</v>
      </c>
      <c r="CY433" s="4">
        <f t="shared" si="409"/>
        <v>0</v>
      </c>
      <c r="CZ433" s="4">
        <f t="shared" si="410"/>
        <v>0</v>
      </c>
      <c r="DA433" s="4">
        <f t="shared" si="411"/>
        <v>0</v>
      </c>
      <c r="DB433" s="4">
        <f t="shared" si="412"/>
        <v>0</v>
      </c>
      <c r="DC433" s="4">
        <f t="shared" si="413"/>
        <v>0</v>
      </c>
      <c r="DD433" s="4">
        <f t="shared" si="414"/>
        <v>0</v>
      </c>
    </row>
    <row r="434" spans="1:108" x14ac:dyDescent="0.25">
      <c r="A434" s="41" t="str">
        <f ca="1">Skills!M416</f>
        <v>Essence's Hand</v>
      </c>
      <c r="B434" s="55" t="str">
        <f ca="1">Skills!N416</f>
        <v>Essence's Hand</v>
      </c>
      <c r="C434" s="22">
        <f t="shared" si="415"/>
        <v>0</v>
      </c>
      <c r="D434" s="112" t="e">
        <f ca="1">Skills!S416</f>
        <v>#N/A</v>
      </c>
      <c r="E434" s="113" t="e">
        <f>Profession!$B$188</f>
        <v>#REF!</v>
      </c>
      <c r="F434" s="19"/>
      <c r="G434" s="19"/>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56"/>
      <c r="BF434" s="4">
        <f t="shared" si="365"/>
        <v>0</v>
      </c>
      <c r="BG434" s="4">
        <f t="shared" si="365"/>
        <v>0</v>
      </c>
      <c r="BH434" s="4">
        <f t="shared" si="366"/>
        <v>0</v>
      </c>
      <c r="BI434" s="4">
        <f t="shared" si="367"/>
        <v>0</v>
      </c>
      <c r="BJ434" s="4">
        <f t="shared" si="368"/>
        <v>0</v>
      </c>
      <c r="BK434" s="4">
        <f t="shared" si="369"/>
        <v>0</v>
      </c>
      <c r="BL434" s="4">
        <f t="shared" si="370"/>
        <v>0</v>
      </c>
      <c r="BM434" s="4">
        <f t="shared" si="371"/>
        <v>0</v>
      </c>
      <c r="BN434" s="4">
        <f t="shared" si="372"/>
        <v>0</v>
      </c>
      <c r="BO434" s="4">
        <f t="shared" si="373"/>
        <v>0</v>
      </c>
      <c r="BP434" s="4">
        <f t="shared" si="374"/>
        <v>0</v>
      </c>
      <c r="BQ434" s="4">
        <f t="shared" si="375"/>
        <v>0</v>
      </c>
      <c r="BR434" s="4">
        <f t="shared" si="376"/>
        <v>0</v>
      </c>
      <c r="BS434" s="4">
        <f t="shared" si="377"/>
        <v>0</v>
      </c>
      <c r="BT434" s="4">
        <f t="shared" si="378"/>
        <v>0</v>
      </c>
      <c r="BU434" s="4">
        <f t="shared" si="379"/>
        <v>0</v>
      </c>
      <c r="BV434" s="4">
        <f t="shared" si="380"/>
        <v>0</v>
      </c>
      <c r="BW434" s="4">
        <f t="shared" si="381"/>
        <v>0</v>
      </c>
      <c r="BX434" s="4">
        <f t="shared" si="382"/>
        <v>0</v>
      </c>
      <c r="BY434" s="4">
        <f t="shared" si="383"/>
        <v>0</v>
      </c>
      <c r="BZ434" s="4">
        <f t="shared" si="384"/>
        <v>0</v>
      </c>
      <c r="CA434" s="4">
        <f t="shared" si="385"/>
        <v>0</v>
      </c>
      <c r="CB434" s="4">
        <f t="shared" si="386"/>
        <v>0</v>
      </c>
      <c r="CC434" s="4">
        <f t="shared" si="387"/>
        <v>0</v>
      </c>
      <c r="CD434" s="4">
        <f t="shared" si="388"/>
        <v>0</v>
      </c>
      <c r="CE434" s="4">
        <f t="shared" si="389"/>
        <v>0</v>
      </c>
      <c r="CF434" s="4">
        <f t="shared" si="390"/>
        <v>0</v>
      </c>
      <c r="CG434" s="4">
        <f t="shared" si="391"/>
        <v>0</v>
      </c>
      <c r="CH434" s="4">
        <f t="shared" si="392"/>
        <v>0</v>
      </c>
      <c r="CI434" s="4">
        <f t="shared" si="393"/>
        <v>0</v>
      </c>
      <c r="CJ434" s="4">
        <f t="shared" si="394"/>
        <v>0</v>
      </c>
      <c r="CK434" s="4">
        <f t="shared" si="395"/>
        <v>0</v>
      </c>
      <c r="CL434" s="4">
        <f t="shared" si="396"/>
        <v>0</v>
      </c>
      <c r="CM434" s="4">
        <f t="shared" si="397"/>
        <v>0</v>
      </c>
      <c r="CN434" s="4">
        <f t="shared" si="398"/>
        <v>0</v>
      </c>
      <c r="CO434" s="4">
        <f t="shared" si="399"/>
        <v>0</v>
      </c>
      <c r="CP434" s="4">
        <f t="shared" si="400"/>
        <v>0</v>
      </c>
      <c r="CQ434" s="4">
        <f t="shared" si="401"/>
        <v>0</v>
      </c>
      <c r="CR434" s="4">
        <f t="shared" si="402"/>
        <v>0</v>
      </c>
      <c r="CS434" s="4">
        <f t="shared" si="403"/>
        <v>0</v>
      </c>
      <c r="CT434" s="4">
        <f t="shared" si="404"/>
        <v>0</v>
      </c>
      <c r="CU434" s="4">
        <f t="shared" si="405"/>
        <v>0</v>
      </c>
      <c r="CV434" s="4">
        <f t="shared" si="406"/>
        <v>0</v>
      </c>
      <c r="CW434" s="4">
        <f t="shared" si="407"/>
        <v>0</v>
      </c>
      <c r="CX434" s="4">
        <f t="shared" si="408"/>
        <v>0</v>
      </c>
      <c r="CY434" s="4">
        <f t="shared" si="409"/>
        <v>0</v>
      </c>
      <c r="CZ434" s="4">
        <f t="shared" si="410"/>
        <v>0</v>
      </c>
      <c r="DA434" s="4">
        <f t="shared" si="411"/>
        <v>0</v>
      </c>
      <c r="DB434" s="4">
        <f t="shared" si="412"/>
        <v>0</v>
      </c>
      <c r="DC434" s="4">
        <f t="shared" si="413"/>
        <v>0</v>
      </c>
      <c r="DD434" s="4">
        <f t="shared" si="414"/>
        <v>0</v>
      </c>
    </row>
    <row r="435" spans="1:108" x14ac:dyDescent="0.25">
      <c r="A435" s="41" t="str">
        <f ca="1">Skills!M417</f>
        <v>Essence's Perceptions</v>
      </c>
      <c r="B435" s="57" t="str">
        <f ca="1">Skills!N417</f>
        <v>Essence's Perceptions</v>
      </c>
      <c r="C435" s="24">
        <f t="shared" si="415"/>
        <v>0</v>
      </c>
      <c r="D435" s="110" t="e">
        <f ca="1">Skills!S417</f>
        <v>#N/A</v>
      </c>
      <c r="E435" s="111" t="e">
        <f>Profession!$B$188</f>
        <v>#REF!</v>
      </c>
      <c r="F435" s="18"/>
      <c r="G435" s="18"/>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49"/>
      <c r="BF435" s="4">
        <f t="shared" si="365"/>
        <v>0</v>
      </c>
      <c r="BG435" s="4">
        <f t="shared" si="365"/>
        <v>0</v>
      </c>
      <c r="BH435" s="4">
        <f t="shared" si="366"/>
        <v>0</v>
      </c>
      <c r="BI435" s="4">
        <f t="shared" si="367"/>
        <v>0</v>
      </c>
      <c r="BJ435" s="4">
        <f t="shared" si="368"/>
        <v>0</v>
      </c>
      <c r="BK435" s="4">
        <f t="shared" si="369"/>
        <v>0</v>
      </c>
      <c r="BL435" s="4">
        <f t="shared" si="370"/>
        <v>0</v>
      </c>
      <c r="BM435" s="4">
        <f t="shared" si="371"/>
        <v>0</v>
      </c>
      <c r="BN435" s="4">
        <f t="shared" si="372"/>
        <v>0</v>
      </c>
      <c r="BO435" s="4">
        <f t="shared" si="373"/>
        <v>0</v>
      </c>
      <c r="BP435" s="4">
        <f t="shared" si="374"/>
        <v>0</v>
      </c>
      <c r="BQ435" s="4">
        <f t="shared" si="375"/>
        <v>0</v>
      </c>
      <c r="BR435" s="4">
        <f t="shared" si="376"/>
        <v>0</v>
      </c>
      <c r="BS435" s="4">
        <f t="shared" si="377"/>
        <v>0</v>
      </c>
      <c r="BT435" s="4">
        <f t="shared" si="378"/>
        <v>0</v>
      </c>
      <c r="BU435" s="4">
        <f t="shared" si="379"/>
        <v>0</v>
      </c>
      <c r="BV435" s="4">
        <f t="shared" si="380"/>
        <v>0</v>
      </c>
      <c r="BW435" s="4">
        <f t="shared" si="381"/>
        <v>0</v>
      </c>
      <c r="BX435" s="4">
        <f t="shared" si="382"/>
        <v>0</v>
      </c>
      <c r="BY435" s="4">
        <f t="shared" si="383"/>
        <v>0</v>
      </c>
      <c r="BZ435" s="4">
        <f t="shared" si="384"/>
        <v>0</v>
      </c>
      <c r="CA435" s="4">
        <f t="shared" si="385"/>
        <v>0</v>
      </c>
      <c r="CB435" s="4">
        <f t="shared" si="386"/>
        <v>0</v>
      </c>
      <c r="CC435" s="4">
        <f t="shared" si="387"/>
        <v>0</v>
      </c>
      <c r="CD435" s="4">
        <f t="shared" si="388"/>
        <v>0</v>
      </c>
      <c r="CE435" s="4">
        <f t="shared" si="389"/>
        <v>0</v>
      </c>
      <c r="CF435" s="4">
        <f t="shared" si="390"/>
        <v>0</v>
      </c>
      <c r="CG435" s="4">
        <f t="shared" si="391"/>
        <v>0</v>
      </c>
      <c r="CH435" s="4">
        <f t="shared" si="392"/>
        <v>0</v>
      </c>
      <c r="CI435" s="4">
        <f t="shared" si="393"/>
        <v>0</v>
      </c>
      <c r="CJ435" s="4">
        <f t="shared" si="394"/>
        <v>0</v>
      </c>
      <c r="CK435" s="4">
        <f t="shared" si="395"/>
        <v>0</v>
      </c>
      <c r="CL435" s="4">
        <f t="shared" si="396"/>
        <v>0</v>
      </c>
      <c r="CM435" s="4">
        <f t="shared" si="397"/>
        <v>0</v>
      </c>
      <c r="CN435" s="4">
        <f t="shared" si="398"/>
        <v>0</v>
      </c>
      <c r="CO435" s="4">
        <f t="shared" si="399"/>
        <v>0</v>
      </c>
      <c r="CP435" s="4">
        <f t="shared" si="400"/>
        <v>0</v>
      </c>
      <c r="CQ435" s="4">
        <f t="shared" si="401"/>
        <v>0</v>
      </c>
      <c r="CR435" s="4">
        <f t="shared" si="402"/>
        <v>0</v>
      </c>
      <c r="CS435" s="4">
        <f t="shared" si="403"/>
        <v>0</v>
      </c>
      <c r="CT435" s="4">
        <f t="shared" si="404"/>
        <v>0</v>
      </c>
      <c r="CU435" s="4">
        <f t="shared" si="405"/>
        <v>0</v>
      </c>
      <c r="CV435" s="4">
        <f t="shared" si="406"/>
        <v>0</v>
      </c>
      <c r="CW435" s="4">
        <f t="shared" si="407"/>
        <v>0</v>
      </c>
      <c r="CX435" s="4">
        <f t="shared" si="408"/>
        <v>0</v>
      </c>
      <c r="CY435" s="4">
        <f t="shared" si="409"/>
        <v>0</v>
      </c>
      <c r="CZ435" s="4">
        <f t="shared" si="410"/>
        <v>0</v>
      </c>
      <c r="DA435" s="4">
        <f t="shared" si="411"/>
        <v>0</v>
      </c>
      <c r="DB435" s="4">
        <f t="shared" si="412"/>
        <v>0</v>
      </c>
      <c r="DC435" s="4">
        <f t="shared" si="413"/>
        <v>0</v>
      </c>
      <c r="DD435" s="4">
        <f t="shared" si="414"/>
        <v>0</v>
      </c>
    </row>
    <row r="436" spans="1:108" x14ac:dyDescent="0.25">
      <c r="A436" s="41" t="str">
        <f ca="1">Skills!M418</f>
        <v>Lesser Illusions</v>
      </c>
      <c r="B436" s="55" t="str">
        <f ca="1">Skills!N418</f>
        <v>Lesser Illusions</v>
      </c>
      <c r="C436" s="22">
        <f t="shared" si="415"/>
        <v>0</v>
      </c>
      <c r="D436" s="112" t="e">
        <f ca="1">Skills!S418</f>
        <v>#N/A</v>
      </c>
      <c r="E436" s="113" t="e">
        <f>Profession!$B$188</f>
        <v>#REF!</v>
      </c>
      <c r="F436" s="19"/>
      <c r="G436" s="19"/>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56"/>
      <c r="BF436" s="4">
        <f t="shared" si="365"/>
        <v>0</v>
      </c>
      <c r="BG436" s="4">
        <f t="shared" si="365"/>
        <v>0</v>
      </c>
      <c r="BH436" s="4">
        <f t="shared" si="366"/>
        <v>0</v>
      </c>
      <c r="BI436" s="4">
        <f t="shared" si="367"/>
        <v>0</v>
      </c>
      <c r="BJ436" s="4">
        <f t="shared" si="368"/>
        <v>0</v>
      </c>
      <c r="BK436" s="4">
        <f t="shared" si="369"/>
        <v>0</v>
      </c>
      <c r="BL436" s="4">
        <f t="shared" si="370"/>
        <v>0</v>
      </c>
      <c r="BM436" s="4">
        <f t="shared" si="371"/>
        <v>0</v>
      </c>
      <c r="BN436" s="4">
        <f t="shared" si="372"/>
        <v>0</v>
      </c>
      <c r="BO436" s="4">
        <f t="shared" si="373"/>
        <v>0</v>
      </c>
      <c r="BP436" s="4">
        <f t="shared" si="374"/>
        <v>0</v>
      </c>
      <c r="BQ436" s="4">
        <f t="shared" si="375"/>
        <v>0</v>
      </c>
      <c r="BR436" s="4">
        <f t="shared" si="376"/>
        <v>0</v>
      </c>
      <c r="BS436" s="4">
        <f t="shared" si="377"/>
        <v>0</v>
      </c>
      <c r="BT436" s="4">
        <f t="shared" si="378"/>
        <v>0</v>
      </c>
      <c r="BU436" s="4">
        <f t="shared" si="379"/>
        <v>0</v>
      </c>
      <c r="BV436" s="4">
        <f t="shared" si="380"/>
        <v>0</v>
      </c>
      <c r="BW436" s="4">
        <f t="shared" si="381"/>
        <v>0</v>
      </c>
      <c r="BX436" s="4">
        <f t="shared" si="382"/>
        <v>0</v>
      </c>
      <c r="BY436" s="4">
        <f t="shared" si="383"/>
        <v>0</v>
      </c>
      <c r="BZ436" s="4">
        <f t="shared" si="384"/>
        <v>0</v>
      </c>
      <c r="CA436" s="4">
        <f t="shared" si="385"/>
        <v>0</v>
      </c>
      <c r="CB436" s="4">
        <f t="shared" si="386"/>
        <v>0</v>
      </c>
      <c r="CC436" s="4">
        <f t="shared" si="387"/>
        <v>0</v>
      </c>
      <c r="CD436" s="4">
        <f t="shared" si="388"/>
        <v>0</v>
      </c>
      <c r="CE436" s="4">
        <f t="shared" si="389"/>
        <v>0</v>
      </c>
      <c r="CF436" s="4">
        <f t="shared" si="390"/>
        <v>0</v>
      </c>
      <c r="CG436" s="4">
        <f t="shared" si="391"/>
        <v>0</v>
      </c>
      <c r="CH436" s="4">
        <f t="shared" si="392"/>
        <v>0</v>
      </c>
      <c r="CI436" s="4">
        <f t="shared" si="393"/>
        <v>0</v>
      </c>
      <c r="CJ436" s="4">
        <f t="shared" si="394"/>
        <v>0</v>
      </c>
      <c r="CK436" s="4">
        <f t="shared" si="395"/>
        <v>0</v>
      </c>
      <c r="CL436" s="4">
        <f t="shared" si="396"/>
        <v>0</v>
      </c>
      <c r="CM436" s="4">
        <f t="shared" si="397"/>
        <v>0</v>
      </c>
      <c r="CN436" s="4">
        <f t="shared" si="398"/>
        <v>0</v>
      </c>
      <c r="CO436" s="4">
        <f t="shared" si="399"/>
        <v>0</v>
      </c>
      <c r="CP436" s="4">
        <f t="shared" si="400"/>
        <v>0</v>
      </c>
      <c r="CQ436" s="4">
        <f t="shared" si="401"/>
        <v>0</v>
      </c>
      <c r="CR436" s="4">
        <f t="shared" si="402"/>
        <v>0</v>
      </c>
      <c r="CS436" s="4">
        <f t="shared" si="403"/>
        <v>0</v>
      </c>
      <c r="CT436" s="4">
        <f t="shared" si="404"/>
        <v>0</v>
      </c>
      <c r="CU436" s="4">
        <f t="shared" si="405"/>
        <v>0</v>
      </c>
      <c r="CV436" s="4">
        <f t="shared" si="406"/>
        <v>0</v>
      </c>
      <c r="CW436" s="4">
        <f t="shared" si="407"/>
        <v>0</v>
      </c>
      <c r="CX436" s="4">
        <f t="shared" si="408"/>
        <v>0</v>
      </c>
      <c r="CY436" s="4">
        <f t="shared" si="409"/>
        <v>0</v>
      </c>
      <c r="CZ436" s="4">
        <f t="shared" si="410"/>
        <v>0</v>
      </c>
      <c r="DA436" s="4">
        <f t="shared" si="411"/>
        <v>0</v>
      </c>
      <c r="DB436" s="4">
        <f t="shared" si="412"/>
        <v>0</v>
      </c>
      <c r="DC436" s="4">
        <f t="shared" si="413"/>
        <v>0</v>
      </c>
      <c r="DD436" s="4">
        <f t="shared" si="414"/>
        <v>0</v>
      </c>
    </row>
    <row r="437" spans="1:108" x14ac:dyDescent="0.25">
      <c r="A437" s="41" t="str">
        <f ca="1">Skills!M419</f>
        <v>Physical Enhancement</v>
      </c>
      <c r="B437" s="57" t="str">
        <f ca="1">Skills!N419</f>
        <v>Physical Enhancement</v>
      </c>
      <c r="C437" s="24">
        <f t="shared" si="415"/>
        <v>0</v>
      </c>
      <c r="D437" s="110" t="e">
        <f ca="1">Skills!S419</f>
        <v>#N/A</v>
      </c>
      <c r="E437" s="111" t="e">
        <f>Profession!$B$188</f>
        <v>#REF!</v>
      </c>
      <c r="F437" s="18"/>
      <c r="G437" s="18"/>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49"/>
      <c r="BF437" s="4">
        <f t="shared" si="365"/>
        <v>0</v>
      </c>
      <c r="BG437" s="4">
        <f t="shared" si="365"/>
        <v>0</v>
      </c>
      <c r="BH437" s="4">
        <f t="shared" si="366"/>
        <v>0</v>
      </c>
      <c r="BI437" s="4">
        <f t="shared" si="367"/>
        <v>0</v>
      </c>
      <c r="BJ437" s="4">
        <f t="shared" si="368"/>
        <v>0</v>
      </c>
      <c r="BK437" s="4">
        <f t="shared" si="369"/>
        <v>0</v>
      </c>
      <c r="BL437" s="4">
        <f t="shared" si="370"/>
        <v>0</v>
      </c>
      <c r="BM437" s="4">
        <f t="shared" si="371"/>
        <v>0</v>
      </c>
      <c r="BN437" s="4">
        <f t="shared" si="372"/>
        <v>0</v>
      </c>
      <c r="BO437" s="4">
        <f t="shared" si="373"/>
        <v>0</v>
      </c>
      <c r="BP437" s="4">
        <f t="shared" si="374"/>
        <v>0</v>
      </c>
      <c r="BQ437" s="4">
        <f t="shared" si="375"/>
        <v>0</v>
      </c>
      <c r="BR437" s="4">
        <f t="shared" si="376"/>
        <v>0</v>
      </c>
      <c r="BS437" s="4">
        <f t="shared" si="377"/>
        <v>0</v>
      </c>
      <c r="BT437" s="4">
        <f t="shared" si="378"/>
        <v>0</v>
      </c>
      <c r="BU437" s="4">
        <f t="shared" si="379"/>
        <v>0</v>
      </c>
      <c r="BV437" s="4">
        <f t="shared" si="380"/>
        <v>0</v>
      </c>
      <c r="BW437" s="4">
        <f t="shared" si="381"/>
        <v>0</v>
      </c>
      <c r="BX437" s="4">
        <f t="shared" si="382"/>
        <v>0</v>
      </c>
      <c r="BY437" s="4">
        <f t="shared" si="383"/>
        <v>0</v>
      </c>
      <c r="BZ437" s="4">
        <f t="shared" si="384"/>
        <v>0</v>
      </c>
      <c r="CA437" s="4">
        <f t="shared" si="385"/>
        <v>0</v>
      </c>
      <c r="CB437" s="4">
        <f t="shared" si="386"/>
        <v>0</v>
      </c>
      <c r="CC437" s="4">
        <f t="shared" si="387"/>
        <v>0</v>
      </c>
      <c r="CD437" s="4">
        <f t="shared" si="388"/>
        <v>0</v>
      </c>
      <c r="CE437" s="4">
        <f t="shared" si="389"/>
        <v>0</v>
      </c>
      <c r="CF437" s="4">
        <f t="shared" si="390"/>
        <v>0</v>
      </c>
      <c r="CG437" s="4">
        <f t="shared" si="391"/>
        <v>0</v>
      </c>
      <c r="CH437" s="4">
        <f t="shared" si="392"/>
        <v>0</v>
      </c>
      <c r="CI437" s="4">
        <f t="shared" si="393"/>
        <v>0</v>
      </c>
      <c r="CJ437" s="4">
        <f t="shared" si="394"/>
        <v>0</v>
      </c>
      <c r="CK437" s="4">
        <f t="shared" si="395"/>
        <v>0</v>
      </c>
      <c r="CL437" s="4">
        <f t="shared" si="396"/>
        <v>0</v>
      </c>
      <c r="CM437" s="4">
        <f t="shared" si="397"/>
        <v>0</v>
      </c>
      <c r="CN437" s="4">
        <f t="shared" si="398"/>
        <v>0</v>
      </c>
      <c r="CO437" s="4">
        <f t="shared" si="399"/>
        <v>0</v>
      </c>
      <c r="CP437" s="4">
        <f t="shared" si="400"/>
        <v>0</v>
      </c>
      <c r="CQ437" s="4">
        <f t="shared" si="401"/>
        <v>0</v>
      </c>
      <c r="CR437" s="4">
        <f t="shared" si="402"/>
        <v>0</v>
      </c>
      <c r="CS437" s="4">
        <f t="shared" si="403"/>
        <v>0</v>
      </c>
      <c r="CT437" s="4">
        <f t="shared" si="404"/>
        <v>0</v>
      </c>
      <c r="CU437" s="4">
        <f t="shared" si="405"/>
        <v>0</v>
      </c>
      <c r="CV437" s="4">
        <f t="shared" si="406"/>
        <v>0</v>
      </c>
      <c r="CW437" s="4">
        <f t="shared" si="407"/>
        <v>0</v>
      </c>
      <c r="CX437" s="4">
        <f t="shared" si="408"/>
        <v>0</v>
      </c>
      <c r="CY437" s="4">
        <f t="shared" si="409"/>
        <v>0</v>
      </c>
      <c r="CZ437" s="4">
        <f t="shared" si="410"/>
        <v>0</v>
      </c>
      <c r="DA437" s="4">
        <f t="shared" si="411"/>
        <v>0</v>
      </c>
      <c r="DB437" s="4">
        <f t="shared" si="412"/>
        <v>0</v>
      </c>
      <c r="DC437" s="4">
        <f t="shared" si="413"/>
        <v>0</v>
      </c>
      <c r="DD437" s="4">
        <f t="shared" si="414"/>
        <v>0</v>
      </c>
    </row>
    <row r="438" spans="1:108" x14ac:dyDescent="0.25">
      <c r="A438" s="41" t="str">
        <f ca="1">Skills!M420</f>
        <v>Rune Mastery</v>
      </c>
      <c r="B438" s="55" t="str">
        <f ca="1">Skills!N420</f>
        <v>Rune Mastery</v>
      </c>
      <c r="C438" s="22">
        <f t="shared" si="415"/>
        <v>0</v>
      </c>
      <c r="D438" s="112" t="e">
        <f ca="1">Skills!S420</f>
        <v>#N/A</v>
      </c>
      <c r="E438" s="113" t="e">
        <f>Profession!$B$188</f>
        <v>#REF!</v>
      </c>
      <c r="F438" s="19"/>
      <c r="G438" s="19"/>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56"/>
      <c r="BF438" s="4">
        <f t="shared" si="365"/>
        <v>0</v>
      </c>
      <c r="BG438" s="4">
        <f t="shared" si="365"/>
        <v>0</v>
      </c>
      <c r="BH438" s="4">
        <f t="shared" si="366"/>
        <v>0</v>
      </c>
      <c r="BI438" s="4">
        <f t="shared" si="367"/>
        <v>0</v>
      </c>
      <c r="BJ438" s="4">
        <f t="shared" si="368"/>
        <v>0</v>
      </c>
      <c r="BK438" s="4">
        <f t="shared" si="369"/>
        <v>0</v>
      </c>
      <c r="BL438" s="4">
        <f t="shared" si="370"/>
        <v>0</v>
      </c>
      <c r="BM438" s="4">
        <f t="shared" si="371"/>
        <v>0</v>
      </c>
      <c r="BN438" s="4">
        <f t="shared" si="372"/>
        <v>0</v>
      </c>
      <c r="BO438" s="4">
        <f t="shared" si="373"/>
        <v>0</v>
      </c>
      <c r="BP438" s="4">
        <f t="shared" si="374"/>
        <v>0</v>
      </c>
      <c r="BQ438" s="4">
        <f t="shared" si="375"/>
        <v>0</v>
      </c>
      <c r="BR438" s="4">
        <f t="shared" si="376"/>
        <v>0</v>
      </c>
      <c r="BS438" s="4">
        <f t="shared" si="377"/>
        <v>0</v>
      </c>
      <c r="BT438" s="4">
        <f t="shared" si="378"/>
        <v>0</v>
      </c>
      <c r="BU438" s="4">
        <f t="shared" si="379"/>
        <v>0</v>
      </c>
      <c r="BV438" s="4">
        <f t="shared" si="380"/>
        <v>0</v>
      </c>
      <c r="BW438" s="4">
        <f t="shared" si="381"/>
        <v>0</v>
      </c>
      <c r="BX438" s="4">
        <f t="shared" si="382"/>
        <v>0</v>
      </c>
      <c r="BY438" s="4">
        <f t="shared" si="383"/>
        <v>0</v>
      </c>
      <c r="BZ438" s="4">
        <f t="shared" si="384"/>
        <v>0</v>
      </c>
      <c r="CA438" s="4">
        <f t="shared" si="385"/>
        <v>0</v>
      </c>
      <c r="CB438" s="4">
        <f t="shared" si="386"/>
        <v>0</v>
      </c>
      <c r="CC438" s="4">
        <f t="shared" si="387"/>
        <v>0</v>
      </c>
      <c r="CD438" s="4">
        <f t="shared" si="388"/>
        <v>0</v>
      </c>
      <c r="CE438" s="4">
        <f t="shared" si="389"/>
        <v>0</v>
      </c>
      <c r="CF438" s="4">
        <f t="shared" si="390"/>
        <v>0</v>
      </c>
      <c r="CG438" s="4">
        <f t="shared" si="391"/>
        <v>0</v>
      </c>
      <c r="CH438" s="4">
        <f t="shared" si="392"/>
        <v>0</v>
      </c>
      <c r="CI438" s="4">
        <f t="shared" si="393"/>
        <v>0</v>
      </c>
      <c r="CJ438" s="4">
        <f t="shared" si="394"/>
        <v>0</v>
      </c>
      <c r="CK438" s="4">
        <f t="shared" si="395"/>
        <v>0</v>
      </c>
      <c r="CL438" s="4">
        <f t="shared" si="396"/>
        <v>0</v>
      </c>
      <c r="CM438" s="4">
        <f t="shared" si="397"/>
        <v>0</v>
      </c>
      <c r="CN438" s="4">
        <f t="shared" si="398"/>
        <v>0</v>
      </c>
      <c r="CO438" s="4">
        <f t="shared" si="399"/>
        <v>0</v>
      </c>
      <c r="CP438" s="4">
        <f t="shared" si="400"/>
        <v>0</v>
      </c>
      <c r="CQ438" s="4">
        <f t="shared" si="401"/>
        <v>0</v>
      </c>
      <c r="CR438" s="4">
        <f t="shared" si="402"/>
        <v>0</v>
      </c>
      <c r="CS438" s="4">
        <f t="shared" si="403"/>
        <v>0</v>
      </c>
      <c r="CT438" s="4">
        <f t="shared" si="404"/>
        <v>0</v>
      </c>
      <c r="CU438" s="4">
        <f t="shared" si="405"/>
        <v>0</v>
      </c>
      <c r="CV438" s="4">
        <f t="shared" si="406"/>
        <v>0</v>
      </c>
      <c r="CW438" s="4">
        <f t="shared" si="407"/>
        <v>0</v>
      </c>
      <c r="CX438" s="4">
        <f t="shared" si="408"/>
        <v>0</v>
      </c>
      <c r="CY438" s="4">
        <f t="shared" si="409"/>
        <v>0</v>
      </c>
      <c r="CZ438" s="4">
        <f t="shared" si="410"/>
        <v>0</v>
      </c>
      <c r="DA438" s="4">
        <f t="shared" si="411"/>
        <v>0</v>
      </c>
      <c r="DB438" s="4">
        <f t="shared" si="412"/>
        <v>0</v>
      </c>
      <c r="DC438" s="4">
        <f t="shared" si="413"/>
        <v>0</v>
      </c>
      <c r="DD438" s="4">
        <f t="shared" si="414"/>
        <v>0</v>
      </c>
    </row>
    <row r="439" spans="1:108" x14ac:dyDescent="0.25">
      <c r="A439" s="41" t="str">
        <f ca="1">Skills!M421</f>
        <v>Spell Wall</v>
      </c>
      <c r="B439" s="57" t="str">
        <f ca="1">Skills!N421</f>
        <v>Spell Wall</v>
      </c>
      <c r="C439" s="24">
        <f t="shared" si="415"/>
        <v>0</v>
      </c>
      <c r="D439" s="110" t="e">
        <f ca="1">Skills!S421</f>
        <v>#N/A</v>
      </c>
      <c r="E439" s="111" t="e">
        <f>Profession!$B$188</f>
        <v>#REF!</v>
      </c>
      <c r="F439" s="18"/>
      <c r="G439" s="18"/>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49"/>
      <c r="BF439" s="4">
        <f t="shared" si="365"/>
        <v>0</v>
      </c>
      <c r="BG439" s="4">
        <f t="shared" si="365"/>
        <v>0</v>
      </c>
      <c r="BH439" s="4">
        <f t="shared" si="366"/>
        <v>0</v>
      </c>
      <c r="BI439" s="4">
        <f t="shared" si="367"/>
        <v>0</v>
      </c>
      <c r="BJ439" s="4">
        <f t="shared" si="368"/>
        <v>0</v>
      </c>
      <c r="BK439" s="4">
        <f t="shared" si="369"/>
        <v>0</v>
      </c>
      <c r="BL439" s="4">
        <f t="shared" si="370"/>
        <v>0</v>
      </c>
      <c r="BM439" s="4">
        <f t="shared" si="371"/>
        <v>0</v>
      </c>
      <c r="BN439" s="4">
        <f t="shared" si="372"/>
        <v>0</v>
      </c>
      <c r="BO439" s="4">
        <f t="shared" si="373"/>
        <v>0</v>
      </c>
      <c r="BP439" s="4">
        <f t="shared" si="374"/>
        <v>0</v>
      </c>
      <c r="BQ439" s="4">
        <f t="shared" si="375"/>
        <v>0</v>
      </c>
      <c r="BR439" s="4">
        <f t="shared" si="376"/>
        <v>0</v>
      </c>
      <c r="BS439" s="4">
        <f t="shared" si="377"/>
        <v>0</v>
      </c>
      <c r="BT439" s="4">
        <f t="shared" si="378"/>
        <v>0</v>
      </c>
      <c r="BU439" s="4">
        <f t="shared" si="379"/>
        <v>0</v>
      </c>
      <c r="BV439" s="4">
        <f t="shared" si="380"/>
        <v>0</v>
      </c>
      <c r="BW439" s="4">
        <f t="shared" si="381"/>
        <v>0</v>
      </c>
      <c r="BX439" s="4">
        <f t="shared" si="382"/>
        <v>0</v>
      </c>
      <c r="BY439" s="4">
        <f t="shared" si="383"/>
        <v>0</v>
      </c>
      <c r="BZ439" s="4">
        <f t="shared" si="384"/>
        <v>0</v>
      </c>
      <c r="CA439" s="4">
        <f t="shared" si="385"/>
        <v>0</v>
      </c>
      <c r="CB439" s="4">
        <f t="shared" si="386"/>
        <v>0</v>
      </c>
      <c r="CC439" s="4">
        <f t="shared" si="387"/>
        <v>0</v>
      </c>
      <c r="CD439" s="4">
        <f t="shared" si="388"/>
        <v>0</v>
      </c>
      <c r="CE439" s="4">
        <f t="shared" si="389"/>
        <v>0</v>
      </c>
      <c r="CF439" s="4">
        <f t="shared" si="390"/>
        <v>0</v>
      </c>
      <c r="CG439" s="4">
        <f t="shared" si="391"/>
        <v>0</v>
      </c>
      <c r="CH439" s="4">
        <f t="shared" si="392"/>
        <v>0</v>
      </c>
      <c r="CI439" s="4">
        <f t="shared" si="393"/>
        <v>0</v>
      </c>
      <c r="CJ439" s="4">
        <f t="shared" si="394"/>
        <v>0</v>
      </c>
      <c r="CK439" s="4">
        <f t="shared" si="395"/>
        <v>0</v>
      </c>
      <c r="CL439" s="4">
        <f t="shared" si="396"/>
        <v>0</v>
      </c>
      <c r="CM439" s="4">
        <f t="shared" si="397"/>
        <v>0</v>
      </c>
      <c r="CN439" s="4">
        <f t="shared" si="398"/>
        <v>0</v>
      </c>
      <c r="CO439" s="4">
        <f t="shared" si="399"/>
        <v>0</v>
      </c>
      <c r="CP439" s="4">
        <f t="shared" si="400"/>
        <v>0</v>
      </c>
      <c r="CQ439" s="4">
        <f t="shared" si="401"/>
        <v>0</v>
      </c>
      <c r="CR439" s="4">
        <f t="shared" si="402"/>
        <v>0</v>
      </c>
      <c r="CS439" s="4">
        <f t="shared" si="403"/>
        <v>0</v>
      </c>
      <c r="CT439" s="4">
        <f t="shared" si="404"/>
        <v>0</v>
      </c>
      <c r="CU439" s="4">
        <f t="shared" si="405"/>
        <v>0</v>
      </c>
      <c r="CV439" s="4">
        <f t="shared" si="406"/>
        <v>0</v>
      </c>
      <c r="CW439" s="4">
        <f t="shared" si="407"/>
        <v>0</v>
      </c>
      <c r="CX439" s="4">
        <f t="shared" si="408"/>
        <v>0</v>
      </c>
      <c r="CY439" s="4">
        <f t="shared" si="409"/>
        <v>0</v>
      </c>
      <c r="CZ439" s="4">
        <f t="shared" si="410"/>
        <v>0</v>
      </c>
      <c r="DA439" s="4">
        <f t="shared" si="411"/>
        <v>0</v>
      </c>
      <c r="DB439" s="4">
        <f t="shared" si="412"/>
        <v>0</v>
      </c>
      <c r="DC439" s="4">
        <f t="shared" si="413"/>
        <v>0</v>
      </c>
      <c r="DD439" s="4">
        <f t="shared" si="414"/>
        <v>0</v>
      </c>
    </row>
    <row r="440" spans="1:108" x14ac:dyDescent="0.25">
      <c r="A440" s="41" t="str">
        <f ca="1">Skills!M422</f>
        <v>Unbarring Ways</v>
      </c>
      <c r="B440" s="55" t="str">
        <f ca="1">Skills!N422</f>
        <v>Unbarring Ways</v>
      </c>
      <c r="C440" s="22">
        <f t="shared" si="415"/>
        <v>0</v>
      </c>
      <c r="D440" s="112" t="e">
        <f ca="1">Skills!S422</f>
        <v>#N/A</v>
      </c>
      <c r="E440" s="113" t="e">
        <f>Profession!$B$188</f>
        <v>#REF!</v>
      </c>
      <c r="F440" s="19"/>
      <c r="G440" s="19"/>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56"/>
      <c r="BF440" s="4">
        <f t="shared" si="365"/>
        <v>0</v>
      </c>
      <c r="BG440" s="4">
        <f t="shared" si="365"/>
        <v>0</v>
      </c>
      <c r="BH440" s="4">
        <f t="shared" si="366"/>
        <v>0</v>
      </c>
      <c r="BI440" s="4">
        <f t="shared" si="367"/>
        <v>0</v>
      </c>
      <c r="BJ440" s="4">
        <f t="shared" si="368"/>
        <v>0</v>
      </c>
      <c r="BK440" s="4">
        <f t="shared" si="369"/>
        <v>0</v>
      </c>
      <c r="BL440" s="4">
        <f t="shared" si="370"/>
        <v>0</v>
      </c>
      <c r="BM440" s="4">
        <f t="shared" si="371"/>
        <v>0</v>
      </c>
      <c r="BN440" s="4">
        <f t="shared" si="372"/>
        <v>0</v>
      </c>
      <c r="BO440" s="4">
        <f t="shared" si="373"/>
        <v>0</v>
      </c>
      <c r="BP440" s="4">
        <f t="shared" si="374"/>
        <v>0</v>
      </c>
      <c r="BQ440" s="4">
        <f t="shared" si="375"/>
        <v>0</v>
      </c>
      <c r="BR440" s="4">
        <f t="shared" si="376"/>
        <v>0</v>
      </c>
      <c r="BS440" s="4">
        <f t="shared" si="377"/>
        <v>0</v>
      </c>
      <c r="BT440" s="4">
        <f t="shared" si="378"/>
        <v>0</v>
      </c>
      <c r="BU440" s="4">
        <f t="shared" si="379"/>
        <v>0</v>
      </c>
      <c r="BV440" s="4">
        <f t="shared" si="380"/>
        <v>0</v>
      </c>
      <c r="BW440" s="4">
        <f t="shared" si="381"/>
        <v>0</v>
      </c>
      <c r="BX440" s="4">
        <f t="shared" si="382"/>
        <v>0</v>
      </c>
      <c r="BY440" s="4">
        <f t="shared" si="383"/>
        <v>0</v>
      </c>
      <c r="BZ440" s="4">
        <f t="shared" si="384"/>
        <v>0</v>
      </c>
      <c r="CA440" s="4">
        <f t="shared" si="385"/>
        <v>0</v>
      </c>
      <c r="CB440" s="4">
        <f t="shared" si="386"/>
        <v>0</v>
      </c>
      <c r="CC440" s="4">
        <f t="shared" si="387"/>
        <v>0</v>
      </c>
      <c r="CD440" s="4">
        <f t="shared" si="388"/>
        <v>0</v>
      </c>
      <c r="CE440" s="4">
        <f t="shared" si="389"/>
        <v>0</v>
      </c>
      <c r="CF440" s="4">
        <f t="shared" si="390"/>
        <v>0</v>
      </c>
      <c r="CG440" s="4">
        <f t="shared" si="391"/>
        <v>0</v>
      </c>
      <c r="CH440" s="4">
        <f t="shared" si="392"/>
        <v>0</v>
      </c>
      <c r="CI440" s="4">
        <f t="shared" si="393"/>
        <v>0</v>
      </c>
      <c r="CJ440" s="4">
        <f t="shared" si="394"/>
        <v>0</v>
      </c>
      <c r="CK440" s="4">
        <f t="shared" si="395"/>
        <v>0</v>
      </c>
      <c r="CL440" s="4">
        <f t="shared" si="396"/>
        <v>0</v>
      </c>
      <c r="CM440" s="4">
        <f t="shared" si="397"/>
        <v>0</v>
      </c>
      <c r="CN440" s="4">
        <f t="shared" si="398"/>
        <v>0</v>
      </c>
      <c r="CO440" s="4">
        <f t="shared" si="399"/>
        <v>0</v>
      </c>
      <c r="CP440" s="4">
        <f t="shared" si="400"/>
        <v>0</v>
      </c>
      <c r="CQ440" s="4">
        <f t="shared" si="401"/>
        <v>0</v>
      </c>
      <c r="CR440" s="4">
        <f t="shared" si="402"/>
        <v>0</v>
      </c>
      <c r="CS440" s="4">
        <f t="shared" si="403"/>
        <v>0</v>
      </c>
      <c r="CT440" s="4">
        <f t="shared" si="404"/>
        <v>0</v>
      </c>
      <c r="CU440" s="4">
        <f t="shared" si="405"/>
        <v>0</v>
      </c>
      <c r="CV440" s="4">
        <f t="shared" si="406"/>
        <v>0</v>
      </c>
      <c r="CW440" s="4">
        <f t="shared" si="407"/>
        <v>0</v>
      </c>
      <c r="CX440" s="4">
        <f t="shared" si="408"/>
        <v>0</v>
      </c>
      <c r="CY440" s="4">
        <f t="shared" si="409"/>
        <v>0</v>
      </c>
      <c r="CZ440" s="4">
        <f t="shared" si="410"/>
        <v>0</v>
      </c>
      <c r="DA440" s="4">
        <f t="shared" si="411"/>
        <v>0</v>
      </c>
      <c r="DB440" s="4">
        <f t="shared" si="412"/>
        <v>0</v>
      </c>
      <c r="DC440" s="4">
        <f t="shared" si="413"/>
        <v>0</v>
      </c>
      <c r="DD440" s="4">
        <f t="shared" si="414"/>
        <v>0</v>
      </c>
    </row>
    <row r="441" spans="1:108" x14ac:dyDescent="0.25">
      <c r="A441" s="41">
        <f>Skills!M423</f>
        <v>0</v>
      </c>
      <c r="B441" s="57" t="str">
        <f>Skills!N423</f>
        <v>Closed Lists Sub-category</v>
      </c>
      <c r="C441" s="24">
        <f t="shared" si="415"/>
        <v>0</v>
      </c>
      <c r="D441" s="110" t="str">
        <f>Skills!S423</f>
        <v>- -</v>
      </c>
      <c r="E441" s="111" t="s">
        <v>782</v>
      </c>
      <c r="F441" s="18"/>
      <c r="G441" s="18"/>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49"/>
      <c r="BF441" s="4">
        <f t="shared" si="365"/>
        <v>0</v>
      </c>
      <c r="BG441" s="4">
        <f t="shared" si="365"/>
        <v>0</v>
      </c>
      <c r="BH441" s="4">
        <f t="shared" si="366"/>
        <v>0</v>
      </c>
      <c r="BI441" s="4">
        <f t="shared" si="367"/>
        <v>0</v>
      </c>
      <c r="BJ441" s="4">
        <f t="shared" si="368"/>
        <v>0</v>
      </c>
      <c r="BK441" s="4">
        <f t="shared" si="369"/>
        <v>0</v>
      </c>
      <c r="BL441" s="4">
        <f t="shared" si="370"/>
        <v>0</v>
      </c>
      <c r="BM441" s="4">
        <f t="shared" si="371"/>
        <v>0</v>
      </c>
      <c r="BN441" s="4">
        <f t="shared" si="372"/>
        <v>0</v>
      </c>
      <c r="BO441" s="4">
        <f t="shared" si="373"/>
        <v>0</v>
      </c>
      <c r="BP441" s="4">
        <f t="shared" si="374"/>
        <v>0</v>
      </c>
      <c r="BQ441" s="4">
        <f t="shared" si="375"/>
        <v>0</v>
      </c>
      <c r="BR441" s="4">
        <f t="shared" si="376"/>
        <v>0</v>
      </c>
      <c r="BS441" s="4">
        <f t="shared" si="377"/>
        <v>0</v>
      </c>
      <c r="BT441" s="4">
        <f t="shared" si="378"/>
        <v>0</v>
      </c>
      <c r="BU441" s="4">
        <f t="shared" si="379"/>
        <v>0</v>
      </c>
      <c r="BV441" s="4">
        <f t="shared" si="380"/>
        <v>0</v>
      </c>
      <c r="BW441" s="4">
        <f t="shared" si="381"/>
        <v>0</v>
      </c>
      <c r="BX441" s="4">
        <f t="shared" si="382"/>
        <v>0</v>
      </c>
      <c r="BY441" s="4">
        <f t="shared" si="383"/>
        <v>0</v>
      </c>
      <c r="BZ441" s="4">
        <f t="shared" si="384"/>
        <v>0</v>
      </c>
      <c r="CA441" s="4">
        <f t="shared" si="385"/>
        <v>0</v>
      </c>
      <c r="CB441" s="4">
        <f t="shared" si="386"/>
        <v>0</v>
      </c>
      <c r="CC441" s="4">
        <f t="shared" si="387"/>
        <v>0</v>
      </c>
      <c r="CD441" s="4">
        <f t="shared" si="388"/>
        <v>0</v>
      </c>
      <c r="CE441" s="4">
        <f t="shared" si="389"/>
        <v>0</v>
      </c>
      <c r="CF441" s="4">
        <f t="shared" si="390"/>
        <v>0</v>
      </c>
      <c r="CG441" s="4">
        <f t="shared" si="391"/>
        <v>0</v>
      </c>
      <c r="CH441" s="4">
        <f t="shared" si="392"/>
        <v>0</v>
      </c>
      <c r="CI441" s="4">
        <f t="shared" si="393"/>
        <v>0</v>
      </c>
      <c r="CJ441" s="4">
        <f t="shared" si="394"/>
        <v>0</v>
      </c>
      <c r="CK441" s="4">
        <f t="shared" si="395"/>
        <v>0</v>
      </c>
      <c r="CL441" s="4">
        <f t="shared" si="396"/>
        <v>0</v>
      </c>
      <c r="CM441" s="4">
        <f t="shared" si="397"/>
        <v>0</v>
      </c>
      <c r="CN441" s="4">
        <f t="shared" si="398"/>
        <v>0</v>
      </c>
      <c r="CO441" s="4">
        <f t="shared" si="399"/>
        <v>0</v>
      </c>
      <c r="CP441" s="4">
        <f t="shared" si="400"/>
        <v>0</v>
      </c>
      <c r="CQ441" s="4">
        <f t="shared" si="401"/>
        <v>0</v>
      </c>
      <c r="CR441" s="4">
        <f t="shared" si="402"/>
        <v>0</v>
      </c>
      <c r="CS441" s="4">
        <f t="shared" si="403"/>
        <v>0</v>
      </c>
      <c r="CT441" s="4">
        <f t="shared" si="404"/>
        <v>0</v>
      </c>
      <c r="CU441" s="4">
        <f t="shared" si="405"/>
        <v>0</v>
      </c>
      <c r="CV441" s="4">
        <f t="shared" si="406"/>
        <v>0</v>
      </c>
      <c r="CW441" s="4">
        <f t="shared" si="407"/>
        <v>0</v>
      </c>
      <c r="CX441" s="4">
        <f t="shared" si="408"/>
        <v>0</v>
      </c>
      <c r="CY441" s="4">
        <f t="shared" si="409"/>
        <v>0</v>
      </c>
      <c r="CZ441" s="4">
        <f t="shared" si="410"/>
        <v>0</v>
      </c>
      <c r="DA441" s="4">
        <f t="shared" si="411"/>
        <v>0</v>
      </c>
      <c r="DB441" s="4">
        <f t="shared" si="412"/>
        <v>0</v>
      </c>
      <c r="DC441" s="4">
        <f t="shared" si="413"/>
        <v>0</v>
      </c>
      <c r="DD441" s="4">
        <f t="shared" si="414"/>
        <v>0</v>
      </c>
    </row>
    <row r="442" spans="1:108" x14ac:dyDescent="0.25">
      <c r="A442" s="41">
        <f>Skills!M424</f>
        <v>0</v>
      </c>
      <c r="B442" s="55" t="str">
        <f>Skills!N424</f>
        <v>Closed Lists Skills</v>
      </c>
      <c r="C442" s="22">
        <f t="shared" si="415"/>
        <v>0</v>
      </c>
      <c r="D442" s="112" t="str">
        <f>Skills!S424</f>
        <v>- -</v>
      </c>
      <c r="E442" s="113" t="s">
        <v>782</v>
      </c>
      <c r="F442" s="19"/>
      <c r="G442" s="19"/>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56"/>
      <c r="BF442" s="4">
        <f t="shared" si="365"/>
        <v>0</v>
      </c>
      <c r="BG442" s="4">
        <f t="shared" si="365"/>
        <v>0</v>
      </c>
      <c r="BH442" s="4">
        <f t="shared" si="366"/>
        <v>0</v>
      </c>
      <c r="BI442" s="4">
        <f t="shared" si="367"/>
        <v>0</v>
      </c>
      <c r="BJ442" s="4">
        <f t="shared" si="368"/>
        <v>0</v>
      </c>
      <c r="BK442" s="4">
        <f t="shared" si="369"/>
        <v>0</v>
      </c>
      <c r="BL442" s="4">
        <f t="shared" si="370"/>
        <v>0</v>
      </c>
      <c r="BM442" s="4">
        <f t="shared" si="371"/>
        <v>0</v>
      </c>
      <c r="BN442" s="4">
        <f t="shared" si="372"/>
        <v>0</v>
      </c>
      <c r="BO442" s="4">
        <f t="shared" si="373"/>
        <v>0</v>
      </c>
      <c r="BP442" s="4">
        <f t="shared" si="374"/>
        <v>0</v>
      </c>
      <c r="BQ442" s="4">
        <f t="shared" si="375"/>
        <v>0</v>
      </c>
      <c r="BR442" s="4">
        <f t="shared" si="376"/>
        <v>0</v>
      </c>
      <c r="BS442" s="4">
        <f t="shared" si="377"/>
        <v>0</v>
      </c>
      <c r="BT442" s="4">
        <f t="shared" si="378"/>
        <v>0</v>
      </c>
      <c r="BU442" s="4">
        <f t="shared" si="379"/>
        <v>0</v>
      </c>
      <c r="BV442" s="4">
        <f t="shared" si="380"/>
        <v>0</v>
      </c>
      <c r="BW442" s="4">
        <f t="shared" si="381"/>
        <v>0</v>
      </c>
      <c r="BX442" s="4">
        <f t="shared" si="382"/>
        <v>0</v>
      </c>
      <c r="BY442" s="4">
        <f t="shared" si="383"/>
        <v>0</v>
      </c>
      <c r="BZ442" s="4">
        <f t="shared" si="384"/>
        <v>0</v>
      </c>
      <c r="CA442" s="4">
        <f t="shared" si="385"/>
        <v>0</v>
      </c>
      <c r="CB442" s="4">
        <f t="shared" si="386"/>
        <v>0</v>
      </c>
      <c r="CC442" s="4">
        <f t="shared" si="387"/>
        <v>0</v>
      </c>
      <c r="CD442" s="4">
        <f t="shared" si="388"/>
        <v>0</v>
      </c>
      <c r="CE442" s="4">
        <f t="shared" si="389"/>
        <v>0</v>
      </c>
      <c r="CF442" s="4">
        <f t="shared" si="390"/>
        <v>0</v>
      </c>
      <c r="CG442" s="4">
        <f t="shared" si="391"/>
        <v>0</v>
      </c>
      <c r="CH442" s="4">
        <f t="shared" si="392"/>
        <v>0</v>
      </c>
      <c r="CI442" s="4">
        <f t="shared" si="393"/>
        <v>0</v>
      </c>
      <c r="CJ442" s="4">
        <f t="shared" si="394"/>
        <v>0</v>
      </c>
      <c r="CK442" s="4">
        <f t="shared" si="395"/>
        <v>0</v>
      </c>
      <c r="CL442" s="4">
        <f t="shared" si="396"/>
        <v>0</v>
      </c>
      <c r="CM442" s="4">
        <f t="shared" si="397"/>
        <v>0</v>
      </c>
      <c r="CN442" s="4">
        <f t="shared" si="398"/>
        <v>0</v>
      </c>
      <c r="CO442" s="4">
        <f t="shared" si="399"/>
        <v>0</v>
      </c>
      <c r="CP442" s="4">
        <f t="shared" si="400"/>
        <v>0</v>
      </c>
      <c r="CQ442" s="4">
        <f t="shared" si="401"/>
        <v>0</v>
      </c>
      <c r="CR442" s="4">
        <f t="shared" si="402"/>
        <v>0</v>
      </c>
      <c r="CS442" s="4">
        <f t="shared" si="403"/>
        <v>0</v>
      </c>
      <c r="CT442" s="4">
        <f t="shared" si="404"/>
        <v>0</v>
      </c>
      <c r="CU442" s="4">
        <f t="shared" si="405"/>
        <v>0</v>
      </c>
      <c r="CV442" s="4">
        <f t="shared" si="406"/>
        <v>0</v>
      </c>
      <c r="CW442" s="4">
        <f t="shared" si="407"/>
        <v>0</v>
      </c>
      <c r="CX442" s="4">
        <f t="shared" si="408"/>
        <v>0</v>
      </c>
      <c r="CY442" s="4">
        <f t="shared" si="409"/>
        <v>0</v>
      </c>
      <c r="CZ442" s="4">
        <f t="shared" si="410"/>
        <v>0</v>
      </c>
      <c r="DA442" s="4">
        <f t="shared" si="411"/>
        <v>0</v>
      </c>
      <c r="DB442" s="4">
        <f t="shared" si="412"/>
        <v>0</v>
      </c>
      <c r="DC442" s="4">
        <f t="shared" si="413"/>
        <v>0</v>
      </c>
      <c r="DD442" s="4">
        <f t="shared" si="414"/>
        <v>0</v>
      </c>
    </row>
    <row r="443" spans="1:108" x14ac:dyDescent="0.25">
      <c r="A443" s="41" t="str">
        <f ca="1">Skills!M425</f>
        <v>Dispelling Ways</v>
      </c>
      <c r="B443" s="57" t="str">
        <f ca="1">Skills!N425</f>
        <v>Dispelling Ways</v>
      </c>
      <c r="C443" s="24">
        <f t="shared" si="415"/>
        <v>0</v>
      </c>
      <c r="D443" s="110" t="e">
        <f ca="1">Skills!S425</f>
        <v>#N/A</v>
      </c>
      <c r="E443" s="111" t="e">
        <f>Profession!$B$189</f>
        <v>#REF!</v>
      </c>
      <c r="F443" s="18"/>
      <c r="G443" s="18"/>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49"/>
      <c r="BF443" s="4">
        <f t="shared" si="365"/>
        <v>0</v>
      </c>
      <c r="BG443" s="4">
        <f t="shared" si="365"/>
        <v>0</v>
      </c>
      <c r="BH443" s="4">
        <f t="shared" si="366"/>
        <v>0</v>
      </c>
      <c r="BI443" s="4">
        <f t="shared" si="367"/>
        <v>0</v>
      </c>
      <c r="BJ443" s="4">
        <f t="shared" si="368"/>
        <v>0</v>
      </c>
      <c r="BK443" s="4">
        <f t="shared" si="369"/>
        <v>0</v>
      </c>
      <c r="BL443" s="4">
        <f t="shared" si="370"/>
        <v>0</v>
      </c>
      <c r="BM443" s="4">
        <f t="shared" si="371"/>
        <v>0</v>
      </c>
      <c r="BN443" s="4">
        <f t="shared" si="372"/>
        <v>0</v>
      </c>
      <c r="BO443" s="4">
        <f t="shared" si="373"/>
        <v>0</v>
      </c>
      <c r="BP443" s="4">
        <f t="shared" si="374"/>
        <v>0</v>
      </c>
      <c r="BQ443" s="4">
        <f t="shared" si="375"/>
        <v>0</v>
      </c>
      <c r="BR443" s="4">
        <f t="shared" si="376"/>
        <v>0</v>
      </c>
      <c r="BS443" s="4">
        <f t="shared" si="377"/>
        <v>0</v>
      </c>
      <c r="BT443" s="4">
        <f t="shared" si="378"/>
        <v>0</v>
      </c>
      <c r="BU443" s="4">
        <f t="shared" si="379"/>
        <v>0</v>
      </c>
      <c r="BV443" s="4">
        <f t="shared" si="380"/>
        <v>0</v>
      </c>
      <c r="BW443" s="4">
        <f t="shared" si="381"/>
        <v>0</v>
      </c>
      <c r="BX443" s="4">
        <f t="shared" si="382"/>
        <v>0</v>
      </c>
      <c r="BY443" s="4">
        <f t="shared" si="383"/>
        <v>0</v>
      </c>
      <c r="BZ443" s="4">
        <f t="shared" si="384"/>
        <v>0</v>
      </c>
      <c r="CA443" s="4">
        <f t="shared" si="385"/>
        <v>0</v>
      </c>
      <c r="CB443" s="4">
        <f t="shared" si="386"/>
        <v>0</v>
      </c>
      <c r="CC443" s="4">
        <f t="shared" si="387"/>
        <v>0</v>
      </c>
      <c r="CD443" s="4">
        <f t="shared" si="388"/>
        <v>0</v>
      </c>
      <c r="CE443" s="4">
        <f t="shared" si="389"/>
        <v>0</v>
      </c>
      <c r="CF443" s="4">
        <f t="shared" si="390"/>
        <v>0</v>
      </c>
      <c r="CG443" s="4">
        <f t="shared" si="391"/>
        <v>0</v>
      </c>
      <c r="CH443" s="4">
        <f t="shared" si="392"/>
        <v>0</v>
      </c>
      <c r="CI443" s="4">
        <f t="shared" si="393"/>
        <v>0</v>
      </c>
      <c r="CJ443" s="4">
        <f t="shared" si="394"/>
        <v>0</v>
      </c>
      <c r="CK443" s="4">
        <f t="shared" si="395"/>
        <v>0</v>
      </c>
      <c r="CL443" s="4">
        <f t="shared" si="396"/>
        <v>0</v>
      </c>
      <c r="CM443" s="4">
        <f t="shared" si="397"/>
        <v>0</v>
      </c>
      <c r="CN443" s="4">
        <f t="shared" si="398"/>
        <v>0</v>
      </c>
      <c r="CO443" s="4">
        <f t="shared" si="399"/>
        <v>0</v>
      </c>
      <c r="CP443" s="4">
        <f t="shared" si="400"/>
        <v>0</v>
      </c>
      <c r="CQ443" s="4">
        <f t="shared" si="401"/>
        <v>0</v>
      </c>
      <c r="CR443" s="4">
        <f t="shared" si="402"/>
        <v>0</v>
      </c>
      <c r="CS443" s="4">
        <f t="shared" si="403"/>
        <v>0</v>
      </c>
      <c r="CT443" s="4">
        <f t="shared" si="404"/>
        <v>0</v>
      </c>
      <c r="CU443" s="4">
        <f t="shared" si="405"/>
        <v>0</v>
      </c>
      <c r="CV443" s="4">
        <f t="shared" si="406"/>
        <v>0</v>
      </c>
      <c r="CW443" s="4">
        <f t="shared" si="407"/>
        <v>0</v>
      </c>
      <c r="CX443" s="4">
        <f t="shared" si="408"/>
        <v>0</v>
      </c>
      <c r="CY443" s="4">
        <f t="shared" si="409"/>
        <v>0</v>
      </c>
      <c r="CZ443" s="4">
        <f t="shared" si="410"/>
        <v>0</v>
      </c>
      <c r="DA443" s="4">
        <f t="shared" si="411"/>
        <v>0</v>
      </c>
      <c r="DB443" s="4">
        <f t="shared" si="412"/>
        <v>0</v>
      </c>
      <c r="DC443" s="4">
        <f t="shared" si="413"/>
        <v>0</v>
      </c>
      <c r="DD443" s="4">
        <f t="shared" si="414"/>
        <v>0</v>
      </c>
    </row>
    <row r="444" spans="1:108" x14ac:dyDescent="0.25">
      <c r="A444" s="41" t="str">
        <f ca="1">Skills!M426</f>
        <v>Fluid Elements</v>
      </c>
      <c r="B444" s="55" t="str">
        <f ca="1">Skills!N426</f>
        <v>Fluid Elements</v>
      </c>
      <c r="C444" s="22">
        <f t="shared" si="415"/>
        <v>0</v>
      </c>
      <c r="D444" s="112" t="e">
        <f ca="1">Skills!S426</f>
        <v>#N/A</v>
      </c>
      <c r="E444" s="113" t="e">
        <f>Profession!$B$189</f>
        <v>#REF!</v>
      </c>
      <c r="F444" s="19"/>
      <c r="G444" s="19"/>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56"/>
      <c r="BF444" s="4">
        <f t="shared" si="365"/>
        <v>0</v>
      </c>
      <c r="BG444" s="4">
        <f t="shared" si="365"/>
        <v>0</v>
      </c>
      <c r="BH444" s="4">
        <f t="shared" si="366"/>
        <v>0</v>
      </c>
      <c r="BI444" s="4">
        <f t="shared" si="367"/>
        <v>0</v>
      </c>
      <c r="BJ444" s="4">
        <f t="shared" si="368"/>
        <v>0</v>
      </c>
      <c r="BK444" s="4">
        <f t="shared" si="369"/>
        <v>0</v>
      </c>
      <c r="BL444" s="4">
        <f t="shared" si="370"/>
        <v>0</v>
      </c>
      <c r="BM444" s="4">
        <f t="shared" si="371"/>
        <v>0</v>
      </c>
      <c r="BN444" s="4">
        <f t="shared" si="372"/>
        <v>0</v>
      </c>
      <c r="BO444" s="4">
        <f t="shared" si="373"/>
        <v>0</v>
      </c>
      <c r="BP444" s="4">
        <f t="shared" si="374"/>
        <v>0</v>
      </c>
      <c r="BQ444" s="4">
        <f t="shared" si="375"/>
        <v>0</v>
      </c>
      <c r="BR444" s="4">
        <f t="shared" si="376"/>
        <v>0</v>
      </c>
      <c r="BS444" s="4">
        <f t="shared" si="377"/>
        <v>0</v>
      </c>
      <c r="BT444" s="4">
        <f t="shared" si="378"/>
        <v>0</v>
      </c>
      <c r="BU444" s="4">
        <f t="shared" si="379"/>
        <v>0</v>
      </c>
      <c r="BV444" s="4">
        <f t="shared" si="380"/>
        <v>0</v>
      </c>
      <c r="BW444" s="4">
        <f t="shared" si="381"/>
        <v>0</v>
      </c>
      <c r="BX444" s="4">
        <f t="shared" si="382"/>
        <v>0</v>
      </c>
      <c r="BY444" s="4">
        <f t="shared" si="383"/>
        <v>0</v>
      </c>
      <c r="BZ444" s="4">
        <f t="shared" si="384"/>
        <v>0</v>
      </c>
      <c r="CA444" s="4">
        <f t="shared" si="385"/>
        <v>0</v>
      </c>
      <c r="CB444" s="4">
        <f t="shared" si="386"/>
        <v>0</v>
      </c>
      <c r="CC444" s="4">
        <f t="shared" si="387"/>
        <v>0</v>
      </c>
      <c r="CD444" s="4">
        <f t="shared" si="388"/>
        <v>0</v>
      </c>
      <c r="CE444" s="4">
        <f t="shared" si="389"/>
        <v>0</v>
      </c>
      <c r="CF444" s="4">
        <f t="shared" si="390"/>
        <v>0</v>
      </c>
      <c r="CG444" s="4">
        <f t="shared" si="391"/>
        <v>0</v>
      </c>
      <c r="CH444" s="4">
        <f t="shared" si="392"/>
        <v>0</v>
      </c>
      <c r="CI444" s="4">
        <f t="shared" si="393"/>
        <v>0</v>
      </c>
      <c r="CJ444" s="4">
        <f t="shared" si="394"/>
        <v>0</v>
      </c>
      <c r="CK444" s="4">
        <f t="shared" si="395"/>
        <v>0</v>
      </c>
      <c r="CL444" s="4">
        <f t="shared" si="396"/>
        <v>0</v>
      </c>
      <c r="CM444" s="4">
        <f t="shared" si="397"/>
        <v>0</v>
      </c>
      <c r="CN444" s="4">
        <f t="shared" si="398"/>
        <v>0</v>
      </c>
      <c r="CO444" s="4">
        <f t="shared" si="399"/>
        <v>0</v>
      </c>
      <c r="CP444" s="4">
        <f t="shared" si="400"/>
        <v>0</v>
      </c>
      <c r="CQ444" s="4">
        <f t="shared" si="401"/>
        <v>0</v>
      </c>
      <c r="CR444" s="4">
        <f t="shared" si="402"/>
        <v>0</v>
      </c>
      <c r="CS444" s="4">
        <f t="shared" si="403"/>
        <v>0</v>
      </c>
      <c r="CT444" s="4">
        <f t="shared" si="404"/>
        <v>0</v>
      </c>
      <c r="CU444" s="4">
        <f t="shared" si="405"/>
        <v>0</v>
      </c>
      <c r="CV444" s="4">
        <f t="shared" si="406"/>
        <v>0</v>
      </c>
      <c r="CW444" s="4">
        <f t="shared" si="407"/>
        <v>0</v>
      </c>
      <c r="CX444" s="4">
        <f t="shared" si="408"/>
        <v>0</v>
      </c>
      <c r="CY444" s="4">
        <f t="shared" si="409"/>
        <v>0</v>
      </c>
      <c r="CZ444" s="4">
        <f t="shared" si="410"/>
        <v>0</v>
      </c>
      <c r="DA444" s="4">
        <f t="shared" si="411"/>
        <v>0</v>
      </c>
      <c r="DB444" s="4">
        <f t="shared" si="412"/>
        <v>0</v>
      </c>
      <c r="DC444" s="4">
        <f t="shared" si="413"/>
        <v>0</v>
      </c>
      <c r="DD444" s="4">
        <f t="shared" si="414"/>
        <v>0</v>
      </c>
    </row>
    <row r="445" spans="1:108" x14ac:dyDescent="0.25">
      <c r="A445" s="41" t="str">
        <f ca="1">Skills!M427</f>
        <v>Gate Mastery</v>
      </c>
      <c r="B445" s="57" t="str">
        <f ca="1">Skills!N427</f>
        <v>Gate Mastery</v>
      </c>
      <c r="C445" s="24">
        <f t="shared" si="415"/>
        <v>0</v>
      </c>
      <c r="D445" s="110" t="e">
        <f ca="1">Skills!S427</f>
        <v>#N/A</v>
      </c>
      <c r="E445" s="111" t="e">
        <f>Profession!$B$189</f>
        <v>#REF!</v>
      </c>
      <c r="F445" s="18"/>
      <c r="G445" s="18"/>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49"/>
      <c r="BF445" s="4">
        <f t="shared" si="365"/>
        <v>0</v>
      </c>
      <c r="BG445" s="4">
        <f t="shared" si="365"/>
        <v>0</v>
      </c>
      <c r="BH445" s="4">
        <f t="shared" si="366"/>
        <v>0</v>
      </c>
      <c r="BI445" s="4">
        <f t="shared" si="367"/>
        <v>0</v>
      </c>
      <c r="BJ445" s="4">
        <f t="shared" si="368"/>
        <v>0</v>
      </c>
      <c r="BK445" s="4">
        <f t="shared" si="369"/>
        <v>0</v>
      </c>
      <c r="BL445" s="4">
        <f t="shared" si="370"/>
        <v>0</v>
      </c>
      <c r="BM445" s="4">
        <f t="shared" si="371"/>
        <v>0</v>
      </c>
      <c r="BN445" s="4">
        <f t="shared" si="372"/>
        <v>0</v>
      </c>
      <c r="BO445" s="4">
        <f t="shared" si="373"/>
        <v>0</v>
      </c>
      <c r="BP445" s="4">
        <f t="shared" si="374"/>
        <v>0</v>
      </c>
      <c r="BQ445" s="4">
        <f t="shared" si="375"/>
        <v>0</v>
      </c>
      <c r="BR445" s="4">
        <f t="shared" si="376"/>
        <v>0</v>
      </c>
      <c r="BS445" s="4">
        <f t="shared" si="377"/>
        <v>0</v>
      </c>
      <c r="BT445" s="4">
        <f t="shared" si="378"/>
        <v>0</v>
      </c>
      <c r="BU445" s="4">
        <f t="shared" si="379"/>
        <v>0</v>
      </c>
      <c r="BV445" s="4">
        <f t="shared" si="380"/>
        <v>0</v>
      </c>
      <c r="BW445" s="4">
        <f t="shared" si="381"/>
        <v>0</v>
      </c>
      <c r="BX445" s="4">
        <f t="shared" si="382"/>
        <v>0</v>
      </c>
      <c r="BY445" s="4">
        <f t="shared" si="383"/>
        <v>0</v>
      </c>
      <c r="BZ445" s="4">
        <f t="shared" si="384"/>
        <v>0</v>
      </c>
      <c r="CA445" s="4">
        <f t="shared" si="385"/>
        <v>0</v>
      </c>
      <c r="CB445" s="4">
        <f t="shared" si="386"/>
        <v>0</v>
      </c>
      <c r="CC445" s="4">
        <f t="shared" si="387"/>
        <v>0</v>
      </c>
      <c r="CD445" s="4">
        <f t="shared" si="388"/>
        <v>0</v>
      </c>
      <c r="CE445" s="4">
        <f t="shared" si="389"/>
        <v>0</v>
      </c>
      <c r="CF445" s="4">
        <f t="shared" si="390"/>
        <v>0</v>
      </c>
      <c r="CG445" s="4">
        <f t="shared" si="391"/>
        <v>0</v>
      </c>
      <c r="CH445" s="4">
        <f t="shared" si="392"/>
        <v>0</v>
      </c>
      <c r="CI445" s="4">
        <f t="shared" si="393"/>
        <v>0</v>
      </c>
      <c r="CJ445" s="4">
        <f t="shared" si="394"/>
        <v>0</v>
      </c>
      <c r="CK445" s="4">
        <f t="shared" si="395"/>
        <v>0</v>
      </c>
      <c r="CL445" s="4">
        <f t="shared" si="396"/>
        <v>0</v>
      </c>
      <c r="CM445" s="4">
        <f t="shared" si="397"/>
        <v>0</v>
      </c>
      <c r="CN445" s="4">
        <f t="shared" si="398"/>
        <v>0</v>
      </c>
      <c r="CO445" s="4">
        <f t="shared" si="399"/>
        <v>0</v>
      </c>
      <c r="CP445" s="4">
        <f t="shared" si="400"/>
        <v>0</v>
      </c>
      <c r="CQ445" s="4">
        <f t="shared" si="401"/>
        <v>0</v>
      </c>
      <c r="CR445" s="4">
        <f t="shared" si="402"/>
        <v>0</v>
      </c>
      <c r="CS445" s="4">
        <f t="shared" si="403"/>
        <v>0</v>
      </c>
      <c r="CT445" s="4">
        <f t="shared" si="404"/>
        <v>0</v>
      </c>
      <c r="CU445" s="4">
        <f t="shared" si="405"/>
        <v>0</v>
      </c>
      <c r="CV445" s="4">
        <f t="shared" si="406"/>
        <v>0</v>
      </c>
      <c r="CW445" s="4">
        <f t="shared" si="407"/>
        <v>0</v>
      </c>
      <c r="CX445" s="4">
        <f t="shared" si="408"/>
        <v>0</v>
      </c>
      <c r="CY445" s="4">
        <f t="shared" si="409"/>
        <v>0</v>
      </c>
      <c r="CZ445" s="4">
        <f t="shared" si="410"/>
        <v>0</v>
      </c>
      <c r="DA445" s="4">
        <f t="shared" si="411"/>
        <v>0</v>
      </c>
      <c r="DB445" s="4">
        <f t="shared" si="412"/>
        <v>0</v>
      </c>
      <c r="DC445" s="4">
        <f t="shared" si="413"/>
        <v>0</v>
      </c>
      <c r="DD445" s="4">
        <f t="shared" si="414"/>
        <v>0</v>
      </c>
    </row>
    <row r="446" spans="1:108" x14ac:dyDescent="0.25">
      <c r="A446" s="41" t="str">
        <f ca="1">Skills!M428</f>
        <v>Invisible Ways</v>
      </c>
      <c r="B446" s="55" t="str">
        <f ca="1">Skills!N428</f>
        <v>Invisible Ways</v>
      </c>
      <c r="C446" s="22">
        <f t="shared" si="415"/>
        <v>0</v>
      </c>
      <c r="D446" s="112" t="e">
        <f ca="1">Skills!S428</f>
        <v>#N/A</v>
      </c>
      <c r="E446" s="113" t="e">
        <f>Profession!$B$189</f>
        <v>#REF!</v>
      </c>
      <c r="F446" s="19"/>
      <c r="G446" s="19"/>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56"/>
      <c r="BF446" s="4">
        <f t="shared" si="365"/>
        <v>0</v>
      </c>
      <c r="BG446" s="4">
        <f t="shared" si="365"/>
        <v>0</v>
      </c>
      <c r="BH446" s="4">
        <f t="shared" si="366"/>
        <v>0</v>
      </c>
      <c r="BI446" s="4">
        <f t="shared" si="367"/>
        <v>0</v>
      </c>
      <c r="BJ446" s="4">
        <f t="shared" si="368"/>
        <v>0</v>
      </c>
      <c r="BK446" s="4">
        <f t="shared" si="369"/>
        <v>0</v>
      </c>
      <c r="BL446" s="4">
        <f t="shared" si="370"/>
        <v>0</v>
      </c>
      <c r="BM446" s="4">
        <f t="shared" si="371"/>
        <v>0</v>
      </c>
      <c r="BN446" s="4">
        <f t="shared" si="372"/>
        <v>0</v>
      </c>
      <c r="BO446" s="4">
        <f t="shared" si="373"/>
        <v>0</v>
      </c>
      <c r="BP446" s="4">
        <f t="shared" si="374"/>
        <v>0</v>
      </c>
      <c r="BQ446" s="4">
        <f t="shared" si="375"/>
        <v>0</v>
      </c>
      <c r="BR446" s="4">
        <f t="shared" si="376"/>
        <v>0</v>
      </c>
      <c r="BS446" s="4">
        <f t="shared" si="377"/>
        <v>0</v>
      </c>
      <c r="BT446" s="4">
        <f t="shared" si="378"/>
        <v>0</v>
      </c>
      <c r="BU446" s="4">
        <f t="shared" si="379"/>
        <v>0</v>
      </c>
      <c r="BV446" s="4">
        <f t="shared" si="380"/>
        <v>0</v>
      </c>
      <c r="BW446" s="4">
        <f t="shared" si="381"/>
        <v>0</v>
      </c>
      <c r="BX446" s="4">
        <f t="shared" si="382"/>
        <v>0</v>
      </c>
      <c r="BY446" s="4">
        <f t="shared" si="383"/>
        <v>0</v>
      </c>
      <c r="BZ446" s="4">
        <f t="shared" si="384"/>
        <v>0</v>
      </c>
      <c r="CA446" s="4">
        <f t="shared" si="385"/>
        <v>0</v>
      </c>
      <c r="CB446" s="4">
        <f t="shared" si="386"/>
        <v>0</v>
      </c>
      <c r="CC446" s="4">
        <f t="shared" si="387"/>
        <v>0</v>
      </c>
      <c r="CD446" s="4">
        <f t="shared" si="388"/>
        <v>0</v>
      </c>
      <c r="CE446" s="4">
        <f t="shared" si="389"/>
        <v>0</v>
      </c>
      <c r="CF446" s="4">
        <f t="shared" si="390"/>
        <v>0</v>
      </c>
      <c r="CG446" s="4">
        <f t="shared" si="391"/>
        <v>0</v>
      </c>
      <c r="CH446" s="4">
        <f t="shared" si="392"/>
        <v>0</v>
      </c>
      <c r="CI446" s="4">
        <f t="shared" si="393"/>
        <v>0</v>
      </c>
      <c r="CJ446" s="4">
        <f t="shared" si="394"/>
        <v>0</v>
      </c>
      <c r="CK446" s="4">
        <f t="shared" si="395"/>
        <v>0</v>
      </c>
      <c r="CL446" s="4">
        <f t="shared" si="396"/>
        <v>0</v>
      </c>
      <c r="CM446" s="4">
        <f t="shared" si="397"/>
        <v>0</v>
      </c>
      <c r="CN446" s="4">
        <f t="shared" si="398"/>
        <v>0</v>
      </c>
      <c r="CO446" s="4">
        <f t="shared" si="399"/>
        <v>0</v>
      </c>
      <c r="CP446" s="4">
        <f t="shared" si="400"/>
        <v>0</v>
      </c>
      <c r="CQ446" s="4">
        <f t="shared" si="401"/>
        <v>0</v>
      </c>
      <c r="CR446" s="4">
        <f t="shared" si="402"/>
        <v>0</v>
      </c>
      <c r="CS446" s="4">
        <f t="shared" si="403"/>
        <v>0</v>
      </c>
      <c r="CT446" s="4">
        <f t="shared" si="404"/>
        <v>0</v>
      </c>
      <c r="CU446" s="4">
        <f t="shared" si="405"/>
        <v>0</v>
      </c>
      <c r="CV446" s="4">
        <f t="shared" si="406"/>
        <v>0</v>
      </c>
      <c r="CW446" s="4">
        <f t="shared" si="407"/>
        <v>0</v>
      </c>
      <c r="CX446" s="4">
        <f t="shared" si="408"/>
        <v>0</v>
      </c>
      <c r="CY446" s="4">
        <f t="shared" si="409"/>
        <v>0</v>
      </c>
      <c r="CZ446" s="4">
        <f t="shared" si="410"/>
        <v>0</v>
      </c>
      <c r="DA446" s="4">
        <f t="shared" si="411"/>
        <v>0</v>
      </c>
      <c r="DB446" s="4">
        <f t="shared" si="412"/>
        <v>0</v>
      </c>
      <c r="DC446" s="4">
        <f t="shared" si="413"/>
        <v>0</v>
      </c>
      <c r="DD446" s="4">
        <f t="shared" si="414"/>
        <v>0</v>
      </c>
    </row>
    <row r="447" spans="1:108" x14ac:dyDescent="0.25">
      <c r="A447" s="41" t="str">
        <f ca="1">Skills!M429</f>
        <v>Living Change</v>
      </c>
      <c r="B447" s="57" t="str">
        <f ca="1">Skills!N429</f>
        <v>Living Change</v>
      </c>
      <c r="C447" s="24">
        <f t="shared" si="415"/>
        <v>0</v>
      </c>
      <c r="D447" s="110" t="e">
        <f ca="1">Skills!S429</f>
        <v>#N/A</v>
      </c>
      <c r="E447" s="111" t="e">
        <f>Profession!$B$189</f>
        <v>#REF!</v>
      </c>
      <c r="F447" s="18"/>
      <c r="G447" s="18"/>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49"/>
      <c r="BF447" s="4">
        <f t="shared" si="365"/>
        <v>0</v>
      </c>
      <c r="BG447" s="4">
        <f t="shared" si="365"/>
        <v>0</v>
      </c>
      <c r="BH447" s="4">
        <f t="shared" si="366"/>
        <v>0</v>
      </c>
      <c r="BI447" s="4">
        <f t="shared" si="367"/>
        <v>0</v>
      </c>
      <c r="BJ447" s="4">
        <f t="shared" si="368"/>
        <v>0</v>
      </c>
      <c r="BK447" s="4">
        <f t="shared" si="369"/>
        <v>0</v>
      </c>
      <c r="BL447" s="4">
        <f t="shared" si="370"/>
        <v>0</v>
      </c>
      <c r="BM447" s="4">
        <f t="shared" si="371"/>
        <v>0</v>
      </c>
      <c r="BN447" s="4">
        <f t="shared" si="372"/>
        <v>0</v>
      </c>
      <c r="BO447" s="4">
        <f t="shared" si="373"/>
        <v>0</v>
      </c>
      <c r="BP447" s="4">
        <f t="shared" si="374"/>
        <v>0</v>
      </c>
      <c r="BQ447" s="4">
        <f t="shared" si="375"/>
        <v>0</v>
      </c>
      <c r="BR447" s="4">
        <f t="shared" si="376"/>
        <v>0</v>
      </c>
      <c r="BS447" s="4">
        <f t="shared" si="377"/>
        <v>0</v>
      </c>
      <c r="BT447" s="4">
        <f t="shared" si="378"/>
        <v>0</v>
      </c>
      <c r="BU447" s="4">
        <f t="shared" si="379"/>
        <v>0</v>
      </c>
      <c r="BV447" s="4">
        <f t="shared" si="380"/>
        <v>0</v>
      </c>
      <c r="BW447" s="4">
        <f t="shared" si="381"/>
        <v>0</v>
      </c>
      <c r="BX447" s="4">
        <f t="shared" si="382"/>
        <v>0</v>
      </c>
      <c r="BY447" s="4">
        <f t="shared" si="383"/>
        <v>0</v>
      </c>
      <c r="BZ447" s="4">
        <f t="shared" si="384"/>
        <v>0</v>
      </c>
      <c r="CA447" s="4">
        <f t="shared" si="385"/>
        <v>0</v>
      </c>
      <c r="CB447" s="4">
        <f t="shared" si="386"/>
        <v>0</v>
      </c>
      <c r="CC447" s="4">
        <f t="shared" si="387"/>
        <v>0</v>
      </c>
      <c r="CD447" s="4">
        <f t="shared" si="388"/>
        <v>0</v>
      </c>
      <c r="CE447" s="4">
        <f t="shared" si="389"/>
        <v>0</v>
      </c>
      <c r="CF447" s="4">
        <f t="shared" si="390"/>
        <v>0</v>
      </c>
      <c r="CG447" s="4">
        <f t="shared" si="391"/>
        <v>0</v>
      </c>
      <c r="CH447" s="4">
        <f t="shared" si="392"/>
        <v>0</v>
      </c>
      <c r="CI447" s="4">
        <f t="shared" si="393"/>
        <v>0</v>
      </c>
      <c r="CJ447" s="4">
        <f t="shared" si="394"/>
        <v>0</v>
      </c>
      <c r="CK447" s="4">
        <f t="shared" si="395"/>
        <v>0</v>
      </c>
      <c r="CL447" s="4">
        <f t="shared" si="396"/>
        <v>0</v>
      </c>
      <c r="CM447" s="4">
        <f t="shared" si="397"/>
        <v>0</v>
      </c>
      <c r="CN447" s="4">
        <f t="shared" si="398"/>
        <v>0</v>
      </c>
      <c r="CO447" s="4">
        <f t="shared" si="399"/>
        <v>0</v>
      </c>
      <c r="CP447" s="4">
        <f t="shared" si="400"/>
        <v>0</v>
      </c>
      <c r="CQ447" s="4">
        <f t="shared" si="401"/>
        <v>0</v>
      </c>
      <c r="CR447" s="4">
        <f t="shared" si="402"/>
        <v>0</v>
      </c>
      <c r="CS447" s="4">
        <f t="shared" si="403"/>
        <v>0</v>
      </c>
      <c r="CT447" s="4">
        <f t="shared" si="404"/>
        <v>0</v>
      </c>
      <c r="CU447" s="4">
        <f t="shared" si="405"/>
        <v>0</v>
      </c>
      <c r="CV447" s="4">
        <f t="shared" si="406"/>
        <v>0</v>
      </c>
      <c r="CW447" s="4">
        <f t="shared" si="407"/>
        <v>0</v>
      </c>
      <c r="CX447" s="4">
        <f t="shared" si="408"/>
        <v>0</v>
      </c>
      <c r="CY447" s="4">
        <f t="shared" si="409"/>
        <v>0</v>
      </c>
      <c r="CZ447" s="4">
        <f t="shared" si="410"/>
        <v>0</v>
      </c>
      <c r="DA447" s="4">
        <f t="shared" si="411"/>
        <v>0</v>
      </c>
      <c r="DB447" s="4">
        <f t="shared" si="412"/>
        <v>0</v>
      </c>
      <c r="DC447" s="4">
        <f t="shared" si="413"/>
        <v>0</v>
      </c>
      <c r="DD447" s="4">
        <f t="shared" si="414"/>
        <v>0</v>
      </c>
    </row>
    <row r="448" spans="1:108" x14ac:dyDescent="0.25">
      <c r="A448" s="41" t="str">
        <f ca="1">Skills!M430</f>
        <v>Spell Enhancement</v>
      </c>
      <c r="B448" s="55" t="str">
        <f ca="1">Skills!N430</f>
        <v>Spell Enhancement</v>
      </c>
      <c r="C448" s="22">
        <f t="shared" si="415"/>
        <v>0</v>
      </c>
      <c r="D448" s="112" t="e">
        <f ca="1">Skills!S430</f>
        <v>#N/A</v>
      </c>
      <c r="E448" s="113" t="e">
        <f>Profession!$B$189</f>
        <v>#REF!</v>
      </c>
      <c r="F448" s="19"/>
      <c r="G448" s="19"/>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56"/>
      <c r="BF448" s="4">
        <f t="shared" si="365"/>
        <v>0</v>
      </c>
      <c r="BG448" s="4">
        <f t="shared" si="365"/>
        <v>0</v>
      </c>
      <c r="BH448" s="4">
        <f t="shared" si="366"/>
        <v>0</v>
      </c>
      <c r="BI448" s="4">
        <f t="shared" si="367"/>
        <v>0</v>
      </c>
      <c r="BJ448" s="4">
        <f t="shared" si="368"/>
        <v>0</v>
      </c>
      <c r="BK448" s="4">
        <f t="shared" si="369"/>
        <v>0</v>
      </c>
      <c r="BL448" s="4">
        <f t="shared" si="370"/>
        <v>0</v>
      </c>
      <c r="BM448" s="4">
        <f t="shared" si="371"/>
        <v>0</v>
      </c>
      <c r="BN448" s="4">
        <f t="shared" si="372"/>
        <v>0</v>
      </c>
      <c r="BO448" s="4">
        <f t="shared" si="373"/>
        <v>0</v>
      </c>
      <c r="BP448" s="4">
        <f t="shared" si="374"/>
        <v>0</v>
      </c>
      <c r="BQ448" s="4">
        <f t="shared" si="375"/>
        <v>0</v>
      </c>
      <c r="BR448" s="4">
        <f t="shared" si="376"/>
        <v>0</v>
      </c>
      <c r="BS448" s="4">
        <f t="shared" si="377"/>
        <v>0</v>
      </c>
      <c r="BT448" s="4">
        <f t="shared" si="378"/>
        <v>0</v>
      </c>
      <c r="BU448" s="4">
        <f t="shared" si="379"/>
        <v>0</v>
      </c>
      <c r="BV448" s="4">
        <f t="shared" si="380"/>
        <v>0</v>
      </c>
      <c r="BW448" s="4">
        <f t="shared" si="381"/>
        <v>0</v>
      </c>
      <c r="BX448" s="4">
        <f t="shared" si="382"/>
        <v>0</v>
      </c>
      <c r="BY448" s="4">
        <f t="shared" si="383"/>
        <v>0</v>
      </c>
      <c r="BZ448" s="4">
        <f t="shared" si="384"/>
        <v>0</v>
      </c>
      <c r="CA448" s="4">
        <f t="shared" si="385"/>
        <v>0</v>
      </c>
      <c r="CB448" s="4">
        <f t="shared" si="386"/>
        <v>0</v>
      </c>
      <c r="CC448" s="4">
        <f t="shared" si="387"/>
        <v>0</v>
      </c>
      <c r="CD448" s="4">
        <f t="shared" si="388"/>
        <v>0</v>
      </c>
      <c r="CE448" s="4">
        <f t="shared" si="389"/>
        <v>0</v>
      </c>
      <c r="CF448" s="4">
        <f t="shared" si="390"/>
        <v>0</v>
      </c>
      <c r="CG448" s="4">
        <f t="shared" si="391"/>
        <v>0</v>
      </c>
      <c r="CH448" s="4">
        <f t="shared" si="392"/>
        <v>0</v>
      </c>
      <c r="CI448" s="4">
        <f t="shared" si="393"/>
        <v>0</v>
      </c>
      <c r="CJ448" s="4">
        <f t="shared" si="394"/>
        <v>0</v>
      </c>
      <c r="CK448" s="4">
        <f t="shared" si="395"/>
        <v>0</v>
      </c>
      <c r="CL448" s="4">
        <f t="shared" si="396"/>
        <v>0</v>
      </c>
      <c r="CM448" s="4">
        <f t="shared" si="397"/>
        <v>0</v>
      </c>
      <c r="CN448" s="4">
        <f t="shared" si="398"/>
        <v>0</v>
      </c>
      <c r="CO448" s="4">
        <f t="shared" si="399"/>
        <v>0</v>
      </c>
      <c r="CP448" s="4">
        <f t="shared" si="400"/>
        <v>0</v>
      </c>
      <c r="CQ448" s="4">
        <f t="shared" si="401"/>
        <v>0</v>
      </c>
      <c r="CR448" s="4">
        <f t="shared" si="402"/>
        <v>0</v>
      </c>
      <c r="CS448" s="4">
        <f t="shared" si="403"/>
        <v>0</v>
      </c>
      <c r="CT448" s="4">
        <f t="shared" si="404"/>
        <v>0</v>
      </c>
      <c r="CU448" s="4">
        <f t="shared" si="405"/>
        <v>0</v>
      </c>
      <c r="CV448" s="4">
        <f t="shared" si="406"/>
        <v>0</v>
      </c>
      <c r="CW448" s="4">
        <f t="shared" si="407"/>
        <v>0</v>
      </c>
      <c r="CX448" s="4">
        <f t="shared" si="408"/>
        <v>0</v>
      </c>
      <c r="CY448" s="4">
        <f t="shared" si="409"/>
        <v>0</v>
      </c>
      <c r="CZ448" s="4">
        <f t="shared" si="410"/>
        <v>0</v>
      </c>
      <c r="DA448" s="4">
        <f t="shared" si="411"/>
        <v>0</v>
      </c>
      <c r="DB448" s="4">
        <f t="shared" si="412"/>
        <v>0</v>
      </c>
      <c r="DC448" s="4">
        <f t="shared" si="413"/>
        <v>0</v>
      </c>
      <c r="DD448" s="4">
        <f t="shared" si="414"/>
        <v>0</v>
      </c>
    </row>
    <row r="449" spans="1:108" x14ac:dyDescent="0.25">
      <c r="A449" s="41" t="str">
        <f ca="1">Skills!M431</f>
        <v>Spell Reins</v>
      </c>
      <c r="B449" s="57" t="str">
        <f ca="1">Skills!N431</f>
        <v>Spell Reins</v>
      </c>
      <c r="C449" s="24">
        <f t="shared" si="415"/>
        <v>0</v>
      </c>
      <c r="D449" s="110" t="e">
        <f ca="1">Skills!S431</f>
        <v>#N/A</v>
      </c>
      <c r="E449" s="111" t="e">
        <f>Profession!$B$189</f>
        <v>#REF!</v>
      </c>
      <c r="F449" s="18"/>
      <c r="G449" s="18"/>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49"/>
      <c r="BF449" s="4">
        <f t="shared" si="365"/>
        <v>0</v>
      </c>
      <c r="BG449" s="4">
        <f t="shared" si="365"/>
        <v>0</v>
      </c>
      <c r="BH449" s="4">
        <f t="shared" si="366"/>
        <v>0</v>
      </c>
      <c r="BI449" s="4">
        <f t="shared" si="367"/>
        <v>0</v>
      </c>
      <c r="BJ449" s="4">
        <f t="shared" si="368"/>
        <v>0</v>
      </c>
      <c r="BK449" s="4">
        <f t="shared" si="369"/>
        <v>0</v>
      </c>
      <c r="BL449" s="4">
        <f t="shared" si="370"/>
        <v>0</v>
      </c>
      <c r="BM449" s="4">
        <f t="shared" si="371"/>
        <v>0</v>
      </c>
      <c r="BN449" s="4">
        <f t="shared" si="372"/>
        <v>0</v>
      </c>
      <c r="BO449" s="4">
        <f t="shared" si="373"/>
        <v>0</v>
      </c>
      <c r="BP449" s="4">
        <f t="shared" si="374"/>
        <v>0</v>
      </c>
      <c r="BQ449" s="4">
        <f t="shared" si="375"/>
        <v>0</v>
      </c>
      <c r="BR449" s="4">
        <f t="shared" si="376"/>
        <v>0</v>
      </c>
      <c r="BS449" s="4">
        <f t="shared" si="377"/>
        <v>0</v>
      </c>
      <c r="BT449" s="4">
        <f t="shared" si="378"/>
        <v>0</v>
      </c>
      <c r="BU449" s="4">
        <f t="shared" si="379"/>
        <v>0</v>
      </c>
      <c r="BV449" s="4">
        <f t="shared" si="380"/>
        <v>0</v>
      </c>
      <c r="BW449" s="4">
        <f t="shared" si="381"/>
        <v>0</v>
      </c>
      <c r="BX449" s="4">
        <f t="shared" si="382"/>
        <v>0</v>
      </c>
      <c r="BY449" s="4">
        <f t="shared" si="383"/>
        <v>0</v>
      </c>
      <c r="BZ449" s="4">
        <f t="shared" si="384"/>
        <v>0</v>
      </c>
      <c r="CA449" s="4">
        <f t="shared" si="385"/>
        <v>0</v>
      </c>
      <c r="CB449" s="4">
        <f t="shared" si="386"/>
        <v>0</v>
      </c>
      <c r="CC449" s="4">
        <f t="shared" si="387"/>
        <v>0</v>
      </c>
      <c r="CD449" s="4">
        <f t="shared" si="388"/>
        <v>0</v>
      </c>
      <c r="CE449" s="4">
        <f t="shared" si="389"/>
        <v>0</v>
      </c>
      <c r="CF449" s="4">
        <f t="shared" si="390"/>
        <v>0</v>
      </c>
      <c r="CG449" s="4">
        <f t="shared" si="391"/>
        <v>0</v>
      </c>
      <c r="CH449" s="4">
        <f t="shared" si="392"/>
        <v>0</v>
      </c>
      <c r="CI449" s="4">
        <f t="shared" si="393"/>
        <v>0</v>
      </c>
      <c r="CJ449" s="4">
        <f t="shared" si="394"/>
        <v>0</v>
      </c>
      <c r="CK449" s="4">
        <f t="shared" si="395"/>
        <v>0</v>
      </c>
      <c r="CL449" s="4">
        <f t="shared" si="396"/>
        <v>0</v>
      </c>
      <c r="CM449" s="4">
        <f t="shared" si="397"/>
        <v>0</v>
      </c>
      <c r="CN449" s="4">
        <f t="shared" si="398"/>
        <v>0</v>
      </c>
      <c r="CO449" s="4">
        <f t="shared" si="399"/>
        <v>0</v>
      </c>
      <c r="CP449" s="4">
        <f t="shared" si="400"/>
        <v>0</v>
      </c>
      <c r="CQ449" s="4">
        <f t="shared" si="401"/>
        <v>0</v>
      </c>
      <c r="CR449" s="4">
        <f t="shared" si="402"/>
        <v>0</v>
      </c>
      <c r="CS449" s="4">
        <f t="shared" si="403"/>
        <v>0</v>
      </c>
      <c r="CT449" s="4">
        <f t="shared" si="404"/>
        <v>0</v>
      </c>
      <c r="CU449" s="4">
        <f t="shared" si="405"/>
        <v>0</v>
      </c>
      <c r="CV449" s="4">
        <f t="shared" si="406"/>
        <v>0</v>
      </c>
      <c r="CW449" s="4">
        <f t="shared" si="407"/>
        <v>0</v>
      </c>
      <c r="CX449" s="4">
        <f t="shared" si="408"/>
        <v>0</v>
      </c>
      <c r="CY449" s="4">
        <f t="shared" si="409"/>
        <v>0</v>
      </c>
      <c r="CZ449" s="4">
        <f t="shared" si="410"/>
        <v>0</v>
      </c>
      <c r="DA449" s="4">
        <f t="shared" si="411"/>
        <v>0</v>
      </c>
      <c r="DB449" s="4">
        <f t="shared" si="412"/>
        <v>0</v>
      </c>
      <c r="DC449" s="4">
        <f t="shared" si="413"/>
        <v>0</v>
      </c>
      <c r="DD449" s="4">
        <f t="shared" si="414"/>
        <v>0</v>
      </c>
    </row>
    <row r="450" spans="1:108" x14ac:dyDescent="0.25">
      <c r="A450" s="41" t="str">
        <f ca="1">Skills!M432</f>
        <v>Spirit Mastery</v>
      </c>
      <c r="B450" s="55" t="str">
        <f ca="1">Skills!N432</f>
        <v>Spirit Mastery</v>
      </c>
      <c r="C450" s="22">
        <f t="shared" si="415"/>
        <v>0</v>
      </c>
      <c r="D450" s="112" t="e">
        <f ca="1">Skills!S432</f>
        <v>#N/A</v>
      </c>
      <c r="E450" s="113" t="e">
        <f>Profession!$B$189</f>
        <v>#REF!</v>
      </c>
      <c r="F450" s="19"/>
      <c r="G450" s="19"/>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56"/>
      <c r="BF450" s="4">
        <f t="shared" si="365"/>
        <v>0</v>
      </c>
      <c r="BG450" s="4">
        <f t="shared" si="365"/>
        <v>0</v>
      </c>
      <c r="BH450" s="4">
        <f t="shared" si="366"/>
        <v>0</v>
      </c>
      <c r="BI450" s="4">
        <f t="shared" si="367"/>
        <v>0</v>
      </c>
      <c r="BJ450" s="4">
        <f t="shared" si="368"/>
        <v>0</v>
      </c>
      <c r="BK450" s="4">
        <f t="shared" si="369"/>
        <v>0</v>
      </c>
      <c r="BL450" s="4">
        <f t="shared" si="370"/>
        <v>0</v>
      </c>
      <c r="BM450" s="4">
        <f t="shared" si="371"/>
        <v>0</v>
      </c>
      <c r="BN450" s="4">
        <f t="shared" si="372"/>
        <v>0</v>
      </c>
      <c r="BO450" s="4">
        <f t="shared" si="373"/>
        <v>0</v>
      </c>
      <c r="BP450" s="4">
        <f t="shared" si="374"/>
        <v>0</v>
      </c>
      <c r="BQ450" s="4">
        <f t="shared" si="375"/>
        <v>0</v>
      </c>
      <c r="BR450" s="4">
        <f t="shared" si="376"/>
        <v>0</v>
      </c>
      <c r="BS450" s="4">
        <f t="shared" si="377"/>
        <v>0</v>
      </c>
      <c r="BT450" s="4">
        <f t="shared" si="378"/>
        <v>0</v>
      </c>
      <c r="BU450" s="4">
        <f t="shared" si="379"/>
        <v>0</v>
      </c>
      <c r="BV450" s="4">
        <f t="shared" si="380"/>
        <v>0</v>
      </c>
      <c r="BW450" s="4">
        <f t="shared" si="381"/>
        <v>0</v>
      </c>
      <c r="BX450" s="4">
        <f t="shared" si="382"/>
        <v>0</v>
      </c>
      <c r="BY450" s="4">
        <f t="shared" si="383"/>
        <v>0</v>
      </c>
      <c r="BZ450" s="4">
        <f t="shared" si="384"/>
        <v>0</v>
      </c>
      <c r="CA450" s="4">
        <f t="shared" si="385"/>
        <v>0</v>
      </c>
      <c r="CB450" s="4">
        <f t="shared" si="386"/>
        <v>0</v>
      </c>
      <c r="CC450" s="4">
        <f t="shared" si="387"/>
        <v>0</v>
      </c>
      <c r="CD450" s="4">
        <f t="shared" si="388"/>
        <v>0</v>
      </c>
      <c r="CE450" s="4">
        <f t="shared" si="389"/>
        <v>0</v>
      </c>
      <c r="CF450" s="4">
        <f t="shared" si="390"/>
        <v>0</v>
      </c>
      <c r="CG450" s="4">
        <f t="shared" si="391"/>
        <v>0</v>
      </c>
      <c r="CH450" s="4">
        <f t="shared" si="392"/>
        <v>0</v>
      </c>
      <c r="CI450" s="4">
        <f t="shared" si="393"/>
        <v>0</v>
      </c>
      <c r="CJ450" s="4">
        <f t="shared" si="394"/>
        <v>0</v>
      </c>
      <c r="CK450" s="4">
        <f t="shared" si="395"/>
        <v>0</v>
      </c>
      <c r="CL450" s="4">
        <f t="shared" si="396"/>
        <v>0</v>
      </c>
      <c r="CM450" s="4">
        <f t="shared" si="397"/>
        <v>0</v>
      </c>
      <c r="CN450" s="4">
        <f t="shared" si="398"/>
        <v>0</v>
      </c>
      <c r="CO450" s="4">
        <f t="shared" si="399"/>
        <v>0</v>
      </c>
      <c r="CP450" s="4">
        <f t="shared" si="400"/>
        <v>0</v>
      </c>
      <c r="CQ450" s="4">
        <f t="shared" si="401"/>
        <v>0</v>
      </c>
      <c r="CR450" s="4">
        <f t="shared" si="402"/>
        <v>0</v>
      </c>
      <c r="CS450" s="4">
        <f t="shared" si="403"/>
        <v>0</v>
      </c>
      <c r="CT450" s="4">
        <f t="shared" si="404"/>
        <v>0</v>
      </c>
      <c r="CU450" s="4">
        <f t="shared" si="405"/>
        <v>0</v>
      </c>
      <c r="CV450" s="4">
        <f t="shared" si="406"/>
        <v>0</v>
      </c>
      <c r="CW450" s="4">
        <f t="shared" si="407"/>
        <v>0</v>
      </c>
      <c r="CX450" s="4">
        <f t="shared" si="408"/>
        <v>0</v>
      </c>
      <c r="CY450" s="4">
        <f t="shared" si="409"/>
        <v>0</v>
      </c>
      <c r="CZ450" s="4">
        <f t="shared" si="410"/>
        <v>0</v>
      </c>
      <c r="DA450" s="4">
        <f t="shared" si="411"/>
        <v>0</v>
      </c>
      <c r="DB450" s="4">
        <f t="shared" si="412"/>
        <v>0</v>
      </c>
      <c r="DC450" s="4">
        <f t="shared" si="413"/>
        <v>0</v>
      </c>
      <c r="DD450" s="4">
        <f t="shared" si="414"/>
        <v>0</v>
      </c>
    </row>
    <row r="451" spans="1:108" x14ac:dyDescent="0.25">
      <c r="A451" s="41">
        <f>Skills!M433</f>
        <v>0</v>
      </c>
      <c r="B451" s="57" t="str">
        <f>Skills!N433</f>
        <v>Restricted Lists Sub-category</v>
      </c>
      <c r="C451" s="24">
        <f t="shared" si="415"/>
        <v>0</v>
      </c>
      <c r="D451" s="110" t="str">
        <f>Skills!S433</f>
        <v>- -</v>
      </c>
      <c r="E451" s="111" t="s">
        <v>782</v>
      </c>
      <c r="F451" s="18"/>
      <c r="G451" s="18"/>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49"/>
      <c r="BF451" s="4">
        <f t="shared" si="365"/>
        <v>0</v>
      </c>
      <c r="BG451" s="4">
        <f t="shared" si="365"/>
        <v>0</v>
      </c>
      <c r="BH451" s="4">
        <f t="shared" si="366"/>
        <v>0</v>
      </c>
      <c r="BI451" s="4">
        <f t="shared" si="367"/>
        <v>0</v>
      </c>
      <c r="BJ451" s="4">
        <f t="shared" si="368"/>
        <v>0</v>
      </c>
      <c r="BK451" s="4">
        <f t="shared" si="369"/>
        <v>0</v>
      </c>
      <c r="BL451" s="4">
        <f t="shared" si="370"/>
        <v>0</v>
      </c>
      <c r="BM451" s="4">
        <f t="shared" si="371"/>
        <v>0</v>
      </c>
      <c r="BN451" s="4">
        <f t="shared" si="372"/>
        <v>0</v>
      </c>
      <c r="BO451" s="4">
        <f t="shared" si="373"/>
        <v>0</v>
      </c>
      <c r="BP451" s="4">
        <f t="shared" si="374"/>
        <v>0</v>
      </c>
      <c r="BQ451" s="4">
        <f t="shared" si="375"/>
        <v>0</v>
      </c>
      <c r="BR451" s="4">
        <f t="shared" si="376"/>
        <v>0</v>
      </c>
      <c r="BS451" s="4">
        <f t="shared" si="377"/>
        <v>0</v>
      </c>
      <c r="BT451" s="4">
        <f t="shared" si="378"/>
        <v>0</v>
      </c>
      <c r="BU451" s="4">
        <f t="shared" si="379"/>
        <v>0</v>
      </c>
      <c r="BV451" s="4">
        <f t="shared" si="380"/>
        <v>0</v>
      </c>
      <c r="BW451" s="4">
        <f t="shared" si="381"/>
        <v>0</v>
      </c>
      <c r="BX451" s="4">
        <f t="shared" si="382"/>
        <v>0</v>
      </c>
      <c r="BY451" s="4">
        <f t="shared" si="383"/>
        <v>0</v>
      </c>
      <c r="BZ451" s="4">
        <f t="shared" si="384"/>
        <v>0</v>
      </c>
      <c r="CA451" s="4">
        <f t="shared" si="385"/>
        <v>0</v>
      </c>
      <c r="CB451" s="4">
        <f t="shared" si="386"/>
        <v>0</v>
      </c>
      <c r="CC451" s="4">
        <f t="shared" si="387"/>
        <v>0</v>
      </c>
      <c r="CD451" s="4">
        <f t="shared" si="388"/>
        <v>0</v>
      </c>
      <c r="CE451" s="4">
        <f t="shared" si="389"/>
        <v>0</v>
      </c>
      <c r="CF451" s="4">
        <f t="shared" si="390"/>
        <v>0</v>
      </c>
      <c r="CG451" s="4">
        <f t="shared" si="391"/>
        <v>0</v>
      </c>
      <c r="CH451" s="4">
        <f t="shared" si="392"/>
        <v>0</v>
      </c>
      <c r="CI451" s="4">
        <f t="shared" si="393"/>
        <v>0</v>
      </c>
      <c r="CJ451" s="4">
        <f t="shared" si="394"/>
        <v>0</v>
      </c>
      <c r="CK451" s="4">
        <f t="shared" si="395"/>
        <v>0</v>
      </c>
      <c r="CL451" s="4">
        <f t="shared" si="396"/>
        <v>0</v>
      </c>
      <c r="CM451" s="4">
        <f t="shared" si="397"/>
        <v>0</v>
      </c>
      <c r="CN451" s="4">
        <f t="shared" si="398"/>
        <v>0</v>
      </c>
      <c r="CO451" s="4">
        <f t="shared" si="399"/>
        <v>0</v>
      </c>
      <c r="CP451" s="4">
        <f t="shared" si="400"/>
        <v>0</v>
      </c>
      <c r="CQ451" s="4">
        <f t="shared" si="401"/>
        <v>0</v>
      </c>
      <c r="CR451" s="4">
        <f t="shared" si="402"/>
        <v>0</v>
      </c>
      <c r="CS451" s="4">
        <f t="shared" si="403"/>
        <v>0</v>
      </c>
      <c r="CT451" s="4">
        <f t="shared" si="404"/>
        <v>0</v>
      </c>
      <c r="CU451" s="4">
        <f t="shared" si="405"/>
        <v>0</v>
      </c>
      <c r="CV451" s="4">
        <f t="shared" si="406"/>
        <v>0</v>
      </c>
      <c r="CW451" s="4">
        <f t="shared" si="407"/>
        <v>0</v>
      </c>
      <c r="CX451" s="4">
        <f t="shared" si="408"/>
        <v>0</v>
      </c>
      <c r="CY451" s="4">
        <f t="shared" si="409"/>
        <v>0</v>
      </c>
      <c r="CZ451" s="4">
        <f t="shared" si="410"/>
        <v>0</v>
      </c>
      <c r="DA451" s="4">
        <f t="shared" si="411"/>
        <v>0</v>
      </c>
      <c r="DB451" s="4">
        <f t="shared" si="412"/>
        <v>0</v>
      </c>
      <c r="DC451" s="4">
        <f t="shared" si="413"/>
        <v>0</v>
      </c>
      <c r="DD451" s="4">
        <f t="shared" si="414"/>
        <v>0</v>
      </c>
    </row>
    <row r="452" spans="1:108" x14ac:dyDescent="0.25">
      <c r="A452" s="41">
        <f>Skills!M434</f>
        <v>0</v>
      </c>
      <c r="B452" s="55" t="str">
        <f>Skills!N434</f>
        <v>Restricted Lists Skills</v>
      </c>
      <c r="C452" s="22">
        <f t="shared" si="415"/>
        <v>0</v>
      </c>
      <c r="D452" s="112" t="str">
        <f>Skills!S434</f>
        <v>- -</v>
      </c>
      <c r="E452" s="113" t="s">
        <v>782</v>
      </c>
      <c r="F452" s="19"/>
      <c r="G452" s="19"/>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56"/>
      <c r="BF452" s="4">
        <f t="shared" ref="BF452:BG515" si="417">IF(F452=1,(LEFT($E452,2))*1,IF(F452=2,((LEFT($E452,2))+(MID($E452,FIND("/",$E452)+2,2))),IF(F452=3,((LEFT($E452,2))+(MID($E452,FIND("/",$E452)+2,2))+(RIGHT($E452,2))),0)))</f>
        <v>0</v>
      </c>
      <c r="BG452" s="4">
        <f t="shared" si="417"/>
        <v>0</v>
      </c>
      <c r="BH452" s="4">
        <f t="shared" ref="BH452:BH515" si="418">IF(H452=1,(LEFT($E452,2))*1,IF(H452=2,((LEFT($E452,2))+(MID($E452,FIND("/",$E452)+2,2))),IF(H452=3,((LEFT($E452,2))+(MID($E452,FIND("/",$E452)+2,2))+(RIGHT($E452,2))),0)))</f>
        <v>0</v>
      </c>
      <c r="BI452" s="4">
        <f t="shared" ref="BI452:BI515" si="419">IF(I452=1,(LEFT($E452,2))*1,IF(I452=2,((LEFT($E452,2))+(MID($E452,FIND("/",$E452)+2,2))),IF(I452=3,((LEFT($E452,2))+(MID($E452,FIND("/",$E452)+2,2))+(RIGHT($E452,2))),0)))</f>
        <v>0</v>
      </c>
      <c r="BJ452" s="4">
        <f t="shared" ref="BJ452:BJ515" si="420">IF(J452=1,(LEFT($E452,2))*1,IF(J452=2,((LEFT($E452,2))+(MID($E452,FIND("/",$E452)+2,2))),IF(J452=3,((LEFT($E452,2))+(MID($E452,FIND("/",$E452)+2,2))+(RIGHT($E452,2))),0)))</f>
        <v>0</v>
      </c>
      <c r="BK452" s="4">
        <f t="shared" ref="BK452:BK515" si="421">IF(K452=1,(LEFT($E452,2))*1,IF(K452=2,((LEFT($E452,2))+(MID($E452,FIND("/",$E452)+2,2))),IF(K452=3,((LEFT($E452,2))+(MID($E452,FIND("/",$E452)+2,2))+(RIGHT($E452,2))),0)))</f>
        <v>0</v>
      </c>
      <c r="BL452" s="4">
        <f t="shared" ref="BL452:BL515" si="422">IF(L452=1,(LEFT($E452,2))*1,IF(L452=2,((LEFT($E452,2))+(MID($E452,FIND("/",$E452)+2,2))),IF(L452=3,((LEFT($E452,2))+(MID($E452,FIND("/",$E452)+2,2))+(RIGHT($E452,2))),0)))</f>
        <v>0</v>
      </c>
      <c r="BM452" s="4">
        <f t="shared" ref="BM452:BM515" si="423">IF(M452=1,(LEFT($E452,2))*1,IF(M452=2,((LEFT($E452,2))+(MID($E452,FIND("/",$E452)+2,2))),IF(M452=3,((LEFT($E452,2))+(MID($E452,FIND("/",$E452)+2,2))+(RIGHT($E452,2))),0)))</f>
        <v>0</v>
      </c>
      <c r="BN452" s="4">
        <f t="shared" ref="BN452:BN515" si="424">IF(N452=1,(LEFT($E452,2))*1,IF(N452=2,((LEFT($E452,2))+(MID($E452,FIND("/",$E452)+2,2))),IF(N452=3,((LEFT($E452,2))+(MID($E452,FIND("/",$E452)+2,2))+(RIGHT($E452,2))),0)))</f>
        <v>0</v>
      </c>
      <c r="BO452" s="4">
        <f t="shared" ref="BO452:BO515" si="425">IF(O452=1,(LEFT($E452,2))*1,IF(O452=2,((LEFT($E452,2))+(MID($E452,FIND("/",$E452)+2,2))),IF(O452=3,((LEFT($E452,2))+(MID($E452,FIND("/",$E452)+2,2))+(RIGHT($E452,2))),0)))</f>
        <v>0</v>
      </c>
      <c r="BP452" s="4">
        <f t="shared" ref="BP452:BP515" si="426">IF(P452=1,(LEFT($E452,2))*1,IF(P452=2,((LEFT($E452,2))+(MID($E452,FIND("/",$E452)+2,2))),IF(P452=3,((LEFT($E452,2))+(MID($E452,FIND("/",$E452)+2,2))+(RIGHT($E452,2))),0)))</f>
        <v>0</v>
      </c>
      <c r="BQ452" s="4">
        <f t="shared" ref="BQ452:BQ515" si="427">IF(Q452=1,(LEFT($E452,2))*1,IF(Q452=2,((LEFT($E452,2))+(MID($E452,FIND("/",$E452)+2,2))),IF(Q452=3,((LEFT($E452,2))+(MID($E452,FIND("/",$E452)+2,2))+(RIGHT($E452,2))),0)))</f>
        <v>0</v>
      </c>
      <c r="BR452" s="4">
        <f t="shared" ref="BR452:BR515" si="428">IF(R452=1,(LEFT($E452,2))*1,IF(R452=2,((LEFT($E452,2))+(MID($E452,FIND("/",$E452)+2,2))),IF(R452=3,((LEFT($E452,2))+(MID($E452,FIND("/",$E452)+2,2))+(RIGHT($E452,2))),0)))</f>
        <v>0</v>
      </c>
      <c r="BS452" s="4">
        <f t="shared" ref="BS452:BS515" si="429">IF(S452=1,(LEFT($E452,2))*1,IF(S452=2,((LEFT($E452,2))+(MID($E452,FIND("/",$E452)+2,2))),IF(S452=3,((LEFT($E452,2))+(MID($E452,FIND("/",$E452)+2,2))+(RIGHT($E452,2))),0)))</f>
        <v>0</v>
      </c>
      <c r="BT452" s="4">
        <f t="shared" ref="BT452:BT515" si="430">IF(T452=1,(LEFT($E452,2))*1,IF(T452=2,((LEFT($E452,2))+(MID($E452,FIND("/",$E452)+2,2))),IF(T452=3,((LEFT($E452,2))+(MID($E452,FIND("/",$E452)+2,2))+(RIGHT($E452,2))),0)))</f>
        <v>0</v>
      </c>
      <c r="BU452" s="4">
        <f t="shared" ref="BU452:BU515" si="431">IF(U452=1,(LEFT($E452,2))*1,IF(U452=2,((LEFT($E452,2))+(MID($E452,FIND("/",$E452)+2,2))),IF(U452=3,((LEFT($E452,2))+(MID($E452,FIND("/",$E452)+2,2))+(RIGHT($E452,2))),0)))</f>
        <v>0</v>
      </c>
      <c r="BV452" s="4">
        <f t="shared" ref="BV452:BV515" si="432">IF(V452=1,(LEFT($E452,2))*1,IF(V452=2,((LEFT($E452,2))+(MID($E452,FIND("/",$E452)+2,2))),IF(V452=3,((LEFT($E452,2))+(MID($E452,FIND("/",$E452)+2,2))+(RIGHT($E452,2))),0)))</f>
        <v>0</v>
      </c>
      <c r="BW452" s="4">
        <f t="shared" ref="BW452:BW515" si="433">IF(W452=1,(LEFT($E452,2))*1,IF(W452=2,((LEFT($E452,2))+(MID($E452,FIND("/",$E452)+2,2))),IF(W452=3,((LEFT($E452,2))+(MID($E452,FIND("/",$E452)+2,2))+(RIGHT($E452,2))),0)))</f>
        <v>0</v>
      </c>
      <c r="BX452" s="4">
        <f t="shared" ref="BX452:BX515" si="434">IF(X452=1,(LEFT($E452,2))*1,IF(X452=2,((LEFT($E452,2))+(MID($E452,FIND("/",$E452)+2,2))),IF(X452=3,((LEFT($E452,2))+(MID($E452,FIND("/",$E452)+2,2))+(RIGHT($E452,2))),0)))</f>
        <v>0</v>
      </c>
      <c r="BY452" s="4">
        <f t="shared" ref="BY452:BY515" si="435">IF(Y452=1,(LEFT($E452,2))*1,IF(Y452=2,((LEFT($E452,2))+(MID($E452,FIND("/",$E452)+2,2))),IF(Y452=3,((LEFT($E452,2))+(MID($E452,FIND("/",$E452)+2,2))+(RIGHT($E452,2))),0)))</f>
        <v>0</v>
      </c>
      <c r="BZ452" s="4">
        <f t="shared" ref="BZ452:BZ515" si="436">IF(Z452=1,(LEFT($E452,2))*1,IF(Z452=2,((LEFT($E452,2))+(MID($E452,FIND("/",$E452)+2,2))),IF(Z452=3,((LEFT($E452,2))+(MID($E452,FIND("/",$E452)+2,2))+(RIGHT($E452,2))),0)))</f>
        <v>0</v>
      </c>
      <c r="CA452" s="4">
        <f t="shared" ref="CA452:CA515" si="437">IF(AA452=1,(LEFT($E452,2))*1,IF(AA452=2,((LEFT($E452,2))+(MID($E452,FIND("/",$E452)+2,2))),IF(AA452=3,((LEFT($E452,2))+(MID($E452,FIND("/",$E452)+2,2))+(RIGHT($E452,2))),0)))</f>
        <v>0</v>
      </c>
      <c r="CB452" s="4">
        <f t="shared" ref="CB452:CB515" si="438">IF(AB452=1,(LEFT($E452,2))*1,IF(AB452=2,((LEFT($E452,2))+(MID($E452,FIND("/",$E452)+2,2))),IF(AB452=3,((LEFT($E452,2))+(MID($E452,FIND("/",$E452)+2,2))+(RIGHT($E452,2))),0)))</f>
        <v>0</v>
      </c>
      <c r="CC452" s="4">
        <f t="shared" ref="CC452:CC515" si="439">IF(AC452=1,(LEFT($E452,2))*1,IF(AC452=2,((LEFT($E452,2))+(MID($E452,FIND("/",$E452)+2,2))),IF(AC452=3,((LEFT($E452,2))+(MID($E452,FIND("/",$E452)+2,2))+(RIGHT($E452,2))),0)))</f>
        <v>0</v>
      </c>
      <c r="CD452" s="4">
        <f t="shared" ref="CD452:CD515" si="440">IF(AD452=1,(LEFT($E452,2))*1,IF(AD452=2,((LEFT($E452,2))+(MID($E452,FIND("/",$E452)+2,2))),IF(AD452=3,((LEFT($E452,2))+(MID($E452,FIND("/",$E452)+2,2))+(RIGHT($E452,2))),0)))</f>
        <v>0</v>
      </c>
      <c r="CE452" s="4">
        <f t="shared" ref="CE452:CE515" si="441">IF(AE452=1,(LEFT($E452,2))*1,IF(AE452=2,((LEFT($E452,2))+(MID($E452,FIND("/",$E452)+2,2))),IF(AE452=3,((LEFT($E452,2))+(MID($E452,FIND("/",$E452)+2,2))+(RIGHT($E452,2))),0)))</f>
        <v>0</v>
      </c>
      <c r="CF452" s="4">
        <f t="shared" ref="CF452:CF515" si="442">IF(AF452=1,(LEFT($E452,2))*1,IF(AF452=2,((LEFT($E452,2))+(MID($E452,FIND("/",$E452)+2,2))),IF(AF452=3,((LEFT($E452,2))+(MID($E452,FIND("/",$E452)+2,2))+(RIGHT($E452,2))),0)))</f>
        <v>0</v>
      </c>
      <c r="CG452" s="4">
        <f t="shared" ref="CG452:CG515" si="443">IF(AG452=1,(LEFT($E452,2))*1,IF(AG452=2,((LEFT($E452,2))+(MID($E452,FIND("/",$E452)+2,2))),IF(AG452=3,((LEFT($E452,2))+(MID($E452,FIND("/",$E452)+2,2))+(RIGHT($E452,2))),0)))</f>
        <v>0</v>
      </c>
      <c r="CH452" s="4">
        <f t="shared" ref="CH452:CH515" si="444">IF(AH452=1,(LEFT($E452,2))*1,IF(AH452=2,((LEFT($E452,2))+(MID($E452,FIND("/",$E452)+2,2))),IF(AH452=3,((LEFT($E452,2))+(MID($E452,FIND("/",$E452)+2,2))+(RIGHT($E452,2))),0)))</f>
        <v>0</v>
      </c>
      <c r="CI452" s="4">
        <f t="shared" ref="CI452:CI515" si="445">IF(AI452=1,(LEFT($E452,2))*1,IF(AI452=2,((LEFT($E452,2))+(MID($E452,FIND("/",$E452)+2,2))),IF(AI452=3,((LEFT($E452,2))+(MID($E452,FIND("/",$E452)+2,2))+(RIGHT($E452,2))),0)))</f>
        <v>0</v>
      </c>
      <c r="CJ452" s="4">
        <f t="shared" ref="CJ452:CJ515" si="446">IF(AJ452=1,(LEFT($E452,2))*1,IF(AJ452=2,((LEFT($E452,2))+(MID($E452,FIND("/",$E452)+2,2))),IF(AJ452=3,((LEFT($E452,2))+(MID($E452,FIND("/",$E452)+2,2))+(RIGHT($E452,2))),0)))</f>
        <v>0</v>
      </c>
      <c r="CK452" s="4">
        <f t="shared" ref="CK452:CK515" si="447">IF(AK452=1,(LEFT($E452,2))*1,IF(AK452=2,((LEFT($E452,2))+(MID($E452,FIND("/",$E452)+2,2))),IF(AK452=3,((LEFT($E452,2))+(MID($E452,FIND("/",$E452)+2,2))+(RIGHT($E452,2))),0)))</f>
        <v>0</v>
      </c>
      <c r="CL452" s="4">
        <f t="shared" ref="CL452:CL515" si="448">IF(AL452=1,(LEFT($E452,2))*1,IF(AL452=2,((LEFT($E452,2))+(MID($E452,FIND("/",$E452)+2,2))),IF(AL452=3,((LEFT($E452,2))+(MID($E452,FIND("/",$E452)+2,2))+(RIGHT($E452,2))),0)))</f>
        <v>0</v>
      </c>
      <c r="CM452" s="4">
        <f t="shared" ref="CM452:CM515" si="449">IF(AM452=1,(LEFT($E452,2))*1,IF(AM452=2,((LEFT($E452,2))+(MID($E452,FIND("/",$E452)+2,2))),IF(AM452=3,((LEFT($E452,2))+(MID($E452,FIND("/",$E452)+2,2))+(RIGHT($E452,2))),0)))</f>
        <v>0</v>
      </c>
      <c r="CN452" s="4">
        <f t="shared" ref="CN452:CN515" si="450">IF(AN452=1,(LEFT($E452,2))*1,IF(AN452=2,((LEFT($E452,2))+(MID($E452,FIND("/",$E452)+2,2))),IF(AN452=3,((LEFT($E452,2))+(MID($E452,FIND("/",$E452)+2,2))+(RIGHT($E452,2))),0)))</f>
        <v>0</v>
      </c>
      <c r="CO452" s="4">
        <f t="shared" ref="CO452:CO515" si="451">IF(AO452=1,(LEFT($E452,2))*1,IF(AO452=2,((LEFT($E452,2))+(MID($E452,FIND("/",$E452)+2,2))),IF(AO452=3,((LEFT($E452,2))+(MID($E452,FIND("/",$E452)+2,2))+(RIGHT($E452,2))),0)))</f>
        <v>0</v>
      </c>
      <c r="CP452" s="4">
        <f t="shared" ref="CP452:CP515" si="452">IF(AP452=1,(LEFT($E452,2))*1,IF(AP452=2,((LEFT($E452,2))+(MID($E452,FIND("/",$E452)+2,2))),IF(AP452=3,((LEFT($E452,2))+(MID($E452,FIND("/",$E452)+2,2))+(RIGHT($E452,2))),0)))</f>
        <v>0</v>
      </c>
      <c r="CQ452" s="4">
        <f t="shared" ref="CQ452:CQ515" si="453">IF(AQ452=1,(LEFT($E452,2))*1,IF(AQ452=2,((LEFT($E452,2))+(MID($E452,FIND("/",$E452)+2,2))),IF(AQ452=3,((LEFT($E452,2))+(MID($E452,FIND("/",$E452)+2,2))+(RIGHT($E452,2))),0)))</f>
        <v>0</v>
      </c>
      <c r="CR452" s="4">
        <f t="shared" ref="CR452:CR515" si="454">IF(AR452=1,(LEFT($E452,2))*1,IF(AR452=2,((LEFT($E452,2))+(MID($E452,FIND("/",$E452)+2,2))),IF(AR452=3,((LEFT($E452,2))+(MID($E452,FIND("/",$E452)+2,2))+(RIGHT($E452,2))),0)))</f>
        <v>0</v>
      </c>
      <c r="CS452" s="4">
        <f t="shared" ref="CS452:CS515" si="455">IF(AS452=1,(LEFT($E452,2))*1,IF(AS452=2,((LEFT($E452,2))+(MID($E452,FIND("/",$E452)+2,2))),IF(AS452=3,((LEFT($E452,2))+(MID($E452,FIND("/",$E452)+2,2))+(RIGHT($E452,2))),0)))</f>
        <v>0</v>
      </c>
      <c r="CT452" s="4">
        <f t="shared" ref="CT452:CT515" si="456">IF(AT452=1,(LEFT($E452,2))*1,IF(AT452=2,((LEFT($E452,2))+(MID($E452,FIND("/",$E452)+2,2))),IF(AT452=3,((LEFT($E452,2))+(MID($E452,FIND("/",$E452)+2,2))+(RIGHT($E452,2))),0)))</f>
        <v>0</v>
      </c>
      <c r="CU452" s="4">
        <f t="shared" ref="CU452:CU515" si="457">IF(AU452=1,(LEFT($E452,2))*1,IF(AU452=2,((LEFT($E452,2))+(MID($E452,FIND("/",$E452)+2,2))),IF(AU452=3,((LEFT($E452,2))+(MID($E452,FIND("/",$E452)+2,2))+(RIGHT($E452,2))),0)))</f>
        <v>0</v>
      </c>
      <c r="CV452" s="4">
        <f t="shared" ref="CV452:CV515" si="458">IF(AV452=1,(LEFT($E452,2))*1,IF(AV452=2,((LEFT($E452,2))+(MID($E452,FIND("/",$E452)+2,2))),IF(AV452=3,((LEFT($E452,2))+(MID($E452,FIND("/",$E452)+2,2))+(RIGHT($E452,2))),0)))</f>
        <v>0</v>
      </c>
      <c r="CW452" s="4">
        <f t="shared" ref="CW452:CW515" si="459">IF(AW452=1,(LEFT($E452,2))*1,IF(AW452=2,((LEFT($E452,2))+(MID($E452,FIND("/",$E452)+2,2))),IF(AW452=3,((LEFT($E452,2))+(MID($E452,FIND("/",$E452)+2,2))+(RIGHT($E452,2))),0)))</f>
        <v>0</v>
      </c>
      <c r="CX452" s="4">
        <f t="shared" ref="CX452:CX515" si="460">IF(AX452=1,(LEFT($E452,2))*1,IF(AX452=2,((LEFT($E452,2))+(MID($E452,FIND("/",$E452)+2,2))),IF(AX452=3,((LEFT($E452,2))+(MID($E452,FIND("/",$E452)+2,2))+(RIGHT($E452,2))),0)))</f>
        <v>0</v>
      </c>
      <c r="CY452" s="4">
        <f t="shared" ref="CY452:CY515" si="461">IF(AY452=1,(LEFT($E452,2))*1,IF(AY452=2,((LEFT($E452,2))+(MID($E452,FIND("/",$E452)+2,2))),IF(AY452=3,((LEFT($E452,2))+(MID($E452,FIND("/",$E452)+2,2))+(RIGHT($E452,2))),0)))</f>
        <v>0</v>
      </c>
      <c r="CZ452" s="4">
        <f t="shared" ref="CZ452:CZ515" si="462">IF(AZ452=1,(LEFT($E452,2))*1,IF(AZ452=2,((LEFT($E452,2))+(MID($E452,FIND("/",$E452)+2,2))),IF(AZ452=3,((LEFT($E452,2))+(MID($E452,FIND("/",$E452)+2,2))+(RIGHT($E452,2))),0)))</f>
        <v>0</v>
      </c>
      <c r="DA452" s="4">
        <f t="shared" ref="DA452:DA515" si="463">IF(BA452=1,(LEFT($E452,2))*1,IF(BA452=2,((LEFT($E452,2))+(MID($E452,FIND("/",$E452)+2,2))),IF(BA452=3,((LEFT($E452,2))+(MID($E452,FIND("/",$E452)+2,2))+(RIGHT($E452,2))),0)))</f>
        <v>0</v>
      </c>
      <c r="DB452" s="4">
        <f t="shared" ref="DB452:DB515" si="464">IF(BB452=1,(LEFT($E452,2))*1,IF(BB452=2,((LEFT($E452,2))+(MID($E452,FIND("/",$E452)+2,2))),IF(BB452=3,((LEFT($E452,2))+(MID($E452,FIND("/",$E452)+2,2))+(RIGHT($E452,2))),0)))</f>
        <v>0</v>
      </c>
      <c r="DC452" s="4">
        <f t="shared" ref="DC452:DC515" si="465">IF(BC452=1,(LEFT($E452,2))*1,IF(BC452=2,((LEFT($E452,2))+(MID($E452,FIND("/",$E452)+2,2))),IF(BC452=3,((LEFT($E452,2))+(MID($E452,FIND("/",$E452)+2,2))+(RIGHT($E452,2))),0)))</f>
        <v>0</v>
      </c>
      <c r="DD452" s="4">
        <f t="shared" ref="DD452:DD515" si="466">IF(BD452=1,(LEFT($E452,2))*1,IF(BD452=2,((LEFT($E452,2))+(MID($E452,FIND("/",$E452)+2,2))),IF(BD452=3,((LEFT($E452,2))+(MID($E452,FIND("/",$E452)+2,2))+(RIGHT($E452,2))),0)))</f>
        <v>0</v>
      </c>
    </row>
    <row r="453" spans="1:108" x14ac:dyDescent="0.25">
      <c r="A453" s="41" t="str">
        <f ca="1">Skills!M435</f>
        <v>Darkness</v>
      </c>
      <c r="B453" s="57" t="str">
        <f ca="1">Skills!N435</f>
        <v>Darkness</v>
      </c>
      <c r="C453" s="24">
        <f t="shared" si="415"/>
        <v>0</v>
      </c>
      <c r="D453" s="110" t="e">
        <f ca="1">Skills!S435</f>
        <v>#N/A</v>
      </c>
      <c r="E453" s="111" t="e">
        <f>Profession!$B$190</f>
        <v>#REF!</v>
      </c>
      <c r="F453" s="18"/>
      <c r="G453" s="18"/>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49"/>
      <c r="BF453" s="4">
        <f t="shared" si="417"/>
        <v>0</v>
      </c>
      <c r="BG453" s="4">
        <f t="shared" si="417"/>
        <v>0</v>
      </c>
      <c r="BH453" s="4">
        <f t="shared" si="418"/>
        <v>0</v>
      </c>
      <c r="BI453" s="4">
        <f t="shared" si="419"/>
        <v>0</v>
      </c>
      <c r="BJ453" s="4">
        <f t="shared" si="420"/>
        <v>0</v>
      </c>
      <c r="BK453" s="4">
        <f t="shared" si="421"/>
        <v>0</v>
      </c>
      <c r="BL453" s="4">
        <f t="shared" si="422"/>
        <v>0</v>
      </c>
      <c r="BM453" s="4">
        <f t="shared" si="423"/>
        <v>0</v>
      </c>
      <c r="BN453" s="4">
        <f t="shared" si="424"/>
        <v>0</v>
      </c>
      <c r="BO453" s="4">
        <f t="shared" si="425"/>
        <v>0</v>
      </c>
      <c r="BP453" s="4">
        <f t="shared" si="426"/>
        <v>0</v>
      </c>
      <c r="BQ453" s="4">
        <f t="shared" si="427"/>
        <v>0</v>
      </c>
      <c r="BR453" s="4">
        <f t="shared" si="428"/>
        <v>0</v>
      </c>
      <c r="BS453" s="4">
        <f t="shared" si="429"/>
        <v>0</v>
      </c>
      <c r="BT453" s="4">
        <f t="shared" si="430"/>
        <v>0</v>
      </c>
      <c r="BU453" s="4">
        <f t="shared" si="431"/>
        <v>0</v>
      </c>
      <c r="BV453" s="4">
        <f t="shared" si="432"/>
        <v>0</v>
      </c>
      <c r="BW453" s="4">
        <f t="shared" si="433"/>
        <v>0</v>
      </c>
      <c r="BX453" s="4">
        <f t="shared" si="434"/>
        <v>0</v>
      </c>
      <c r="BY453" s="4">
        <f t="shared" si="435"/>
        <v>0</v>
      </c>
      <c r="BZ453" s="4">
        <f t="shared" si="436"/>
        <v>0</v>
      </c>
      <c r="CA453" s="4">
        <f t="shared" si="437"/>
        <v>0</v>
      </c>
      <c r="CB453" s="4">
        <f t="shared" si="438"/>
        <v>0</v>
      </c>
      <c r="CC453" s="4">
        <f t="shared" si="439"/>
        <v>0</v>
      </c>
      <c r="CD453" s="4">
        <f t="shared" si="440"/>
        <v>0</v>
      </c>
      <c r="CE453" s="4">
        <f t="shared" si="441"/>
        <v>0</v>
      </c>
      <c r="CF453" s="4">
        <f t="shared" si="442"/>
        <v>0</v>
      </c>
      <c r="CG453" s="4">
        <f t="shared" si="443"/>
        <v>0</v>
      </c>
      <c r="CH453" s="4">
        <f t="shared" si="444"/>
        <v>0</v>
      </c>
      <c r="CI453" s="4">
        <f t="shared" si="445"/>
        <v>0</v>
      </c>
      <c r="CJ453" s="4">
        <f t="shared" si="446"/>
        <v>0</v>
      </c>
      <c r="CK453" s="4">
        <f t="shared" si="447"/>
        <v>0</v>
      </c>
      <c r="CL453" s="4">
        <f t="shared" si="448"/>
        <v>0</v>
      </c>
      <c r="CM453" s="4">
        <f t="shared" si="449"/>
        <v>0</v>
      </c>
      <c r="CN453" s="4">
        <f t="shared" si="450"/>
        <v>0</v>
      </c>
      <c r="CO453" s="4">
        <f t="shared" si="451"/>
        <v>0</v>
      </c>
      <c r="CP453" s="4">
        <f t="shared" si="452"/>
        <v>0</v>
      </c>
      <c r="CQ453" s="4">
        <f t="shared" si="453"/>
        <v>0</v>
      </c>
      <c r="CR453" s="4">
        <f t="shared" si="454"/>
        <v>0</v>
      </c>
      <c r="CS453" s="4">
        <f t="shared" si="455"/>
        <v>0</v>
      </c>
      <c r="CT453" s="4">
        <f t="shared" si="456"/>
        <v>0</v>
      </c>
      <c r="CU453" s="4">
        <f t="shared" si="457"/>
        <v>0</v>
      </c>
      <c r="CV453" s="4">
        <f t="shared" si="458"/>
        <v>0</v>
      </c>
      <c r="CW453" s="4">
        <f t="shared" si="459"/>
        <v>0</v>
      </c>
      <c r="CX453" s="4">
        <f t="shared" si="460"/>
        <v>0</v>
      </c>
      <c r="CY453" s="4">
        <f t="shared" si="461"/>
        <v>0</v>
      </c>
      <c r="CZ453" s="4">
        <f t="shared" si="462"/>
        <v>0</v>
      </c>
      <c r="DA453" s="4">
        <f t="shared" si="463"/>
        <v>0</v>
      </c>
      <c r="DB453" s="4">
        <f t="shared" si="464"/>
        <v>0</v>
      </c>
      <c r="DC453" s="4">
        <f t="shared" si="465"/>
        <v>0</v>
      </c>
      <c r="DD453" s="4">
        <f t="shared" si="466"/>
        <v>0</v>
      </c>
    </row>
    <row r="454" spans="1:108" x14ac:dyDescent="0.25">
      <c r="A454" s="41" t="str">
        <f ca="1">Skills!M436</f>
        <v>Dark Summons</v>
      </c>
      <c r="B454" s="55" t="str">
        <f ca="1">Skills!N436</f>
        <v>Dark Summons</v>
      </c>
      <c r="C454" s="22">
        <f t="shared" si="415"/>
        <v>0</v>
      </c>
      <c r="D454" s="112" t="e">
        <f ca="1">Skills!S436</f>
        <v>#N/A</v>
      </c>
      <c r="E454" s="113" t="e">
        <f>Profession!$B$190</f>
        <v>#REF!</v>
      </c>
      <c r="F454" s="19"/>
      <c r="G454" s="19"/>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56"/>
      <c r="BF454" s="4">
        <f t="shared" si="417"/>
        <v>0</v>
      </c>
      <c r="BG454" s="4">
        <f t="shared" si="417"/>
        <v>0</v>
      </c>
      <c r="BH454" s="4">
        <f t="shared" si="418"/>
        <v>0</v>
      </c>
      <c r="BI454" s="4">
        <f t="shared" si="419"/>
        <v>0</v>
      </c>
      <c r="BJ454" s="4">
        <f t="shared" si="420"/>
        <v>0</v>
      </c>
      <c r="BK454" s="4">
        <f t="shared" si="421"/>
        <v>0</v>
      </c>
      <c r="BL454" s="4">
        <f t="shared" si="422"/>
        <v>0</v>
      </c>
      <c r="BM454" s="4">
        <f t="shared" si="423"/>
        <v>0</v>
      </c>
      <c r="BN454" s="4">
        <f t="shared" si="424"/>
        <v>0</v>
      </c>
      <c r="BO454" s="4">
        <f t="shared" si="425"/>
        <v>0</v>
      </c>
      <c r="BP454" s="4">
        <f t="shared" si="426"/>
        <v>0</v>
      </c>
      <c r="BQ454" s="4">
        <f t="shared" si="427"/>
        <v>0</v>
      </c>
      <c r="BR454" s="4">
        <f t="shared" si="428"/>
        <v>0</v>
      </c>
      <c r="BS454" s="4">
        <f t="shared" si="429"/>
        <v>0</v>
      </c>
      <c r="BT454" s="4">
        <f t="shared" si="430"/>
        <v>0</v>
      </c>
      <c r="BU454" s="4">
        <f t="shared" si="431"/>
        <v>0</v>
      </c>
      <c r="BV454" s="4">
        <f t="shared" si="432"/>
        <v>0</v>
      </c>
      <c r="BW454" s="4">
        <f t="shared" si="433"/>
        <v>0</v>
      </c>
      <c r="BX454" s="4">
        <f t="shared" si="434"/>
        <v>0</v>
      </c>
      <c r="BY454" s="4">
        <f t="shared" si="435"/>
        <v>0</v>
      </c>
      <c r="BZ454" s="4">
        <f t="shared" si="436"/>
        <v>0</v>
      </c>
      <c r="CA454" s="4">
        <f t="shared" si="437"/>
        <v>0</v>
      </c>
      <c r="CB454" s="4">
        <f t="shared" si="438"/>
        <v>0</v>
      </c>
      <c r="CC454" s="4">
        <f t="shared" si="439"/>
        <v>0</v>
      </c>
      <c r="CD454" s="4">
        <f t="shared" si="440"/>
        <v>0</v>
      </c>
      <c r="CE454" s="4">
        <f t="shared" si="441"/>
        <v>0</v>
      </c>
      <c r="CF454" s="4">
        <f t="shared" si="442"/>
        <v>0</v>
      </c>
      <c r="CG454" s="4">
        <f t="shared" si="443"/>
        <v>0</v>
      </c>
      <c r="CH454" s="4">
        <f t="shared" si="444"/>
        <v>0</v>
      </c>
      <c r="CI454" s="4">
        <f t="shared" si="445"/>
        <v>0</v>
      </c>
      <c r="CJ454" s="4">
        <f t="shared" si="446"/>
        <v>0</v>
      </c>
      <c r="CK454" s="4">
        <f t="shared" si="447"/>
        <v>0</v>
      </c>
      <c r="CL454" s="4">
        <f t="shared" si="448"/>
        <v>0</v>
      </c>
      <c r="CM454" s="4">
        <f t="shared" si="449"/>
        <v>0</v>
      </c>
      <c r="CN454" s="4">
        <f t="shared" si="450"/>
        <v>0</v>
      </c>
      <c r="CO454" s="4">
        <f t="shared" si="451"/>
        <v>0</v>
      </c>
      <c r="CP454" s="4">
        <f t="shared" si="452"/>
        <v>0</v>
      </c>
      <c r="CQ454" s="4">
        <f t="shared" si="453"/>
        <v>0</v>
      </c>
      <c r="CR454" s="4">
        <f t="shared" si="454"/>
        <v>0</v>
      </c>
      <c r="CS454" s="4">
        <f t="shared" si="455"/>
        <v>0</v>
      </c>
      <c r="CT454" s="4">
        <f t="shared" si="456"/>
        <v>0</v>
      </c>
      <c r="CU454" s="4">
        <f t="shared" si="457"/>
        <v>0</v>
      </c>
      <c r="CV454" s="4">
        <f t="shared" si="458"/>
        <v>0</v>
      </c>
      <c r="CW454" s="4">
        <f t="shared" si="459"/>
        <v>0</v>
      </c>
      <c r="CX454" s="4">
        <f t="shared" si="460"/>
        <v>0</v>
      </c>
      <c r="CY454" s="4">
        <f t="shared" si="461"/>
        <v>0</v>
      </c>
      <c r="CZ454" s="4">
        <f t="shared" si="462"/>
        <v>0</v>
      </c>
      <c r="DA454" s="4">
        <f t="shared" si="463"/>
        <v>0</v>
      </c>
      <c r="DB454" s="4">
        <f t="shared" si="464"/>
        <v>0</v>
      </c>
      <c r="DC454" s="4">
        <f t="shared" si="465"/>
        <v>0</v>
      </c>
      <c r="DD454" s="4">
        <f t="shared" si="466"/>
        <v>0</v>
      </c>
    </row>
    <row r="455" spans="1:108" x14ac:dyDescent="0.25">
      <c r="A455" s="41" t="str">
        <f ca="1">Skills!M437</f>
        <v>Essence Twisting</v>
      </c>
      <c r="B455" s="57" t="str">
        <f ca="1">Skills!N437</f>
        <v>Essence Twisting</v>
      </c>
      <c r="C455" s="24">
        <f t="shared" ref="C455:C518" si="467">SUM(F455:BD455)</f>
        <v>0</v>
      </c>
      <c r="D455" s="110" t="e">
        <f ca="1">Skills!S437</f>
        <v>#N/A</v>
      </c>
      <c r="E455" s="111" t="e">
        <f>Profession!$B$190</f>
        <v>#REF!</v>
      </c>
      <c r="F455" s="18"/>
      <c r="G455" s="18"/>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49"/>
      <c r="BF455" s="4">
        <f t="shared" si="417"/>
        <v>0</v>
      </c>
      <c r="BG455" s="4">
        <f t="shared" si="417"/>
        <v>0</v>
      </c>
      <c r="BH455" s="4">
        <f t="shared" si="418"/>
        <v>0</v>
      </c>
      <c r="BI455" s="4">
        <f t="shared" si="419"/>
        <v>0</v>
      </c>
      <c r="BJ455" s="4">
        <f t="shared" si="420"/>
        <v>0</v>
      </c>
      <c r="BK455" s="4">
        <f t="shared" si="421"/>
        <v>0</v>
      </c>
      <c r="BL455" s="4">
        <f t="shared" si="422"/>
        <v>0</v>
      </c>
      <c r="BM455" s="4">
        <f t="shared" si="423"/>
        <v>0</v>
      </c>
      <c r="BN455" s="4">
        <f t="shared" si="424"/>
        <v>0</v>
      </c>
      <c r="BO455" s="4">
        <f t="shared" si="425"/>
        <v>0</v>
      </c>
      <c r="BP455" s="4">
        <f t="shared" si="426"/>
        <v>0</v>
      </c>
      <c r="BQ455" s="4">
        <f t="shared" si="427"/>
        <v>0</v>
      </c>
      <c r="BR455" s="4">
        <f t="shared" si="428"/>
        <v>0</v>
      </c>
      <c r="BS455" s="4">
        <f t="shared" si="429"/>
        <v>0</v>
      </c>
      <c r="BT455" s="4">
        <f t="shared" si="430"/>
        <v>0</v>
      </c>
      <c r="BU455" s="4">
        <f t="shared" si="431"/>
        <v>0</v>
      </c>
      <c r="BV455" s="4">
        <f t="shared" si="432"/>
        <v>0</v>
      </c>
      <c r="BW455" s="4">
        <f t="shared" si="433"/>
        <v>0</v>
      </c>
      <c r="BX455" s="4">
        <f t="shared" si="434"/>
        <v>0</v>
      </c>
      <c r="BY455" s="4">
        <f t="shared" si="435"/>
        <v>0</v>
      </c>
      <c r="BZ455" s="4">
        <f t="shared" si="436"/>
        <v>0</v>
      </c>
      <c r="CA455" s="4">
        <f t="shared" si="437"/>
        <v>0</v>
      </c>
      <c r="CB455" s="4">
        <f t="shared" si="438"/>
        <v>0</v>
      </c>
      <c r="CC455" s="4">
        <f t="shared" si="439"/>
        <v>0</v>
      </c>
      <c r="CD455" s="4">
        <f t="shared" si="440"/>
        <v>0</v>
      </c>
      <c r="CE455" s="4">
        <f t="shared" si="441"/>
        <v>0</v>
      </c>
      <c r="CF455" s="4">
        <f t="shared" si="442"/>
        <v>0</v>
      </c>
      <c r="CG455" s="4">
        <f t="shared" si="443"/>
        <v>0</v>
      </c>
      <c r="CH455" s="4">
        <f t="shared" si="444"/>
        <v>0</v>
      </c>
      <c r="CI455" s="4">
        <f t="shared" si="445"/>
        <v>0</v>
      </c>
      <c r="CJ455" s="4">
        <f t="shared" si="446"/>
        <v>0</v>
      </c>
      <c r="CK455" s="4">
        <f t="shared" si="447"/>
        <v>0</v>
      </c>
      <c r="CL455" s="4">
        <f t="shared" si="448"/>
        <v>0</v>
      </c>
      <c r="CM455" s="4">
        <f t="shared" si="449"/>
        <v>0</v>
      </c>
      <c r="CN455" s="4">
        <f t="shared" si="450"/>
        <v>0</v>
      </c>
      <c r="CO455" s="4">
        <f t="shared" si="451"/>
        <v>0</v>
      </c>
      <c r="CP455" s="4">
        <f t="shared" si="452"/>
        <v>0</v>
      </c>
      <c r="CQ455" s="4">
        <f t="shared" si="453"/>
        <v>0</v>
      </c>
      <c r="CR455" s="4">
        <f t="shared" si="454"/>
        <v>0</v>
      </c>
      <c r="CS455" s="4">
        <f t="shared" si="455"/>
        <v>0</v>
      </c>
      <c r="CT455" s="4">
        <f t="shared" si="456"/>
        <v>0</v>
      </c>
      <c r="CU455" s="4">
        <f t="shared" si="457"/>
        <v>0</v>
      </c>
      <c r="CV455" s="4">
        <f t="shared" si="458"/>
        <v>0</v>
      </c>
      <c r="CW455" s="4">
        <f t="shared" si="459"/>
        <v>0</v>
      </c>
      <c r="CX455" s="4">
        <f t="shared" si="460"/>
        <v>0</v>
      </c>
      <c r="CY455" s="4">
        <f t="shared" si="461"/>
        <v>0</v>
      </c>
      <c r="CZ455" s="4">
        <f t="shared" si="462"/>
        <v>0</v>
      </c>
      <c r="DA455" s="4">
        <f t="shared" si="463"/>
        <v>0</v>
      </c>
      <c r="DB455" s="4">
        <f t="shared" si="464"/>
        <v>0</v>
      </c>
      <c r="DC455" s="4">
        <f t="shared" si="465"/>
        <v>0</v>
      </c>
      <c r="DD455" s="4">
        <f t="shared" si="466"/>
        <v>0</v>
      </c>
    </row>
    <row r="456" spans="1:108" x14ac:dyDescent="0.25">
      <c r="A456" s="41" t="str">
        <f ca="1">Skills!M438</f>
        <v>Foul Transformations</v>
      </c>
      <c r="B456" s="55" t="str">
        <f ca="1">Skills!N438</f>
        <v>Foul Transformations</v>
      </c>
      <c r="C456" s="22">
        <f t="shared" si="467"/>
        <v>0</v>
      </c>
      <c r="D456" s="112" t="e">
        <f ca="1">Skills!S438</f>
        <v>#N/A</v>
      </c>
      <c r="E456" s="113" t="e">
        <f>Profession!$B$190</f>
        <v>#REF!</v>
      </c>
      <c r="F456" s="19"/>
      <c r="G456" s="19"/>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56"/>
      <c r="BF456" s="4">
        <f t="shared" si="417"/>
        <v>0</v>
      </c>
      <c r="BG456" s="4">
        <f t="shared" si="417"/>
        <v>0</v>
      </c>
      <c r="BH456" s="4">
        <f t="shared" si="418"/>
        <v>0</v>
      </c>
      <c r="BI456" s="4">
        <f t="shared" si="419"/>
        <v>0</v>
      </c>
      <c r="BJ456" s="4">
        <f t="shared" si="420"/>
        <v>0</v>
      </c>
      <c r="BK456" s="4">
        <f t="shared" si="421"/>
        <v>0</v>
      </c>
      <c r="BL456" s="4">
        <f t="shared" si="422"/>
        <v>0</v>
      </c>
      <c r="BM456" s="4">
        <f t="shared" si="423"/>
        <v>0</v>
      </c>
      <c r="BN456" s="4">
        <f t="shared" si="424"/>
        <v>0</v>
      </c>
      <c r="BO456" s="4">
        <f t="shared" si="425"/>
        <v>0</v>
      </c>
      <c r="BP456" s="4">
        <f t="shared" si="426"/>
        <v>0</v>
      </c>
      <c r="BQ456" s="4">
        <f t="shared" si="427"/>
        <v>0</v>
      </c>
      <c r="BR456" s="4">
        <f t="shared" si="428"/>
        <v>0</v>
      </c>
      <c r="BS456" s="4">
        <f t="shared" si="429"/>
        <v>0</v>
      </c>
      <c r="BT456" s="4">
        <f t="shared" si="430"/>
        <v>0</v>
      </c>
      <c r="BU456" s="4">
        <f t="shared" si="431"/>
        <v>0</v>
      </c>
      <c r="BV456" s="4">
        <f t="shared" si="432"/>
        <v>0</v>
      </c>
      <c r="BW456" s="4">
        <f t="shared" si="433"/>
        <v>0</v>
      </c>
      <c r="BX456" s="4">
        <f t="shared" si="434"/>
        <v>0</v>
      </c>
      <c r="BY456" s="4">
        <f t="shared" si="435"/>
        <v>0</v>
      </c>
      <c r="BZ456" s="4">
        <f t="shared" si="436"/>
        <v>0</v>
      </c>
      <c r="CA456" s="4">
        <f t="shared" si="437"/>
        <v>0</v>
      </c>
      <c r="CB456" s="4">
        <f t="shared" si="438"/>
        <v>0</v>
      </c>
      <c r="CC456" s="4">
        <f t="shared" si="439"/>
        <v>0</v>
      </c>
      <c r="CD456" s="4">
        <f t="shared" si="440"/>
        <v>0</v>
      </c>
      <c r="CE456" s="4">
        <f t="shared" si="441"/>
        <v>0</v>
      </c>
      <c r="CF456" s="4">
        <f t="shared" si="442"/>
        <v>0</v>
      </c>
      <c r="CG456" s="4">
        <f t="shared" si="443"/>
        <v>0</v>
      </c>
      <c r="CH456" s="4">
        <f t="shared" si="444"/>
        <v>0</v>
      </c>
      <c r="CI456" s="4">
        <f t="shared" si="445"/>
        <v>0</v>
      </c>
      <c r="CJ456" s="4">
        <f t="shared" si="446"/>
        <v>0</v>
      </c>
      <c r="CK456" s="4">
        <f t="shared" si="447"/>
        <v>0</v>
      </c>
      <c r="CL456" s="4">
        <f t="shared" si="448"/>
        <v>0</v>
      </c>
      <c r="CM456" s="4">
        <f t="shared" si="449"/>
        <v>0</v>
      </c>
      <c r="CN456" s="4">
        <f t="shared" si="450"/>
        <v>0</v>
      </c>
      <c r="CO456" s="4">
        <f t="shared" si="451"/>
        <v>0</v>
      </c>
      <c r="CP456" s="4">
        <f t="shared" si="452"/>
        <v>0</v>
      </c>
      <c r="CQ456" s="4">
        <f t="shared" si="453"/>
        <v>0</v>
      </c>
      <c r="CR456" s="4">
        <f t="shared" si="454"/>
        <v>0</v>
      </c>
      <c r="CS456" s="4">
        <f t="shared" si="455"/>
        <v>0</v>
      </c>
      <c r="CT456" s="4">
        <f t="shared" si="456"/>
        <v>0</v>
      </c>
      <c r="CU456" s="4">
        <f t="shared" si="457"/>
        <v>0</v>
      </c>
      <c r="CV456" s="4">
        <f t="shared" si="458"/>
        <v>0</v>
      </c>
      <c r="CW456" s="4">
        <f t="shared" si="459"/>
        <v>0</v>
      </c>
      <c r="CX456" s="4">
        <f t="shared" si="460"/>
        <v>0</v>
      </c>
      <c r="CY456" s="4">
        <f t="shared" si="461"/>
        <v>0</v>
      </c>
      <c r="CZ456" s="4">
        <f t="shared" si="462"/>
        <v>0</v>
      </c>
      <c r="DA456" s="4">
        <f t="shared" si="463"/>
        <v>0</v>
      </c>
      <c r="DB456" s="4">
        <f t="shared" si="464"/>
        <v>0</v>
      </c>
      <c r="DC456" s="4">
        <f t="shared" si="465"/>
        <v>0</v>
      </c>
      <c r="DD456" s="4">
        <f t="shared" si="466"/>
        <v>0</v>
      </c>
    </row>
    <row r="457" spans="1:108" x14ac:dyDescent="0.25">
      <c r="A457" s="41" t="str">
        <f ca="1">Skills!M439</f>
        <v>Necromancy Mastery</v>
      </c>
      <c r="B457" s="57" t="str">
        <f ca="1">Skills!N439</f>
        <v>Necromancy Mastery</v>
      </c>
      <c r="C457" s="24">
        <f t="shared" si="467"/>
        <v>0</v>
      </c>
      <c r="D457" s="110" t="e">
        <f ca="1">Skills!S439</f>
        <v>#N/A</v>
      </c>
      <c r="E457" s="111" t="e">
        <f>Profession!$B$190</f>
        <v>#REF!</v>
      </c>
      <c r="F457" s="18"/>
      <c r="G457" s="18"/>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49"/>
      <c r="BF457" s="4">
        <f t="shared" si="417"/>
        <v>0</v>
      </c>
      <c r="BG457" s="4">
        <f t="shared" si="417"/>
        <v>0</v>
      </c>
      <c r="BH457" s="4">
        <f t="shared" si="418"/>
        <v>0</v>
      </c>
      <c r="BI457" s="4">
        <f t="shared" si="419"/>
        <v>0</v>
      </c>
      <c r="BJ457" s="4">
        <f t="shared" si="420"/>
        <v>0</v>
      </c>
      <c r="BK457" s="4">
        <f t="shared" si="421"/>
        <v>0</v>
      </c>
      <c r="BL457" s="4">
        <f t="shared" si="422"/>
        <v>0</v>
      </c>
      <c r="BM457" s="4">
        <f t="shared" si="423"/>
        <v>0</v>
      </c>
      <c r="BN457" s="4">
        <f t="shared" si="424"/>
        <v>0</v>
      </c>
      <c r="BO457" s="4">
        <f t="shared" si="425"/>
        <v>0</v>
      </c>
      <c r="BP457" s="4">
        <f t="shared" si="426"/>
        <v>0</v>
      </c>
      <c r="BQ457" s="4">
        <f t="shared" si="427"/>
        <v>0</v>
      </c>
      <c r="BR457" s="4">
        <f t="shared" si="428"/>
        <v>0</v>
      </c>
      <c r="BS457" s="4">
        <f t="shared" si="429"/>
        <v>0</v>
      </c>
      <c r="BT457" s="4">
        <f t="shared" si="430"/>
        <v>0</v>
      </c>
      <c r="BU457" s="4">
        <f t="shared" si="431"/>
        <v>0</v>
      </c>
      <c r="BV457" s="4">
        <f t="shared" si="432"/>
        <v>0</v>
      </c>
      <c r="BW457" s="4">
        <f t="shared" si="433"/>
        <v>0</v>
      </c>
      <c r="BX457" s="4">
        <f t="shared" si="434"/>
        <v>0</v>
      </c>
      <c r="BY457" s="4">
        <f t="shared" si="435"/>
        <v>0</v>
      </c>
      <c r="BZ457" s="4">
        <f t="shared" si="436"/>
        <v>0</v>
      </c>
      <c r="CA457" s="4">
        <f t="shared" si="437"/>
        <v>0</v>
      </c>
      <c r="CB457" s="4">
        <f t="shared" si="438"/>
        <v>0</v>
      </c>
      <c r="CC457" s="4">
        <f t="shared" si="439"/>
        <v>0</v>
      </c>
      <c r="CD457" s="4">
        <f t="shared" si="440"/>
        <v>0</v>
      </c>
      <c r="CE457" s="4">
        <f t="shared" si="441"/>
        <v>0</v>
      </c>
      <c r="CF457" s="4">
        <f t="shared" si="442"/>
        <v>0</v>
      </c>
      <c r="CG457" s="4">
        <f t="shared" si="443"/>
        <v>0</v>
      </c>
      <c r="CH457" s="4">
        <f t="shared" si="444"/>
        <v>0</v>
      </c>
      <c r="CI457" s="4">
        <f t="shared" si="445"/>
        <v>0</v>
      </c>
      <c r="CJ457" s="4">
        <f t="shared" si="446"/>
        <v>0</v>
      </c>
      <c r="CK457" s="4">
        <f t="shared" si="447"/>
        <v>0</v>
      </c>
      <c r="CL457" s="4">
        <f t="shared" si="448"/>
        <v>0</v>
      </c>
      <c r="CM457" s="4">
        <f t="shared" si="449"/>
        <v>0</v>
      </c>
      <c r="CN457" s="4">
        <f t="shared" si="450"/>
        <v>0</v>
      </c>
      <c r="CO457" s="4">
        <f t="shared" si="451"/>
        <v>0</v>
      </c>
      <c r="CP457" s="4">
        <f t="shared" si="452"/>
        <v>0</v>
      </c>
      <c r="CQ457" s="4">
        <f t="shared" si="453"/>
        <v>0</v>
      </c>
      <c r="CR457" s="4">
        <f t="shared" si="454"/>
        <v>0</v>
      </c>
      <c r="CS457" s="4">
        <f t="shared" si="455"/>
        <v>0</v>
      </c>
      <c r="CT457" s="4">
        <f t="shared" si="456"/>
        <v>0</v>
      </c>
      <c r="CU457" s="4">
        <f t="shared" si="457"/>
        <v>0</v>
      </c>
      <c r="CV457" s="4">
        <f t="shared" si="458"/>
        <v>0</v>
      </c>
      <c r="CW457" s="4">
        <f t="shared" si="459"/>
        <v>0</v>
      </c>
      <c r="CX457" s="4">
        <f t="shared" si="460"/>
        <v>0</v>
      </c>
      <c r="CY457" s="4">
        <f t="shared" si="461"/>
        <v>0</v>
      </c>
      <c r="CZ457" s="4">
        <f t="shared" si="462"/>
        <v>0</v>
      </c>
      <c r="DA457" s="4">
        <f t="shared" si="463"/>
        <v>0</v>
      </c>
      <c r="DB457" s="4">
        <f t="shared" si="464"/>
        <v>0</v>
      </c>
      <c r="DC457" s="4">
        <f t="shared" si="465"/>
        <v>0</v>
      </c>
      <c r="DD457" s="4">
        <f t="shared" si="466"/>
        <v>0</v>
      </c>
    </row>
    <row r="458" spans="1:108" x14ac:dyDescent="0.25">
      <c r="A458" s="41" t="str">
        <f ca="1">Skills!M440</f>
        <v>Necromantic Ways</v>
      </c>
      <c r="B458" s="55" t="str">
        <f ca="1">Skills!N440</f>
        <v>Necromantic Ways</v>
      </c>
      <c r="C458" s="22">
        <f t="shared" si="467"/>
        <v>0</v>
      </c>
      <c r="D458" s="112" t="e">
        <f ca="1">Skills!S440</f>
        <v>#N/A</v>
      </c>
      <c r="E458" s="113" t="e">
        <f>Profession!$B$190</f>
        <v>#REF!</v>
      </c>
      <c r="F458" s="19"/>
      <c r="G458" s="19"/>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56"/>
      <c r="BF458" s="4">
        <f t="shared" si="417"/>
        <v>0</v>
      </c>
      <c r="BG458" s="4">
        <f t="shared" si="417"/>
        <v>0</v>
      </c>
      <c r="BH458" s="4">
        <f t="shared" si="418"/>
        <v>0</v>
      </c>
      <c r="BI458" s="4">
        <f t="shared" si="419"/>
        <v>0</v>
      </c>
      <c r="BJ458" s="4">
        <f t="shared" si="420"/>
        <v>0</v>
      </c>
      <c r="BK458" s="4">
        <f t="shared" si="421"/>
        <v>0</v>
      </c>
      <c r="BL458" s="4">
        <f t="shared" si="422"/>
        <v>0</v>
      </c>
      <c r="BM458" s="4">
        <f t="shared" si="423"/>
        <v>0</v>
      </c>
      <c r="BN458" s="4">
        <f t="shared" si="424"/>
        <v>0</v>
      </c>
      <c r="BO458" s="4">
        <f t="shared" si="425"/>
        <v>0</v>
      </c>
      <c r="BP458" s="4">
        <f t="shared" si="426"/>
        <v>0</v>
      </c>
      <c r="BQ458" s="4">
        <f t="shared" si="427"/>
        <v>0</v>
      </c>
      <c r="BR458" s="4">
        <f t="shared" si="428"/>
        <v>0</v>
      </c>
      <c r="BS458" s="4">
        <f t="shared" si="429"/>
        <v>0</v>
      </c>
      <c r="BT458" s="4">
        <f t="shared" si="430"/>
        <v>0</v>
      </c>
      <c r="BU458" s="4">
        <f t="shared" si="431"/>
        <v>0</v>
      </c>
      <c r="BV458" s="4">
        <f t="shared" si="432"/>
        <v>0</v>
      </c>
      <c r="BW458" s="4">
        <f t="shared" si="433"/>
        <v>0</v>
      </c>
      <c r="BX458" s="4">
        <f t="shared" si="434"/>
        <v>0</v>
      </c>
      <c r="BY458" s="4">
        <f t="shared" si="435"/>
        <v>0</v>
      </c>
      <c r="BZ458" s="4">
        <f t="shared" si="436"/>
        <v>0</v>
      </c>
      <c r="CA458" s="4">
        <f t="shared" si="437"/>
        <v>0</v>
      </c>
      <c r="CB458" s="4">
        <f t="shared" si="438"/>
        <v>0</v>
      </c>
      <c r="CC458" s="4">
        <f t="shared" si="439"/>
        <v>0</v>
      </c>
      <c r="CD458" s="4">
        <f t="shared" si="440"/>
        <v>0</v>
      </c>
      <c r="CE458" s="4">
        <f t="shared" si="441"/>
        <v>0</v>
      </c>
      <c r="CF458" s="4">
        <f t="shared" si="442"/>
        <v>0</v>
      </c>
      <c r="CG458" s="4">
        <f t="shared" si="443"/>
        <v>0</v>
      </c>
      <c r="CH458" s="4">
        <f t="shared" si="444"/>
        <v>0</v>
      </c>
      <c r="CI458" s="4">
        <f t="shared" si="445"/>
        <v>0</v>
      </c>
      <c r="CJ458" s="4">
        <f t="shared" si="446"/>
        <v>0</v>
      </c>
      <c r="CK458" s="4">
        <f t="shared" si="447"/>
        <v>0</v>
      </c>
      <c r="CL458" s="4">
        <f t="shared" si="448"/>
        <v>0</v>
      </c>
      <c r="CM458" s="4">
        <f t="shared" si="449"/>
        <v>0</v>
      </c>
      <c r="CN458" s="4">
        <f t="shared" si="450"/>
        <v>0</v>
      </c>
      <c r="CO458" s="4">
        <f t="shared" si="451"/>
        <v>0</v>
      </c>
      <c r="CP458" s="4">
        <f t="shared" si="452"/>
        <v>0</v>
      </c>
      <c r="CQ458" s="4">
        <f t="shared" si="453"/>
        <v>0</v>
      </c>
      <c r="CR458" s="4">
        <f t="shared" si="454"/>
        <v>0</v>
      </c>
      <c r="CS458" s="4">
        <f t="shared" si="455"/>
        <v>0</v>
      </c>
      <c r="CT458" s="4">
        <f t="shared" si="456"/>
        <v>0</v>
      </c>
      <c r="CU458" s="4">
        <f t="shared" si="457"/>
        <v>0</v>
      </c>
      <c r="CV458" s="4">
        <f t="shared" si="458"/>
        <v>0</v>
      </c>
      <c r="CW458" s="4">
        <f t="shared" si="459"/>
        <v>0</v>
      </c>
      <c r="CX458" s="4">
        <f t="shared" si="460"/>
        <v>0</v>
      </c>
      <c r="CY458" s="4">
        <f t="shared" si="461"/>
        <v>0</v>
      </c>
      <c r="CZ458" s="4">
        <f t="shared" si="462"/>
        <v>0</v>
      </c>
      <c r="DA458" s="4">
        <f t="shared" si="463"/>
        <v>0</v>
      </c>
      <c r="DB458" s="4">
        <f t="shared" si="464"/>
        <v>0</v>
      </c>
      <c r="DC458" s="4">
        <f t="shared" si="465"/>
        <v>0</v>
      </c>
      <c r="DD458" s="4">
        <f t="shared" si="466"/>
        <v>0</v>
      </c>
    </row>
    <row r="459" spans="1:108" x14ac:dyDescent="0.25">
      <c r="A459" s="41">
        <f>Skills!M441</f>
        <v>0</v>
      </c>
      <c r="B459" s="57" t="str">
        <f>Skills!N441</f>
        <v>Magic Ritual Sub-category</v>
      </c>
      <c r="C459" s="24">
        <f t="shared" si="467"/>
        <v>0</v>
      </c>
      <c r="D459" s="110" t="str">
        <f>Skills!S441</f>
        <v>- -</v>
      </c>
      <c r="E459" s="111" t="s">
        <v>782</v>
      </c>
      <c r="F459" s="18"/>
      <c r="G459" s="18"/>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49"/>
      <c r="BF459" s="4">
        <f t="shared" si="417"/>
        <v>0</v>
      </c>
      <c r="BG459" s="4">
        <f t="shared" si="417"/>
        <v>0</v>
      </c>
      <c r="BH459" s="4">
        <f t="shared" si="418"/>
        <v>0</v>
      </c>
      <c r="BI459" s="4">
        <f t="shared" si="419"/>
        <v>0</v>
      </c>
      <c r="BJ459" s="4">
        <f t="shared" si="420"/>
        <v>0</v>
      </c>
      <c r="BK459" s="4">
        <f t="shared" si="421"/>
        <v>0</v>
      </c>
      <c r="BL459" s="4">
        <f t="shared" si="422"/>
        <v>0</v>
      </c>
      <c r="BM459" s="4">
        <f t="shared" si="423"/>
        <v>0</v>
      </c>
      <c r="BN459" s="4">
        <f t="shared" si="424"/>
        <v>0</v>
      </c>
      <c r="BO459" s="4">
        <f t="shared" si="425"/>
        <v>0</v>
      </c>
      <c r="BP459" s="4">
        <f t="shared" si="426"/>
        <v>0</v>
      </c>
      <c r="BQ459" s="4">
        <f t="shared" si="427"/>
        <v>0</v>
      </c>
      <c r="BR459" s="4">
        <f t="shared" si="428"/>
        <v>0</v>
      </c>
      <c r="BS459" s="4">
        <f t="shared" si="429"/>
        <v>0</v>
      </c>
      <c r="BT459" s="4">
        <f t="shared" si="430"/>
        <v>0</v>
      </c>
      <c r="BU459" s="4">
        <f t="shared" si="431"/>
        <v>0</v>
      </c>
      <c r="BV459" s="4">
        <f t="shared" si="432"/>
        <v>0</v>
      </c>
      <c r="BW459" s="4">
        <f t="shared" si="433"/>
        <v>0</v>
      </c>
      <c r="BX459" s="4">
        <f t="shared" si="434"/>
        <v>0</v>
      </c>
      <c r="BY459" s="4">
        <f t="shared" si="435"/>
        <v>0</v>
      </c>
      <c r="BZ459" s="4">
        <f t="shared" si="436"/>
        <v>0</v>
      </c>
      <c r="CA459" s="4">
        <f t="shared" si="437"/>
        <v>0</v>
      </c>
      <c r="CB459" s="4">
        <f t="shared" si="438"/>
        <v>0</v>
      </c>
      <c r="CC459" s="4">
        <f t="shared" si="439"/>
        <v>0</v>
      </c>
      <c r="CD459" s="4">
        <f t="shared" si="440"/>
        <v>0</v>
      </c>
      <c r="CE459" s="4">
        <f t="shared" si="441"/>
        <v>0</v>
      </c>
      <c r="CF459" s="4">
        <f t="shared" si="442"/>
        <v>0</v>
      </c>
      <c r="CG459" s="4">
        <f t="shared" si="443"/>
        <v>0</v>
      </c>
      <c r="CH459" s="4">
        <f t="shared" si="444"/>
        <v>0</v>
      </c>
      <c r="CI459" s="4">
        <f t="shared" si="445"/>
        <v>0</v>
      </c>
      <c r="CJ459" s="4">
        <f t="shared" si="446"/>
        <v>0</v>
      </c>
      <c r="CK459" s="4">
        <f t="shared" si="447"/>
        <v>0</v>
      </c>
      <c r="CL459" s="4">
        <f t="shared" si="448"/>
        <v>0</v>
      </c>
      <c r="CM459" s="4">
        <f t="shared" si="449"/>
        <v>0</v>
      </c>
      <c r="CN459" s="4">
        <f t="shared" si="450"/>
        <v>0</v>
      </c>
      <c r="CO459" s="4">
        <f t="shared" si="451"/>
        <v>0</v>
      </c>
      <c r="CP459" s="4">
        <f t="shared" si="452"/>
        <v>0</v>
      </c>
      <c r="CQ459" s="4">
        <f t="shared" si="453"/>
        <v>0</v>
      </c>
      <c r="CR459" s="4">
        <f t="shared" si="454"/>
        <v>0</v>
      </c>
      <c r="CS459" s="4">
        <f t="shared" si="455"/>
        <v>0</v>
      </c>
      <c r="CT459" s="4">
        <f t="shared" si="456"/>
        <v>0</v>
      </c>
      <c r="CU459" s="4">
        <f t="shared" si="457"/>
        <v>0</v>
      </c>
      <c r="CV459" s="4">
        <f t="shared" si="458"/>
        <v>0</v>
      </c>
      <c r="CW459" s="4">
        <f t="shared" si="459"/>
        <v>0</v>
      </c>
      <c r="CX459" s="4">
        <f t="shared" si="460"/>
        <v>0</v>
      </c>
      <c r="CY459" s="4">
        <f t="shared" si="461"/>
        <v>0</v>
      </c>
      <c r="CZ459" s="4">
        <f t="shared" si="462"/>
        <v>0</v>
      </c>
      <c r="DA459" s="4">
        <f t="shared" si="463"/>
        <v>0</v>
      </c>
      <c r="DB459" s="4">
        <f t="shared" si="464"/>
        <v>0</v>
      </c>
      <c r="DC459" s="4">
        <f t="shared" si="465"/>
        <v>0</v>
      </c>
      <c r="DD459" s="4">
        <f t="shared" si="466"/>
        <v>0</v>
      </c>
    </row>
    <row r="460" spans="1:108" x14ac:dyDescent="0.25">
      <c r="A460" s="41">
        <f>Skills!M442</f>
        <v>0</v>
      </c>
      <c r="B460" s="55" t="str">
        <f>Skills!N442</f>
        <v>Magic Ritual Skills</v>
      </c>
      <c r="C460" s="22">
        <f t="shared" si="467"/>
        <v>0</v>
      </c>
      <c r="D460" s="112" t="str">
        <f>Skills!S442</f>
        <v>- -</v>
      </c>
      <c r="E460" s="113" t="s">
        <v>782</v>
      </c>
      <c r="F460" s="19"/>
      <c r="G460" s="19"/>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56"/>
      <c r="BF460" s="4">
        <f t="shared" si="417"/>
        <v>0</v>
      </c>
      <c r="BG460" s="4">
        <f t="shared" si="417"/>
        <v>0</v>
      </c>
      <c r="BH460" s="4">
        <f t="shared" si="418"/>
        <v>0</v>
      </c>
      <c r="BI460" s="4">
        <f t="shared" si="419"/>
        <v>0</v>
      </c>
      <c r="BJ460" s="4">
        <f t="shared" si="420"/>
        <v>0</v>
      </c>
      <c r="BK460" s="4">
        <f t="shared" si="421"/>
        <v>0</v>
      </c>
      <c r="BL460" s="4">
        <f t="shared" si="422"/>
        <v>0</v>
      </c>
      <c r="BM460" s="4">
        <f t="shared" si="423"/>
        <v>0</v>
      </c>
      <c r="BN460" s="4">
        <f t="shared" si="424"/>
        <v>0</v>
      </c>
      <c r="BO460" s="4">
        <f t="shared" si="425"/>
        <v>0</v>
      </c>
      <c r="BP460" s="4">
        <f t="shared" si="426"/>
        <v>0</v>
      </c>
      <c r="BQ460" s="4">
        <f t="shared" si="427"/>
        <v>0</v>
      </c>
      <c r="BR460" s="4">
        <f t="shared" si="428"/>
        <v>0</v>
      </c>
      <c r="BS460" s="4">
        <f t="shared" si="429"/>
        <v>0</v>
      </c>
      <c r="BT460" s="4">
        <f t="shared" si="430"/>
        <v>0</v>
      </c>
      <c r="BU460" s="4">
        <f t="shared" si="431"/>
        <v>0</v>
      </c>
      <c r="BV460" s="4">
        <f t="shared" si="432"/>
        <v>0</v>
      </c>
      <c r="BW460" s="4">
        <f t="shared" si="433"/>
        <v>0</v>
      </c>
      <c r="BX460" s="4">
        <f t="shared" si="434"/>
        <v>0</v>
      </c>
      <c r="BY460" s="4">
        <f t="shared" si="435"/>
        <v>0</v>
      </c>
      <c r="BZ460" s="4">
        <f t="shared" si="436"/>
        <v>0</v>
      </c>
      <c r="CA460" s="4">
        <f t="shared" si="437"/>
        <v>0</v>
      </c>
      <c r="CB460" s="4">
        <f t="shared" si="438"/>
        <v>0</v>
      </c>
      <c r="CC460" s="4">
        <f t="shared" si="439"/>
        <v>0</v>
      </c>
      <c r="CD460" s="4">
        <f t="shared" si="440"/>
        <v>0</v>
      </c>
      <c r="CE460" s="4">
        <f t="shared" si="441"/>
        <v>0</v>
      </c>
      <c r="CF460" s="4">
        <f t="shared" si="442"/>
        <v>0</v>
      </c>
      <c r="CG460" s="4">
        <f t="shared" si="443"/>
        <v>0</v>
      </c>
      <c r="CH460" s="4">
        <f t="shared" si="444"/>
        <v>0</v>
      </c>
      <c r="CI460" s="4">
        <f t="shared" si="445"/>
        <v>0</v>
      </c>
      <c r="CJ460" s="4">
        <f t="shared" si="446"/>
        <v>0</v>
      </c>
      <c r="CK460" s="4">
        <f t="shared" si="447"/>
        <v>0</v>
      </c>
      <c r="CL460" s="4">
        <f t="shared" si="448"/>
        <v>0</v>
      </c>
      <c r="CM460" s="4">
        <f t="shared" si="449"/>
        <v>0</v>
      </c>
      <c r="CN460" s="4">
        <f t="shared" si="450"/>
        <v>0</v>
      </c>
      <c r="CO460" s="4">
        <f t="shared" si="451"/>
        <v>0</v>
      </c>
      <c r="CP460" s="4">
        <f t="shared" si="452"/>
        <v>0</v>
      </c>
      <c r="CQ460" s="4">
        <f t="shared" si="453"/>
        <v>0</v>
      </c>
      <c r="CR460" s="4">
        <f t="shared" si="454"/>
        <v>0</v>
      </c>
      <c r="CS460" s="4">
        <f t="shared" si="455"/>
        <v>0</v>
      </c>
      <c r="CT460" s="4">
        <f t="shared" si="456"/>
        <v>0</v>
      </c>
      <c r="CU460" s="4">
        <f t="shared" si="457"/>
        <v>0</v>
      </c>
      <c r="CV460" s="4">
        <f t="shared" si="458"/>
        <v>0</v>
      </c>
      <c r="CW460" s="4">
        <f t="shared" si="459"/>
        <v>0</v>
      </c>
      <c r="CX460" s="4">
        <f t="shared" si="460"/>
        <v>0</v>
      </c>
      <c r="CY460" s="4">
        <f t="shared" si="461"/>
        <v>0</v>
      </c>
      <c r="CZ460" s="4">
        <f t="shared" si="462"/>
        <v>0</v>
      </c>
      <c r="DA460" s="4">
        <f t="shared" si="463"/>
        <v>0</v>
      </c>
      <c r="DB460" s="4">
        <f t="shared" si="464"/>
        <v>0</v>
      </c>
      <c r="DC460" s="4">
        <f t="shared" si="465"/>
        <v>0</v>
      </c>
      <c r="DD460" s="4">
        <f t="shared" si="466"/>
        <v>0</v>
      </c>
    </row>
    <row r="461" spans="1:108" x14ac:dyDescent="0.25">
      <c r="A461" s="41" t="str">
        <f>Skills!M443</f>
        <v>Ritual Magic, Alteration</v>
      </c>
      <c r="B461" s="57" t="str">
        <f>Skills!N443</f>
        <v>Alteration</v>
      </c>
      <c r="C461" s="24">
        <f t="shared" si="467"/>
        <v>0</v>
      </c>
      <c r="D461" s="110" t="e">
        <f>Skills!S443</f>
        <v>#N/A</v>
      </c>
      <c r="E461" s="111" t="e">
        <f>Profession!$B$191</f>
        <v>#REF!</v>
      </c>
      <c r="F461" s="18"/>
      <c r="G461" s="18"/>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49"/>
      <c r="BF461" s="4">
        <f t="shared" si="417"/>
        <v>0</v>
      </c>
      <c r="BG461" s="4">
        <f t="shared" si="417"/>
        <v>0</v>
      </c>
      <c r="BH461" s="4">
        <f t="shared" si="418"/>
        <v>0</v>
      </c>
      <c r="BI461" s="4">
        <f t="shared" si="419"/>
        <v>0</v>
      </c>
      <c r="BJ461" s="4">
        <f t="shared" si="420"/>
        <v>0</v>
      </c>
      <c r="BK461" s="4">
        <f t="shared" si="421"/>
        <v>0</v>
      </c>
      <c r="BL461" s="4">
        <f t="shared" si="422"/>
        <v>0</v>
      </c>
      <c r="BM461" s="4">
        <f t="shared" si="423"/>
        <v>0</v>
      </c>
      <c r="BN461" s="4">
        <f t="shared" si="424"/>
        <v>0</v>
      </c>
      <c r="BO461" s="4">
        <f t="shared" si="425"/>
        <v>0</v>
      </c>
      <c r="BP461" s="4">
        <f t="shared" si="426"/>
        <v>0</v>
      </c>
      <c r="BQ461" s="4">
        <f t="shared" si="427"/>
        <v>0</v>
      </c>
      <c r="BR461" s="4">
        <f t="shared" si="428"/>
        <v>0</v>
      </c>
      <c r="BS461" s="4">
        <f t="shared" si="429"/>
        <v>0</v>
      </c>
      <c r="BT461" s="4">
        <f t="shared" si="430"/>
        <v>0</v>
      </c>
      <c r="BU461" s="4">
        <f t="shared" si="431"/>
        <v>0</v>
      </c>
      <c r="BV461" s="4">
        <f t="shared" si="432"/>
        <v>0</v>
      </c>
      <c r="BW461" s="4">
        <f t="shared" si="433"/>
        <v>0</v>
      </c>
      <c r="BX461" s="4">
        <f t="shared" si="434"/>
        <v>0</v>
      </c>
      <c r="BY461" s="4">
        <f t="shared" si="435"/>
        <v>0</v>
      </c>
      <c r="BZ461" s="4">
        <f t="shared" si="436"/>
        <v>0</v>
      </c>
      <c r="CA461" s="4">
        <f t="shared" si="437"/>
        <v>0</v>
      </c>
      <c r="CB461" s="4">
        <f t="shared" si="438"/>
        <v>0</v>
      </c>
      <c r="CC461" s="4">
        <f t="shared" si="439"/>
        <v>0</v>
      </c>
      <c r="CD461" s="4">
        <f t="shared" si="440"/>
        <v>0</v>
      </c>
      <c r="CE461" s="4">
        <f t="shared" si="441"/>
        <v>0</v>
      </c>
      <c r="CF461" s="4">
        <f t="shared" si="442"/>
        <v>0</v>
      </c>
      <c r="CG461" s="4">
        <f t="shared" si="443"/>
        <v>0</v>
      </c>
      <c r="CH461" s="4">
        <f t="shared" si="444"/>
        <v>0</v>
      </c>
      <c r="CI461" s="4">
        <f t="shared" si="445"/>
        <v>0</v>
      </c>
      <c r="CJ461" s="4">
        <f t="shared" si="446"/>
        <v>0</v>
      </c>
      <c r="CK461" s="4">
        <f t="shared" si="447"/>
        <v>0</v>
      </c>
      <c r="CL461" s="4">
        <f t="shared" si="448"/>
        <v>0</v>
      </c>
      <c r="CM461" s="4">
        <f t="shared" si="449"/>
        <v>0</v>
      </c>
      <c r="CN461" s="4">
        <f t="shared" si="450"/>
        <v>0</v>
      </c>
      <c r="CO461" s="4">
        <f t="shared" si="451"/>
        <v>0</v>
      </c>
      <c r="CP461" s="4">
        <f t="shared" si="452"/>
        <v>0</v>
      </c>
      <c r="CQ461" s="4">
        <f t="shared" si="453"/>
        <v>0</v>
      </c>
      <c r="CR461" s="4">
        <f t="shared" si="454"/>
        <v>0</v>
      </c>
      <c r="CS461" s="4">
        <f t="shared" si="455"/>
        <v>0</v>
      </c>
      <c r="CT461" s="4">
        <f t="shared" si="456"/>
        <v>0</v>
      </c>
      <c r="CU461" s="4">
        <f t="shared" si="457"/>
        <v>0</v>
      </c>
      <c r="CV461" s="4">
        <f t="shared" si="458"/>
        <v>0</v>
      </c>
      <c r="CW461" s="4">
        <f t="shared" si="459"/>
        <v>0</v>
      </c>
      <c r="CX461" s="4">
        <f t="shared" si="460"/>
        <v>0</v>
      </c>
      <c r="CY461" s="4">
        <f t="shared" si="461"/>
        <v>0</v>
      </c>
      <c r="CZ461" s="4">
        <f t="shared" si="462"/>
        <v>0</v>
      </c>
      <c r="DA461" s="4">
        <f t="shared" si="463"/>
        <v>0</v>
      </c>
      <c r="DB461" s="4">
        <f t="shared" si="464"/>
        <v>0</v>
      </c>
      <c r="DC461" s="4">
        <f t="shared" si="465"/>
        <v>0</v>
      </c>
      <c r="DD461" s="4">
        <f t="shared" si="466"/>
        <v>0</v>
      </c>
    </row>
    <row r="462" spans="1:108" x14ac:dyDescent="0.25">
      <c r="A462" s="41" t="str">
        <f>Skills!M444</f>
        <v>Ritual Magic, Creation</v>
      </c>
      <c r="B462" s="55" t="str">
        <f>Skills!N444</f>
        <v>Creation</v>
      </c>
      <c r="C462" s="22">
        <f t="shared" si="467"/>
        <v>0</v>
      </c>
      <c r="D462" s="112" t="e">
        <f>Skills!S444</f>
        <v>#N/A</v>
      </c>
      <c r="E462" s="113" t="e">
        <f>Profession!$B$191</f>
        <v>#REF!</v>
      </c>
      <c r="F462" s="19"/>
      <c r="G462" s="19"/>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56"/>
      <c r="BF462" s="4">
        <f t="shared" si="417"/>
        <v>0</v>
      </c>
      <c r="BG462" s="4">
        <f t="shared" si="417"/>
        <v>0</v>
      </c>
      <c r="BH462" s="4">
        <f t="shared" si="418"/>
        <v>0</v>
      </c>
      <c r="BI462" s="4">
        <f t="shared" si="419"/>
        <v>0</v>
      </c>
      <c r="BJ462" s="4">
        <f t="shared" si="420"/>
        <v>0</v>
      </c>
      <c r="BK462" s="4">
        <f t="shared" si="421"/>
        <v>0</v>
      </c>
      <c r="BL462" s="4">
        <f t="shared" si="422"/>
        <v>0</v>
      </c>
      <c r="BM462" s="4">
        <f t="shared" si="423"/>
        <v>0</v>
      </c>
      <c r="BN462" s="4">
        <f t="shared" si="424"/>
        <v>0</v>
      </c>
      <c r="BO462" s="4">
        <f t="shared" si="425"/>
        <v>0</v>
      </c>
      <c r="BP462" s="4">
        <f t="shared" si="426"/>
        <v>0</v>
      </c>
      <c r="BQ462" s="4">
        <f t="shared" si="427"/>
        <v>0</v>
      </c>
      <c r="BR462" s="4">
        <f t="shared" si="428"/>
        <v>0</v>
      </c>
      <c r="BS462" s="4">
        <f t="shared" si="429"/>
        <v>0</v>
      </c>
      <c r="BT462" s="4">
        <f t="shared" si="430"/>
        <v>0</v>
      </c>
      <c r="BU462" s="4">
        <f t="shared" si="431"/>
        <v>0</v>
      </c>
      <c r="BV462" s="4">
        <f t="shared" si="432"/>
        <v>0</v>
      </c>
      <c r="BW462" s="4">
        <f t="shared" si="433"/>
        <v>0</v>
      </c>
      <c r="BX462" s="4">
        <f t="shared" si="434"/>
        <v>0</v>
      </c>
      <c r="BY462" s="4">
        <f t="shared" si="435"/>
        <v>0</v>
      </c>
      <c r="BZ462" s="4">
        <f t="shared" si="436"/>
        <v>0</v>
      </c>
      <c r="CA462" s="4">
        <f t="shared" si="437"/>
        <v>0</v>
      </c>
      <c r="CB462" s="4">
        <f t="shared" si="438"/>
        <v>0</v>
      </c>
      <c r="CC462" s="4">
        <f t="shared" si="439"/>
        <v>0</v>
      </c>
      <c r="CD462" s="4">
        <f t="shared" si="440"/>
        <v>0</v>
      </c>
      <c r="CE462" s="4">
        <f t="shared" si="441"/>
        <v>0</v>
      </c>
      <c r="CF462" s="4">
        <f t="shared" si="442"/>
        <v>0</v>
      </c>
      <c r="CG462" s="4">
        <f t="shared" si="443"/>
        <v>0</v>
      </c>
      <c r="CH462" s="4">
        <f t="shared" si="444"/>
        <v>0</v>
      </c>
      <c r="CI462" s="4">
        <f t="shared" si="445"/>
        <v>0</v>
      </c>
      <c r="CJ462" s="4">
        <f t="shared" si="446"/>
        <v>0</v>
      </c>
      <c r="CK462" s="4">
        <f t="shared" si="447"/>
        <v>0</v>
      </c>
      <c r="CL462" s="4">
        <f t="shared" si="448"/>
        <v>0</v>
      </c>
      <c r="CM462" s="4">
        <f t="shared" si="449"/>
        <v>0</v>
      </c>
      <c r="CN462" s="4">
        <f t="shared" si="450"/>
        <v>0</v>
      </c>
      <c r="CO462" s="4">
        <f t="shared" si="451"/>
        <v>0</v>
      </c>
      <c r="CP462" s="4">
        <f t="shared" si="452"/>
        <v>0</v>
      </c>
      <c r="CQ462" s="4">
        <f t="shared" si="453"/>
        <v>0</v>
      </c>
      <c r="CR462" s="4">
        <f t="shared" si="454"/>
        <v>0</v>
      </c>
      <c r="CS462" s="4">
        <f t="shared" si="455"/>
        <v>0</v>
      </c>
      <c r="CT462" s="4">
        <f t="shared" si="456"/>
        <v>0</v>
      </c>
      <c r="CU462" s="4">
        <f t="shared" si="457"/>
        <v>0</v>
      </c>
      <c r="CV462" s="4">
        <f t="shared" si="458"/>
        <v>0</v>
      </c>
      <c r="CW462" s="4">
        <f t="shared" si="459"/>
        <v>0</v>
      </c>
      <c r="CX462" s="4">
        <f t="shared" si="460"/>
        <v>0</v>
      </c>
      <c r="CY462" s="4">
        <f t="shared" si="461"/>
        <v>0</v>
      </c>
      <c r="CZ462" s="4">
        <f t="shared" si="462"/>
        <v>0</v>
      </c>
      <c r="DA462" s="4">
        <f t="shared" si="463"/>
        <v>0</v>
      </c>
      <c r="DB462" s="4">
        <f t="shared" si="464"/>
        <v>0</v>
      </c>
      <c r="DC462" s="4">
        <f t="shared" si="465"/>
        <v>0</v>
      </c>
      <c r="DD462" s="4">
        <f t="shared" si="466"/>
        <v>0</v>
      </c>
    </row>
    <row r="463" spans="1:108" x14ac:dyDescent="0.25">
      <c r="A463" s="41" t="str">
        <f>Skills!M445</f>
        <v>Ritual Magic, Defensive</v>
      </c>
      <c r="B463" s="57" t="str">
        <f>Skills!N445</f>
        <v>Defensive</v>
      </c>
      <c r="C463" s="24">
        <f t="shared" si="467"/>
        <v>0</v>
      </c>
      <c r="D463" s="110" t="e">
        <f>Skills!S445</f>
        <v>#N/A</v>
      </c>
      <c r="E463" s="111" t="e">
        <f>Profession!$B$191</f>
        <v>#REF!</v>
      </c>
      <c r="F463" s="18"/>
      <c r="G463" s="18"/>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49"/>
      <c r="BF463" s="4">
        <f t="shared" si="417"/>
        <v>0</v>
      </c>
      <c r="BG463" s="4">
        <f t="shared" si="417"/>
        <v>0</v>
      </c>
      <c r="BH463" s="4">
        <f t="shared" si="418"/>
        <v>0</v>
      </c>
      <c r="BI463" s="4">
        <f t="shared" si="419"/>
        <v>0</v>
      </c>
      <c r="BJ463" s="4">
        <f t="shared" si="420"/>
        <v>0</v>
      </c>
      <c r="BK463" s="4">
        <f t="shared" si="421"/>
        <v>0</v>
      </c>
      <c r="BL463" s="4">
        <f t="shared" si="422"/>
        <v>0</v>
      </c>
      <c r="BM463" s="4">
        <f t="shared" si="423"/>
        <v>0</v>
      </c>
      <c r="BN463" s="4">
        <f t="shared" si="424"/>
        <v>0</v>
      </c>
      <c r="BO463" s="4">
        <f t="shared" si="425"/>
        <v>0</v>
      </c>
      <c r="BP463" s="4">
        <f t="shared" si="426"/>
        <v>0</v>
      </c>
      <c r="BQ463" s="4">
        <f t="shared" si="427"/>
        <v>0</v>
      </c>
      <c r="BR463" s="4">
        <f t="shared" si="428"/>
        <v>0</v>
      </c>
      <c r="BS463" s="4">
        <f t="shared" si="429"/>
        <v>0</v>
      </c>
      <c r="BT463" s="4">
        <f t="shared" si="430"/>
        <v>0</v>
      </c>
      <c r="BU463" s="4">
        <f t="shared" si="431"/>
        <v>0</v>
      </c>
      <c r="BV463" s="4">
        <f t="shared" si="432"/>
        <v>0</v>
      </c>
      <c r="BW463" s="4">
        <f t="shared" si="433"/>
        <v>0</v>
      </c>
      <c r="BX463" s="4">
        <f t="shared" si="434"/>
        <v>0</v>
      </c>
      <c r="BY463" s="4">
        <f t="shared" si="435"/>
        <v>0</v>
      </c>
      <c r="BZ463" s="4">
        <f t="shared" si="436"/>
        <v>0</v>
      </c>
      <c r="CA463" s="4">
        <f t="shared" si="437"/>
        <v>0</v>
      </c>
      <c r="CB463" s="4">
        <f t="shared" si="438"/>
        <v>0</v>
      </c>
      <c r="CC463" s="4">
        <f t="shared" si="439"/>
        <v>0</v>
      </c>
      <c r="CD463" s="4">
        <f t="shared" si="440"/>
        <v>0</v>
      </c>
      <c r="CE463" s="4">
        <f t="shared" si="441"/>
        <v>0</v>
      </c>
      <c r="CF463" s="4">
        <f t="shared" si="442"/>
        <v>0</v>
      </c>
      <c r="CG463" s="4">
        <f t="shared" si="443"/>
        <v>0</v>
      </c>
      <c r="CH463" s="4">
        <f t="shared" si="444"/>
        <v>0</v>
      </c>
      <c r="CI463" s="4">
        <f t="shared" si="445"/>
        <v>0</v>
      </c>
      <c r="CJ463" s="4">
        <f t="shared" si="446"/>
        <v>0</v>
      </c>
      <c r="CK463" s="4">
        <f t="shared" si="447"/>
        <v>0</v>
      </c>
      <c r="CL463" s="4">
        <f t="shared" si="448"/>
        <v>0</v>
      </c>
      <c r="CM463" s="4">
        <f t="shared" si="449"/>
        <v>0</v>
      </c>
      <c r="CN463" s="4">
        <f t="shared" si="450"/>
        <v>0</v>
      </c>
      <c r="CO463" s="4">
        <f t="shared" si="451"/>
        <v>0</v>
      </c>
      <c r="CP463" s="4">
        <f t="shared" si="452"/>
        <v>0</v>
      </c>
      <c r="CQ463" s="4">
        <f t="shared" si="453"/>
        <v>0</v>
      </c>
      <c r="CR463" s="4">
        <f t="shared" si="454"/>
        <v>0</v>
      </c>
      <c r="CS463" s="4">
        <f t="shared" si="455"/>
        <v>0</v>
      </c>
      <c r="CT463" s="4">
        <f t="shared" si="456"/>
        <v>0</v>
      </c>
      <c r="CU463" s="4">
        <f t="shared" si="457"/>
        <v>0</v>
      </c>
      <c r="CV463" s="4">
        <f t="shared" si="458"/>
        <v>0</v>
      </c>
      <c r="CW463" s="4">
        <f t="shared" si="459"/>
        <v>0</v>
      </c>
      <c r="CX463" s="4">
        <f t="shared" si="460"/>
        <v>0</v>
      </c>
      <c r="CY463" s="4">
        <f t="shared" si="461"/>
        <v>0</v>
      </c>
      <c r="CZ463" s="4">
        <f t="shared" si="462"/>
        <v>0</v>
      </c>
      <c r="DA463" s="4">
        <f t="shared" si="463"/>
        <v>0</v>
      </c>
      <c r="DB463" s="4">
        <f t="shared" si="464"/>
        <v>0</v>
      </c>
      <c r="DC463" s="4">
        <f t="shared" si="465"/>
        <v>0</v>
      </c>
      <c r="DD463" s="4">
        <f t="shared" si="466"/>
        <v>0</v>
      </c>
    </row>
    <row r="464" spans="1:108" x14ac:dyDescent="0.25">
      <c r="A464" s="41" t="str">
        <f>Skills!M446</f>
        <v>Ritual Magic, Destruction</v>
      </c>
      <c r="B464" s="55" t="str">
        <f>Skills!N446</f>
        <v>Destruction</v>
      </c>
      <c r="C464" s="22">
        <f t="shared" si="467"/>
        <v>0</v>
      </c>
      <c r="D464" s="112" t="e">
        <f ca="1">Skills!S446</f>
        <v>#N/A</v>
      </c>
      <c r="E464" s="113" t="e">
        <f>Profession!$B$191</f>
        <v>#REF!</v>
      </c>
      <c r="F464" s="19"/>
      <c r="G464" s="19"/>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56"/>
      <c r="BF464" s="4">
        <f t="shared" si="417"/>
        <v>0</v>
      </c>
      <c r="BG464" s="4">
        <f t="shared" si="417"/>
        <v>0</v>
      </c>
      <c r="BH464" s="4">
        <f t="shared" si="418"/>
        <v>0</v>
      </c>
      <c r="BI464" s="4">
        <f t="shared" si="419"/>
        <v>0</v>
      </c>
      <c r="BJ464" s="4">
        <f t="shared" si="420"/>
        <v>0</v>
      </c>
      <c r="BK464" s="4">
        <f t="shared" si="421"/>
        <v>0</v>
      </c>
      <c r="BL464" s="4">
        <f t="shared" si="422"/>
        <v>0</v>
      </c>
      <c r="BM464" s="4">
        <f t="shared" si="423"/>
        <v>0</v>
      </c>
      <c r="BN464" s="4">
        <f t="shared" si="424"/>
        <v>0</v>
      </c>
      <c r="BO464" s="4">
        <f t="shared" si="425"/>
        <v>0</v>
      </c>
      <c r="BP464" s="4">
        <f t="shared" si="426"/>
        <v>0</v>
      </c>
      <c r="BQ464" s="4">
        <f t="shared" si="427"/>
        <v>0</v>
      </c>
      <c r="BR464" s="4">
        <f t="shared" si="428"/>
        <v>0</v>
      </c>
      <c r="BS464" s="4">
        <f t="shared" si="429"/>
        <v>0</v>
      </c>
      <c r="BT464" s="4">
        <f t="shared" si="430"/>
        <v>0</v>
      </c>
      <c r="BU464" s="4">
        <f t="shared" si="431"/>
        <v>0</v>
      </c>
      <c r="BV464" s="4">
        <f t="shared" si="432"/>
        <v>0</v>
      </c>
      <c r="BW464" s="4">
        <f t="shared" si="433"/>
        <v>0</v>
      </c>
      <c r="BX464" s="4">
        <f t="shared" si="434"/>
        <v>0</v>
      </c>
      <c r="BY464" s="4">
        <f t="shared" si="435"/>
        <v>0</v>
      </c>
      <c r="BZ464" s="4">
        <f t="shared" si="436"/>
        <v>0</v>
      </c>
      <c r="CA464" s="4">
        <f t="shared" si="437"/>
        <v>0</v>
      </c>
      <c r="CB464" s="4">
        <f t="shared" si="438"/>
        <v>0</v>
      </c>
      <c r="CC464" s="4">
        <f t="shared" si="439"/>
        <v>0</v>
      </c>
      <c r="CD464" s="4">
        <f t="shared" si="440"/>
        <v>0</v>
      </c>
      <c r="CE464" s="4">
        <f t="shared" si="441"/>
        <v>0</v>
      </c>
      <c r="CF464" s="4">
        <f t="shared" si="442"/>
        <v>0</v>
      </c>
      <c r="CG464" s="4">
        <f t="shared" si="443"/>
        <v>0</v>
      </c>
      <c r="CH464" s="4">
        <f t="shared" si="444"/>
        <v>0</v>
      </c>
      <c r="CI464" s="4">
        <f t="shared" si="445"/>
        <v>0</v>
      </c>
      <c r="CJ464" s="4">
        <f t="shared" si="446"/>
        <v>0</v>
      </c>
      <c r="CK464" s="4">
        <f t="shared" si="447"/>
        <v>0</v>
      </c>
      <c r="CL464" s="4">
        <f t="shared" si="448"/>
        <v>0</v>
      </c>
      <c r="CM464" s="4">
        <f t="shared" si="449"/>
        <v>0</v>
      </c>
      <c r="CN464" s="4">
        <f t="shared" si="450"/>
        <v>0</v>
      </c>
      <c r="CO464" s="4">
        <f t="shared" si="451"/>
        <v>0</v>
      </c>
      <c r="CP464" s="4">
        <f t="shared" si="452"/>
        <v>0</v>
      </c>
      <c r="CQ464" s="4">
        <f t="shared" si="453"/>
        <v>0</v>
      </c>
      <c r="CR464" s="4">
        <f t="shared" si="454"/>
        <v>0</v>
      </c>
      <c r="CS464" s="4">
        <f t="shared" si="455"/>
        <v>0</v>
      </c>
      <c r="CT464" s="4">
        <f t="shared" si="456"/>
        <v>0</v>
      </c>
      <c r="CU464" s="4">
        <f t="shared" si="457"/>
        <v>0</v>
      </c>
      <c r="CV464" s="4">
        <f t="shared" si="458"/>
        <v>0</v>
      </c>
      <c r="CW464" s="4">
        <f t="shared" si="459"/>
        <v>0</v>
      </c>
      <c r="CX464" s="4">
        <f t="shared" si="460"/>
        <v>0</v>
      </c>
      <c r="CY464" s="4">
        <f t="shared" si="461"/>
        <v>0</v>
      </c>
      <c r="CZ464" s="4">
        <f t="shared" si="462"/>
        <v>0</v>
      </c>
      <c r="DA464" s="4">
        <f t="shared" si="463"/>
        <v>0</v>
      </c>
      <c r="DB464" s="4">
        <f t="shared" si="464"/>
        <v>0</v>
      </c>
      <c r="DC464" s="4">
        <f t="shared" si="465"/>
        <v>0</v>
      </c>
      <c r="DD464" s="4">
        <f t="shared" si="466"/>
        <v>0</v>
      </c>
    </row>
    <row r="465" spans="1:108" x14ac:dyDescent="0.25">
      <c r="A465" s="41" t="str">
        <f>Skills!M447</f>
        <v>Ritual Magic, Elemental</v>
      </c>
      <c r="B465" s="57" t="str">
        <f>Skills!N447</f>
        <v>Elemental</v>
      </c>
      <c r="C465" s="24">
        <f t="shared" si="467"/>
        <v>0</v>
      </c>
      <c r="D465" s="110" t="e">
        <f ca="1">Skills!S447</f>
        <v>#N/A</v>
      </c>
      <c r="E465" s="111" t="e">
        <f>Profession!$B$191</f>
        <v>#REF!</v>
      </c>
      <c r="F465" s="18"/>
      <c r="G465" s="18"/>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49"/>
      <c r="BF465" s="4">
        <f t="shared" si="417"/>
        <v>0</v>
      </c>
      <c r="BG465" s="4">
        <f t="shared" si="417"/>
        <v>0</v>
      </c>
      <c r="BH465" s="4">
        <f t="shared" si="418"/>
        <v>0</v>
      </c>
      <c r="BI465" s="4">
        <f t="shared" si="419"/>
        <v>0</v>
      </c>
      <c r="BJ465" s="4">
        <f t="shared" si="420"/>
        <v>0</v>
      </c>
      <c r="BK465" s="4">
        <f t="shared" si="421"/>
        <v>0</v>
      </c>
      <c r="BL465" s="4">
        <f t="shared" si="422"/>
        <v>0</v>
      </c>
      <c r="BM465" s="4">
        <f t="shared" si="423"/>
        <v>0</v>
      </c>
      <c r="BN465" s="4">
        <f t="shared" si="424"/>
        <v>0</v>
      </c>
      <c r="BO465" s="4">
        <f t="shared" si="425"/>
        <v>0</v>
      </c>
      <c r="BP465" s="4">
        <f t="shared" si="426"/>
        <v>0</v>
      </c>
      <c r="BQ465" s="4">
        <f t="shared" si="427"/>
        <v>0</v>
      </c>
      <c r="BR465" s="4">
        <f t="shared" si="428"/>
        <v>0</v>
      </c>
      <c r="BS465" s="4">
        <f t="shared" si="429"/>
        <v>0</v>
      </c>
      <c r="BT465" s="4">
        <f t="shared" si="430"/>
        <v>0</v>
      </c>
      <c r="BU465" s="4">
        <f t="shared" si="431"/>
        <v>0</v>
      </c>
      <c r="BV465" s="4">
        <f t="shared" si="432"/>
        <v>0</v>
      </c>
      <c r="BW465" s="4">
        <f t="shared" si="433"/>
        <v>0</v>
      </c>
      <c r="BX465" s="4">
        <f t="shared" si="434"/>
        <v>0</v>
      </c>
      <c r="BY465" s="4">
        <f t="shared" si="435"/>
        <v>0</v>
      </c>
      <c r="BZ465" s="4">
        <f t="shared" si="436"/>
        <v>0</v>
      </c>
      <c r="CA465" s="4">
        <f t="shared" si="437"/>
        <v>0</v>
      </c>
      <c r="CB465" s="4">
        <f t="shared" si="438"/>
        <v>0</v>
      </c>
      <c r="CC465" s="4">
        <f t="shared" si="439"/>
        <v>0</v>
      </c>
      <c r="CD465" s="4">
        <f t="shared" si="440"/>
        <v>0</v>
      </c>
      <c r="CE465" s="4">
        <f t="shared" si="441"/>
        <v>0</v>
      </c>
      <c r="CF465" s="4">
        <f t="shared" si="442"/>
        <v>0</v>
      </c>
      <c r="CG465" s="4">
        <f t="shared" si="443"/>
        <v>0</v>
      </c>
      <c r="CH465" s="4">
        <f t="shared" si="444"/>
        <v>0</v>
      </c>
      <c r="CI465" s="4">
        <f t="shared" si="445"/>
        <v>0</v>
      </c>
      <c r="CJ465" s="4">
        <f t="shared" si="446"/>
        <v>0</v>
      </c>
      <c r="CK465" s="4">
        <f t="shared" si="447"/>
        <v>0</v>
      </c>
      <c r="CL465" s="4">
        <f t="shared" si="448"/>
        <v>0</v>
      </c>
      <c r="CM465" s="4">
        <f t="shared" si="449"/>
        <v>0</v>
      </c>
      <c r="CN465" s="4">
        <f t="shared" si="450"/>
        <v>0</v>
      </c>
      <c r="CO465" s="4">
        <f t="shared" si="451"/>
        <v>0</v>
      </c>
      <c r="CP465" s="4">
        <f t="shared" si="452"/>
        <v>0</v>
      </c>
      <c r="CQ465" s="4">
        <f t="shared" si="453"/>
        <v>0</v>
      </c>
      <c r="CR465" s="4">
        <f t="shared" si="454"/>
        <v>0</v>
      </c>
      <c r="CS465" s="4">
        <f t="shared" si="455"/>
        <v>0</v>
      </c>
      <c r="CT465" s="4">
        <f t="shared" si="456"/>
        <v>0</v>
      </c>
      <c r="CU465" s="4">
        <f t="shared" si="457"/>
        <v>0</v>
      </c>
      <c r="CV465" s="4">
        <f t="shared" si="458"/>
        <v>0</v>
      </c>
      <c r="CW465" s="4">
        <f t="shared" si="459"/>
        <v>0</v>
      </c>
      <c r="CX465" s="4">
        <f t="shared" si="460"/>
        <v>0</v>
      </c>
      <c r="CY465" s="4">
        <f t="shared" si="461"/>
        <v>0</v>
      </c>
      <c r="CZ465" s="4">
        <f t="shared" si="462"/>
        <v>0</v>
      </c>
      <c r="DA465" s="4">
        <f t="shared" si="463"/>
        <v>0</v>
      </c>
      <c r="DB465" s="4">
        <f t="shared" si="464"/>
        <v>0</v>
      </c>
      <c r="DC465" s="4">
        <f t="shared" si="465"/>
        <v>0</v>
      </c>
      <c r="DD465" s="4">
        <f t="shared" si="466"/>
        <v>0</v>
      </c>
    </row>
    <row r="466" spans="1:108" x14ac:dyDescent="0.25">
      <c r="A466" s="41" t="str">
        <f>Skills!M448</f>
        <v>Ritual Magic, Healing</v>
      </c>
      <c r="B466" s="55" t="str">
        <f>Skills!N448</f>
        <v>Healing</v>
      </c>
      <c r="C466" s="22">
        <f t="shared" si="467"/>
        <v>0</v>
      </c>
      <c r="D466" s="112" t="e">
        <f>Skills!S448</f>
        <v>#N/A</v>
      </c>
      <c r="E466" s="113" t="e">
        <f>Profession!$B$191</f>
        <v>#REF!</v>
      </c>
      <c r="F466" s="19"/>
      <c r="G466" s="19"/>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56"/>
      <c r="BF466" s="4">
        <f t="shared" si="417"/>
        <v>0</v>
      </c>
      <c r="BG466" s="4">
        <f t="shared" si="417"/>
        <v>0</v>
      </c>
      <c r="BH466" s="4">
        <f t="shared" si="418"/>
        <v>0</v>
      </c>
      <c r="BI466" s="4">
        <f t="shared" si="419"/>
        <v>0</v>
      </c>
      <c r="BJ466" s="4">
        <f t="shared" si="420"/>
        <v>0</v>
      </c>
      <c r="BK466" s="4">
        <f t="shared" si="421"/>
        <v>0</v>
      </c>
      <c r="BL466" s="4">
        <f t="shared" si="422"/>
        <v>0</v>
      </c>
      <c r="BM466" s="4">
        <f t="shared" si="423"/>
        <v>0</v>
      </c>
      <c r="BN466" s="4">
        <f t="shared" si="424"/>
        <v>0</v>
      </c>
      <c r="BO466" s="4">
        <f t="shared" si="425"/>
        <v>0</v>
      </c>
      <c r="BP466" s="4">
        <f t="shared" si="426"/>
        <v>0</v>
      </c>
      <c r="BQ466" s="4">
        <f t="shared" si="427"/>
        <v>0</v>
      </c>
      <c r="BR466" s="4">
        <f t="shared" si="428"/>
        <v>0</v>
      </c>
      <c r="BS466" s="4">
        <f t="shared" si="429"/>
        <v>0</v>
      </c>
      <c r="BT466" s="4">
        <f t="shared" si="430"/>
        <v>0</v>
      </c>
      <c r="BU466" s="4">
        <f t="shared" si="431"/>
        <v>0</v>
      </c>
      <c r="BV466" s="4">
        <f t="shared" si="432"/>
        <v>0</v>
      </c>
      <c r="BW466" s="4">
        <f t="shared" si="433"/>
        <v>0</v>
      </c>
      <c r="BX466" s="4">
        <f t="shared" si="434"/>
        <v>0</v>
      </c>
      <c r="BY466" s="4">
        <f t="shared" si="435"/>
        <v>0</v>
      </c>
      <c r="BZ466" s="4">
        <f t="shared" si="436"/>
        <v>0</v>
      </c>
      <c r="CA466" s="4">
        <f t="shared" si="437"/>
        <v>0</v>
      </c>
      <c r="CB466" s="4">
        <f t="shared" si="438"/>
        <v>0</v>
      </c>
      <c r="CC466" s="4">
        <f t="shared" si="439"/>
        <v>0</v>
      </c>
      <c r="CD466" s="4">
        <f t="shared" si="440"/>
        <v>0</v>
      </c>
      <c r="CE466" s="4">
        <f t="shared" si="441"/>
        <v>0</v>
      </c>
      <c r="CF466" s="4">
        <f t="shared" si="442"/>
        <v>0</v>
      </c>
      <c r="CG466" s="4">
        <f t="shared" si="443"/>
        <v>0</v>
      </c>
      <c r="CH466" s="4">
        <f t="shared" si="444"/>
        <v>0</v>
      </c>
      <c r="CI466" s="4">
        <f t="shared" si="445"/>
        <v>0</v>
      </c>
      <c r="CJ466" s="4">
        <f t="shared" si="446"/>
        <v>0</v>
      </c>
      <c r="CK466" s="4">
        <f t="shared" si="447"/>
        <v>0</v>
      </c>
      <c r="CL466" s="4">
        <f t="shared" si="448"/>
        <v>0</v>
      </c>
      <c r="CM466" s="4">
        <f t="shared" si="449"/>
        <v>0</v>
      </c>
      <c r="CN466" s="4">
        <f t="shared" si="450"/>
        <v>0</v>
      </c>
      <c r="CO466" s="4">
        <f t="shared" si="451"/>
        <v>0</v>
      </c>
      <c r="CP466" s="4">
        <f t="shared" si="452"/>
        <v>0</v>
      </c>
      <c r="CQ466" s="4">
        <f t="shared" si="453"/>
        <v>0</v>
      </c>
      <c r="CR466" s="4">
        <f t="shared" si="454"/>
        <v>0</v>
      </c>
      <c r="CS466" s="4">
        <f t="shared" si="455"/>
        <v>0</v>
      </c>
      <c r="CT466" s="4">
        <f t="shared" si="456"/>
        <v>0</v>
      </c>
      <c r="CU466" s="4">
        <f t="shared" si="457"/>
        <v>0</v>
      </c>
      <c r="CV466" s="4">
        <f t="shared" si="458"/>
        <v>0</v>
      </c>
      <c r="CW466" s="4">
        <f t="shared" si="459"/>
        <v>0</v>
      </c>
      <c r="CX466" s="4">
        <f t="shared" si="460"/>
        <v>0</v>
      </c>
      <c r="CY466" s="4">
        <f t="shared" si="461"/>
        <v>0</v>
      </c>
      <c r="CZ466" s="4">
        <f t="shared" si="462"/>
        <v>0</v>
      </c>
      <c r="DA466" s="4">
        <f t="shared" si="463"/>
        <v>0</v>
      </c>
      <c r="DB466" s="4">
        <f t="shared" si="464"/>
        <v>0</v>
      </c>
      <c r="DC466" s="4">
        <f t="shared" si="465"/>
        <v>0</v>
      </c>
      <c r="DD466" s="4">
        <f t="shared" si="466"/>
        <v>0</v>
      </c>
    </row>
    <row r="467" spans="1:108" x14ac:dyDescent="0.25">
      <c r="A467" s="41" t="str">
        <f>Skills!M449</f>
        <v>Ritual Magic, Informational</v>
      </c>
      <c r="B467" s="57" t="str">
        <f>Skills!N449</f>
        <v>Informational</v>
      </c>
      <c r="C467" s="24">
        <f t="shared" si="467"/>
        <v>0</v>
      </c>
      <c r="D467" s="110" t="e">
        <f ca="1">Skills!S449</f>
        <v>#N/A</v>
      </c>
      <c r="E467" s="111" t="e">
        <f>Profession!$B$191</f>
        <v>#REF!</v>
      </c>
      <c r="F467" s="18"/>
      <c r="G467" s="18"/>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49"/>
      <c r="BF467" s="4">
        <f t="shared" si="417"/>
        <v>0</v>
      </c>
      <c r="BG467" s="4">
        <f t="shared" si="417"/>
        <v>0</v>
      </c>
      <c r="BH467" s="4">
        <f t="shared" si="418"/>
        <v>0</v>
      </c>
      <c r="BI467" s="4">
        <f t="shared" si="419"/>
        <v>0</v>
      </c>
      <c r="BJ467" s="4">
        <f t="shared" si="420"/>
        <v>0</v>
      </c>
      <c r="BK467" s="4">
        <f t="shared" si="421"/>
        <v>0</v>
      </c>
      <c r="BL467" s="4">
        <f t="shared" si="422"/>
        <v>0</v>
      </c>
      <c r="BM467" s="4">
        <f t="shared" si="423"/>
        <v>0</v>
      </c>
      <c r="BN467" s="4">
        <f t="shared" si="424"/>
        <v>0</v>
      </c>
      <c r="BO467" s="4">
        <f t="shared" si="425"/>
        <v>0</v>
      </c>
      <c r="BP467" s="4">
        <f t="shared" si="426"/>
        <v>0</v>
      </c>
      <c r="BQ467" s="4">
        <f t="shared" si="427"/>
        <v>0</v>
      </c>
      <c r="BR467" s="4">
        <f t="shared" si="428"/>
        <v>0</v>
      </c>
      <c r="BS467" s="4">
        <f t="shared" si="429"/>
        <v>0</v>
      </c>
      <c r="BT467" s="4">
        <f t="shared" si="430"/>
        <v>0</v>
      </c>
      <c r="BU467" s="4">
        <f t="shared" si="431"/>
        <v>0</v>
      </c>
      <c r="BV467" s="4">
        <f t="shared" si="432"/>
        <v>0</v>
      </c>
      <c r="BW467" s="4">
        <f t="shared" si="433"/>
        <v>0</v>
      </c>
      <c r="BX467" s="4">
        <f t="shared" si="434"/>
        <v>0</v>
      </c>
      <c r="BY467" s="4">
        <f t="shared" si="435"/>
        <v>0</v>
      </c>
      <c r="BZ467" s="4">
        <f t="shared" si="436"/>
        <v>0</v>
      </c>
      <c r="CA467" s="4">
        <f t="shared" si="437"/>
        <v>0</v>
      </c>
      <c r="CB467" s="4">
        <f t="shared" si="438"/>
        <v>0</v>
      </c>
      <c r="CC467" s="4">
        <f t="shared" si="439"/>
        <v>0</v>
      </c>
      <c r="CD467" s="4">
        <f t="shared" si="440"/>
        <v>0</v>
      </c>
      <c r="CE467" s="4">
        <f t="shared" si="441"/>
        <v>0</v>
      </c>
      <c r="CF467" s="4">
        <f t="shared" si="442"/>
        <v>0</v>
      </c>
      <c r="CG467" s="4">
        <f t="shared" si="443"/>
        <v>0</v>
      </c>
      <c r="CH467" s="4">
        <f t="shared" si="444"/>
        <v>0</v>
      </c>
      <c r="CI467" s="4">
        <f t="shared" si="445"/>
        <v>0</v>
      </c>
      <c r="CJ467" s="4">
        <f t="shared" si="446"/>
        <v>0</v>
      </c>
      <c r="CK467" s="4">
        <f t="shared" si="447"/>
        <v>0</v>
      </c>
      <c r="CL467" s="4">
        <f t="shared" si="448"/>
        <v>0</v>
      </c>
      <c r="CM467" s="4">
        <f t="shared" si="449"/>
        <v>0</v>
      </c>
      <c r="CN467" s="4">
        <f t="shared" si="450"/>
        <v>0</v>
      </c>
      <c r="CO467" s="4">
        <f t="shared" si="451"/>
        <v>0</v>
      </c>
      <c r="CP467" s="4">
        <f t="shared" si="452"/>
        <v>0</v>
      </c>
      <c r="CQ467" s="4">
        <f t="shared" si="453"/>
        <v>0</v>
      </c>
      <c r="CR467" s="4">
        <f t="shared" si="454"/>
        <v>0</v>
      </c>
      <c r="CS467" s="4">
        <f t="shared" si="455"/>
        <v>0</v>
      </c>
      <c r="CT467" s="4">
        <f t="shared" si="456"/>
        <v>0</v>
      </c>
      <c r="CU467" s="4">
        <f t="shared" si="457"/>
        <v>0</v>
      </c>
      <c r="CV467" s="4">
        <f t="shared" si="458"/>
        <v>0</v>
      </c>
      <c r="CW467" s="4">
        <f t="shared" si="459"/>
        <v>0</v>
      </c>
      <c r="CX467" s="4">
        <f t="shared" si="460"/>
        <v>0</v>
      </c>
      <c r="CY467" s="4">
        <f t="shared" si="461"/>
        <v>0</v>
      </c>
      <c r="CZ467" s="4">
        <f t="shared" si="462"/>
        <v>0</v>
      </c>
      <c r="DA467" s="4">
        <f t="shared" si="463"/>
        <v>0</v>
      </c>
      <c r="DB467" s="4">
        <f t="shared" si="464"/>
        <v>0</v>
      </c>
      <c r="DC467" s="4">
        <f t="shared" si="465"/>
        <v>0</v>
      </c>
      <c r="DD467" s="4">
        <f t="shared" si="466"/>
        <v>0</v>
      </c>
    </row>
    <row r="468" spans="1:108" x14ac:dyDescent="0.25">
      <c r="A468" s="41" t="str">
        <f>Skills!M450</f>
        <v>Ritual Magic, Transportation</v>
      </c>
      <c r="B468" s="55" t="str">
        <f>Skills!N450</f>
        <v>Transportation</v>
      </c>
      <c r="C468" s="22">
        <f t="shared" si="467"/>
        <v>0</v>
      </c>
      <c r="D468" s="112" t="e">
        <f>Skills!S450</f>
        <v>#N/A</v>
      </c>
      <c r="E468" s="113" t="e">
        <f>Profession!$B$191</f>
        <v>#REF!</v>
      </c>
      <c r="F468" s="19"/>
      <c r="G468" s="19"/>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56"/>
      <c r="BF468" s="4">
        <f t="shared" si="417"/>
        <v>0</v>
      </c>
      <c r="BG468" s="4">
        <f t="shared" si="417"/>
        <v>0</v>
      </c>
      <c r="BH468" s="4">
        <f t="shared" si="418"/>
        <v>0</v>
      </c>
      <c r="BI468" s="4">
        <f t="shared" si="419"/>
        <v>0</v>
      </c>
      <c r="BJ468" s="4">
        <f t="shared" si="420"/>
        <v>0</v>
      </c>
      <c r="BK468" s="4">
        <f t="shared" si="421"/>
        <v>0</v>
      </c>
      <c r="BL468" s="4">
        <f t="shared" si="422"/>
        <v>0</v>
      </c>
      <c r="BM468" s="4">
        <f t="shared" si="423"/>
        <v>0</v>
      </c>
      <c r="BN468" s="4">
        <f t="shared" si="424"/>
        <v>0</v>
      </c>
      <c r="BO468" s="4">
        <f t="shared" si="425"/>
        <v>0</v>
      </c>
      <c r="BP468" s="4">
        <f t="shared" si="426"/>
        <v>0</v>
      </c>
      <c r="BQ468" s="4">
        <f t="shared" si="427"/>
        <v>0</v>
      </c>
      <c r="BR468" s="4">
        <f t="shared" si="428"/>
        <v>0</v>
      </c>
      <c r="BS468" s="4">
        <f t="shared" si="429"/>
        <v>0</v>
      </c>
      <c r="BT468" s="4">
        <f t="shared" si="430"/>
        <v>0</v>
      </c>
      <c r="BU468" s="4">
        <f t="shared" si="431"/>
        <v>0</v>
      </c>
      <c r="BV468" s="4">
        <f t="shared" si="432"/>
        <v>0</v>
      </c>
      <c r="BW468" s="4">
        <f t="shared" si="433"/>
        <v>0</v>
      </c>
      <c r="BX468" s="4">
        <f t="shared" si="434"/>
        <v>0</v>
      </c>
      <c r="BY468" s="4">
        <f t="shared" si="435"/>
        <v>0</v>
      </c>
      <c r="BZ468" s="4">
        <f t="shared" si="436"/>
        <v>0</v>
      </c>
      <c r="CA468" s="4">
        <f t="shared" si="437"/>
        <v>0</v>
      </c>
      <c r="CB468" s="4">
        <f t="shared" si="438"/>
        <v>0</v>
      </c>
      <c r="CC468" s="4">
        <f t="shared" si="439"/>
        <v>0</v>
      </c>
      <c r="CD468" s="4">
        <f t="shared" si="440"/>
        <v>0</v>
      </c>
      <c r="CE468" s="4">
        <f t="shared" si="441"/>
        <v>0</v>
      </c>
      <c r="CF468" s="4">
        <f t="shared" si="442"/>
        <v>0</v>
      </c>
      <c r="CG468" s="4">
        <f t="shared" si="443"/>
        <v>0</v>
      </c>
      <c r="CH468" s="4">
        <f t="shared" si="444"/>
        <v>0</v>
      </c>
      <c r="CI468" s="4">
        <f t="shared" si="445"/>
        <v>0</v>
      </c>
      <c r="CJ468" s="4">
        <f t="shared" si="446"/>
        <v>0</v>
      </c>
      <c r="CK468" s="4">
        <f t="shared" si="447"/>
        <v>0</v>
      </c>
      <c r="CL468" s="4">
        <f t="shared" si="448"/>
        <v>0</v>
      </c>
      <c r="CM468" s="4">
        <f t="shared" si="449"/>
        <v>0</v>
      </c>
      <c r="CN468" s="4">
        <f t="shared" si="450"/>
        <v>0</v>
      </c>
      <c r="CO468" s="4">
        <f t="shared" si="451"/>
        <v>0</v>
      </c>
      <c r="CP468" s="4">
        <f t="shared" si="452"/>
        <v>0</v>
      </c>
      <c r="CQ468" s="4">
        <f t="shared" si="453"/>
        <v>0</v>
      </c>
      <c r="CR468" s="4">
        <f t="shared" si="454"/>
        <v>0</v>
      </c>
      <c r="CS468" s="4">
        <f t="shared" si="455"/>
        <v>0</v>
      </c>
      <c r="CT468" s="4">
        <f t="shared" si="456"/>
        <v>0</v>
      </c>
      <c r="CU468" s="4">
        <f t="shared" si="457"/>
        <v>0</v>
      </c>
      <c r="CV468" s="4">
        <f t="shared" si="458"/>
        <v>0</v>
      </c>
      <c r="CW468" s="4">
        <f t="shared" si="459"/>
        <v>0</v>
      </c>
      <c r="CX468" s="4">
        <f t="shared" si="460"/>
        <v>0</v>
      </c>
      <c r="CY468" s="4">
        <f t="shared" si="461"/>
        <v>0</v>
      </c>
      <c r="CZ468" s="4">
        <f t="shared" si="462"/>
        <v>0</v>
      </c>
      <c r="DA468" s="4">
        <f t="shared" si="463"/>
        <v>0</v>
      </c>
      <c r="DB468" s="4">
        <f t="shared" si="464"/>
        <v>0</v>
      </c>
      <c r="DC468" s="4">
        <f t="shared" si="465"/>
        <v>0</v>
      </c>
      <c r="DD468" s="4">
        <f t="shared" si="466"/>
        <v>0</v>
      </c>
    </row>
    <row r="469" spans="1:108" x14ac:dyDescent="0.25">
      <c r="A469" s="41">
        <f>Skills!M451</f>
        <v>0</v>
      </c>
      <c r="B469" s="57" t="str">
        <f>Skills!N451</f>
        <v>Science Category</v>
      </c>
      <c r="C469" s="24">
        <f t="shared" si="467"/>
        <v>0</v>
      </c>
      <c r="D469" s="110" t="str">
        <f>Skills!S451</f>
        <v>- -</v>
      </c>
      <c r="E469" s="111" t="s">
        <v>782</v>
      </c>
      <c r="F469" s="18"/>
      <c r="G469" s="18"/>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49"/>
      <c r="BF469" s="4">
        <f t="shared" si="417"/>
        <v>0</v>
      </c>
      <c r="BG469" s="4">
        <f t="shared" si="417"/>
        <v>0</v>
      </c>
      <c r="BH469" s="4">
        <f t="shared" si="418"/>
        <v>0</v>
      </c>
      <c r="BI469" s="4">
        <f t="shared" si="419"/>
        <v>0</v>
      </c>
      <c r="BJ469" s="4">
        <f t="shared" si="420"/>
        <v>0</v>
      </c>
      <c r="BK469" s="4">
        <f t="shared" si="421"/>
        <v>0</v>
      </c>
      <c r="BL469" s="4">
        <f t="shared" si="422"/>
        <v>0</v>
      </c>
      <c r="BM469" s="4">
        <f t="shared" si="423"/>
        <v>0</v>
      </c>
      <c r="BN469" s="4">
        <f t="shared" si="424"/>
        <v>0</v>
      </c>
      <c r="BO469" s="4">
        <f t="shared" si="425"/>
        <v>0</v>
      </c>
      <c r="BP469" s="4">
        <f t="shared" si="426"/>
        <v>0</v>
      </c>
      <c r="BQ469" s="4">
        <f t="shared" si="427"/>
        <v>0</v>
      </c>
      <c r="BR469" s="4">
        <f t="shared" si="428"/>
        <v>0</v>
      </c>
      <c r="BS469" s="4">
        <f t="shared" si="429"/>
        <v>0</v>
      </c>
      <c r="BT469" s="4">
        <f t="shared" si="430"/>
        <v>0</v>
      </c>
      <c r="BU469" s="4">
        <f t="shared" si="431"/>
        <v>0</v>
      </c>
      <c r="BV469" s="4">
        <f t="shared" si="432"/>
        <v>0</v>
      </c>
      <c r="BW469" s="4">
        <f t="shared" si="433"/>
        <v>0</v>
      </c>
      <c r="BX469" s="4">
        <f t="shared" si="434"/>
        <v>0</v>
      </c>
      <c r="BY469" s="4">
        <f t="shared" si="435"/>
        <v>0</v>
      </c>
      <c r="BZ469" s="4">
        <f t="shared" si="436"/>
        <v>0</v>
      </c>
      <c r="CA469" s="4">
        <f t="shared" si="437"/>
        <v>0</v>
      </c>
      <c r="CB469" s="4">
        <f t="shared" si="438"/>
        <v>0</v>
      </c>
      <c r="CC469" s="4">
        <f t="shared" si="439"/>
        <v>0</v>
      </c>
      <c r="CD469" s="4">
        <f t="shared" si="440"/>
        <v>0</v>
      </c>
      <c r="CE469" s="4">
        <f t="shared" si="441"/>
        <v>0</v>
      </c>
      <c r="CF469" s="4">
        <f t="shared" si="442"/>
        <v>0</v>
      </c>
      <c r="CG469" s="4">
        <f t="shared" si="443"/>
        <v>0</v>
      </c>
      <c r="CH469" s="4">
        <f t="shared" si="444"/>
        <v>0</v>
      </c>
      <c r="CI469" s="4">
        <f t="shared" si="445"/>
        <v>0</v>
      </c>
      <c r="CJ469" s="4">
        <f t="shared" si="446"/>
        <v>0</v>
      </c>
      <c r="CK469" s="4">
        <f t="shared" si="447"/>
        <v>0</v>
      </c>
      <c r="CL469" s="4">
        <f t="shared" si="448"/>
        <v>0</v>
      </c>
      <c r="CM469" s="4">
        <f t="shared" si="449"/>
        <v>0</v>
      </c>
      <c r="CN469" s="4">
        <f t="shared" si="450"/>
        <v>0</v>
      </c>
      <c r="CO469" s="4">
        <f t="shared" si="451"/>
        <v>0</v>
      </c>
      <c r="CP469" s="4">
        <f t="shared" si="452"/>
        <v>0</v>
      </c>
      <c r="CQ469" s="4">
        <f t="shared" si="453"/>
        <v>0</v>
      </c>
      <c r="CR469" s="4">
        <f t="shared" si="454"/>
        <v>0</v>
      </c>
      <c r="CS469" s="4">
        <f t="shared" si="455"/>
        <v>0</v>
      </c>
      <c r="CT469" s="4">
        <f t="shared" si="456"/>
        <v>0</v>
      </c>
      <c r="CU469" s="4">
        <f t="shared" si="457"/>
        <v>0</v>
      </c>
      <c r="CV469" s="4">
        <f t="shared" si="458"/>
        <v>0</v>
      </c>
      <c r="CW469" s="4">
        <f t="shared" si="459"/>
        <v>0</v>
      </c>
      <c r="CX469" s="4">
        <f t="shared" si="460"/>
        <v>0</v>
      </c>
      <c r="CY469" s="4">
        <f t="shared" si="461"/>
        <v>0</v>
      </c>
      <c r="CZ469" s="4">
        <f t="shared" si="462"/>
        <v>0</v>
      </c>
      <c r="DA469" s="4">
        <f t="shared" si="463"/>
        <v>0</v>
      </c>
      <c r="DB469" s="4">
        <f t="shared" si="464"/>
        <v>0</v>
      </c>
      <c r="DC469" s="4">
        <f t="shared" si="465"/>
        <v>0</v>
      </c>
      <c r="DD469" s="4">
        <f t="shared" si="466"/>
        <v>0</v>
      </c>
    </row>
    <row r="470" spans="1:108" x14ac:dyDescent="0.25">
      <c r="A470" s="41">
        <f>Skills!M452</f>
        <v>0</v>
      </c>
      <c r="B470" s="55" t="str">
        <f>Skills!N452</f>
        <v>Science Skills</v>
      </c>
      <c r="C470" s="22">
        <f t="shared" si="467"/>
        <v>0</v>
      </c>
      <c r="D470" s="112" t="str">
        <f>Skills!S452</f>
        <v>- -</v>
      </c>
      <c r="E470" s="113" t="s">
        <v>782</v>
      </c>
      <c r="F470" s="19"/>
      <c r="G470" s="19"/>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56"/>
      <c r="BF470" s="4">
        <f t="shared" si="417"/>
        <v>0</v>
      </c>
      <c r="BG470" s="4">
        <f t="shared" si="417"/>
        <v>0</v>
      </c>
      <c r="BH470" s="4">
        <f t="shared" si="418"/>
        <v>0</v>
      </c>
      <c r="BI470" s="4">
        <f t="shared" si="419"/>
        <v>0</v>
      </c>
      <c r="BJ470" s="4">
        <f t="shared" si="420"/>
        <v>0</v>
      </c>
      <c r="BK470" s="4">
        <f t="shared" si="421"/>
        <v>0</v>
      </c>
      <c r="BL470" s="4">
        <f t="shared" si="422"/>
        <v>0</v>
      </c>
      <c r="BM470" s="4">
        <f t="shared" si="423"/>
        <v>0</v>
      </c>
      <c r="BN470" s="4">
        <f t="shared" si="424"/>
        <v>0</v>
      </c>
      <c r="BO470" s="4">
        <f t="shared" si="425"/>
        <v>0</v>
      </c>
      <c r="BP470" s="4">
        <f t="shared" si="426"/>
        <v>0</v>
      </c>
      <c r="BQ470" s="4">
        <f t="shared" si="427"/>
        <v>0</v>
      </c>
      <c r="BR470" s="4">
        <f t="shared" si="428"/>
        <v>0</v>
      </c>
      <c r="BS470" s="4">
        <f t="shared" si="429"/>
        <v>0</v>
      </c>
      <c r="BT470" s="4">
        <f t="shared" si="430"/>
        <v>0</v>
      </c>
      <c r="BU470" s="4">
        <f t="shared" si="431"/>
        <v>0</v>
      </c>
      <c r="BV470" s="4">
        <f t="shared" si="432"/>
        <v>0</v>
      </c>
      <c r="BW470" s="4">
        <f t="shared" si="433"/>
        <v>0</v>
      </c>
      <c r="BX470" s="4">
        <f t="shared" si="434"/>
        <v>0</v>
      </c>
      <c r="BY470" s="4">
        <f t="shared" si="435"/>
        <v>0</v>
      </c>
      <c r="BZ470" s="4">
        <f t="shared" si="436"/>
        <v>0</v>
      </c>
      <c r="CA470" s="4">
        <f t="shared" si="437"/>
        <v>0</v>
      </c>
      <c r="CB470" s="4">
        <f t="shared" si="438"/>
        <v>0</v>
      </c>
      <c r="CC470" s="4">
        <f t="shared" si="439"/>
        <v>0</v>
      </c>
      <c r="CD470" s="4">
        <f t="shared" si="440"/>
        <v>0</v>
      </c>
      <c r="CE470" s="4">
        <f t="shared" si="441"/>
        <v>0</v>
      </c>
      <c r="CF470" s="4">
        <f t="shared" si="442"/>
        <v>0</v>
      </c>
      <c r="CG470" s="4">
        <f t="shared" si="443"/>
        <v>0</v>
      </c>
      <c r="CH470" s="4">
        <f t="shared" si="444"/>
        <v>0</v>
      </c>
      <c r="CI470" s="4">
        <f t="shared" si="445"/>
        <v>0</v>
      </c>
      <c r="CJ470" s="4">
        <f t="shared" si="446"/>
        <v>0</v>
      </c>
      <c r="CK470" s="4">
        <f t="shared" si="447"/>
        <v>0</v>
      </c>
      <c r="CL470" s="4">
        <f t="shared" si="448"/>
        <v>0</v>
      </c>
      <c r="CM470" s="4">
        <f t="shared" si="449"/>
        <v>0</v>
      </c>
      <c r="CN470" s="4">
        <f t="shared" si="450"/>
        <v>0</v>
      </c>
      <c r="CO470" s="4">
        <f t="shared" si="451"/>
        <v>0</v>
      </c>
      <c r="CP470" s="4">
        <f t="shared" si="452"/>
        <v>0</v>
      </c>
      <c r="CQ470" s="4">
        <f t="shared" si="453"/>
        <v>0</v>
      </c>
      <c r="CR470" s="4">
        <f t="shared" si="454"/>
        <v>0</v>
      </c>
      <c r="CS470" s="4">
        <f t="shared" si="455"/>
        <v>0</v>
      </c>
      <c r="CT470" s="4">
        <f t="shared" si="456"/>
        <v>0</v>
      </c>
      <c r="CU470" s="4">
        <f t="shared" si="457"/>
        <v>0</v>
      </c>
      <c r="CV470" s="4">
        <f t="shared" si="458"/>
        <v>0</v>
      </c>
      <c r="CW470" s="4">
        <f t="shared" si="459"/>
        <v>0</v>
      </c>
      <c r="CX470" s="4">
        <f t="shared" si="460"/>
        <v>0</v>
      </c>
      <c r="CY470" s="4">
        <f t="shared" si="461"/>
        <v>0</v>
      </c>
      <c r="CZ470" s="4">
        <f t="shared" si="462"/>
        <v>0</v>
      </c>
      <c r="DA470" s="4">
        <f t="shared" si="463"/>
        <v>0</v>
      </c>
      <c r="DB470" s="4">
        <f t="shared" si="464"/>
        <v>0</v>
      </c>
      <c r="DC470" s="4">
        <f t="shared" si="465"/>
        <v>0</v>
      </c>
      <c r="DD470" s="4">
        <f t="shared" si="466"/>
        <v>0</v>
      </c>
    </row>
    <row r="471" spans="1:108" x14ac:dyDescent="0.25">
      <c r="A471" s="41">
        <f>Skills!M453</f>
        <v>0</v>
      </c>
      <c r="B471" s="57" t="str">
        <f>Skills!N453</f>
        <v>Science Sub-Category</v>
      </c>
      <c r="C471" s="24">
        <f t="shared" si="467"/>
        <v>0</v>
      </c>
      <c r="D471" s="110" t="str">
        <f>Skills!S453</f>
        <v>- -</v>
      </c>
      <c r="E471" s="111" t="s">
        <v>782</v>
      </c>
      <c r="F471" s="18"/>
      <c r="G471" s="18"/>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49"/>
      <c r="BF471" s="4">
        <f t="shared" si="417"/>
        <v>0</v>
      </c>
      <c r="BG471" s="4">
        <f t="shared" si="417"/>
        <v>0</v>
      </c>
      <c r="BH471" s="4">
        <f t="shared" si="418"/>
        <v>0</v>
      </c>
      <c r="BI471" s="4">
        <f t="shared" si="419"/>
        <v>0</v>
      </c>
      <c r="BJ471" s="4">
        <f t="shared" si="420"/>
        <v>0</v>
      </c>
      <c r="BK471" s="4">
        <f t="shared" si="421"/>
        <v>0</v>
      </c>
      <c r="BL471" s="4">
        <f t="shared" si="422"/>
        <v>0</v>
      </c>
      <c r="BM471" s="4">
        <f t="shared" si="423"/>
        <v>0</v>
      </c>
      <c r="BN471" s="4">
        <f t="shared" si="424"/>
        <v>0</v>
      </c>
      <c r="BO471" s="4">
        <f t="shared" si="425"/>
        <v>0</v>
      </c>
      <c r="BP471" s="4">
        <f t="shared" si="426"/>
        <v>0</v>
      </c>
      <c r="BQ471" s="4">
        <f t="shared" si="427"/>
        <v>0</v>
      </c>
      <c r="BR471" s="4">
        <f t="shared" si="428"/>
        <v>0</v>
      </c>
      <c r="BS471" s="4">
        <f t="shared" si="429"/>
        <v>0</v>
      </c>
      <c r="BT471" s="4">
        <f t="shared" si="430"/>
        <v>0</v>
      </c>
      <c r="BU471" s="4">
        <f t="shared" si="431"/>
        <v>0</v>
      </c>
      <c r="BV471" s="4">
        <f t="shared" si="432"/>
        <v>0</v>
      </c>
      <c r="BW471" s="4">
        <f t="shared" si="433"/>
        <v>0</v>
      </c>
      <c r="BX471" s="4">
        <f t="shared" si="434"/>
        <v>0</v>
      </c>
      <c r="BY471" s="4">
        <f t="shared" si="435"/>
        <v>0</v>
      </c>
      <c r="BZ471" s="4">
        <f t="shared" si="436"/>
        <v>0</v>
      </c>
      <c r="CA471" s="4">
        <f t="shared" si="437"/>
        <v>0</v>
      </c>
      <c r="CB471" s="4">
        <f t="shared" si="438"/>
        <v>0</v>
      </c>
      <c r="CC471" s="4">
        <f t="shared" si="439"/>
        <v>0</v>
      </c>
      <c r="CD471" s="4">
        <f t="shared" si="440"/>
        <v>0</v>
      </c>
      <c r="CE471" s="4">
        <f t="shared" si="441"/>
        <v>0</v>
      </c>
      <c r="CF471" s="4">
        <f t="shared" si="442"/>
        <v>0</v>
      </c>
      <c r="CG471" s="4">
        <f t="shared" si="443"/>
        <v>0</v>
      </c>
      <c r="CH471" s="4">
        <f t="shared" si="444"/>
        <v>0</v>
      </c>
      <c r="CI471" s="4">
        <f t="shared" si="445"/>
        <v>0</v>
      </c>
      <c r="CJ471" s="4">
        <f t="shared" si="446"/>
        <v>0</v>
      </c>
      <c r="CK471" s="4">
        <f t="shared" si="447"/>
        <v>0</v>
      </c>
      <c r="CL471" s="4">
        <f t="shared" si="448"/>
        <v>0</v>
      </c>
      <c r="CM471" s="4">
        <f t="shared" si="449"/>
        <v>0</v>
      </c>
      <c r="CN471" s="4">
        <f t="shared" si="450"/>
        <v>0</v>
      </c>
      <c r="CO471" s="4">
        <f t="shared" si="451"/>
        <v>0</v>
      </c>
      <c r="CP471" s="4">
        <f t="shared" si="452"/>
        <v>0</v>
      </c>
      <c r="CQ471" s="4">
        <f t="shared" si="453"/>
        <v>0</v>
      </c>
      <c r="CR471" s="4">
        <f t="shared" si="454"/>
        <v>0</v>
      </c>
      <c r="CS471" s="4">
        <f t="shared" si="455"/>
        <v>0</v>
      </c>
      <c r="CT471" s="4">
        <f t="shared" si="456"/>
        <v>0</v>
      </c>
      <c r="CU471" s="4">
        <f t="shared" si="457"/>
        <v>0</v>
      </c>
      <c r="CV471" s="4">
        <f t="shared" si="458"/>
        <v>0</v>
      </c>
      <c r="CW471" s="4">
        <f t="shared" si="459"/>
        <v>0</v>
      </c>
      <c r="CX471" s="4">
        <f t="shared" si="460"/>
        <v>0</v>
      </c>
      <c r="CY471" s="4">
        <f t="shared" si="461"/>
        <v>0</v>
      </c>
      <c r="CZ471" s="4">
        <f t="shared" si="462"/>
        <v>0</v>
      </c>
      <c r="DA471" s="4">
        <f t="shared" si="463"/>
        <v>0</v>
      </c>
      <c r="DB471" s="4">
        <f t="shared" si="464"/>
        <v>0</v>
      </c>
      <c r="DC471" s="4">
        <f t="shared" si="465"/>
        <v>0</v>
      </c>
      <c r="DD471" s="4">
        <f t="shared" si="466"/>
        <v>0</v>
      </c>
    </row>
    <row r="472" spans="1:108" x14ac:dyDescent="0.25">
      <c r="A472" s="41">
        <f>Skills!M454</f>
        <v>0</v>
      </c>
      <c r="B472" s="55" t="str">
        <f>Skills!N454</f>
        <v>Science Skills</v>
      </c>
      <c r="C472" s="22">
        <f t="shared" si="467"/>
        <v>0</v>
      </c>
      <c r="D472" s="112" t="str">
        <f>Skills!S454</f>
        <v>- -</v>
      </c>
      <c r="E472" s="113" t="s">
        <v>782</v>
      </c>
      <c r="F472" s="19"/>
      <c r="G472" s="19"/>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56"/>
      <c r="BF472" s="4">
        <f t="shared" si="417"/>
        <v>0</v>
      </c>
      <c r="BG472" s="4">
        <f t="shared" si="417"/>
        <v>0</v>
      </c>
      <c r="BH472" s="4">
        <f t="shared" si="418"/>
        <v>0</v>
      </c>
      <c r="BI472" s="4">
        <f t="shared" si="419"/>
        <v>0</v>
      </c>
      <c r="BJ472" s="4">
        <f t="shared" si="420"/>
        <v>0</v>
      </c>
      <c r="BK472" s="4">
        <f t="shared" si="421"/>
        <v>0</v>
      </c>
      <c r="BL472" s="4">
        <f t="shared" si="422"/>
        <v>0</v>
      </c>
      <c r="BM472" s="4">
        <f t="shared" si="423"/>
        <v>0</v>
      </c>
      <c r="BN472" s="4">
        <f t="shared" si="424"/>
        <v>0</v>
      </c>
      <c r="BO472" s="4">
        <f t="shared" si="425"/>
        <v>0</v>
      </c>
      <c r="BP472" s="4">
        <f t="shared" si="426"/>
        <v>0</v>
      </c>
      <c r="BQ472" s="4">
        <f t="shared" si="427"/>
        <v>0</v>
      </c>
      <c r="BR472" s="4">
        <f t="shared" si="428"/>
        <v>0</v>
      </c>
      <c r="BS472" s="4">
        <f t="shared" si="429"/>
        <v>0</v>
      </c>
      <c r="BT472" s="4">
        <f t="shared" si="430"/>
        <v>0</v>
      </c>
      <c r="BU472" s="4">
        <f t="shared" si="431"/>
        <v>0</v>
      </c>
      <c r="BV472" s="4">
        <f t="shared" si="432"/>
        <v>0</v>
      </c>
      <c r="BW472" s="4">
        <f t="shared" si="433"/>
        <v>0</v>
      </c>
      <c r="BX472" s="4">
        <f t="shared" si="434"/>
        <v>0</v>
      </c>
      <c r="BY472" s="4">
        <f t="shared" si="435"/>
        <v>0</v>
      </c>
      <c r="BZ472" s="4">
        <f t="shared" si="436"/>
        <v>0</v>
      </c>
      <c r="CA472" s="4">
        <f t="shared" si="437"/>
        <v>0</v>
      </c>
      <c r="CB472" s="4">
        <f t="shared" si="438"/>
        <v>0</v>
      </c>
      <c r="CC472" s="4">
        <f t="shared" si="439"/>
        <v>0</v>
      </c>
      <c r="CD472" s="4">
        <f t="shared" si="440"/>
        <v>0</v>
      </c>
      <c r="CE472" s="4">
        <f t="shared" si="441"/>
        <v>0</v>
      </c>
      <c r="CF472" s="4">
        <f t="shared" si="442"/>
        <v>0</v>
      </c>
      <c r="CG472" s="4">
        <f t="shared" si="443"/>
        <v>0</v>
      </c>
      <c r="CH472" s="4">
        <f t="shared" si="444"/>
        <v>0</v>
      </c>
      <c r="CI472" s="4">
        <f t="shared" si="445"/>
        <v>0</v>
      </c>
      <c r="CJ472" s="4">
        <f t="shared" si="446"/>
        <v>0</v>
      </c>
      <c r="CK472" s="4">
        <f t="shared" si="447"/>
        <v>0</v>
      </c>
      <c r="CL472" s="4">
        <f t="shared" si="448"/>
        <v>0</v>
      </c>
      <c r="CM472" s="4">
        <f t="shared" si="449"/>
        <v>0</v>
      </c>
      <c r="CN472" s="4">
        <f t="shared" si="450"/>
        <v>0</v>
      </c>
      <c r="CO472" s="4">
        <f t="shared" si="451"/>
        <v>0</v>
      </c>
      <c r="CP472" s="4">
        <f t="shared" si="452"/>
        <v>0</v>
      </c>
      <c r="CQ472" s="4">
        <f t="shared" si="453"/>
        <v>0</v>
      </c>
      <c r="CR472" s="4">
        <f t="shared" si="454"/>
        <v>0</v>
      </c>
      <c r="CS472" s="4">
        <f t="shared" si="455"/>
        <v>0</v>
      </c>
      <c r="CT472" s="4">
        <f t="shared" si="456"/>
        <v>0</v>
      </c>
      <c r="CU472" s="4">
        <f t="shared" si="457"/>
        <v>0</v>
      </c>
      <c r="CV472" s="4">
        <f t="shared" si="458"/>
        <v>0</v>
      </c>
      <c r="CW472" s="4">
        <f t="shared" si="459"/>
        <v>0</v>
      </c>
      <c r="CX472" s="4">
        <f t="shared" si="460"/>
        <v>0</v>
      </c>
      <c r="CY472" s="4">
        <f t="shared" si="461"/>
        <v>0</v>
      </c>
      <c r="CZ472" s="4">
        <f t="shared" si="462"/>
        <v>0</v>
      </c>
      <c r="DA472" s="4">
        <f t="shared" si="463"/>
        <v>0</v>
      </c>
      <c r="DB472" s="4">
        <f t="shared" si="464"/>
        <v>0</v>
      </c>
      <c r="DC472" s="4">
        <f t="shared" si="465"/>
        <v>0</v>
      </c>
      <c r="DD472" s="4">
        <f t="shared" si="466"/>
        <v>0</v>
      </c>
    </row>
    <row r="473" spans="1:108" x14ac:dyDescent="0.25">
      <c r="A473" s="41" t="str">
        <f>Skills!M455</f>
        <v>Aerodynamics</v>
      </c>
      <c r="B473" s="57" t="str">
        <f>Skills!N455</f>
        <v>Aerodynamics</v>
      </c>
      <c r="C473" s="24">
        <f t="shared" si="467"/>
        <v>0</v>
      </c>
      <c r="D473" s="110">
        <f>Skills!S455</f>
        <v>0</v>
      </c>
      <c r="E473" s="111" t="e">
        <f>Profession!B193</f>
        <v>#REF!</v>
      </c>
      <c r="F473" s="18"/>
      <c r="G473" s="18"/>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49"/>
      <c r="BF473" s="4">
        <f t="shared" si="417"/>
        <v>0</v>
      </c>
      <c r="BG473" s="4">
        <f t="shared" si="417"/>
        <v>0</v>
      </c>
      <c r="BH473" s="4">
        <f t="shared" si="418"/>
        <v>0</v>
      </c>
      <c r="BI473" s="4">
        <f t="shared" si="419"/>
        <v>0</v>
      </c>
      <c r="BJ473" s="4">
        <f t="shared" si="420"/>
        <v>0</v>
      </c>
      <c r="BK473" s="4">
        <f t="shared" si="421"/>
        <v>0</v>
      </c>
      <c r="BL473" s="4">
        <f t="shared" si="422"/>
        <v>0</v>
      </c>
      <c r="BM473" s="4">
        <f t="shared" si="423"/>
        <v>0</v>
      </c>
      <c r="BN473" s="4">
        <f t="shared" si="424"/>
        <v>0</v>
      </c>
      <c r="BO473" s="4">
        <f t="shared" si="425"/>
        <v>0</v>
      </c>
      <c r="BP473" s="4">
        <f t="shared" si="426"/>
        <v>0</v>
      </c>
      <c r="BQ473" s="4">
        <f t="shared" si="427"/>
        <v>0</v>
      </c>
      <c r="BR473" s="4">
        <f t="shared" si="428"/>
        <v>0</v>
      </c>
      <c r="BS473" s="4">
        <f t="shared" si="429"/>
        <v>0</v>
      </c>
      <c r="BT473" s="4">
        <f t="shared" si="430"/>
        <v>0</v>
      </c>
      <c r="BU473" s="4">
        <f t="shared" si="431"/>
        <v>0</v>
      </c>
      <c r="BV473" s="4">
        <f t="shared" si="432"/>
        <v>0</v>
      </c>
      <c r="BW473" s="4">
        <f t="shared" si="433"/>
        <v>0</v>
      </c>
      <c r="BX473" s="4">
        <f t="shared" si="434"/>
        <v>0</v>
      </c>
      <c r="BY473" s="4">
        <f t="shared" si="435"/>
        <v>0</v>
      </c>
      <c r="BZ473" s="4">
        <f t="shared" si="436"/>
        <v>0</v>
      </c>
      <c r="CA473" s="4">
        <f t="shared" si="437"/>
        <v>0</v>
      </c>
      <c r="CB473" s="4">
        <f t="shared" si="438"/>
        <v>0</v>
      </c>
      <c r="CC473" s="4">
        <f t="shared" si="439"/>
        <v>0</v>
      </c>
      <c r="CD473" s="4">
        <f t="shared" si="440"/>
        <v>0</v>
      </c>
      <c r="CE473" s="4">
        <f t="shared" si="441"/>
        <v>0</v>
      </c>
      <c r="CF473" s="4">
        <f t="shared" si="442"/>
        <v>0</v>
      </c>
      <c r="CG473" s="4">
        <f t="shared" si="443"/>
        <v>0</v>
      </c>
      <c r="CH473" s="4">
        <f t="shared" si="444"/>
        <v>0</v>
      </c>
      <c r="CI473" s="4">
        <f t="shared" si="445"/>
        <v>0</v>
      </c>
      <c r="CJ473" s="4">
        <f t="shared" si="446"/>
        <v>0</v>
      </c>
      <c r="CK473" s="4">
        <f t="shared" si="447"/>
        <v>0</v>
      </c>
      <c r="CL473" s="4">
        <f t="shared" si="448"/>
        <v>0</v>
      </c>
      <c r="CM473" s="4">
        <f t="shared" si="449"/>
        <v>0</v>
      </c>
      <c r="CN473" s="4">
        <f t="shared" si="450"/>
        <v>0</v>
      </c>
      <c r="CO473" s="4">
        <f t="shared" si="451"/>
        <v>0</v>
      </c>
      <c r="CP473" s="4">
        <f t="shared" si="452"/>
        <v>0</v>
      </c>
      <c r="CQ473" s="4">
        <f t="shared" si="453"/>
        <v>0</v>
      </c>
      <c r="CR473" s="4">
        <f t="shared" si="454"/>
        <v>0</v>
      </c>
      <c r="CS473" s="4">
        <f t="shared" si="455"/>
        <v>0</v>
      </c>
      <c r="CT473" s="4">
        <f t="shared" si="456"/>
        <v>0</v>
      </c>
      <c r="CU473" s="4">
        <f t="shared" si="457"/>
        <v>0</v>
      </c>
      <c r="CV473" s="4">
        <f t="shared" si="458"/>
        <v>0</v>
      </c>
      <c r="CW473" s="4">
        <f t="shared" si="459"/>
        <v>0</v>
      </c>
      <c r="CX473" s="4">
        <f t="shared" si="460"/>
        <v>0</v>
      </c>
      <c r="CY473" s="4">
        <f t="shared" si="461"/>
        <v>0</v>
      </c>
      <c r="CZ473" s="4">
        <f t="shared" si="462"/>
        <v>0</v>
      </c>
      <c r="DA473" s="4">
        <f t="shared" si="463"/>
        <v>0</v>
      </c>
      <c r="DB473" s="4">
        <f t="shared" si="464"/>
        <v>0</v>
      </c>
      <c r="DC473" s="4">
        <f t="shared" si="465"/>
        <v>0</v>
      </c>
      <c r="DD473" s="4">
        <f t="shared" si="466"/>
        <v>0</v>
      </c>
    </row>
    <row r="474" spans="1:108" x14ac:dyDescent="0.25">
      <c r="A474" s="41" t="str">
        <f>Skills!M456</f>
        <v>Agriculture</v>
      </c>
      <c r="B474" s="55" t="str">
        <f>Skills!N456</f>
        <v>Agriculture</v>
      </c>
      <c r="C474" s="22">
        <f t="shared" si="467"/>
        <v>0</v>
      </c>
      <c r="D474" s="112">
        <f>Skills!S456</f>
        <v>0</v>
      </c>
      <c r="E474" s="113" t="e">
        <f>Profession!B194</f>
        <v>#REF!</v>
      </c>
      <c r="F474" s="19"/>
      <c r="G474" s="19"/>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56"/>
      <c r="BF474" s="4">
        <f t="shared" si="417"/>
        <v>0</v>
      </c>
      <c r="BG474" s="4">
        <f t="shared" si="417"/>
        <v>0</v>
      </c>
      <c r="BH474" s="4">
        <f t="shared" si="418"/>
        <v>0</v>
      </c>
      <c r="BI474" s="4">
        <f t="shared" si="419"/>
        <v>0</v>
      </c>
      <c r="BJ474" s="4">
        <f t="shared" si="420"/>
        <v>0</v>
      </c>
      <c r="BK474" s="4">
        <f t="shared" si="421"/>
        <v>0</v>
      </c>
      <c r="BL474" s="4">
        <f t="shared" si="422"/>
        <v>0</v>
      </c>
      <c r="BM474" s="4">
        <f t="shared" si="423"/>
        <v>0</v>
      </c>
      <c r="BN474" s="4">
        <f t="shared" si="424"/>
        <v>0</v>
      </c>
      <c r="BO474" s="4">
        <f t="shared" si="425"/>
        <v>0</v>
      </c>
      <c r="BP474" s="4">
        <f t="shared" si="426"/>
        <v>0</v>
      </c>
      <c r="BQ474" s="4">
        <f t="shared" si="427"/>
        <v>0</v>
      </c>
      <c r="BR474" s="4">
        <f t="shared" si="428"/>
        <v>0</v>
      </c>
      <c r="BS474" s="4">
        <f t="shared" si="429"/>
        <v>0</v>
      </c>
      <c r="BT474" s="4">
        <f t="shared" si="430"/>
        <v>0</v>
      </c>
      <c r="BU474" s="4">
        <f t="shared" si="431"/>
        <v>0</v>
      </c>
      <c r="BV474" s="4">
        <f t="shared" si="432"/>
        <v>0</v>
      </c>
      <c r="BW474" s="4">
        <f t="shared" si="433"/>
        <v>0</v>
      </c>
      <c r="BX474" s="4">
        <f t="shared" si="434"/>
        <v>0</v>
      </c>
      <c r="BY474" s="4">
        <f t="shared" si="435"/>
        <v>0</v>
      </c>
      <c r="BZ474" s="4">
        <f t="shared" si="436"/>
        <v>0</v>
      </c>
      <c r="CA474" s="4">
        <f t="shared" si="437"/>
        <v>0</v>
      </c>
      <c r="CB474" s="4">
        <f t="shared" si="438"/>
        <v>0</v>
      </c>
      <c r="CC474" s="4">
        <f t="shared" si="439"/>
        <v>0</v>
      </c>
      <c r="CD474" s="4">
        <f t="shared" si="440"/>
        <v>0</v>
      </c>
      <c r="CE474" s="4">
        <f t="shared" si="441"/>
        <v>0</v>
      </c>
      <c r="CF474" s="4">
        <f t="shared" si="442"/>
        <v>0</v>
      </c>
      <c r="CG474" s="4">
        <f t="shared" si="443"/>
        <v>0</v>
      </c>
      <c r="CH474" s="4">
        <f t="shared" si="444"/>
        <v>0</v>
      </c>
      <c r="CI474" s="4">
        <f t="shared" si="445"/>
        <v>0</v>
      </c>
      <c r="CJ474" s="4">
        <f t="shared" si="446"/>
        <v>0</v>
      </c>
      <c r="CK474" s="4">
        <f t="shared" si="447"/>
        <v>0</v>
      </c>
      <c r="CL474" s="4">
        <f t="shared" si="448"/>
        <v>0</v>
      </c>
      <c r="CM474" s="4">
        <f t="shared" si="449"/>
        <v>0</v>
      </c>
      <c r="CN474" s="4">
        <f t="shared" si="450"/>
        <v>0</v>
      </c>
      <c r="CO474" s="4">
        <f t="shared" si="451"/>
        <v>0</v>
      </c>
      <c r="CP474" s="4">
        <f t="shared" si="452"/>
        <v>0</v>
      </c>
      <c r="CQ474" s="4">
        <f t="shared" si="453"/>
        <v>0</v>
      </c>
      <c r="CR474" s="4">
        <f t="shared" si="454"/>
        <v>0</v>
      </c>
      <c r="CS474" s="4">
        <f t="shared" si="455"/>
        <v>0</v>
      </c>
      <c r="CT474" s="4">
        <f t="shared" si="456"/>
        <v>0</v>
      </c>
      <c r="CU474" s="4">
        <f t="shared" si="457"/>
        <v>0</v>
      </c>
      <c r="CV474" s="4">
        <f t="shared" si="458"/>
        <v>0</v>
      </c>
      <c r="CW474" s="4">
        <f t="shared" si="459"/>
        <v>0</v>
      </c>
      <c r="CX474" s="4">
        <f t="shared" si="460"/>
        <v>0</v>
      </c>
      <c r="CY474" s="4">
        <f t="shared" si="461"/>
        <v>0</v>
      </c>
      <c r="CZ474" s="4">
        <f t="shared" si="462"/>
        <v>0</v>
      </c>
      <c r="DA474" s="4">
        <f t="shared" si="463"/>
        <v>0</v>
      </c>
      <c r="DB474" s="4">
        <f t="shared" si="464"/>
        <v>0</v>
      </c>
      <c r="DC474" s="4">
        <f t="shared" si="465"/>
        <v>0</v>
      </c>
      <c r="DD474" s="4">
        <f t="shared" si="466"/>
        <v>0</v>
      </c>
    </row>
    <row r="475" spans="1:108" x14ac:dyDescent="0.25">
      <c r="A475" s="41" t="str">
        <f>Skills!M457</f>
        <v>Anthropology</v>
      </c>
      <c r="B475" s="57" t="str">
        <f>Skills!N457</f>
        <v>Anthropology</v>
      </c>
      <c r="C475" s="24">
        <f t="shared" si="467"/>
        <v>0</v>
      </c>
      <c r="D475" s="110">
        <f>Skills!S457</f>
        <v>0</v>
      </c>
      <c r="E475" s="111" t="e">
        <f>Profession!B195</f>
        <v>#REF!</v>
      </c>
      <c r="F475" s="18"/>
      <c r="G475" s="18"/>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49"/>
      <c r="BF475" s="4">
        <f t="shared" si="417"/>
        <v>0</v>
      </c>
      <c r="BG475" s="4">
        <f t="shared" si="417"/>
        <v>0</v>
      </c>
      <c r="BH475" s="4">
        <f t="shared" si="418"/>
        <v>0</v>
      </c>
      <c r="BI475" s="4">
        <f t="shared" si="419"/>
        <v>0</v>
      </c>
      <c r="BJ475" s="4">
        <f t="shared" si="420"/>
        <v>0</v>
      </c>
      <c r="BK475" s="4">
        <f t="shared" si="421"/>
        <v>0</v>
      </c>
      <c r="BL475" s="4">
        <f t="shared" si="422"/>
        <v>0</v>
      </c>
      <c r="BM475" s="4">
        <f t="shared" si="423"/>
        <v>0</v>
      </c>
      <c r="BN475" s="4">
        <f t="shared" si="424"/>
        <v>0</v>
      </c>
      <c r="BO475" s="4">
        <f t="shared" si="425"/>
        <v>0</v>
      </c>
      <c r="BP475" s="4">
        <f t="shared" si="426"/>
        <v>0</v>
      </c>
      <c r="BQ475" s="4">
        <f t="shared" si="427"/>
        <v>0</v>
      </c>
      <c r="BR475" s="4">
        <f t="shared" si="428"/>
        <v>0</v>
      </c>
      <c r="BS475" s="4">
        <f t="shared" si="429"/>
        <v>0</v>
      </c>
      <c r="BT475" s="4">
        <f t="shared" si="430"/>
        <v>0</v>
      </c>
      <c r="BU475" s="4">
        <f t="shared" si="431"/>
        <v>0</v>
      </c>
      <c r="BV475" s="4">
        <f t="shared" si="432"/>
        <v>0</v>
      </c>
      <c r="BW475" s="4">
        <f t="shared" si="433"/>
        <v>0</v>
      </c>
      <c r="BX475" s="4">
        <f t="shared" si="434"/>
        <v>0</v>
      </c>
      <c r="BY475" s="4">
        <f t="shared" si="435"/>
        <v>0</v>
      </c>
      <c r="BZ475" s="4">
        <f t="shared" si="436"/>
        <v>0</v>
      </c>
      <c r="CA475" s="4">
        <f t="shared" si="437"/>
        <v>0</v>
      </c>
      <c r="CB475" s="4">
        <f t="shared" si="438"/>
        <v>0</v>
      </c>
      <c r="CC475" s="4">
        <f t="shared" si="439"/>
        <v>0</v>
      </c>
      <c r="CD475" s="4">
        <f t="shared" si="440"/>
        <v>0</v>
      </c>
      <c r="CE475" s="4">
        <f t="shared" si="441"/>
        <v>0</v>
      </c>
      <c r="CF475" s="4">
        <f t="shared" si="442"/>
        <v>0</v>
      </c>
      <c r="CG475" s="4">
        <f t="shared" si="443"/>
        <v>0</v>
      </c>
      <c r="CH475" s="4">
        <f t="shared" si="444"/>
        <v>0</v>
      </c>
      <c r="CI475" s="4">
        <f t="shared" si="445"/>
        <v>0</v>
      </c>
      <c r="CJ475" s="4">
        <f t="shared" si="446"/>
        <v>0</v>
      </c>
      <c r="CK475" s="4">
        <f t="shared" si="447"/>
        <v>0</v>
      </c>
      <c r="CL475" s="4">
        <f t="shared" si="448"/>
        <v>0</v>
      </c>
      <c r="CM475" s="4">
        <f t="shared" si="449"/>
        <v>0</v>
      </c>
      <c r="CN475" s="4">
        <f t="shared" si="450"/>
        <v>0</v>
      </c>
      <c r="CO475" s="4">
        <f t="shared" si="451"/>
        <v>0</v>
      </c>
      <c r="CP475" s="4">
        <f t="shared" si="452"/>
        <v>0</v>
      </c>
      <c r="CQ475" s="4">
        <f t="shared" si="453"/>
        <v>0</v>
      </c>
      <c r="CR475" s="4">
        <f t="shared" si="454"/>
        <v>0</v>
      </c>
      <c r="CS475" s="4">
        <f t="shared" si="455"/>
        <v>0</v>
      </c>
      <c r="CT475" s="4">
        <f t="shared" si="456"/>
        <v>0</v>
      </c>
      <c r="CU475" s="4">
        <f t="shared" si="457"/>
        <v>0</v>
      </c>
      <c r="CV475" s="4">
        <f t="shared" si="458"/>
        <v>0</v>
      </c>
      <c r="CW475" s="4">
        <f t="shared" si="459"/>
        <v>0</v>
      </c>
      <c r="CX475" s="4">
        <f t="shared" si="460"/>
        <v>0</v>
      </c>
      <c r="CY475" s="4">
        <f t="shared" si="461"/>
        <v>0</v>
      </c>
      <c r="CZ475" s="4">
        <f t="shared" si="462"/>
        <v>0</v>
      </c>
      <c r="DA475" s="4">
        <f t="shared" si="463"/>
        <v>0</v>
      </c>
      <c r="DB475" s="4">
        <f t="shared" si="464"/>
        <v>0</v>
      </c>
      <c r="DC475" s="4">
        <f t="shared" si="465"/>
        <v>0</v>
      </c>
      <c r="DD475" s="4">
        <f t="shared" si="466"/>
        <v>0</v>
      </c>
    </row>
    <row r="476" spans="1:108" x14ac:dyDescent="0.25">
      <c r="A476" s="41" t="str">
        <f>Skills!M458</f>
        <v>Archaeology</v>
      </c>
      <c r="B476" s="55" t="str">
        <f>Skills!N458</f>
        <v>Archaeology</v>
      </c>
      <c r="C476" s="22">
        <f t="shared" si="467"/>
        <v>0</v>
      </c>
      <c r="D476" s="112">
        <f>Skills!S458</f>
        <v>0</v>
      </c>
      <c r="E476" s="113" t="e">
        <f>Profession!B196</f>
        <v>#REF!</v>
      </c>
      <c r="F476" s="19"/>
      <c r="G476" s="19"/>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56"/>
      <c r="BF476" s="4">
        <f t="shared" si="417"/>
        <v>0</v>
      </c>
      <c r="BG476" s="4">
        <f t="shared" si="417"/>
        <v>0</v>
      </c>
      <c r="BH476" s="4">
        <f t="shared" si="418"/>
        <v>0</v>
      </c>
      <c r="BI476" s="4">
        <f t="shared" si="419"/>
        <v>0</v>
      </c>
      <c r="BJ476" s="4">
        <f t="shared" si="420"/>
        <v>0</v>
      </c>
      <c r="BK476" s="4">
        <f t="shared" si="421"/>
        <v>0</v>
      </c>
      <c r="BL476" s="4">
        <f t="shared" si="422"/>
        <v>0</v>
      </c>
      <c r="BM476" s="4">
        <f t="shared" si="423"/>
        <v>0</v>
      </c>
      <c r="BN476" s="4">
        <f t="shared" si="424"/>
        <v>0</v>
      </c>
      <c r="BO476" s="4">
        <f t="shared" si="425"/>
        <v>0</v>
      </c>
      <c r="BP476" s="4">
        <f t="shared" si="426"/>
        <v>0</v>
      </c>
      <c r="BQ476" s="4">
        <f t="shared" si="427"/>
        <v>0</v>
      </c>
      <c r="BR476" s="4">
        <f t="shared" si="428"/>
        <v>0</v>
      </c>
      <c r="BS476" s="4">
        <f t="shared" si="429"/>
        <v>0</v>
      </c>
      <c r="BT476" s="4">
        <f t="shared" si="430"/>
        <v>0</v>
      </c>
      <c r="BU476" s="4">
        <f t="shared" si="431"/>
        <v>0</v>
      </c>
      <c r="BV476" s="4">
        <f t="shared" si="432"/>
        <v>0</v>
      </c>
      <c r="BW476" s="4">
        <f t="shared" si="433"/>
        <v>0</v>
      </c>
      <c r="BX476" s="4">
        <f t="shared" si="434"/>
        <v>0</v>
      </c>
      <c r="BY476" s="4">
        <f t="shared" si="435"/>
        <v>0</v>
      </c>
      <c r="BZ476" s="4">
        <f t="shared" si="436"/>
        <v>0</v>
      </c>
      <c r="CA476" s="4">
        <f t="shared" si="437"/>
        <v>0</v>
      </c>
      <c r="CB476" s="4">
        <f t="shared" si="438"/>
        <v>0</v>
      </c>
      <c r="CC476" s="4">
        <f t="shared" si="439"/>
        <v>0</v>
      </c>
      <c r="CD476" s="4">
        <f t="shared" si="440"/>
        <v>0</v>
      </c>
      <c r="CE476" s="4">
        <f t="shared" si="441"/>
        <v>0</v>
      </c>
      <c r="CF476" s="4">
        <f t="shared" si="442"/>
        <v>0</v>
      </c>
      <c r="CG476" s="4">
        <f t="shared" si="443"/>
        <v>0</v>
      </c>
      <c r="CH476" s="4">
        <f t="shared" si="444"/>
        <v>0</v>
      </c>
      <c r="CI476" s="4">
        <f t="shared" si="445"/>
        <v>0</v>
      </c>
      <c r="CJ476" s="4">
        <f t="shared" si="446"/>
        <v>0</v>
      </c>
      <c r="CK476" s="4">
        <f t="shared" si="447"/>
        <v>0</v>
      </c>
      <c r="CL476" s="4">
        <f t="shared" si="448"/>
        <v>0</v>
      </c>
      <c r="CM476" s="4">
        <f t="shared" si="449"/>
        <v>0</v>
      </c>
      <c r="CN476" s="4">
        <f t="shared" si="450"/>
        <v>0</v>
      </c>
      <c r="CO476" s="4">
        <f t="shared" si="451"/>
        <v>0</v>
      </c>
      <c r="CP476" s="4">
        <f t="shared" si="452"/>
        <v>0</v>
      </c>
      <c r="CQ476" s="4">
        <f t="shared" si="453"/>
        <v>0</v>
      </c>
      <c r="CR476" s="4">
        <f t="shared" si="454"/>
        <v>0</v>
      </c>
      <c r="CS476" s="4">
        <f t="shared" si="455"/>
        <v>0</v>
      </c>
      <c r="CT476" s="4">
        <f t="shared" si="456"/>
        <v>0</v>
      </c>
      <c r="CU476" s="4">
        <f t="shared" si="457"/>
        <v>0</v>
      </c>
      <c r="CV476" s="4">
        <f t="shared" si="458"/>
        <v>0</v>
      </c>
      <c r="CW476" s="4">
        <f t="shared" si="459"/>
        <v>0</v>
      </c>
      <c r="CX476" s="4">
        <f t="shared" si="460"/>
        <v>0</v>
      </c>
      <c r="CY476" s="4">
        <f t="shared" si="461"/>
        <v>0</v>
      </c>
      <c r="CZ476" s="4">
        <f t="shared" si="462"/>
        <v>0</v>
      </c>
      <c r="DA476" s="4">
        <f t="shared" si="463"/>
        <v>0</v>
      </c>
      <c r="DB476" s="4">
        <f t="shared" si="464"/>
        <v>0</v>
      </c>
      <c r="DC476" s="4">
        <f t="shared" si="465"/>
        <v>0</v>
      </c>
      <c r="DD476" s="4">
        <f t="shared" si="466"/>
        <v>0</v>
      </c>
    </row>
    <row r="477" spans="1:108" x14ac:dyDescent="0.25">
      <c r="A477" s="41" t="str">
        <f>Skills!M459</f>
        <v>Architecture</v>
      </c>
      <c r="B477" s="57" t="str">
        <f>Skills!N459</f>
        <v>Architecture</v>
      </c>
      <c r="C477" s="24">
        <f t="shared" si="467"/>
        <v>0</v>
      </c>
      <c r="D477" s="110">
        <f>Skills!S459</f>
        <v>0</v>
      </c>
      <c r="E477" s="111" t="e">
        <f>Profession!B197</f>
        <v>#REF!</v>
      </c>
      <c r="F477" s="18"/>
      <c r="G477" s="18"/>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49"/>
      <c r="BF477" s="4">
        <f t="shared" si="417"/>
        <v>0</v>
      </c>
      <c r="BG477" s="4">
        <f t="shared" si="417"/>
        <v>0</v>
      </c>
      <c r="BH477" s="4">
        <f t="shared" si="418"/>
        <v>0</v>
      </c>
      <c r="BI477" s="4">
        <f t="shared" si="419"/>
        <v>0</v>
      </c>
      <c r="BJ477" s="4">
        <f t="shared" si="420"/>
        <v>0</v>
      </c>
      <c r="BK477" s="4">
        <f t="shared" si="421"/>
        <v>0</v>
      </c>
      <c r="BL477" s="4">
        <f t="shared" si="422"/>
        <v>0</v>
      </c>
      <c r="BM477" s="4">
        <f t="shared" si="423"/>
        <v>0</v>
      </c>
      <c r="BN477" s="4">
        <f t="shared" si="424"/>
        <v>0</v>
      </c>
      <c r="BO477" s="4">
        <f t="shared" si="425"/>
        <v>0</v>
      </c>
      <c r="BP477" s="4">
        <f t="shared" si="426"/>
        <v>0</v>
      </c>
      <c r="BQ477" s="4">
        <f t="shared" si="427"/>
        <v>0</v>
      </c>
      <c r="BR477" s="4">
        <f t="shared" si="428"/>
        <v>0</v>
      </c>
      <c r="BS477" s="4">
        <f t="shared" si="429"/>
        <v>0</v>
      </c>
      <c r="BT477" s="4">
        <f t="shared" si="430"/>
        <v>0</v>
      </c>
      <c r="BU477" s="4">
        <f t="shared" si="431"/>
        <v>0</v>
      </c>
      <c r="BV477" s="4">
        <f t="shared" si="432"/>
        <v>0</v>
      </c>
      <c r="BW477" s="4">
        <f t="shared" si="433"/>
        <v>0</v>
      </c>
      <c r="BX477" s="4">
        <f t="shared" si="434"/>
        <v>0</v>
      </c>
      <c r="BY477" s="4">
        <f t="shared" si="435"/>
        <v>0</v>
      </c>
      <c r="BZ477" s="4">
        <f t="shared" si="436"/>
        <v>0</v>
      </c>
      <c r="CA477" s="4">
        <f t="shared" si="437"/>
        <v>0</v>
      </c>
      <c r="CB477" s="4">
        <f t="shared" si="438"/>
        <v>0</v>
      </c>
      <c r="CC477" s="4">
        <f t="shared" si="439"/>
        <v>0</v>
      </c>
      <c r="CD477" s="4">
        <f t="shared" si="440"/>
        <v>0</v>
      </c>
      <c r="CE477" s="4">
        <f t="shared" si="441"/>
        <v>0</v>
      </c>
      <c r="CF477" s="4">
        <f t="shared" si="442"/>
        <v>0</v>
      </c>
      <c r="CG477" s="4">
        <f t="shared" si="443"/>
        <v>0</v>
      </c>
      <c r="CH477" s="4">
        <f t="shared" si="444"/>
        <v>0</v>
      </c>
      <c r="CI477" s="4">
        <f t="shared" si="445"/>
        <v>0</v>
      </c>
      <c r="CJ477" s="4">
        <f t="shared" si="446"/>
        <v>0</v>
      </c>
      <c r="CK477" s="4">
        <f t="shared" si="447"/>
        <v>0</v>
      </c>
      <c r="CL477" s="4">
        <f t="shared" si="448"/>
        <v>0</v>
      </c>
      <c r="CM477" s="4">
        <f t="shared" si="449"/>
        <v>0</v>
      </c>
      <c r="CN477" s="4">
        <f t="shared" si="450"/>
        <v>0</v>
      </c>
      <c r="CO477" s="4">
        <f t="shared" si="451"/>
        <v>0</v>
      </c>
      <c r="CP477" s="4">
        <f t="shared" si="452"/>
        <v>0</v>
      </c>
      <c r="CQ477" s="4">
        <f t="shared" si="453"/>
        <v>0</v>
      </c>
      <c r="CR477" s="4">
        <f t="shared" si="454"/>
        <v>0</v>
      </c>
      <c r="CS477" s="4">
        <f t="shared" si="455"/>
        <v>0</v>
      </c>
      <c r="CT477" s="4">
        <f t="shared" si="456"/>
        <v>0</v>
      </c>
      <c r="CU477" s="4">
        <f t="shared" si="457"/>
        <v>0</v>
      </c>
      <c r="CV477" s="4">
        <f t="shared" si="458"/>
        <v>0</v>
      </c>
      <c r="CW477" s="4">
        <f t="shared" si="459"/>
        <v>0</v>
      </c>
      <c r="CX477" s="4">
        <f t="shared" si="460"/>
        <v>0</v>
      </c>
      <c r="CY477" s="4">
        <f t="shared" si="461"/>
        <v>0</v>
      </c>
      <c r="CZ477" s="4">
        <f t="shared" si="462"/>
        <v>0</v>
      </c>
      <c r="DA477" s="4">
        <f t="shared" si="463"/>
        <v>0</v>
      </c>
      <c r="DB477" s="4">
        <f t="shared" si="464"/>
        <v>0</v>
      </c>
      <c r="DC477" s="4">
        <f t="shared" si="465"/>
        <v>0</v>
      </c>
      <c r="DD477" s="4">
        <f t="shared" si="466"/>
        <v>0</v>
      </c>
    </row>
    <row r="478" spans="1:108" x14ac:dyDescent="0.25">
      <c r="A478" s="41" t="str">
        <f>Skills!M460</f>
        <v>Astronomy</v>
      </c>
      <c r="B478" s="55" t="str">
        <f>Skills!N460</f>
        <v>Astronomy</v>
      </c>
      <c r="C478" s="22">
        <f t="shared" si="467"/>
        <v>0</v>
      </c>
      <c r="D478" s="112">
        <f>Skills!S460</f>
        <v>0</v>
      </c>
      <c r="E478" s="113" t="e">
        <f>Profession!B198</f>
        <v>#REF!</v>
      </c>
      <c r="F478" s="19"/>
      <c r="G478" s="19"/>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56"/>
      <c r="BF478" s="4">
        <f t="shared" si="417"/>
        <v>0</v>
      </c>
      <c r="BG478" s="4">
        <f t="shared" si="417"/>
        <v>0</v>
      </c>
      <c r="BH478" s="4">
        <f t="shared" si="418"/>
        <v>0</v>
      </c>
      <c r="BI478" s="4">
        <f t="shared" si="419"/>
        <v>0</v>
      </c>
      <c r="BJ478" s="4">
        <f t="shared" si="420"/>
        <v>0</v>
      </c>
      <c r="BK478" s="4">
        <f t="shared" si="421"/>
        <v>0</v>
      </c>
      <c r="BL478" s="4">
        <f t="shared" si="422"/>
        <v>0</v>
      </c>
      <c r="BM478" s="4">
        <f t="shared" si="423"/>
        <v>0</v>
      </c>
      <c r="BN478" s="4">
        <f t="shared" si="424"/>
        <v>0</v>
      </c>
      <c r="BO478" s="4">
        <f t="shared" si="425"/>
        <v>0</v>
      </c>
      <c r="BP478" s="4">
        <f t="shared" si="426"/>
        <v>0</v>
      </c>
      <c r="BQ478" s="4">
        <f t="shared" si="427"/>
        <v>0</v>
      </c>
      <c r="BR478" s="4">
        <f t="shared" si="428"/>
        <v>0</v>
      </c>
      <c r="BS478" s="4">
        <f t="shared" si="429"/>
        <v>0</v>
      </c>
      <c r="BT478" s="4">
        <f t="shared" si="430"/>
        <v>0</v>
      </c>
      <c r="BU478" s="4">
        <f t="shared" si="431"/>
        <v>0</v>
      </c>
      <c r="BV478" s="4">
        <f t="shared" si="432"/>
        <v>0</v>
      </c>
      <c r="BW478" s="4">
        <f t="shared" si="433"/>
        <v>0</v>
      </c>
      <c r="BX478" s="4">
        <f t="shared" si="434"/>
        <v>0</v>
      </c>
      <c r="BY478" s="4">
        <f t="shared" si="435"/>
        <v>0</v>
      </c>
      <c r="BZ478" s="4">
        <f t="shared" si="436"/>
        <v>0</v>
      </c>
      <c r="CA478" s="4">
        <f t="shared" si="437"/>
        <v>0</v>
      </c>
      <c r="CB478" s="4">
        <f t="shared" si="438"/>
        <v>0</v>
      </c>
      <c r="CC478" s="4">
        <f t="shared" si="439"/>
        <v>0</v>
      </c>
      <c r="CD478" s="4">
        <f t="shared" si="440"/>
        <v>0</v>
      </c>
      <c r="CE478" s="4">
        <f t="shared" si="441"/>
        <v>0</v>
      </c>
      <c r="CF478" s="4">
        <f t="shared" si="442"/>
        <v>0</v>
      </c>
      <c r="CG478" s="4">
        <f t="shared" si="443"/>
        <v>0</v>
      </c>
      <c r="CH478" s="4">
        <f t="shared" si="444"/>
        <v>0</v>
      </c>
      <c r="CI478" s="4">
        <f t="shared" si="445"/>
        <v>0</v>
      </c>
      <c r="CJ478" s="4">
        <f t="shared" si="446"/>
        <v>0</v>
      </c>
      <c r="CK478" s="4">
        <f t="shared" si="447"/>
        <v>0</v>
      </c>
      <c r="CL478" s="4">
        <f t="shared" si="448"/>
        <v>0</v>
      </c>
      <c r="CM478" s="4">
        <f t="shared" si="449"/>
        <v>0</v>
      </c>
      <c r="CN478" s="4">
        <f t="shared" si="450"/>
        <v>0</v>
      </c>
      <c r="CO478" s="4">
        <f t="shared" si="451"/>
        <v>0</v>
      </c>
      <c r="CP478" s="4">
        <f t="shared" si="452"/>
        <v>0</v>
      </c>
      <c r="CQ478" s="4">
        <f t="shared" si="453"/>
        <v>0</v>
      </c>
      <c r="CR478" s="4">
        <f t="shared" si="454"/>
        <v>0</v>
      </c>
      <c r="CS478" s="4">
        <f t="shared" si="455"/>
        <v>0</v>
      </c>
      <c r="CT478" s="4">
        <f t="shared" si="456"/>
        <v>0</v>
      </c>
      <c r="CU478" s="4">
        <f t="shared" si="457"/>
        <v>0</v>
      </c>
      <c r="CV478" s="4">
        <f t="shared" si="458"/>
        <v>0</v>
      </c>
      <c r="CW478" s="4">
        <f t="shared" si="459"/>
        <v>0</v>
      </c>
      <c r="CX478" s="4">
        <f t="shared" si="460"/>
        <v>0</v>
      </c>
      <c r="CY478" s="4">
        <f t="shared" si="461"/>
        <v>0</v>
      </c>
      <c r="CZ478" s="4">
        <f t="shared" si="462"/>
        <v>0</v>
      </c>
      <c r="DA478" s="4">
        <f t="shared" si="463"/>
        <v>0</v>
      </c>
      <c r="DB478" s="4">
        <f t="shared" si="464"/>
        <v>0</v>
      </c>
      <c r="DC478" s="4">
        <f t="shared" si="465"/>
        <v>0</v>
      </c>
      <c r="DD478" s="4">
        <f t="shared" si="466"/>
        <v>0</v>
      </c>
    </row>
    <row r="479" spans="1:108" x14ac:dyDescent="0.25">
      <c r="A479" s="41" t="str">
        <f>Skills!M461</f>
        <v>Atmospherics</v>
      </c>
      <c r="B479" s="57" t="str">
        <f>Skills!N461</f>
        <v>Atmospherics</v>
      </c>
      <c r="C479" s="24">
        <f t="shared" si="467"/>
        <v>0</v>
      </c>
      <c r="D479" s="110">
        <f>Skills!S461</f>
        <v>0</v>
      </c>
      <c r="E479" s="111" t="e">
        <f>Profession!B199</f>
        <v>#REF!</v>
      </c>
      <c r="F479" s="18"/>
      <c r="G479" s="18"/>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49"/>
      <c r="BF479" s="4">
        <f t="shared" si="417"/>
        <v>0</v>
      </c>
      <c r="BG479" s="4">
        <f t="shared" si="417"/>
        <v>0</v>
      </c>
      <c r="BH479" s="4">
        <f t="shared" si="418"/>
        <v>0</v>
      </c>
      <c r="BI479" s="4">
        <f t="shared" si="419"/>
        <v>0</v>
      </c>
      <c r="BJ479" s="4">
        <f t="shared" si="420"/>
        <v>0</v>
      </c>
      <c r="BK479" s="4">
        <f t="shared" si="421"/>
        <v>0</v>
      </c>
      <c r="BL479" s="4">
        <f t="shared" si="422"/>
        <v>0</v>
      </c>
      <c r="BM479" s="4">
        <f t="shared" si="423"/>
        <v>0</v>
      </c>
      <c r="BN479" s="4">
        <f t="shared" si="424"/>
        <v>0</v>
      </c>
      <c r="BO479" s="4">
        <f t="shared" si="425"/>
        <v>0</v>
      </c>
      <c r="BP479" s="4">
        <f t="shared" si="426"/>
        <v>0</v>
      </c>
      <c r="BQ479" s="4">
        <f t="shared" si="427"/>
        <v>0</v>
      </c>
      <c r="BR479" s="4">
        <f t="shared" si="428"/>
        <v>0</v>
      </c>
      <c r="BS479" s="4">
        <f t="shared" si="429"/>
        <v>0</v>
      </c>
      <c r="BT479" s="4">
        <f t="shared" si="430"/>
        <v>0</v>
      </c>
      <c r="BU479" s="4">
        <f t="shared" si="431"/>
        <v>0</v>
      </c>
      <c r="BV479" s="4">
        <f t="shared" si="432"/>
        <v>0</v>
      </c>
      <c r="BW479" s="4">
        <f t="shared" si="433"/>
        <v>0</v>
      </c>
      <c r="BX479" s="4">
        <f t="shared" si="434"/>
        <v>0</v>
      </c>
      <c r="BY479" s="4">
        <f t="shared" si="435"/>
        <v>0</v>
      </c>
      <c r="BZ479" s="4">
        <f t="shared" si="436"/>
        <v>0</v>
      </c>
      <c r="CA479" s="4">
        <f t="shared" si="437"/>
        <v>0</v>
      </c>
      <c r="CB479" s="4">
        <f t="shared" si="438"/>
        <v>0</v>
      </c>
      <c r="CC479" s="4">
        <f t="shared" si="439"/>
        <v>0</v>
      </c>
      <c r="CD479" s="4">
        <f t="shared" si="440"/>
        <v>0</v>
      </c>
      <c r="CE479" s="4">
        <f t="shared" si="441"/>
        <v>0</v>
      </c>
      <c r="CF479" s="4">
        <f t="shared" si="442"/>
        <v>0</v>
      </c>
      <c r="CG479" s="4">
        <f t="shared" si="443"/>
        <v>0</v>
      </c>
      <c r="CH479" s="4">
        <f t="shared" si="444"/>
        <v>0</v>
      </c>
      <c r="CI479" s="4">
        <f t="shared" si="445"/>
        <v>0</v>
      </c>
      <c r="CJ479" s="4">
        <f t="shared" si="446"/>
        <v>0</v>
      </c>
      <c r="CK479" s="4">
        <f t="shared" si="447"/>
        <v>0</v>
      </c>
      <c r="CL479" s="4">
        <f t="shared" si="448"/>
        <v>0</v>
      </c>
      <c r="CM479" s="4">
        <f t="shared" si="449"/>
        <v>0</v>
      </c>
      <c r="CN479" s="4">
        <f t="shared" si="450"/>
        <v>0</v>
      </c>
      <c r="CO479" s="4">
        <f t="shared" si="451"/>
        <v>0</v>
      </c>
      <c r="CP479" s="4">
        <f t="shared" si="452"/>
        <v>0</v>
      </c>
      <c r="CQ479" s="4">
        <f t="shared" si="453"/>
        <v>0</v>
      </c>
      <c r="CR479" s="4">
        <f t="shared" si="454"/>
        <v>0</v>
      </c>
      <c r="CS479" s="4">
        <f t="shared" si="455"/>
        <v>0</v>
      </c>
      <c r="CT479" s="4">
        <f t="shared" si="456"/>
        <v>0</v>
      </c>
      <c r="CU479" s="4">
        <f t="shared" si="457"/>
        <v>0</v>
      </c>
      <c r="CV479" s="4">
        <f t="shared" si="458"/>
        <v>0</v>
      </c>
      <c r="CW479" s="4">
        <f t="shared" si="459"/>
        <v>0</v>
      </c>
      <c r="CX479" s="4">
        <f t="shared" si="460"/>
        <v>0</v>
      </c>
      <c r="CY479" s="4">
        <f t="shared" si="461"/>
        <v>0</v>
      </c>
      <c r="CZ479" s="4">
        <f t="shared" si="462"/>
        <v>0</v>
      </c>
      <c r="DA479" s="4">
        <f t="shared" si="463"/>
        <v>0</v>
      </c>
      <c r="DB479" s="4">
        <f t="shared" si="464"/>
        <v>0</v>
      </c>
      <c r="DC479" s="4">
        <f t="shared" si="465"/>
        <v>0</v>
      </c>
      <c r="DD479" s="4">
        <f t="shared" si="466"/>
        <v>0</v>
      </c>
    </row>
    <row r="480" spans="1:108" x14ac:dyDescent="0.25">
      <c r="A480" s="41" t="str">
        <f>Skills!M462</f>
        <v>Audiovisuals</v>
      </c>
      <c r="B480" s="55" t="str">
        <f>Skills!N462</f>
        <v>Audiovisuals</v>
      </c>
      <c r="C480" s="22">
        <f t="shared" si="467"/>
        <v>0</v>
      </c>
      <c r="D480" s="112">
        <f>Skills!S462</f>
        <v>0</v>
      </c>
      <c r="E480" s="113" t="e">
        <f>Profession!B200</f>
        <v>#REF!</v>
      </c>
      <c r="F480" s="19"/>
      <c r="G480" s="19"/>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56"/>
      <c r="BF480" s="4">
        <f t="shared" si="417"/>
        <v>0</v>
      </c>
      <c r="BG480" s="4">
        <f t="shared" si="417"/>
        <v>0</v>
      </c>
      <c r="BH480" s="4">
        <f t="shared" si="418"/>
        <v>0</v>
      </c>
      <c r="BI480" s="4">
        <f t="shared" si="419"/>
        <v>0</v>
      </c>
      <c r="BJ480" s="4">
        <f t="shared" si="420"/>
        <v>0</v>
      </c>
      <c r="BK480" s="4">
        <f t="shared" si="421"/>
        <v>0</v>
      </c>
      <c r="BL480" s="4">
        <f t="shared" si="422"/>
        <v>0</v>
      </c>
      <c r="BM480" s="4">
        <f t="shared" si="423"/>
        <v>0</v>
      </c>
      <c r="BN480" s="4">
        <f t="shared" si="424"/>
        <v>0</v>
      </c>
      <c r="BO480" s="4">
        <f t="shared" si="425"/>
        <v>0</v>
      </c>
      <c r="BP480" s="4">
        <f t="shared" si="426"/>
        <v>0</v>
      </c>
      <c r="BQ480" s="4">
        <f t="shared" si="427"/>
        <v>0</v>
      </c>
      <c r="BR480" s="4">
        <f t="shared" si="428"/>
        <v>0</v>
      </c>
      <c r="BS480" s="4">
        <f t="shared" si="429"/>
        <v>0</v>
      </c>
      <c r="BT480" s="4">
        <f t="shared" si="430"/>
        <v>0</v>
      </c>
      <c r="BU480" s="4">
        <f t="shared" si="431"/>
        <v>0</v>
      </c>
      <c r="BV480" s="4">
        <f t="shared" si="432"/>
        <v>0</v>
      </c>
      <c r="BW480" s="4">
        <f t="shared" si="433"/>
        <v>0</v>
      </c>
      <c r="BX480" s="4">
        <f t="shared" si="434"/>
        <v>0</v>
      </c>
      <c r="BY480" s="4">
        <f t="shared" si="435"/>
        <v>0</v>
      </c>
      <c r="BZ480" s="4">
        <f t="shared" si="436"/>
        <v>0</v>
      </c>
      <c r="CA480" s="4">
        <f t="shared" si="437"/>
        <v>0</v>
      </c>
      <c r="CB480" s="4">
        <f t="shared" si="438"/>
        <v>0</v>
      </c>
      <c r="CC480" s="4">
        <f t="shared" si="439"/>
        <v>0</v>
      </c>
      <c r="CD480" s="4">
        <f t="shared" si="440"/>
        <v>0</v>
      </c>
      <c r="CE480" s="4">
        <f t="shared" si="441"/>
        <v>0</v>
      </c>
      <c r="CF480" s="4">
        <f t="shared" si="442"/>
        <v>0</v>
      </c>
      <c r="CG480" s="4">
        <f t="shared" si="443"/>
        <v>0</v>
      </c>
      <c r="CH480" s="4">
        <f t="shared" si="444"/>
        <v>0</v>
      </c>
      <c r="CI480" s="4">
        <f t="shared" si="445"/>
        <v>0</v>
      </c>
      <c r="CJ480" s="4">
        <f t="shared" si="446"/>
        <v>0</v>
      </c>
      <c r="CK480" s="4">
        <f t="shared" si="447"/>
        <v>0</v>
      </c>
      <c r="CL480" s="4">
        <f t="shared" si="448"/>
        <v>0</v>
      </c>
      <c r="CM480" s="4">
        <f t="shared" si="449"/>
        <v>0</v>
      </c>
      <c r="CN480" s="4">
        <f t="shared" si="450"/>
        <v>0</v>
      </c>
      <c r="CO480" s="4">
        <f t="shared" si="451"/>
        <v>0</v>
      </c>
      <c r="CP480" s="4">
        <f t="shared" si="452"/>
        <v>0</v>
      </c>
      <c r="CQ480" s="4">
        <f t="shared" si="453"/>
        <v>0</v>
      </c>
      <c r="CR480" s="4">
        <f t="shared" si="454"/>
        <v>0</v>
      </c>
      <c r="CS480" s="4">
        <f t="shared" si="455"/>
        <v>0</v>
      </c>
      <c r="CT480" s="4">
        <f t="shared" si="456"/>
        <v>0</v>
      </c>
      <c r="CU480" s="4">
        <f t="shared" si="457"/>
        <v>0</v>
      </c>
      <c r="CV480" s="4">
        <f t="shared" si="458"/>
        <v>0</v>
      </c>
      <c r="CW480" s="4">
        <f t="shared" si="459"/>
        <v>0</v>
      </c>
      <c r="CX480" s="4">
        <f t="shared" si="460"/>
        <v>0</v>
      </c>
      <c r="CY480" s="4">
        <f t="shared" si="461"/>
        <v>0</v>
      </c>
      <c r="CZ480" s="4">
        <f t="shared" si="462"/>
        <v>0</v>
      </c>
      <c r="DA480" s="4">
        <f t="shared" si="463"/>
        <v>0</v>
      </c>
      <c r="DB480" s="4">
        <f t="shared" si="464"/>
        <v>0</v>
      </c>
      <c r="DC480" s="4">
        <f t="shared" si="465"/>
        <v>0</v>
      </c>
      <c r="DD480" s="4">
        <f t="shared" si="466"/>
        <v>0</v>
      </c>
    </row>
    <row r="481" spans="1:108" x14ac:dyDescent="0.25">
      <c r="A481" s="41" t="str">
        <f>Skills!M463</f>
        <v>Biochemistry</v>
      </c>
      <c r="B481" s="57" t="str">
        <f>Skills!N463</f>
        <v>Biochemistry</v>
      </c>
      <c r="C481" s="24">
        <f t="shared" si="467"/>
        <v>0</v>
      </c>
      <c r="D481" s="110">
        <f>Skills!S463</f>
        <v>0</v>
      </c>
      <c r="E481" s="111" t="e">
        <f>Profession!B201</f>
        <v>#REF!</v>
      </c>
      <c r="F481" s="18"/>
      <c r="G481" s="18"/>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49"/>
      <c r="BF481" s="4">
        <f t="shared" si="417"/>
        <v>0</v>
      </c>
      <c r="BG481" s="4">
        <f t="shared" si="417"/>
        <v>0</v>
      </c>
      <c r="BH481" s="4">
        <f t="shared" si="418"/>
        <v>0</v>
      </c>
      <c r="BI481" s="4">
        <f t="shared" si="419"/>
        <v>0</v>
      </c>
      <c r="BJ481" s="4">
        <f t="shared" si="420"/>
        <v>0</v>
      </c>
      <c r="BK481" s="4">
        <f t="shared" si="421"/>
        <v>0</v>
      </c>
      <c r="BL481" s="4">
        <f t="shared" si="422"/>
        <v>0</v>
      </c>
      <c r="BM481" s="4">
        <f t="shared" si="423"/>
        <v>0</v>
      </c>
      <c r="BN481" s="4">
        <f t="shared" si="424"/>
        <v>0</v>
      </c>
      <c r="BO481" s="4">
        <f t="shared" si="425"/>
        <v>0</v>
      </c>
      <c r="BP481" s="4">
        <f t="shared" si="426"/>
        <v>0</v>
      </c>
      <c r="BQ481" s="4">
        <f t="shared" si="427"/>
        <v>0</v>
      </c>
      <c r="BR481" s="4">
        <f t="shared" si="428"/>
        <v>0</v>
      </c>
      <c r="BS481" s="4">
        <f t="shared" si="429"/>
        <v>0</v>
      </c>
      <c r="BT481" s="4">
        <f t="shared" si="430"/>
        <v>0</v>
      </c>
      <c r="BU481" s="4">
        <f t="shared" si="431"/>
        <v>0</v>
      </c>
      <c r="BV481" s="4">
        <f t="shared" si="432"/>
        <v>0</v>
      </c>
      <c r="BW481" s="4">
        <f t="shared" si="433"/>
        <v>0</v>
      </c>
      <c r="BX481" s="4">
        <f t="shared" si="434"/>
        <v>0</v>
      </c>
      <c r="BY481" s="4">
        <f t="shared" si="435"/>
        <v>0</v>
      </c>
      <c r="BZ481" s="4">
        <f t="shared" si="436"/>
        <v>0</v>
      </c>
      <c r="CA481" s="4">
        <f t="shared" si="437"/>
        <v>0</v>
      </c>
      <c r="CB481" s="4">
        <f t="shared" si="438"/>
        <v>0</v>
      </c>
      <c r="CC481" s="4">
        <f t="shared" si="439"/>
        <v>0</v>
      </c>
      <c r="CD481" s="4">
        <f t="shared" si="440"/>
        <v>0</v>
      </c>
      <c r="CE481" s="4">
        <f t="shared" si="441"/>
        <v>0</v>
      </c>
      <c r="CF481" s="4">
        <f t="shared" si="442"/>
        <v>0</v>
      </c>
      <c r="CG481" s="4">
        <f t="shared" si="443"/>
        <v>0</v>
      </c>
      <c r="CH481" s="4">
        <f t="shared" si="444"/>
        <v>0</v>
      </c>
      <c r="CI481" s="4">
        <f t="shared" si="445"/>
        <v>0</v>
      </c>
      <c r="CJ481" s="4">
        <f t="shared" si="446"/>
        <v>0</v>
      </c>
      <c r="CK481" s="4">
        <f t="shared" si="447"/>
        <v>0</v>
      </c>
      <c r="CL481" s="4">
        <f t="shared" si="448"/>
        <v>0</v>
      </c>
      <c r="CM481" s="4">
        <f t="shared" si="449"/>
        <v>0</v>
      </c>
      <c r="CN481" s="4">
        <f t="shared" si="450"/>
        <v>0</v>
      </c>
      <c r="CO481" s="4">
        <f t="shared" si="451"/>
        <v>0</v>
      </c>
      <c r="CP481" s="4">
        <f t="shared" si="452"/>
        <v>0</v>
      </c>
      <c r="CQ481" s="4">
        <f t="shared" si="453"/>
        <v>0</v>
      </c>
      <c r="CR481" s="4">
        <f t="shared" si="454"/>
        <v>0</v>
      </c>
      <c r="CS481" s="4">
        <f t="shared" si="455"/>
        <v>0</v>
      </c>
      <c r="CT481" s="4">
        <f t="shared" si="456"/>
        <v>0</v>
      </c>
      <c r="CU481" s="4">
        <f t="shared" si="457"/>
        <v>0</v>
      </c>
      <c r="CV481" s="4">
        <f t="shared" si="458"/>
        <v>0</v>
      </c>
      <c r="CW481" s="4">
        <f t="shared" si="459"/>
        <v>0</v>
      </c>
      <c r="CX481" s="4">
        <f t="shared" si="460"/>
        <v>0</v>
      </c>
      <c r="CY481" s="4">
        <f t="shared" si="461"/>
        <v>0</v>
      </c>
      <c r="CZ481" s="4">
        <f t="shared" si="462"/>
        <v>0</v>
      </c>
      <c r="DA481" s="4">
        <f t="shared" si="463"/>
        <v>0</v>
      </c>
      <c r="DB481" s="4">
        <f t="shared" si="464"/>
        <v>0</v>
      </c>
      <c r="DC481" s="4">
        <f t="shared" si="465"/>
        <v>0</v>
      </c>
      <c r="DD481" s="4">
        <f t="shared" si="466"/>
        <v>0</v>
      </c>
    </row>
    <row r="482" spans="1:108" x14ac:dyDescent="0.25">
      <c r="A482" s="41" t="str">
        <f>Skills!M464</f>
        <v>Biology</v>
      </c>
      <c r="B482" s="55" t="str">
        <f>Skills!N464</f>
        <v>Biology</v>
      </c>
      <c r="C482" s="22">
        <f t="shared" si="467"/>
        <v>0</v>
      </c>
      <c r="D482" s="112">
        <f>Skills!S464</f>
        <v>0</v>
      </c>
      <c r="E482" s="113" t="e">
        <f>Profession!B202</f>
        <v>#REF!</v>
      </c>
      <c r="F482" s="19"/>
      <c r="G482" s="19"/>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56"/>
      <c r="BF482" s="4">
        <f t="shared" si="417"/>
        <v>0</v>
      </c>
      <c r="BG482" s="4">
        <f t="shared" si="417"/>
        <v>0</v>
      </c>
      <c r="BH482" s="4">
        <f t="shared" si="418"/>
        <v>0</v>
      </c>
      <c r="BI482" s="4">
        <f t="shared" si="419"/>
        <v>0</v>
      </c>
      <c r="BJ482" s="4">
        <f t="shared" si="420"/>
        <v>0</v>
      </c>
      <c r="BK482" s="4">
        <f t="shared" si="421"/>
        <v>0</v>
      </c>
      <c r="BL482" s="4">
        <f t="shared" si="422"/>
        <v>0</v>
      </c>
      <c r="BM482" s="4">
        <f t="shared" si="423"/>
        <v>0</v>
      </c>
      <c r="BN482" s="4">
        <f t="shared" si="424"/>
        <v>0</v>
      </c>
      <c r="BO482" s="4">
        <f t="shared" si="425"/>
        <v>0</v>
      </c>
      <c r="BP482" s="4">
        <f t="shared" si="426"/>
        <v>0</v>
      </c>
      <c r="BQ482" s="4">
        <f t="shared" si="427"/>
        <v>0</v>
      </c>
      <c r="BR482" s="4">
        <f t="shared" si="428"/>
        <v>0</v>
      </c>
      <c r="BS482" s="4">
        <f t="shared" si="429"/>
        <v>0</v>
      </c>
      <c r="BT482" s="4">
        <f t="shared" si="430"/>
        <v>0</v>
      </c>
      <c r="BU482" s="4">
        <f t="shared" si="431"/>
        <v>0</v>
      </c>
      <c r="BV482" s="4">
        <f t="shared" si="432"/>
        <v>0</v>
      </c>
      <c r="BW482" s="4">
        <f t="shared" si="433"/>
        <v>0</v>
      </c>
      <c r="BX482" s="4">
        <f t="shared" si="434"/>
        <v>0</v>
      </c>
      <c r="BY482" s="4">
        <f t="shared" si="435"/>
        <v>0</v>
      </c>
      <c r="BZ482" s="4">
        <f t="shared" si="436"/>
        <v>0</v>
      </c>
      <c r="CA482" s="4">
        <f t="shared" si="437"/>
        <v>0</v>
      </c>
      <c r="CB482" s="4">
        <f t="shared" si="438"/>
        <v>0</v>
      </c>
      <c r="CC482" s="4">
        <f t="shared" si="439"/>
        <v>0</v>
      </c>
      <c r="CD482" s="4">
        <f t="shared" si="440"/>
        <v>0</v>
      </c>
      <c r="CE482" s="4">
        <f t="shared" si="441"/>
        <v>0</v>
      </c>
      <c r="CF482" s="4">
        <f t="shared" si="442"/>
        <v>0</v>
      </c>
      <c r="CG482" s="4">
        <f t="shared" si="443"/>
        <v>0</v>
      </c>
      <c r="CH482" s="4">
        <f t="shared" si="444"/>
        <v>0</v>
      </c>
      <c r="CI482" s="4">
        <f t="shared" si="445"/>
        <v>0</v>
      </c>
      <c r="CJ482" s="4">
        <f t="shared" si="446"/>
        <v>0</v>
      </c>
      <c r="CK482" s="4">
        <f t="shared" si="447"/>
        <v>0</v>
      </c>
      <c r="CL482" s="4">
        <f t="shared" si="448"/>
        <v>0</v>
      </c>
      <c r="CM482" s="4">
        <f t="shared" si="449"/>
        <v>0</v>
      </c>
      <c r="CN482" s="4">
        <f t="shared" si="450"/>
        <v>0</v>
      </c>
      <c r="CO482" s="4">
        <f t="shared" si="451"/>
        <v>0</v>
      </c>
      <c r="CP482" s="4">
        <f t="shared" si="452"/>
        <v>0</v>
      </c>
      <c r="CQ482" s="4">
        <f t="shared" si="453"/>
        <v>0</v>
      </c>
      <c r="CR482" s="4">
        <f t="shared" si="454"/>
        <v>0</v>
      </c>
      <c r="CS482" s="4">
        <f t="shared" si="455"/>
        <v>0</v>
      </c>
      <c r="CT482" s="4">
        <f t="shared" si="456"/>
        <v>0</v>
      </c>
      <c r="CU482" s="4">
        <f t="shared" si="457"/>
        <v>0</v>
      </c>
      <c r="CV482" s="4">
        <f t="shared" si="458"/>
        <v>0</v>
      </c>
      <c r="CW482" s="4">
        <f t="shared" si="459"/>
        <v>0</v>
      </c>
      <c r="CX482" s="4">
        <f t="shared" si="460"/>
        <v>0</v>
      </c>
      <c r="CY482" s="4">
        <f t="shared" si="461"/>
        <v>0</v>
      </c>
      <c r="CZ482" s="4">
        <f t="shared" si="462"/>
        <v>0</v>
      </c>
      <c r="DA482" s="4">
        <f t="shared" si="463"/>
        <v>0</v>
      </c>
      <c r="DB482" s="4">
        <f t="shared" si="464"/>
        <v>0</v>
      </c>
      <c r="DC482" s="4">
        <f t="shared" si="465"/>
        <v>0</v>
      </c>
      <c r="DD482" s="4">
        <f t="shared" si="466"/>
        <v>0</v>
      </c>
    </row>
    <row r="483" spans="1:108" x14ac:dyDescent="0.25">
      <c r="A483" s="41" t="str">
        <f>Skills!M465</f>
        <v>Botany</v>
      </c>
      <c r="B483" s="57" t="str">
        <f>Skills!N465</f>
        <v>Botany</v>
      </c>
      <c r="C483" s="24">
        <f t="shared" si="467"/>
        <v>0</v>
      </c>
      <c r="D483" s="110">
        <f>Skills!S465</f>
        <v>0</v>
      </c>
      <c r="E483" s="111" t="e">
        <f>Profession!B203</f>
        <v>#REF!</v>
      </c>
      <c r="F483" s="18"/>
      <c r="G483" s="18"/>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49"/>
      <c r="BF483" s="4">
        <f t="shared" si="417"/>
        <v>0</v>
      </c>
      <c r="BG483" s="4">
        <f t="shared" si="417"/>
        <v>0</v>
      </c>
      <c r="BH483" s="4">
        <f t="shared" si="418"/>
        <v>0</v>
      </c>
      <c r="BI483" s="4">
        <f t="shared" si="419"/>
        <v>0</v>
      </c>
      <c r="BJ483" s="4">
        <f t="shared" si="420"/>
        <v>0</v>
      </c>
      <c r="BK483" s="4">
        <f t="shared" si="421"/>
        <v>0</v>
      </c>
      <c r="BL483" s="4">
        <f t="shared" si="422"/>
        <v>0</v>
      </c>
      <c r="BM483" s="4">
        <f t="shared" si="423"/>
        <v>0</v>
      </c>
      <c r="BN483" s="4">
        <f t="shared" si="424"/>
        <v>0</v>
      </c>
      <c r="BO483" s="4">
        <f t="shared" si="425"/>
        <v>0</v>
      </c>
      <c r="BP483" s="4">
        <f t="shared" si="426"/>
        <v>0</v>
      </c>
      <c r="BQ483" s="4">
        <f t="shared" si="427"/>
        <v>0</v>
      </c>
      <c r="BR483" s="4">
        <f t="shared" si="428"/>
        <v>0</v>
      </c>
      <c r="BS483" s="4">
        <f t="shared" si="429"/>
        <v>0</v>
      </c>
      <c r="BT483" s="4">
        <f t="shared" si="430"/>
        <v>0</v>
      </c>
      <c r="BU483" s="4">
        <f t="shared" si="431"/>
        <v>0</v>
      </c>
      <c r="BV483" s="4">
        <f t="shared" si="432"/>
        <v>0</v>
      </c>
      <c r="BW483" s="4">
        <f t="shared" si="433"/>
        <v>0</v>
      </c>
      <c r="BX483" s="4">
        <f t="shared" si="434"/>
        <v>0</v>
      </c>
      <c r="BY483" s="4">
        <f t="shared" si="435"/>
        <v>0</v>
      </c>
      <c r="BZ483" s="4">
        <f t="shared" si="436"/>
        <v>0</v>
      </c>
      <c r="CA483" s="4">
        <f t="shared" si="437"/>
        <v>0</v>
      </c>
      <c r="CB483" s="4">
        <f t="shared" si="438"/>
        <v>0</v>
      </c>
      <c r="CC483" s="4">
        <f t="shared" si="439"/>
        <v>0</v>
      </c>
      <c r="CD483" s="4">
        <f t="shared" si="440"/>
        <v>0</v>
      </c>
      <c r="CE483" s="4">
        <f t="shared" si="441"/>
        <v>0</v>
      </c>
      <c r="CF483" s="4">
        <f t="shared" si="442"/>
        <v>0</v>
      </c>
      <c r="CG483" s="4">
        <f t="shared" si="443"/>
        <v>0</v>
      </c>
      <c r="CH483" s="4">
        <f t="shared" si="444"/>
        <v>0</v>
      </c>
      <c r="CI483" s="4">
        <f t="shared" si="445"/>
        <v>0</v>
      </c>
      <c r="CJ483" s="4">
        <f t="shared" si="446"/>
        <v>0</v>
      </c>
      <c r="CK483" s="4">
        <f t="shared" si="447"/>
        <v>0</v>
      </c>
      <c r="CL483" s="4">
        <f t="shared" si="448"/>
        <v>0</v>
      </c>
      <c r="CM483" s="4">
        <f t="shared" si="449"/>
        <v>0</v>
      </c>
      <c r="CN483" s="4">
        <f t="shared" si="450"/>
        <v>0</v>
      </c>
      <c r="CO483" s="4">
        <f t="shared" si="451"/>
        <v>0</v>
      </c>
      <c r="CP483" s="4">
        <f t="shared" si="452"/>
        <v>0</v>
      </c>
      <c r="CQ483" s="4">
        <f t="shared" si="453"/>
        <v>0</v>
      </c>
      <c r="CR483" s="4">
        <f t="shared" si="454"/>
        <v>0</v>
      </c>
      <c r="CS483" s="4">
        <f t="shared" si="455"/>
        <v>0</v>
      </c>
      <c r="CT483" s="4">
        <f t="shared" si="456"/>
        <v>0</v>
      </c>
      <c r="CU483" s="4">
        <f t="shared" si="457"/>
        <v>0</v>
      </c>
      <c r="CV483" s="4">
        <f t="shared" si="458"/>
        <v>0</v>
      </c>
      <c r="CW483" s="4">
        <f t="shared" si="459"/>
        <v>0</v>
      </c>
      <c r="CX483" s="4">
        <f t="shared" si="460"/>
        <v>0</v>
      </c>
      <c r="CY483" s="4">
        <f t="shared" si="461"/>
        <v>0</v>
      </c>
      <c r="CZ483" s="4">
        <f t="shared" si="462"/>
        <v>0</v>
      </c>
      <c r="DA483" s="4">
        <f t="shared" si="463"/>
        <v>0</v>
      </c>
      <c r="DB483" s="4">
        <f t="shared" si="464"/>
        <v>0</v>
      </c>
      <c r="DC483" s="4">
        <f t="shared" si="465"/>
        <v>0</v>
      </c>
      <c r="DD483" s="4">
        <f t="shared" si="466"/>
        <v>0</v>
      </c>
    </row>
    <row r="484" spans="1:108" x14ac:dyDescent="0.25">
      <c r="A484" s="41" t="str">
        <f>Skills!M466</f>
        <v>Caving</v>
      </c>
      <c r="B484" s="55" t="str">
        <f>Skills!N466</f>
        <v>Caving</v>
      </c>
      <c r="C484" s="22">
        <f t="shared" si="467"/>
        <v>0</v>
      </c>
      <c r="D484" s="112">
        <f>Skills!S466</f>
        <v>0</v>
      </c>
      <c r="E484" s="113" t="e">
        <f>Profession!B204</f>
        <v>#REF!</v>
      </c>
      <c r="F484" s="19"/>
      <c r="G484" s="19"/>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56"/>
      <c r="BF484" s="4">
        <f t="shared" si="417"/>
        <v>0</v>
      </c>
      <c r="BG484" s="4">
        <f t="shared" si="417"/>
        <v>0</v>
      </c>
      <c r="BH484" s="4">
        <f t="shared" si="418"/>
        <v>0</v>
      </c>
      <c r="BI484" s="4">
        <f t="shared" si="419"/>
        <v>0</v>
      </c>
      <c r="BJ484" s="4">
        <f t="shared" si="420"/>
        <v>0</v>
      </c>
      <c r="BK484" s="4">
        <f t="shared" si="421"/>
        <v>0</v>
      </c>
      <c r="BL484" s="4">
        <f t="shared" si="422"/>
        <v>0</v>
      </c>
      <c r="BM484" s="4">
        <f t="shared" si="423"/>
        <v>0</v>
      </c>
      <c r="BN484" s="4">
        <f t="shared" si="424"/>
        <v>0</v>
      </c>
      <c r="BO484" s="4">
        <f t="shared" si="425"/>
        <v>0</v>
      </c>
      <c r="BP484" s="4">
        <f t="shared" si="426"/>
        <v>0</v>
      </c>
      <c r="BQ484" s="4">
        <f t="shared" si="427"/>
        <v>0</v>
      </c>
      <c r="BR484" s="4">
        <f t="shared" si="428"/>
        <v>0</v>
      </c>
      <c r="BS484" s="4">
        <f t="shared" si="429"/>
        <v>0</v>
      </c>
      <c r="BT484" s="4">
        <f t="shared" si="430"/>
        <v>0</v>
      </c>
      <c r="BU484" s="4">
        <f t="shared" si="431"/>
        <v>0</v>
      </c>
      <c r="BV484" s="4">
        <f t="shared" si="432"/>
        <v>0</v>
      </c>
      <c r="BW484" s="4">
        <f t="shared" si="433"/>
        <v>0</v>
      </c>
      <c r="BX484" s="4">
        <f t="shared" si="434"/>
        <v>0</v>
      </c>
      <c r="BY484" s="4">
        <f t="shared" si="435"/>
        <v>0</v>
      </c>
      <c r="BZ484" s="4">
        <f t="shared" si="436"/>
        <v>0</v>
      </c>
      <c r="CA484" s="4">
        <f t="shared" si="437"/>
        <v>0</v>
      </c>
      <c r="CB484" s="4">
        <f t="shared" si="438"/>
        <v>0</v>
      </c>
      <c r="CC484" s="4">
        <f t="shared" si="439"/>
        <v>0</v>
      </c>
      <c r="CD484" s="4">
        <f t="shared" si="440"/>
        <v>0</v>
      </c>
      <c r="CE484" s="4">
        <f t="shared" si="441"/>
        <v>0</v>
      </c>
      <c r="CF484" s="4">
        <f t="shared" si="442"/>
        <v>0</v>
      </c>
      <c r="CG484" s="4">
        <f t="shared" si="443"/>
        <v>0</v>
      </c>
      <c r="CH484" s="4">
        <f t="shared" si="444"/>
        <v>0</v>
      </c>
      <c r="CI484" s="4">
        <f t="shared" si="445"/>
        <v>0</v>
      </c>
      <c r="CJ484" s="4">
        <f t="shared" si="446"/>
        <v>0</v>
      </c>
      <c r="CK484" s="4">
        <f t="shared" si="447"/>
        <v>0</v>
      </c>
      <c r="CL484" s="4">
        <f t="shared" si="448"/>
        <v>0</v>
      </c>
      <c r="CM484" s="4">
        <f t="shared" si="449"/>
        <v>0</v>
      </c>
      <c r="CN484" s="4">
        <f t="shared" si="450"/>
        <v>0</v>
      </c>
      <c r="CO484" s="4">
        <f t="shared" si="451"/>
        <v>0</v>
      </c>
      <c r="CP484" s="4">
        <f t="shared" si="452"/>
        <v>0</v>
      </c>
      <c r="CQ484" s="4">
        <f t="shared" si="453"/>
        <v>0</v>
      </c>
      <c r="CR484" s="4">
        <f t="shared" si="454"/>
        <v>0</v>
      </c>
      <c r="CS484" s="4">
        <f t="shared" si="455"/>
        <v>0</v>
      </c>
      <c r="CT484" s="4">
        <f t="shared" si="456"/>
        <v>0</v>
      </c>
      <c r="CU484" s="4">
        <f t="shared" si="457"/>
        <v>0</v>
      </c>
      <c r="CV484" s="4">
        <f t="shared" si="458"/>
        <v>0</v>
      </c>
      <c r="CW484" s="4">
        <f t="shared" si="459"/>
        <v>0</v>
      </c>
      <c r="CX484" s="4">
        <f t="shared" si="460"/>
        <v>0</v>
      </c>
      <c r="CY484" s="4">
        <f t="shared" si="461"/>
        <v>0</v>
      </c>
      <c r="CZ484" s="4">
        <f t="shared" si="462"/>
        <v>0</v>
      </c>
      <c r="DA484" s="4">
        <f t="shared" si="463"/>
        <v>0</v>
      </c>
      <c r="DB484" s="4">
        <f t="shared" si="464"/>
        <v>0</v>
      </c>
      <c r="DC484" s="4">
        <f t="shared" si="465"/>
        <v>0</v>
      </c>
      <c r="DD484" s="4">
        <f t="shared" si="466"/>
        <v>0</v>
      </c>
    </row>
    <row r="485" spans="1:108" x14ac:dyDescent="0.25">
      <c r="A485" s="41" t="str">
        <f>Skills!M467</f>
        <v>Chemistry</v>
      </c>
      <c r="B485" s="57" t="str">
        <f>Skills!N467</f>
        <v>Chemistry</v>
      </c>
      <c r="C485" s="24">
        <f t="shared" si="467"/>
        <v>0</v>
      </c>
      <c r="D485" s="110">
        <f>Skills!S467</f>
        <v>0</v>
      </c>
      <c r="E485" s="111" t="e">
        <f>Profession!B205</f>
        <v>#REF!</v>
      </c>
      <c r="F485" s="18"/>
      <c r="G485" s="18"/>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49"/>
      <c r="BF485" s="4">
        <f t="shared" si="417"/>
        <v>0</v>
      </c>
      <c r="BG485" s="4">
        <f t="shared" si="417"/>
        <v>0</v>
      </c>
      <c r="BH485" s="4">
        <f t="shared" si="418"/>
        <v>0</v>
      </c>
      <c r="BI485" s="4">
        <f t="shared" si="419"/>
        <v>0</v>
      </c>
      <c r="BJ485" s="4">
        <f t="shared" si="420"/>
        <v>0</v>
      </c>
      <c r="BK485" s="4">
        <f t="shared" si="421"/>
        <v>0</v>
      </c>
      <c r="BL485" s="4">
        <f t="shared" si="422"/>
        <v>0</v>
      </c>
      <c r="BM485" s="4">
        <f t="shared" si="423"/>
        <v>0</v>
      </c>
      <c r="BN485" s="4">
        <f t="shared" si="424"/>
        <v>0</v>
      </c>
      <c r="BO485" s="4">
        <f t="shared" si="425"/>
        <v>0</v>
      </c>
      <c r="BP485" s="4">
        <f t="shared" si="426"/>
        <v>0</v>
      </c>
      <c r="BQ485" s="4">
        <f t="shared" si="427"/>
        <v>0</v>
      </c>
      <c r="BR485" s="4">
        <f t="shared" si="428"/>
        <v>0</v>
      </c>
      <c r="BS485" s="4">
        <f t="shared" si="429"/>
        <v>0</v>
      </c>
      <c r="BT485" s="4">
        <f t="shared" si="430"/>
        <v>0</v>
      </c>
      <c r="BU485" s="4">
        <f t="shared" si="431"/>
        <v>0</v>
      </c>
      <c r="BV485" s="4">
        <f t="shared" si="432"/>
        <v>0</v>
      </c>
      <c r="BW485" s="4">
        <f t="shared" si="433"/>
        <v>0</v>
      </c>
      <c r="BX485" s="4">
        <f t="shared" si="434"/>
        <v>0</v>
      </c>
      <c r="BY485" s="4">
        <f t="shared" si="435"/>
        <v>0</v>
      </c>
      <c r="BZ485" s="4">
        <f t="shared" si="436"/>
        <v>0</v>
      </c>
      <c r="CA485" s="4">
        <f t="shared" si="437"/>
        <v>0</v>
      </c>
      <c r="CB485" s="4">
        <f t="shared" si="438"/>
        <v>0</v>
      </c>
      <c r="CC485" s="4">
        <f t="shared" si="439"/>
        <v>0</v>
      </c>
      <c r="CD485" s="4">
        <f t="shared" si="440"/>
        <v>0</v>
      </c>
      <c r="CE485" s="4">
        <f t="shared" si="441"/>
        <v>0</v>
      </c>
      <c r="CF485" s="4">
        <f t="shared" si="442"/>
        <v>0</v>
      </c>
      <c r="CG485" s="4">
        <f t="shared" si="443"/>
        <v>0</v>
      </c>
      <c r="CH485" s="4">
        <f t="shared" si="444"/>
        <v>0</v>
      </c>
      <c r="CI485" s="4">
        <f t="shared" si="445"/>
        <v>0</v>
      </c>
      <c r="CJ485" s="4">
        <f t="shared" si="446"/>
        <v>0</v>
      </c>
      <c r="CK485" s="4">
        <f t="shared" si="447"/>
        <v>0</v>
      </c>
      <c r="CL485" s="4">
        <f t="shared" si="448"/>
        <v>0</v>
      </c>
      <c r="CM485" s="4">
        <f t="shared" si="449"/>
        <v>0</v>
      </c>
      <c r="CN485" s="4">
        <f t="shared" si="450"/>
        <v>0</v>
      </c>
      <c r="CO485" s="4">
        <f t="shared" si="451"/>
        <v>0</v>
      </c>
      <c r="CP485" s="4">
        <f t="shared" si="452"/>
        <v>0</v>
      </c>
      <c r="CQ485" s="4">
        <f t="shared" si="453"/>
        <v>0</v>
      </c>
      <c r="CR485" s="4">
        <f t="shared" si="454"/>
        <v>0</v>
      </c>
      <c r="CS485" s="4">
        <f t="shared" si="455"/>
        <v>0</v>
      </c>
      <c r="CT485" s="4">
        <f t="shared" si="456"/>
        <v>0</v>
      </c>
      <c r="CU485" s="4">
        <f t="shared" si="457"/>
        <v>0</v>
      </c>
      <c r="CV485" s="4">
        <f t="shared" si="458"/>
        <v>0</v>
      </c>
      <c r="CW485" s="4">
        <f t="shared" si="459"/>
        <v>0</v>
      </c>
      <c r="CX485" s="4">
        <f t="shared" si="460"/>
        <v>0</v>
      </c>
      <c r="CY485" s="4">
        <f t="shared" si="461"/>
        <v>0</v>
      </c>
      <c r="CZ485" s="4">
        <f t="shared" si="462"/>
        <v>0</v>
      </c>
      <c r="DA485" s="4">
        <f t="shared" si="463"/>
        <v>0</v>
      </c>
      <c r="DB485" s="4">
        <f t="shared" si="464"/>
        <v>0</v>
      </c>
      <c r="DC485" s="4">
        <f t="shared" si="465"/>
        <v>0</v>
      </c>
      <c r="DD485" s="4">
        <f t="shared" si="466"/>
        <v>0</v>
      </c>
    </row>
    <row r="486" spans="1:108" x14ac:dyDescent="0.25">
      <c r="A486" s="41" t="str">
        <f>Skills!M468</f>
        <v>Cosmetology</v>
      </c>
      <c r="B486" s="55" t="str">
        <f>Skills!N468</f>
        <v>Cosmetology</v>
      </c>
      <c r="C486" s="22">
        <f t="shared" si="467"/>
        <v>0</v>
      </c>
      <c r="D486" s="112">
        <f ca="1">Skills!S468</f>
        <v>0</v>
      </c>
      <c r="E486" s="113" t="e">
        <f>Profession!B206</f>
        <v>#REF!</v>
      </c>
      <c r="F486" s="19"/>
      <c r="G486" s="19"/>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56"/>
      <c r="BF486" s="4">
        <f t="shared" si="417"/>
        <v>0</v>
      </c>
      <c r="BG486" s="4">
        <f t="shared" si="417"/>
        <v>0</v>
      </c>
      <c r="BH486" s="4">
        <f t="shared" si="418"/>
        <v>0</v>
      </c>
      <c r="BI486" s="4">
        <f t="shared" si="419"/>
        <v>0</v>
      </c>
      <c r="BJ486" s="4">
        <f t="shared" si="420"/>
        <v>0</v>
      </c>
      <c r="BK486" s="4">
        <f t="shared" si="421"/>
        <v>0</v>
      </c>
      <c r="BL486" s="4">
        <f t="shared" si="422"/>
        <v>0</v>
      </c>
      <c r="BM486" s="4">
        <f t="shared" si="423"/>
        <v>0</v>
      </c>
      <c r="BN486" s="4">
        <f t="shared" si="424"/>
        <v>0</v>
      </c>
      <c r="BO486" s="4">
        <f t="shared" si="425"/>
        <v>0</v>
      </c>
      <c r="BP486" s="4">
        <f t="shared" si="426"/>
        <v>0</v>
      </c>
      <c r="BQ486" s="4">
        <f t="shared" si="427"/>
        <v>0</v>
      </c>
      <c r="BR486" s="4">
        <f t="shared" si="428"/>
        <v>0</v>
      </c>
      <c r="BS486" s="4">
        <f t="shared" si="429"/>
        <v>0</v>
      </c>
      <c r="BT486" s="4">
        <f t="shared" si="430"/>
        <v>0</v>
      </c>
      <c r="BU486" s="4">
        <f t="shared" si="431"/>
        <v>0</v>
      </c>
      <c r="BV486" s="4">
        <f t="shared" si="432"/>
        <v>0</v>
      </c>
      <c r="BW486" s="4">
        <f t="shared" si="433"/>
        <v>0</v>
      </c>
      <c r="BX486" s="4">
        <f t="shared" si="434"/>
        <v>0</v>
      </c>
      <c r="BY486" s="4">
        <f t="shared" si="435"/>
        <v>0</v>
      </c>
      <c r="BZ486" s="4">
        <f t="shared" si="436"/>
        <v>0</v>
      </c>
      <c r="CA486" s="4">
        <f t="shared" si="437"/>
        <v>0</v>
      </c>
      <c r="CB486" s="4">
        <f t="shared" si="438"/>
        <v>0</v>
      </c>
      <c r="CC486" s="4">
        <f t="shared" si="439"/>
        <v>0</v>
      </c>
      <c r="CD486" s="4">
        <f t="shared" si="440"/>
        <v>0</v>
      </c>
      <c r="CE486" s="4">
        <f t="shared" si="441"/>
        <v>0</v>
      </c>
      <c r="CF486" s="4">
        <f t="shared" si="442"/>
        <v>0</v>
      </c>
      <c r="CG486" s="4">
        <f t="shared" si="443"/>
        <v>0</v>
      </c>
      <c r="CH486" s="4">
        <f t="shared" si="444"/>
        <v>0</v>
      </c>
      <c r="CI486" s="4">
        <f t="shared" si="445"/>
        <v>0</v>
      </c>
      <c r="CJ486" s="4">
        <f t="shared" si="446"/>
        <v>0</v>
      </c>
      <c r="CK486" s="4">
        <f t="shared" si="447"/>
        <v>0</v>
      </c>
      <c r="CL486" s="4">
        <f t="shared" si="448"/>
        <v>0</v>
      </c>
      <c r="CM486" s="4">
        <f t="shared" si="449"/>
        <v>0</v>
      </c>
      <c r="CN486" s="4">
        <f t="shared" si="450"/>
        <v>0</v>
      </c>
      <c r="CO486" s="4">
        <f t="shared" si="451"/>
        <v>0</v>
      </c>
      <c r="CP486" s="4">
        <f t="shared" si="452"/>
        <v>0</v>
      </c>
      <c r="CQ486" s="4">
        <f t="shared" si="453"/>
        <v>0</v>
      </c>
      <c r="CR486" s="4">
        <f t="shared" si="454"/>
        <v>0</v>
      </c>
      <c r="CS486" s="4">
        <f t="shared" si="455"/>
        <v>0</v>
      </c>
      <c r="CT486" s="4">
        <f t="shared" si="456"/>
        <v>0</v>
      </c>
      <c r="CU486" s="4">
        <f t="shared" si="457"/>
        <v>0</v>
      </c>
      <c r="CV486" s="4">
        <f t="shared" si="458"/>
        <v>0</v>
      </c>
      <c r="CW486" s="4">
        <f t="shared" si="459"/>
        <v>0</v>
      </c>
      <c r="CX486" s="4">
        <f t="shared" si="460"/>
        <v>0</v>
      </c>
      <c r="CY486" s="4">
        <f t="shared" si="461"/>
        <v>0</v>
      </c>
      <c r="CZ486" s="4">
        <f t="shared" si="462"/>
        <v>0</v>
      </c>
      <c r="DA486" s="4">
        <f t="shared" si="463"/>
        <v>0</v>
      </c>
      <c r="DB486" s="4">
        <f t="shared" si="464"/>
        <v>0</v>
      </c>
      <c r="DC486" s="4">
        <f t="shared" si="465"/>
        <v>0</v>
      </c>
      <c r="DD486" s="4">
        <f t="shared" si="466"/>
        <v>0</v>
      </c>
    </row>
    <row r="487" spans="1:108" x14ac:dyDescent="0.25">
      <c r="A487" s="41" t="str">
        <f>Skills!M469</f>
        <v>Criminal Investigation</v>
      </c>
      <c r="B487" s="57" t="str">
        <f>Skills!N469</f>
        <v>Criminal Investigation</v>
      </c>
      <c r="C487" s="24">
        <f t="shared" si="467"/>
        <v>0</v>
      </c>
      <c r="D487" s="110">
        <f>Skills!S469</f>
        <v>0</v>
      </c>
      <c r="E487" s="111" t="e">
        <f>Profession!B207</f>
        <v>#REF!</v>
      </c>
      <c r="F487" s="18"/>
      <c r="G487" s="18"/>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49"/>
      <c r="BF487" s="4">
        <f t="shared" si="417"/>
        <v>0</v>
      </c>
      <c r="BG487" s="4">
        <f t="shared" si="417"/>
        <v>0</v>
      </c>
      <c r="BH487" s="4">
        <f t="shared" si="418"/>
        <v>0</v>
      </c>
      <c r="BI487" s="4">
        <f t="shared" si="419"/>
        <v>0</v>
      </c>
      <c r="BJ487" s="4">
        <f t="shared" si="420"/>
        <v>0</v>
      </c>
      <c r="BK487" s="4">
        <f t="shared" si="421"/>
        <v>0</v>
      </c>
      <c r="BL487" s="4">
        <f t="shared" si="422"/>
        <v>0</v>
      </c>
      <c r="BM487" s="4">
        <f t="shared" si="423"/>
        <v>0</v>
      </c>
      <c r="BN487" s="4">
        <f t="shared" si="424"/>
        <v>0</v>
      </c>
      <c r="BO487" s="4">
        <f t="shared" si="425"/>
        <v>0</v>
      </c>
      <c r="BP487" s="4">
        <f t="shared" si="426"/>
        <v>0</v>
      </c>
      <c r="BQ487" s="4">
        <f t="shared" si="427"/>
        <v>0</v>
      </c>
      <c r="BR487" s="4">
        <f t="shared" si="428"/>
        <v>0</v>
      </c>
      <c r="BS487" s="4">
        <f t="shared" si="429"/>
        <v>0</v>
      </c>
      <c r="BT487" s="4">
        <f t="shared" si="430"/>
        <v>0</v>
      </c>
      <c r="BU487" s="4">
        <f t="shared" si="431"/>
        <v>0</v>
      </c>
      <c r="BV487" s="4">
        <f t="shared" si="432"/>
        <v>0</v>
      </c>
      <c r="BW487" s="4">
        <f t="shared" si="433"/>
        <v>0</v>
      </c>
      <c r="BX487" s="4">
        <f t="shared" si="434"/>
        <v>0</v>
      </c>
      <c r="BY487" s="4">
        <f t="shared" si="435"/>
        <v>0</v>
      </c>
      <c r="BZ487" s="4">
        <f t="shared" si="436"/>
        <v>0</v>
      </c>
      <c r="CA487" s="4">
        <f t="shared" si="437"/>
        <v>0</v>
      </c>
      <c r="CB487" s="4">
        <f t="shared" si="438"/>
        <v>0</v>
      </c>
      <c r="CC487" s="4">
        <f t="shared" si="439"/>
        <v>0</v>
      </c>
      <c r="CD487" s="4">
        <f t="shared" si="440"/>
        <v>0</v>
      </c>
      <c r="CE487" s="4">
        <f t="shared" si="441"/>
        <v>0</v>
      </c>
      <c r="CF487" s="4">
        <f t="shared" si="442"/>
        <v>0</v>
      </c>
      <c r="CG487" s="4">
        <f t="shared" si="443"/>
        <v>0</v>
      </c>
      <c r="CH487" s="4">
        <f t="shared" si="444"/>
        <v>0</v>
      </c>
      <c r="CI487" s="4">
        <f t="shared" si="445"/>
        <v>0</v>
      </c>
      <c r="CJ487" s="4">
        <f t="shared" si="446"/>
        <v>0</v>
      </c>
      <c r="CK487" s="4">
        <f t="shared" si="447"/>
        <v>0</v>
      </c>
      <c r="CL487" s="4">
        <f t="shared" si="448"/>
        <v>0</v>
      </c>
      <c r="CM487" s="4">
        <f t="shared" si="449"/>
        <v>0</v>
      </c>
      <c r="CN487" s="4">
        <f t="shared" si="450"/>
        <v>0</v>
      </c>
      <c r="CO487" s="4">
        <f t="shared" si="451"/>
        <v>0</v>
      </c>
      <c r="CP487" s="4">
        <f t="shared" si="452"/>
        <v>0</v>
      </c>
      <c r="CQ487" s="4">
        <f t="shared" si="453"/>
        <v>0</v>
      </c>
      <c r="CR487" s="4">
        <f t="shared" si="454"/>
        <v>0</v>
      </c>
      <c r="CS487" s="4">
        <f t="shared" si="455"/>
        <v>0</v>
      </c>
      <c r="CT487" s="4">
        <f t="shared" si="456"/>
        <v>0</v>
      </c>
      <c r="CU487" s="4">
        <f t="shared" si="457"/>
        <v>0</v>
      </c>
      <c r="CV487" s="4">
        <f t="shared" si="458"/>
        <v>0</v>
      </c>
      <c r="CW487" s="4">
        <f t="shared" si="459"/>
        <v>0</v>
      </c>
      <c r="CX487" s="4">
        <f t="shared" si="460"/>
        <v>0</v>
      </c>
      <c r="CY487" s="4">
        <f t="shared" si="461"/>
        <v>0</v>
      </c>
      <c r="CZ487" s="4">
        <f t="shared" si="462"/>
        <v>0</v>
      </c>
      <c r="DA487" s="4">
        <f t="shared" si="463"/>
        <v>0</v>
      </c>
      <c r="DB487" s="4">
        <f t="shared" si="464"/>
        <v>0</v>
      </c>
      <c r="DC487" s="4">
        <f t="shared" si="465"/>
        <v>0</v>
      </c>
      <c r="DD487" s="4">
        <f t="shared" si="466"/>
        <v>0</v>
      </c>
    </row>
    <row r="488" spans="1:108" x14ac:dyDescent="0.25">
      <c r="A488" s="41" t="str">
        <f>Skills!M470</f>
        <v>Criminal Psychology</v>
      </c>
      <c r="B488" s="55" t="str">
        <f>Skills!N470</f>
        <v>Criminal Psychology</v>
      </c>
      <c r="C488" s="22">
        <f t="shared" si="467"/>
        <v>0</v>
      </c>
      <c r="D488" s="112">
        <f>Skills!S470</f>
        <v>0</v>
      </c>
      <c r="E488" s="113" t="e">
        <f>Profession!B208</f>
        <v>#REF!</v>
      </c>
      <c r="F488" s="19"/>
      <c r="G488" s="19"/>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56"/>
      <c r="BF488" s="4">
        <f t="shared" si="417"/>
        <v>0</v>
      </c>
      <c r="BG488" s="4">
        <f t="shared" si="417"/>
        <v>0</v>
      </c>
      <c r="BH488" s="4">
        <f t="shared" si="418"/>
        <v>0</v>
      </c>
      <c r="BI488" s="4">
        <f t="shared" si="419"/>
        <v>0</v>
      </c>
      <c r="BJ488" s="4">
        <f t="shared" si="420"/>
        <v>0</v>
      </c>
      <c r="BK488" s="4">
        <f t="shared" si="421"/>
        <v>0</v>
      </c>
      <c r="BL488" s="4">
        <f t="shared" si="422"/>
        <v>0</v>
      </c>
      <c r="BM488" s="4">
        <f t="shared" si="423"/>
        <v>0</v>
      </c>
      <c r="BN488" s="4">
        <f t="shared" si="424"/>
        <v>0</v>
      </c>
      <c r="BO488" s="4">
        <f t="shared" si="425"/>
        <v>0</v>
      </c>
      <c r="BP488" s="4">
        <f t="shared" si="426"/>
        <v>0</v>
      </c>
      <c r="BQ488" s="4">
        <f t="shared" si="427"/>
        <v>0</v>
      </c>
      <c r="BR488" s="4">
        <f t="shared" si="428"/>
        <v>0</v>
      </c>
      <c r="BS488" s="4">
        <f t="shared" si="429"/>
        <v>0</v>
      </c>
      <c r="BT488" s="4">
        <f t="shared" si="430"/>
        <v>0</v>
      </c>
      <c r="BU488" s="4">
        <f t="shared" si="431"/>
        <v>0</v>
      </c>
      <c r="BV488" s="4">
        <f t="shared" si="432"/>
        <v>0</v>
      </c>
      <c r="BW488" s="4">
        <f t="shared" si="433"/>
        <v>0</v>
      </c>
      <c r="BX488" s="4">
        <f t="shared" si="434"/>
        <v>0</v>
      </c>
      <c r="BY488" s="4">
        <f t="shared" si="435"/>
        <v>0</v>
      </c>
      <c r="BZ488" s="4">
        <f t="shared" si="436"/>
        <v>0</v>
      </c>
      <c r="CA488" s="4">
        <f t="shared" si="437"/>
        <v>0</v>
      </c>
      <c r="CB488" s="4">
        <f t="shared" si="438"/>
        <v>0</v>
      </c>
      <c r="CC488" s="4">
        <f t="shared" si="439"/>
        <v>0</v>
      </c>
      <c r="CD488" s="4">
        <f t="shared" si="440"/>
        <v>0</v>
      </c>
      <c r="CE488" s="4">
        <f t="shared" si="441"/>
        <v>0</v>
      </c>
      <c r="CF488" s="4">
        <f t="shared" si="442"/>
        <v>0</v>
      </c>
      <c r="CG488" s="4">
        <f t="shared" si="443"/>
        <v>0</v>
      </c>
      <c r="CH488" s="4">
        <f t="shared" si="444"/>
        <v>0</v>
      </c>
      <c r="CI488" s="4">
        <f t="shared" si="445"/>
        <v>0</v>
      </c>
      <c r="CJ488" s="4">
        <f t="shared" si="446"/>
        <v>0</v>
      </c>
      <c r="CK488" s="4">
        <f t="shared" si="447"/>
        <v>0</v>
      </c>
      <c r="CL488" s="4">
        <f t="shared" si="448"/>
        <v>0</v>
      </c>
      <c r="CM488" s="4">
        <f t="shared" si="449"/>
        <v>0</v>
      </c>
      <c r="CN488" s="4">
        <f t="shared" si="450"/>
        <v>0</v>
      </c>
      <c r="CO488" s="4">
        <f t="shared" si="451"/>
        <v>0</v>
      </c>
      <c r="CP488" s="4">
        <f t="shared" si="452"/>
        <v>0</v>
      </c>
      <c r="CQ488" s="4">
        <f t="shared" si="453"/>
        <v>0</v>
      </c>
      <c r="CR488" s="4">
        <f t="shared" si="454"/>
        <v>0</v>
      </c>
      <c r="CS488" s="4">
        <f t="shared" si="455"/>
        <v>0</v>
      </c>
      <c r="CT488" s="4">
        <f t="shared" si="456"/>
        <v>0</v>
      </c>
      <c r="CU488" s="4">
        <f t="shared" si="457"/>
        <v>0</v>
      </c>
      <c r="CV488" s="4">
        <f t="shared" si="458"/>
        <v>0</v>
      </c>
      <c r="CW488" s="4">
        <f t="shared" si="459"/>
        <v>0</v>
      </c>
      <c r="CX488" s="4">
        <f t="shared" si="460"/>
        <v>0</v>
      </c>
      <c r="CY488" s="4">
        <f t="shared" si="461"/>
        <v>0</v>
      </c>
      <c r="CZ488" s="4">
        <f t="shared" si="462"/>
        <v>0</v>
      </c>
      <c r="DA488" s="4">
        <f t="shared" si="463"/>
        <v>0</v>
      </c>
      <c r="DB488" s="4">
        <f t="shared" si="464"/>
        <v>0</v>
      </c>
      <c r="DC488" s="4">
        <f t="shared" si="465"/>
        <v>0</v>
      </c>
      <c r="DD488" s="4">
        <f t="shared" si="466"/>
        <v>0</v>
      </c>
    </row>
    <row r="489" spans="1:108" x14ac:dyDescent="0.25">
      <c r="A489" s="41" t="str">
        <f>Skills!M471</f>
        <v>Cryptology</v>
      </c>
      <c r="B489" s="57" t="str">
        <f>Skills!N471</f>
        <v>Cryptology</v>
      </c>
      <c r="C489" s="24">
        <f t="shared" si="467"/>
        <v>0</v>
      </c>
      <c r="D489" s="110">
        <f>Skills!S471</f>
        <v>0</v>
      </c>
      <c r="E489" s="111" t="e">
        <f>Profession!B209</f>
        <v>#REF!</v>
      </c>
      <c r="F489" s="18"/>
      <c r="G489" s="18"/>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49"/>
      <c r="BF489" s="4">
        <f t="shared" si="417"/>
        <v>0</v>
      </c>
      <c r="BG489" s="4">
        <f t="shared" si="417"/>
        <v>0</v>
      </c>
      <c r="BH489" s="4">
        <f t="shared" si="418"/>
        <v>0</v>
      </c>
      <c r="BI489" s="4">
        <f t="shared" si="419"/>
        <v>0</v>
      </c>
      <c r="BJ489" s="4">
        <f t="shared" si="420"/>
        <v>0</v>
      </c>
      <c r="BK489" s="4">
        <f t="shared" si="421"/>
        <v>0</v>
      </c>
      <c r="BL489" s="4">
        <f t="shared" si="422"/>
        <v>0</v>
      </c>
      <c r="BM489" s="4">
        <f t="shared" si="423"/>
        <v>0</v>
      </c>
      <c r="BN489" s="4">
        <f t="shared" si="424"/>
        <v>0</v>
      </c>
      <c r="BO489" s="4">
        <f t="shared" si="425"/>
        <v>0</v>
      </c>
      <c r="BP489" s="4">
        <f t="shared" si="426"/>
        <v>0</v>
      </c>
      <c r="BQ489" s="4">
        <f t="shared" si="427"/>
        <v>0</v>
      </c>
      <c r="BR489" s="4">
        <f t="shared" si="428"/>
        <v>0</v>
      </c>
      <c r="BS489" s="4">
        <f t="shared" si="429"/>
        <v>0</v>
      </c>
      <c r="BT489" s="4">
        <f t="shared" si="430"/>
        <v>0</v>
      </c>
      <c r="BU489" s="4">
        <f t="shared" si="431"/>
        <v>0</v>
      </c>
      <c r="BV489" s="4">
        <f t="shared" si="432"/>
        <v>0</v>
      </c>
      <c r="BW489" s="4">
        <f t="shared" si="433"/>
        <v>0</v>
      </c>
      <c r="BX489" s="4">
        <f t="shared" si="434"/>
        <v>0</v>
      </c>
      <c r="BY489" s="4">
        <f t="shared" si="435"/>
        <v>0</v>
      </c>
      <c r="BZ489" s="4">
        <f t="shared" si="436"/>
        <v>0</v>
      </c>
      <c r="CA489" s="4">
        <f t="shared" si="437"/>
        <v>0</v>
      </c>
      <c r="CB489" s="4">
        <f t="shared" si="438"/>
        <v>0</v>
      </c>
      <c r="CC489" s="4">
        <f t="shared" si="439"/>
        <v>0</v>
      </c>
      <c r="CD489" s="4">
        <f t="shared" si="440"/>
        <v>0</v>
      </c>
      <c r="CE489" s="4">
        <f t="shared" si="441"/>
        <v>0</v>
      </c>
      <c r="CF489" s="4">
        <f t="shared" si="442"/>
        <v>0</v>
      </c>
      <c r="CG489" s="4">
        <f t="shared" si="443"/>
        <v>0</v>
      </c>
      <c r="CH489" s="4">
        <f t="shared" si="444"/>
        <v>0</v>
      </c>
      <c r="CI489" s="4">
        <f t="shared" si="445"/>
        <v>0</v>
      </c>
      <c r="CJ489" s="4">
        <f t="shared" si="446"/>
        <v>0</v>
      </c>
      <c r="CK489" s="4">
        <f t="shared" si="447"/>
        <v>0</v>
      </c>
      <c r="CL489" s="4">
        <f t="shared" si="448"/>
        <v>0</v>
      </c>
      <c r="CM489" s="4">
        <f t="shared" si="449"/>
        <v>0</v>
      </c>
      <c r="CN489" s="4">
        <f t="shared" si="450"/>
        <v>0</v>
      </c>
      <c r="CO489" s="4">
        <f t="shared" si="451"/>
        <v>0</v>
      </c>
      <c r="CP489" s="4">
        <f t="shared" si="452"/>
        <v>0</v>
      </c>
      <c r="CQ489" s="4">
        <f t="shared" si="453"/>
        <v>0</v>
      </c>
      <c r="CR489" s="4">
        <f t="shared" si="454"/>
        <v>0</v>
      </c>
      <c r="CS489" s="4">
        <f t="shared" si="455"/>
        <v>0</v>
      </c>
      <c r="CT489" s="4">
        <f t="shared" si="456"/>
        <v>0</v>
      </c>
      <c r="CU489" s="4">
        <f t="shared" si="457"/>
        <v>0</v>
      </c>
      <c r="CV489" s="4">
        <f t="shared" si="458"/>
        <v>0</v>
      </c>
      <c r="CW489" s="4">
        <f t="shared" si="459"/>
        <v>0</v>
      </c>
      <c r="CX489" s="4">
        <f t="shared" si="460"/>
        <v>0</v>
      </c>
      <c r="CY489" s="4">
        <f t="shared" si="461"/>
        <v>0</v>
      </c>
      <c r="CZ489" s="4">
        <f t="shared" si="462"/>
        <v>0</v>
      </c>
      <c r="DA489" s="4">
        <f t="shared" si="463"/>
        <v>0</v>
      </c>
      <c r="DB489" s="4">
        <f t="shared" si="464"/>
        <v>0</v>
      </c>
      <c r="DC489" s="4">
        <f t="shared" si="465"/>
        <v>0</v>
      </c>
      <c r="DD489" s="4">
        <f t="shared" si="466"/>
        <v>0</v>
      </c>
    </row>
    <row r="490" spans="1:108" x14ac:dyDescent="0.25">
      <c r="A490" s="41" t="str">
        <f>Skills!M472</f>
        <v>Dowsing</v>
      </c>
      <c r="B490" s="55" t="str">
        <f>Skills!N472</f>
        <v>Dowsing</v>
      </c>
      <c r="C490" s="22">
        <f t="shared" si="467"/>
        <v>0</v>
      </c>
      <c r="D490" s="112">
        <f>Skills!S472</f>
        <v>0</v>
      </c>
      <c r="E490" s="113" t="e">
        <f>Profession!B210</f>
        <v>#REF!</v>
      </c>
      <c r="F490" s="19"/>
      <c r="G490" s="19"/>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56"/>
      <c r="BF490" s="4">
        <f t="shared" si="417"/>
        <v>0</v>
      </c>
      <c r="BG490" s="4">
        <f t="shared" si="417"/>
        <v>0</v>
      </c>
      <c r="BH490" s="4">
        <f t="shared" si="418"/>
        <v>0</v>
      </c>
      <c r="BI490" s="4">
        <f t="shared" si="419"/>
        <v>0</v>
      </c>
      <c r="BJ490" s="4">
        <f t="shared" si="420"/>
        <v>0</v>
      </c>
      <c r="BK490" s="4">
        <f t="shared" si="421"/>
        <v>0</v>
      </c>
      <c r="BL490" s="4">
        <f t="shared" si="422"/>
        <v>0</v>
      </c>
      <c r="BM490" s="4">
        <f t="shared" si="423"/>
        <v>0</v>
      </c>
      <c r="BN490" s="4">
        <f t="shared" si="424"/>
        <v>0</v>
      </c>
      <c r="BO490" s="4">
        <f t="shared" si="425"/>
        <v>0</v>
      </c>
      <c r="BP490" s="4">
        <f t="shared" si="426"/>
        <v>0</v>
      </c>
      <c r="BQ490" s="4">
        <f t="shared" si="427"/>
        <v>0</v>
      </c>
      <c r="BR490" s="4">
        <f t="shared" si="428"/>
        <v>0</v>
      </c>
      <c r="BS490" s="4">
        <f t="shared" si="429"/>
        <v>0</v>
      </c>
      <c r="BT490" s="4">
        <f t="shared" si="430"/>
        <v>0</v>
      </c>
      <c r="BU490" s="4">
        <f t="shared" si="431"/>
        <v>0</v>
      </c>
      <c r="BV490" s="4">
        <f t="shared" si="432"/>
        <v>0</v>
      </c>
      <c r="BW490" s="4">
        <f t="shared" si="433"/>
        <v>0</v>
      </c>
      <c r="BX490" s="4">
        <f t="shared" si="434"/>
        <v>0</v>
      </c>
      <c r="BY490" s="4">
        <f t="shared" si="435"/>
        <v>0</v>
      </c>
      <c r="BZ490" s="4">
        <f t="shared" si="436"/>
        <v>0</v>
      </c>
      <c r="CA490" s="4">
        <f t="shared" si="437"/>
        <v>0</v>
      </c>
      <c r="CB490" s="4">
        <f t="shared" si="438"/>
        <v>0</v>
      </c>
      <c r="CC490" s="4">
        <f t="shared" si="439"/>
        <v>0</v>
      </c>
      <c r="CD490" s="4">
        <f t="shared" si="440"/>
        <v>0</v>
      </c>
      <c r="CE490" s="4">
        <f t="shared" si="441"/>
        <v>0</v>
      </c>
      <c r="CF490" s="4">
        <f t="shared" si="442"/>
        <v>0</v>
      </c>
      <c r="CG490" s="4">
        <f t="shared" si="443"/>
        <v>0</v>
      </c>
      <c r="CH490" s="4">
        <f t="shared" si="444"/>
        <v>0</v>
      </c>
      <c r="CI490" s="4">
        <f t="shared" si="445"/>
        <v>0</v>
      </c>
      <c r="CJ490" s="4">
        <f t="shared" si="446"/>
        <v>0</v>
      </c>
      <c r="CK490" s="4">
        <f t="shared" si="447"/>
        <v>0</v>
      </c>
      <c r="CL490" s="4">
        <f t="shared" si="448"/>
        <v>0</v>
      </c>
      <c r="CM490" s="4">
        <f t="shared" si="449"/>
        <v>0</v>
      </c>
      <c r="CN490" s="4">
        <f t="shared" si="450"/>
        <v>0</v>
      </c>
      <c r="CO490" s="4">
        <f t="shared" si="451"/>
        <v>0</v>
      </c>
      <c r="CP490" s="4">
        <f t="shared" si="452"/>
        <v>0</v>
      </c>
      <c r="CQ490" s="4">
        <f t="shared" si="453"/>
        <v>0</v>
      </c>
      <c r="CR490" s="4">
        <f t="shared" si="454"/>
        <v>0</v>
      </c>
      <c r="CS490" s="4">
        <f t="shared" si="455"/>
        <v>0</v>
      </c>
      <c r="CT490" s="4">
        <f t="shared" si="456"/>
        <v>0</v>
      </c>
      <c r="CU490" s="4">
        <f t="shared" si="457"/>
        <v>0</v>
      </c>
      <c r="CV490" s="4">
        <f t="shared" si="458"/>
        <v>0</v>
      </c>
      <c r="CW490" s="4">
        <f t="shared" si="459"/>
        <v>0</v>
      </c>
      <c r="CX490" s="4">
        <f t="shared" si="460"/>
        <v>0</v>
      </c>
      <c r="CY490" s="4">
        <f t="shared" si="461"/>
        <v>0</v>
      </c>
      <c r="CZ490" s="4">
        <f t="shared" si="462"/>
        <v>0</v>
      </c>
      <c r="DA490" s="4">
        <f t="shared" si="463"/>
        <v>0</v>
      </c>
      <c r="DB490" s="4">
        <f t="shared" si="464"/>
        <v>0</v>
      </c>
      <c r="DC490" s="4">
        <f t="shared" si="465"/>
        <v>0</v>
      </c>
      <c r="DD490" s="4">
        <f t="shared" si="466"/>
        <v>0</v>
      </c>
    </row>
    <row r="491" spans="1:108" x14ac:dyDescent="0.25">
      <c r="A491" s="41" t="str">
        <f>Skills!M473</f>
        <v>Drug Trafficking</v>
      </c>
      <c r="B491" s="57" t="str">
        <f>Skills!N473</f>
        <v>Drug Trafficking</v>
      </c>
      <c r="C491" s="24">
        <f t="shared" si="467"/>
        <v>0</v>
      </c>
      <c r="D491" s="110">
        <f ca="1">Skills!S473</f>
        <v>0</v>
      </c>
      <c r="E491" s="111" t="e">
        <f>Profession!B211</f>
        <v>#REF!</v>
      </c>
      <c r="F491" s="18"/>
      <c r="G491" s="18"/>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49"/>
      <c r="BF491" s="4">
        <f t="shared" si="417"/>
        <v>0</v>
      </c>
      <c r="BG491" s="4">
        <f t="shared" si="417"/>
        <v>0</v>
      </c>
      <c r="BH491" s="4">
        <f t="shared" si="418"/>
        <v>0</v>
      </c>
      <c r="BI491" s="4">
        <f t="shared" si="419"/>
        <v>0</v>
      </c>
      <c r="BJ491" s="4">
        <f t="shared" si="420"/>
        <v>0</v>
      </c>
      <c r="BK491" s="4">
        <f t="shared" si="421"/>
        <v>0</v>
      </c>
      <c r="BL491" s="4">
        <f t="shared" si="422"/>
        <v>0</v>
      </c>
      <c r="BM491" s="4">
        <f t="shared" si="423"/>
        <v>0</v>
      </c>
      <c r="BN491" s="4">
        <f t="shared" si="424"/>
        <v>0</v>
      </c>
      <c r="BO491" s="4">
        <f t="shared" si="425"/>
        <v>0</v>
      </c>
      <c r="BP491" s="4">
        <f t="shared" si="426"/>
        <v>0</v>
      </c>
      <c r="BQ491" s="4">
        <f t="shared" si="427"/>
        <v>0</v>
      </c>
      <c r="BR491" s="4">
        <f t="shared" si="428"/>
        <v>0</v>
      </c>
      <c r="BS491" s="4">
        <f t="shared" si="429"/>
        <v>0</v>
      </c>
      <c r="BT491" s="4">
        <f t="shared" si="430"/>
        <v>0</v>
      </c>
      <c r="BU491" s="4">
        <f t="shared" si="431"/>
        <v>0</v>
      </c>
      <c r="BV491" s="4">
        <f t="shared" si="432"/>
        <v>0</v>
      </c>
      <c r="BW491" s="4">
        <f t="shared" si="433"/>
        <v>0</v>
      </c>
      <c r="BX491" s="4">
        <f t="shared" si="434"/>
        <v>0</v>
      </c>
      <c r="BY491" s="4">
        <f t="shared" si="435"/>
        <v>0</v>
      </c>
      <c r="BZ491" s="4">
        <f t="shared" si="436"/>
        <v>0</v>
      </c>
      <c r="CA491" s="4">
        <f t="shared" si="437"/>
        <v>0</v>
      </c>
      <c r="CB491" s="4">
        <f t="shared" si="438"/>
        <v>0</v>
      </c>
      <c r="CC491" s="4">
        <f t="shared" si="439"/>
        <v>0</v>
      </c>
      <c r="CD491" s="4">
        <f t="shared" si="440"/>
        <v>0</v>
      </c>
      <c r="CE491" s="4">
        <f t="shared" si="441"/>
        <v>0</v>
      </c>
      <c r="CF491" s="4">
        <f t="shared" si="442"/>
        <v>0</v>
      </c>
      <c r="CG491" s="4">
        <f t="shared" si="443"/>
        <v>0</v>
      </c>
      <c r="CH491" s="4">
        <f t="shared" si="444"/>
        <v>0</v>
      </c>
      <c r="CI491" s="4">
        <f t="shared" si="445"/>
        <v>0</v>
      </c>
      <c r="CJ491" s="4">
        <f t="shared" si="446"/>
        <v>0</v>
      </c>
      <c r="CK491" s="4">
        <f t="shared" si="447"/>
        <v>0</v>
      </c>
      <c r="CL491" s="4">
        <f t="shared" si="448"/>
        <v>0</v>
      </c>
      <c r="CM491" s="4">
        <f t="shared" si="449"/>
        <v>0</v>
      </c>
      <c r="CN491" s="4">
        <f t="shared" si="450"/>
        <v>0</v>
      </c>
      <c r="CO491" s="4">
        <f t="shared" si="451"/>
        <v>0</v>
      </c>
      <c r="CP491" s="4">
        <f t="shared" si="452"/>
        <v>0</v>
      </c>
      <c r="CQ491" s="4">
        <f t="shared" si="453"/>
        <v>0</v>
      </c>
      <c r="CR491" s="4">
        <f t="shared" si="454"/>
        <v>0</v>
      </c>
      <c r="CS491" s="4">
        <f t="shared" si="455"/>
        <v>0</v>
      </c>
      <c r="CT491" s="4">
        <f t="shared" si="456"/>
        <v>0</v>
      </c>
      <c r="CU491" s="4">
        <f t="shared" si="457"/>
        <v>0</v>
      </c>
      <c r="CV491" s="4">
        <f t="shared" si="458"/>
        <v>0</v>
      </c>
      <c r="CW491" s="4">
        <f t="shared" si="459"/>
        <v>0</v>
      </c>
      <c r="CX491" s="4">
        <f t="shared" si="460"/>
        <v>0</v>
      </c>
      <c r="CY491" s="4">
        <f t="shared" si="461"/>
        <v>0</v>
      </c>
      <c r="CZ491" s="4">
        <f t="shared" si="462"/>
        <v>0</v>
      </c>
      <c r="DA491" s="4">
        <f t="shared" si="463"/>
        <v>0</v>
      </c>
      <c r="DB491" s="4">
        <f t="shared" si="464"/>
        <v>0</v>
      </c>
      <c r="DC491" s="4">
        <f t="shared" si="465"/>
        <v>0</v>
      </c>
      <c r="DD491" s="4">
        <f t="shared" si="466"/>
        <v>0</v>
      </c>
    </row>
    <row r="492" spans="1:108" x14ac:dyDescent="0.25">
      <c r="A492" s="41" t="str">
        <f>Skills!M474</f>
        <v>Ecology</v>
      </c>
      <c r="B492" s="55" t="str">
        <f>Skills!N474</f>
        <v>Ecology</v>
      </c>
      <c r="C492" s="22">
        <f t="shared" si="467"/>
        <v>0</v>
      </c>
      <c r="D492" s="112">
        <f ca="1">Skills!S474</f>
        <v>0</v>
      </c>
      <c r="E492" s="113" t="e">
        <f>Profession!B212</f>
        <v>#REF!</v>
      </c>
      <c r="F492" s="19"/>
      <c r="G492" s="19"/>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56"/>
      <c r="BF492" s="4">
        <f t="shared" si="417"/>
        <v>0</v>
      </c>
      <c r="BG492" s="4">
        <f t="shared" si="417"/>
        <v>0</v>
      </c>
      <c r="BH492" s="4">
        <f t="shared" si="418"/>
        <v>0</v>
      </c>
      <c r="BI492" s="4">
        <f t="shared" si="419"/>
        <v>0</v>
      </c>
      <c r="BJ492" s="4">
        <f t="shared" si="420"/>
        <v>0</v>
      </c>
      <c r="BK492" s="4">
        <f t="shared" si="421"/>
        <v>0</v>
      </c>
      <c r="BL492" s="4">
        <f t="shared" si="422"/>
        <v>0</v>
      </c>
      <c r="BM492" s="4">
        <f t="shared" si="423"/>
        <v>0</v>
      </c>
      <c r="BN492" s="4">
        <f t="shared" si="424"/>
        <v>0</v>
      </c>
      <c r="BO492" s="4">
        <f t="shared" si="425"/>
        <v>0</v>
      </c>
      <c r="BP492" s="4">
        <f t="shared" si="426"/>
        <v>0</v>
      </c>
      <c r="BQ492" s="4">
        <f t="shared" si="427"/>
        <v>0</v>
      </c>
      <c r="BR492" s="4">
        <f t="shared" si="428"/>
        <v>0</v>
      </c>
      <c r="BS492" s="4">
        <f t="shared" si="429"/>
        <v>0</v>
      </c>
      <c r="BT492" s="4">
        <f t="shared" si="430"/>
        <v>0</v>
      </c>
      <c r="BU492" s="4">
        <f t="shared" si="431"/>
        <v>0</v>
      </c>
      <c r="BV492" s="4">
        <f t="shared" si="432"/>
        <v>0</v>
      </c>
      <c r="BW492" s="4">
        <f t="shared" si="433"/>
        <v>0</v>
      </c>
      <c r="BX492" s="4">
        <f t="shared" si="434"/>
        <v>0</v>
      </c>
      <c r="BY492" s="4">
        <f t="shared" si="435"/>
        <v>0</v>
      </c>
      <c r="BZ492" s="4">
        <f t="shared" si="436"/>
        <v>0</v>
      </c>
      <c r="CA492" s="4">
        <f t="shared" si="437"/>
        <v>0</v>
      </c>
      <c r="CB492" s="4">
        <f t="shared" si="438"/>
        <v>0</v>
      </c>
      <c r="CC492" s="4">
        <f t="shared" si="439"/>
        <v>0</v>
      </c>
      <c r="CD492" s="4">
        <f t="shared" si="440"/>
        <v>0</v>
      </c>
      <c r="CE492" s="4">
        <f t="shared" si="441"/>
        <v>0</v>
      </c>
      <c r="CF492" s="4">
        <f t="shared" si="442"/>
        <v>0</v>
      </c>
      <c r="CG492" s="4">
        <f t="shared" si="443"/>
        <v>0</v>
      </c>
      <c r="CH492" s="4">
        <f t="shared" si="444"/>
        <v>0</v>
      </c>
      <c r="CI492" s="4">
        <f t="shared" si="445"/>
        <v>0</v>
      </c>
      <c r="CJ492" s="4">
        <f t="shared" si="446"/>
        <v>0</v>
      </c>
      <c r="CK492" s="4">
        <f t="shared" si="447"/>
        <v>0</v>
      </c>
      <c r="CL492" s="4">
        <f t="shared" si="448"/>
        <v>0</v>
      </c>
      <c r="CM492" s="4">
        <f t="shared" si="449"/>
        <v>0</v>
      </c>
      <c r="CN492" s="4">
        <f t="shared" si="450"/>
        <v>0</v>
      </c>
      <c r="CO492" s="4">
        <f t="shared" si="451"/>
        <v>0</v>
      </c>
      <c r="CP492" s="4">
        <f t="shared" si="452"/>
        <v>0</v>
      </c>
      <c r="CQ492" s="4">
        <f t="shared" si="453"/>
        <v>0</v>
      </c>
      <c r="CR492" s="4">
        <f t="shared" si="454"/>
        <v>0</v>
      </c>
      <c r="CS492" s="4">
        <f t="shared" si="455"/>
        <v>0</v>
      </c>
      <c r="CT492" s="4">
        <f t="shared" si="456"/>
        <v>0</v>
      </c>
      <c r="CU492" s="4">
        <f t="shared" si="457"/>
        <v>0</v>
      </c>
      <c r="CV492" s="4">
        <f t="shared" si="458"/>
        <v>0</v>
      </c>
      <c r="CW492" s="4">
        <f t="shared" si="459"/>
        <v>0</v>
      </c>
      <c r="CX492" s="4">
        <f t="shared" si="460"/>
        <v>0</v>
      </c>
      <c r="CY492" s="4">
        <f t="shared" si="461"/>
        <v>0</v>
      </c>
      <c r="CZ492" s="4">
        <f t="shared" si="462"/>
        <v>0</v>
      </c>
      <c r="DA492" s="4">
        <f t="shared" si="463"/>
        <v>0</v>
      </c>
      <c r="DB492" s="4">
        <f t="shared" si="464"/>
        <v>0</v>
      </c>
      <c r="DC492" s="4">
        <f t="shared" si="465"/>
        <v>0</v>
      </c>
      <c r="DD492" s="4">
        <f t="shared" si="466"/>
        <v>0</v>
      </c>
    </row>
    <row r="493" spans="1:108" x14ac:dyDescent="0.25">
      <c r="A493" s="41" t="str">
        <f>Skills!M475</f>
        <v>Evolution Theory</v>
      </c>
      <c r="B493" s="57" t="str">
        <f>Skills!N475</f>
        <v>Evolution Theory</v>
      </c>
      <c r="C493" s="24">
        <f t="shared" si="467"/>
        <v>0</v>
      </c>
      <c r="D493" s="110">
        <f>Skills!S475</f>
        <v>0</v>
      </c>
      <c r="E493" s="111" t="e">
        <f>Profession!B213</f>
        <v>#REF!</v>
      </c>
      <c r="F493" s="18"/>
      <c r="G493" s="18"/>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49"/>
      <c r="BF493" s="4">
        <f t="shared" si="417"/>
        <v>0</v>
      </c>
      <c r="BG493" s="4">
        <f t="shared" si="417"/>
        <v>0</v>
      </c>
      <c r="BH493" s="4">
        <f t="shared" si="418"/>
        <v>0</v>
      </c>
      <c r="BI493" s="4">
        <f t="shared" si="419"/>
        <v>0</v>
      </c>
      <c r="BJ493" s="4">
        <f t="shared" si="420"/>
        <v>0</v>
      </c>
      <c r="BK493" s="4">
        <f t="shared" si="421"/>
        <v>0</v>
      </c>
      <c r="BL493" s="4">
        <f t="shared" si="422"/>
        <v>0</v>
      </c>
      <c r="BM493" s="4">
        <f t="shared" si="423"/>
        <v>0</v>
      </c>
      <c r="BN493" s="4">
        <f t="shared" si="424"/>
        <v>0</v>
      </c>
      <c r="BO493" s="4">
        <f t="shared" si="425"/>
        <v>0</v>
      </c>
      <c r="BP493" s="4">
        <f t="shared" si="426"/>
        <v>0</v>
      </c>
      <c r="BQ493" s="4">
        <f t="shared" si="427"/>
        <v>0</v>
      </c>
      <c r="BR493" s="4">
        <f t="shared" si="428"/>
        <v>0</v>
      </c>
      <c r="BS493" s="4">
        <f t="shared" si="429"/>
        <v>0</v>
      </c>
      <c r="BT493" s="4">
        <f t="shared" si="430"/>
        <v>0</v>
      </c>
      <c r="BU493" s="4">
        <f t="shared" si="431"/>
        <v>0</v>
      </c>
      <c r="BV493" s="4">
        <f t="shared" si="432"/>
        <v>0</v>
      </c>
      <c r="BW493" s="4">
        <f t="shared" si="433"/>
        <v>0</v>
      </c>
      <c r="BX493" s="4">
        <f t="shared" si="434"/>
        <v>0</v>
      </c>
      <c r="BY493" s="4">
        <f t="shared" si="435"/>
        <v>0</v>
      </c>
      <c r="BZ493" s="4">
        <f t="shared" si="436"/>
        <v>0</v>
      </c>
      <c r="CA493" s="4">
        <f t="shared" si="437"/>
        <v>0</v>
      </c>
      <c r="CB493" s="4">
        <f t="shared" si="438"/>
        <v>0</v>
      </c>
      <c r="CC493" s="4">
        <f t="shared" si="439"/>
        <v>0</v>
      </c>
      <c r="CD493" s="4">
        <f t="shared" si="440"/>
        <v>0</v>
      </c>
      <c r="CE493" s="4">
        <f t="shared" si="441"/>
        <v>0</v>
      </c>
      <c r="CF493" s="4">
        <f t="shared" si="442"/>
        <v>0</v>
      </c>
      <c r="CG493" s="4">
        <f t="shared" si="443"/>
        <v>0</v>
      </c>
      <c r="CH493" s="4">
        <f t="shared" si="444"/>
        <v>0</v>
      </c>
      <c r="CI493" s="4">
        <f t="shared" si="445"/>
        <v>0</v>
      </c>
      <c r="CJ493" s="4">
        <f t="shared" si="446"/>
        <v>0</v>
      </c>
      <c r="CK493" s="4">
        <f t="shared" si="447"/>
        <v>0</v>
      </c>
      <c r="CL493" s="4">
        <f t="shared" si="448"/>
        <v>0</v>
      </c>
      <c r="CM493" s="4">
        <f t="shared" si="449"/>
        <v>0</v>
      </c>
      <c r="CN493" s="4">
        <f t="shared" si="450"/>
        <v>0</v>
      </c>
      <c r="CO493" s="4">
        <f t="shared" si="451"/>
        <v>0</v>
      </c>
      <c r="CP493" s="4">
        <f t="shared" si="452"/>
        <v>0</v>
      </c>
      <c r="CQ493" s="4">
        <f t="shared" si="453"/>
        <v>0</v>
      </c>
      <c r="CR493" s="4">
        <f t="shared" si="454"/>
        <v>0</v>
      </c>
      <c r="CS493" s="4">
        <f t="shared" si="455"/>
        <v>0</v>
      </c>
      <c r="CT493" s="4">
        <f t="shared" si="456"/>
        <v>0</v>
      </c>
      <c r="CU493" s="4">
        <f t="shared" si="457"/>
        <v>0</v>
      </c>
      <c r="CV493" s="4">
        <f t="shared" si="458"/>
        <v>0</v>
      </c>
      <c r="CW493" s="4">
        <f t="shared" si="459"/>
        <v>0</v>
      </c>
      <c r="CX493" s="4">
        <f t="shared" si="460"/>
        <v>0</v>
      </c>
      <c r="CY493" s="4">
        <f t="shared" si="461"/>
        <v>0</v>
      </c>
      <c r="CZ493" s="4">
        <f t="shared" si="462"/>
        <v>0</v>
      </c>
      <c r="DA493" s="4">
        <f t="shared" si="463"/>
        <v>0</v>
      </c>
      <c r="DB493" s="4">
        <f t="shared" si="464"/>
        <v>0</v>
      </c>
      <c r="DC493" s="4">
        <f t="shared" si="465"/>
        <v>0</v>
      </c>
      <c r="DD493" s="4">
        <f t="shared" si="466"/>
        <v>0</v>
      </c>
    </row>
    <row r="494" spans="1:108" x14ac:dyDescent="0.25">
      <c r="A494" s="41" t="str">
        <f>Skills!M476</f>
        <v>Fashion</v>
      </c>
      <c r="B494" s="55" t="str">
        <f>Skills!N476</f>
        <v>Fashion</v>
      </c>
      <c r="C494" s="22">
        <f t="shared" si="467"/>
        <v>0</v>
      </c>
      <c r="D494" s="112">
        <f>Skills!S476</f>
        <v>0</v>
      </c>
      <c r="E494" s="113" t="e">
        <f>Profession!B214</f>
        <v>#REF!</v>
      </c>
      <c r="F494" s="19"/>
      <c r="G494" s="19"/>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56"/>
      <c r="BF494" s="4">
        <f t="shared" si="417"/>
        <v>0</v>
      </c>
      <c r="BG494" s="4">
        <f t="shared" si="417"/>
        <v>0</v>
      </c>
      <c r="BH494" s="4">
        <f t="shared" si="418"/>
        <v>0</v>
      </c>
      <c r="BI494" s="4">
        <f t="shared" si="419"/>
        <v>0</v>
      </c>
      <c r="BJ494" s="4">
        <f t="shared" si="420"/>
        <v>0</v>
      </c>
      <c r="BK494" s="4">
        <f t="shared" si="421"/>
        <v>0</v>
      </c>
      <c r="BL494" s="4">
        <f t="shared" si="422"/>
        <v>0</v>
      </c>
      <c r="BM494" s="4">
        <f t="shared" si="423"/>
        <v>0</v>
      </c>
      <c r="BN494" s="4">
        <f t="shared" si="424"/>
        <v>0</v>
      </c>
      <c r="BO494" s="4">
        <f t="shared" si="425"/>
        <v>0</v>
      </c>
      <c r="BP494" s="4">
        <f t="shared" si="426"/>
        <v>0</v>
      </c>
      <c r="BQ494" s="4">
        <f t="shared" si="427"/>
        <v>0</v>
      </c>
      <c r="BR494" s="4">
        <f t="shared" si="428"/>
        <v>0</v>
      </c>
      <c r="BS494" s="4">
        <f t="shared" si="429"/>
        <v>0</v>
      </c>
      <c r="BT494" s="4">
        <f t="shared" si="430"/>
        <v>0</v>
      </c>
      <c r="BU494" s="4">
        <f t="shared" si="431"/>
        <v>0</v>
      </c>
      <c r="BV494" s="4">
        <f t="shared" si="432"/>
        <v>0</v>
      </c>
      <c r="BW494" s="4">
        <f t="shared" si="433"/>
        <v>0</v>
      </c>
      <c r="BX494" s="4">
        <f t="shared" si="434"/>
        <v>0</v>
      </c>
      <c r="BY494" s="4">
        <f t="shared" si="435"/>
        <v>0</v>
      </c>
      <c r="BZ494" s="4">
        <f t="shared" si="436"/>
        <v>0</v>
      </c>
      <c r="CA494" s="4">
        <f t="shared" si="437"/>
        <v>0</v>
      </c>
      <c r="CB494" s="4">
        <f t="shared" si="438"/>
        <v>0</v>
      </c>
      <c r="CC494" s="4">
        <f t="shared" si="439"/>
        <v>0</v>
      </c>
      <c r="CD494" s="4">
        <f t="shared" si="440"/>
        <v>0</v>
      </c>
      <c r="CE494" s="4">
        <f t="shared" si="441"/>
        <v>0</v>
      </c>
      <c r="CF494" s="4">
        <f t="shared" si="442"/>
        <v>0</v>
      </c>
      <c r="CG494" s="4">
        <f t="shared" si="443"/>
        <v>0</v>
      </c>
      <c r="CH494" s="4">
        <f t="shared" si="444"/>
        <v>0</v>
      </c>
      <c r="CI494" s="4">
        <f t="shared" si="445"/>
        <v>0</v>
      </c>
      <c r="CJ494" s="4">
        <f t="shared" si="446"/>
        <v>0</v>
      </c>
      <c r="CK494" s="4">
        <f t="shared" si="447"/>
        <v>0</v>
      </c>
      <c r="CL494" s="4">
        <f t="shared" si="448"/>
        <v>0</v>
      </c>
      <c r="CM494" s="4">
        <f t="shared" si="449"/>
        <v>0</v>
      </c>
      <c r="CN494" s="4">
        <f t="shared" si="450"/>
        <v>0</v>
      </c>
      <c r="CO494" s="4">
        <f t="shared" si="451"/>
        <v>0</v>
      </c>
      <c r="CP494" s="4">
        <f t="shared" si="452"/>
        <v>0</v>
      </c>
      <c r="CQ494" s="4">
        <f t="shared" si="453"/>
        <v>0</v>
      </c>
      <c r="CR494" s="4">
        <f t="shared" si="454"/>
        <v>0</v>
      </c>
      <c r="CS494" s="4">
        <f t="shared" si="455"/>
        <v>0</v>
      </c>
      <c r="CT494" s="4">
        <f t="shared" si="456"/>
        <v>0</v>
      </c>
      <c r="CU494" s="4">
        <f t="shared" si="457"/>
        <v>0</v>
      </c>
      <c r="CV494" s="4">
        <f t="shared" si="458"/>
        <v>0</v>
      </c>
      <c r="CW494" s="4">
        <f t="shared" si="459"/>
        <v>0</v>
      </c>
      <c r="CX494" s="4">
        <f t="shared" si="460"/>
        <v>0</v>
      </c>
      <c r="CY494" s="4">
        <f t="shared" si="461"/>
        <v>0</v>
      </c>
      <c r="CZ494" s="4">
        <f t="shared" si="462"/>
        <v>0</v>
      </c>
      <c r="DA494" s="4">
        <f t="shared" si="463"/>
        <v>0</v>
      </c>
      <c r="DB494" s="4">
        <f t="shared" si="464"/>
        <v>0</v>
      </c>
      <c r="DC494" s="4">
        <f t="shared" si="465"/>
        <v>0</v>
      </c>
      <c r="DD494" s="4">
        <f t="shared" si="466"/>
        <v>0</v>
      </c>
    </row>
    <row r="495" spans="1:108" x14ac:dyDescent="0.25">
      <c r="A495" s="41" t="str">
        <f>Skills!M477</f>
        <v>Finance</v>
      </c>
      <c r="B495" s="57" t="str">
        <f>Skills!N477</f>
        <v>Finance</v>
      </c>
      <c r="C495" s="24">
        <f t="shared" si="467"/>
        <v>0</v>
      </c>
      <c r="D495" s="110">
        <f>Skills!S477</f>
        <v>0</v>
      </c>
      <c r="E495" s="111" t="e">
        <f>Profession!B215</f>
        <v>#REF!</v>
      </c>
      <c r="F495" s="18"/>
      <c r="G495" s="18"/>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49"/>
      <c r="BF495" s="4">
        <f t="shared" si="417"/>
        <v>0</v>
      </c>
      <c r="BG495" s="4">
        <f t="shared" si="417"/>
        <v>0</v>
      </c>
      <c r="BH495" s="4">
        <f t="shared" si="418"/>
        <v>0</v>
      </c>
      <c r="BI495" s="4">
        <f t="shared" si="419"/>
        <v>0</v>
      </c>
      <c r="BJ495" s="4">
        <f t="shared" si="420"/>
        <v>0</v>
      </c>
      <c r="BK495" s="4">
        <f t="shared" si="421"/>
        <v>0</v>
      </c>
      <c r="BL495" s="4">
        <f t="shared" si="422"/>
        <v>0</v>
      </c>
      <c r="BM495" s="4">
        <f t="shared" si="423"/>
        <v>0</v>
      </c>
      <c r="BN495" s="4">
        <f t="shared" si="424"/>
        <v>0</v>
      </c>
      <c r="BO495" s="4">
        <f t="shared" si="425"/>
        <v>0</v>
      </c>
      <c r="BP495" s="4">
        <f t="shared" si="426"/>
        <v>0</v>
      </c>
      <c r="BQ495" s="4">
        <f t="shared" si="427"/>
        <v>0</v>
      </c>
      <c r="BR495" s="4">
        <f t="shared" si="428"/>
        <v>0</v>
      </c>
      <c r="BS495" s="4">
        <f t="shared" si="429"/>
        <v>0</v>
      </c>
      <c r="BT495" s="4">
        <f t="shared" si="430"/>
        <v>0</v>
      </c>
      <c r="BU495" s="4">
        <f t="shared" si="431"/>
        <v>0</v>
      </c>
      <c r="BV495" s="4">
        <f t="shared" si="432"/>
        <v>0</v>
      </c>
      <c r="BW495" s="4">
        <f t="shared" si="433"/>
        <v>0</v>
      </c>
      <c r="BX495" s="4">
        <f t="shared" si="434"/>
        <v>0</v>
      </c>
      <c r="BY495" s="4">
        <f t="shared" si="435"/>
        <v>0</v>
      </c>
      <c r="BZ495" s="4">
        <f t="shared" si="436"/>
        <v>0</v>
      </c>
      <c r="CA495" s="4">
        <f t="shared" si="437"/>
        <v>0</v>
      </c>
      <c r="CB495" s="4">
        <f t="shared" si="438"/>
        <v>0</v>
      </c>
      <c r="CC495" s="4">
        <f t="shared" si="439"/>
        <v>0</v>
      </c>
      <c r="CD495" s="4">
        <f t="shared" si="440"/>
        <v>0</v>
      </c>
      <c r="CE495" s="4">
        <f t="shared" si="441"/>
        <v>0</v>
      </c>
      <c r="CF495" s="4">
        <f t="shared" si="442"/>
        <v>0</v>
      </c>
      <c r="CG495" s="4">
        <f t="shared" si="443"/>
        <v>0</v>
      </c>
      <c r="CH495" s="4">
        <f t="shared" si="444"/>
        <v>0</v>
      </c>
      <c r="CI495" s="4">
        <f t="shared" si="445"/>
        <v>0</v>
      </c>
      <c r="CJ495" s="4">
        <f t="shared" si="446"/>
        <v>0</v>
      </c>
      <c r="CK495" s="4">
        <f t="shared" si="447"/>
        <v>0</v>
      </c>
      <c r="CL495" s="4">
        <f t="shared" si="448"/>
        <v>0</v>
      </c>
      <c r="CM495" s="4">
        <f t="shared" si="449"/>
        <v>0</v>
      </c>
      <c r="CN495" s="4">
        <f t="shared" si="450"/>
        <v>0</v>
      </c>
      <c r="CO495" s="4">
        <f t="shared" si="451"/>
        <v>0</v>
      </c>
      <c r="CP495" s="4">
        <f t="shared" si="452"/>
        <v>0</v>
      </c>
      <c r="CQ495" s="4">
        <f t="shared" si="453"/>
        <v>0</v>
      </c>
      <c r="CR495" s="4">
        <f t="shared" si="454"/>
        <v>0</v>
      </c>
      <c r="CS495" s="4">
        <f t="shared" si="455"/>
        <v>0</v>
      </c>
      <c r="CT495" s="4">
        <f t="shared" si="456"/>
        <v>0</v>
      </c>
      <c r="CU495" s="4">
        <f t="shared" si="457"/>
        <v>0</v>
      </c>
      <c r="CV495" s="4">
        <f t="shared" si="458"/>
        <v>0</v>
      </c>
      <c r="CW495" s="4">
        <f t="shared" si="459"/>
        <v>0</v>
      </c>
      <c r="CX495" s="4">
        <f t="shared" si="460"/>
        <v>0</v>
      </c>
      <c r="CY495" s="4">
        <f t="shared" si="461"/>
        <v>0</v>
      </c>
      <c r="CZ495" s="4">
        <f t="shared" si="462"/>
        <v>0</v>
      </c>
      <c r="DA495" s="4">
        <f t="shared" si="463"/>
        <v>0</v>
      </c>
      <c r="DB495" s="4">
        <f t="shared" si="464"/>
        <v>0</v>
      </c>
      <c r="DC495" s="4">
        <f t="shared" si="465"/>
        <v>0</v>
      </c>
      <c r="DD495" s="4">
        <f t="shared" si="466"/>
        <v>0</v>
      </c>
    </row>
    <row r="496" spans="1:108" x14ac:dyDescent="0.25">
      <c r="A496" s="41" t="str">
        <f>Skills!M478</f>
        <v>Gambling</v>
      </c>
      <c r="B496" s="55" t="str">
        <f>Skills!N478</f>
        <v>Gambling</v>
      </c>
      <c r="C496" s="22">
        <f t="shared" si="467"/>
        <v>0</v>
      </c>
      <c r="D496" s="112">
        <f ca="1">Skills!S478</f>
        <v>0</v>
      </c>
      <c r="E496" s="113" t="e">
        <f>Profession!B216</f>
        <v>#REF!</v>
      </c>
      <c r="F496" s="19"/>
      <c r="G496" s="19"/>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56"/>
      <c r="BF496" s="4">
        <f t="shared" si="417"/>
        <v>0</v>
      </c>
      <c r="BG496" s="4">
        <f t="shared" si="417"/>
        <v>0</v>
      </c>
      <c r="BH496" s="4">
        <f t="shared" si="418"/>
        <v>0</v>
      </c>
      <c r="BI496" s="4">
        <f t="shared" si="419"/>
        <v>0</v>
      </c>
      <c r="BJ496" s="4">
        <f t="shared" si="420"/>
        <v>0</v>
      </c>
      <c r="BK496" s="4">
        <f t="shared" si="421"/>
        <v>0</v>
      </c>
      <c r="BL496" s="4">
        <f t="shared" si="422"/>
        <v>0</v>
      </c>
      <c r="BM496" s="4">
        <f t="shared" si="423"/>
        <v>0</v>
      </c>
      <c r="BN496" s="4">
        <f t="shared" si="424"/>
        <v>0</v>
      </c>
      <c r="BO496" s="4">
        <f t="shared" si="425"/>
        <v>0</v>
      </c>
      <c r="BP496" s="4">
        <f t="shared" si="426"/>
        <v>0</v>
      </c>
      <c r="BQ496" s="4">
        <f t="shared" si="427"/>
        <v>0</v>
      </c>
      <c r="BR496" s="4">
        <f t="shared" si="428"/>
        <v>0</v>
      </c>
      <c r="BS496" s="4">
        <f t="shared" si="429"/>
        <v>0</v>
      </c>
      <c r="BT496" s="4">
        <f t="shared" si="430"/>
        <v>0</v>
      </c>
      <c r="BU496" s="4">
        <f t="shared" si="431"/>
        <v>0</v>
      </c>
      <c r="BV496" s="4">
        <f t="shared" si="432"/>
        <v>0</v>
      </c>
      <c r="BW496" s="4">
        <f t="shared" si="433"/>
        <v>0</v>
      </c>
      <c r="BX496" s="4">
        <f t="shared" si="434"/>
        <v>0</v>
      </c>
      <c r="BY496" s="4">
        <f t="shared" si="435"/>
        <v>0</v>
      </c>
      <c r="BZ496" s="4">
        <f t="shared" si="436"/>
        <v>0</v>
      </c>
      <c r="CA496" s="4">
        <f t="shared" si="437"/>
        <v>0</v>
      </c>
      <c r="CB496" s="4">
        <f t="shared" si="438"/>
        <v>0</v>
      </c>
      <c r="CC496" s="4">
        <f t="shared" si="439"/>
        <v>0</v>
      </c>
      <c r="CD496" s="4">
        <f t="shared" si="440"/>
        <v>0</v>
      </c>
      <c r="CE496" s="4">
        <f t="shared" si="441"/>
        <v>0</v>
      </c>
      <c r="CF496" s="4">
        <f t="shared" si="442"/>
        <v>0</v>
      </c>
      <c r="CG496" s="4">
        <f t="shared" si="443"/>
        <v>0</v>
      </c>
      <c r="CH496" s="4">
        <f t="shared" si="444"/>
        <v>0</v>
      </c>
      <c r="CI496" s="4">
        <f t="shared" si="445"/>
        <v>0</v>
      </c>
      <c r="CJ496" s="4">
        <f t="shared" si="446"/>
        <v>0</v>
      </c>
      <c r="CK496" s="4">
        <f t="shared" si="447"/>
        <v>0</v>
      </c>
      <c r="CL496" s="4">
        <f t="shared" si="448"/>
        <v>0</v>
      </c>
      <c r="CM496" s="4">
        <f t="shared" si="449"/>
        <v>0</v>
      </c>
      <c r="CN496" s="4">
        <f t="shared" si="450"/>
        <v>0</v>
      </c>
      <c r="CO496" s="4">
        <f t="shared" si="451"/>
        <v>0</v>
      </c>
      <c r="CP496" s="4">
        <f t="shared" si="452"/>
        <v>0</v>
      </c>
      <c r="CQ496" s="4">
        <f t="shared" si="453"/>
        <v>0</v>
      </c>
      <c r="CR496" s="4">
        <f t="shared" si="454"/>
        <v>0</v>
      </c>
      <c r="CS496" s="4">
        <f t="shared" si="455"/>
        <v>0</v>
      </c>
      <c r="CT496" s="4">
        <f t="shared" si="456"/>
        <v>0</v>
      </c>
      <c r="CU496" s="4">
        <f t="shared" si="457"/>
        <v>0</v>
      </c>
      <c r="CV496" s="4">
        <f t="shared" si="458"/>
        <v>0</v>
      </c>
      <c r="CW496" s="4">
        <f t="shared" si="459"/>
        <v>0</v>
      </c>
      <c r="CX496" s="4">
        <f t="shared" si="460"/>
        <v>0</v>
      </c>
      <c r="CY496" s="4">
        <f t="shared" si="461"/>
        <v>0</v>
      </c>
      <c r="CZ496" s="4">
        <f t="shared" si="462"/>
        <v>0</v>
      </c>
      <c r="DA496" s="4">
        <f t="shared" si="463"/>
        <v>0</v>
      </c>
      <c r="DB496" s="4">
        <f t="shared" si="464"/>
        <v>0</v>
      </c>
      <c r="DC496" s="4">
        <f t="shared" si="465"/>
        <v>0</v>
      </c>
      <c r="DD496" s="4">
        <f t="shared" si="466"/>
        <v>0</v>
      </c>
    </row>
    <row r="497" spans="1:108" x14ac:dyDescent="0.25">
      <c r="A497" s="41" t="str">
        <f>Skills!M479</f>
        <v>Genetics</v>
      </c>
      <c r="B497" s="57" t="str">
        <f>Skills!N479</f>
        <v>Genetics</v>
      </c>
      <c r="C497" s="24">
        <f t="shared" si="467"/>
        <v>0</v>
      </c>
      <c r="D497" s="110">
        <f>Skills!S479</f>
        <v>0</v>
      </c>
      <c r="E497" s="111" t="e">
        <f>Profession!B217</f>
        <v>#REF!</v>
      </c>
      <c r="F497" s="18"/>
      <c r="G497" s="18"/>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49"/>
      <c r="BF497" s="4">
        <f t="shared" si="417"/>
        <v>0</v>
      </c>
      <c r="BG497" s="4">
        <f t="shared" si="417"/>
        <v>0</v>
      </c>
      <c r="BH497" s="4">
        <f t="shared" si="418"/>
        <v>0</v>
      </c>
      <c r="BI497" s="4">
        <f t="shared" si="419"/>
        <v>0</v>
      </c>
      <c r="BJ497" s="4">
        <f t="shared" si="420"/>
        <v>0</v>
      </c>
      <c r="BK497" s="4">
        <f t="shared" si="421"/>
        <v>0</v>
      </c>
      <c r="BL497" s="4">
        <f t="shared" si="422"/>
        <v>0</v>
      </c>
      <c r="BM497" s="4">
        <f t="shared" si="423"/>
        <v>0</v>
      </c>
      <c r="BN497" s="4">
        <f t="shared" si="424"/>
        <v>0</v>
      </c>
      <c r="BO497" s="4">
        <f t="shared" si="425"/>
        <v>0</v>
      </c>
      <c r="BP497" s="4">
        <f t="shared" si="426"/>
        <v>0</v>
      </c>
      <c r="BQ497" s="4">
        <f t="shared" si="427"/>
        <v>0</v>
      </c>
      <c r="BR497" s="4">
        <f t="shared" si="428"/>
        <v>0</v>
      </c>
      <c r="BS497" s="4">
        <f t="shared" si="429"/>
        <v>0</v>
      </c>
      <c r="BT497" s="4">
        <f t="shared" si="430"/>
        <v>0</v>
      </c>
      <c r="BU497" s="4">
        <f t="shared" si="431"/>
        <v>0</v>
      </c>
      <c r="BV497" s="4">
        <f t="shared" si="432"/>
        <v>0</v>
      </c>
      <c r="BW497" s="4">
        <f t="shared" si="433"/>
        <v>0</v>
      </c>
      <c r="BX497" s="4">
        <f t="shared" si="434"/>
        <v>0</v>
      </c>
      <c r="BY497" s="4">
        <f t="shared" si="435"/>
        <v>0</v>
      </c>
      <c r="BZ497" s="4">
        <f t="shared" si="436"/>
        <v>0</v>
      </c>
      <c r="CA497" s="4">
        <f t="shared" si="437"/>
        <v>0</v>
      </c>
      <c r="CB497" s="4">
        <f t="shared" si="438"/>
        <v>0</v>
      </c>
      <c r="CC497" s="4">
        <f t="shared" si="439"/>
        <v>0</v>
      </c>
      <c r="CD497" s="4">
        <f t="shared" si="440"/>
        <v>0</v>
      </c>
      <c r="CE497" s="4">
        <f t="shared" si="441"/>
        <v>0</v>
      </c>
      <c r="CF497" s="4">
        <f t="shared" si="442"/>
        <v>0</v>
      </c>
      <c r="CG497" s="4">
        <f t="shared" si="443"/>
        <v>0</v>
      </c>
      <c r="CH497" s="4">
        <f t="shared" si="444"/>
        <v>0</v>
      </c>
      <c r="CI497" s="4">
        <f t="shared" si="445"/>
        <v>0</v>
      </c>
      <c r="CJ497" s="4">
        <f t="shared" si="446"/>
        <v>0</v>
      </c>
      <c r="CK497" s="4">
        <f t="shared" si="447"/>
        <v>0</v>
      </c>
      <c r="CL497" s="4">
        <f t="shared" si="448"/>
        <v>0</v>
      </c>
      <c r="CM497" s="4">
        <f t="shared" si="449"/>
        <v>0</v>
      </c>
      <c r="CN497" s="4">
        <f t="shared" si="450"/>
        <v>0</v>
      </c>
      <c r="CO497" s="4">
        <f t="shared" si="451"/>
        <v>0</v>
      </c>
      <c r="CP497" s="4">
        <f t="shared" si="452"/>
        <v>0</v>
      </c>
      <c r="CQ497" s="4">
        <f t="shared" si="453"/>
        <v>0</v>
      </c>
      <c r="CR497" s="4">
        <f t="shared" si="454"/>
        <v>0</v>
      </c>
      <c r="CS497" s="4">
        <f t="shared" si="455"/>
        <v>0</v>
      </c>
      <c r="CT497" s="4">
        <f t="shared" si="456"/>
        <v>0</v>
      </c>
      <c r="CU497" s="4">
        <f t="shared" si="457"/>
        <v>0</v>
      </c>
      <c r="CV497" s="4">
        <f t="shared" si="458"/>
        <v>0</v>
      </c>
      <c r="CW497" s="4">
        <f t="shared" si="459"/>
        <v>0</v>
      </c>
      <c r="CX497" s="4">
        <f t="shared" si="460"/>
        <v>0</v>
      </c>
      <c r="CY497" s="4">
        <f t="shared" si="461"/>
        <v>0</v>
      </c>
      <c r="CZ497" s="4">
        <f t="shared" si="462"/>
        <v>0</v>
      </c>
      <c r="DA497" s="4">
        <f t="shared" si="463"/>
        <v>0</v>
      </c>
      <c r="DB497" s="4">
        <f t="shared" si="464"/>
        <v>0</v>
      </c>
      <c r="DC497" s="4">
        <f t="shared" si="465"/>
        <v>0</v>
      </c>
      <c r="DD497" s="4">
        <f t="shared" si="466"/>
        <v>0</v>
      </c>
    </row>
    <row r="498" spans="1:108" x14ac:dyDescent="0.25">
      <c r="A498" s="41" t="str">
        <f>Skills!M480</f>
        <v>Horticulture</v>
      </c>
      <c r="B498" s="55" t="str">
        <f>Skills!N480</f>
        <v>Horticulture</v>
      </c>
      <c r="C498" s="22">
        <f t="shared" si="467"/>
        <v>0</v>
      </c>
      <c r="D498" s="112">
        <f>Skills!S480</f>
        <v>0</v>
      </c>
      <c r="E498" s="113" t="e">
        <f>Profession!B218</f>
        <v>#REF!</v>
      </c>
      <c r="F498" s="19"/>
      <c r="G498" s="19"/>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56"/>
      <c r="BF498" s="4">
        <f t="shared" si="417"/>
        <v>0</v>
      </c>
      <c r="BG498" s="4">
        <f t="shared" si="417"/>
        <v>0</v>
      </c>
      <c r="BH498" s="4">
        <f t="shared" si="418"/>
        <v>0</v>
      </c>
      <c r="BI498" s="4">
        <f t="shared" si="419"/>
        <v>0</v>
      </c>
      <c r="BJ498" s="4">
        <f t="shared" si="420"/>
        <v>0</v>
      </c>
      <c r="BK498" s="4">
        <f t="shared" si="421"/>
        <v>0</v>
      </c>
      <c r="BL498" s="4">
        <f t="shared" si="422"/>
        <v>0</v>
      </c>
      <c r="BM498" s="4">
        <f t="shared" si="423"/>
        <v>0</v>
      </c>
      <c r="BN498" s="4">
        <f t="shared" si="424"/>
        <v>0</v>
      </c>
      <c r="BO498" s="4">
        <f t="shared" si="425"/>
        <v>0</v>
      </c>
      <c r="BP498" s="4">
        <f t="shared" si="426"/>
        <v>0</v>
      </c>
      <c r="BQ498" s="4">
        <f t="shared" si="427"/>
        <v>0</v>
      </c>
      <c r="BR498" s="4">
        <f t="shared" si="428"/>
        <v>0</v>
      </c>
      <c r="BS498" s="4">
        <f t="shared" si="429"/>
        <v>0</v>
      </c>
      <c r="BT498" s="4">
        <f t="shared" si="430"/>
        <v>0</v>
      </c>
      <c r="BU498" s="4">
        <f t="shared" si="431"/>
        <v>0</v>
      </c>
      <c r="BV498" s="4">
        <f t="shared" si="432"/>
        <v>0</v>
      </c>
      <c r="BW498" s="4">
        <f t="shared" si="433"/>
        <v>0</v>
      </c>
      <c r="BX498" s="4">
        <f t="shared" si="434"/>
        <v>0</v>
      </c>
      <c r="BY498" s="4">
        <f t="shared" si="435"/>
        <v>0</v>
      </c>
      <c r="BZ498" s="4">
        <f t="shared" si="436"/>
        <v>0</v>
      </c>
      <c r="CA498" s="4">
        <f t="shared" si="437"/>
        <v>0</v>
      </c>
      <c r="CB498" s="4">
        <f t="shared" si="438"/>
        <v>0</v>
      </c>
      <c r="CC498" s="4">
        <f t="shared" si="439"/>
        <v>0</v>
      </c>
      <c r="CD498" s="4">
        <f t="shared" si="440"/>
        <v>0</v>
      </c>
      <c r="CE498" s="4">
        <f t="shared" si="441"/>
        <v>0</v>
      </c>
      <c r="CF498" s="4">
        <f t="shared" si="442"/>
        <v>0</v>
      </c>
      <c r="CG498" s="4">
        <f t="shared" si="443"/>
        <v>0</v>
      </c>
      <c r="CH498" s="4">
        <f t="shared" si="444"/>
        <v>0</v>
      </c>
      <c r="CI498" s="4">
        <f t="shared" si="445"/>
        <v>0</v>
      </c>
      <c r="CJ498" s="4">
        <f t="shared" si="446"/>
        <v>0</v>
      </c>
      <c r="CK498" s="4">
        <f t="shared" si="447"/>
        <v>0</v>
      </c>
      <c r="CL498" s="4">
        <f t="shared" si="448"/>
        <v>0</v>
      </c>
      <c r="CM498" s="4">
        <f t="shared" si="449"/>
        <v>0</v>
      </c>
      <c r="CN498" s="4">
        <f t="shared" si="450"/>
        <v>0</v>
      </c>
      <c r="CO498" s="4">
        <f t="shared" si="451"/>
        <v>0</v>
      </c>
      <c r="CP498" s="4">
        <f t="shared" si="452"/>
        <v>0</v>
      </c>
      <c r="CQ498" s="4">
        <f t="shared" si="453"/>
        <v>0</v>
      </c>
      <c r="CR498" s="4">
        <f t="shared" si="454"/>
        <v>0</v>
      </c>
      <c r="CS498" s="4">
        <f t="shared" si="455"/>
        <v>0</v>
      </c>
      <c r="CT498" s="4">
        <f t="shared" si="456"/>
        <v>0</v>
      </c>
      <c r="CU498" s="4">
        <f t="shared" si="457"/>
        <v>0</v>
      </c>
      <c r="CV498" s="4">
        <f t="shared" si="458"/>
        <v>0</v>
      </c>
      <c r="CW498" s="4">
        <f t="shared" si="459"/>
        <v>0</v>
      </c>
      <c r="CX498" s="4">
        <f t="shared" si="460"/>
        <v>0</v>
      </c>
      <c r="CY498" s="4">
        <f t="shared" si="461"/>
        <v>0</v>
      </c>
      <c r="CZ498" s="4">
        <f t="shared" si="462"/>
        <v>0</v>
      </c>
      <c r="DA498" s="4">
        <f t="shared" si="463"/>
        <v>0</v>
      </c>
      <c r="DB498" s="4">
        <f t="shared" si="464"/>
        <v>0</v>
      </c>
      <c r="DC498" s="4">
        <f t="shared" si="465"/>
        <v>0</v>
      </c>
      <c r="DD498" s="4">
        <f t="shared" si="466"/>
        <v>0</v>
      </c>
    </row>
    <row r="499" spans="1:108" x14ac:dyDescent="0.25">
      <c r="A499" s="41" t="str">
        <f>Skills!M481</f>
        <v>Interior Design</v>
      </c>
      <c r="B499" s="57" t="str">
        <f>Skills!N481</f>
        <v>Interior Design</v>
      </c>
      <c r="C499" s="24">
        <f t="shared" si="467"/>
        <v>0</v>
      </c>
      <c r="D499" s="110">
        <f ca="1">Skills!S481</f>
        <v>0</v>
      </c>
      <c r="E499" s="111" t="e">
        <f>Profession!B219</f>
        <v>#REF!</v>
      </c>
      <c r="F499" s="18"/>
      <c r="G499" s="18"/>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49"/>
      <c r="BF499" s="4">
        <f t="shared" si="417"/>
        <v>0</v>
      </c>
      <c r="BG499" s="4">
        <f t="shared" si="417"/>
        <v>0</v>
      </c>
      <c r="BH499" s="4">
        <f t="shared" si="418"/>
        <v>0</v>
      </c>
      <c r="BI499" s="4">
        <f t="shared" si="419"/>
        <v>0</v>
      </c>
      <c r="BJ499" s="4">
        <f t="shared" si="420"/>
        <v>0</v>
      </c>
      <c r="BK499" s="4">
        <f t="shared" si="421"/>
        <v>0</v>
      </c>
      <c r="BL499" s="4">
        <f t="shared" si="422"/>
        <v>0</v>
      </c>
      <c r="BM499" s="4">
        <f t="shared" si="423"/>
        <v>0</v>
      </c>
      <c r="BN499" s="4">
        <f t="shared" si="424"/>
        <v>0</v>
      </c>
      <c r="BO499" s="4">
        <f t="shared" si="425"/>
        <v>0</v>
      </c>
      <c r="BP499" s="4">
        <f t="shared" si="426"/>
        <v>0</v>
      </c>
      <c r="BQ499" s="4">
        <f t="shared" si="427"/>
        <v>0</v>
      </c>
      <c r="BR499" s="4">
        <f t="shared" si="428"/>
        <v>0</v>
      </c>
      <c r="BS499" s="4">
        <f t="shared" si="429"/>
        <v>0</v>
      </c>
      <c r="BT499" s="4">
        <f t="shared" si="430"/>
        <v>0</v>
      </c>
      <c r="BU499" s="4">
        <f t="shared" si="431"/>
        <v>0</v>
      </c>
      <c r="BV499" s="4">
        <f t="shared" si="432"/>
        <v>0</v>
      </c>
      <c r="BW499" s="4">
        <f t="shared" si="433"/>
        <v>0</v>
      </c>
      <c r="BX499" s="4">
        <f t="shared" si="434"/>
        <v>0</v>
      </c>
      <c r="BY499" s="4">
        <f t="shared" si="435"/>
        <v>0</v>
      </c>
      <c r="BZ499" s="4">
        <f t="shared" si="436"/>
        <v>0</v>
      </c>
      <c r="CA499" s="4">
        <f t="shared" si="437"/>
        <v>0</v>
      </c>
      <c r="CB499" s="4">
        <f t="shared" si="438"/>
        <v>0</v>
      </c>
      <c r="CC499" s="4">
        <f t="shared" si="439"/>
        <v>0</v>
      </c>
      <c r="CD499" s="4">
        <f t="shared" si="440"/>
        <v>0</v>
      </c>
      <c r="CE499" s="4">
        <f t="shared" si="441"/>
        <v>0</v>
      </c>
      <c r="CF499" s="4">
        <f t="shared" si="442"/>
        <v>0</v>
      </c>
      <c r="CG499" s="4">
        <f t="shared" si="443"/>
        <v>0</v>
      </c>
      <c r="CH499" s="4">
        <f t="shared" si="444"/>
        <v>0</v>
      </c>
      <c r="CI499" s="4">
        <f t="shared" si="445"/>
        <v>0</v>
      </c>
      <c r="CJ499" s="4">
        <f t="shared" si="446"/>
        <v>0</v>
      </c>
      <c r="CK499" s="4">
        <f t="shared" si="447"/>
        <v>0</v>
      </c>
      <c r="CL499" s="4">
        <f t="shared" si="448"/>
        <v>0</v>
      </c>
      <c r="CM499" s="4">
        <f t="shared" si="449"/>
        <v>0</v>
      </c>
      <c r="CN499" s="4">
        <f t="shared" si="450"/>
        <v>0</v>
      </c>
      <c r="CO499" s="4">
        <f t="shared" si="451"/>
        <v>0</v>
      </c>
      <c r="CP499" s="4">
        <f t="shared" si="452"/>
        <v>0</v>
      </c>
      <c r="CQ499" s="4">
        <f t="shared" si="453"/>
        <v>0</v>
      </c>
      <c r="CR499" s="4">
        <f t="shared" si="454"/>
        <v>0</v>
      </c>
      <c r="CS499" s="4">
        <f t="shared" si="455"/>
        <v>0</v>
      </c>
      <c r="CT499" s="4">
        <f t="shared" si="456"/>
        <v>0</v>
      </c>
      <c r="CU499" s="4">
        <f t="shared" si="457"/>
        <v>0</v>
      </c>
      <c r="CV499" s="4">
        <f t="shared" si="458"/>
        <v>0</v>
      </c>
      <c r="CW499" s="4">
        <f t="shared" si="459"/>
        <v>0</v>
      </c>
      <c r="CX499" s="4">
        <f t="shared" si="460"/>
        <v>0</v>
      </c>
      <c r="CY499" s="4">
        <f t="shared" si="461"/>
        <v>0</v>
      </c>
      <c r="CZ499" s="4">
        <f t="shared" si="462"/>
        <v>0</v>
      </c>
      <c r="DA499" s="4">
        <f t="shared" si="463"/>
        <v>0</v>
      </c>
      <c r="DB499" s="4">
        <f t="shared" si="464"/>
        <v>0</v>
      </c>
      <c r="DC499" s="4">
        <f t="shared" si="465"/>
        <v>0</v>
      </c>
      <c r="DD499" s="4">
        <f t="shared" si="466"/>
        <v>0</v>
      </c>
    </row>
    <row r="500" spans="1:108" x14ac:dyDescent="0.25">
      <c r="A500" s="41" t="str">
        <f>Skills!M482</f>
        <v>Law Enforcement</v>
      </c>
      <c r="B500" s="55" t="str">
        <f>Skills!N482</f>
        <v>Law Enforcement</v>
      </c>
      <c r="C500" s="22">
        <f t="shared" si="467"/>
        <v>0</v>
      </c>
      <c r="D500" s="112">
        <f>Skills!S482</f>
        <v>0</v>
      </c>
      <c r="E500" s="113" t="e">
        <f>Profession!B220</f>
        <v>#REF!</v>
      </c>
      <c r="F500" s="19"/>
      <c r="G500" s="19"/>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56"/>
      <c r="BF500" s="4">
        <f t="shared" si="417"/>
        <v>0</v>
      </c>
      <c r="BG500" s="4">
        <f t="shared" si="417"/>
        <v>0</v>
      </c>
      <c r="BH500" s="4">
        <f t="shared" si="418"/>
        <v>0</v>
      </c>
      <c r="BI500" s="4">
        <f t="shared" si="419"/>
        <v>0</v>
      </c>
      <c r="BJ500" s="4">
        <f t="shared" si="420"/>
        <v>0</v>
      </c>
      <c r="BK500" s="4">
        <f t="shared" si="421"/>
        <v>0</v>
      </c>
      <c r="BL500" s="4">
        <f t="shared" si="422"/>
        <v>0</v>
      </c>
      <c r="BM500" s="4">
        <f t="shared" si="423"/>
        <v>0</v>
      </c>
      <c r="BN500" s="4">
        <f t="shared" si="424"/>
        <v>0</v>
      </c>
      <c r="BO500" s="4">
        <f t="shared" si="425"/>
        <v>0</v>
      </c>
      <c r="BP500" s="4">
        <f t="shared" si="426"/>
        <v>0</v>
      </c>
      <c r="BQ500" s="4">
        <f t="shared" si="427"/>
        <v>0</v>
      </c>
      <c r="BR500" s="4">
        <f t="shared" si="428"/>
        <v>0</v>
      </c>
      <c r="BS500" s="4">
        <f t="shared" si="429"/>
        <v>0</v>
      </c>
      <c r="BT500" s="4">
        <f t="shared" si="430"/>
        <v>0</v>
      </c>
      <c r="BU500" s="4">
        <f t="shared" si="431"/>
        <v>0</v>
      </c>
      <c r="BV500" s="4">
        <f t="shared" si="432"/>
        <v>0</v>
      </c>
      <c r="BW500" s="4">
        <f t="shared" si="433"/>
        <v>0</v>
      </c>
      <c r="BX500" s="4">
        <f t="shared" si="434"/>
        <v>0</v>
      </c>
      <c r="BY500" s="4">
        <f t="shared" si="435"/>
        <v>0</v>
      </c>
      <c r="BZ500" s="4">
        <f t="shared" si="436"/>
        <v>0</v>
      </c>
      <c r="CA500" s="4">
        <f t="shared" si="437"/>
        <v>0</v>
      </c>
      <c r="CB500" s="4">
        <f t="shared" si="438"/>
        <v>0</v>
      </c>
      <c r="CC500" s="4">
        <f t="shared" si="439"/>
        <v>0</v>
      </c>
      <c r="CD500" s="4">
        <f t="shared" si="440"/>
        <v>0</v>
      </c>
      <c r="CE500" s="4">
        <f t="shared" si="441"/>
        <v>0</v>
      </c>
      <c r="CF500" s="4">
        <f t="shared" si="442"/>
        <v>0</v>
      </c>
      <c r="CG500" s="4">
        <f t="shared" si="443"/>
        <v>0</v>
      </c>
      <c r="CH500" s="4">
        <f t="shared" si="444"/>
        <v>0</v>
      </c>
      <c r="CI500" s="4">
        <f t="shared" si="445"/>
        <v>0</v>
      </c>
      <c r="CJ500" s="4">
        <f t="shared" si="446"/>
        <v>0</v>
      </c>
      <c r="CK500" s="4">
        <f t="shared" si="447"/>
        <v>0</v>
      </c>
      <c r="CL500" s="4">
        <f t="shared" si="448"/>
        <v>0</v>
      </c>
      <c r="CM500" s="4">
        <f t="shared" si="449"/>
        <v>0</v>
      </c>
      <c r="CN500" s="4">
        <f t="shared" si="450"/>
        <v>0</v>
      </c>
      <c r="CO500" s="4">
        <f t="shared" si="451"/>
        <v>0</v>
      </c>
      <c r="CP500" s="4">
        <f t="shared" si="452"/>
        <v>0</v>
      </c>
      <c r="CQ500" s="4">
        <f t="shared" si="453"/>
        <v>0</v>
      </c>
      <c r="CR500" s="4">
        <f t="shared" si="454"/>
        <v>0</v>
      </c>
      <c r="CS500" s="4">
        <f t="shared" si="455"/>
        <v>0</v>
      </c>
      <c r="CT500" s="4">
        <f t="shared" si="456"/>
        <v>0</v>
      </c>
      <c r="CU500" s="4">
        <f t="shared" si="457"/>
        <v>0</v>
      </c>
      <c r="CV500" s="4">
        <f t="shared" si="458"/>
        <v>0</v>
      </c>
      <c r="CW500" s="4">
        <f t="shared" si="459"/>
        <v>0</v>
      </c>
      <c r="CX500" s="4">
        <f t="shared" si="460"/>
        <v>0</v>
      </c>
      <c r="CY500" s="4">
        <f t="shared" si="461"/>
        <v>0</v>
      </c>
      <c r="CZ500" s="4">
        <f t="shared" si="462"/>
        <v>0</v>
      </c>
      <c r="DA500" s="4">
        <f t="shared" si="463"/>
        <v>0</v>
      </c>
      <c r="DB500" s="4">
        <f t="shared" si="464"/>
        <v>0</v>
      </c>
      <c r="DC500" s="4">
        <f t="shared" si="465"/>
        <v>0</v>
      </c>
      <c r="DD500" s="4">
        <f t="shared" si="466"/>
        <v>0</v>
      </c>
    </row>
    <row r="501" spans="1:108" x14ac:dyDescent="0.25">
      <c r="A501" s="41" t="str">
        <f>Skills!M483</f>
        <v>Mapping</v>
      </c>
      <c r="B501" s="57" t="str">
        <f>Skills!N483</f>
        <v>Mapping</v>
      </c>
      <c r="C501" s="24">
        <f t="shared" si="467"/>
        <v>0</v>
      </c>
      <c r="D501" s="110">
        <f>Skills!S483</f>
        <v>0</v>
      </c>
      <c r="E501" s="111" t="e">
        <f>Profession!B221</f>
        <v>#REF!</v>
      </c>
      <c r="F501" s="18"/>
      <c r="G501" s="18"/>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49"/>
      <c r="BF501" s="4">
        <f t="shared" si="417"/>
        <v>0</v>
      </c>
      <c r="BG501" s="4">
        <f t="shared" si="417"/>
        <v>0</v>
      </c>
      <c r="BH501" s="4">
        <f t="shared" si="418"/>
        <v>0</v>
      </c>
      <c r="BI501" s="4">
        <f t="shared" si="419"/>
        <v>0</v>
      </c>
      <c r="BJ501" s="4">
        <f t="shared" si="420"/>
        <v>0</v>
      </c>
      <c r="BK501" s="4">
        <f t="shared" si="421"/>
        <v>0</v>
      </c>
      <c r="BL501" s="4">
        <f t="shared" si="422"/>
        <v>0</v>
      </c>
      <c r="BM501" s="4">
        <f t="shared" si="423"/>
        <v>0</v>
      </c>
      <c r="BN501" s="4">
        <f t="shared" si="424"/>
        <v>0</v>
      </c>
      <c r="BO501" s="4">
        <f t="shared" si="425"/>
        <v>0</v>
      </c>
      <c r="BP501" s="4">
        <f t="shared" si="426"/>
        <v>0</v>
      </c>
      <c r="BQ501" s="4">
        <f t="shared" si="427"/>
        <v>0</v>
      </c>
      <c r="BR501" s="4">
        <f t="shared" si="428"/>
        <v>0</v>
      </c>
      <c r="BS501" s="4">
        <f t="shared" si="429"/>
        <v>0</v>
      </c>
      <c r="BT501" s="4">
        <f t="shared" si="430"/>
        <v>0</v>
      </c>
      <c r="BU501" s="4">
        <f t="shared" si="431"/>
        <v>0</v>
      </c>
      <c r="BV501" s="4">
        <f t="shared" si="432"/>
        <v>0</v>
      </c>
      <c r="BW501" s="4">
        <f t="shared" si="433"/>
        <v>0</v>
      </c>
      <c r="BX501" s="4">
        <f t="shared" si="434"/>
        <v>0</v>
      </c>
      <c r="BY501" s="4">
        <f t="shared" si="435"/>
        <v>0</v>
      </c>
      <c r="BZ501" s="4">
        <f t="shared" si="436"/>
        <v>0</v>
      </c>
      <c r="CA501" s="4">
        <f t="shared" si="437"/>
        <v>0</v>
      </c>
      <c r="CB501" s="4">
        <f t="shared" si="438"/>
        <v>0</v>
      </c>
      <c r="CC501" s="4">
        <f t="shared" si="439"/>
        <v>0</v>
      </c>
      <c r="CD501" s="4">
        <f t="shared" si="440"/>
        <v>0</v>
      </c>
      <c r="CE501" s="4">
        <f t="shared" si="441"/>
        <v>0</v>
      </c>
      <c r="CF501" s="4">
        <f t="shared" si="442"/>
        <v>0</v>
      </c>
      <c r="CG501" s="4">
        <f t="shared" si="443"/>
        <v>0</v>
      </c>
      <c r="CH501" s="4">
        <f t="shared" si="444"/>
        <v>0</v>
      </c>
      <c r="CI501" s="4">
        <f t="shared" si="445"/>
        <v>0</v>
      </c>
      <c r="CJ501" s="4">
        <f t="shared" si="446"/>
        <v>0</v>
      </c>
      <c r="CK501" s="4">
        <f t="shared" si="447"/>
        <v>0</v>
      </c>
      <c r="CL501" s="4">
        <f t="shared" si="448"/>
        <v>0</v>
      </c>
      <c r="CM501" s="4">
        <f t="shared" si="449"/>
        <v>0</v>
      </c>
      <c r="CN501" s="4">
        <f t="shared" si="450"/>
        <v>0</v>
      </c>
      <c r="CO501" s="4">
        <f t="shared" si="451"/>
        <v>0</v>
      </c>
      <c r="CP501" s="4">
        <f t="shared" si="452"/>
        <v>0</v>
      </c>
      <c r="CQ501" s="4">
        <f t="shared" si="453"/>
        <v>0</v>
      </c>
      <c r="CR501" s="4">
        <f t="shared" si="454"/>
        <v>0</v>
      </c>
      <c r="CS501" s="4">
        <f t="shared" si="455"/>
        <v>0</v>
      </c>
      <c r="CT501" s="4">
        <f t="shared" si="456"/>
        <v>0</v>
      </c>
      <c r="CU501" s="4">
        <f t="shared" si="457"/>
        <v>0</v>
      </c>
      <c r="CV501" s="4">
        <f t="shared" si="458"/>
        <v>0</v>
      </c>
      <c r="CW501" s="4">
        <f t="shared" si="459"/>
        <v>0</v>
      </c>
      <c r="CX501" s="4">
        <f t="shared" si="460"/>
        <v>0</v>
      </c>
      <c r="CY501" s="4">
        <f t="shared" si="461"/>
        <v>0</v>
      </c>
      <c r="CZ501" s="4">
        <f t="shared" si="462"/>
        <v>0</v>
      </c>
      <c r="DA501" s="4">
        <f t="shared" si="463"/>
        <v>0</v>
      </c>
      <c r="DB501" s="4">
        <f t="shared" si="464"/>
        <v>0</v>
      </c>
      <c r="DC501" s="4">
        <f t="shared" si="465"/>
        <v>0</v>
      </c>
      <c r="DD501" s="4">
        <f t="shared" si="466"/>
        <v>0</v>
      </c>
    </row>
    <row r="502" spans="1:108" x14ac:dyDescent="0.25">
      <c r="A502" s="41" t="str">
        <f>Skills!M484</f>
        <v>Metallurgy</v>
      </c>
      <c r="B502" s="55" t="str">
        <f>Skills!N484</f>
        <v>Metallurgy</v>
      </c>
      <c r="C502" s="22">
        <f t="shared" si="467"/>
        <v>0</v>
      </c>
      <c r="D502" s="112">
        <f ca="1">Skills!S484</f>
        <v>0</v>
      </c>
      <c r="E502" s="113" t="e">
        <f>Profession!B222</f>
        <v>#REF!</v>
      </c>
      <c r="F502" s="19"/>
      <c r="G502" s="19"/>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56"/>
      <c r="BF502" s="4">
        <f t="shared" si="417"/>
        <v>0</v>
      </c>
      <c r="BG502" s="4">
        <f t="shared" si="417"/>
        <v>0</v>
      </c>
      <c r="BH502" s="4">
        <f t="shared" si="418"/>
        <v>0</v>
      </c>
      <c r="BI502" s="4">
        <f t="shared" si="419"/>
        <v>0</v>
      </c>
      <c r="BJ502" s="4">
        <f t="shared" si="420"/>
        <v>0</v>
      </c>
      <c r="BK502" s="4">
        <f t="shared" si="421"/>
        <v>0</v>
      </c>
      <c r="BL502" s="4">
        <f t="shared" si="422"/>
        <v>0</v>
      </c>
      <c r="BM502" s="4">
        <f t="shared" si="423"/>
        <v>0</v>
      </c>
      <c r="BN502" s="4">
        <f t="shared" si="424"/>
        <v>0</v>
      </c>
      <c r="BO502" s="4">
        <f t="shared" si="425"/>
        <v>0</v>
      </c>
      <c r="BP502" s="4">
        <f t="shared" si="426"/>
        <v>0</v>
      </c>
      <c r="BQ502" s="4">
        <f t="shared" si="427"/>
        <v>0</v>
      </c>
      <c r="BR502" s="4">
        <f t="shared" si="428"/>
        <v>0</v>
      </c>
      <c r="BS502" s="4">
        <f t="shared" si="429"/>
        <v>0</v>
      </c>
      <c r="BT502" s="4">
        <f t="shared" si="430"/>
        <v>0</v>
      </c>
      <c r="BU502" s="4">
        <f t="shared" si="431"/>
        <v>0</v>
      </c>
      <c r="BV502" s="4">
        <f t="shared" si="432"/>
        <v>0</v>
      </c>
      <c r="BW502" s="4">
        <f t="shared" si="433"/>
        <v>0</v>
      </c>
      <c r="BX502" s="4">
        <f t="shared" si="434"/>
        <v>0</v>
      </c>
      <c r="BY502" s="4">
        <f t="shared" si="435"/>
        <v>0</v>
      </c>
      <c r="BZ502" s="4">
        <f t="shared" si="436"/>
        <v>0</v>
      </c>
      <c r="CA502" s="4">
        <f t="shared" si="437"/>
        <v>0</v>
      </c>
      <c r="CB502" s="4">
        <f t="shared" si="438"/>
        <v>0</v>
      </c>
      <c r="CC502" s="4">
        <f t="shared" si="439"/>
        <v>0</v>
      </c>
      <c r="CD502" s="4">
        <f t="shared" si="440"/>
        <v>0</v>
      </c>
      <c r="CE502" s="4">
        <f t="shared" si="441"/>
        <v>0</v>
      </c>
      <c r="CF502" s="4">
        <f t="shared" si="442"/>
        <v>0</v>
      </c>
      <c r="CG502" s="4">
        <f t="shared" si="443"/>
        <v>0</v>
      </c>
      <c r="CH502" s="4">
        <f t="shared" si="444"/>
        <v>0</v>
      </c>
      <c r="CI502" s="4">
        <f t="shared" si="445"/>
        <v>0</v>
      </c>
      <c r="CJ502" s="4">
        <f t="shared" si="446"/>
        <v>0</v>
      </c>
      <c r="CK502" s="4">
        <f t="shared" si="447"/>
        <v>0</v>
      </c>
      <c r="CL502" s="4">
        <f t="shared" si="448"/>
        <v>0</v>
      </c>
      <c r="CM502" s="4">
        <f t="shared" si="449"/>
        <v>0</v>
      </c>
      <c r="CN502" s="4">
        <f t="shared" si="450"/>
        <v>0</v>
      </c>
      <c r="CO502" s="4">
        <f t="shared" si="451"/>
        <v>0</v>
      </c>
      <c r="CP502" s="4">
        <f t="shared" si="452"/>
        <v>0</v>
      </c>
      <c r="CQ502" s="4">
        <f t="shared" si="453"/>
        <v>0</v>
      </c>
      <c r="CR502" s="4">
        <f t="shared" si="454"/>
        <v>0</v>
      </c>
      <c r="CS502" s="4">
        <f t="shared" si="455"/>
        <v>0</v>
      </c>
      <c r="CT502" s="4">
        <f t="shared" si="456"/>
        <v>0</v>
      </c>
      <c r="CU502" s="4">
        <f t="shared" si="457"/>
        <v>0</v>
      </c>
      <c r="CV502" s="4">
        <f t="shared" si="458"/>
        <v>0</v>
      </c>
      <c r="CW502" s="4">
        <f t="shared" si="459"/>
        <v>0</v>
      </c>
      <c r="CX502" s="4">
        <f t="shared" si="460"/>
        <v>0</v>
      </c>
      <c r="CY502" s="4">
        <f t="shared" si="461"/>
        <v>0</v>
      </c>
      <c r="CZ502" s="4">
        <f t="shared" si="462"/>
        <v>0</v>
      </c>
      <c r="DA502" s="4">
        <f t="shared" si="463"/>
        <v>0</v>
      </c>
      <c r="DB502" s="4">
        <f t="shared" si="464"/>
        <v>0</v>
      </c>
      <c r="DC502" s="4">
        <f t="shared" si="465"/>
        <v>0</v>
      </c>
      <c r="DD502" s="4">
        <f t="shared" si="466"/>
        <v>0</v>
      </c>
    </row>
    <row r="503" spans="1:108" x14ac:dyDescent="0.25">
      <c r="A503" s="41" t="str">
        <f>Skills!M485</f>
        <v>Mining</v>
      </c>
      <c r="B503" s="57" t="str">
        <f>Skills!N485</f>
        <v>Mining</v>
      </c>
      <c r="C503" s="24">
        <f t="shared" si="467"/>
        <v>0</v>
      </c>
      <c r="D503" s="110">
        <f>Skills!S485</f>
        <v>0</v>
      </c>
      <c r="E503" s="111" t="e">
        <f>Profession!B223</f>
        <v>#REF!</v>
      </c>
      <c r="F503" s="18"/>
      <c r="G503" s="18"/>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49"/>
      <c r="BF503" s="4">
        <f t="shared" si="417"/>
        <v>0</v>
      </c>
      <c r="BG503" s="4">
        <f t="shared" si="417"/>
        <v>0</v>
      </c>
      <c r="BH503" s="4">
        <f t="shared" si="418"/>
        <v>0</v>
      </c>
      <c r="BI503" s="4">
        <f t="shared" si="419"/>
        <v>0</v>
      </c>
      <c r="BJ503" s="4">
        <f t="shared" si="420"/>
        <v>0</v>
      </c>
      <c r="BK503" s="4">
        <f t="shared" si="421"/>
        <v>0</v>
      </c>
      <c r="BL503" s="4">
        <f t="shared" si="422"/>
        <v>0</v>
      </c>
      <c r="BM503" s="4">
        <f t="shared" si="423"/>
        <v>0</v>
      </c>
      <c r="BN503" s="4">
        <f t="shared" si="424"/>
        <v>0</v>
      </c>
      <c r="BO503" s="4">
        <f t="shared" si="425"/>
        <v>0</v>
      </c>
      <c r="BP503" s="4">
        <f t="shared" si="426"/>
        <v>0</v>
      </c>
      <c r="BQ503" s="4">
        <f t="shared" si="427"/>
        <v>0</v>
      </c>
      <c r="BR503" s="4">
        <f t="shared" si="428"/>
        <v>0</v>
      </c>
      <c r="BS503" s="4">
        <f t="shared" si="429"/>
        <v>0</v>
      </c>
      <c r="BT503" s="4">
        <f t="shared" si="430"/>
        <v>0</v>
      </c>
      <c r="BU503" s="4">
        <f t="shared" si="431"/>
        <v>0</v>
      </c>
      <c r="BV503" s="4">
        <f t="shared" si="432"/>
        <v>0</v>
      </c>
      <c r="BW503" s="4">
        <f t="shared" si="433"/>
        <v>0</v>
      </c>
      <c r="BX503" s="4">
        <f t="shared" si="434"/>
        <v>0</v>
      </c>
      <c r="BY503" s="4">
        <f t="shared" si="435"/>
        <v>0</v>
      </c>
      <c r="BZ503" s="4">
        <f t="shared" si="436"/>
        <v>0</v>
      </c>
      <c r="CA503" s="4">
        <f t="shared" si="437"/>
        <v>0</v>
      </c>
      <c r="CB503" s="4">
        <f t="shared" si="438"/>
        <v>0</v>
      </c>
      <c r="CC503" s="4">
        <f t="shared" si="439"/>
        <v>0</v>
      </c>
      <c r="CD503" s="4">
        <f t="shared" si="440"/>
        <v>0</v>
      </c>
      <c r="CE503" s="4">
        <f t="shared" si="441"/>
        <v>0</v>
      </c>
      <c r="CF503" s="4">
        <f t="shared" si="442"/>
        <v>0</v>
      </c>
      <c r="CG503" s="4">
        <f t="shared" si="443"/>
        <v>0</v>
      </c>
      <c r="CH503" s="4">
        <f t="shared" si="444"/>
        <v>0</v>
      </c>
      <c r="CI503" s="4">
        <f t="shared" si="445"/>
        <v>0</v>
      </c>
      <c r="CJ503" s="4">
        <f t="shared" si="446"/>
        <v>0</v>
      </c>
      <c r="CK503" s="4">
        <f t="shared" si="447"/>
        <v>0</v>
      </c>
      <c r="CL503" s="4">
        <f t="shared" si="448"/>
        <v>0</v>
      </c>
      <c r="CM503" s="4">
        <f t="shared" si="449"/>
        <v>0</v>
      </c>
      <c r="CN503" s="4">
        <f t="shared" si="450"/>
        <v>0</v>
      </c>
      <c r="CO503" s="4">
        <f t="shared" si="451"/>
        <v>0</v>
      </c>
      <c r="CP503" s="4">
        <f t="shared" si="452"/>
        <v>0</v>
      </c>
      <c r="CQ503" s="4">
        <f t="shared" si="453"/>
        <v>0</v>
      </c>
      <c r="CR503" s="4">
        <f t="shared" si="454"/>
        <v>0</v>
      </c>
      <c r="CS503" s="4">
        <f t="shared" si="455"/>
        <v>0</v>
      </c>
      <c r="CT503" s="4">
        <f t="shared" si="456"/>
        <v>0</v>
      </c>
      <c r="CU503" s="4">
        <f t="shared" si="457"/>
        <v>0</v>
      </c>
      <c r="CV503" s="4">
        <f t="shared" si="458"/>
        <v>0</v>
      </c>
      <c r="CW503" s="4">
        <f t="shared" si="459"/>
        <v>0</v>
      </c>
      <c r="CX503" s="4">
        <f t="shared" si="460"/>
        <v>0</v>
      </c>
      <c r="CY503" s="4">
        <f t="shared" si="461"/>
        <v>0</v>
      </c>
      <c r="CZ503" s="4">
        <f t="shared" si="462"/>
        <v>0</v>
      </c>
      <c r="DA503" s="4">
        <f t="shared" si="463"/>
        <v>0</v>
      </c>
      <c r="DB503" s="4">
        <f t="shared" si="464"/>
        <v>0</v>
      </c>
      <c r="DC503" s="4">
        <f t="shared" si="465"/>
        <v>0</v>
      </c>
      <c r="DD503" s="4">
        <f t="shared" si="466"/>
        <v>0</v>
      </c>
    </row>
    <row r="504" spans="1:108" x14ac:dyDescent="0.25">
      <c r="A504" s="41" t="str">
        <f>Skills!M486</f>
        <v>Oceanography</v>
      </c>
      <c r="B504" s="55" t="str">
        <f>Skills!N486</f>
        <v>Oceanography</v>
      </c>
      <c r="C504" s="22">
        <f t="shared" si="467"/>
        <v>0</v>
      </c>
      <c r="D504" s="112">
        <f>Skills!S486</f>
        <v>0</v>
      </c>
      <c r="E504" s="113" t="e">
        <f>Profession!B224</f>
        <v>#REF!</v>
      </c>
      <c r="F504" s="19"/>
      <c r="G504" s="19"/>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56"/>
      <c r="BF504" s="4">
        <f t="shared" si="417"/>
        <v>0</v>
      </c>
      <c r="BG504" s="4">
        <f t="shared" si="417"/>
        <v>0</v>
      </c>
      <c r="BH504" s="4">
        <f t="shared" si="418"/>
        <v>0</v>
      </c>
      <c r="BI504" s="4">
        <f t="shared" si="419"/>
        <v>0</v>
      </c>
      <c r="BJ504" s="4">
        <f t="shared" si="420"/>
        <v>0</v>
      </c>
      <c r="BK504" s="4">
        <f t="shared" si="421"/>
        <v>0</v>
      </c>
      <c r="BL504" s="4">
        <f t="shared" si="422"/>
        <v>0</v>
      </c>
      <c r="BM504" s="4">
        <f t="shared" si="423"/>
        <v>0</v>
      </c>
      <c r="BN504" s="4">
        <f t="shared" si="424"/>
        <v>0</v>
      </c>
      <c r="BO504" s="4">
        <f t="shared" si="425"/>
        <v>0</v>
      </c>
      <c r="BP504" s="4">
        <f t="shared" si="426"/>
        <v>0</v>
      </c>
      <c r="BQ504" s="4">
        <f t="shared" si="427"/>
        <v>0</v>
      </c>
      <c r="BR504" s="4">
        <f t="shared" si="428"/>
        <v>0</v>
      </c>
      <c r="BS504" s="4">
        <f t="shared" si="429"/>
        <v>0</v>
      </c>
      <c r="BT504" s="4">
        <f t="shared" si="430"/>
        <v>0</v>
      </c>
      <c r="BU504" s="4">
        <f t="shared" si="431"/>
        <v>0</v>
      </c>
      <c r="BV504" s="4">
        <f t="shared" si="432"/>
        <v>0</v>
      </c>
      <c r="BW504" s="4">
        <f t="shared" si="433"/>
        <v>0</v>
      </c>
      <c r="BX504" s="4">
        <f t="shared" si="434"/>
        <v>0</v>
      </c>
      <c r="BY504" s="4">
        <f t="shared" si="435"/>
        <v>0</v>
      </c>
      <c r="BZ504" s="4">
        <f t="shared" si="436"/>
        <v>0</v>
      </c>
      <c r="CA504" s="4">
        <f t="shared" si="437"/>
        <v>0</v>
      </c>
      <c r="CB504" s="4">
        <f t="shared" si="438"/>
        <v>0</v>
      </c>
      <c r="CC504" s="4">
        <f t="shared" si="439"/>
        <v>0</v>
      </c>
      <c r="CD504" s="4">
        <f t="shared" si="440"/>
        <v>0</v>
      </c>
      <c r="CE504" s="4">
        <f t="shared" si="441"/>
        <v>0</v>
      </c>
      <c r="CF504" s="4">
        <f t="shared" si="442"/>
        <v>0</v>
      </c>
      <c r="CG504" s="4">
        <f t="shared" si="443"/>
        <v>0</v>
      </c>
      <c r="CH504" s="4">
        <f t="shared" si="444"/>
        <v>0</v>
      </c>
      <c r="CI504" s="4">
        <f t="shared" si="445"/>
        <v>0</v>
      </c>
      <c r="CJ504" s="4">
        <f t="shared" si="446"/>
        <v>0</v>
      </c>
      <c r="CK504" s="4">
        <f t="shared" si="447"/>
        <v>0</v>
      </c>
      <c r="CL504" s="4">
        <f t="shared" si="448"/>
        <v>0</v>
      </c>
      <c r="CM504" s="4">
        <f t="shared" si="449"/>
        <v>0</v>
      </c>
      <c r="CN504" s="4">
        <f t="shared" si="450"/>
        <v>0</v>
      </c>
      <c r="CO504" s="4">
        <f t="shared" si="451"/>
        <v>0</v>
      </c>
      <c r="CP504" s="4">
        <f t="shared" si="452"/>
        <v>0</v>
      </c>
      <c r="CQ504" s="4">
        <f t="shared" si="453"/>
        <v>0</v>
      </c>
      <c r="CR504" s="4">
        <f t="shared" si="454"/>
        <v>0</v>
      </c>
      <c r="CS504" s="4">
        <f t="shared" si="455"/>
        <v>0</v>
      </c>
      <c r="CT504" s="4">
        <f t="shared" si="456"/>
        <v>0</v>
      </c>
      <c r="CU504" s="4">
        <f t="shared" si="457"/>
        <v>0</v>
      </c>
      <c r="CV504" s="4">
        <f t="shared" si="458"/>
        <v>0</v>
      </c>
      <c r="CW504" s="4">
        <f t="shared" si="459"/>
        <v>0</v>
      </c>
      <c r="CX504" s="4">
        <f t="shared" si="460"/>
        <v>0</v>
      </c>
      <c r="CY504" s="4">
        <f t="shared" si="461"/>
        <v>0</v>
      </c>
      <c r="CZ504" s="4">
        <f t="shared" si="462"/>
        <v>0</v>
      </c>
      <c r="DA504" s="4">
        <f t="shared" si="463"/>
        <v>0</v>
      </c>
      <c r="DB504" s="4">
        <f t="shared" si="464"/>
        <v>0</v>
      </c>
      <c r="DC504" s="4">
        <f t="shared" si="465"/>
        <v>0</v>
      </c>
      <c r="DD504" s="4">
        <f t="shared" si="466"/>
        <v>0</v>
      </c>
    </row>
    <row r="505" spans="1:108" x14ac:dyDescent="0.25">
      <c r="A505" s="41" t="str">
        <f>Skills!M487</f>
        <v>Organised Crime</v>
      </c>
      <c r="B505" s="57" t="str">
        <f>Skills!N487</f>
        <v>Organised Crime</v>
      </c>
      <c r="C505" s="24">
        <f t="shared" si="467"/>
        <v>0</v>
      </c>
      <c r="D505" s="110">
        <f>Skills!S487</f>
        <v>0</v>
      </c>
      <c r="E505" s="111" t="e">
        <f>Profession!B225</f>
        <v>#REF!</v>
      </c>
      <c r="F505" s="18"/>
      <c r="G505" s="18"/>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49"/>
      <c r="BF505" s="4">
        <f t="shared" si="417"/>
        <v>0</v>
      </c>
      <c r="BG505" s="4">
        <f t="shared" si="417"/>
        <v>0</v>
      </c>
      <c r="BH505" s="4">
        <f t="shared" si="418"/>
        <v>0</v>
      </c>
      <c r="BI505" s="4">
        <f t="shared" si="419"/>
        <v>0</v>
      </c>
      <c r="BJ505" s="4">
        <f t="shared" si="420"/>
        <v>0</v>
      </c>
      <c r="BK505" s="4">
        <f t="shared" si="421"/>
        <v>0</v>
      </c>
      <c r="BL505" s="4">
        <f t="shared" si="422"/>
        <v>0</v>
      </c>
      <c r="BM505" s="4">
        <f t="shared" si="423"/>
        <v>0</v>
      </c>
      <c r="BN505" s="4">
        <f t="shared" si="424"/>
        <v>0</v>
      </c>
      <c r="BO505" s="4">
        <f t="shared" si="425"/>
        <v>0</v>
      </c>
      <c r="BP505" s="4">
        <f t="shared" si="426"/>
        <v>0</v>
      </c>
      <c r="BQ505" s="4">
        <f t="shared" si="427"/>
        <v>0</v>
      </c>
      <c r="BR505" s="4">
        <f t="shared" si="428"/>
        <v>0</v>
      </c>
      <c r="BS505" s="4">
        <f t="shared" si="429"/>
        <v>0</v>
      </c>
      <c r="BT505" s="4">
        <f t="shared" si="430"/>
        <v>0</v>
      </c>
      <c r="BU505" s="4">
        <f t="shared" si="431"/>
        <v>0</v>
      </c>
      <c r="BV505" s="4">
        <f t="shared" si="432"/>
        <v>0</v>
      </c>
      <c r="BW505" s="4">
        <f t="shared" si="433"/>
        <v>0</v>
      </c>
      <c r="BX505" s="4">
        <f t="shared" si="434"/>
        <v>0</v>
      </c>
      <c r="BY505" s="4">
        <f t="shared" si="435"/>
        <v>0</v>
      </c>
      <c r="BZ505" s="4">
        <f t="shared" si="436"/>
        <v>0</v>
      </c>
      <c r="CA505" s="4">
        <f t="shared" si="437"/>
        <v>0</v>
      </c>
      <c r="CB505" s="4">
        <f t="shared" si="438"/>
        <v>0</v>
      </c>
      <c r="CC505" s="4">
        <f t="shared" si="439"/>
        <v>0</v>
      </c>
      <c r="CD505" s="4">
        <f t="shared" si="440"/>
        <v>0</v>
      </c>
      <c r="CE505" s="4">
        <f t="shared" si="441"/>
        <v>0</v>
      </c>
      <c r="CF505" s="4">
        <f t="shared" si="442"/>
        <v>0</v>
      </c>
      <c r="CG505" s="4">
        <f t="shared" si="443"/>
        <v>0</v>
      </c>
      <c r="CH505" s="4">
        <f t="shared" si="444"/>
        <v>0</v>
      </c>
      <c r="CI505" s="4">
        <f t="shared" si="445"/>
        <v>0</v>
      </c>
      <c r="CJ505" s="4">
        <f t="shared" si="446"/>
        <v>0</v>
      </c>
      <c r="CK505" s="4">
        <f t="shared" si="447"/>
        <v>0</v>
      </c>
      <c r="CL505" s="4">
        <f t="shared" si="448"/>
        <v>0</v>
      </c>
      <c r="CM505" s="4">
        <f t="shared" si="449"/>
        <v>0</v>
      </c>
      <c r="CN505" s="4">
        <f t="shared" si="450"/>
        <v>0</v>
      </c>
      <c r="CO505" s="4">
        <f t="shared" si="451"/>
        <v>0</v>
      </c>
      <c r="CP505" s="4">
        <f t="shared" si="452"/>
        <v>0</v>
      </c>
      <c r="CQ505" s="4">
        <f t="shared" si="453"/>
        <v>0</v>
      </c>
      <c r="CR505" s="4">
        <f t="shared" si="454"/>
        <v>0</v>
      </c>
      <c r="CS505" s="4">
        <f t="shared" si="455"/>
        <v>0</v>
      </c>
      <c r="CT505" s="4">
        <f t="shared" si="456"/>
        <v>0</v>
      </c>
      <c r="CU505" s="4">
        <f t="shared" si="457"/>
        <v>0</v>
      </c>
      <c r="CV505" s="4">
        <f t="shared" si="458"/>
        <v>0</v>
      </c>
      <c r="CW505" s="4">
        <f t="shared" si="459"/>
        <v>0</v>
      </c>
      <c r="CX505" s="4">
        <f t="shared" si="460"/>
        <v>0</v>
      </c>
      <c r="CY505" s="4">
        <f t="shared" si="461"/>
        <v>0</v>
      </c>
      <c r="CZ505" s="4">
        <f t="shared" si="462"/>
        <v>0</v>
      </c>
      <c r="DA505" s="4">
        <f t="shared" si="463"/>
        <v>0</v>
      </c>
      <c r="DB505" s="4">
        <f t="shared" si="464"/>
        <v>0</v>
      </c>
      <c r="DC505" s="4">
        <f t="shared" si="465"/>
        <v>0</v>
      </c>
      <c r="DD505" s="4">
        <f t="shared" si="466"/>
        <v>0</v>
      </c>
    </row>
    <row r="506" spans="1:108" x14ac:dyDescent="0.25">
      <c r="A506" s="41" t="str">
        <f>Skills!M488</f>
        <v>Photography</v>
      </c>
      <c r="B506" s="55" t="str">
        <f>Skills!N488</f>
        <v>Photography</v>
      </c>
      <c r="C506" s="22">
        <f t="shared" si="467"/>
        <v>0</v>
      </c>
      <c r="D506" s="112">
        <f ca="1">Skills!S488</f>
        <v>0</v>
      </c>
      <c r="E506" s="113" t="e">
        <f>Profession!B226</f>
        <v>#REF!</v>
      </c>
      <c r="F506" s="19"/>
      <c r="G506" s="19"/>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56"/>
      <c r="BF506" s="4">
        <f t="shared" si="417"/>
        <v>0</v>
      </c>
      <c r="BG506" s="4">
        <f t="shared" si="417"/>
        <v>0</v>
      </c>
      <c r="BH506" s="4">
        <f t="shared" si="418"/>
        <v>0</v>
      </c>
      <c r="BI506" s="4">
        <f t="shared" si="419"/>
        <v>0</v>
      </c>
      <c r="BJ506" s="4">
        <f t="shared" si="420"/>
        <v>0</v>
      </c>
      <c r="BK506" s="4">
        <f t="shared" si="421"/>
        <v>0</v>
      </c>
      <c r="BL506" s="4">
        <f t="shared" si="422"/>
        <v>0</v>
      </c>
      <c r="BM506" s="4">
        <f t="shared" si="423"/>
        <v>0</v>
      </c>
      <c r="BN506" s="4">
        <f t="shared" si="424"/>
        <v>0</v>
      </c>
      <c r="BO506" s="4">
        <f t="shared" si="425"/>
        <v>0</v>
      </c>
      <c r="BP506" s="4">
        <f t="shared" si="426"/>
        <v>0</v>
      </c>
      <c r="BQ506" s="4">
        <f t="shared" si="427"/>
        <v>0</v>
      </c>
      <c r="BR506" s="4">
        <f t="shared" si="428"/>
        <v>0</v>
      </c>
      <c r="BS506" s="4">
        <f t="shared" si="429"/>
        <v>0</v>
      </c>
      <c r="BT506" s="4">
        <f t="shared" si="430"/>
        <v>0</v>
      </c>
      <c r="BU506" s="4">
        <f t="shared" si="431"/>
        <v>0</v>
      </c>
      <c r="BV506" s="4">
        <f t="shared" si="432"/>
        <v>0</v>
      </c>
      <c r="BW506" s="4">
        <f t="shared" si="433"/>
        <v>0</v>
      </c>
      <c r="BX506" s="4">
        <f t="shared" si="434"/>
        <v>0</v>
      </c>
      <c r="BY506" s="4">
        <f t="shared" si="435"/>
        <v>0</v>
      </c>
      <c r="BZ506" s="4">
        <f t="shared" si="436"/>
        <v>0</v>
      </c>
      <c r="CA506" s="4">
        <f t="shared" si="437"/>
        <v>0</v>
      </c>
      <c r="CB506" s="4">
        <f t="shared" si="438"/>
        <v>0</v>
      </c>
      <c r="CC506" s="4">
        <f t="shared" si="439"/>
        <v>0</v>
      </c>
      <c r="CD506" s="4">
        <f t="shared" si="440"/>
        <v>0</v>
      </c>
      <c r="CE506" s="4">
        <f t="shared" si="441"/>
        <v>0</v>
      </c>
      <c r="CF506" s="4">
        <f t="shared" si="442"/>
        <v>0</v>
      </c>
      <c r="CG506" s="4">
        <f t="shared" si="443"/>
        <v>0</v>
      </c>
      <c r="CH506" s="4">
        <f t="shared" si="444"/>
        <v>0</v>
      </c>
      <c r="CI506" s="4">
        <f t="shared" si="445"/>
        <v>0</v>
      </c>
      <c r="CJ506" s="4">
        <f t="shared" si="446"/>
        <v>0</v>
      </c>
      <c r="CK506" s="4">
        <f t="shared" si="447"/>
        <v>0</v>
      </c>
      <c r="CL506" s="4">
        <f t="shared" si="448"/>
        <v>0</v>
      </c>
      <c r="CM506" s="4">
        <f t="shared" si="449"/>
        <v>0</v>
      </c>
      <c r="CN506" s="4">
        <f t="shared" si="450"/>
        <v>0</v>
      </c>
      <c r="CO506" s="4">
        <f t="shared" si="451"/>
        <v>0</v>
      </c>
      <c r="CP506" s="4">
        <f t="shared" si="452"/>
        <v>0</v>
      </c>
      <c r="CQ506" s="4">
        <f t="shared" si="453"/>
        <v>0</v>
      </c>
      <c r="CR506" s="4">
        <f t="shared" si="454"/>
        <v>0</v>
      </c>
      <c r="CS506" s="4">
        <f t="shared" si="455"/>
        <v>0</v>
      </c>
      <c r="CT506" s="4">
        <f t="shared" si="456"/>
        <v>0</v>
      </c>
      <c r="CU506" s="4">
        <f t="shared" si="457"/>
        <v>0</v>
      </c>
      <c r="CV506" s="4">
        <f t="shared" si="458"/>
        <v>0</v>
      </c>
      <c r="CW506" s="4">
        <f t="shared" si="459"/>
        <v>0</v>
      </c>
      <c r="CX506" s="4">
        <f t="shared" si="460"/>
        <v>0</v>
      </c>
      <c r="CY506" s="4">
        <f t="shared" si="461"/>
        <v>0</v>
      </c>
      <c r="CZ506" s="4">
        <f t="shared" si="462"/>
        <v>0</v>
      </c>
      <c r="DA506" s="4">
        <f t="shared" si="463"/>
        <v>0</v>
      </c>
      <c r="DB506" s="4">
        <f t="shared" si="464"/>
        <v>0</v>
      </c>
      <c r="DC506" s="4">
        <f t="shared" si="465"/>
        <v>0</v>
      </c>
      <c r="DD506" s="4">
        <f t="shared" si="466"/>
        <v>0</v>
      </c>
    </row>
    <row r="507" spans="1:108" x14ac:dyDescent="0.25">
      <c r="A507" s="41" t="str">
        <f>Skills!M489</f>
        <v>Physics</v>
      </c>
      <c r="B507" s="57" t="str">
        <f>Skills!N489</f>
        <v>Physics</v>
      </c>
      <c r="C507" s="24">
        <f t="shared" si="467"/>
        <v>0</v>
      </c>
      <c r="D507" s="110">
        <f>Skills!S489</f>
        <v>0</v>
      </c>
      <c r="E507" s="111" t="e">
        <f>Profession!B227</f>
        <v>#REF!</v>
      </c>
      <c r="F507" s="18"/>
      <c r="G507" s="18"/>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49"/>
      <c r="BF507" s="4">
        <f t="shared" si="417"/>
        <v>0</v>
      </c>
      <c r="BG507" s="4">
        <f t="shared" si="417"/>
        <v>0</v>
      </c>
      <c r="BH507" s="4">
        <f t="shared" si="418"/>
        <v>0</v>
      </c>
      <c r="BI507" s="4">
        <f t="shared" si="419"/>
        <v>0</v>
      </c>
      <c r="BJ507" s="4">
        <f t="shared" si="420"/>
        <v>0</v>
      </c>
      <c r="BK507" s="4">
        <f t="shared" si="421"/>
        <v>0</v>
      </c>
      <c r="BL507" s="4">
        <f t="shared" si="422"/>
        <v>0</v>
      </c>
      <c r="BM507" s="4">
        <f t="shared" si="423"/>
        <v>0</v>
      </c>
      <c r="BN507" s="4">
        <f t="shared" si="424"/>
        <v>0</v>
      </c>
      <c r="BO507" s="4">
        <f t="shared" si="425"/>
        <v>0</v>
      </c>
      <c r="BP507" s="4">
        <f t="shared" si="426"/>
        <v>0</v>
      </c>
      <c r="BQ507" s="4">
        <f t="shared" si="427"/>
        <v>0</v>
      </c>
      <c r="BR507" s="4">
        <f t="shared" si="428"/>
        <v>0</v>
      </c>
      <c r="BS507" s="4">
        <f t="shared" si="429"/>
        <v>0</v>
      </c>
      <c r="BT507" s="4">
        <f t="shared" si="430"/>
        <v>0</v>
      </c>
      <c r="BU507" s="4">
        <f t="shared" si="431"/>
        <v>0</v>
      </c>
      <c r="BV507" s="4">
        <f t="shared" si="432"/>
        <v>0</v>
      </c>
      <c r="BW507" s="4">
        <f t="shared" si="433"/>
        <v>0</v>
      </c>
      <c r="BX507" s="4">
        <f t="shared" si="434"/>
        <v>0</v>
      </c>
      <c r="BY507" s="4">
        <f t="shared" si="435"/>
        <v>0</v>
      </c>
      <c r="BZ507" s="4">
        <f t="shared" si="436"/>
        <v>0</v>
      </c>
      <c r="CA507" s="4">
        <f t="shared" si="437"/>
        <v>0</v>
      </c>
      <c r="CB507" s="4">
        <f t="shared" si="438"/>
        <v>0</v>
      </c>
      <c r="CC507" s="4">
        <f t="shared" si="439"/>
        <v>0</v>
      </c>
      <c r="CD507" s="4">
        <f t="shared" si="440"/>
        <v>0</v>
      </c>
      <c r="CE507" s="4">
        <f t="shared" si="441"/>
        <v>0</v>
      </c>
      <c r="CF507" s="4">
        <f t="shared" si="442"/>
        <v>0</v>
      </c>
      <c r="CG507" s="4">
        <f t="shared" si="443"/>
        <v>0</v>
      </c>
      <c r="CH507" s="4">
        <f t="shared" si="444"/>
        <v>0</v>
      </c>
      <c r="CI507" s="4">
        <f t="shared" si="445"/>
        <v>0</v>
      </c>
      <c r="CJ507" s="4">
        <f t="shared" si="446"/>
        <v>0</v>
      </c>
      <c r="CK507" s="4">
        <f t="shared" si="447"/>
        <v>0</v>
      </c>
      <c r="CL507" s="4">
        <f t="shared" si="448"/>
        <v>0</v>
      </c>
      <c r="CM507" s="4">
        <f t="shared" si="449"/>
        <v>0</v>
      </c>
      <c r="CN507" s="4">
        <f t="shared" si="450"/>
        <v>0</v>
      </c>
      <c r="CO507" s="4">
        <f t="shared" si="451"/>
        <v>0</v>
      </c>
      <c r="CP507" s="4">
        <f t="shared" si="452"/>
        <v>0</v>
      </c>
      <c r="CQ507" s="4">
        <f t="shared" si="453"/>
        <v>0</v>
      </c>
      <c r="CR507" s="4">
        <f t="shared" si="454"/>
        <v>0</v>
      </c>
      <c r="CS507" s="4">
        <f t="shared" si="455"/>
        <v>0</v>
      </c>
      <c r="CT507" s="4">
        <f t="shared" si="456"/>
        <v>0</v>
      </c>
      <c r="CU507" s="4">
        <f t="shared" si="457"/>
        <v>0</v>
      </c>
      <c r="CV507" s="4">
        <f t="shared" si="458"/>
        <v>0</v>
      </c>
      <c r="CW507" s="4">
        <f t="shared" si="459"/>
        <v>0</v>
      </c>
      <c r="CX507" s="4">
        <f t="shared" si="460"/>
        <v>0</v>
      </c>
      <c r="CY507" s="4">
        <f t="shared" si="461"/>
        <v>0</v>
      </c>
      <c r="CZ507" s="4">
        <f t="shared" si="462"/>
        <v>0</v>
      </c>
      <c r="DA507" s="4">
        <f t="shared" si="463"/>
        <v>0</v>
      </c>
      <c r="DB507" s="4">
        <f t="shared" si="464"/>
        <v>0</v>
      </c>
      <c r="DC507" s="4">
        <f t="shared" si="465"/>
        <v>0</v>
      </c>
      <c r="DD507" s="4">
        <f t="shared" si="466"/>
        <v>0</v>
      </c>
    </row>
    <row r="508" spans="1:108" x14ac:dyDescent="0.25">
      <c r="A508" s="41" t="str">
        <f>Skills!M490</f>
        <v>Planetology</v>
      </c>
      <c r="B508" s="55" t="str">
        <f>Skills!N490</f>
        <v>Planetology</v>
      </c>
      <c r="C508" s="22">
        <f t="shared" si="467"/>
        <v>0</v>
      </c>
      <c r="D508" s="112">
        <f ca="1">Skills!S490</f>
        <v>0</v>
      </c>
      <c r="E508" s="113" t="e">
        <f>Profession!B228</f>
        <v>#REF!</v>
      </c>
      <c r="F508" s="19"/>
      <c r="G508" s="19"/>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56"/>
      <c r="BF508" s="4">
        <f t="shared" si="417"/>
        <v>0</v>
      </c>
      <c r="BG508" s="4">
        <f t="shared" si="417"/>
        <v>0</v>
      </c>
      <c r="BH508" s="4">
        <f t="shared" si="418"/>
        <v>0</v>
      </c>
      <c r="BI508" s="4">
        <f t="shared" si="419"/>
        <v>0</v>
      </c>
      <c r="BJ508" s="4">
        <f t="shared" si="420"/>
        <v>0</v>
      </c>
      <c r="BK508" s="4">
        <f t="shared" si="421"/>
        <v>0</v>
      </c>
      <c r="BL508" s="4">
        <f t="shared" si="422"/>
        <v>0</v>
      </c>
      <c r="BM508" s="4">
        <f t="shared" si="423"/>
        <v>0</v>
      </c>
      <c r="BN508" s="4">
        <f t="shared" si="424"/>
        <v>0</v>
      </c>
      <c r="BO508" s="4">
        <f t="shared" si="425"/>
        <v>0</v>
      </c>
      <c r="BP508" s="4">
        <f t="shared" si="426"/>
        <v>0</v>
      </c>
      <c r="BQ508" s="4">
        <f t="shared" si="427"/>
        <v>0</v>
      </c>
      <c r="BR508" s="4">
        <f t="shared" si="428"/>
        <v>0</v>
      </c>
      <c r="BS508" s="4">
        <f t="shared" si="429"/>
        <v>0</v>
      </c>
      <c r="BT508" s="4">
        <f t="shared" si="430"/>
        <v>0</v>
      </c>
      <c r="BU508" s="4">
        <f t="shared" si="431"/>
        <v>0</v>
      </c>
      <c r="BV508" s="4">
        <f t="shared" si="432"/>
        <v>0</v>
      </c>
      <c r="BW508" s="4">
        <f t="shared" si="433"/>
        <v>0</v>
      </c>
      <c r="BX508" s="4">
        <f t="shared" si="434"/>
        <v>0</v>
      </c>
      <c r="BY508" s="4">
        <f t="shared" si="435"/>
        <v>0</v>
      </c>
      <c r="BZ508" s="4">
        <f t="shared" si="436"/>
        <v>0</v>
      </c>
      <c r="CA508" s="4">
        <f t="shared" si="437"/>
        <v>0</v>
      </c>
      <c r="CB508" s="4">
        <f t="shared" si="438"/>
        <v>0</v>
      </c>
      <c r="CC508" s="4">
        <f t="shared" si="439"/>
        <v>0</v>
      </c>
      <c r="CD508" s="4">
        <f t="shared" si="440"/>
        <v>0</v>
      </c>
      <c r="CE508" s="4">
        <f t="shared" si="441"/>
        <v>0</v>
      </c>
      <c r="CF508" s="4">
        <f t="shared" si="442"/>
        <v>0</v>
      </c>
      <c r="CG508" s="4">
        <f t="shared" si="443"/>
        <v>0</v>
      </c>
      <c r="CH508" s="4">
        <f t="shared" si="444"/>
        <v>0</v>
      </c>
      <c r="CI508" s="4">
        <f t="shared" si="445"/>
        <v>0</v>
      </c>
      <c r="CJ508" s="4">
        <f t="shared" si="446"/>
        <v>0</v>
      </c>
      <c r="CK508" s="4">
        <f t="shared" si="447"/>
        <v>0</v>
      </c>
      <c r="CL508" s="4">
        <f t="shared" si="448"/>
        <v>0</v>
      </c>
      <c r="CM508" s="4">
        <f t="shared" si="449"/>
        <v>0</v>
      </c>
      <c r="CN508" s="4">
        <f t="shared" si="450"/>
        <v>0</v>
      </c>
      <c r="CO508" s="4">
        <f t="shared" si="451"/>
        <v>0</v>
      </c>
      <c r="CP508" s="4">
        <f t="shared" si="452"/>
        <v>0</v>
      </c>
      <c r="CQ508" s="4">
        <f t="shared" si="453"/>
        <v>0</v>
      </c>
      <c r="CR508" s="4">
        <f t="shared" si="454"/>
        <v>0</v>
      </c>
      <c r="CS508" s="4">
        <f t="shared" si="455"/>
        <v>0</v>
      </c>
      <c r="CT508" s="4">
        <f t="shared" si="456"/>
        <v>0</v>
      </c>
      <c r="CU508" s="4">
        <f t="shared" si="457"/>
        <v>0</v>
      </c>
      <c r="CV508" s="4">
        <f t="shared" si="458"/>
        <v>0</v>
      </c>
      <c r="CW508" s="4">
        <f t="shared" si="459"/>
        <v>0</v>
      </c>
      <c r="CX508" s="4">
        <f t="shared" si="460"/>
        <v>0</v>
      </c>
      <c r="CY508" s="4">
        <f t="shared" si="461"/>
        <v>0</v>
      </c>
      <c r="CZ508" s="4">
        <f t="shared" si="462"/>
        <v>0</v>
      </c>
      <c r="DA508" s="4">
        <f t="shared" si="463"/>
        <v>0</v>
      </c>
      <c r="DB508" s="4">
        <f t="shared" si="464"/>
        <v>0</v>
      </c>
      <c r="DC508" s="4">
        <f t="shared" si="465"/>
        <v>0</v>
      </c>
      <c r="DD508" s="4">
        <f t="shared" si="466"/>
        <v>0</v>
      </c>
    </row>
    <row r="509" spans="1:108" x14ac:dyDescent="0.25">
      <c r="A509" s="41" t="str">
        <f>Skills!M491</f>
        <v>Politcal Science</v>
      </c>
      <c r="B509" s="57" t="str">
        <f>Skills!N491</f>
        <v>Politcal Science</v>
      </c>
      <c r="C509" s="24">
        <f t="shared" si="467"/>
        <v>0</v>
      </c>
      <c r="D509" s="110">
        <f>Skills!S491</f>
        <v>0</v>
      </c>
      <c r="E509" s="111" t="e">
        <f>Profession!B229</f>
        <v>#REF!</v>
      </c>
      <c r="F509" s="18"/>
      <c r="G509" s="18"/>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49"/>
      <c r="BF509" s="4">
        <f t="shared" si="417"/>
        <v>0</v>
      </c>
      <c r="BG509" s="4">
        <f t="shared" si="417"/>
        <v>0</v>
      </c>
      <c r="BH509" s="4">
        <f t="shared" si="418"/>
        <v>0</v>
      </c>
      <c r="BI509" s="4">
        <f t="shared" si="419"/>
        <v>0</v>
      </c>
      <c r="BJ509" s="4">
        <f t="shared" si="420"/>
        <v>0</v>
      </c>
      <c r="BK509" s="4">
        <f t="shared" si="421"/>
        <v>0</v>
      </c>
      <c r="BL509" s="4">
        <f t="shared" si="422"/>
        <v>0</v>
      </c>
      <c r="BM509" s="4">
        <f t="shared" si="423"/>
        <v>0</v>
      </c>
      <c r="BN509" s="4">
        <f t="shared" si="424"/>
        <v>0</v>
      </c>
      <c r="BO509" s="4">
        <f t="shared" si="425"/>
        <v>0</v>
      </c>
      <c r="BP509" s="4">
        <f t="shared" si="426"/>
        <v>0</v>
      </c>
      <c r="BQ509" s="4">
        <f t="shared" si="427"/>
        <v>0</v>
      </c>
      <c r="BR509" s="4">
        <f t="shared" si="428"/>
        <v>0</v>
      </c>
      <c r="BS509" s="4">
        <f t="shared" si="429"/>
        <v>0</v>
      </c>
      <c r="BT509" s="4">
        <f t="shared" si="430"/>
        <v>0</v>
      </c>
      <c r="BU509" s="4">
        <f t="shared" si="431"/>
        <v>0</v>
      </c>
      <c r="BV509" s="4">
        <f t="shared" si="432"/>
        <v>0</v>
      </c>
      <c r="BW509" s="4">
        <f t="shared" si="433"/>
        <v>0</v>
      </c>
      <c r="BX509" s="4">
        <f t="shared" si="434"/>
        <v>0</v>
      </c>
      <c r="BY509" s="4">
        <f t="shared" si="435"/>
        <v>0</v>
      </c>
      <c r="BZ509" s="4">
        <f t="shared" si="436"/>
        <v>0</v>
      </c>
      <c r="CA509" s="4">
        <f t="shared" si="437"/>
        <v>0</v>
      </c>
      <c r="CB509" s="4">
        <f t="shared" si="438"/>
        <v>0</v>
      </c>
      <c r="CC509" s="4">
        <f t="shared" si="439"/>
        <v>0</v>
      </c>
      <c r="CD509" s="4">
        <f t="shared" si="440"/>
        <v>0</v>
      </c>
      <c r="CE509" s="4">
        <f t="shared" si="441"/>
        <v>0</v>
      </c>
      <c r="CF509" s="4">
        <f t="shared" si="442"/>
        <v>0</v>
      </c>
      <c r="CG509" s="4">
        <f t="shared" si="443"/>
        <v>0</v>
      </c>
      <c r="CH509" s="4">
        <f t="shared" si="444"/>
        <v>0</v>
      </c>
      <c r="CI509" s="4">
        <f t="shared" si="445"/>
        <v>0</v>
      </c>
      <c r="CJ509" s="4">
        <f t="shared" si="446"/>
        <v>0</v>
      </c>
      <c r="CK509" s="4">
        <f t="shared" si="447"/>
        <v>0</v>
      </c>
      <c r="CL509" s="4">
        <f t="shared" si="448"/>
        <v>0</v>
      </c>
      <c r="CM509" s="4">
        <f t="shared" si="449"/>
        <v>0</v>
      </c>
      <c r="CN509" s="4">
        <f t="shared" si="450"/>
        <v>0</v>
      </c>
      <c r="CO509" s="4">
        <f t="shared" si="451"/>
        <v>0</v>
      </c>
      <c r="CP509" s="4">
        <f t="shared" si="452"/>
        <v>0</v>
      </c>
      <c r="CQ509" s="4">
        <f t="shared" si="453"/>
        <v>0</v>
      </c>
      <c r="CR509" s="4">
        <f t="shared" si="454"/>
        <v>0</v>
      </c>
      <c r="CS509" s="4">
        <f t="shared" si="455"/>
        <v>0</v>
      </c>
      <c r="CT509" s="4">
        <f t="shared" si="456"/>
        <v>0</v>
      </c>
      <c r="CU509" s="4">
        <f t="shared" si="457"/>
        <v>0</v>
      </c>
      <c r="CV509" s="4">
        <f t="shared" si="458"/>
        <v>0</v>
      </c>
      <c r="CW509" s="4">
        <f t="shared" si="459"/>
        <v>0</v>
      </c>
      <c r="CX509" s="4">
        <f t="shared" si="460"/>
        <v>0</v>
      </c>
      <c r="CY509" s="4">
        <f t="shared" si="461"/>
        <v>0</v>
      </c>
      <c r="CZ509" s="4">
        <f t="shared" si="462"/>
        <v>0</v>
      </c>
      <c r="DA509" s="4">
        <f t="shared" si="463"/>
        <v>0</v>
      </c>
      <c r="DB509" s="4">
        <f t="shared" si="464"/>
        <v>0</v>
      </c>
      <c r="DC509" s="4">
        <f t="shared" si="465"/>
        <v>0</v>
      </c>
      <c r="DD509" s="4">
        <f t="shared" si="466"/>
        <v>0</v>
      </c>
    </row>
    <row r="510" spans="1:108" x14ac:dyDescent="0.25">
      <c r="A510" s="41" t="str">
        <f>Skills!M492</f>
        <v>Propaganda</v>
      </c>
      <c r="B510" s="55" t="str">
        <f>Skills!N492</f>
        <v>Propaganda</v>
      </c>
      <c r="C510" s="22">
        <f t="shared" si="467"/>
        <v>0</v>
      </c>
      <c r="D510" s="112">
        <f>Skills!S492</f>
        <v>0</v>
      </c>
      <c r="E510" s="113" t="e">
        <f>Profession!B230</f>
        <v>#REF!</v>
      </c>
      <c r="F510" s="19"/>
      <c r="G510" s="19"/>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56"/>
      <c r="BF510" s="4">
        <f t="shared" si="417"/>
        <v>0</v>
      </c>
      <c r="BG510" s="4">
        <f t="shared" si="417"/>
        <v>0</v>
      </c>
      <c r="BH510" s="4">
        <f t="shared" si="418"/>
        <v>0</v>
      </c>
      <c r="BI510" s="4">
        <f t="shared" si="419"/>
        <v>0</v>
      </c>
      <c r="BJ510" s="4">
        <f t="shared" si="420"/>
        <v>0</v>
      </c>
      <c r="BK510" s="4">
        <f t="shared" si="421"/>
        <v>0</v>
      </c>
      <c r="BL510" s="4">
        <f t="shared" si="422"/>
        <v>0</v>
      </c>
      <c r="BM510" s="4">
        <f t="shared" si="423"/>
        <v>0</v>
      </c>
      <c r="BN510" s="4">
        <f t="shared" si="424"/>
        <v>0</v>
      </c>
      <c r="BO510" s="4">
        <f t="shared" si="425"/>
        <v>0</v>
      </c>
      <c r="BP510" s="4">
        <f t="shared" si="426"/>
        <v>0</v>
      </c>
      <c r="BQ510" s="4">
        <f t="shared" si="427"/>
        <v>0</v>
      </c>
      <c r="BR510" s="4">
        <f t="shared" si="428"/>
        <v>0</v>
      </c>
      <c r="BS510" s="4">
        <f t="shared" si="429"/>
        <v>0</v>
      </c>
      <c r="BT510" s="4">
        <f t="shared" si="430"/>
        <v>0</v>
      </c>
      <c r="BU510" s="4">
        <f t="shared" si="431"/>
        <v>0</v>
      </c>
      <c r="BV510" s="4">
        <f t="shared" si="432"/>
        <v>0</v>
      </c>
      <c r="BW510" s="4">
        <f t="shared" si="433"/>
        <v>0</v>
      </c>
      <c r="BX510" s="4">
        <f t="shared" si="434"/>
        <v>0</v>
      </c>
      <c r="BY510" s="4">
        <f t="shared" si="435"/>
        <v>0</v>
      </c>
      <c r="BZ510" s="4">
        <f t="shared" si="436"/>
        <v>0</v>
      </c>
      <c r="CA510" s="4">
        <f t="shared" si="437"/>
        <v>0</v>
      </c>
      <c r="CB510" s="4">
        <f t="shared" si="438"/>
        <v>0</v>
      </c>
      <c r="CC510" s="4">
        <f t="shared" si="439"/>
        <v>0</v>
      </c>
      <c r="CD510" s="4">
        <f t="shared" si="440"/>
        <v>0</v>
      </c>
      <c r="CE510" s="4">
        <f t="shared" si="441"/>
        <v>0</v>
      </c>
      <c r="CF510" s="4">
        <f t="shared" si="442"/>
        <v>0</v>
      </c>
      <c r="CG510" s="4">
        <f t="shared" si="443"/>
        <v>0</v>
      </c>
      <c r="CH510" s="4">
        <f t="shared" si="444"/>
        <v>0</v>
      </c>
      <c r="CI510" s="4">
        <f t="shared" si="445"/>
        <v>0</v>
      </c>
      <c r="CJ510" s="4">
        <f t="shared" si="446"/>
        <v>0</v>
      </c>
      <c r="CK510" s="4">
        <f t="shared" si="447"/>
        <v>0</v>
      </c>
      <c r="CL510" s="4">
        <f t="shared" si="448"/>
        <v>0</v>
      </c>
      <c r="CM510" s="4">
        <f t="shared" si="449"/>
        <v>0</v>
      </c>
      <c r="CN510" s="4">
        <f t="shared" si="450"/>
        <v>0</v>
      </c>
      <c r="CO510" s="4">
        <f t="shared" si="451"/>
        <v>0</v>
      </c>
      <c r="CP510" s="4">
        <f t="shared" si="452"/>
        <v>0</v>
      </c>
      <c r="CQ510" s="4">
        <f t="shared" si="453"/>
        <v>0</v>
      </c>
      <c r="CR510" s="4">
        <f t="shared" si="454"/>
        <v>0</v>
      </c>
      <c r="CS510" s="4">
        <f t="shared" si="455"/>
        <v>0</v>
      </c>
      <c r="CT510" s="4">
        <f t="shared" si="456"/>
        <v>0</v>
      </c>
      <c r="CU510" s="4">
        <f t="shared" si="457"/>
        <v>0</v>
      </c>
      <c r="CV510" s="4">
        <f t="shared" si="458"/>
        <v>0</v>
      </c>
      <c r="CW510" s="4">
        <f t="shared" si="459"/>
        <v>0</v>
      </c>
      <c r="CX510" s="4">
        <f t="shared" si="460"/>
        <v>0</v>
      </c>
      <c r="CY510" s="4">
        <f t="shared" si="461"/>
        <v>0</v>
      </c>
      <c r="CZ510" s="4">
        <f t="shared" si="462"/>
        <v>0</v>
      </c>
      <c r="DA510" s="4">
        <f t="shared" si="463"/>
        <v>0</v>
      </c>
      <c r="DB510" s="4">
        <f t="shared" si="464"/>
        <v>0</v>
      </c>
      <c r="DC510" s="4">
        <f t="shared" si="465"/>
        <v>0</v>
      </c>
      <c r="DD510" s="4">
        <f t="shared" si="466"/>
        <v>0</v>
      </c>
    </row>
    <row r="511" spans="1:108" x14ac:dyDescent="0.25">
      <c r="A511" s="41" t="str">
        <f>Skills!M493</f>
        <v>Research</v>
      </c>
      <c r="B511" s="57" t="str">
        <f>Skills!N493</f>
        <v>Research</v>
      </c>
      <c r="C511" s="24">
        <f t="shared" si="467"/>
        <v>0</v>
      </c>
      <c r="D511" s="110">
        <f>Skills!S493</f>
        <v>0</v>
      </c>
      <c r="E511" s="111" t="e">
        <f>Profession!B231</f>
        <v>#REF!</v>
      </c>
      <c r="F511" s="18"/>
      <c r="G511" s="18"/>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49"/>
      <c r="BF511" s="4">
        <f t="shared" si="417"/>
        <v>0</v>
      </c>
      <c r="BG511" s="4">
        <f t="shared" si="417"/>
        <v>0</v>
      </c>
      <c r="BH511" s="4">
        <f t="shared" si="418"/>
        <v>0</v>
      </c>
      <c r="BI511" s="4">
        <f t="shared" si="419"/>
        <v>0</v>
      </c>
      <c r="BJ511" s="4">
        <f t="shared" si="420"/>
        <v>0</v>
      </c>
      <c r="BK511" s="4">
        <f t="shared" si="421"/>
        <v>0</v>
      </c>
      <c r="BL511" s="4">
        <f t="shared" si="422"/>
        <v>0</v>
      </c>
      <c r="BM511" s="4">
        <f t="shared" si="423"/>
        <v>0</v>
      </c>
      <c r="BN511" s="4">
        <f t="shared" si="424"/>
        <v>0</v>
      </c>
      <c r="BO511" s="4">
        <f t="shared" si="425"/>
        <v>0</v>
      </c>
      <c r="BP511" s="4">
        <f t="shared" si="426"/>
        <v>0</v>
      </c>
      <c r="BQ511" s="4">
        <f t="shared" si="427"/>
        <v>0</v>
      </c>
      <c r="BR511" s="4">
        <f t="shared" si="428"/>
        <v>0</v>
      </c>
      <c r="BS511" s="4">
        <f t="shared" si="429"/>
        <v>0</v>
      </c>
      <c r="BT511" s="4">
        <f t="shared" si="430"/>
        <v>0</v>
      </c>
      <c r="BU511" s="4">
        <f t="shared" si="431"/>
        <v>0</v>
      </c>
      <c r="BV511" s="4">
        <f t="shared" si="432"/>
        <v>0</v>
      </c>
      <c r="BW511" s="4">
        <f t="shared" si="433"/>
        <v>0</v>
      </c>
      <c r="BX511" s="4">
        <f t="shared" si="434"/>
        <v>0</v>
      </c>
      <c r="BY511" s="4">
        <f t="shared" si="435"/>
        <v>0</v>
      </c>
      <c r="BZ511" s="4">
        <f t="shared" si="436"/>
        <v>0</v>
      </c>
      <c r="CA511" s="4">
        <f t="shared" si="437"/>
        <v>0</v>
      </c>
      <c r="CB511" s="4">
        <f t="shared" si="438"/>
        <v>0</v>
      </c>
      <c r="CC511" s="4">
        <f t="shared" si="439"/>
        <v>0</v>
      </c>
      <c r="CD511" s="4">
        <f t="shared" si="440"/>
        <v>0</v>
      </c>
      <c r="CE511" s="4">
        <f t="shared" si="441"/>
        <v>0</v>
      </c>
      <c r="CF511" s="4">
        <f t="shared" si="442"/>
        <v>0</v>
      </c>
      <c r="CG511" s="4">
        <f t="shared" si="443"/>
        <v>0</v>
      </c>
      <c r="CH511" s="4">
        <f t="shared" si="444"/>
        <v>0</v>
      </c>
      <c r="CI511" s="4">
        <f t="shared" si="445"/>
        <v>0</v>
      </c>
      <c r="CJ511" s="4">
        <f t="shared" si="446"/>
        <v>0</v>
      </c>
      <c r="CK511" s="4">
        <f t="shared" si="447"/>
        <v>0</v>
      </c>
      <c r="CL511" s="4">
        <f t="shared" si="448"/>
        <v>0</v>
      </c>
      <c r="CM511" s="4">
        <f t="shared" si="449"/>
        <v>0</v>
      </c>
      <c r="CN511" s="4">
        <f t="shared" si="450"/>
        <v>0</v>
      </c>
      <c r="CO511" s="4">
        <f t="shared" si="451"/>
        <v>0</v>
      </c>
      <c r="CP511" s="4">
        <f t="shared" si="452"/>
        <v>0</v>
      </c>
      <c r="CQ511" s="4">
        <f t="shared" si="453"/>
        <v>0</v>
      </c>
      <c r="CR511" s="4">
        <f t="shared" si="454"/>
        <v>0</v>
      </c>
      <c r="CS511" s="4">
        <f t="shared" si="455"/>
        <v>0</v>
      </c>
      <c r="CT511" s="4">
        <f t="shared" si="456"/>
        <v>0</v>
      </c>
      <c r="CU511" s="4">
        <f t="shared" si="457"/>
        <v>0</v>
      </c>
      <c r="CV511" s="4">
        <f t="shared" si="458"/>
        <v>0</v>
      </c>
      <c r="CW511" s="4">
        <f t="shared" si="459"/>
        <v>0</v>
      </c>
      <c r="CX511" s="4">
        <f t="shared" si="460"/>
        <v>0</v>
      </c>
      <c r="CY511" s="4">
        <f t="shared" si="461"/>
        <v>0</v>
      </c>
      <c r="CZ511" s="4">
        <f t="shared" si="462"/>
        <v>0</v>
      </c>
      <c r="DA511" s="4">
        <f t="shared" si="463"/>
        <v>0</v>
      </c>
      <c r="DB511" s="4">
        <f t="shared" si="464"/>
        <v>0</v>
      </c>
      <c r="DC511" s="4">
        <f t="shared" si="465"/>
        <v>0</v>
      </c>
      <c r="DD511" s="4">
        <f t="shared" si="466"/>
        <v>0</v>
      </c>
    </row>
    <row r="512" spans="1:108" x14ac:dyDescent="0.25">
      <c r="A512" s="41" t="str">
        <f>Skills!M494</f>
        <v>Rope Mastery</v>
      </c>
      <c r="B512" s="55" t="str">
        <f>Skills!N494</f>
        <v>Rope Mastery</v>
      </c>
      <c r="C512" s="22">
        <f t="shared" si="467"/>
        <v>0</v>
      </c>
      <c r="D512" s="112">
        <f>Skills!S494</f>
        <v>0</v>
      </c>
      <c r="E512" s="113" t="e">
        <f>Profession!B232</f>
        <v>#REF!</v>
      </c>
      <c r="F512" s="19"/>
      <c r="G512" s="19"/>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56"/>
      <c r="BF512" s="4">
        <f t="shared" si="417"/>
        <v>0</v>
      </c>
      <c r="BG512" s="4">
        <f t="shared" si="417"/>
        <v>0</v>
      </c>
      <c r="BH512" s="4">
        <f t="shared" si="418"/>
        <v>0</v>
      </c>
      <c r="BI512" s="4">
        <f t="shared" si="419"/>
        <v>0</v>
      </c>
      <c r="BJ512" s="4">
        <f t="shared" si="420"/>
        <v>0</v>
      </c>
      <c r="BK512" s="4">
        <f t="shared" si="421"/>
        <v>0</v>
      </c>
      <c r="BL512" s="4">
        <f t="shared" si="422"/>
        <v>0</v>
      </c>
      <c r="BM512" s="4">
        <f t="shared" si="423"/>
        <v>0</v>
      </c>
      <c r="BN512" s="4">
        <f t="shared" si="424"/>
        <v>0</v>
      </c>
      <c r="BO512" s="4">
        <f t="shared" si="425"/>
        <v>0</v>
      </c>
      <c r="BP512" s="4">
        <f t="shared" si="426"/>
        <v>0</v>
      </c>
      <c r="BQ512" s="4">
        <f t="shared" si="427"/>
        <v>0</v>
      </c>
      <c r="BR512" s="4">
        <f t="shared" si="428"/>
        <v>0</v>
      </c>
      <c r="BS512" s="4">
        <f t="shared" si="429"/>
        <v>0</v>
      </c>
      <c r="BT512" s="4">
        <f t="shared" si="430"/>
        <v>0</v>
      </c>
      <c r="BU512" s="4">
        <f t="shared" si="431"/>
        <v>0</v>
      </c>
      <c r="BV512" s="4">
        <f t="shared" si="432"/>
        <v>0</v>
      </c>
      <c r="BW512" s="4">
        <f t="shared" si="433"/>
        <v>0</v>
      </c>
      <c r="BX512" s="4">
        <f t="shared" si="434"/>
        <v>0</v>
      </c>
      <c r="BY512" s="4">
        <f t="shared" si="435"/>
        <v>0</v>
      </c>
      <c r="BZ512" s="4">
        <f t="shared" si="436"/>
        <v>0</v>
      </c>
      <c r="CA512" s="4">
        <f t="shared" si="437"/>
        <v>0</v>
      </c>
      <c r="CB512" s="4">
        <f t="shared" si="438"/>
        <v>0</v>
      </c>
      <c r="CC512" s="4">
        <f t="shared" si="439"/>
        <v>0</v>
      </c>
      <c r="CD512" s="4">
        <f t="shared" si="440"/>
        <v>0</v>
      </c>
      <c r="CE512" s="4">
        <f t="shared" si="441"/>
        <v>0</v>
      </c>
      <c r="CF512" s="4">
        <f t="shared" si="442"/>
        <v>0</v>
      </c>
      <c r="CG512" s="4">
        <f t="shared" si="443"/>
        <v>0</v>
      </c>
      <c r="CH512" s="4">
        <f t="shared" si="444"/>
        <v>0</v>
      </c>
      <c r="CI512" s="4">
        <f t="shared" si="445"/>
        <v>0</v>
      </c>
      <c r="CJ512" s="4">
        <f t="shared" si="446"/>
        <v>0</v>
      </c>
      <c r="CK512" s="4">
        <f t="shared" si="447"/>
        <v>0</v>
      </c>
      <c r="CL512" s="4">
        <f t="shared" si="448"/>
        <v>0</v>
      </c>
      <c r="CM512" s="4">
        <f t="shared" si="449"/>
        <v>0</v>
      </c>
      <c r="CN512" s="4">
        <f t="shared" si="450"/>
        <v>0</v>
      </c>
      <c r="CO512" s="4">
        <f t="shared" si="451"/>
        <v>0</v>
      </c>
      <c r="CP512" s="4">
        <f t="shared" si="452"/>
        <v>0</v>
      </c>
      <c r="CQ512" s="4">
        <f t="shared" si="453"/>
        <v>0</v>
      </c>
      <c r="CR512" s="4">
        <f t="shared" si="454"/>
        <v>0</v>
      </c>
      <c r="CS512" s="4">
        <f t="shared" si="455"/>
        <v>0</v>
      </c>
      <c r="CT512" s="4">
        <f t="shared" si="456"/>
        <v>0</v>
      </c>
      <c r="CU512" s="4">
        <f t="shared" si="457"/>
        <v>0</v>
      </c>
      <c r="CV512" s="4">
        <f t="shared" si="458"/>
        <v>0</v>
      </c>
      <c r="CW512" s="4">
        <f t="shared" si="459"/>
        <v>0</v>
      </c>
      <c r="CX512" s="4">
        <f t="shared" si="460"/>
        <v>0</v>
      </c>
      <c r="CY512" s="4">
        <f t="shared" si="461"/>
        <v>0</v>
      </c>
      <c r="CZ512" s="4">
        <f t="shared" si="462"/>
        <v>0</v>
      </c>
      <c r="DA512" s="4">
        <f t="shared" si="463"/>
        <v>0</v>
      </c>
      <c r="DB512" s="4">
        <f t="shared" si="464"/>
        <v>0</v>
      </c>
      <c r="DC512" s="4">
        <f t="shared" si="465"/>
        <v>0</v>
      </c>
      <c r="DD512" s="4">
        <f t="shared" si="466"/>
        <v>0</v>
      </c>
    </row>
    <row r="513" spans="1:108" x14ac:dyDescent="0.25">
      <c r="A513" s="41" t="str">
        <f>Skills!M495</f>
        <v>Sociology</v>
      </c>
      <c r="B513" s="57" t="str">
        <f>Skills!N495</f>
        <v>Sociology</v>
      </c>
      <c r="C513" s="24">
        <f t="shared" si="467"/>
        <v>0</v>
      </c>
      <c r="D513" s="110">
        <f ca="1">Skills!S495</f>
        <v>0</v>
      </c>
      <c r="E513" s="111" t="e">
        <f>Profession!B233</f>
        <v>#REF!</v>
      </c>
      <c r="F513" s="18"/>
      <c r="G513" s="18"/>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49"/>
      <c r="BF513" s="4">
        <f t="shared" si="417"/>
        <v>0</v>
      </c>
      <c r="BG513" s="4">
        <f t="shared" si="417"/>
        <v>0</v>
      </c>
      <c r="BH513" s="4">
        <f t="shared" si="418"/>
        <v>0</v>
      </c>
      <c r="BI513" s="4">
        <f t="shared" si="419"/>
        <v>0</v>
      </c>
      <c r="BJ513" s="4">
        <f t="shared" si="420"/>
        <v>0</v>
      </c>
      <c r="BK513" s="4">
        <f t="shared" si="421"/>
        <v>0</v>
      </c>
      <c r="BL513" s="4">
        <f t="shared" si="422"/>
        <v>0</v>
      </c>
      <c r="BM513" s="4">
        <f t="shared" si="423"/>
        <v>0</v>
      </c>
      <c r="BN513" s="4">
        <f t="shared" si="424"/>
        <v>0</v>
      </c>
      <c r="BO513" s="4">
        <f t="shared" si="425"/>
        <v>0</v>
      </c>
      <c r="BP513" s="4">
        <f t="shared" si="426"/>
        <v>0</v>
      </c>
      <c r="BQ513" s="4">
        <f t="shared" si="427"/>
        <v>0</v>
      </c>
      <c r="BR513" s="4">
        <f t="shared" si="428"/>
        <v>0</v>
      </c>
      <c r="BS513" s="4">
        <f t="shared" si="429"/>
        <v>0</v>
      </c>
      <c r="BT513" s="4">
        <f t="shared" si="430"/>
        <v>0</v>
      </c>
      <c r="BU513" s="4">
        <f t="shared" si="431"/>
        <v>0</v>
      </c>
      <c r="BV513" s="4">
        <f t="shared" si="432"/>
        <v>0</v>
      </c>
      <c r="BW513" s="4">
        <f t="shared" si="433"/>
        <v>0</v>
      </c>
      <c r="BX513" s="4">
        <f t="shared" si="434"/>
        <v>0</v>
      </c>
      <c r="BY513" s="4">
        <f t="shared" si="435"/>
        <v>0</v>
      </c>
      <c r="BZ513" s="4">
        <f t="shared" si="436"/>
        <v>0</v>
      </c>
      <c r="CA513" s="4">
        <f t="shared" si="437"/>
        <v>0</v>
      </c>
      <c r="CB513" s="4">
        <f t="shared" si="438"/>
        <v>0</v>
      </c>
      <c r="CC513" s="4">
        <f t="shared" si="439"/>
        <v>0</v>
      </c>
      <c r="CD513" s="4">
        <f t="shared" si="440"/>
        <v>0</v>
      </c>
      <c r="CE513" s="4">
        <f t="shared" si="441"/>
        <v>0</v>
      </c>
      <c r="CF513" s="4">
        <f t="shared" si="442"/>
        <v>0</v>
      </c>
      <c r="CG513" s="4">
        <f t="shared" si="443"/>
        <v>0</v>
      </c>
      <c r="CH513" s="4">
        <f t="shared" si="444"/>
        <v>0</v>
      </c>
      <c r="CI513" s="4">
        <f t="shared" si="445"/>
        <v>0</v>
      </c>
      <c r="CJ513" s="4">
        <f t="shared" si="446"/>
        <v>0</v>
      </c>
      <c r="CK513" s="4">
        <f t="shared" si="447"/>
        <v>0</v>
      </c>
      <c r="CL513" s="4">
        <f t="shared" si="448"/>
        <v>0</v>
      </c>
      <c r="CM513" s="4">
        <f t="shared" si="449"/>
        <v>0</v>
      </c>
      <c r="CN513" s="4">
        <f t="shared" si="450"/>
        <v>0</v>
      </c>
      <c r="CO513" s="4">
        <f t="shared" si="451"/>
        <v>0</v>
      </c>
      <c r="CP513" s="4">
        <f t="shared" si="452"/>
        <v>0</v>
      </c>
      <c r="CQ513" s="4">
        <f t="shared" si="453"/>
        <v>0</v>
      </c>
      <c r="CR513" s="4">
        <f t="shared" si="454"/>
        <v>0</v>
      </c>
      <c r="CS513" s="4">
        <f t="shared" si="455"/>
        <v>0</v>
      </c>
      <c r="CT513" s="4">
        <f t="shared" si="456"/>
        <v>0</v>
      </c>
      <c r="CU513" s="4">
        <f t="shared" si="457"/>
        <v>0</v>
      </c>
      <c r="CV513" s="4">
        <f t="shared" si="458"/>
        <v>0</v>
      </c>
      <c r="CW513" s="4">
        <f t="shared" si="459"/>
        <v>0</v>
      </c>
      <c r="CX513" s="4">
        <f t="shared" si="460"/>
        <v>0</v>
      </c>
      <c r="CY513" s="4">
        <f t="shared" si="461"/>
        <v>0</v>
      </c>
      <c r="CZ513" s="4">
        <f t="shared" si="462"/>
        <v>0</v>
      </c>
      <c r="DA513" s="4">
        <f t="shared" si="463"/>
        <v>0</v>
      </c>
      <c r="DB513" s="4">
        <f t="shared" si="464"/>
        <v>0</v>
      </c>
      <c r="DC513" s="4">
        <f t="shared" si="465"/>
        <v>0</v>
      </c>
      <c r="DD513" s="4">
        <f t="shared" si="466"/>
        <v>0</v>
      </c>
    </row>
    <row r="514" spans="1:108" x14ac:dyDescent="0.25">
      <c r="A514" s="41" t="str">
        <f>Skills!M496</f>
        <v>Star Gazing</v>
      </c>
      <c r="B514" s="55" t="str">
        <f>Skills!N496</f>
        <v>Star Gazing</v>
      </c>
      <c r="C514" s="22">
        <f t="shared" si="467"/>
        <v>0</v>
      </c>
      <c r="D514" s="112">
        <f ca="1">Skills!S496</f>
        <v>0</v>
      </c>
      <c r="E514" s="113" t="e">
        <f>Profession!B234</f>
        <v>#REF!</v>
      </c>
      <c r="F514" s="19"/>
      <c r="G514" s="19"/>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56"/>
      <c r="BF514" s="4">
        <f t="shared" si="417"/>
        <v>0</v>
      </c>
      <c r="BG514" s="4">
        <f t="shared" si="417"/>
        <v>0</v>
      </c>
      <c r="BH514" s="4">
        <f t="shared" si="418"/>
        <v>0</v>
      </c>
      <c r="BI514" s="4">
        <f t="shared" si="419"/>
        <v>0</v>
      </c>
      <c r="BJ514" s="4">
        <f t="shared" si="420"/>
        <v>0</v>
      </c>
      <c r="BK514" s="4">
        <f t="shared" si="421"/>
        <v>0</v>
      </c>
      <c r="BL514" s="4">
        <f t="shared" si="422"/>
        <v>0</v>
      </c>
      <c r="BM514" s="4">
        <f t="shared" si="423"/>
        <v>0</v>
      </c>
      <c r="BN514" s="4">
        <f t="shared" si="424"/>
        <v>0</v>
      </c>
      <c r="BO514" s="4">
        <f t="shared" si="425"/>
        <v>0</v>
      </c>
      <c r="BP514" s="4">
        <f t="shared" si="426"/>
        <v>0</v>
      </c>
      <c r="BQ514" s="4">
        <f t="shared" si="427"/>
        <v>0</v>
      </c>
      <c r="BR514" s="4">
        <f t="shared" si="428"/>
        <v>0</v>
      </c>
      <c r="BS514" s="4">
        <f t="shared" si="429"/>
        <v>0</v>
      </c>
      <c r="BT514" s="4">
        <f t="shared" si="430"/>
        <v>0</v>
      </c>
      <c r="BU514" s="4">
        <f t="shared" si="431"/>
        <v>0</v>
      </c>
      <c r="BV514" s="4">
        <f t="shared" si="432"/>
        <v>0</v>
      </c>
      <c r="BW514" s="4">
        <f t="shared" si="433"/>
        <v>0</v>
      </c>
      <c r="BX514" s="4">
        <f t="shared" si="434"/>
        <v>0</v>
      </c>
      <c r="BY514" s="4">
        <f t="shared" si="435"/>
        <v>0</v>
      </c>
      <c r="BZ514" s="4">
        <f t="shared" si="436"/>
        <v>0</v>
      </c>
      <c r="CA514" s="4">
        <f t="shared" si="437"/>
        <v>0</v>
      </c>
      <c r="CB514" s="4">
        <f t="shared" si="438"/>
        <v>0</v>
      </c>
      <c r="CC514" s="4">
        <f t="shared" si="439"/>
        <v>0</v>
      </c>
      <c r="CD514" s="4">
        <f t="shared" si="440"/>
        <v>0</v>
      </c>
      <c r="CE514" s="4">
        <f t="shared" si="441"/>
        <v>0</v>
      </c>
      <c r="CF514" s="4">
        <f t="shared" si="442"/>
        <v>0</v>
      </c>
      <c r="CG514" s="4">
        <f t="shared" si="443"/>
        <v>0</v>
      </c>
      <c r="CH514" s="4">
        <f t="shared" si="444"/>
        <v>0</v>
      </c>
      <c r="CI514" s="4">
        <f t="shared" si="445"/>
        <v>0</v>
      </c>
      <c r="CJ514" s="4">
        <f t="shared" si="446"/>
        <v>0</v>
      </c>
      <c r="CK514" s="4">
        <f t="shared" si="447"/>
        <v>0</v>
      </c>
      <c r="CL514" s="4">
        <f t="shared" si="448"/>
        <v>0</v>
      </c>
      <c r="CM514" s="4">
        <f t="shared" si="449"/>
        <v>0</v>
      </c>
      <c r="CN514" s="4">
        <f t="shared" si="450"/>
        <v>0</v>
      </c>
      <c r="CO514" s="4">
        <f t="shared" si="451"/>
        <v>0</v>
      </c>
      <c r="CP514" s="4">
        <f t="shared" si="452"/>
        <v>0</v>
      </c>
      <c r="CQ514" s="4">
        <f t="shared" si="453"/>
        <v>0</v>
      </c>
      <c r="CR514" s="4">
        <f t="shared" si="454"/>
        <v>0</v>
      </c>
      <c r="CS514" s="4">
        <f t="shared" si="455"/>
        <v>0</v>
      </c>
      <c r="CT514" s="4">
        <f t="shared" si="456"/>
        <v>0</v>
      </c>
      <c r="CU514" s="4">
        <f t="shared" si="457"/>
        <v>0</v>
      </c>
      <c r="CV514" s="4">
        <f t="shared" si="458"/>
        <v>0</v>
      </c>
      <c r="CW514" s="4">
        <f t="shared" si="459"/>
        <v>0</v>
      </c>
      <c r="CX514" s="4">
        <f t="shared" si="460"/>
        <v>0</v>
      </c>
      <c r="CY514" s="4">
        <f t="shared" si="461"/>
        <v>0</v>
      </c>
      <c r="CZ514" s="4">
        <f t="shared" si="462"/>
        <v>0</v>
      </c>
      <c r="DA514" s="4">
        <f t="shared" si="463"/>
        <v>0</v>
      </c>
      <c r="DB514" s="4">
        <f t="shared" si="464"/>
        <v>0</v>
      </c>
      <c r="DC514" s="4">
        <f t="shared" si="465"/>
        <v>0</v>
      </c>
      <c r="DD514" s="4">
        <f t="shared" si="466"/>
        <v>0</v>
      </c>
    </row>
    <row r="515" spans="1:108" x14ac:dyDescent="0.25">
      <c r="A515" s="41" t="str">
        <f>Skills!M497</f>
        <v>Tax Evasion</v>
      </c>
      <c r="B515" s="57" t="str">
        <f>Skills!N497</f>
        <v>Tax Evasion</v>
      </c>
      <c r="C515" s="24">
        <f t="shared" si="467"/>
        <v>0</v>
      </c>
      <c r="D515" s="110">
        <f>Skills!S497</f>
        <v>0</v>
      </c>
      <c r="E515" s="111" t="e">
        <f>Profession!B235</f>
        <v>#REF!</v>
      </c>
      <c r="F515" s="18"/>
      <c r="G515" s="18"/>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49"/>
      <c r="BF515" s="4">
        <f t="shared" si="417"/>
        <v>0</v>
      </c>
      <c r="BG515" s="4">
        <f t="shared" si="417"/>
        <v>0</v>
      </c>
      <c r="BH515" s="4">
        <f t="shared" si="418"/>
        <v>0</v>
      </c>
      <c r="BI515" s="4">
        <f t="shared" si="419"/>
        <v>0</v>
      </c>
      <c r="BJ515" s="4">
        <f t="shared" si="420"/>
        <v>0</v>
      </c>
      <c r="BK515" s="4">
        <f t="shared" si="421"/>
        <v>0</v>
      </c>
      <c r="BL515" s="4">
        <f t="shared" si="422"/>
        <v>0</v>
      </c>
      <c r="BM515" s="4">
        <f t="shared" si="423"/>
        <v>0</v>
      </c>
      <c r="BN515" s="4">
        <f t="shared" si="424"/>
        <v>0</v>
      </c>
      <c r="BO515" s="4">
        <f t="shared" si="425"/>
        <v>0</v>
      </c>
      <c r="BP515" s="4">
        <f t="shared" si="426"/>
        <v>0</v>
      </c>
      <c r="BQ515" s="4">
        <f t="shared" si="427"/>
        <v>0</v>
      </c>
      <c r="BR515" s="4">
        <f t="shared" si="428"/>
        <v>0</v>
      </c>
      <c r="BS515" s="4">
        <f t="shared" si="429"/>
        <v>0</v>
      </c>
      <c r="BT515" s="4">
        <f t="shared" si="430"/>
        <v>0</v>
      </c>
      <c r="BU515" s="4">
        <f t="shared" si="431"/>
        <v>0</v>
      </c>
      <c r="BV515" s="4">
        <f t="shared" si="432"/>
        <v>0</v>
      </c>
      <c r="BW515" s="4">
        <f t="shared" si="433"/>
        <v>0</v>
      </c>
      <c r="BX515" s="4">
        <f t="shared" si="434"/>
        <v>0</v>
      </c>
      <c r="BY515" s="4">
        <f t="shared" si="435"/>
        <v>0</v>
      </c>
      <c r="BZ515" s="4">
        <f t="shared" si="436"/>
        <v>0</v>
      </c>
      <c r="CA515" s="4">
        <f t="shared" si="437"/>
        <v>0</v>
      </c>
      <c r="CB515" s="4">
        <f t="shared" si="438"/>
        <v>0</v>
      </c>
      <c r="CC515" s="4">
        <f t="shared" si="439"/>
        <v>0</v>
      </c>
      <c r="CD515" s="4">
        <f t="shared" si="440"/>
        <v>0</v>
      </c>
      <c r="CE515" s="4">
        <f t="shared" si="441"/>
        <v>0</v>
      </c>
      <c r="CF515" s="4">
        <f t="shared" si="442"/>
        <v>0</v>
      </c>
      <c r="CG515" s="4">
        <f t="shared" si="443"/>
        <v>0</v>
      </c>
      <c r="CH515" s="4">
        <f t="shared" si="444"/>
        <v>0</v>
      </c>
      <c r="CI515" s="4">
        <f t="shared" si="445"/>
        <v>0</v>
      </c>
      <c r="CJ515" s="4">
        <f t="shared" si="446"/>
        <v>0</v>
      </c>
      <c r="CK515" s="4">
        <f t="shared" si="447"/>
        <v>0</v>
      </c>
      <c r="CL515" s="4">
        <f t="shared" si="448"/>
        <v>0</v>
      </c>
      <c r="CM515" s="4">
        <f t="shared" si="449"/>
        <v>0</v>
      </c>
      <c r="CN515" s="4">
        <f t="shared" si="450"/>
        <v>0</v>
      </c>
      <c r="CO515" s="4">
        <f t="shared" si="451"/>
        <v>0</v>
      </c>
      <c r="CP515" s="4">
        <f t="shared" si="452"/>
        <v>0</v>
      </c>
      <c r="CQ515" s="4">
        <f t="shared" si="453"/>
        <v>0</v>
      </c>
      <c r="CR515" s="4">
        <f t="shared" si="454"/>
        <v>0</v>
      </c>
      <c r="CS515" s="4">
        <f t="shared" si="455"/>
        <v>0</v>
      </c>
      <c r="CT515" s="4">
        <f t="shared" si="456"/>
        <v>0</v>
      </c>
      <c r="CU515" s="4">
        <f t="shared" si="457"/>
        <v>0</v>
      </c>
      <c r="CV515" s="4">
        <f t="shared" si="458"/>
        <v>0</v>
      </c>
      <c r="CW515" s="4">
        <f t="shared" si="459"/>
        <v>0</v>
      </c>
      <c r="CX515" s="4">
        <f t="shared" si="460"/>
        <v>0</v>
      </c>
      <c r="CY515" s="4">
        <f t="shared" si="461"/>
        <v>0</v>
      </c>
      <c r="CZ515" s="4">
        <f t="shared" si="462"/>
        <v>0</v>
      </c>
      <c r="DA515" s="4">
        <f t="shared" si="463"/>
        <v>0</v>
      </c>
      <c r="DB515" s="4">
        <f t="shared" si="464"/>
        <v>0</v>
      </c>
      <c r="DC515" s="4">
        <f t="shared" si="465"/>
        <v>0</v>
      </c>
      <c r="DD515" s="4">
        <f t="shared" si="466"/>
        <v>0</v>
      </c>
    </row>
    <row r="516" spans="1:108" x14ac:dyDescent="0.25">
      <c r="A516" s="41" t="str">
        <f>Skills!M498</f>
        <v>Urban Design</v>
      </c>
      <c r="B516" s="55" t="str">
        <f>Skills!N498</f>
        <v>Urban Design</v>
      </c>
      <c r="C516" s="22">
        <f t="shared" si="467"/>
        <v>0</v>
      </c>
      <c r="D516" s="112">
        <f>Skills!S498</f>
        <v>0</v>
      </c>
      <c r="E516" s="113" t="e">
        <f>Profession!B236</f>
        <v>#REF!</v>
      </c>
      <c r="F516" s="19"/>
      <c r="G516" s="19"/>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56"/>
      <c r="BF516" s="4">
        <f t="shared" ref="BF516:BG579" si="468">IF(F516=1,(LEFT($E516,2))*1,IF(F516=2,((LEFT($E516,2))+(MID($E516,FIND("/",$E516)+2,2))),IF(F516=3,((LEFT($E516,2))+(MID($E516,FIND("/",$E516)+2,2))+(RIGHT($E516,2))),0)))</f>
        <v>0</v>
      </c>
      <c r="BG516" s="4">
        <f t="shared" si="468"/>
        <v>0</v>
      </c>
      <c r="BH516" s="4">
        <f t="shared" ref="BH516:BH579" si="469">IF(H516=1,(LEFT($E516,2))*1,IF(H516=2,((LEFT($E516,2))+(MID($E516,FIND("/",$E516)+2,2))),IF(H516=3,((LEFT($E516,2))+(MID($E516,FIND("/",$E516)+2,2))+(RIGHT($E516,2))),0)))</f>
        <v>0</v>
      </c>
      <c r="BI516" s="4">
        <f t="shared" ref="BI516:BI579" si="470">IF(I516=1,(LEFT($E516,2))*1,IF(I516=2,((LEFT($E516,2))+(MID($E516,FIND("/",$E516)+2,2))),IF(I516=3,((LEFT($E516,2))+(MID($E516,FIND("/",$E516)+2,2))+(RIGHT($E516,2))),0)))</f>
        <v>0</v>
      </c>
      <c r="BJ516" s="4">
        <f t="shared" ref="BJ516:BJ579" si="471">IF(J516=1,(LEFT($E516,2))*1,IF(J516=2,((LEFT($E516,2))+(MID($E516,FIND("/",$E516)+2,2))),IF(J516=3,((LEFT($E516,2))+(MID($E516,FIND("/",$E516)+2,2))+(RIGHT($E516,2))),0)))</f>
        <v>0</v>
      </c>
      <c r="BK516" s="4">
        <f t="shared" ref="BK516:BK579" si="472">IF(K516=1,(LEFT($E516,2))*1,IF(K516=2,((LEFT($E516,2))+(MID($E516,FIND("/",$E516)+2,2))),IF(K516=3,((LEFT($E516,2))+(MID($E516,FIND("/",$E516)+2,2))+(RIGHT($E516,2))),0)))</f>
        <v>0</v>
      </c>
      <c r="BL516" s="4">
        <f t="shared" ref="BL516:BL579" si="473">IF(L516=1,(LEFT($E516,2))*1,IF(L516=2,((LEFT($E516,2))+(MID($E516,FIND("/",$E516)+2,2))),IF(L516=3,((LEFT($E516,2))+(MID($E516,FIND("/",$E516)+2,2))+(RIGHT($E516,2))),0)))</f>
        <v>0</v>
      </c>
      <c r="BM516" s="4">
        <f t="shared" ref="BM516:BM579" si="474">IF(M516=1,(LEFT($E516,2))*1,IF(M516=2,((LEFT($E516,2))+(MID($E516,FIND("/",$E516)+2,2))),IF(M516=3,((LEFT($E516,2))+(MID($E516,FIND("/",$E516)+2,2))+(RIGHT($E516,2))),0)))</f>
        <v>0</v>
      </c>
      <c r="BN516" s="4">
        <f t="shared" ref="BN516:BN579" si="475">IF(N516=1,(LEFT($E516,2))*1,IF(N516=2,((LEFT($E516,2))+(MID($E516,FIND("/",$E516)+2,2))),IF(N516=3,((LEFT($E516,2))+(MID($E516,FIND("/",$E516)+2,2))+(RIGHT($E516,2))),0)))</f>
        <v>0</v>
      </c>
      <c r="BO516" s="4">
        <f t="shared" ref="BO516:BO579" si="476">IF(O516=1,(LEFT($E516,2))*1,IF(O516=2,((LEFT($E516,2))+(MID($E516,FIND("/",$E516)+2,2))),IF(O516=3,((LEFT($E516,2))+(MID($E516,FIND("/",$E516)+2,2))+(RIGHT($E516,2))),0)))</f>
        <v>0</v>
      </c>
      <c r="BP516" s="4">
        <f t="shared" ref="BP516:BP579" si="477">IF(P516=1,(LEFT($E516,2))*1,IF(P516=2,((LEFT($E516,2))+(MID($E516,FIND("/",$E516)+2,2))),IF(P516=3,((LEFT($E516,2))+(MID($E516,FIND("/",$E516)+2,2))+(RIGHT($E516,2))),0)))</f>
        <v>0</v>
      </c>
      <c r="BQ516" s="4">
        <f t="shared" ref="BQ516:BQ579" si="478">IF(Q516=1,(LEFT($E516,2))*1,IF(Q516=2,((LEFT($E516,2))+(MID($E516,FIND("/",$E516)+2,2))),IF(Q516=3,((LEFT($E516,2))+(MID($E516,FIND("/",$E516)+2,2))+(RIGHT($E516,2))),0)))</f>
        <v>0</v>
      </c>
      <c r="BR516" s="4">
        <f t="shared" ref="BR516:BR579" si="479">IF(R516=1,(LEFT($E516,2))*1,IF(R516=2,((LEFT($E516,2))+(MID($E516,FIND("/",$E516)+2,2))),IF(R516=3,((LEFT($E516,2))+(MID($E516,FIND("/",$E516)+2,2))+(RIGHT($E516,2))),0)))</f>
        <v>0</v>
      </c>
      <c r="BS516" s="4">
        <f t="shared" ref="BS516:BS579" si="480">IF(S516=1,(LEFT($E516,2))*1,IF(S516=2,((LEFT($E516,2))+(MID($E516,FIND("/",$E516)+2,2))),IF(S516=3,((LEFT($E516,2))+(MID($E516,FIND("/",$E516)+2,2))+(RIGHT($E516,2))),0)))</f>
        <v>0</v>
      </c>
      <c r="BT516" s="4">
        <f t="shared" ref="BT516:BT579" si="481">IF(T516=1,(LEFT($E516,2))*1,IF(T516=2,((LEFT($E516,2))+(MID($E516,FIND("/",$E516)+2,2))),IF(T516=3,((LEFT($E516,2))+(MID($E516,FIND("/",$E516)+2,2))+(RIGHT($E516,2))),0)))</f>
        <v>0</v>
      </c>
      <c r="BU516" s="4">
        <f t="shared" ref="BU516:BU579" si="482">IF(U516=1,(LEFT($E516,2))*1,IF(U516=2,((LEFT($E516,2))+(MID($E516,FIND("/",$E516)+2,2))),IF(U516=3,((LEFT($E516,2))+(MID($E516,FIND("/",$E516)+2,2))+(RIGHT($E516,2))),0)))</f>
        <v>0</v>
      </c>
      <c r="BV516" s="4">
        <f t="shared" ref="BV516:BV579" si="483">IF(V516=1,(LEFT($E516,2))*1,IF(V516=2,((LEFT($E516,2))+(MID($E516,FIND("/",$E516)+2,2))),IF(V516=3,((LEFT($E516,2))+(MID($E516,FIND("/",$E516)+2,2))+(RIGHT($E516,2))),0)))</f>
        <v>0</v>
      </c>
      <c r="BW516" s="4">
        <f t="shared" ref="BW516:BW579" si="484">IF(W516=1,(LEFT($E516,2))*1,IF(W516=2,((LEFT($E516,2))+(MID($E516,FIND("/",$E516)+2,2))),IF(W516=3,((LEFT($E516,2))+(MID($E516,FIND("/",$E516)+2,2))+(RIGHT($E516,2))),0)))</f>
        <v>0</v>
      </c>
      <c r="BX516" s="4">
        <f t="shared" ref="BX516:BX579" si="485">IF(X516=1,(LEFT($E516,2))*1,IF(X516=2,((LEFT($E516,2))+(MID($E516,FIND("/",$E516)+2,2))),IF(X516=3,((LEFT($E516,2))+(MID($E516,FIND("/",$E516)+2,2))+(RIGHT($E516,2))),0)))</f>
        <v>0</v>
      </c>
      <c r="BY516" s="4">
        <f t="shared" ref="BY516:BY579" si="486">IF(Y516=1,(LEFT($E516,2))*1,IF(Y516=2,((LEFT($E516,2))+(MID($E516,FIND("/",$E516)+2,2))),IF(Y516=3,((LEFT($E516,2))+(MID($E516,FIND("/",$E516)+2,2))+(RIGHT($E516,2))),0)))</f>
        <v>0</v>
      </c>
      <c r="BZ516" s="4">
        <f t="shared" ref="BZ516:BZ579" si="487">IF(Z516=1,(LEFT($E516,2))*1,IF(Z516=2,((LEFT($E516,2))+(MID($E516,FIND("/",$E516)+2,2))),IF(Z516=3,((LEFT($E516,2))+(MID($E516,FIND("/",$E516)+2,2))+(RIGHT($E516,2))),0)))</f>
        <v>0</v>
      </c>
      <c r="CA516" s="4">
        <f t="shared" ref="CA516:CA579" si="488">IF(AA516=1,(LEFT($E516,2))*1,IF(AA516=2,((LEFT($E516,2))+(MID($E516,FIND("/",$E516)+2,2))),IF(AA516=3,((LEFT($E516,2))+(MID($E516,FIND("/",$E516)+2,2))+(RIGHT($E516,2))),0)))</f>
        <v>0</v>
      </c>
      <c r="CB516" s="4">
        <f t="shared" ref="CB516:CB579" si="489">IF(AB516=1,(LEFT($E516,2))*1,IF(AB516=2,((LEFT($E516,2))+(MID($E516,FIND("/",$E516)+2,2))),IF(AB516=3,((LEFT($E516,2))+(MID($E516,FIND("/",$E516)+2,2))+(RIGHT($E516,2))),0)))</f>
        <v>0</v>
      </c>
      <c r="CC516" s="4">
        <f t="shared" ref="CC516:CC579" si="490">IF(AC516=1,(LEFT($E516,2))*1,IF(AC516=2,((LEFT($E516,2))+(MID($E516,FIND("/",$E516)+2,2))),IF(AC516=3,((LEFT($E516,2))+(MID($E516,FIND("/",$E516)+2,2))+(RIGHT($E516,2))),0)))</f>
        <v>0</v>
      </c>
      <c r="CD516" s="4">
        <f t="shared" ref="CD516:CD579" si="491">IF(AD516=1,(LEFT($E516,2))*1,IF(AD516=2,((LEFT($E516,2))+(MID($E516,FIND("/",$E516)+2,2))),IF(AD516=3,((LEFT($E516,2))+(MID($E516,FIND("/",$E516)+2,2))+(RIGHT($E516,2))),0)))</f>
        <v>0</v>
      </c>
      <c r="CE516" s="4">
        <f t="shared" ref="CE516:CE579" si="492">IF(AE516=1,(LEFT($E516,2))*1,IF(AE516=2,((LEFT($E516,2))+(MID($E516,FIND("/",$E516)+2,2))),IF(AE516=3,((LEFT($E516,2))+(MID($E516,FIND("/",$E516)+2,2))+(RIGHT($E516,2))),0)))</f>
        <v>0</v>
      </c>
      <c r="CF516" s="4">
        <f t="shared" ref="CF516:CF579" si="493">IF(AF516=1,(LEFT($E516,2))*1,IF(AF516=2,((LEFT($E516,2))+(MID($E516,FIND("/",$E516)+2,2))),IF(AF516=3,((LEFT($E516,2))+(MID($E516,FIND("/",$E516)+2,2))+(RIGHT($E516,2))),0)))</f>
        <v>0</v>
      </c>
      <c r="CG516" s="4">
        <f t="shared" ref="CG516:CG579" si="494">IF(AG516=1,(LEFT($E516,2))*1,IF(AG516=2,((LEFT($E516,2))+(MID($E516,FIND("/",$E516)+2,2))),IF(AG516=3,((LEFT($E516,2))+(MID($E516,FIND("/",$E516)+2,2))+(RIGHT($E516,2))),0)))</f>
        <v>0</v>
      </c>
      <c r="CH516" s="4">
        <f t="shared" ref="CH516:CH579" si="495">IF(AH516=1,(LEFT($E516,2))*1,IF(AH516=2,((LEFT($E516,2))+(MID($E516,FIND("/",$E516)+2,2))),IF(AH516=3,((LEFT($E516,2))+(MID($E516,FIND("/",$E516)+2,2))+(RIGHT($E516,2))),0)))</f>
        <v>0</v>
      </c>
      <c r="CI516" s="4">
        <f t="shared" ref="CI516:CI579" si="496">IF(AI516=1,(LEFT($E516,2))*1,IF(AI516=2,((LEFT($E516,2))+(MID($E516,FIND("/",$E516)+2,2))),IF(AI516=3,((LEFT($E516,2))+(MID($E516,FIND("/",$E516)+2,2))+(RIGHT($E516,2))),0)))</f>
        <v>0</v>
      </c>
      <c r="CJ516" s="4">
        <f t="shared" ref="CJ516:CJ579" si="497">IF(AJ516=1,(LEFT($E516,2))*1,IF(AJ516=2,((LEFT($E516,2))+(MID($E516,FIND("/",$E516)+2,2))),IF(AJ516=3,((LEFT($E516,2))+(MID($E516,FIND("/",$E516)+2,2))+(RIGHT($E516,2))),0)))</f>
        <v>0</v>
      </c>
      <c r="CK516" s="4">
        <f t="shared" ref="CK516:CK579" si="498">IF(AK516=1,(LEFT($E516,2))*1,IF(AK516=2,((LEFT($E516,2))+(MID($E516,FIND("/",$E516)+2,2))),IF(AK516=3,((LEFT($E516,2))+(MID($E516,FIND("/",$E516)+2,2))+(RIGHT($E516,2))),0)))</f>
        <v>0</v>
      </c>
      <c r="CL516" s="4">
        <f t="shared" ref="CL516:CL579" si="499">IF(AL516=1,(LEFT($E516,2))*1,IF(AL516=2,((LEFT($E516,2))+(MID($E516,FIND("/",$E516)+2,2))),IF(AL516=3,((LEFT($E516,2))+(MID($E516,FIND("/",$E516)+2,2))+(RIGHT($E516,2))),0)))</f>
        <v>0</v>
      </c>
      <c r="CM516" s="4">
        <f t="shared" ref="CM516:CM579" si="500">IF(AM516=1,(LEFT($E516,2))*1,IF(AM516=2,((LEFT($E516,2))+(MID($E516,FIND("/",$E516)+2,2))),IF(AM516=3,((LEFT($E516,2))+(MID($E516,FIND("/",$E516)+2,2))+(RIGHT($E516,2))),0)))</f>
        <v>0</v>
      </c>
      <c r="CN516" s="4">
        <f t="shared" ref="CN516:CN579" si="501">IF(AN516=1,(LEFT($E516,2))*1,IF(AN516=2,((LEFT($E516,2))+(MID($E516,FIND("/",$E516)+2,2))),IF(AN516=3,((LEFT($E516,2))+(MID($E516,FIND("/",$E516)+2,2))+(RIGHT($E516,2))),0)))</f>
        <v>0</v>
      </c>
      <c r="CO516" s="4">
        <f t="shared" ref="CO516:CO579" si="502">IF(AO516=1,(LEFT($E516,2))*1,IF(AO516=2,((LEFT($E516,2))+(MID($E516,FIND("/",$E516)+2,2))),IF(AO516=3,((LEFT($E516,2))+(MID($E516,FIND("/",$E516)+2,2))+(RIGHT($E516,2))),0)))</f>
        <v>0</v>
      </c>
      <c r="CP516" s="4">
        <f t="shared" ref="CP516:CP579" si="503">IF(AP516=1,(LEFT($E516,2))*1,IF(AP516=2,((LEFT($E516,2))+(MID($E516,FIND("/",$E516)+2,2))),IF(AP516=3,((LEFT($E516,2))+(MID($E516,FIND("/",$E516)+2,2))+(RIGHT($E516,2))),0)))</f>
        <v>0</v>
      </c>
      <c r="CQ516" s="4">
        <f t="shared" ref="CQ516:CQ579" si="504">IF(AQ516=1,(LEFT($E516,2))*1,IF(AQ516=2,((LEFT($E516,2))+(MID($E516,FIND("/",$E516)+2,2))),IF(AQ516=3,((LEFT($E516,2))+(MID($E516,FIND("/",$E516)+2,2))+(RIGHT($E516,2))),0)))</f>
        <v>0</v>
      </c>
      <c r="CR516" s="4">
        <f t="shared" ref="CR516:CR579" si="505">IF(AR516=1,(LEFT($E516,2))*1,IF(AR516=2,((LEFT($E516,2))+(MID($E516,FIND("/",$E516)+2,2))),IF(AR516=3,((LEFT($E516,2))+(MID($E516,FIND("/",$E516)+2,2))+(RIGHT($E516,2))),0)))</f>
        <v>0</v>
      </c>
      <c r="CS516" s="4">
        <f t="shared" ref="CS516:CS579" si="506">IF(AS516=1,(LEFT($E516,2))*1,IF(AS516=2,((LEFT($E516,2))+(MID($E516,FIND("/",$E516)+2,2))),IF(AS516=3,((LEFT($E516,2))+(MID($E516,FIND("/",$E516)+2,2))+(RIGHT($E516,2))),0)))</f>
        <v>0</v>
      </c>
      <c r="CT516" s="4">
        <f t="shared" ref="CT516:CT579" si="507">IF(AT516=1,(LEFT($E516,2))*1,IF(AT516=2,((LEFT($E516,2))+(MID($E516,FIND("/",$E516)+2,2))),IF(AT516=3,((LEFT($E516,2))+(MID($E516,FIND("/",$E516)+2,2))+(RIGHT($E516,2))),0)))</f>
        <v>0</v>
      </c>
      <c r="CU516" s="4">
        <f t="shared" ref="CU516:CU579" si="508">IF(AU516=1,(LEFT($E516,2))*1,IF(AU516=2,((LEFT($E516,2))+(MID($E516,FIND("/",$E516)+2,2))),IF(AU516=3,((LEFT($E516,2))+(MID($E516,FIND("/",$E516)+2,2))+(RIGHT($E516,2))),0)))</f>
        <v>0</v>
      </c>
      <c r="CV516" s="4">
        <f t="shared" ref="CV516:CV579" si="509">IF(AV516=1,(LEFT($E516,2))*1,IF(AV516=2,((LEFT($E516,2))+(MID($E516,FIND("/",$E516)+2,2))),IF(AV516=3,((LEFT($E516,2))+(MID($E516,FIND("/",$E516)+2,2))+(RIGHT($E516,2))),0)))</f>
        <v>0</v>
      </c>
      <c r="CW516" s="4">
        <f t="shared" ref="CW516:CW579" si="510">IF(AW516=1,(LEFT($E516,2))*1,IF(AW516=2,((LEFT($E516,2))+(MID($E516,FIND("/",$E516)+2,2))),IF(AW516=3,((LEFT($E516,2))+(MID($E516,FIND("/",$E516)+2,2))+(RIGHT($E516,2))),0)))</f>
        <v>0</v>
      </c>
      <c r="CX516" s="4">
        <f t="shared" ref="CX516:CX579" si="511">IF(AX516=1,(LEFT($E516,2))*1,IF(AX516=2,((LEFT($E516,2))+(MID($E516,FIND("/",$E516)+2,2))),IF(AX516=3,((LEFT($E516,2))+(MID($E516,FIND("/",$E516)+2,2))+(RIGHT($E516,2))),0)))</f>
        <v>0</v>
      </c>
      <c r="CY516" s="4">
        <f t="shared" ref="CY516:CY579" si="512">IF(AY516=1,(LEFT($E516,2))*1,IF(AY516=2,((LEFT($E516,2))+(MID($E516,FIND("/",$E516)+2,2))),IF(AY516=3,((LEFT($E516,2))+(MID($E516,FIND("/",$E516)+2,2))+(RIGHT($E516,2))),0)))</f>
        <v>0</v>
      </c>
      <c r="CZ516" s="4">
        <f t="shared" ref="CZ516:CZ579" si="513">IF(AZ516=1,(LEFT($E516,2))*1,IF(AZ516=2,((LEFT($E516,2))+(MID($E516,FIND("/",$E516)+2,2))),IF(AZ516=3,((LEFT($E516,2))+(MID($E516,FIND("/",$E516)+2,2))+(RIGHT($E516,2))),0)))</f>
        <v>0</v>
      </c>
      <c r="DA516" s="4">
        <f t="shared" ref="DA516:DA579" si="514">IF(BA516=1,(LEFT($E516,2))*1,IF(BA516=2,((LEFT($E516,2))+(MID($E516,FIND("/",$E516)+2,2))),IF(BA516=3,((LEFT($E516,2))+(MID($E516,FIND("/",$E516)+2,2))+(RIGHT($E516,2))),0)))</f>
        <v>0</v>
      </c>
      <c r="DB516" s="4">
        <f t="shared" ref="DB516:DB579" si="515">IF(BB516=1,(LEFT($E516,2))*1,IF(BB516=2,((LEFT($E516,2))+(MID($E516,FIND("/",$E516)+2,2))),IF(BB516=3,((LEFT($E516,2))+(MID($E516,FIND("/",$E516)+2,2))+(RIGHT($E516,2))),0)))</f>
        <v>0</v>
      </c>
      <c r="DC516" s="4">
        <f t="shared" ref="DC516:DC579" si="516">IF(BC516=1,(LEFT($E516,2))*1,IF(BC516=2,((LEFT($E516,2))+(MID($E516,FIND("/",$E516)+2,2))),IF(BC516=3,((LEFT($E516,2))+(MID($E516,FIND("/",$E516)+2,2))+(RIGHT($E516,2))),0)))</f>
        <v>0</v>
      </c>
      <c r="DD516" s="4">
        <f t="shared" ref="DD516:DD579" si="517">IF(BD516=1,(LEFT($E516,2))*1,IF(BD516=2,((LEFT($E516,2))+(MID($E516,FIND("/",$E516)+2,2))),IF(BD516=3,((LEFT($E516,2))+(MID($E516,FIND("/",$E516)+2,2))+(RIGHT($E516,2))),0)))</f>
        <v>0</v>
      </c>
    </row>
    <row r="517" spans="1:108" x14ac:dyDescent="0.25">
      <c r="A517" s="41" t="str">
        <f>Skills!M499</f>
        <v>Weather Watching</v>
      </c>
      <c r="B517" s="57" t="str">
        <f>Skills!N499</f>
        <v>Weather Watching</v>
      </c>
      <c r="C517" s="24">
        <f t="shared" si="467"/>
        <v>0</v>
      </c>
      <c r="D517" s="110">
        <f>Skills!S499</f>
        <v>0</v>
      </c>
      <c r="E517" s="111" t="e">
        <f>Profession!B237</f>
        <v>#REF!</v>
      </c>
      <c r="F517" s="18"/>
      <c r="G517" s="18"/>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49"/>
      <c r="BF517" s="4">
        <f t="shared" si="468"/>
        <v>0</v>
      </c>
      <c r="BG517" s="4">
        <f t="shared" si="468"/>
        <v>0</v>
      </c>
      <c r="BH517" s="4">
        <f t="shared" si="469"/>
        <v>0</v>
      </c>
      <c r="BI517" s="4">
        <f t="shared" si="470"/>
        <v>0</v>
      </c>
      <c r="BJ517" s="4">
        <f t="shared" si="471"/>
        <v>0</v>
      </c>
      <c r="BK517" s="4">
        <f t="shared" si="472"/>
        <v>0</v>
      </c>
      <c r="BL517" s="4">
        <f t="shared" si="473"/>
        <v>0</v>
      </c>
      <c r="BM517" s="4">
        <f t="shared" si="474"/>
        <v>0</v>
      </c>
      <c r="BN517" s="4">
        <f t="shared" si="475"/>
        <v>0</v>
      </c>
      <c r="BO517" s="4">
        <f t="shared" si="476"/>
        <v>0</v>
      </c>
      <c r="BP517" s="4">
        <f t="shared" si="477"/>
        <v>0</v>
      </c>
      <c r="BQ517" s="4">
        <f t="shared" si="478"/>
        <v>0</v>
      </c>
      <c r="BR517" s="4">
        <f t="shared" si="479"/>
        <v>0</v>
      </c>
      <c r="BS517" s="4">
        <f t="shared" si="480"/>
        <v>0</v>
      </c>
      <c r="BT517" s="4">
        <f t="shared" si="481"/>
        <v>0</v>
      </c>
      <c r="BU517" s="4">
        <f t="shared" si="482"/>
        <v>0</v>
      </c>
      <c r="BV517" s="4">
        <f t="shared" si="483"/>
        <v>0</v>
      </c>
      <c r="BW517" s="4">
        <f t="shared" si="484"/>
        <v>0</v>
      </c>
      <c r="BX517" s="4">
        <f t="shared" si="485"/>
        <v>0</v>
      </c>
      <c r="BY517" s="4">
        <f t="shared" si="486"/>
        <v>0</v>
      </c>
      <c r="BZ517" s="4">
        <f t="shared" si="487"/>
        <v>0</v>
      </c>
      <c r="CA517" s="4">
        <f t="shared" si="488"/>
        <v>0</v>
      </c>
      <c r="CB517" s="4">
        <f t="shared" si="489"/>
        <v>0</v>
      </c>
      <c r="CC517" s="4">
        <f t="shared" si="490"/>
        <v>0</v>
      </c>
      <c r="CD517" s="4">
        <f t="shared" si="491"/>
        <v>0</v>
      </c>
      <c r="CE517" s="4">
        <f t="shared" si="492"/>
        <v>0</v>
      </c>
      <c r="CF517" s="4">
        <f t="shared" si="493"/>
        <v>0</v>
      </c>
      <c r="CG517" s="4">
        <f t="shared" si="494"/>
        <v>0</v>
      </c>
      <c r="CH517" s="4">
        <f t="shared" si="495"/>
        <v>0</v>
      </c>
      <c r="CI517" s="4">
        <f t="shared" si="496"/>
        <v>0</v>
      </c>
      <c r="CJ517" s="4">
        <f t="shared" si="497"/>
        <v>0</v>
      </c>
      <c r="CK517" s="4">
        <f t="shared" si="498"/>
        <v>0</v>
      </c>
      <c r="CL517" s="4">
        <f t="shared" si="499"/>
        <v>0</v>
      </c>
      <c r="CM517" s="4">
        <f t="shared" si="500"/>
        <v>0</v>
      </c>
      <c r="CN517" s="4">
        <f t="shared" si="501"/>
        <v>0</v>
      </c>
      <c r="CO517" s="4">
        <f t="shared" si="502"/>
        <v>0</v>
      </c>
      <c r="CP517" s="4">
        <f t="shared" si="503"/>
        <v>0</v>
      </c>
      <c r="CQ517" s="4">
        <f t="shared" si="504"/>
        <v>0</v>
      </c>
      <c r="CR517" s="4">
        <f t="shared" si="505"/>
        <v>0</v>
      </c>
      <c r="CS517" s="4">
        <f t="shared" si="506"/>
        <v>0</v>
      </c>
      <c r="CT517" s="4">
        <f t="shared" si="507"/>
        <v>0</v>
      </c>
      <c r="CU517" s="4">
        <f t="shared" si="508"/>
        <v>0</v>
      </c>
      <c r="CV517" s="4">
        <f t="shared" si="509"/>
        <v>0</v>
      </c>
      <c r="CW517" s="4">
        <f t="shared" si="510"/>
        <v>0</v>
      </c>
      <c r="CX517" s="4">
        <f t="shared" si="511"/>
        <v>0</v>
      </c>
      <c r="CY517" s="4">
        <f t="shared" si="512"/>
        <v>0</v>
      </c>
      <c r="CZ517" s="4">
        <f t="shared" si="513"/>
        <v>0</v>
      </c>
      <c r="DA517" s="4">
        <f t="shared" si="514"/>
        <v>0</v>
      </c>
      <c r="DB517" s="4">
        <f t="shared" si="515"/>
        <v>0</v>
      </c>
      <c r="DC517" s="4">
        <f t="shared" si="516"/>
        <v>0</v>
      </c>
      <c r="DD517" s="4">
        <f t="shared" si="517"/>
        <v>0</v>
      </c>
    </row>
    <row r="518" spans="1:108" x14ac:dyDescent="0.25">
      <c r="A518" s="41" t="str">
        <f>Skills!M500</f>
        <v>Zoology</v>
      </c>
      <c r="B518" s="55" t="str">
        <f>Skills!N500</f>
        <v>Zoology</v>
      </c>
      <c r="C518" s="22">
        <f t="shared" si="467"/>
        <v>0</v>
      </c>
      <c r="D518" s="112">
        <f>Skills!S500</f>
        <v>0</v>
      </c>
      <c r="E518" s="113" t="e">
        <f>Profession!B238</f>
        <v>#REF!</v>
      </c>
      <c r="F518" s="19"/>
      <c r="G518" s="19"/>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56"/>
      <c r="BF518" s="4">
        <f t="shared" si="468"/>
        <v>0</v>
      </c>
      <c r="BG518" s="4">
        <f t="shared" si="468"/>
        <v>0</v>
      </c>
      <c r="BH518" s="4">
        <f t="shared" si="469"/>
        <v>0</v>
      </c>
      <c r="BI518" s="4">
        <f t="shared" si="470"/>
        <v>0</v>
      </c>
      <c r="BJ518" s="4">
        <f t="shared" si="471"/>
        <v>0</v>
      </c>
      <c r="BK518" s="4">
        <f t="shared" si="472"/>
        <v>0</v>
      </c>
      <c r="BL518" s="4">
        <f t="shared" si="473"/>
        <v>0</v>
      </c>
      <c r="BM518" s="4">
        <f t="shared" si="474"/>
        <v>0</v>
      </c>
      <c r="BN518" s="4">
        <f t="shared" si="475"/>
        <v>0</v>
      </c>
      <c r="BO518" s="4">
        <f t="shared" si="476"/>
        <v>0</v>
      </c>
      <c r="BP518" s="4">
        <f t="shared" si="477"/>
        <v>0</v>
      </c>
      <c r="BQ518" s="4">
        <f t="shared" si="478"/>
        <v>0</v>
      </c>
      <c r="BR518" s="4">
        <f t="shared" si="479"/>
        <v>0</v>
      </c>
      <c r="BS518" s="4">
        <f t="shared" si="480"/>
        <v>0</v>
      </c>
      <c r="BT518" s="4">
        <f t="shared" si="481"/>
        <v>0</v>
      </c>
      <c r="BU518" s="4">
        <f t="shared" si="482"/>
        <v>0</v>
      </c>
      <c r="BV518" s="4">
        <f t="shared" si="483"/>
        <v>0</v>
      </c>
      <c r="BW518" s="4">
        <f t="shared" si="484"/>
        <v>0</v>
      </c>
      <c r="BX518" s="4">
        <f t="shared" si="485"/>
        <v>0</v>
      </c>
      <c r="BY518" s="4">
        <f t="shared" si="486"/>
        <v>0</v>
      </c>
      <c r="BZ518" s="4">
        <f t="shared" si="487"/>
        <v>0</v>
      </c>
      <c r="CA518" s="4">
        <f t="shared" si="488"/>
        <v>0</v>
      </c>
      <c r="CB518" s="4">
        <f t="shared" si="489"/>
        <v>0</v>
      </c>
      <c r="CC518" s="4">
        <f t="shared" si="490"/>
        <v>0</v>
      </c>
      <c r="CD518" s="4">
        <f t="shared" si="491"/>
        <v>0</v>
      </c>
      <c r="CE518" s="4">
        <f t="shared" si="492"/>
        <v>0</v>
      </c>
      <c r="CF518" s="4">
        <f t="shared" si="493"/>
        <v>0</v>
      </c>
      <c r="CG518" s="4">
        <f t="shared" si="494"/>
        <v>0</v>
      </c>
      <c r="CH518" s="4">
        <f t="shared" si="495"/>
        <v>0</v>
      </c>
      <c r="CI518" s="4">
        <f t="shared" si="496"/>
        <v>0</v>
      </c>
      <c r="CJ518" s="4">
        <f t="shared" si="497"/>
        <v>0</v>
      </c>
      <c r="CK518" s="4">
        <f t="shared" si="498"/>
        <v>0</v>
      </c>
      <c r="CL518" s="4">
        <f t="shared" si="499"/>
        <v>0</v>
      </c>
      <c r="CM518" s="4">
        <f t="shared" si="500"/>
        <v>0</v>
      </c>
      <c r="CN518" s="4">
        <f t="shared" si="501"/>
        <v>0</v>
      </c>
      <c r="CO518" s="4">
        <f t="shared" si="502"/>
        <v>0</v>
      </c>
      <c r="CP518" s="4">
        <f t="shared" si="503"/>
        <v>0</v>
      </c>
      <c r="CQ518" s="4">
        <f t="shared" si="504"/>
        <v>0</v>
      </c>
      <c r="CR518" s="4">
        <f t="shared" si="505"/>
        <v>0</v>
      </c>
      <c r="CS518" s="4">
        <f t="shared" si="506"/>
        <v>0</v>
      </c>
      <c r="CT518" s="4">
        <f t="shared" si="507"/>
        <v>0</v>
      </c>
      <c r="CU518" s="4">
        <f t="shared" si="508"/>
        <v>0</v>
      </c>
      <c r="CV518" s="4">
        <f t="shared" si="509"/>
        <v>0</v>
      </c>
      <c r="CW518" s="4">
        <f t="shared" si="510"/>
        <v>0</v>
      </c>
      <c r="CX518" s="4">
        <f t="shared" si="511"/>
        <v>0</v>
      </c>
      <c r="CY518" s="4">
        <f t="shared" si="512"/>
        <v>0</v>
      </c>
      <c r="CZ518" s="4">
        <f t="shared" si="513"/>
        <v>0</v>
      </c>
      <c r="DA518" s="4">
        <f t="shared" si="514"/>
        <v>0</v>
      </c>
      <c r="DB518" s="4">
        <f t="shared" si="515"/>
        <v>0</v>
      </c>
      <c r="DC518" s="4">
        <f t="shared" si="516"/>
        <v>0</v>
      </c>
      <c r="DD518" s="4">
        <f t="shared" si="517"/>
        <v>0</v>
      </c>
    </row>
    <row r="519" spans="1:108" x14ac:dyDescent="0.25">
      <c r="A519" s="41">
        <f>Skills!M501</f>
        <v>0</v>
      </c>
      <c r="B519" s="57" t="str">
        <f>Skills!N501</f>
        <v>Mathematics Sub-category</v>
      </c>
      <c r="C519" s="24">
        <f t="shared" ref="C519:C582" si="518">SUM(F519:BD519)</f>
        <v>0</v>
      </c>
      <c r="D519" s="110" t="str">
        <f>Skills!S501</f>
        <v>- -</v>
      </c>
      <c r="E519" s="111" t="s">
        <v>782</v>
      </c>
      <c r="F519" s="18"/>
      <c r="G519" s="18"/>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49"/>
      <c r="BF519" s="4">
        <f t="shared" si="468"/>
        <v>0</v>
      </c>
      <c r="BG519" s="4">
        <f t="shared" si="468"/>
        <v>0</v>
      </c>
      <c r="BH519" s="4">
        <f t="shared" si="469"/>
        <v>0</v>
      </c>
      <c r="BI519" s="4">
        <f t="shared" si="470"/>
        <v>0</v>
      </c>
      <c r="BJ519" s="4">
        <f t="shared" si="471"/>
        <v>0</v>
      </c>
      <c r="BK519" s="4">
        <f t="shared" si="472"/>
        <v>0</v>
      </c>
      <c r="BL519" s="4">
        <f t="shared" si="473"/>
        <v>0</v>
      </c>
      <c r="BM519" s="4">
        <f t="shared" si="474"/>
        <v>0</v>
      </c>
      <c r="BN519" s="4">
        <f t="shared" si="475"/>
        <v>0</v>
      </c>
      <c r="BO519" s="4">
        <f t="shared" si="476"/>
        <v>0</v>
      </c>
      <c r="BP519" s="4">
        <f t="shared" si="477"/>
        <v>0</v>
      </c>
      <c r="BQ519" s="4">
        <f t="shared" si="478"/>
        <v>0</v>
      </c>
      <c r="BR519" s="4">
        <f t="shared" si="479"/>
        <v>0</v>
      </c>
      <c r="BS519" s="4">
        <f t="shared" si="480"/>
        <v>0</v>
      </c>
      <c r="BT519" s="4">
        <f t="shared" si="481"/>
        <v>0</v>
      </c>
      <c r="BU519" s="4">
        <f t="shared" si="482"/>
        <v>0</v>
      </c>
      <c r="BV519" s="4">
        <f t="shared" si="483"/>
        <v>0</v>
      </c>
      <c r="BW519" s="4">
        <f t="shared" si="484"/>
        <v>0</v>
      </c>
      <c r="BX519" s="4">
        <f t="shared" si="485"/>
        <v>0</v>
      </c>
      <c r="BY519" s="4">
        <f t="shared" si="486"/>
        <v>0</v>
      </c>
      <c r="BZ519" s="4">
        <f t="shared" si="487"/>
        <v>0</v>
      </c>
      <c r="CA519" s="4">
        <f t="shared" si="488"/>
        <v>0</v>
      </c>
      <c r="CB519" s="4">
        <f t="shared" si="489"/>
        <v>0</v>
      </c>
      <c r="CC519" s="4">
        <f t="shared" si="490"/>
        <v>0</v>
      </c>
      <c r="CD519" s="4">
        <f t="shared" si="491"/>
        <v>0</v>
      </c>
      <c r="CE519" s="4">
        <f t="shared" si="492"/>
        <v>0</v>
      </c>
      <c r="CF519" s="4">
        <f t="shared" si="493"/>
        <v>0</v>
      </c>
      <c r="CG519" s="4">
        <f t="shared" si="494"/>
        <v>0</v>
      </c>
      <c r="CH519" s="4">
        <f t="shared" si="495"/>
        <v>0</v>
      </c>
      <c r="CI519" s="4">
        <f t="shared" si="496"/>
        <v>0</v>
      </c>
      <c r="CJ519" s="4">
        <f t="shared" si="497"/>
        <v>0</v>
      </c>
      <c r="CK519" s="4">
        <f t="shared" si="498"/>
        <v>0</v>
      </c>
      <c r="CL519" s="4">
        <f t="shared" si="499"/>
        <v>0</v>
      </c>
      <c r="CM519" s="4">
        <f t="shared" si="500"/>
        <v>0</v>
      </c>
      <c r="CN519" s="4">
        <f t="shared" si="501"/>
        <v>0</v>
      </c>
      <c r="CO519" s="4">
        <f t="shared" si="502"/>
        <v>0</v>
      </c>
      <c r="CP519" s="4">
        <f t="shared" si="503"/>
        <v>0</v>
      </c>
      <c r="CQ519" s="4">
        <f t="shared" si="504"/>
        <v>0</v>
      </c>
      <c r="CR519" s="4">
        <f t="shared" si="505"/>
        <v>0</v>
      </c>
      <c r="CS519" s="4">
        <f t="shared" si="506"/>
        <v>0</v>
      </c>
      <c r="CT519" s="4">
        <f t="shared" si="507"/>
        <v>0</v>
      </c>
      <c r="CU519" s="4">
        <f t="shared" si="508"/>
        <v>0</v>
      </c>
      <c r="CV519" s="4">
        <f t="shared" si="509"/>
        <v>0</v>
      </c>
      <c r="CW519" s="4">
        <f t="shared" si="510"/>
        <v>0</v>
      </c>
      <c r="CX519" s="4">
        <f t="shared" si="511"/>
        <v>0</v>
      </c>
      <c r="CY519" s="4">
        <f t="shared" si="512"/>
        <v>0</v>
      </c>
      <c r="CZ519" s="4">
        <f t="shared" si="513"/>
        <v>0</v>
      </c>
      <c r="DA519" s="4">
        <f t="shared" si="514"/>
        <v>0</v>
      </c>
      <c r="DB519" s="4">
        <f t="shared" si="515"/>
        <v>0</v>
      </c>
      <c r="DC519" s="4">
        <f t="shared" si="516"/>
        <v>0</v>
      </c>
      <c r="DD519" s="4">
        <f t="shared" si="517"/>
        <v>0</v>
      </c>
    </row>
    <row r="520" spans="1:108" x14ac:dyDescent="0.25">
      <c r="A520" s="41">
        <f>Skills!M502</f>
        <v>0</v>
      </c>
      <c r="B520" s="55" t="str">
        <f>Skills!N502</f>
        <v>Mathematics Skills</v>
      </c>
      <c r="C520" s="22">
        <f t="shared" si="518"/>
        <v>0</v>
      </c>
      <c r="D520" s="112" t="str">
        <f>Skills!S502</f>
        <v>- -</v>
      </c>
      <c r="E520" s="113" t="s">
        <v>782</v>
      </c>
      <c r="F520" s="19"/>
      <c r="G520" s="19"/>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56"/>
      <c r="BF520" s="4">
        <f t="shared" si="468"/>
        <v>0</v>
      </c>
      <c r="BG520" s="4">
        <f t="shared" si="468"/>
        <v>0</v>
      </c>
      <c r="BH520" s="4">
        <f t="shared" si="469"/>
        <v>0</v>
      </c>
      <c r="BI520" s="4">
        <f t="shared" si="470"/>
        <v>0</v>
      </c>
      <c r="BJ520" s="4">
        <f t="shared" si="471"/>
        <v>0</v>
      </c>
      <c r="BK520" s="4">
        <f t="shared" si="472"/>
        <v>0</v>
      </c>
      <c r="BL520" s="4">
        <f t="shared" si="473"/>
        <v>0</v>
      </c>
      <c r="BM520" s="4">
        <f t="shared" si="474"/>
        <v>0</v>
      </c>
      <c r="BN520" s="4">
        <f t="shared" si="475"/>
        <v>0</v>
      </c>
      <c r="BO520" s="4">
        <f t="shared" si="476"/>
        <v>0</v>
      </c>
      <c r="BP520" s="4">
        <f t="shared" si="477"/>
        <v>0</v>
      </c>
      <c r="BQ520" s="4">
        <f t="shared" si="478"/>
        <v>0</v>
      </c>
      <c r="BR520" s="4">
        <f t="shared" si="479"/>
        <v>0</v>
      </c>
      <c r="BS520" s="4">
        <f t="shared" si="480"/>
        <v>0</v>
      </c>
      <c r="BT520" s="4">
        <f t="shared" si="481"/>
        <v>0</v>
      </c>
      <c r="BU520" s="4">
        <f t="shared" si="482"/>
        <v>0</v>
      </c>
      <c r="BV520" s="4">
        <f t="shared" si="483"/>
        <v>0</v>
      </c>
      <c r="BW520" s="4">
        <f t="shared" si="484"/>
        <v>0</v>
      </c>
      <c r="BX520" s="4">
        <f t="shared" si="485"/>
        <v>0</v>
      </c>
      <c r="BY520" s="4">
        <f t="shared" si="486"/>
        <v>0</v>
      </c>
      <c r="BZ520" s="4">
        <f t="shared" si="487"/>
        <v>0</v>
      </c>
      <c r="CA520" s="4">
        <f t="shared" si="488"/>
        <v>0</v>
      </c>
      <c r="CB520" s="4">
        <f t="shared" si="489"/>
        <v>0</v>
      </c>
      <c r="CC520" s="4">
        <f t="shared" si="490"/>
        <v>0</v>
      </c>
      <c r="CD520" s="4">
        <f t="shared" si="491"/>
        <v>0</v>
      </c>
      <c r="CE520" s="4">
        <f t="shared" si="492"/>
        <v>0</v>
      </c>
      <c r="CF520" s="4">
        <f t="shared" si="493"/>
        <v>0</v>
      </c>
      <c r="CG520" s="4">
        <f t="shared" si="494"/>
        <v>0</v>
      </c>
      <c r="CH520" s="4">
        <f t="shared" si="495"/>
        <v>0</v>
      </c>
      <c r="CI520" s="4">
        <f t="shared" si="496"/>
        <v>0</v>
      </c>
      <c r="CJ520" s="4">
        <f t="shared" si="497"/>
        <v>0</v>
      </c>
      <c r="CK520" s="4">
        <f t="shared" si="498"/>
        <v>0</v>
      </c>
      <c r="CL520" s="4">
        <f t="shared" si="499"/>
        <v>0</v>
      </c>
      <c r="CM520" s="4">
        <f t="shared" si="500"/>
        <v>0</v>
      </c>
      <c r="CN520" s="4">
        <f t="shared" si="501"/>
        <v>0</v>
      </c>
      <c r="CO520" s="4">
        <f t="shared" si="502"/>
        <v>0</v>
      </c>
      <c r="CP520" s="4">
        <f t="shared" si="503"/>
        <v>0</v>
      </c>
      <c r="CQ520" s="4">
        <f t="shared" si="504"/>
        <v>0</v>
      </c>
      <c r="CR520" s="4">
        <f t="shared" si="505"/>
        <v>0</v>
      </c>
      <c r="CS520" s="4">
        <f t="shared" si="506"/>
        <v>0</v>
      </c>
      <c r="CT520" s="4">
        <f t="shared" si="507"/>
        <v>0</v>
      </c>
      <c r="CU520" s="4">
        <f t="shared" si="508"/>
        <v>0</v>
      </c>
      <c r="CV520" s="4">
        <f t="shared" si="509"/>
        <v>0</v>
      </c>
      <c r="CW520" s="4">
        <f t="shared" si="510"/>
        <v>0</v>
      </c>
      <c r="CX520" s="4">
        <f t="shared" si="511"/>
        <v>0</v>
      </c>
      <c r="CY520" s="4">
        <f t="shared" si="512"/>
        <v>0</v>
      </c>
      <c r="CZ520" s="4">
        <f t="shared" si="513"/>
        <v>0</v>
      </c>
      <c r="DA520" s="4">
        <f t="shared" si="514"/>
        <v>0</v>
      </c>
      <c r="DB520" s="4">
        <f t="shared" si="515"/>
        <v>0</v>
      </c>
      <c r="DC520" s="4">
        <f t="shared" si="516"/>
        <v>0</v>
      </c>
      <c r="DD520" s="4">
        <f t="shared" si="517"/>
        <v>0</v>
      </c>
    </row>
    <row r="521" spans="1:108" x14ac:dyDescent="0.25">
      <c r="A521" s="41" t="str">
        <f>Skills!M503</f>
        <v>Basic Mathematics</v>
      </c>
      <c r="B521" s="57" t="str">
        <f>Skills!N503</f>
        <v>Basic Mathematics</v>
      </c>
      <c r="C521" s="24">
        <f t="shared" si="518"/>
        <v>0</v>
      </c>
      <c r="D521" s="110" t="e">
        <f>Skills!S503</f>
        <v>#N/A</v>
      </c>
      <c r="E521" s="111" t="e">
        <f>Profession!$B$239</f>
        <v>#REF!</v>
      </c>
      <c r="F521" s="18"/>
      <c r="G521" s="18"/>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49"/>
      <c r="BF521" s="4">
        <f t="shared" si="468"/>
        <v>0</v>
      </c>
      <c r="BG521" s="4">
        <f t="shared" si="468"/>
        <v>0</v>
      </c>
      <c r="BH521" s="4">
        <f t="shared" si="469"/>
        <v>0</v>
      </c>
      <c r="BI521" s="4">
        <f t="shared" si="470"/>
        <v>0</v>
      </c>
      <c r="BJ521" s="4">
        <f t="shared" si="471"/>
        <v>0</v>
      </c>
      <c r="BK521" s="4">
        <f t="shared" si="472"/>
        <v>0</v>
      </c>
      <c r="BL521" s="4">
        <f t="shared" si="473"/>
        <v>0</v>
      </c>
      <c r="BM521" s="4">
        <f t="shared" si="474"/>
        <v>0</v>
      </c>
      <c r="BN521" s="4">
        <f t="shared" si="475"/>
        <v>0</v>
      </c>
      <c r="BO521" s="4">
        <f t="shared" si="476"/>
        <v>0</v>
      </c>
      <c r="BP521" s="4">
        <f t="shared" si="477"/>
        <v>0</v>
      </c>
      <c r="BQ521" s="4">
        <f t="shared" si="478"/>
        <v>0</v>
      </c>
      <c r="BR521" s="4">
        <f t="shared" si="479"/>
        <v>0</v>
      </c>
      <c r="BS521" s="4">
        <f t="shared" si="480"/>
        <v>0</v>
      </c>
      <c r="BT521" s="4">
        <f t="shared" si="481"/>
        <v>0</v>
      </c>
      <c r="BU521" s="4">
        <f t="shared" si="482"/>
        <v>0</v>
      </c>
      <c r="BV521" s="4">
        <f t="shared" si="483"/>
        <v>0</v>
      </c>
      <c r="BW521" s="4">
        <f t="shared" si="484"/>
        <v>0</v>
      </c>
      <c r="BX521" s="4">
        <f t="shared" si="485"/>
        <v>0</v>
      </c>
      <c r="BY521" s="4">
        <f t="shared" si="486"/>
        <v>0</v>
      </c>
      <c r="BZ521" s="4">
        <f t="shared" si="487"/>
        <v>0</v>
      </c>
      <c r="CA521" s="4">
        <f t="shared" si="488"/>
        <v>0</v>
      </c>
      <c r="CB521" s="4">
        <f t="shared" si="489"/>
        <v>0</v>
      </c>
      <c r="CC521" s="4">
        <f t="shared" si="490"/>
        <v>0</v>
      </c>
      <c r="CD521" s="4">
        <f t="shared" si="491"/>
        <v>0</v>
      </c>
      <c r="CE521" s="4">
        <f t="shared" si="492"/>
        <v>0</v>
      </c>
      <c r="CF521" s="4">
        <f t="shared" si="493"/>
        <v>0</v>
      </c>
      <c r="CG521" s="4">
        <f t="shared" si="494"/>
        <v>0</v>
      </c>
      <c r="CH521" s="4">
        <f t="shared" si="495"/>
        <v>0</v>
      </c>
      <c r="CI521" s="4">
        <f t="shared" si="496"/>
        <v>0</v>
      </c>
      <c r="CJ521" s="4">
        <f t="shared" si="497"/>
        <v>0</v>
      </c>
      <c r="CK521" s="4">
        <f t="shared" si="498"/>
        <v>0</v>
      </c>
      <c r="CL521" s="4">
        <f t="shared" si="499"/>
        <v>0</v>
      </c>
      <c r="CM521" s="4">
        <f t="shared" si="500"/>
        <v>0</v>
      </c>
      <c r="CN521" s="4">
        <f t="shared" si="501"/>
        <v>0</v>
      </c>
      <c r="CO521" s="4">
        <f t="shared" si="502"/>
        <v>0</v>
      </c>
      <c r="CP521" s="4">
        <f t="shared" si="503"/>
        <v>0</v>
      </c>
      <c r="CQ521" s="4">
        <f t="shared" si="504"/>
        <v>0</v>
      </c>
      <c r="CR521" s="4">
        <f t="shared" si="505"/>
        <v>0</v>
      </c>
      <c r="CS521" s="4">
        <f t="shared" si="506"/>
        <v>0</v>
      </c>
      <c r="CT521" s="4">
        <f t="shared" si="507"/>
        <v>0</v>
      </c>
      <c r="CU521" s="4">
        <f t="shared" si="508"/>
        <v>0</v>
      </c>
      <c r="CV521" s="4">
        <f t="shared" si="509"/>
        <v>0</v>
      </c>
      <c r="CW521" s="4">
        <f t="shared" si="510"/>
        <v>0</v>
      </c>
      <c r="CX521" s="4">
        <f t="shared" si="511"/>
        <v>0</v>
      </c>
      <c r="CY521" s="4">
        <f t="shared" si="512"/>
        <v>0</v>
      </c>
      <c r="CZ521" s="4">
        <f t="shared" si="513"/>
        <v>0</v>
      </c>
      <c r="DA521" s="4">
        <f t="shared" si="514"/>
        <v>0</v>
      </c>
      <c r="DB521" s="4">
        <f t="shared" si="515"/>
        <v>0</v>
      </c>
      <c r="DC521" s="4">
        <f t="shared" si="516"/>
        <v>0</v>
      </c>
      <c r="DD521" s="4">
        <f t="shared" si="517"/>
        <v>0</v>
      </c>
    </row>
    <row r="522" spans="1:108" x14ac:dyDescent="0.25">
      <c r="A522" s="41" t="str">
        <f>Skills!M504</f>
        <v>Advanced Mathematics</v>
      </c>
      <c r="B522" s="55" t="str">
        <f>Skills!N504</f>
        <v>Advanced Mathematics</v>
      </c>
      <c r="C522" s="22">
        <f t="shared" si="518"/>
        <v>0</v>
      </c>
      <c r="D522" s="112" t="e">
        <f>Skills!S504</f>
        <v>#N/A</v>
      </c>
      <c r="E522" s="113" t="e">
        <f>Profession!$B$239</f>
        <v>#REF!</v>
      </c>
      <c r="F522" s="19"/>
      <c r="G522" s="19"/>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56"/>
      <c r="BF522" s="4">
        <f t="shared" si="468"/>
        <v>0</v>
      </c>
      <c r="BG522" s="4">
        <f t="shared" si="468"/>
        <v>0</v>
      </c>
      <c r="BH522" s="4">
        <f t="shared" si="469"/>
        <v>0</v>
      </c>
      <c r="BI522" s="4">
        <f t="shared" si="470"/>
        <v>0</v>
      </c>
      <c r="BJ522" s="4">
        <f t="shared" si="471"/>
        <v>0</v>
      </c>
      <c r="BK522" s="4">
        <f t="shared" si="472"/>
        <v>0</v>
      </c>
      <c r="BL522" s="4">
        <f t="shared" si="473"/>
        <v>0</v>
      </c>
      <c r="BM522" s="4">
        <f t="shared" si="474"/>
        <v>0</v>
      </c>
      <c r="BN522" s="4">
        <f t="shared" si="475"/>
        <v>0</v>
      </c>
      <c r="BO522" s="4">
        <f t="shared" si="476"/>
        <v>0</v>
      </c>
      <c r="BP522" s="4">
        <f t="shared" si="477"/>
        <v>0</v>
      </c>
      <c r="BQ522" s="4">
        <f t="shared" si="478"/>
        <v>0</v>
      </c>
      <c r="BR522" s="4">
        <f t="shared" si="479"/>
        <v>0</v>
      </c>
      <c r="BS522" s="4">
        <f t="shared" si="480"/>
        <v>0</v>
      </c>
      <c r="BT522" s="4">
        <f t="shared" si="481"/>
        <v>0</v>
      </c>
      <c r="BU522" s="4">
        <f t="shared" si="482"/>
        <v>0</v>
      </c>
      <c r="BV522" s="4">
        <f t="shared" si="483"/>
        <v>0</v>
      </c>
      <c r="BW522" s="4">
        <f t="shared" si="484"/>
        <v>0</v>
      </c>
      <c r="BX522" s="4">
        <f t="shared" si="485"/>
        <v>0</v>
      </c>
      <c r="BY522" s="4">
        <f t="shared" si="486"/>
        <v>0</v>
      </c>
      <c r="BZ522" s="4">
        <f t="shared" si="487"/>
        <v>0</v>
      </c>
      <c r="CA522" s="4">
        <f t="shared" si="488"/>
        <v>0</v>
      </c>
      <c r="CB522" s="4">
        <f t="shared" si="489"/>
        <v>0</v>
      </c>
      <c r="CC522" s="4">
        <f t="shared" si="490"/>
        <v>0</v>
      </c>
      <c r="CD522" s="4">
        <f t="shared" si="491"/>
        <v>0</v>
      </c>
      <c r="CE522" s="4">
        <f t="shared" si="492"/>
        <v>0</v>
      </c>
      <c r="CF522" s="4">
        <f t="shared" si="493"/>
        <v>0</v>
      </c>
      <c r="CG522" s="4">
        <f t="shared" si="494"/>
        <v>0</v>
      </c>
      <c r="CH522" s="4">
        <f t="shared" si="495"/>
        <v>0</v>
      </c>
      <c r="CI522" s="4">
        <f t="shared" si="496"/>
        <v>0</v>
      </c>
      <c r="CJ522" s="4">
        <f t="shared" si="497"/>
        <v>0</v>
      </c>
      <c r="CK522" s="4">
        <f t="shared" si="498"/>
        <v>0</v>
      </c>
      <c r="CL522" s="4">
        <f t="shared" si="499"/>
        <v>0</v>
      </c>
      <c r="CM522" s="4">
        <f t="shared" si="500"/>
        <v>0</v>
      </c>
      <c r="CN522" s="4">
        <f t="shared" si="501"/>
        <v>0</v>
      </c>
      <c r="CO522" s="4">
        <f t="shared" si="502"/>
        <v>0</v>
      </c>
      <c r="CP522" s="4">
        <f t="shared" si="503"/>
        <v>0</v>
      </c>
      <c r="CQ522" s="4">
        <f t="shared" si="504"/>
        <v>0</v>
      </c>
      <c r="CR522" s="4">
        <f t="shared" si="505"/>
        <v>0</v>
      </c>
      <c r="CS522" s="4">
        <f t="shared" si="506"/>
        <v>0</v>
      </c>
      <c r="CT522" s="4">
        <f t="shared" si="507"/>
        <v>0</v>
      </c>
      <c r="CU522" s="4">
        <f t="shared" si="508"/>
        <v>0</v>
      </c>
      <c r="CV522" s="4">
        <f t="shared" si="509"/>
        <v>0</v>
      </c>
      <c r="CW522" s="4">
        <f t="shared" si="510"/>
        <v>0</v>
      </c>
      <c r="CX522" s="4">
        <f t="shared" si="511"/>
        <v>0</v>
      </c>
      <c r="CY522" s="4">
        <f t="shared" si="512"/>
        <v>0</v>
      </c>
      <c r="CZ522" s="4">
        <f t="shared" si="513"/>
        <v>0</v>
      </c>
      <c r="DA522" s="4">
        <f t="shared" si="514"/>
        <v>0</v>
      </c>
      <c r="DB522" s="4">
        <f t="shared" si="515"/>
        <v>0</v>
      </c>
      <c r="DC522" s="4">
        <f t="shared" si="516"/>
        <v>0</v>
      </c>
      <c r="DD522" s="4">
        <f t="shared" si="517"/>
        <v>0</v>
      </c>
    </row>
    <row r="523" spans="1:108" x14ac:dyDescent="0.25">
      <c r="A523" s="41">
        <f>Skills!M505</f>
        <v>0</v>
      </c>
      <c r="B523" s="57" t="str">
        <f>Skills!N505</f>
        <v>Military Organization Sub-category</v>
      </c>
      <c r="C523" s="24">
        <f t="shared" si="518"/>
        <v>0</v>
      </c>
      <c r="D523" s="110" t="str">
        <f>Skills!S505</f>
        <v>- -</v>
      </c>
      <c r="E523" s="111" t="s">
        <v>782</v>
      </c>
      <c r="F523" s="18"/>
      <c r="G523" s="18"/>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49"/>
      <c r="BF523" s="4">
        <f t="shared" si="468"/>
        <v>0</v>
      </c>
      <c r="BG523" s="4">
        <f t="shared" si="468"/>
        <v>0</v>
      </c>
      <c r="BH523" s="4">
        <f t="shared" si="469"/>
        <v>0</v>
      </c>
      <c r="BI523" s="4">
        <f t="shared" si="470"/>
        <v>0</v>
      </c>
      <c r="BJ523" s="4">
        <f t="shared" si="471"/>
        <v>0</v>
      </c>
      <c r="BK523" s="4">
        <f t="shared" si="472"/>
        <v>0</v>
      </c>
      <c r="BL523" s="4">
        <f t="shared" si="473"/>
        <v>0</v>
      </c>
      <c r="BM523" s="4">
        <f t="shared" si="474"/>
        <v>0</v>
      </c>
      <c r="BN523" s="4">
        <f t="shared" si="475"/>
        <v>0</v>
      </c>
      <c r="BO523" s="4">
        <f t="shared" si="476"/>
        <v>0</v>
      </c>
      <c r="BP523" s="4">
        <f t="shared" si="477"/>
        <v>0</v>
      </c>
      <c r="BQ523" s="4">
        <f t="shared" si="478"/>
        <v>0</v>
      </c>
      <c r="BR523" s="4">
        <f t="shared" si="479"/>
        <v>0</v>
      </c>
      <c r="BS523" s="4">
        <f t="shared" si="480"/>
        <v>0</v>
      </c>
      <c r="BT523" s="4">
        <f t="shared" si="481"/>
        <v>0</v>
      </c>
      <c r="BU523" s="4">
        <f t="shared" si="482"/>
        <v>0</v>
      </c>
      <c r="BV523" s="4">
        <f t="shared" si="483"/>
        <v>0</v>
      </c>
      <c r="BW523" s="4">
        <f t="shared" si="484"/>
        <v>0</v>
      </c>
      <c r="BX523" s="4">
        <f t="shared" si="485"/>
        <v>0</v>
      </c>
      <c r="BY523" s="4">
        <f t="shared" si="486"/>
        <v>0</v>
      </c>
      <c r="BZ523" s="4">
        <f t="shared" si="487"/>
        <v>0</v>
      </c>
      <c r="CA523" s="4">
        <f t="shared" si="488"/>
        <v>0</v>
      </c>
      <c r="CB523" s="4">
        <f t="shared" si="489"/>
        <v>0</v>
      </c>
      <c r="CC523" s="4">
        <f t="shared" si="490"/>
        <v>0</v>
      </c>
      <c r="CD523" s="4">
        <f t="shared" si="491"/>
        <v>0</v>
      </c>
      <c r="CE523" s="4">
        <f t="shared" si="492"/>
        <v>0</v>
      </c>
      <c r="CF523" s="4">
        <f t="shared" si="493"/>
        <v>0</v>
      </c>
      <c r="CG523" s="4">
        <f t="shared" si="494"/>
        <v>0</v>
      </c>
      <c r="CH523" s="4">
        <f t="shared" si="495"/>
        <v>0</v>
      </c>
      <c r="CI523" s="4">
        <f t="shared" si="496"/>
        <v>0</v>
      </c>
      <c r="CJ523" s="4">
        <f t="shared" si="497"/>
        <v>0</v>
      </c>
      <c r="CK523" s="4">
        <f t="shared" si="498"/>
        <v>0</v>
      </c>
      <c r="CL523" s="4">
        <f t="shared" si="499"/>
        <v>0</v>
      </c>
      <c r="CM523" s="4">
        <f t="shared" si="500"/>
        <v>0</v>
      </c>
      <c r="CN523" s="4">
        <f t="shared" si="501"/>
        <v>0</v>
      </c>
      <c r="CO523" s="4">
        <f t="shared" si="502"/>
        <v>0</v>
      </c>
      <c r="CP523" s="4">
        <f t="shared" si="503"/>
        <v>0</v>
      </c>
      <c r="CQ523" s="4">
        <f t="shared" si="504"/>
        <v>0</v>
      </c>
      <c r="CR523" s="4">
        <f t="shared" si="505"/>
        <v>0</v>
      </c>
      <c r="CS523" s="4">
        <f t="shared" si="506"/>
        <v>0</v>
      </c>
      <c r="CT523" s="4">
        <f t="shared" si="507"/>
        <v>0</v>
      </c>
      <c r="CU523" s="4">
        <f t="shared" si="508"/>
        <v>0</v>
      </c>
      <c r="CV523" s="4">
        <f t="shared" si="509"/>
        <v>0</v>
      </c>
      <c r="CW523" s="4">
        <f t="shared" si="510"/>
        <v>0</v>
      </c>
      <c r="CX523" s="4">
        <f t="shared" si="511"/>
        <v>0</v>
      </c>
      <c r="CY523" s="4">
        <f t="shared" si="512"/>
        <v>0</v>
      </c>
      <c r="CZ523" s="4">
        <f t="shared" si="513"/>
        <v>0</v>
      </c>
      <c r="DA523" s="4">
        <f t="shared" si="514"/>
        <v>0</v>
      </c>
      <c r="DB523" s="4">
        <f t="shared" si="515"/>
        <v>0</v>
      </c>
      <c r="DC523" s="4">
        <f t="shared" si="516"/>
        <v>0</v>
      </c>
      <c r="DD523" s="4">
        <f t="shared" si="517"/>
        <v>0</v>
      </c>
    </row>
    <row r="524" spans="1:108" x14ac:dyDescent="0.25">
      <c r="A524" s="41">
        <f>Skills!M506</f>
        <v>0</v>
      </c>
      <c r="B524" s="55" t="str">
        <f>Skills!N506</f>
        <v>Military Organization Skills</v>
      </c>
      <c r="C524" s="22">
        <f t="shared" si="518"/>
        <v>0</v>
      </c>
      <c r="D524" s="112" t="str">
        <f>Skills!S506</f>
        <v>- -</v>
      </c>
      <c r="E524" s="113" t="s">
        <v>782</v>
      </c>
      <c r="F524" s="19"/>
      <c r="G524" s="19"/>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56"/>
      <c r="BF524" s="4">
        <f t="shared" si="468"/>
        <v>0</v>
      </c>
      <c r="BG524" s="4">
        <f t="shared" si="468"/>
        <v>0</v>
      </c>
      <c r="BH524" s="4">
        <f t="shared" si="469"/>
        <v>0</v>
      </c>
      <c r="BI524" s="4">
        <f t="shared" si="470"/>
        <v>0</v>
      </c>
      <c r="BJ524" s="4">
        <f t="shared" si="471"/>
        <v>0</v>
      </c>
      <c r="BK524" s="4">
        <f t="shared" si="472"/>
        <v>0</v>
      </c>
      <c r="BL524" s="4">
        <f t="shared" si="473"/>
        <v>0</v>
      </c>
      <c r="BM524" s="4">
        <f t="shared" si="474"/>
        <v>0</v>
      </c>
      <c r="BN524" s="4">
        <f t="shared" si="475"/>
        <v>0</v>
      </c>
      <c r="BO524" s="4">
        <f t="shared" si="476"/>
        <v>0</v>
      </c>
      <c r="BP524" s="4">
        <f t="shared" si="477"/>
        <v>0</v>
      </c>
      <c r="BQ524" s="4">
        <f t="shared" si="478"/>
        <v>0</v>
      </c>
      <c r="BR524" s="4">
        <f t="shared" si="479"/>
        <v>0</v>
      </c>
      <c r="BS524" s="4">
        <f t="shared" si="480"/>
        <v>0</v>
      </c>
      <c r="BT524" s="4">
        <f t="shared" si="481"/>
        <v>0</v>
      </c>
      <c r="BU524" s="4">
        <f t="shared" si="482"/>
        <v>0</v>
      </c>
      <c r="BV524" s="4">
        <f t="shared" si="483"/>
        <v>0</v>
      </c>
      <c r="BW524" s="4">
        <f t="shared" si="484"/>
        <v>0</v>
      </c>
      <c r="BX524" s="4">
        <f t="shared" si="485"/>
        <v>0</v>
      </c>
      <c r="BY524" s="4">
        <f t="shared" si="486"/>
        <v>0</v>
      </c>
      <c r="BZ524" s="4">
        <f t="shared" si="487"/>
        <v>0</v>
      </c>
      <c r="CA524" s="4">
        <f t="shared" si="488"/>
        <v>0</v>
      </c>
      <c r="CB524" s="4">
        <f t="shared" si="489"/>
        <v>0</v>
      </c>
      <c r="CC524" s="4">
        <f t="shared" si="490"/>
        <v>0</v>
      </c>
      <c r="CD524" s="4">
        <f t="shared" si="491"/>
        <v>0</v>
      </c>
      <c r="CE524" s="4">
        <f t="shared" si="492"/>
        <v>0</v>
      </c>
      <c r="CF524" s="4">
        <f t="shared" si="493"/>
        <v>0</v>
      </c>
      <c r="CG524" s="4">
        <f t="shared" si="494"/>
        <v>0</v>
      </c>
      <c r="CH524" s="4">
        <f t="shared" si="495"/>
        <v>0</v>
      </c>
      <c r="CI524" s="4">
        <f t="shared" si="496"/>
        <v>0</v>
      </c>
      <c r="CJ524" s="4">
        <f t="shared" si="497"/>
        <v>0</v>
      </c>
      <c r="CK524" s="4">
        <f t="shared" si="498"/>
        <v>0</v>
      </c>
      <c r="CL524" s="4">
        <f t="shared" si="499"/>
        <v>0</v>
      </c>
      <c r="CM524" s="4">
        <f t="shared" si="500"/>
        <v>0</v>
      </c>
      <c r="CN524" s="4">
        <f t="shared" si="501"/>
        <v>0</v>
      </c>
      <c r="CO524" s="4">
        <f t="shared" si="502"/>
        <v>0</v>
      </c>
      <c r="CP524" s="4">
        <f t="shared" si="503"/>
        <v>0</v>
      </c>
      <c r="CQ524" s="4">
        <f t="shared" si="504"/>
        <v>0</v>
      </c>
      <c r="CR524" s="4">
        <f t="shared" si="505"/>
        <v>0</v>
      </c>
      <c r="CS524" s="4">
        <f t="shared" si="506"/>
        <v>0</v>
      </c>
      <c r="CT524" s="4">
        <f t="shared" si="507"/>
        <v>0</v>
      </c>
      <c r="CU524" s="4">
        <f t="shared" si="508"/>
        <v>0</v>
      </c>
      <c r="CV524" s="4">
        <f t="shared" si="509"/>
        <v>0</v>
      </c>
      <c r="CW524" s="4">
        <f t="shared" si="510"/>
        <v>0</v>
      </c>
      <c r="CX524" s="4">
        <f t="shared" si="511"/>
        <v>0</v>
      </c>
      <c r="CY524" s="4">
        <f t="shared" si="512"/>
        <v>0</v>
      </c>
      <c r="CZ524" s="4">
        <f t="shared" si="513"/>
        <v>0</v>
      </c>
      <c r="DA524" s="4">
        <f t="shared" si="514"/>
        <v>0</v>
      </c>
      <c r="DB524" s="4">
        <f t="shared" si="515"/>
        <v>0</v>
      </c>
      <c r="DC524" s="4">
        <f t="shared" si="516"/>
        <v>0</v>
      </c>
      <c r="DD524" s="4">
        <f t="shared" si="517"/>
        <v>0</v>
      </c>
    </row>
    <row r="525" spans="1:108" x14ac:dyDescent="0.25">
      <c r="A525" s="41" t="str">
        <f>Skills!M507</f>
        <v>Military Organization, Aerial Forces</v>
      </c>
      <c r="B525" s="57" t="str">
        <f>Skills!N507</f>
        <v>Aerial Forces</v>
      </c>
      <c r="C525" s="24">
        <f t="shared" si="518"/>
        <v>0</v>
      </c>
      <c r="D525" s="110" t="e">
        <f>Skills!S507</f>
        <v>#N/A</v>
      </c>
      <c r="E525" s="111" t="e">
        <f>Profession!$B$240</f>
        <v>#REF!</v>
      </c>
      <c r="F525" s="18"/>
      <c r="G525" s="18"/>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49"/>
      <c r="BF525" s="4">
        <f t="shared" si="468"/>
        <v>0</v>
      </c>
      <c r="BG525" s="4">
        <f t="shared" si="468"/>
        <v>0</v>
      </c>
      <c r="BH525" s="4">
        <f t="shared" si="469"/>
        <v>0</v>
      </c>
      <c r="BI525" s="4">
        <f t="shared" si="470"/>
        <v>0</v>
      </c>
      <c r="BJ525" s="4">
        <f t="shared" si="471"/>
        <v>0</v>
      </c>
      <c r="BK525" s="4">
        <f t="shared" si="472"/>
        <v>0</v>
      </c>
      <c r="BL525" s="4">
        <f t="shared" si="473"/>
        <v>0</v>
      </c>
      <c r="BM525" s="4">
        <f t="shared" si="474"/>
        <v>0</v>
      </c>
      <c r="BN525" s="4">
        <f t="shared" si="475"/>
        <v>0</v>
      </c>
      <c r="BO525" s="4">
        <f t="shared" si="476"/>
        <v>0</v>
      </c>
      <c r="BP525" s="4">
        <f t="shared" si="477"/>
        <v>0</v>
      </c>
      <c r="BQ525" s="4">
        <f t="shared" si="478"/>
        <v>0</v>
      </c>
      <c r="BR525" s="4">
        <f t="shared" si="479"/>
        <v>0</v>
      </c>
      <c r="BS525" s="4">
        <f t="shared" si="480"/>
        <v>0</v>
      </c>
      <c r="BT525" s="4">
        <f t="shared" si="481"/>
        <v>0</v>
      </c>
      <c r="BU525" s="4">
        <f t="shared" si="482"/>
        <v>0</v>
      </c>
      <c r="BV525" s="4">
        <f t="shared" si="483"/>
        <v>0</v>
      </c>
      <c r="BW525" s="4">
        <f t="shared" si="484"/>
        <v>0</v>
      </c>
      <c r="BX525" s="4">
        <f t="shared" si="485"/>
        <v>0</v>
      </c>
      <c r="BY525" s="4">
        <f t="shared" si="486"/>
        <v>0</v>
      </c>
      <c r="BZ525" s="4">
        <f t="shared" si="487"/>
        <v>0</v>
      </c>
      <c r="CA525" s="4">
        <f t="shared" si="488"/>
        <v>0</v>
      </c>
      <c r="CB525" s="4">
        <f t="shared" si="489"/>
        <v>0</v>
      </c>
      <c r="CC525" s="4">
        <f t="shared" si="490"/>
        <v>0</v>
      </c>
      <c r="CD525" s="4">
        <f t="shared" si="491"/>
        <v>0</v>
      </c>
      <c r="CE525" s="4">
        <f t="shared" si="492"/>
        <v>0</v>
      </c>
      <c r="CF525" s="4">
        <f t="shared" si="493"/>
        <v>0</v>
      </c>
      <c r="CG525" s="4">
        <f t="shared" si="494"/>
        <v>0</v>
      </c>
      <c r="CH525" s="4">
        <f t="shared" si="495"/>
        <v>0</v>
      </c>
      <c r="CI525" s="4">
        <f t="shared" si="496"/>
        <v>0</v>
      </c>
      <c r="CJ525" s="4">
        <f t="shared" si="497"/>
        <v>0</v>
      </c>
      <c r="CK525" s="4">
        <f t="shared" si="498"/>
        <v>0</v>
      </c>
      <c r="CL525" s="4">
        <f t="shared" si="499"/>
        <v>0</v>
      </c>
      <c r="CM525" s="4">
        <f t="shared" si="500"/>
        <v>0</v>
      </c>
      <c r="CN525" s="4">
        <f t="shared" si="501"/>
        <v>0</v>
      </c>
      <c r="CO525" s="4">
        <f t="shared" si="502"/>
        <v>0</v>
      </c>
      <c r="CP525" s="4">
        <f t="shared" si="503"/>
        <v>0</v>
      </c>
      <c r="CQ525" s="4">
        <f t="shared" si="504"/>
        <v>0</v>
      </c>
      <c r="CR525" s="4">
        <f t="shared" si="505"/>
        <v>0</v>
      </c>
      <c r="CS525" s="4">
        <f t="shared" si="506"/>
        <v>0</v>
      </c>
      <c r="CT525" s="4">
        <f t="shared" si="507"/>
        <v>0</v>
      </c>
      <c r="CU525" s="4">
        <f t="shared" si="508"/>
        <v>0</v>
      </c>
      <c r="CV525" s="4">
        <f t="shared" si="509"/>
        <v>0</v>
      </c>
      <c r="CW525" s="4">
        <f t="shared" si="510"/>
        <v>0</v>
      </c>
      <c r="CX525" s="4">
        <f t="shared" si="511"/>
        <v>0</v>
      </c>
      <c r="CY525" s="4">
        <f t="shared" si="512"/>
        <v>0</v>
      </c>
      <c r="CZ525" s="4">
        <f t="shared" si="513"/>
        <v>0</v>
      </c>
      <c r="DA525" s="4">
        <f t="shared" si="514"/>
        <v>0</v>
      </c>
      <c r="DB525" s="4">
        <f t="shared" si="515"/>
        <v>0</v>
      </c>
      <c r="DC525" s="4">
        <f t="shared" si="516"/>
        <v>0</v>
      </c>
      <c r="DD525" s="4">
        <f t="shared" si="517"/>
        <v>0</v>
      </c>
    </row>
    <row r="526" spans="1:108" x14ac:dyDescent="0.25">
      <c r="A526" s="41" t="str">
        <f>Skills!M508</f>
        <v>Military Organization, Ground Forces</v>
      </c>
      <c r="B526" s="55" t="str">
        <f>Skills!N508</f>
        <v>Ground Forces</v>
      </c>
      <c r="C526" s="22">
        <f t="shared" si="518"/>
        <v>0</v>
      </c>
      <c r="D526" s="112" t="e">
        <f>Skills!S508</f>
        <v>#N/A</v>
      </c>
      <c r="E526" s="113" t="e">
        <f>Profession!$B$240</f>
        <v>#REF!</v>
      </c>
      <c r="F526" s="19"/>
      <c r="G526" s="19"/>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56"/>
      <c r="BF526" s="4">
        <f t="shared" si="468"/>
        <v>0</v>
      </c>
      <c r="BG526" s="4">
        <f t="shared" si="468"/>
        <v>0</v>
      </c>
      <c r="BH526" s="4">
        <f t="shared" si="469"/>
        <v>0</v>
      </c>
      <c r="BI526" s="4">
        <f t="shared" si="470"/>
        <v>0</v>
      </c>
      <c r="BJ526" s="4">
        <f t="shared" si="471"/>
        <v>0</v>
      </c>
      <c r="BK526" s="4">
        <f t="shared" si="472"/>
        <v>0</v>
      </c>
      <c r="BL526" s="4">
        <f t="shared" si="473"/>
        <v>0</v>
      </c>
      <c r="BM526" s="4">
        <f t="shared" si="474"/>
        <v>0</v>
      </c>
      <c r="BN526" s="4">
        <f t="shared" si="475"/>
        <v>0</v>
      </c>
      <c r="BO526" s="4">
        <f t="shared" si="476"/>
        <v>0</v>
      </c>
      <c r="BP526" s="4">
        <f t="shared" si="477"/>
        <v>0</v>
      </c>
      <c r="BQ526" s="4">
        <f t="shared" si="478"/>
        <v>0</v>
      </c>
      <c r="BR526" s="4">
        <f t="shared" si="479"/>
        <v>0</v>
      </c>
      <c r="BS526" s="4">
        <f t="shared" si="480"/>
        <v>0</v>
      </c>
      <c r="BT526" s="4">
        <f t="shared" si="481"/>
        <v>0</v>
      </c>
      <c r="BU526" s="4">
        <f t="shared" si="482"/>
        <v>0</v>
      </c>
      <c r="BV526" s="4">
        <f t="shared" si="483"/>
        <v>0</v>
      </c>
      <c r="BW526" s="4">
        <f t="shared" si="484"/>
        <v>0</v>
      </c>
      <c r="BX526" s="4">
        <f t="shared" si="485"/>
        <v>0</v>
      </c>
      <c r="BY526" s="4">
        <f t="shared" si="486"/>
        <v>0</v>
      </c>
      <c r="BZ526" s="4">
        <f t="shared" si="487"/>
        <v>0</v>
      </c>
      <c r="CA526" s="4">
        <f t="shared" si="488"/>
        <v>0</v>
      </c>
      <c r="CB526" s="4">
        <f t="shared" si="489"/>
        <v>0</v>
      </c>
      <c r="CC526" s="4">
        <f t="shared" si="490"/>
        <v>0</v>
      </c>
      <c r="CD526" s="4">
        <f t="shared" si="491"/>
        <v>0</v>
      </c>
      <c r="CE526" s="4">
        <f t="shared" si="492"/>
        <v>0</v>
      </c>
      <c r="CF526" s="4">
        <f t="shared" si="493"/>
        <v>0</v>
      </c>
      <c r="CG526" s="4">
        <f t="shared" si="494"/>
        <v>0</v>
      </c>
      <c r="CH526" s="4">
        <f t="shared" si="495"/>
        <v>0</v>
      </c>
      <c r="CI526" s="4">
        <f t="shared" si="496"/>
        <v>0</v>
      </c>
      <c r="CJ526" s="4">
        <f t="shared" si="497"/>
        <v>0</v>
      </c>
      <c r="CK526" s="4">
        <f t="shared" si="498"/>
        <v>0</v>
      </c>
      <c r="CL526" s="4">
        <f t="shared" si="499"/>
        <v>0</v>
      </c>
      <c r="CM526" s="4">
        <f t="shared" si="500"/>
        <v>0</v>
      </c>
      <c r="CN526" s="4">
        <f t="shared" si="501"/>
        <v>0</v>
      </c>
      <c r="CO526" s="4">
        <f t="shared" si="502"/>
        <v>0</v>
      </c>
      <c r="CP526" s="4">
        <f t="shared" si="503"/>
        <v>0</v>
      </c>
      <c r="CQ526" s="4">
        <f t="shared" si="504"/>
        <v>0</v>
      </c>
      <c r="CR526" s="4">
        <f t="shared" si="505"/>
        <v>0</v>
      </c>
      <c r="CS526" s="4">
        <f t="shared" si="506"/>
        <v>0</v>
      </c>
      <c r="CT526" s="4">
        <f t="shared" si="507"/>
        <v>0</v>
      </c>
      <c r="CU526" s="4">
        <f t="shared" si="508"/>
        <v>0</v>
      </c>
      <c r="CV526" s="4">
        <f t="shared" si="509"/>
        <v>0</v>
      </c>
      <c r="CW526" s="4">
        <f t="shared" si="510"/>
        <v>0</v>
      </c>
      <c r="CX526" s="4">
        <f t="shared" si="511"/>
        <v>0</v>
      </c>
      <c r="CY526" s="4">
        <f t="shared" si="512"/>
        <v>0</v>
      </c>
      <c r="CZ526" s="4">
        <f t="shared" si="513"/>
        <v>0</v>
      </c>
      <c r="DA526" s="4">
        <f t="shared" si="514"/>
        <v>0</v>
      </c>
      <c r="DB526" s="4">
        <f t="shared" si="515"/>
        <v>0</v>
      </c>
      <c r="DC526" s="4">
        <f t="shared" si="516"/>
        <v>0</v>
      </c>
      <c r="DD526" s="4">
        <f t="shared" si="517"/>
        <v>0</v>
      </c>
    </row>
    <row r="527" spans="1:108" x14ac:dyDescent="0.25">
      <c r="A527" s="41" t="str">
        <f>Skills!M509</f>
        <v>Military Organization, Marine Forces</v>
      </c>
      <c r="B527" s="57" t="str">
        <f>Skills!N509</f>
        <v>Marine Forces</v>
      </c>
      <c r="C527" s="24">
        <f t="shared" si="518"/>
        <v>0</v>
      </c>
      <c r="D527" s="110" t="e">
        <f ca="1">Skills!S509</f>
        <v>#N/A</v>
      </c>
      <c r="E527" s="111" t="e">
        <f>Profession!$B$240</f>
        <v>#REF!</v>
      </c>
      <c r="F527" s="18"/>
      <c r="G527" s="18"/>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49"/>
      <c r="BF527" s="4">
        <f t="shared" si="468"/>
        <v>0</v>
      </c>
      <c r="BG527" s="4">
        <f t="shared" si="468"/>
        <v>0</v>
      </c>
      <c r="BH527" s="4">
        <f t="shared" si="469"/>
        <v>0</v>
      </c>
      <c r="BI527" s="4">
        <f t="shared" si="470"/>
        <v>0</v>
      </c>
      <c r="BJ527" s="4">
        <f t="shared" si="471"/>
        <v>0</v>
      </c>
      <c r="BK527" s="4">
        <f t="shared" si="472"/>
        <v>0</v>
      </c>
      <c r="BL527" s="4">
        <f t="shared" si="473"/>
        <v>0</v>
      </c>
      <c r="BM527" s="4">
        <f t="shared" si="474"/>
        <v>0</v>
      </c>
      <c r="BN527" s="4">
        <f t="shared" si="475"/>
        <v>0</v>
      </c>
      <c r="BO527" s="4">
        <f t="shared" si="476"/>
        <v>0</v>
      </c>
      <c r="BP527" s="4">
        <f t="shared" si="477"/>
        <v>0</v>
      </c>
      <c r="BQ527" s="4">
        <f t="shared" si="478"/>
        <v>0</v>
      </c>
      <c r="BR527" s="4">
        <f t="shared" si="479"/>
        <v>0</v>
      </c>
      <c r="BS527" s="4">
        <f t="shared" si="480"/>
        <v>0</v>
      </c>
      <c r="BT527" s="4">
        <f t="shared" si="481"/>
        <v>0</v>
      </c>
      <c r="BU527" s="4">
        <f t="shared" si="482"/>
        <v>0</v>
      </c>
      <c r="BV527" s="4">
        <f t="shared" si="483"/>
        <v>0</v>
      </c>
      <c r="BW527" s="4">
        <f t="shared" si="484"/>
        <v>0</v>
      </c>
      <c r="BX527" s="4">
        <f t="shared" si="485"/>
        <v>0</v>
      </c>
      <c r="BY527" s="4">
        <f t="shared" si="486"/>
        <v>0</v>
      </c>
      <c r="BZ527" s="4">
        <f t="shared" si="487"/>
        <v>0</v>
      </c>
      <c r="CA527" s="4">
        <f t="shared" si="488"/>
        <v>0</v>
      </c>
      <c r="CB527" s="4">
        <f t="shared" si="489"/>
        <v>0</v>
      </c>
      <c r="CC527" s="4">
        <f t="shared" si="490"/>
        <v>0</v>
      </c>
      <c r="CD527" s="4">
        <f t="shared" si="491"/>
        <v>0</v>
      </c>
      <c r="CE527" s="4">
        <f t="shared" si="492"/>
        <v>0</v>
      </c>
      <c r="CF527" s="4">
        <f t="shared" si="493"/>
        <v>0</v>
      </c>
      <c r="CG527" s="4">
        <f t="shared" si="494"/>
        <v>0</v>
      </c>
      <c r="CH527" s="4">
        <f t="shared" si="495"/>
        <v>0</v>
      </c>
      <c r="CI527" s="4">
        <f t="shared" si="496"/>
        <v>0</v>
      </c>
      <c r="CJ527" s="4">
        <f t="shared" si="497"/>
        <v>0</v>
      </c>
      <c r="CK527" s="4">
        <f t="shared" si="498"/>
        <v>0</v>
      </c>
      <c r="CL527" s="4">
        <f t="shared" si="499"/>
        <v>0</v>
      </c>
      <c r="CM527" s="4">
        <f t="shared" si="500"/>
        <v>0</v>
      </c>
      <c r="CN527" s="4">
        <f t="shared" si="501"/>
        <v>0</v>
      </c>
      <c r="CO527" s="4">
        <f t="shared" si="502"/>
        <v>0</v>
      </c>
      <c r="CP527" s="4">
        <f t="shared" si="503"/>
        <v>0</v>
      </c>
      <c r="CQ527" s="4">
        <f t="shared" si="504"/>
        <v>0</v>
      </c>
      <c r="CR527" s="4">
        <f t="shared" si="505"/>
        <v>0</v>
      </c>
      <c r="CS527" s="4">
        <f t="shared" si="506"/>
        <v>0</v>
      </c>
      <c r="CT527" s="4">
        <f t="shared" si="507"/>
        <v>0</v>
      </c>
      <c r="CU527" s="4">
        <f t="shared" si="508"/>
        <v>0</v>
      </c>
      <c r="CV527" s="4">
        <f t="shared" si="509"/>
        <v>0</v>
      </c>
      <c r="CW527" s="4">
        <f t="shared" si="510"/>
        <v>0</v>
      </c>
      <c r="CX527" s="4">
        <f t="shared" si="511"/>
        <v>0</v>
      </c>
      <c r="CY527" s="4">
        <f t="shared" si="512"/>
        <v>0</v>
      </c>
      <c r="CZ527" s="4">
        <f t="shared" si="513"/>
        <v>0</v>
      </c>
      <c r="DA527" s="4">
        <f t="shared" si="514"/>
        <v>0</v>
      </c>
      <c r="DB527" s="4">
        <f t="shared" si="515"/>
        <v>0</v>
      </c>
      <c r="DC527" s="4">
        <f t="shared" si="516"/>
        <v>0</v>
      </c>
      <c r="DD527" s="4">
        <f t="shared" si="517"/>
        <v>0</v>
      </c>
    </row>
    <row r="528" spans="1:108" x14ac:dyDescent="0.25">
      <c r="A528" s="41">
        <f>Skills!M510</f>
        <v>0</v>
      </c>
      <c r="B528" s="55" t="str">
        <f>Skills!N510</f>
        <v>Social Category</v>
      </c>
      <c r="C528" s="22">
        <f t="shared" si="518"/>
        <v>0</v>
      </c>
      <c r="D528" s="112" t="str">
        <f>Skills!S510</f>
        <v>- -</v>
      </c>
      <c r="E528" s="113" t="s">
        <v>782</v>
      </c>
      <c r="F528" s="19"/>
      <c r="G528" s="19"/>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56"/>
      <c r="BF528" s="4">
        <f t="shared" si="468"/>
        <v>0</v>
      </c>
      <c r="BG528" s="4">
        <f t="shared" si="468"/>
        <v>0</v>
      </c>
      <c r="BH528" s="4">
        <f t="shared" si="469"/>
        <v>0</v>
      </c>
      <c r="BI528" s="4">
        <f t="shared" si="470"/>
        <v>0</v>
      </c>
      <c r="BJ528" s="4">
        <f t="shared" si="471"/>
        <v>0</v>
      </c>
      <c r="BK528" s="4">
        <f t="shared" si="472"/>
        <v>0</v>
      </c>
      <c r="BL528" s="4">
        <f t="shared" si="473"/>
        <v>0</v>
      </c>
      <c r="BM528" s="4">
        <f t="shared" si="474"/>
        <v>0</v>
      </c>
      <c r="BN528" s="4">
        <f t="shared" si="475"/>
        <v>0</v>
      </c>
      <c r="BO528" s="4">
        <f t="shared" si="476"/>
        <v>0</v>
      </c>
      <c r="BP528" s="4">
        <f t="shared" si="477"/>
        <v>0</v>
      </c>
      <c r="BQ528" s="4">
        <f t="shared" si="478"/>
        <v>0</v>
      </c>
      <c r="BR528" s="4">
        <f t="shared" si="479"/>
        <v>0</v>
      </c>
      <c r="BS528" s="4">
        <f t="shared" si="480"/>
        <v>0</v>
      </c>
      <c r="BT528" s="4">
        <f t="shared" si="481"/>
        <v>0</v>
      </c>
      <c r="BU528" s="4">
        <f t="shared" si="482"/>
        <v>0</v>
      </c>
      <c r="BV528" s="4">
        <f t="shared" si="483"/>
        <v>0</v>
      </c>
      <c r="BW528" s="4">
        <f t="shared" si="484"/>
        <v>0</v>
      </c>
      <c r="BX528" s="4">
        <f t="shared" si="485"/>
        <v>0</v>
      </c>
      <c r="BY528" s="4">
        <f t="shared" si="486"/>
        <v>0</v>
      </c>
      <c r="BZ528" s="4">
        <f t="shared" si="487"/>
        <v>0</v>
      </c>
      <c r="CA528" s="4">
        <f t="shared" si="488"/>
        <v>0</v>
      </c>
      <c r="CB528" s="4">
        <f t="shared" si="489"/>
        <v>0</v>
      </c>
      <c r="CC528" s="4">
        <f t="shared" si="490"/>
        <v>0</v>
      </c>
      <c r="CD528" s="4">
        <f t="shared" si="491"/>
        <v>0</v>
      </c>
      <c r="CE528" s="4">
        <f t="shared" si="492"/>
        <v>0</v>
      </c>
      <c r="CF528" s="4">
        <f t="shared" si="493"/>
        <v>0</v>
      </c>
      <c r="CG528" s="4">
        <f t="shared" si="494"/>
        <v>0</v>
      </c>
      <c r="CH528" s="4">
        <f t="shared" si="495"/>
        <v>0</v>
      </c>
      <c r="CI528" s="4">
        <f t="shared" si="496"/>
        <v>0</v>
      </c>
      <c r="CJ528" s="4">
        <f t="shared" si="497"/>
        <v>0</v>
      </c>
      <c r="CK528" s="4">
        <f t="shared" si="498"/>
        <v>0</v>
      </c>
      <c r="CL528" s="4">
        <f t="shared" si="499"/>
        <v>0</v>
      </c>
      <c r="CM528" s="4">
        <f t="shared" si="500"/>
        <v>0</v>
      </c>
      <c r="CN528" s="4">
        <f t="shared" si="501"/>
        <v>0</v>
      </c>
      <c r="CO528" s="4">
        <f t="shared" si="502"/>
        <v>0</v>
      </c>
      <c r="CP528" s="4">
        <f t="shared" si="503"/>
        <v>0</v>
      </c>
      <c r="CQ528" s="4">
        <f t="shared" si="504"/>
        <v>0</v>
      </c>
      <c r="CR528" s="4">
        <f t="shared" si="505"/>
        <v>0</v>
      </c>
      <c r="CS528" s="4">
        <f t="shared" si="506"/>
        <v>0</v>
      </c>
      <c r="CT528" s="4">
        <f t="shared" si="507"/>
        <v>0</v>
      </c>
      <c r="CU528" s="4">
        <f t="shared" si="508"/>
        <v>0</v>
      </c>
      <c r="CV528" s="4">
        <f t="shared" si="509"/>
        <v>0</v>
      </c>
      <c r="CW528" s="4">
        <f t="shared" si="510"/>
        <v>0</v>
      </c>
      <c r="CX528" s="4">
        <f t="shared" si="511"/>
        <v>0</v>
      </c>
      <c r="CY528" s="4">
        <f t="shared" si="512"/>
        <v>0</v>
      </c>
      <c r="CZ528" s="4">
        <f t="shared" si="513"/>
        <v>0</v>
      </c>
      <c r="DA528" s="4">
        <f t="shared" si="514"/>
        <v>0</v>
      </c>
      <c r="DB528" s="4">
        <f t="shared" si="515"/>
        <v>0</v>
      </c>
      <c r="DC528" s="4">
        <f t="shared" si="516"/>
        <v>0</v>
      </c>
      <c r="DD528" s="4">
        <f t="shared" si="517"/>
        <v>0</v>
      </c>
    </row>
    <row r="529" spans="1:108" x14ac:dyDescent="0.25">
      <c r="A529" s="41">
        <f>Skills!M511</f>
        <v>0</v>
      </c>
      <c r="B529" s="57" t="str">
        <f>Skills!N511</f>
        <v>Social Skills (cat)</v>
      </c>
      <c r="C529" s="24">
        <f t="shared" si="518"/>
        <v>0</v>
      </c>
      <c r="D529" s="110" t="str">
        <f>Skills!S511</f>
        <v>- -</v>
      </c>
      <c r="E529" s="111" t="s">
        <v>782</v>
      </c>
      <c r="F529" s="18"/>
      <c r="G529" s="18"/>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49"/>
      <c r="BF529" s="4">
        <f t="shared" si="468"/>
        <v>0</v>
      </c>
      <c r="BG529" s="4">
        <f t="shared" si="468"/>
        <v>0</v>
      </c>
      <c r="BH529" s="4">
        <f t="shared" si="469"/>
        <v>0</v>
      </c>
      <c r="BI529" s="4">
        <f t="shared" si="470"/>
        <v>0</v>
      </c>
      <c r="BJ529" s="4">
        <f t="shared" si="471"/>
        <v>0</v>
      </c>
      <c r="BK529" s="4">
        <f t="shared" si="472"/>
        <v>0</v>
      </c>
      <c r="BL529" s="4">
        <f t="shared" si="473"/>
        <v>0</v>
      </c>
      <c r="BM529" s="4">
        <f t="shared" si="474"/>
        <v>0</v>
      </c>
      <c r="BN529" s="4">
        <f t="shared" si="475"/>
        <v>0</v>
      </c>
      <c r="BO529" s="4">
        <f t="shared" si="476"/>
        <v>0</v>
      </c>
      <c r="BP529" s="4">
        <f t="shared" si="477"/>
        <v>0</v>
      </c>
      <c r="BQ529" s="4">
        <f t="shared" si="478"/>
        <v>0</v>
      </c>
      <c r="BR529" s="4">
        <f t="shared" si="479"/>
        <v>0</v>
      </c>
      <c r="BS529" s="4">
        <f t="shared" si="480"/>
        <v>0</v>
      </c>
      <c r="BT529" s="4">
        <f t="shared" si="481"/>
        <v>0</v>
      </c>
      <c r="BU529" s="4">
        <f t="shared" si="482"/>
        <v>0</v>
      </c>
      <c r="BV529" s="4">
        <f t="shared" si="483"/>
        <v>0</v>
      </c>
      <c r="BW529" s="4">
        <f t="shared" si="484"/>
        <v>0</v>
      </c>
      <c r="BX529" s="4">
        <f t="shared" si="485"/>
        <v>0</v>
      </c>
      <c r="BY529" s="4">
        <f t="shared" si="486"/>
        <v>0</v>
      </c>
      <c r="BZ529" s="4">
        <f t="shared" si="487"/>
        <v>0</v>
      </c>
      <c r="CA529" s="4">
        <f t="shared" si="488"/>
        <v>0</v>
      </c>
      <c r="CB529" s="4">
        <f t="shared" si="489"/>
        <v>0</v>
      </c>
      <c r="CC529" s="4">
        <f t="shared" si="490"/>
        <v>0</v>
      </c>
      <c r="CD529" s="4">
        <f t="shared" si="491"/>
        <v>0</v>
      </c>
      <c r="CE529" s="4">
        <f t="shared" si="492"/>
        <v>0</v>
      </c>
      <c r="CF529" s="4">
        <f t="shared" si="493"/>
        <v>0</v>
      </c>
      <c r="CG529" s="4">
        <f t="shared" si="494"/>
        <v>0</v>
      </c>
      <c r="CH529" s="4">
        <f t="shared" si="495"/>
        <v>0</v>
      </c>
      <c r="CI529" s="4">
        <f t="shared" si="496"/>
        <v>0</v>
      </c>
      <c r="CJ529" s="4">
        <f t="shared" si="497"/>
        <v>0</v>
      </c>
      <c r="CK529" s="4">
        <f t="shared" si="498"/>
        <v>0</v>
      </c>
      <c r="CL529" s="4">
        <f t="shared" si="499"/>
        <v>0</v>
      </c>
      <c r="CM529" s="4">
        <f t="shared" si="500"/>
        <v>0</v>
      </c>
      <c r="CN529" s="4">
        <f t="shared" si="501"/>
        <v>0</v>
      </c>
      <c r="CO529" s="4">
        <f t="shared" si="502"/>
        <v>0</v>
      </c>
      <c r="CP529" s="4">
        <f t="shared" si="503"/>
        <v>0</v>
      </c>
      <c r="CQ529" s="4">
        <f t="shared" si="504"/>
        <v>0</v>
      </c>
      <c r="CR529" s="4">
        <f t="shared" si="505"/>
        <v>0</v>
      </c>
      <c r="CS529" s="4">
        <f t="shared" si="506"/>
        <v>0</v>
      </c>
      <c r="CT529" s="4">
        <f t="shared" si="507"/>
        <v>0</v>
      </c>
      <c r="CU529" s="4">
        <f t="shared" si="508"/>
        <v>0</v>
      </c>
      <c r="CV529" s="4">
        <f t="shared" si="509"/>
        <v>0</v>
      </c>
      <c r="CW529" s="4">
        <f t="shared" si="510"/>
        <v>0</v>
      </c>
      <c r="CX529" s="4">
        <f t="shared" si="511"/>
        <v>0</v>
      </c>
      <c r="CY529" s="4">
        <f t="shared" si="512"/>
        <v>0</v>
      </c>
      <c r="CZ529" s="4">
        <f t="shared" si="513"/>
        <v>0</v>
      </c>
      <c r="DA529" s="4">
        <f t="shared" si="514"/>
        <v>0</v>
      </c>
      <c r="DB529" s="4">
        <f t="shared" si="515"/>
        <v>0</v>
      </c>
      <c r="DC529" s="4">
        <f t="shared" si="516"/>
        <v>0</v>
      </c>
      <c r="DD529" s="4">
        <f t="shared" si="517"/>
        <v>0</v>
      </c>
    </row>
    <row r="530" spans="1:108" x14ac:dyDescent="0.25">
      <c r="A530" s="41">
        <f>Skills!M512</f>
        <v>0</v>
      </c>
      <c r="B530" s="55" t="str">
        <f>Skills!N512</f>
        <v>Social Sub-category</v>
      </c>
      <c r="C530" s="22">
        <f t="shared" si="518"/>
        <v>0</v>
      </c>
      <c r="D530" s="112" t="str">
        <f>Skills!S512</f>
        <v>- -</v>
      </c>
      <c r="E530" s="113" t="s">
        <v>782</v>
      </c>
      <c r="F530" s="19"/>
      <c r="G530" s="19"/>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56"/>
      <c r="BF530" s="4">
        <f t="shared" si="468"/>
        <v>0</v>
      </c>
      <c r="BG530" s="4">
        <f t="shared" si="468"/>
        <v>0</v>
      </c>
      <c r="BH530" s="4">
        <f t="shared" si="469"/>
        <v>0</v>
      </c>
      <c r="BI530" s="4">
        <f t="shared" si="470"/>
        <v>0</v>
      </c>
      <c r="BJ530" s="4">
        <f t="shared" si="471"/>
        <v>0</v>
      </c>
      <c r="BK530" s="4">
        <f t="shared" si="472"/>
        <v>0</v>
      </c>
      <c r="BL530" s="4">
        <f t="shared" si="473"/>
        <v>0</v>
      </c>
      <c r="BM530" s="4">
        <f t="shared" si="474"/>
        <v>0</v>
      </c>
      <c r="BN530" s="4">
        <f t="shared" si="475"/>
        <v>0</v>
      </c>
      <c r="BO530" s="4">
        <f t="shared" si="476"/>
        <v>0</v>
      </c>
      <c r="BP530" s="4">
        <f t="shared" si="477"/>
        <v>0</v>
      </c>
      <c r="BQ530" s="4">
        <f t="shared" si="478"/>
        <v>0</v>
      </c>
      <c r="BR530" s="4">
        <f t="shared" si="479"/>
        <v>0</v>
      </c>
      <c r="BS530" s="4">
        <f t="shared" si="480"/>
        <v>0</v>
      </c>
      <c r="BT530" s="4">
        <f t="shared" si="481"/>
        <v>0</v>
      </c>
      <c r="BU530" s="4">
        <f t="shared" si="482"/>
        <v>0</v>
      </c>
      <c r="BV530" s="4">
        <f t="shared" si="483"/>
        <v>0</v>
      </c>
      <c r="BW530" s="4">
        <f t="shared" si="484"/>
        <v>0</v>
      </c>
      <c r="BX530" s="4">
        <f t="shared" si="485"/>
        <v>0</v>
      </c>
      <c r="BY530" s="4">
        <f t="shared" si="486"/>
        <v>0</v>
      </c>
      <c r="BZ530" s="4">
        <f t="shared" si="487"/>
        <v>0</v>
      </c>
      <c r="CA530" s="4">
        <f t="shared" si="488"/>
        <v>0</v>
      </c>
      <c r="CB530" s="4">
        <f t="shared" si="489"/>
        <v>0</v>
      </c>
      <c r="CC530" s="4">
        <f t="shared" si="490"/>
        <v>0</v>
      </c>
      <c r="CD530" s="4">
        <f t="shared" si="491"/>
        <v>0</v>
      </c>
      <c r="CE530" s="4">
        <f t="shared" si="492"/>
        <v>0</v>
      </c>
      <c r="CF530" s="4">
        <f t="shared" si="493"/>
        <v>0</v>
      </c>
      <c r="CG530" s="4">
        <f t="shared" si="494"/>
        <v>0</v>
      </c>
      <c r="CH530" s="4">
        <f t="shared" si="495"/>
        <v>0</v>
      </c>
      <c r="CI530" s="4">
        <f t="shared" si="496"/>
        <v>0</v>
      </c>
      <c r="CJ530" s="4">
        <f t="shared" si="497"/>
        <v>0</v>
      </c>
      <c r="CK530" s="4">
        <f t="shared" si="498"/>
        <v>0</v>
      </c>
      <c r="CL530" s="4">
        <f t="shared" si="499"/>
        <v>0</v>
      </c>
      <c r="CM530" s="4">
        <f t="shared" si="500"/>
        <v>0</v>
      </c>
      <c r="CN530" s="4">
        <f t="shared" si="501"/>
        <v>0</v>
      </c>
      <c r="CO530" s="4">
        <f t="shared" si="502"/>
        <v>0</v>
      </c>
      <c r="CP530" s="4">
        <f t="shared" si="503"/>
        <v>0</v>
      </c>
      <c r="CQ530" s="4">
        <f t="shared" si="504"/>
        <v>0</v>
      </c>
      <c r="CR530" s="4">
        <f t="shared" si="505"/>
        <v>0</v>
      </c>
      <c r="CS530" s="4">
        <f t="shared" si="506"/>
        <v>0</v>
      </c>
      <c r="CT530" s="4">
        <f t="shared" si="507"/>
        <v>0</v>
      </c>
      <c r="CU530" s="4">
        <f t="shared" si="508"/>
        <v>0</v>
      </c>
      <c r="CV530" s="4">
        <f t="shared" si="509"/>
        <v>0</v>
      </c>
      <c r="CW530" s="4">
        <f t="shared" si="510"/>
        <v>0</v>
      </c>
      <c r="CX530" s="4">
        <f t="shared" si="511"/>
        <v>0</v>
      </c>
      <c r="CY530" s="4">
        <f t="shared" si="512"/>
        <v>0</v>
      </c>
      <c r="CZ530" s="4">
        <f t="shared" si="513"/>
        <v>0</v>
      </c>
      <c r="DA530" s="4">
        <f t="shared" si="514"/>
        <v>0</v>
      </c>
      <c r="DB530" s="4">
        <f t="shared" si="515"/>
        <v>0</v>
      </c>
      <c r="DC530" s="4">
        <f t="shared" si="516"/>
        <v>0</v>
      </c>
      <c r="DD530" s="4">
        <f t="shared" si="517"/>
        <v>0</v>
      </c>
    </row>
    <row r="531" spans="1:108" x14ac:dyDescent="0.25">
      <c r="A531" s="41">
        <f>Skills!M513</f>
        <v>0</v>
      </c>
      <c r="B531" s="57" t="str">
        <f>Skills!N513</f>
        <v>Social Skills (sub-cat)</v>
      </c>
      <c r="C531" s="24">
        <f t="shared" si="518"/>
        <v>0</v>
      </c>
      <c r="D531" s="110" t="str">
        <f>Skills!S513</f>
        <v>- -</v>
      </c>
      <c r="E531" s="111" t="s">
        <v>782</v>
      </c>
      <c r="F531" s="18"/>
      <c r="G531" s="18"/>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49"/>
      <c r="BF531" s="4">
        <f t="shared" si="468"/>
        <v>0</v>
      </c>
      <c r="BG531" s="4">
        <f t="shared" si="468"/>
        <v>0</v>
      </c>
      <c r="BH531" s="4">
        <f t="shared" si="469"/>
        <v>0</v>
      </c>
      <c r="BI531" s="4">
        <f t="shared" si="470"/>
        <v>0</v>
      </c>
      <c r="BJ531" s="4">
        <f t="shared" si="471"/>
        <v>0</v>
      </c>
      <c r="BK531" s="4">
        <f t="shared" si="472"/>
        <v>0</v>
      </c>
      <c r="BL531" s="4">
        <f t="shared" si="473"/>
        <v>0</v>
      </c>
      <c r="BM531" s="4">
        <f t="shared" si="474"/>
        <v>0</v>
      </c>
      <c r="BN531" s="4">
        <f t="shared" si="475"/>
        <v>0</v>
      </c>
      <c r="BO531" s="4">
        <f t="shared" si="476"/>
        <v>0</v>
      </c>
      <c r="BP531" s="4">
        <f t="shared" si="477"/>
        <v>0</v>
      </c>
      <c r="BQ531" s="4">
        <f t="shared" si="478"/>
        <v>0</v>
      </c>
      <c r="BR531" s="4">
        <f t="shared" si="479"/>
        <v>0</v>
      </c>
      <c r="BS531" s="4">
        <f t="shared" si="480"/>
        <v>0</v>
      </c>
      <c r="BT531" s="4">
        <f t="shared" si="481"/>
        <v>0</v>
      </c>
      <c r="BU531" s="4">
        <f t="shared" si="482"/>
        <v>0</v>
      </c>
      <c r="BV531" s="4">
        <f t="shared" si="483"/>
        <v>0</v>
      </c>
      <c r="BW531" s="4">
        <f t="shared" si="484"/>
        <v>0</v>
      </c>
      <c r="BX531" s="4">
        <f t="shared" si="485"/>
        <v>0</v>
      </c>
      <c r="BY531" s="4">
        <f t="shared" si="486"/>
        <v>0</v>
      </c>
      <c r="BZ531" s="4">
        <f t="shared" si="487"/>
        <v>0</v>
      </c>
      <c r="CA531" s="4">
        <f t="shared" si="488"/>
        <v>0</v>
      </c>
      <c r="CB531" s="4">
        <f t="shared" si="489"/>
        <v>0</v>
      </c>
      <c r="CC531" s="4">
        <f t="shared" si="490"/>
        <v>0</v>
      </c>
      <c r="CD531" s="4">
        <f t="shared" si="491"/>
        <v>0</v>
      </c>
      <c r="CE531" s="4">
        <f t="shared" si="492"/>
        <v>0</v>
      </c>
      <c r="CF531" s="4">
        <f t="shared" si="493"/>
        <v>0</v>
      </c>
      <c r="CG531" s="4">
        <f t="shared" si="494"/>
        <v>0</v>
      </c>
      <c r="CH531" s="4">
        <f t="shared" si="495"/>
        <v>0</v>
      </c>
      <c r="CI531" s="4">
        <f t="shared" si="496"/>
        <v>0</v>
      </c>
      <c r="CJ531" s="4">
        <f t="shared" si="497"/>
        <v>0</v>
      </c>
      <c r="CK531" s="4">
        <f t="shared" si="498"/>
        <v>0</v>
      </c>
      <c r="CL531" s="4">
        <f t="shared" si="499"/>
        <v>0</v>
      </c>
      <c r="CM531" s="4">
        <f t="shared" si="500"/>
        <v>0</v>
      </c>
      <c r="CN531" s="4">
        <f t="shared" si="501"/>
        <v>0</v>
      </c>
      <c r="CO531" s="4">
        <f t="shared" si="502"/>
        <v>0</v>
      </c>
      <c r="CP531" s="4">
        <f t="shared" si="503"/>
        <v>0</v>
      </c>
      <c r="CQ531" s="4">
        <f t="shared" si="504"/>
        <v>0</v>
      </c>
      <c r="CR531" s="4">
        <f t="shared" si="505"/>
        <v>0</v>
      </c>
      <c r="CS531" s="4">
        <f t="shared" si="506"/>
        <v>0</v>
      </c>
      <c r="CT531" s="4">
        <f t="shared" si="507"/>
        <v>0</v>
      </c>
      <c r="CU531" s="4">
        <f t="shared" si="508"/>
        <v>0</v>
      </c>
      <c r="CV531" s="4">
        <f t="shared" si="509"/>
        <v>0</v>
      </c>
      <c r="CW531" s="4">
        <f t="shared" si="510"/>
        <v>0</v>
      </c>
      <c r="CX531" s="4">
        <f t="shared" si="511"/>
        <v>0</v>
      </c>
      <c r="CY531" s="4">
        <f t="shared" si="512"/>
        <v>0</v>
      </c>
      <c r="CZ531" s="4">
        <f t="shared" si="513"/>
        <v>0</v>
      </c>
      <c r="DA531" s="4">
        <f t="shared" si="514"/>
        <v>0</v>
      </c>
      <c r="DB531" s="4">
        <f t="shared" si="515"/>
        <v>0</v>
      </c>
      <c r="DC531" s="4">
        <f t="shared" si="516"/>
        <v>0</v>
      </c>
      <c r="DD531" s="4">
        <f t="shared" si="517"/>
        <v>0</v>
      </c>
    </row>
    <row r="532" spans="1:108" x14ac:dyDescent="0.25">
      <c r="A532" s="41" t="str">
        <f>Skills!M514</f>
        <v>Begging</v>
      </c>
      <c r="B532" s="55" t="str">
        <f>Skills!N514</f>
        <v>Begging</v>
      </c>
      <c r="C532" s="22">
        <f t="shared" si="518"/>
        <v>0</v>
      </c>
      <c r="D532" s="112">
        <f>Skills!S514</f>
        <v>0</v>
      </c>
      <c r="E532" s="113" t="e">
        <f>Profession!B242</f>
        <v>#REF!</v>
      </c>
      <c r="F532" s="19"/>
      <c r="G532" s="19"/>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56"/>
      <c r="BF532" s="4">
        <f t="shared" si="468"/>
        <v>0</v>
      </c>
      <c r="BG532" s="4">
        <f t="shared" si="468"/>
        <v>0</v>
      </c>
      <c r="BH532" s="4">
        <f t="shared" si="469"/>
        <v>0</v>
      </c>
      <c r="BI532" s="4">
        <f t="shared" si="470"/>
        <v>0</v>
      </c>
      <c r="BJ532" s="4">
        <f t="shared" si="471"/>
        <v>0</v>
      </c>
      <c r="BK532" s="4">
        <f t="shared" si="472"/>
        <v>0</v>
      </c>
      <c r="BL532" s="4">
        <f t="shared" si="473"/>
        <v>0</v>
      </c>
      <c r="BM532" s="4">
        <f t="shared" si="474"/>
        <v>0</v>
      </c>
      <c r="BN532" s="4">
        <f t="shared" si="475"/>
        <v>0</v>
      </c>
      <c r="BO532" s="4">
        <f t="shared" si="476"/>
        <v>0</v>
      </c>
      <c r="BP532" s="4">
        <f t="shared" si="477"/>
        <v>0</v>
      </c>
      <c r="BQ532" s="4">
        <f t="shared" si="478"/>
        <v>0</v>
      </c>
      <c r="BR532" s="4">
        <f t="shared" si="479"/>
        <v>0</v>
      </c>
      <c r="BS532" s="4">
        <f t="shared" si="480"/>
        <v>0</v>
      </c>
      <c r="BT532" s="4">
        <f t="shared" si="481"/>
        <v>0</v>
      </c>
      <c r="BU532" s="4">
        <f t="shared" si="482"/>
        <v>0</v>
      </c>
      <c r="BV532" s="4">
        <f t="shared" si="483"/>
        <v>0</v>
      </c>
      <c r="BW532" s="4">
        <f t="shared" si="484"/>
        <v>0</v>
      </c>
      <c r="BX532" s="4">
        <f t="shared" si="485"/>
        <v>0</v>
      </c>
      <c r="BY532" s="4">
        <f t="shared" si="486"/>
        <v>0</v>
      </c>
      <c r="BZ532" s="4">
        <f t="shared" si="487"/>
        <v>0</v>
      </c>
      <c r="CA532" s="4">
        <f t="shared" si="488"/>
        <v>0</v>
      </c>
      <c r="CB532" s="4">
        <f t="shared" si="489"/>
        <v>0</v>
      </c>
      <c r="CC532" s="4">
        <f t="shared" si="490"/>
        <v>0</v>
      </c>
      <c r="CD532" s="4">
        <f t="shared" si="491"/>
        <v>0</v>
      </c>
      <c r="CE532" s="4">
        <f t="shared" si="492"/>
        <v>0</v>
      </c>
      <c r="CF532" s="4">
        <f t="shared" si="493"/>
        <v>0</v>
      </c>
      <c r="CG532" s="4">
        <f t="shared" si="494"/>
        <v>0</v>
      </c>
      <c r="CH532" s="4">
        <f t="shared" si="495"/>
        <v>0</v>
      </c>
      <c r="CI532" s="4">
        <f t="shared" si="496"/>
        <v>0</v>
      </c>
      <c r="CJ532" s="4">
        <f t="shared" si="497"/>
        <v>0</v>
      </c>
      <c r="CK532" s="4">
        <f t="shared" si="498"/>
        <v>0</v>
      </c>
      <c r="CL532" s="4">
        <f t="shared" si="499"/>
        <v>0</v>
      </c>
      <c r="CM532" s="4">
        <f t="shared" si="500"/>
        <v>0</v>
      </c>
      <c r="CN532" s="4">
        <f t="shared" si="501"/>
        <v>0</v>
      </c>
      <c r="CO532" s="4">
        <f t="shared" si="502"/>
        <v>0</v>
      </c>
      <c r="CP532" s="4">
        <f t="shared" si="503"/>
        <v>0</v>
      </c>
      <c r="CQ532" s="4">
        <f t="shared" si="504"/>
        <v>0</v>
      </c>
      <c r="CR532" s="4">
        <f t="shared" si="505"/>
        <v>0</v>
      </c>
      <c r="CS532" s="4">
        <f t="shared" si="506"/>
        <v>0</v>
      </c>
      <c r="CT532" s="4">
        <f t="shared" si="507"/>
        <v>0</v>
      </c>
      <c r="CU532" s="4">
        <f t="shared" si="508"/>
        <v>0</v>
      </c>
      <c r="CV532" s="4">
        <f t="shared" si="509"/>
        <v>0</v>
      </c>
      <c r="CW532" s="4">
        <f t="shared" si="510"/>
        <v>0</v>
      </c>
      <c r="CX532" s="4">
        <f t="shared" si="511"/>
        <v>0</v>
      </c>
      <c r="CY532" s="4">
        <f t="shared" si="512"/>
        <v>0</v>
      </c>
      <c r="CZ532" s="4">
        <f t="shared" si="513"/>
        <v>0</v>
      </c>
      <c r="DA532" s="4">
        <f t="shared" si="514"/>
        <v>0</v>
      </c>
      <c r="DB532" s="4">
        <f t="shared" si="515"/>
        <v>0</v>
      </c>
      <c r="DC532" s="4">
        <f t="shared" si="516"/>
        <v>0</v>
      </c>
      <c r="DD532" s="4">
        <f t="shared" si="517"/>
        <v>0</v>
      </c>
    </row>
    <row r="533" spans="1:108" x14ac:dyDescent="0.25">
      <c r="A533" s="41" t="str">
        <f>Skills!M515</f>
        <v>Diplomacy</v>
      </c>
      <c r="B533" s="57" t="str">
        <f>Skills!N515</f>
        <v>Diplomacy</v>
      </c>
      <c r="C533" s="24">
        <f t="shared" si="518"/>
        <v>0</v>
      </c>
      <c r="D533" s="110">
        <f ca="1">Skills!S515</f>
        <v>0</v>
      </c>
      <c r="E533" s="111" t="e">
        <f>Profession!B243</f>
        <v>#REF!</v>
      </c>
      <c r="F533" s="18"/>
      <c r="G533" s="18"/>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49"/>
      <c r="BF533" s="4">
        <f t="shared" si="468"/>
        <v>0</v>
      </c>
      <c r="BG533" s="4">
        <f t="shared" si="468"/>
        <v>0</v>
      </c>
      <c r="BH533" s="4">
        <f t="shared" si="469"/>
        <v>0</v>
      </c>
      <c r="BI533" s="4">
        <f t="shared" si="470"/>
        <v>0</v>
      </c>
      <c r="BJ533" s="4">
        <f t="shared" si="471"/>
        <v>0</v>
      </c>
      <c r="BK533" s="4">
        <f t="shared" si="472"/>
        <v>0</v>
      </c>
      <c r="BL533" s="4">
        <f t="shared" si="473"/>
        <v>0</v>
      </c>
      <c r="BM533" s="4">
        <f t="shared" si="474"/>
        <v>0</v>
      </c>
      <c r="BN533" s="4">
        <f t="shared" si="475"/>
        <v>0</v>
      </c>
      <c r="BO533" s="4">
        <f t="shared" si="476"/>
        <v>0</v>
      </c>
      <c r="BP533" s="4">
        <f t="shared" si="477"/>
        <v>0</v>
      </c>
      <c r="BQ533" s="4">
        <f t="shared" si="478"/>
        <v>0</v>
      </c>
      <c r="BR533" s="4">
        <f t="shared" si="479"/>
        <v>0</v>
      </c>
      <c r="BS533" s="4">
        <f t="shared" si="480"/>
        <v>0</v>
      </c>
      <c r="BT533" s="4">
        <f t="shared" si="481"/>
        <v>0</v>
      </c>
      <c r="BU533" s="4">
        <f t="shared" si="482"/>
        <v>0</v>
      </c>
      <c r="BV533" s="4">
        <f t="shared" si="483"/>
        <v>0</v>
      </c>
      <c r="BW533" s="4">
        <f t="shared" si="484"/>
        <v>0</v>
      </c>
      <c r="BX533" s="4">
        <f t="shared" si="485"/>
        <v>0</v>
      </c>
      <c r="BY533" s="4">
        <f t="shared" si="486"/>
        <v>0</v>
      </c>
      <c r="BZ533" s="4">
        <f t="shared" si="487"/>
        <v>0</v>
      </c>
      <c r="CA533" s="4">
        <f t="shared" si="488"/>
        <v>0</v>
      </c>
      <c r="CB533" s="4">
        <f t="shared" si="489"/>
        <v>0</v>
      </c>
      <c r="CC533" s="4">
        <f t="shared" si="490"/>
        <v>0</v>
      </c>
      <c r="CD533" s="4">
        <f t="shared" si="491"/>
        <v>0</v>
      </c>
      <c r="CE533" s="4">
        <f t="shared" si="492"/>
        <v>0</v>
      </c>
      <c r="CF533" s="4">
        <f t="shared" si="493"/>
        <v>0</v>
      </c>
      <c r="CG533" s="4">
        <f t="shared" si="494"/>
        <v>0</v>
      </c>
      <c r="CH533" s="4">
        <f t="shared" si="495"/>
        <v>0</v>
      </c>
      <c r="CI533" s="4">
        <f t="shared" si="496"/>
        <v>0</v>
      </c>
      <c r="CJ533" s="4">
        <f t="shared" si="497"/>
        <v>0</v>
      </c>
      <c r="CK533" s="4">
        <f t="shared" si="498"/>
        <v>0</v>
      </c>
      <c r="CL533" s="4">
        <f t="shared" si="499"/>
        <v>0</v>
      </c>
      <c r="CM533" s="4">
        <f t="shared" si="500"/>
        <v>0</v>
      </c>
      <c r="CN533" s="4">
        <f t="shared" si="501"/>
        <v>0</v>
      </c>
      <c r="CO533" s="4">
        <f t="shared" si="502"/>
        <v>0</v>
      </c>
      <c r="CP533" s="4">
        <f t="shared" si="503"/>
        <v>0</v>
      </c>
      <c r="CQ533" s="4">
        <f t="shared" si="504"/>
        <v>0</v>
      </c>
      <c r="CR533" s="4">
        <f t="shared" si="505"/>
        <v>0</v>
      </c>
      <c r="CS533" s="4">
        <f t="shared" si="506"/>
        <v>0</v>
      </c>
      <c r="CT533" s="4">
        <f t="shared" si="507"/>
        <v>0</v>
      </c>
      <c r="CU533" s="4">
        <f t="shared" si="508"/>
        <v>0</v>
      </c>
      <c r="CV533" s="4">
        <f t="shared" si="509"/>
        <v>0</v>
      </c>
      <c r="CW533" s="4">
        <f t="shared" si="510"/>
        <v>0</v>
      </c>
      <c r="CX533" s="4">
        <f t="shared" si="511"/>
        <v>0</v>
      </c>
      <c r="CY533" s="4">
        <f t="shared" si="512"/>
        <v>0</v>
      </c>
      <c r="CZ533" s="4">
        <f t="shared" si="513"/>
        <v>0</v>
      </c>
      <c r="DA533" s="4">
        <f t="shared" si="514"/>
        <v>0</v>
      </c>
      <c r="DB533" s="4">
        <f t="shared" si="515"/>
        <v>0</v>
      </c>
      <c r="DC533" s="4">
        <f t="shared" si="516"/>
        <v>0</v>
      </c>
      <c r="DD533" s="4">
        <f t="shared" si="517"/>
        <v>0</v>
      </c>
    </row>
    <row r="534" spans="1:108" x14ac:dyDescent="0.25">
      <c r="A534" s="41" t="str">
        <f>Skills!M516</f>
        <v>Education</v>
      </c>
      <c r="B534" s="55" t="str">
        <f>Skills!N516</f>
        <v>Education</v>
      </c>
      <c r="C534" s="22">
        <f t="shared" si="518"/>
        <v>0</v>
      </c>
      <c r="D534" s="112">
        <f ca="1">Skills!S516</f>
        <v>0</v>
      </c>
      <c r="E534" s="113" t="e">
        <f>Profession!B244</f>
        <v>#REF!</v>
      </c>
      <c r="F534" s="19"/>
      <c r="G534" s="19"/>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56"/>
      <c r="BF534" s="4">
        <f t="shared" si="468"/>
        <v>0</v>
      </c>
      <c r="BG534" s="4">
        <f t="shared" si="468"/>
        <v>0</v>
      </c>
      <c r="BH534" s="4">
        <f t="shared" si="469"/>
        <v>0</v>
      </c>
      <c r="BI534" s="4">
        <f t="shared" si="470"/>
        <v>0</v>
      </c>
      <c r="BJ534" s="4">
        <f t="shared" si="471"/>
        <v>0</v>
      </c>
      <c r="BK534" s="4">
        <f t="shared" si="472"/>
        <v>0</v>
      </c>
      <c r="BL534" s="4">
        <f t="shared" si="473"/>
        <v>0</v>
      </c>
      <c r="BM534" s="4">
        <f t="shared" si="474"/>
        <v>0</v>
      </c>
      <c r="BN534" s="4">
        <f t="shared" si="475"/>
        <v>0</v>
      </c>
      <c r="BO534" s="4">
        <f t="shared" si="476"/>
        <v>0</v>
      </c>
      <c r="BP534" s="4">
        <f t="shared" si="477"/>
        <v>0</v>
      </c>
      <c r="BQ534" s="4">
        <f t="shared" si="478"/>
        <v>0</v>
      </c>
      <c r="BR534" s="4">
        <f t="shared" si="479"/>
        <v>0</v>
      </c>
      <c r="BS534" s="4">
        <f t="shared" si="480"/>
        <v>0</v>
      </c>
      <c r="BT534" s="4">
        <f t="shared" si="481"/>
        <v>0</v>
      </c>
      <c r="BU534" s="4">
        <f t="shared" si="482"/>
        <v>0</v>
      </c>
      <c r="BV534" s="4">
        <f t="shared" si="483"/>
        <v>0</v>
      </c>
      <c r="BW534" s="4">
        <f t="shared" si="484"/>
        <v>0</v>
      </c>
      <c r="BX534" s="4">
        <f t="shared" si="485"/>
        <v>0</v>
      </c>
      <c r="BY534" s="4">
        <f t="shared" si="486"/>
        <v>0</v>
      </c>
      <c r="BZ534" s="4">
        <f t="shared" si="487"/>
        <v>0</v>
      </c>
      <c r="CA534" s="4">
        <f t="shared" si="488"/>
        <v>0</v>
      </c>
      <c r="CB534" s="4">
        <f t="shared" si="489"/>
        <v>0</v>
      </c>
      <c r="CC534" s="4">
        <f t="shared" si="490"/>
        <v>0</v>
      </c>
      <c r="CD534" s="4">
        <f t="shared" si="491"/>
        <v>0</v>
      </c>
      <c r="CE534" s="4">
        <f t="shared" si="492"/>
        <v>0</v>
      </c>
      <c r="CF534" s="4">
        <f t="shared" si="493"/>
        <v>0</v>
      </c>
      <c r="CG534" s="4">
        <f t="shared" si="494"/>
        <v>0</v>
      </c>
      <c r="CH534" s="4">
        <f t="shared" si="495"/>
        <v>0</v>
      </c>
      <c r="CI534" s="4">
        <f t="shared" si="496"/>
        <v>0</v>
      </c>
      <c r="CJ534" s="4">
        <f t="shared" si="497"/>
        <v>0</v>
      </c>
      <c r="CK534" s="4">
        <f t="shared" si="498"/>
        <v>0</v>
      </c>
      <c r="CL534" s="4">
        <f t="shared" si="499"/>
        <v>0</v>
      </c>
      <c r="CM534" s="4">
        <f t="shared" si="500"/>
        <v>0</v>
      </c>
      <c r="CN534" s="4">
        <f t="shared" si="501"/>
        <v>0</v>
      </c>
      <c r="CO534" s="4">
        <f t="shared" si="502"/>
        <v>0</v>
      </c>
      <c r="CP534" s="4">
        <f t="shared" si="503"/>
        <v>0</v>
      </c>
      <c r="CQ534" s="4">
        <f t="shared" si="504"/>
        <v>0</v>
      </c>
      <c r="CR534" s="4">
        <f t="shared" si="505"/>
        <v>0</v>
      </c>
      <c r="CS534" s="4">
        <f t="shared" si="506"/>
        <v>0</v>
      </c>
      <c r="CT534" s="4">
        <f t="shared" si="507"/>
        <v>0</v>
      </c>
      <c r="CU534" s="4">
        <f t="shared" si="508"/>
        <v>0</v>
      </c>
      <c r="CV534" s="4">
        <f t="shared" si="509"/>
        <v>0</v>
      </c>
      <c r="CW534" s="4">
        <f t="shared" si="510"/>
        <v>0</v>
      </c>
      <c r="CX534" s="4">
        <f t="shared" si="511"/>
        <v>0</v>
      </c>
      <c r="CY534" s="4">
        <f t="shared" si="512"/>
        <v>0</v>
      </c>
      <c r="CZ534" s="4">
        <f t="shared" si="513"/>
        <v>0</v>
      </c>
      <c r="DA534" s="4">
        <f t="shared" si="514"/>
        <v>0</v>
      </c>
      <c r="DB534" s="4">
        <f t="shared" si="515"/>
        <v>0</v>
      </c>
      <c r="DC534" s="4">
        <f t="shared" si="516"/>
        <v>0</v>
      </c>
      <c r="DD534" s="4">
        <f t="shared" si="517"/>
        <v>0</v>
      </c>
    </row>
    <row r="535" spans="1:108" x14ac:dyDescent="0.25">
      <c r="A535" s="41" t="str">
        <f>Skills!M517</f>
        <v>Hypnosis</v>
      </c>
      <c r="B535" s="57" t="str">
        <f>Skills!N517</f>
        <v>Hypnosis</v>
      </c>
      <c r="C535" s="24">
        <f t="shared" si="518"/>
        <v>0</v>
      </c>
      <c r="D535" s="110">
        <f ca="1">Skills!S517</f>
        <v>0</v>
      </c>
      <c r="E535" s="111" t="e">
        <f>Profession!B245</f>
        <v>#REF!</v>
      </c>
      <c r="F535" s="18"/>
      <c r="G535" s="18"/>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49"/>
      <c r="BF535" s="4">
        <f t="shared" si="468"/>
        <v>0</v>
      </c>
      <c r="BG535" s="4">
        <f t="shared" si="468"/>
        <v>0</v>
      </c>
      <c r="BH535" s="4">
        <f t="shared" si="469"/>
        <v>0</v>
      </c>
      <c r="BI535" s="4">
        <f t="shared" si="470"/>
        <v>0</v>
      </c>
      <c r="BJ535" s="4">
        <f t="shared" si="471"/>
        <v>0</v>
      </c>
      <c r="BK535" s="4">
        <f t="shared" si="472"/>
        <v>0</v>
      </c>
      <c r="BL535" s="4">
        <f t="shared" si="473"/>
        <v>0</v>
      </c>
      <c r="BM535" s="4">
        <f t="shared" si="474"/>
        <v>0</v>
      </c>
      <c r="BN535" s="4">
        <f t="shared" si="475"/>
        <v>0</v>
      </c>
      <c r="BO535" s="4">
        <f t="shared" si="476"/>
        <v>0</v>
      </c>
      <c r="BP535" s="4">
        <f t="shared" si="477"/>
        <v>0</v>
      </c>
      <c r="BQ535" s="4">
        <f t="shared" si="478"/>
        <v>0</v>
      </c>
      <c r="BR535" s="4">
        <f t="shared" si="479"/>
        <v>0</v>
      </c>
      <c r="BS535" s="4">
        <f t="shared" si="480"/>
        <v>0</v>
      </c>
      <c r="BT535" s="4">
        <f t="shared" si="481"/>
        <v>0</v>
      </c>
      <c r="BU535" s="4">
        <f t="shared" si="482"/>
        <v>0</v>
      </c>
      <c r="BV535" s="4">
        <f t="shared" si="483"/>
        <v>0</v>
      </c>
      <c r="BW535" s="4">
        <f t="shared" si="484"/>
        <v>0</v>
      </c>
      <c r="BX535" s="4">
        <f t="shared" si="485"/>
        <v>0</v>
      </c>
      <c r="BY535" s="4">
        <f t="shared" si="486"/>
        <v>0</v>
      </c>
      <c r="BZ535" s="4">
        <f t="shared" si="487"/>
        <v>0</v>
      </c>
      <c r="CA535" s="4">
        <f t="shared" si="488"/>
        <v>0</v>
      </c>
      <c r="CB535" s="4">
        <f t="shared" si="489"/>
        <v>0</v>
      </c>
      <c r="CC535" s="4">
        <f t="shared" si="490"/>
        <v>0</v>
      </c>
      <c r="CD535" s="4">
        <f t="shared" si="491"/>
        <v>0</v>
      </c>
      <c r="CE535" s="4">
        <f t="shared" si="492"/>
        <v>0</v>
      </c>
      <c r="CF535" s="4">
        <f t="shared" si="493"/>
        <v>0</v>
      </c>
      <c r="CG535" s="4">
        <f t="shared" si="494"/>
        <v>0</v>
      </c>
      <c r="CH535" s="4">
        <f t="shared" si="495"/>
        <v>0</v>
      </c>
      <c r="CI535" s="4">
        <f t="shared" si="496"/>
        <v>0</v>
      </c>
      <c r="CJ535" s="4">
        <f t="shared" si="497"/>
        <v>0</v>
      </c>
      <c r="CK535" s="4">
        <f t="shared" si="498"/>
        <v>0</v>
      </c>
      <c r="CL535" s="4">
        <f t="shared" si="499"/>
        <v>0</v>
      </c>
      <c r="CM535" s="4">
        <f t="shared" si="500"/>
        <v>0</v>
      </c>
      <c r="CN535" s="4">
        <f t="shared" si="501"/>
        <v>0</v>
      </c>
      <c r="CO535" s="4">
        <f t="shared" si="502"/>
        <v>0</v>
      </c>
      <c r="CP535" s="4">
        <f t="shared" si="503"/>
        <v>0</v>
      </c>
      <c r="CQ535" s="4">
        <f t="shared" si="504"/>
        <v>0</v>
      </c>
      <c r="CR535" s="4">
        <f t="shared" si="505"/>
        <v>0</v>
      </c>
      <c r="CS535" s="4">
        <f t="shared" si="506"/>
        <v>0</v>
      </c>
      <c r="CT535" s="4">
        <f t="shared" si="507"/>
        <v>0</v>
      </c>
      <c r="CU535" s="4">
        <f t="shared" si="508"/>
        <v>0</v>
      </c>
      <c r="CV535" s="4">
        <f t="shared" si="509"/>
        <v>0</v>
      </c>
      <c r="CW535" s="4">
        <f t="shared" si="510"/>
        <v>0</v>
      </c>
      <c r="CX535" s="4">
        <f t="shared" si="511"/>
        <v>0</v>
      </c>
      <c r="CY535" s="4">
        <f t="shared" si="512"/>
        <v>0</v>
      </c>
      <c r="CZ535" s="4">
        <f t="shared" si="513"/>
        <v>0</v>
      </c>
      <c r="DA535" s="4">
        <f t="shared" si="514"/>
        <v>0</v>
      </c>
      <c r="DB535" s="4">
        <f t="shared" si="515"/>
        <v>0</v>
      </c>
      <c r="DC535" s="4">
        <f t="shared" si="516"/>
        <v>0</v>
      </c>
      <c r="DD535" s="4">
        <f t="shared" si="517"/>
        <v>0</v>
      </c>
    </row>
    <row r="536" spans="1:108" x14ac:dyDescent="0.25">
      <c r="A536" s="41" t="str">
        <f>Skills!M518</f>
        <v>Interrogation</v>
      </c>
      <c r="B536" s="55" t="str">
        <f>Skills!N518</f>
        <v>Interrogation</v>
      </c>
      <c r="C536" s="22">
        <f t="shared" si="518"/>
        <v>0</v>
      </c>
      <c r="D536" s="112">
        <f ca="1">Skills!S518</f>
        <v>0</v>
      </c>
      <c r="E536" s="113" t="e">
        <f>Profession!B246</f>
        <v>#REF!</v>
      </c>
      <c r="F536" s="19"/>
      <c r="G536" s="19"/>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56"/>
      <c r="BF536" s="4">
        <f t="shared" si="468"/>
        <v>0</v>
      </c>
      <c r="BG536" s="4">
        <f t="shared" si="468"/>
        <v>0</v>
      </c>
      <c r="BH536" s="4">
        <f t="shared" si="469"/>
        <v>0</v>
      </c>
      <c r="BI536" s="4">
        <f t="shared" si="470"/>
        <v>0</v>
      </c>
      <c r="BJ536" s="4">
        <f t="shared" si="471"/>
        <v>0</v>
      </c>
      <c r="BK536" s="4">
        <f t="shared" si="472"/>
        <v>0</v>
      </c>
      <c r="BL536" s="4">
        <f t="shared" si="473"/>
        <v>0</v>
      </c>
      <c r="BM536" s="4">
        <f t="shared" si="474"/>
        <v>0</v>
      </c>
      <c r="BN536" s="4">
        <f t="shared" si="475"/>
        <v>0</v>
      </c>
      <c r="BO536" s="4">
        <f t="shared" si="476"/>
        <v>0</v>
      </c>
      <c r="BP536" s="4">
        <f t="shared" si="477"/>
        <v>0</v>
      </c>
      <c r="BQ536" s="4">
        <f t="shared" si="478"/>
        <v>0</v>
      </c>
      <c r="BR536" s="4">
        <f t="shared" si="479"/>
        <v>0</v>
      </c>
      <c r="BS536" s="4">
        <f t="shared" si="480"/>
        <v>0</v>
      </c>
      <c r="BT536" s="4">
        <f t="shared" si="481"/>
        <v>0</v>
      </c>
      <c r="BU536" s="4">
        <f t="shared" si="482"/>
        <v>0</v>
      </c>
      <c r="BV536" s="4">
        <f t="shared" si="483"/>
        <v>0</v>
      </c>
      <c r="BW536" s="4">
        <f t="shared" si="484"/>
        <v>0</v>
      </c>
      <c r="BX536" s="4">
        <f t="shared" si="485"/>
        <v>0</v>
      </c>
      <c r="BY536" s="4">
        <f t="shared" si="486"/>
        <v>0</v>
      </c>
      <c r="BZ536" s="4">
        <f t="shared" si="487"/>
        <v>0</v>
      </c>
      <c r="CA536" s="4">
        <f t="shared" si="488"/>
        <v>0</v>
      </c>
      <c r="CB536" s="4">
        <f t="shared" si="489"/>
        <v>0</v>
      </c>
      <c r="CC536" s="4">
        <f t="shared" si="490"/>
        <v>0</v>
      </c>
      <c r="CD536" s="4">
        <f t="shared" si="491"/>
        <v>0</v>
      </c>
      <c r="CE536" s="4">
        <f t="shared" si="492"/>
        <v>0</v>
      </c>
      <c r="CF536" s="4">
        <f t="shared" si="493"/>
        <v>0</v>
      </c>
      <c r="CG536" s="4">
        <f t="shared" si="494"/>
        <v>0</v>
      </c>
      <c r="CH536" s="4">
        <f t="shared" si="495"/>
        <v>0</v>
      </c>
      <c r="CI536" s="4">
        <f t="shared" si="496"/>
        <v>0</v>
      </c>
      <c r="CJ536" s="4">
        <f t="shared" si="497"/>
        <v>0</v>
      </c>
      <c r="CK536" s="4">
        <f t="shared" si="498"/>
        <v>0</v>
      </c>
      <c r="CL536" s="4">
        <f t="shared" si="499"/>
        <v>0</v>
      </c>
      <c r="CM536" s="4">
        <f t="shared" si="500"/>
        <v>0</v>
      </c>
      <c r="CN536" s="4">
        <f t="shared" si="501"/>
        <v>0</v>
      </c>
      <c r="CO536" s="4">
        <f t="shared" si="502"/>
        <v>0</v>
      </c>
      <c r="CP536" s="4">
        <f t="shared" si="503"/>
        <v>0</v>
      </c>
      <c r="CQ536" s="4">
        <f t="shared" si="504"/>
        <v>0</v>
      </c>
      <c r="CR536" s="4">
        <f t="shared" si="505"/>
        <v>0</v>
      </c>
      <c r="CS536" s="4">
        <f t="shared" si="506"/>
        <v>0</v>
      </c>
      <c r="CT536" s="4">
        <f t="shared" si="507"/>
        <v>0</v>
      </c>
      <c r="CU536" s="4">
        <f t="shared" si="508"/>
        <v>0</v>
      </c>
      <c r="CV536" s="4">
        <f t="shared" si="509"/>
        <v>0</v>
      </c>
      <c r="CW536" s="4">
        <f t="shared" si="510"/>
        <v>0</v>
      </c>
      <c r="CX536" s="4">
        <f t="shared" si="511"/>
        <v>0</v>
      </c>
      <c r="CY536" s="4">
        <f t="shared" si="512"/>
        <v>0</v>
      </c>
      <c r="CZ536" s="4">
        <f t="shared" si="513"/>
        <v>0</v>
      </c>
      <c r="DA536" s="4">
        <f t="shared" si="514"/>
        <v>0</v>
      </c>
      <c r="DB536" s="4">
        <f t="shared" si="515"/>
        <v>0</v>
      </c>
      <c r="DC536" s="4">
        <f t="shared" si="516"/>
        <v>0</v>
      </c>
      <c r="DD536" s="4">
        <f t="shared" si="517"/>
        <v>0</v>
      </c>
    </row>
    <row r="537" spans="1:108" x14ac:dyDescent="0.25">
      <c r="A537" s="41" t="str">
        <f>Skills!M519</f>
        <v>Labour Relations</v>
      </c>
      <c r="B537" s="57" t="str">
        <f>Skills!N519</f>
        <v>Labour Relations</v>
      </c>
      <c r="C537" s="24">
        <f t="shared" si="518"/>
        <v>0</v>
      </c>
      <c r="D537" s="110">
        <f>Skills!S519</f>
        <v>0</v>
      </c>
      <c r="E537" s="111" t="e">
        <f>Profession!B247</f>
        <v>#REF!</v>
      </c>
      <c r="F537" s="18"/>
      <c r="G537" s="18"/>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49"/>
      <c r="BF537" s="4">
        <f t="shared" si="468"/>
        <v>0</v>
      </c>
      <c r="BG537" s="4">
        <f t="shared" si="468"/>
        <v>0</v>
      </c>
      <c r="BH537" s="4">
        <f t="shared" si="469"/>
        <v>0</v>
      </c>
      <c r="BI537" s="4">
        <f t="shared" si="470"/>
        <v>0</v>
      </c>
      <c r="BJ537" s="4">
        <f t="shared" si="471"/>
        <v>0</v>
      </c>
      <c r="BK537" s="4">
        <f t="shared" si="472"/>
        <v>0</v>
      </c>
      <c r="BL537" s="4">
        <f t="shared" si="473"/>
        <v>0</v>
      </c>
      <c r="BM537" s="4">
        <f t="shared" si="474"/>
        <v>0</v>
      </c>
      <c r="BN537" s="4">
        <f t="shared" si="475"/>
        <v>0</v>
      </c>
      <c r="BO537" s="4">
        <f t="shared" si="476"/>
        <v>0</v>
      </c>
      <c r="BP537" s="4">
        <f t="shared" si="477"/>
        <v>0</v>
      </c>
      <c r="BQ537" s="4">
        <f t="shared" si="478"/>
        <v>0</v>
      </c>
      <c r="BR537" s="4">
        <f t="shared" si="479"/>
        <v>0</v>
      </c>
      <c r="BS537" s="4">
        <f t="shared" si="480"/>
        <v>0</v>
      </c>
      <c r="BT537" s="4">
        <f t="shared" si="481"/>
        <v>0</v>
      </c>
      <c r="BU537" s="4">
        <f t="shared" si="482"/>
        <v>0</v>
      </c>
      <c r="BV537" s="4">
        <f t="shared" si="483"/>
        <v>0</v>
      </c>
      <c r="BW537" s="4">
        <f t="shared" si="484"/>
        <v>0</v>
      </c>
      <c r="BX537" s="4">
        <f t="shared" si="485"/>
        <v>0</v>
      </c>
      <c r="BY537" s="4">
        <f t="shared" si="486"/>
        <v>0</v>
      </c>
      <c r="BZ537" s="4">
        <f t="shared" si="487"/>
        <v>0</v>
      </c>
      <c r="CA537" s="4">
        <f t="shared" si="488"/>
        <v>0</v>
      </c>
      <c r="CB537" s="4">
        <f t="shared" si="489"/>
        <v>0</v>
      </c>
      <c r="CC537" s="4">
        <f t="shared" si="490"/>
        <v>0</v>
      </c>
      <c r="CD537" s="4">
        <f t="shared" si="491"/>
        <v>0</v>
      </c>
      <c r="CE537" s="4">
        <f t="shared" si="492"/>
        <v>0</v>
      </c>
      <c r="CF537" s="4">
        <f t="shared" si="493"/>
        <v>0</v>
      </c>
      <c r="CG537" s="4">
        <f t="shared" si="494"/>
        <v>0</v>
      </c>
      <c r="CH537" s="4">
        <f t="shared" si="495"/>
        <v>0</v>
      </c>
      <c r="CI537" s="4">
        <f t="shared" si="496"/>
        <v>0</v>
      </c>
      <c r="CJ537" s="4">
        <f t="shared" si="497"/>
        <v>0</v>
      </c>
      <c r="CK537" s="4">
        <f t="shared" si="498"/>
        <v>0</v>
      </c>
      <c r="CL537" s="4">
        <f t="shared" si="499"/>
        <v>0</v>
      </c>
      <c r="CM537" s="4">
        <f t="shared" si="500"/>
        <v>0</v>
      </c>
      <c r="CN537" s="4">
        <f t="shared" si="501"/>
        <v>0</v>
      </c>
      <c r="CO537" s="4">
        <f t="shared" si="502"/>
        <v>0</v>
      </c>
      <c r="CP537" s="4">
        <f t="shared" si="503"/>
        <v>0</v>
      </c>
      <c r="CQ537" s="4">
        <f t="shared" si="504"/>
        <v>0</v>
      </c>
      <c r="CR537" s="4">
        <f t="shared" si="505"/>
        <v>0</v>
      </c>
      <c r="CS537" s="4">
        <f t="shared" si="506"/>
        <v>0</v>
      </c>
      <c r="CT537" s="4">
        <f t="shared" si="507"/>
        <v>0</v>
      </c>
      <c r="CU537" s="4">
        <f t="shared" si="508"/>
        <v>0</v>
      </c>
      <c r="CV537" s="4">
        <f t="shared" si="509"/>
        <v>0</v>
      </c>
      <c r="CW537" s="4">
        <f t="shared" si="510"/>
        <v>0</v>
      </c>
      <c r="CX537" s="4">
        <f t="shared" si="511"/>
        <v>0</v>
      </c>
      <c r="CY537" s="4">
        <f t="shared" si="512"/>
        <v>0</v>
      </c>
      <c r="CZ537" s="4">
        <f t="shared" si="513"/>
        <v>0</v>
      </c>
      <c r="DA537" s="4">
        <f t="shared" si="514"/>
        <v>0</v>
      </c>
      <c r="DB537" s="4">
        <f t="shared" si="515"/>
        <v>0</v>
      </c>
      <c r="DC537" s="4">
        <f t="shared" si="516"/>
        <v>0</v>
      </c>
      <c r="DD537" s="4">
        <f t="shared" si="517"/>
        <v>0</v>
      </c>
    </row>
    <row r="538" spans="1:108" x14ac:dyDescent="0.25">
      <c r="A538" s="41" t="str">
        <f>Skills!M520</f>
        <v>Leadership</v>
      </c>
      <c r="B538" s="55" t="str">
        <f>Skills!N520</f>
        <v>Leadership</v>
      </c>
      <c r="C538" s="22">
        <f t="shared" si="518"/>
        <v>0</v>
      </c>
      <c r="D538" s="112">
        <f>Skills!S520</f>
        <v>0</v>
      </c>
      <c r="E538" s="113" t="e">
        <f>Profession!B248</f>
        <v>#REF!</v>
      </c>
      <c r="F538" s="19"/>
      <c r="G538" s="19"/>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56"/>
      <c r="BF538" s="4">
        <f t="shared" si="468"/>
        <v>0</v>
      </c>
      <c r="BG538" s="4">
        <f t="shared" si="468"/>
        <v>0</v>
      </c>
      <c r="BH538" s="4">
        <f t="shared" si="469"/>
        <v>0</v>
      </c>
      <c r="BI538" s="4">
        <f t="shared" si="470"/>
        <v>0</v>
      </c>
      <c r="BJ538" s="4">
        <f t="shared" si="471"/>
        <v>0</v>
      </c>
      <c r="BK538" s="4">
        <f t="shared" si="472"/>
        <v>0</v>
      </c>
      <c r="BL538" s="4">
        <f t="shared" si="473"/>
        <v>0</v>
      </c>
      <c r="BM538" s="4">
        <f t="shared" si="474"/>
        <v>0</v>
      </c>
      <c r="BN538" s="4">
        <f t="shared" si="475"/>
        <v>0</v>
      </c>
      <c r="BO538" s="4">
        <f t="shared" si="476"/>
        <v>0</v>
      </c>
      <c r="BP538" s="4">
        <f t="shared" si="477"/>
        <v>0</v>
      </c>
      <c r="BQ538" s="4">
        <f t="shared" si="478"/>
        <v>0</v>
      </c>
      <c r="BR538" s="4">
        <f t="shared" si="479"/>
        <v>0</v>
      </c>
      <c r="BS538" s="4">
        <f t="shared" si="480"/>
        <v>0</v>
      </c>
      <c r="BT538" s="4">
        <f t="shared" si="481"/>
        <v>0</v>
      </c>
      <c r="BU538" s="4">
        <f t="shared" si="482"/>
        <v>0</v>
      </c>
      <c r="BV538" s="4">
        <f t="shared" si="483"/>
        <v>0</v>
      </c>
      <c r="BW538" s="4">
        <f t="shared" si="484"/>
        <v>0</v>
      </c>
      <c r="BX538" s="4">
        <f t="shared" si="485"/>
        <v>0</v>
      </c>
      <c r="BY538" s="4">
        <f t="shared" si="486"/>
        <v>0</v>
      </c>
      <c r="BZ538" s="4">
        <f t="shared" si="487"/>
        <v>0</v>
      </c>
      <c r="CA538" s="4">
        <f t="shared" si="488"/>
        <v>0</v>
      </c>
      <c r="CB538" s="4">
        <f t="shared" si="489"/>
        <v>0</v>
      </c>
      <c r="CC538" s="4">
        <f t="shared" si="490"/>
        <v>0</v>
      </c>
      <c r="CD538" s="4">
        <f t="shared" si="491"/>
        <v>0</v>
      </c>
      <c r="CE538" s="4">
        <f t="shared" si="492"/>
        <v>0</v>
      </c>
      <c r="CF538" s="4">
        <f t="shared" si="493"/>
        <v>0</v>
      </c>
      <c r="CG538" s="4">
        <f t="shared" si="494"/>
        <v>0</v>
      </c>
      <c r="CH538" s="4">
        <f t="shared" si="495"/>
        <v>0</v>
      </c>
      <c r="CI538" s="4">
        <f t="shared" si="496"/>
        <v>0</v>
      </c>
      <c r="CJ538" s="4">
        <f t="shared" si="497"/>
        <v>0</v>
      </c>
      <c r="CK538" s="4">
        <f t="shared" si="498"/>
        <v>0</v>
      </c>
      <c r="CL538" s="4">
        <f t="shared" si="499"/>
        <v>0</v>
      </c>
      <c r="CM538" s="4">
        <f t="shared" si="500"/>
        <v>0</v>
      </c>
      <c r="CN538" s="4">
        <f t="shared" si="501"/>
        <v>0</v>
      </c>
      <c r="CO538" s="4">
        <f t="shared" si="502"/>
        <v>0</v>
      </c>
      <c r="CP538" s="4">
        <f t="shared" si="503"/>
        <v>0</v>
      </c>
      <c r="CQ538" s="4">
        <f t="shared" si="504"/>
        <v>0</v>
      </c>
      <c r="CR538" s="4">
        <f t="shared" si="505"/>
        <v>0</v>
      </c>
      <c r="CS538" s="4">
        <f t="shared" si="506"/>
        <v>0</v>
      </c>
      <c r="CT538" s="4">
        <f t="shared" si="507"/>
        <v>0</v>
      </c>
      <c r="CU538" s="4">
        <f t="shared" si="508"/>
        <v>0</v>
      </c>
      <c r="CV538" s="4">
        <f t="shared" si="509"/>
        <v>0</v>
      </c>
      <c r="CW538" s="4">
        <f t="shared" si="510"/>
        <v>0</v>
      </c>
      <c r="CX538" s="4">
        <f t="shared" si="511"/>
        <v>0</v>
      </c>
      <c r="CY538" s="4">
        <f t="shared" si="512"/>
        <v>0</v>
      </c>
      <c r="CZ538" s="4">
        <f t="shared" si="513"/>
        <v>0</v>
      </c>
      <c r="DA538" s="4">
        <f t="shared" si="514"/>
        <v>0</v>
      </c>
      <c r="DB538" s="4">
        <f t="shared" si="515"/>
        <v>0</v>
      </c>
      <c r="DC538" s="4">
        <f t="shared" si="516"/>
        <v>0</v>
      </c>
      <c r="DD538" s="4">
        <f t="shared" si="517"/>
        <v>0</v>
      </c>
    </row>
    <row r="539" spans="1:108" x14ac:dyDescent="0.25">
      <c r="A539" s="41" t="str">
        <f>Skills!M521</f>
        <v>Proselytism</v>
      </c>
      <c r="B539" s="57" t="str">
        <f>Skills!N521</f>
        <v>Proselytism</v>
      </c>
      <c r="C539" s="24">
        <f t="shared" si="518"/>
        <v>0</v>
      </c>
      <c r="D539" s="110">
        <f>Skills!S521</f>
        <v>0</v>
      </c>
      <c r="E539" s="111" t="e">
        <f>Profession!B249</f>
        <v>#REF!</v>
      </c>
      <c r="F539" s="18"/>
      <c r="G539" s="18"/>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49"/>
      <c r="BF539" s="4">
        <f t="shared" si="468"/>
        <v>0</v>
      </c>
      <c r="BG539" s="4">
        <f t="shared" si="468"/>
        <v>0</v>
      </c>
      <c r="BH539" s="4">
        <f t="shared" si="469"/>
        <v>0</v>
      </c>
      <c r="BI539" s="4">
        <f t="shared" si="470"/>
        <v>0</v>
      </c>
      <c r="BJ539" s="4">
        <f t="shared" si="471"/>
        <v>0</v>
      </c>
      <c r="BK539" s="4">
        <f t="shared" si="472"/>
        <v>0</v>
      </c>
      <c r="BL539" s="4">
        <f t="shared" si="473"/>
        <v>0</v>
      </c>
      <c r="BM539" s="4">
        <f t="shared" si="474"/>
        <v>0</v>
      </c>
      <c r="BN539" s="4">
        <f t="shared" si="475"/>
        <v>0</v>
      </c>
      <c r="BO539" s="4">
        <f t="shared" si="476"/>
        <v>0</v>
      </c>
      <c r="BP539" s="4">
        <f t="shared" si="477"/>
        <v>0</v>
      </c>
      <c r="BQ539" s="4">
        <f t="shared" si="478"/>
        <v>0</v>
      </c>
      <c r="BR539" s="4">
        <f t="shared" si="479"/>
        <v>0</v>
      </c>
      <c r="BS539" s="4">
        <f t="shared" si="480"/>
        <v>0</v>
      </c>
      <c r="BT539" s="4">
        <f t="shared" si="481"/>
        <v>0</v>
      </c>
      <c r="BU539" s="4">
        <f t="shared" si="482"/>
        <v>0</v>
      </c>
      <c r="BV539" s="4">
        <f t="shared" si="483"/>
        <v>0</v>
      </c>
      <c r="BW539" s="4">
        <f t="shared" si="484"/>
        <v>0</v>
      </c>
      <c r="BX539" s="4">
        <f t="shared" si="485"/>
        <v>0</v>
      </c>
      <c r="BY539" s="4">
        <f t="shared" si="486"/>
        <v>0</v>
      </c>
      <c r="BZ539" s="4">
        <f t="shared" si="487"/>
        <v>0</v>
      </c>
      <c r="CA539" s="4">
        <f t="shared" si="488"/>
        <v>0</v>
      </c>
      <c r="CB539" s="4">
        <f t="shared" si="489"/>
        <v>0</v>
      </c>
      <c r="CC539" s="4">
        <f t="shared" si="490"/>
        <v>0</v>
      </c>
      <c r="CD539" s="4">
        <f t="shared" si="491"/>
        <v>0</v>
      </c>
      <c r="CE539" s="4">
        <f t="shared" si="492"/>
        <v>0</v>
      </c>
      <c r="CF539" s="4">
        <f t="shared" si="493"/>
        <v>0</v>
      </c>
      <c r="CG539" s="4">
        <f t="shared" si="494"/>
        <v>0</v>
      </c>
      <c r="CH539" s="4">
        <f t="shared" si="495"/>
        <v>0</v>
      </c>
      <c r="CI539" s="4">
        <f t="shared" si="496"/>
        <v>0</v>
      </c>
      <c r="CJ539" s="4">
        <f t="shared" si="497"/>
        <v>0</v>
      </c>
      <c r="CK539" s="4">
        <f t="shared" si="498"/>
        <v>0</v>
      </c>
      <c r="CL539" s="4">
        <f t="shared" si="499"/>
        <v>0</v>
      </c>
      <c r="CM539" s="4">
        <f t="shared" si="500"/>
        <v>0</v>
      </c>
      <c r="CN539" s="4">
        <f t="shared" si="501"/>
        <v>0</v>
      </c>
      <c r="CO539" s="4">
        <f t="shared" si="502"/>
        <v>0</v>
      </c>
      <c r="CP539" s="4">
        <f t="shared" si="503"/>
        <v>0</v>
      </c>
      <c r="CQ539" s="4">
        <f t="shared" si="504"/>
        <v>0</v>
      </c>
      <c r="CR539" s="4">
        <f t="shared" si="505"/>
        <v>0</v>
      </c>
      <c r="CS539" s="4">
        <f t="shared" si="506"/>
        <v>0</v>
      </c>
      <c r="CT539" s="4">
        <f t="shared" si="507"/>
        <v>0</v>
      </c>
      <c r="CU539" s="4">
        <f t="shared" si="508"/>
        <v>0</v>
      </c>
      <c r="CV539" s="4">
        <f t="shared" si="509"/>
        <v>0</v>
      </c>
      <c r="CW539" s="4">
        <f t="shared" si="510"/>
        <v>0</v>
      </c>
      <c r="CX539" s="4">
        <f t="shared" si="511"/>
        <v>0</v>
      </c>
      <c r="CY539" s="4">
        <f t="shared" si="512"/>
        <v>0</v>
      </c>
      <c r="CZ539" s="4">
        <f t="shared" si="513"/>
        <v>0</v>
      </c>
      <c r="DA539" s="4">
        <f t="shared" si="514"/>
        <v>0</v>
      </c>
      <c r="DB539" s="4">
        <f t="shared" si="515"/>
        <v>0</v>
      </c>
      <c r="DC539" s="4">
        <f t="shared" si="516"/>
        <v>0</v>
      </c>
      <c r="DD539" s="4">
        <f t="shared" si="517"/>
        <v>0</v>
      </c>
    </row>
    <row r="540" spans="1:108" x14ac:dyDescent="0.25">
      <c r="A540" s="41" t="str">
        <f>Skills!M522</f>
        <v>Social Awareness</v>
      </c>
      <c r="B540" s="55" t="str">
        <f>Skills!N522</f>
        <v>Social Awareness</v>
      </c>
      <c r="C540" s="22">
        <f t="shared" si="518"/>
        <v>0</v>
      </c>
      <c r="D540" s="112">
        <f>Skills!S522</f>
        <v>0</v>
      </c>
      <c r="E540" s="113" t="e">
        <f>Profession!B250</f>
        <v>#REF!</v>
      </c>
      <c r="F540" s="19"/>
      <c r="G540" s="19"/>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56"/>
      <c r="BF540" s="4">
        <f t="shared" si="468"/>
        <v>0</v>
      </c>
      <c r="BG540" s="4">
        <f t="shared" si="468"/>
        <v>0</v>
      </c>
      <c r="BH540" s="4">
        <f t="shared" si="469"/>
        <v>0</v>
      </c>
      <c r="BI540" s="4">
        <f t="shared" si="470"/>
        <v>0</v>
      </c>
      <c r="BJ540" s="4">
        <f t="shared" si="471"/>
        <v>0</v>
      </c>
      <c r="BK540" s="4">
        <f t="shared" si="472"/>
        <v>0</v>
      </c>
      <c r="BL540" s="4">
        <f t="shared" si="473"/>
        <v>0</v>
      </c>
      <c r="BM540" s="4">
        <f t="shared" si="474"/>
        <v>0</v>
      </c>
      <c r="BN540" s="4">
        <f t="shared" si="475"/>
        <v>0</v>
      </c>
      <c r="BO540" s="4">
        <f t="shared" si="476"/>
        <v>0</v>
      </c>
      <c r="BP540" s="4">
        <f t="shared" si="477"/>
        <v>0</v>
      </c>
      <c r="BQ540" s="4">
        <f t="shared" si="478"/>
        <v>0</v>
      </c>
      <c r="BR540" s="4">
        <f t="shared" si="479"/>
        <v>0</v>
      </c>
      <c r="BS540" s="4">
        <f t="shared" si="480"/>
        <v>0</v>
      </c>
      <c r="BT540" s="4">
        <f t="shared" si="481"/>
        <v>0</v>
      </c>
      <c r="BU540" s="4">
        <f t="shared" si="482"/>
        <v>0</v>
      </c>
      <c r="BV540" s="4">
        <f t="shared" si="483"/>
        <v>0</v>
      </c>
      <c r="BW540" s="4">
        <f t="shared" si="484"/>
        <v>0</v>
      </c>
      <c r="BX540" s="4">
        <f t="shared" si="485"/>
        <v>0</v>
      </c>
      <c r="BY540" s="4">
        <f t="shared" si="486"/>
        <v>0</v>
      </c>
      <c r="BZ540" s="4">
        <f t="shared" si="487"/>
        <v>0</v>
      </c>
      <c r="CA540" s="4">
        <f t="shared" si="488"/>
        <v>0</v>
      </c>
      <c r="CB540" s="4">
        <f t="shared" si="489"/>
        <v>0</v>
      </c>
      <c r="CC540" s="4">
        <f t="shared" si="490"/>
        <v>0</v>
      </c>
      <c r="CD540" s="4">
        <f t="shared" si="491"/>
        <v>0</v>
      </c>
      <c r="CE540" s="4">
        <f t="shared" si="492"/>
        <v>0</v>
      </c>
      <c r="CF540" s="4">
        <f t="shared" si="493"/>
        <v>0</v>
      </c>
      <c r="CG540" s="4">
        <f t="shared" si="494"/>
        <v>0</v>
      </c>
      <c r="CH540" s="4">
        <f t="shared" si="495"/>
        <v>0</v>
      </c>
      <c r="CI540" s="4">
        <f t="shared" si="496"/>
        <v>0</v>
      </c>
      <c r="CJ540" s="4">
        <f t="shared" si="497"/>
        <v>0</v>
      </c>
      <c r="CK540" s="4">
        <f t="shared" si="498"/>
        <v>0</v>
      </c>
      <c r="CL540" s="4">
        <f t="shared" si="499"/>
        <v>0</v>
      </c>
      <c r="CM540" s="4">
        <f t="shared" si="500"/>
        <v>0</v>
      </c>
      <c r="CN540" s="4">
        <f t="shared" si="501"/>
        <v>0</v>
      </c>
      <c r="CO540" s="4">
        <f t="shared" si="502"/>
        <v>0</v>
      </c>
      <c r="CP540" s="4">
        <f t="shared" si="503"/>
        <v>0</v>
      </c>
      <c r="CQ540" s="4">
        <f t="shared" si="504"/>
        <v>0</v>
      </c>
      <c r="CR540" s="4">
        <f t="shared" si="505"/>
        <v>0</v>
      </c>
      <c r="CS540" s="4">
        <f t="shared" si="506"/>
        <v>0</v>
      </c>
      <c r="CT540" s="4">
        <f t="shared" si="507"/>
        <v>0</v>
      </c>
      <c r="CU540" s="4">
        <f t="shared" si="508"/>
        <v>0</v>
      </c>
      <c r="CV540" s="4">
        <f t="shared" si="509"/>
        <v>0</v>
      </c>
      <c r="CW540" s="4">
        <f t="shared" si="510"/>
        <v>0</v>
      </c>
      <c r="CX540" s="4">
        <f t="shared" si="511"/>
        <v>0</v>
      </c>
      <c r="CY540" s="4">
        <f t="shared" si="512"/>
        <v>0</v>
      </c>
      <c r="CZ540" s="4">
        <f t="shared" si="513"/>
        <v>0</v>
      </c>
      <c r="DA540" s="4">
        <f t="shared" si="514"/>
        <v>0</v>
      </c>
      <c r="DB540" s="4">
        <f t="shared" si="515"/>
        <v>0</v>
      </c>
      <c r="DC540" s="4">
        <f t="shared" si="516"/>
        <v>0</v>
      </c>
      <c r="DD540" s="4">
        <f t="shared" si="517"/>
        <v>0</v>
      </c>
    </row>
    <row r="541" spans="1:108" x14ac:dyDescent="0.25">
      <c r="A541" s="41" t="str">
        <f>Skills!M523</f>
        <v>Trading</v>
      </c>
      <c r="B541" s="57" t="str">
        <f>Skills!N523</f>
        <v>Trading</v>
      </c>
      <c r="C541" s="24">
        <f t="shared" si="518"/>
        <v>0</v>
      </c>
      <c r="D541" s="110">
        <f>Skills!S523</f>
        <v>0</v>
      </c>
      <c r="E541" s="111" t="e">
        <f>Profession!B251</f>
        <v>#REF!</v>
      </c>
      <c r="F541" s="18"/>
      <c r="G541" s="18"/>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49"/>
      <c r="BF541" s="4">
        <f t="shared" si="468"/>
        <v>0</v>
      </c>
      <c r="BG541" s="4">
        <f t="shared" si="468"/>
        <v>0</v>
      </c>
      <c r="BH541" s="4">
        <f t="shared" si="469"/>
        <v>0</v>
      </c>
      <c r="BI541" s="4">
        <f t="shared" si="470"/>
        <v>0</v>
      </c>
      <c r="BJ541" s="4">
        <f t="shared" si="471"/>
        <v>0</v>
      </c>
      <c r="BK541" s="4">
        <f t="shared" si="472"/>
        <v>0</v>
      </c>
      <c r="BL541" s="4">
        <f t="shared" si="473"/>
        <v>0</v>
      </c>
      <c r="BM541" s="4">
        <f t="shared" si="474"/>
        <v>0</v>
      </c>
      <c r="BN541" s="4">
        <f t="shared" si="475"/>
        <v>0</v>
      </c>
      <c r="BO541" s="4">
        <f t="shared" si="476"/>
        <v>0</v>
      </c>
      <c r="BP541" s="4">
        <f t="shared" si="477"/>
        <v>0</v>
      </c>
      <c r="BQ541" s="4">
        <f t="shared" si="478"/>
        <v>0</v>
      </c>
      <c r="BR541" s="4">
        <f t="shared" si="479"/>
        <v>0</v>
      </c>
      <c r="BS541" s="4">
        <f t="shared" si="480"/>
        <v>0</v>
      </c>
      <c r="BT541" s="4">
        <f t="shared" si="481"/>
        <v>0</v>
      </c>
      <c r="BU541" s="4">
        <f t="shared" si="482"/>
        <v>0</v>
      </c>
      <c r="BV541" s="4">
        <f t="shared" si="483"/>
        <v>0</v>
      </c>
      <c r="BW541" s="4">
        <f t="shared" si="484"/>
        <v>0</v>
      </c>
      <c r="BX541" s="4">
        <f t="shared" si="485"/>
        <v>0</v>
      </c>
      <c r="BY541" s="4">
        <f t="shared" si="486"/>
        <v>0</v>
      </c>
      <c r="BZ541" s="4">
        <f t="shared" si="487"/>
        <v>0</v>
      </c>
      <c r="CA541" s="4">
        <f t="shared" si="488"/>
        <v>0</v>
      </c>
      <c r="CB541" s="4">
        <f t="shared" si="489"/>
        <v>0</v>
      </c>
      <c r="CC541" s="4">
        <f t="shared" si="490"/>
        <v>0</v>
      </c>
      <c r="CD541" s="4">
        <f t="shared" si="491"/>
        <v>0</v>
      </c>
      <c r="CE541" s="4">
        <f t="shared" si="492"/>
        <v>0</v>
      </c>
      <c r="CF541" s="4">
        <f t="shared" si="493"/>
        <v>0</v>
      </c>
      <c r="CG541" s="4">
        <f t="shared" si="494"/>
        <v>0</v>
      </c>
      <c r="CH541" s="4">
        <f t="shared" si="495"/>
        <v>0</v>
      </c>
      <c r="CI541" s="4">
        <f t="shared" si="496"/>
        <v>0</v>
      </c>
      <c r="CJ541" s="4">
        <f t="shared" si="497"/>
        <v>0</v>
      </c>
      <c r="CK541" s="4">
        <f t="shared" si="498"/>
        <v>0</v>
      </c>
      <c r="CL541" s="4">
        <f t="shared" si="499"/>
        <v>0</v>
      </c>
      <c r="CM541" s="4">
        <f t="shared" si="500"/>
        <v>0</v>
      </c>
      <c r="CN541" s="4">
        <f t="shared" si="501"/>
        <v>0</v>
      </c>
      <c r="CO541" s="4">
        <f t="shared" si="502"/>
        <v>0</v>
      </c>
      <c r="CP541" s="4">
        <f t="shared" si="503"/>
        <v>0</v>
      </c>
      <c r="CQ541" s="4">
        <f t="shared" si="504"/>
        <v>0</v>
      </c>
      <c r="CR541" s="4">
        <f t="shared" si="505"/>
        <v>0</v>
      </c>
      <c r="CS541" s="4">
        <f t="shared" si="506"/>
        <v>0</v>
      </c>
      <c r="CT541" s="4">
        <f t="shared" si="507"/>
        <v>0</v>
      </c>
      <c r="CU541" s="4">
        <f t="shared" si="508"/>
        <v>0</v>
      </c>
      <c r="CV541" s="4">
        <f t="shared" si="509"/>
        <v>0</v>
      </c>
      <c r="CW541" s="4">
        <f t="shared" si="510"/>
        <v>0</v>
      </c>
      <c r="CX541" s="4">
        <f t="shared" si="511"/>
        <v>0</v>
      </c>
      <c r="CY541" s="4">
        <f t="shared" si="512"/>
        <v>0</v>
      </c>
      <c r="CZ541" s="4">
        <f t="shared" si="513"/>
        <v>0</v>
      </c>
      <c r="DA541" s="4">
        <f t="shared" si="514"/>
        <v>0</v>
      </c>
      <c r="DB541" s="4">
        <f t="shared" si="515"/>
        <v>0</v>
      </c>
      <c r="DC541" s="4">
        <f t="shared" si="516"/>
        <v>0</v>
      </c>
      <c r="DD541" s="4">
        <f t="shared" si="517"/>
        <v>0</v>
      </c>
    </row>
    <row r="542" spans="1:108" x14ac:dyDescent="0.25">
      <c r="A542" s="41">
        <f>Skills!M524</f>
        <v>0</v>
      </c>
      <c r="B542" s="55" t="str">
        <f>Skills!N524</f>
        <v>Influence Sub-category</v>
      </c>
      <c r="C542" s="22">
        <f t="shared" si="518"/>
        <v>0</v>
      </c>
      <c r="D542" s="112" t="str">
        <f>Skills!S524</f>
        <v>- -</v>
      </c>
      <c r="E542" s="113" t="s">
        <v>782</v>
      </c>
      <c r="F542" s="19"/>
      <c r="G542" s="19"/>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56"/>
      <c r="BF542" s="4">
        <f t="shared" si="468"/>
        <v>0</v>
      </c>
      <c r="BG542" s="4">
        <f t="shared" si="468"/>
        <v>0</v>
      </c>
      <c r="BH542" s="4">
        <f t="shared" si="469"/>
        <v>0</v>
      </c>
      <c r="BI542" s="4">
        <f t="shared" si="470"/>
        <v>0</v>
      </c>
      <c r="BJ542" s="4">
        <f t="shared" si="471"/>
        <v>0</v>
      </c>
      <c r="BK542" s="4">
        <f t="shared" si="472"/>
        <v>0</v>
      </c>
      <c r="BL542" s="4">
        <f t="shared" si="473"/>
        <v>0</v>
      </c>
      <c r="BM542" s="4">
        <f t="shared" si="474"/>
        <v>0</v>
      </c>
      <c r="BN542" s="4">
        <f t="shared" si="475"/>
        <v>0</v>
      </c>
      <c r="BO542" s="4">
        <f t="shared" si="476"/>
        <v>0</v>
      </c>
      <c r="BP542" s="4">
        <f t="shared" si="477"/>
        <v>0</v>
      </c>
      <c r="BQ542" s="4">
        <f t="shared" si="478"/>
        <v>0</v>
      </c>
      <c r="BR542" s="4">
        <f t="shared" si="479"/>
        <v>0</v>
      </c>
      <c r="BS542" s="4">
        <f t="shared" si="480"/>
        <v>0</v>
      </c>
      <c r="BT542" s="4">
        <f t="shared" si="481"/>
        <v>0</v>
      </c>
      <c r="BU542" s="4">
        <f t="shared" si="482"/>
        <v>0</v>
      </c>
      <c r="BV542" s="4">
        <f t="shared" si="483"/>
        <v>0</v>
      </c>
      <c r="BW542" s="4">
        <f t="shared" si="484"/>
        <v>0</v>
      </c>
      <c r="BX542" s="4">
        <f t="shared" si="485"/>
        <v>0</v>
      </c>
      <c r="BY542" s="4">
        <f t="shared" si="486"/>
        <v>0</v>
      </c>
      <c r="BZ542" s="4">
        <f t="shared" si="487"/>
        <v>0</v>
      </c>
      <c r="CA542" s="4">
        <f t="shared" si="488"/>
        <v>0</v>
      </c>
      <c r="CB542" s="4">
        <f t="shared" si="489"/>
        <v>0</v>
      </c>
      <c r="CC542" s="4">
        <f t="shared" si="490"/>
        <v>0</v>
      </c>
      <c r="CD542" s="4">
        <f t="shared" si="491"/>
        <v>0</v>
      </c>
      <c r="CE542" s="4">
        <f t="shared" si="492"/>
        <v>0</v>
      </c>
      <c r="CF542" s="4">
        <f t="shared" si="493"/>
        <v>0</v>
      </c>
      <c r="CG542" s="4">
        <f t="shared" si="494"/>
        <v>0</v>
      </c>
      <c r="CH542" s="4">
        <f t="shared" si="495"/>
        <v>0</v>
      </c>
      <c r="CI542" s="4">
        <f t="shared" si="496"/>
        <v>0</v>
      </c>
      <c r="CJ542" s="4">
        <f t="shared" si="497"/>
        <v>0</v>
      </c>
      <c r="CK542" s="4">
        <f t="shared" si="498"/>
        <v>0</v>
      </c>
      <c r="CL542" s="4">
        <f t="shared" si="499"/>
        <v>0</v>
      </c>
      <c r="CM542" s="4">
        <f t="shared" si="500"/>
        <v>0</v>
      </c>
      <c r="CN542" s="4">
        <f t="shared" si="501"/>
        <v>0</v>
      </c>
      <c r="CO542" s="4">
        <f t="shared" si="502"/>
        <v>0</v>
      </c>
      <c r="CP542" s="4">
        <f t="shared" si="503"/>
        <v>0</v>
      </c>
      <c r="CQ542" s="4">
        <f t="shared" si="504"/>
        <v>0</v>
      </c>
      <c r="CR542" s="4">
        <f t="shared" si="505"/>
        <v>0</v>
      </c>
      <c r="CS542" s="4">
        <f t="shared" si="506"/>
        <v>0</v>
      </c>
      <c r="CT542" s="4">
        <f t="shared" si="507"/>
        <v>0</v>
      </c>
      <c r="CU542" s="4">
        <f t="shared" si="508"/>
        <v>0</v>
      </c>
      <c r="CV542" s="4">
        <f t="shared" si="509"/>
        <v>0</v>
      </c>
      <c r="CW542" s="4">
        <f t="shared" si="510"/>
        <v>0</v>
      </c>
      <c r="CX542" s="4">
        <f t="shared" si="511"/>
        <v>0</v>
      </c>
      <c r="CY542" s="4">
        <f t="shared" si="512"/>
        <v>0</v>
      </c>
      <c r="CZ542" s="4">
        <f t="shared" si="513"/>
        <v>0</v>
      </c>
      <c r="DA542" s="4">
        <f t="shared" si="514"/>
        <v>0</v>
      </c>
      <c r="DB542" s="4">
        <f t="shared" si="515"/>
        <v>0</v>
      </c>
      <c r="DC542" s="4">
        <f t="shared" si="516"/>
        <v>0</v>
      </c>
      <c r="DD542" s="4">
        <f t="shared" si="517"/>
        <v>0</v>
      </c>
    </row>
    <row r="543" spans="1:108" x14ac:dyDescent="0.25">
      <c r="A543" s="41">
        <f>Skills!M525</f>
        <v>0</v>
      </c>
      <c r="B543" s="57" t="str">
        <f>Skills!N525</f>
        <v>Influence Skills</v>
      </c>
      <c r="C543" s="24">
        <f t="shared" si="518"/>
        <v>0</v>
      </c>
      <c r="D543" s="110" t="str">
        <f>Skills!S525</f>
        <v>- -</v>
      </c>
      <c r="E543" s="111" t="s">
        <v>782</v>
      </c>
      <c r="F543" s="18"/>
      <c r="G543" s="18"/>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49"/>
      <c r="BF543" s="4">
        <f t="shared" si="468"/>
        <v>0</v>
      </c>
      <c r="BG543" s="4">
        <f t="shared" si="468"/>
        <v>0</v>
      </c>
      <c r="BH543" s="4">
        <f t="shared" si="469"/>
        <v>0</v>
      </c>
      <c r="BI543" s="4">
        <f t="shared" si="470"/>
        <v>0</v>
      </c>
      <c r="BJ543" s="4">
        <f t="shared" si="471"/>
        <v>0</v>
      </c>
      <c r="BK543" s="4">
        <f t="shared" si="472"/>
        <v>0</v>
      </c>
      <c r="BL543" s="4">
        <f t="shared" si="473"/>
        <v>0</v>
      </c>
      <c r="BM543" s="4">
        <f t="shared" si="474"/>
        <v>0</v>
      </c>
      <c r="BN543" s="4">
        <f t="shared" si="475"/>
        <v>0</v>
      </c>
      <c r="BO543" s="4">
        <f t="shared" si="476"/>
        <v>0</v>
      </c>
      <c r="BP543" s="4">
        <f t="shared" si="477"/>
        <v>0</v>
      </c>
      <c r="BQ543" s="4">
        <f t="shared" si="478"/>
        <v>0</v>
      </c>
      <c r="BR543" s="4">
        <f t="shared" si="479"/>
        <v>0</v>
      </c>
      <c r="BS543" s="4">
        <f t="shared" si="480"/>
        <v>0</v>
      </c>
      <c r="BT543" s="4">
        <f t="shared" si="481"/>
        <v>0</v>
      </c>
      <c r="BU543" s="4">
        <f t="shared" si="482"/>
        <v>0</v>
      </c>
      <c r="BV543" s="4">
        <f t="shared" si="483"/>
        <v>0</v>
      </c>
      <c r="BW543" s="4">
        <f t="shared" si="484"/>
        <v>0</v>
      </c>
      <c r="BX543" s="4">
        <f t="shared" si="485"/>
        <v>0</v>
      </c>
      <c r="BY543" s="4">
        <f t="shared" si="486"/>
        <v>0</v>
      </c>
      <c r="BZ543" s="4">
        <f t="shared" si="487"/>
        <v>0</v>
      </c>
      <c r="CA543" s="4">
        <f t="shared" si="488"/>
        <v>0</v>
      </c>
      <c r="CB543" s="4">
        <f t="shared" si="489"/>
        <v>0</v>
      </c>
      <c r="CC543" s="4">
        <f t="shared" si="490"/>
        <v>0</v>
      </c>
      <c r="CD543" s="4">
        <f t="shared" si="491"/>
        <v>0</v>
      </c>
      <c r="CE543" s="4">
        <f t="shared" si="492"/>
        <v>0</v>
      </c>
      <c r="CF543" s="4">
        <f t="shared" si="493"/>
        <v>0</v>
      </c>
      <c r="CG543" s="4">
        <f t="shared" si="494"/>
        <v>0</v>
      </c>
      <c r="CH543" s="4">
        <f t="shared" si="495"/>
        <v>0</v>
      </c>
      <c r="CI543" s="4">
        <f t="shared" si="496"/>
        <v>0</v>
      </c>
      <c r="CJ543" s="4">
        <f t="shared" si="497"/>
        <v>0</v>
      </c>
      <c r="CK543" s="4">
        <f t="shared" si="498"/>
        <v>0</v>
      </c>
      <c r="CL543" s="4">
        <f t="shared" si="499"/>
        <v>0</v>
      </c>
      <c r="CM543" s="4">
        <f t="shared" si="500"/>
        <v>0</v>
      </c>
      <c r="CN543" s="4">
        <f t="shared" si="501"/>
        <v>0</v>
      </c>
      <c r="CO543" s="4">
        <f t="shared" si="502"/>
        <v>0</v>
      </c>
      <c r="CP543" s="4">
        <f t="shared" si="503"/>
        <v>0</v>
      </c>
      <c r="CQ543" s="4">
        <f t="shared" si="504"/>
        <v>0</v>
      </c>
      <c r="CR543" s="4">
        <f t="shared" si="505"/>
        <v>0</v>
      </c>
      <c r="CS543" s="4">
        <f t="shared" si="506"/>
        <v>0</v>
      </c>
      <c r="CT543" s="4">
        <f t="shared" si="507"/>
        <v>0</v>
      </c>
      <c r="CU543" s="4">
        <f t="shared" si="508"/>
        <v>0</v>
      </c>
      <c r="CV543" s="4">
        <f t="shared" si="509"/>
        <v>0</v>
      </c>
      <c r="CW543" s="4">
        <f t="shared" si="510"/>
        <v>0</v>
      </c>
      <c r="CX543" s="4">
        <f t="shared" si="511"/>
        <v>0</v>
      </c>
      <c r="CY543" s="4">
        <f t="shared" si="512"/>
        <v>0</v>
      </c>
      <c r="CZ543" s="4">
        <f t="shared" si="513"/>
        <v>0</v>
      </c>
      <c r="DA543" s="4">
        <f t="shared" si="514"/>
        <v>0</v>
      </c>
      <c r="DB543" s="4">
        <f t="shared" si="515"/>
        <v>0</v>
      </c>
      <c r="DC543" s="4">
        <f t="shared" si="516"/>
        <v>0</v>
      </c>
      <c r="DD543" s="4">
        <f t="shared" si="517"/>
        <v>0</v>
      </c>
    </row>
    <row r="544" spans="1:108" x14ac:dyDescent="0.25">
      <c r="A544" s="41" t="str">
        <f>Skills!M526</f>
        <v>Influence, Brain Washing</v>
      </c>
      <c r="B544" s="55" t="str">
        <f>Skills!N526</f>
        <v>Brain Washing</v>
      </c>
      <c r="C544" s="22">
        <f t="shared" si="518"/>
        <v>0</v>
      </c>
      <c r="D544" s="112" t="e">
        <f>Skills!S526</f>
        <v>#N/A</v>
      </c>
      <c r="E544" s="113" t="e">
        <f>Profession!B$252</f>
        <v>#REF!</v>
      </c>
      <c r="F544" s="19"/>
      <c r="G544" s="19"/>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56"/>
      <c r="BF544" s="4">
        <f t="shared" si="468"/>
        <v>0</v>
      </c>
      <c r="BG544" s="4">
        <f t="shared" si="468"/>
        <v>0</v>
      </c>
      <c r="BH544" s="4">
        <f t="shared" si="469"/>
        <v>0</v>
      </c>
      <c r="BI544" s="4">
        <f t="shared" si="470"/>
        <v>0</v>
      </c>
      <c r="BJ544" s="4">
        <f t="shared" si="471"/>
        <v>0</v>
      </c>
      <c r="BK544" s="4">
        <f t="shared" si="472"/>
        <v>0</v>
      </c>
      <c r="BL544" s="4">
        <f t="shared" si="473"/>
        <v>0</v>
      </c>
      <c r="BM544" s="4">
        <f t="shared" si="474"/>
        <v>0</v>
      </c>
      <c r="BN544" s="4">
        <f t="shared" si="475"/>
        <v>0</v>
      </c>
      <c r="BO544" s="4">
        <f t="shared" si="476"/>
        <v>0</v>
      </c>
      <c r="BP544" s="4">
        <f t="shared" si="477"/>
        <v>0</v>
      </c>
      <c r="BQ544" s="4">
        <f t="shared" si="478"/>
        <v>0</v>
      </c>
      <c r="BR544" s="4">
        <f t="shared" si="479"/>
        <v>0</v>
      </c>
      <c r="BS544" s="4">
        <f t="shared" si="480"/>
        <v>0</v>
      </c>
      <c r="BT544" s="4">
        <f t="shared" si="481"/>
        <v>0</v>
      </c>
      <c r="BU544" s="4">
        <f t="shared" si="482"/>
        <v>0</v>
      </c>
      <c r="BV544" s="4">
        <f t="shared" si="483"/>
        <v>0</v>
      </c>
      <c r="BW544" s="4">
        <f t="shared" si="484"/>
        <v>0</v>
      </c>
      <c r="BX544" s="4">
        <f t="shared" si="485"/>
        <v>0</v>
      </c>
      <c r="BY544" s="4">
        <f t="shared" si="486"/>
        <v>0</v>
      </c>
      <c r="BZ544" s="4">
        <f t="shared" si="487"/>
        <v>0</v>
      </c>
      <c r="CA544" s="4">
        <f t="shared" si="488"/>
        <v>0</v>
      </c>
      <c r="CB544" s="4">
        <f t="shared" si="489"/>
        <v>0</v>
      </c>
      <c r="CC544" s="4">
        <f t="shared" si="490"/>
        <v>0</v>
      </c>
      <c r="CD544" s="4">
        <f t="shared" si="491"/>
        <v>0</v>
      </c>
      <c r="CE544" s="4">
        <f t="shared" si="492"/>
        <v>0</v>
      </c>
      <c r="CF544" s="4">
        <f t="shared" si="493"/>
        <v>0</v>
      </c>
      <c r="CG544" s="4">
        <f t="shared" si="494"/>
        <v>0</v>
      </c>
      <c r="CH544" s="4">
        <f t="shared" si="495"/>
        <v>0</v>
      </c>
      <c r="CI544" s="4">
        <f t="shared" si="496"/>
        <v>0</v>
      </c>
      <c r="CJ544" s="4">
        <f t="shared" si="497"/>
        <v>0</v>
      </c>
      <c r="CK544" s="4">
        <f t="shared" si="498"/>
        <v>0</v>
      </c>
      <c r="CL544" s="4">
        <f t="shared" si="499"/>
        <v>0</v>
      </c>
      <c r="CM544" s="4">
        <f t="shared" si="500"/>
        <v>0</v>
      </c>
      <c r="CN544" s="4">
        <f t="shared" si="501"/>
        <v>0</v>
      </c>
      <c r="CO544" s="4">
        <f t="shared" si="502"/>
        <v>0</v>
      </c>
      <c r="CP544" s="4">
        <f t="shared" si="503"/>
        <v>0</v>
      </c>
      <c r="CQ544" s="4">
        <f t="shared" si="504"/>
        <v>0</v>
      </c>
      <c r="CR544" s="4">
        <f t="shared" si="505"/>
        <v>0</v>
      </c>
      <c r="CS544" s="4">
        <f t="shared" si="506"/>
        <v>0</v>
      </c>
      <c r="CT544" s="4">
        <f t="shared" si="507"/>
        <v>0</v>
      </c>
      <c r="CU544" s="4">
        <f t="shared" si="508"/>
        <v>0</v>
      </c>
      <c r="CV544" s="4">
        <f t="shared" si="509"/>
        <v>0</v>
      </c>
      <c r="CW544" s="4">
        <f t="shared" si="510"/>
        <v>0</v>
      </c>
      <c r="CX544" s="4">
        <f t="shared" si="511"/>
        <v>0</v>
      </c>
      <c r="CY544" s="4">
        <f t="shared" si="512"/>
        <v>0</v>
      </c>
      <c r="CZ544" s="4">
        <f t="shared" si="513"/>
        <v>0</v>
      </c>
      <c r="DA544" s="4">
        <f t="shared" si="514"/>
        <v>0</v>
      </c>
      <c r="DB544" s="4">
        <f t="shared" si="515"/>
        <v>0</v>
      </c>
      <c r="DC544" s="4">
        <f t="shared" si="516"/>
        <v>0</v>
      </c>
      <c r="DD544" s="4">
        <f t="shared" si="517"/>
        <v>0</v>
      </c>
    </row>
    <row r="545" spans="1:108" x14ac:dyDescent="0.25">
      <c r="A545" s="41" t="str">
        <f>Skills!M527</f>
        <v>Influence, Bribery</v>
      </c>
      <c r="B545" s="57" t="str">
        <f>Skills!N527</f>
        <v>Bribery</v>
      </c>
      <c r="C545" s="24">
        <f t="shared" si="518"/>
        <v>0</v>
      </c>
      <c r="D545" s="110" t="e">
        <f>Skills!S527</f>
        <v>#N/A</v>
      </c>
      <c r="E545" s="111" t="e">
        <f>Profession!B$252</f>
        <v>#REF!</v>
      </c>
      <c r="F545" s="18"/>
      <c r="G545" s="18"/>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49"/>
      <c r="BF545" s="4">
        <f t="shared" si="468"/>
        <v>0</v>
      </c>
      <c r="BG545" s="4">
        <f t="shared" si="468"/>
        <v>0</v>
      </c>
      <c r="BH545" s="4">
        <f t="shared" si="469"/>
        <v>0</v>
      </c>
      <c r="BI545" s="4">
        <f t="shared" si="470"/>
        <v>0</v>
      </c>
      <c r="BJ545" s="4">
        <f t="shared" si="471"/>
        <v>0</v>
      </c>
      <c r="BK545" s="4">
        <f t="shared" si="472"/>
        <v>0</v>
      </c>
      <c r="BL545" s="4">
        <f t="shared" si="473"/>
        <v>0</v>
      </c>
      <c r="BM545" s="4">
        <f t="shared" si="474"/>
        <v>0</v>
      </c>
      <c r="BN545" s="4">
        <f t="shared" si="475"/>
        <v>0</v>
      </c>
      <c r="BO545" s="4">
        <f t="shared" si="476"/>
        <v>0</v>
      </c>
      <c r="BP545" s="4">
        <f t="shared" si="477"/>
        <v>0</v>
      </c>
      <c r="BQ545" s="4">
        <f t="shared" si="478"/>
        <v>0</v>
      </c>
      <c r="BR545" s="4">
        <f t="shared" si="479"/>
        <v>0</v>
      </c>
      <c r="BS545" s="4">
        <f t="shared" si="480"/>
        <v>0</v>
      </c>
      <c r="BT545" s="4">
        <f t="shared" si="481"/>
        <v>0</v>
      </c>
      <c r="BU545" s="4">
        <f t="shared" si="482"/>
        <v>0</v>
      </c>
      <c r="BV545" s="4">
        <f t="shared" si="483"/>
        <v>0</v>
      </c>
      <c r="BW545" s="4">
        <f t="shared" si="484"/>
        <v>0</v>
      </c>
      <c r="BX545" s="4">
        <f t="shared" si="485"/>
        <v>0</v>
      </c>
      <c r="BY545" s="4">
        <f t="shared" si="486"/>
        <v>0</v>
      </c>
      <c r="BZ545" s="4">
        <f t="shared" si="487"/>
        <v>0</v>
      </c>
      <c r="CA545" s="4">
        <f t="shared" si="488"/>
        <v>0</v>
      </c>
      <c r="CB545" s="4">
        <f t="shared" si="489"/>
        <v>0</v>
      </c>
      <c r="CC545" s="4">
        <f t="shared" si="490"/>
        <v>0</v>
      </c>
      <c r="CD545" s="4">
        <f t="shared" si="491"/>
        <v>0</v>
      </c>
      <c r="CE545" s="4">
        <f t="shared" si="492"/>
        <v>0</v>
      </c>
      <c r="CF545" s="4">
        <f t="shared" si="493"/>
        <v>0</v>
      </c>
      <c r="CG545" s="4">
        <f t="shared" si="494"/>
        <v>0</v>
      </c>
      <c r="CH545" s="4">
        <f t="shared" si="495"/>
        <v>0</v>
      </c>
      <c r="CI545" s="4">
        <f t="shared" si="496"/>
        <v>0</v>
      </c>
      <c r="CJ545" s="4">
        <f t="shared" si="497"/>
        <v>0</v>
      </c>
      <c r="CK545" s="4">
        <f t="shared" si="498"/>
        <v>0</v>
      </c>
      <c r="CL545" s="4">
        <f t="shared" si="499"/>
        <v>0</v>
      </c>
      <c r="CM545" s="4">
        <f t="shared" si="500"/>
        <v>0</v>
      </c>
      <c r="CN545" s="4">
        <f t="shared" si="501"/>
        <v>0</v>
      </c>
      <c r="CO545" s="4">
        <f t="shared" si="502"/>
        <v>0</v>
      </c>
      <c r="CP545" s="4">
        <f t="shared" si="503"/>
        <v>0</v>
      </c>
      <c r="CQ545" s="4">
        <f t="shared" si="504"/>
        <v>0</v>
      </c>
      <c r="CR545" s="4">
        <f t="shared" si="505"/>
        <v>0</v>
      </c>
      <c r="CS545" s="4">
        <f t="shared" si="506"/>
        <v>0</v>
      </c>
      <c r="CT545" s="4">
        <f t="shared" si="507"/>
        <v>0</v>
      </c>
      <c r="CU545" s="4">
        <f t="shared" si="508"/>
        <v>0</v>
      </c>
      <c r="CV545" s="4">
        <f t="shared" si="509"/>
        <v>0</v>
      </c>
      <c r="CW545" s="4">
        <f t="shared" si="510"/>
        <v>0</v>
      </c>
      <c r="CX545" s="4">
        <f t="shared" si="511"/>
        <v>0</v>
      </c>
      <c r="CY545" s="4">
        <f t="shared" si="512"/>
        <v>0</v>
      </c>
      <c r="CZ545" s="4">
        <f t="shared" si="513"/>
        <v>0</v>
      </c>
      <c r="DA545" s="4">
        <f t="shared" si="514"/>
        <v>0</v>
      </c>
      <c r="DB545" s="4">
        <f t="shared" si="515"/>
        <v>0</v>
      </c>
      <c r="DC545" s="4">
        <f t="shared" si="516"/>
        <v>0</v>
      </c>
      <c r="DD545" s="4">
        <f t="shared" si="517"/>
        <v>0</v>
      </c>
    </row>
    <row r="546" spans="1:108" x14ac:dyDescent="0.25">
      <c r="A546" s="41" t="str">
        <f>Skills!M528</f>
        <v>Influence, Charm</v>
      </c>
      <c r="B546" s="55" t="str">
        <f>Skills!N528</f>
        <v>Charm</v>
      </c>
      <c r="C546" s="22">
        <f t="shared" si="518"/>
        <v>0</v>
      </c>
      <c r="D546" s="112" t="e">
        <f>Skills!S528</f>
        <v>#N/A</v>
      </c>
      <c r="E546" s="113" t="e">
        <f>Profession!B$252</f>
        <v>#REF!</v>
      </c>
      <c r="F546" s="19"/>
      <c r="G546" s="19"/>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56"/>
      <c r="BF546" s="4">
        <f t="shared" si="468"/>
        <v>0</v>
      </c>
      <c r="BG546" s="4">
        <f t="shared" si="468"/>
        <v>0</v>
      </c>
      <c r="BH546" s="4">
        <f t="shared" si="469"/>
        <v>0</v>
      </c>
      <c r="BI546" s="4">
        <f t="shared" si="470"/>
        <v>0</v>
      </c>
      <c r="BJ546" s="4">
        <f t="shared" si="471"/>
        <v>0</v>
      </c>
      <c r="BK546" s="4">
        <f t="shared" si="472"/>
        <v>0</v>
      </c>
      <c r="BL546" s="4">
        <f t="shared" si="473"/>
        <v>0</v>
      </c>
      <c r="BM546" s="4">
        <f t="shared" si="474"/>
        <v>0</v>
      </c>
      <c r="BN546" s="4">
        <f t="shared" si="475"/>
        <v>0</v>
      </c>
      <c r="BO546" s="4">
        <f t="shared" si="476"/>
        <v>0</v>
      </c>
      <c r="BP546" s="4">
        <f t="shared" si="477"/>
        <v>0</v>
      </c>
      <c r="BQ546" s="4">
        <f t="shared" si="478"/>
        <v>0</v>
      </c>
      <c r="BR546" s="4">
        <f t="shared" si="479"/>
        <v>0</v>
      </c>
      <c r="BS546" s="4">
        <f t="shared" si="480"/>
        <v>0</v>
      </c>
      <c r="BT546" s="4">
        <f t="shared" si="481"/>
        <v>0</v>
      </c>
      <c r="BU546" s="4">
        <f t="shared" si="482"/>
        <v>0</v>
      </c>
      <c r="BV546" s="4">
        <f t="shared" si="483"/>
        <v>0</v>
      </c>
      <c r="BW546" s="4">
        <f t="shared" si="484"/>
        <v>0</v>
      </c>
      <c r="BX546" s="4">
        <f t="shared" si="485"/>
        <v>0</v>
      </c>
      <c r="BY546" s="4">
        <f t="shared" si="486"/>
        <v>0</v>
      </c>
      <c r="BZ546" s="4">
        <f t="shared" si="487"/>
        <v>0</v>
      </c>
      <c r="CA546" s="4">
        <f t="shared" si="488"/>
        <v>0</v>
      </c>
      <c r="CB546" s="4">
        <f t="shared" si="489"/>
        <v>0</v>
      </c>
      <c r="CC546" s="4">
        <f t="shared" si="490"/>
        <v>0</v>
      </c>
      <c r="CD546" s="4">
        <f t="shared" si="491"/>
        <v>0</v>
      </c>
      <c r="CE546" s="4">
        <f t="shared" si="492"/>
        <v>0</v>
      </c>
      <c r="CF546" s="4">
        <f t="shared" si="493"/>
        <v>0</v>
      </c>
      <c r="CG546" s="4">
        <f t="shared" si="494"/>
        <v>0</v>
      </c>
      <c r="CH546" s="4">
        <f t="shared" si="495"/>
        <v>0</v>
      </c>
      <c r="CI546" s="4">
        <f t="shared" si="496"/>
        <v>0</v>
      </c>
      <c r="CJ546" s="4">
        <f t="shared" si="497"/>
        <v>0</v>
      </c>
      <c r="CK546" s="4">
        <f t="shared" si="498"/>
        <v>0</v>
      </c>
      <c r="CL546" s="4">
        <f t="shared" si="499"/>
        <v>0</v>
      </c>
      <c r="CM546" s="4">
        <f t="shared" si="500"/>
        <v>0</v>
      </c>
      <c r="CN546" s="4">
        <f t="shared" si="501"/>
        <v>0</v>
      </c>
      <c r="CO546" s="4">
        <f t="shared" si="502"/>
        <v>0</v>
      </c>
      <c r="CP546" s="4">
        <f t="shared" si="503"/>
        <v>0</v>
      </c>
      <c r="CQ546" s="4">
        <f t="shared" si="504"/>
        <v>0</v>
      </c>
      <c r="CR546" s="4">
        <f t="shared" si="505"/>
        <v>0</v>
      </c>
      <c r="CS546" s="4">
        <f t="shared" si="506"/>
        <v>0</v>
      </c>
      <c r="CT546" s="4">
        <f t="shared" si="507"/>
        <v>0</v>
      </c>
      <c r="CU546" s="4">
        <f t="shared" si="508"/>
        <v>0</v>
      </c>
      <c r="CV546" s="4">
        <f t="shared" si="509"/>
        <v>0</v>
      </c>
      <c r="CW546" s="4">
        <f t="shared" si="510"/>
        <v>0</v>
      </c>
      <c r="CX546" s="4">
        <f t="shared" si="511"/>
        <v>0</v>
      </c>
      <c r="CY546" s="4">
        <f t="shared" si="512"/>
        <v>0</v>
      </c>
      <c r="CZ546" s="4">
        <f t="shared" si="513"/>
        <v>0</v>
      </c>
      <c r="DA546" s="4">
        <f t="shared" si="514"/>
        <v>0</v>
      </c>
      <c r="DB546" s="4">
        <f t="shared" si="515"/>
        <v>0</v>
      </c>
      <c r="DC546" s="4">
        <f t="shared" si="516"/>
        <v>0</v>
      </c>
      <c r="DD546" s="4">
        <f t="shared" si="517"/>
        <v>0</v>
      </c>
    </row>
    <row r="547" spans="1:108" x14ac:dyDescent="0.25">
      <c r="A547" s="41" t="str">
        <f>Skills!M529</f>
        <v>Influence, Duping</v>
      </c>
      <c r="B547" s="57" t="str">
        <f>Skills!N529</f>
        <v>Duping</v>
      </c>
      <c r="C547" s="24">
        <f t="shared" si="518"/>
        <v>0</v>
      </c>
      <c r="D547" s="110" t="e">
        <f ca="1">Skills!S529</f>
        <v>#N/A</v>
      </c>
      <c r="E547" s="111" t="e">
        <f>Profession!B$252</f>
        <v>#REF!</v>
      </c>
      <c r="F547" s="18"/>
      <c r="G547" s="18"/>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49"/>
      <c r="BF547" s="4">
        <f t="shared" si="468"/>
        <v>0</v>
      </c>
      <c r="BG547" s="4">
        <f t="shared" si="468"/>
        <v>0</v>
      </c>
      <c r="BH547" s="4">
        <f t="shared" si="469"/>
        <v>0</v>
      </c>
      <c r="BI547" s="4">
        <f t="shared" si="470"/>
        <v>0</v>
      </c>
      <c r="BJ547" s="4">
        <f t="shared" si="471"/>
        <v>0</v>
      </c>
      <c r="BK547" s="4">
        <f t="shared" si="472"/>
        <v>0</v>
      </c>
      <c r="BL547" s="4">
        <f t="shared" si="473"/>
        <v>0</v>
      </c>
      <c r="BM547" s="4">
        <f t="shared" si="474"/>
        <v>0</v>
      </c>
      <c r="BN547" s="4">
        <f t="shared" si="475"/>
        <v>0</v>
      </c>
      <c r="BO547" s="4">
        <f t="shared" si="476"/>
        <v>0</v>
      </c>
      <c r="BP547" s="4">
        <f t="shared" si="477"/>
        <v>0</v>
      </c>
      <c r="BQ547" s="4">
        <f t="shared" si="478"/>
        <v>0</v>
      </c>
      <c r="BR547" s="4">
        <f t="shared" si="479"/>
        <v>0</v>
      </c>
      <c r="BS547" s="4">
        <f t="shared" si="480"/>
        <v>0</v>
      </c>
      <c r="BT547" s="4">
        <f t="shared" si="481"/>
        <v>0</v>
      </c>
      <c r="BU547" s="4">
        <f t="shared" si="482"/>
        <v>0</v>
      </c>
      <c r="BV547" s="4">
        <f t="shared" si="483"/>
        <v>0</v>
      </c>
      <c r="BW547" s="4">
        <f t="shared" si="484"/>
        <v>0</v>
      </c>
      <c r="BX547" s="4">
        <f t="shared" si="485"/>
        <v>0</v>
      </c>
      <c r="BY547" s="4">
        <f t="shared" si="486"/>
        <v>0</v>
      </c>
      <c r="BZ547" s="4">
        <f t="shared" si="487"/>
        <v>0</v>
      </c>
      <c r="CA547" s="4">
        <f t="shared" si="488"/>
        <v>0</v>
      </c>
      <c r="CB547" s="4">
        <f t="shared" si="489"/>
        <v>0</v>
      </c>
      <c r="CC547" s="4">
        <f t="shared" si="490"/>
        <v>0</v>
      </c>
      <c r="CD547" s="4">
        <f t="shared" si="491"/>
        <v>0</v>
      </c>
      <c r="CE547" s="4">
        <f t="shared" si="492"/>
        <v>0</v>
      </c>
      <c r="CF547" s="4">
        <f t="shared" si="493"/>
        <v>0</v>
      </c>
      <c r="CG547" s="4">
        <f t="shared" si="494"/>
        <v>0</v>
      </c>
      <c r="CH547" s="4">
        <f t="shared" si="495"/>
        <v>0</v>
      </c>
      <c r="CI547" s="4">
        <f t="shared" si="496"/>
        <v>0</v>
      </c>
      <c r="CJ547" s="4">
        <f t="shared" si="497"/>
        <v>0</v>
      </c>
      <c r="CK547" s="4">
        <f t="shared" si="498"/>
        <v>0</v>
      </c>
      <c r="CL547" s="4">
        <f t="shared" si="499"/>
        <v>0</v>
      </c>
      <c r="CM547" s="4">
        <f t="shared" si="500"/>
        <v>0</v>
      </c>
      <c r="CN547" s="4">
        <f t="shared" si="501"/>
        <v>0</v>
      </c>
      <c r="CO547" s="4">
        <f t="shared" si="502"/>
        <v>0</v>
      </c>
      <c r="CP547" s="4">
        <f t="shared" si="503"/>
        <v>0</v>
      </c>
      <c r="CQ547" s="4">
        <f t="shared" si="504"/>
        <v>0</v>
      </c>
      <c r="CR547" s="4">
        <f t="shared" si="505"/>
        <v>0</v>
      </c>
      <c r="CS547" s="4">
        <f t="shared" si="506"/>
        <v>0</v>
      </c>
      <c r="CT547" s="4">
        <f t="shared" si="507"/>
        <v>0</v>
      </c>
      <c r="CU547" s="4">
        <f t="shared" si="508"/>
        <v>0</v>
      </c>
      <c r="CV547" s="4">
        <f t="shared" si="509"/>
        <v>0</v>
      </c>
      <c r="CW547" s="4">
        <f t="shared" si="510"/>
        <v>0</v>
      </c>
      <c r="CX547" s="4">
        <f t="shared" si="511"/>
        <v>0</v>
      </c>
      <c r="CY547" s="4">
        <f t="shared" si="512"/>
        <v>0</v>
      </c>
      <c r="CZ547" s="4">
        <f t="shared" si="513"/>
        <v>0</v>
      </c>
      <c r="DA547" s="4">
        <f t="shared" si="514"/>
        <v>0</v>
      </c>
      <c r="DB547" s="4">
        <f t="shared" si="515"/>
        <v>0</v>
      </c>
      <c r="DC547" s="4">
        <f t="shared" si="516"/>
        <v>0</v>
      </c>
      <c r="DD547" s="4">
        <f t="shared" si="517"/>
        <v>0</v>
      </c>
    </row>
    <row r="548" spans="1:108" x14ac:dyDescent="0.25">
      <c r="A548" s="41" t="str">
        <f>Skills!M530</f>
        <v>Influence, Intimidation</v>
      </c>
      <c r="B548" s="55" t="str">
        <f>Skills!N530</f>
        <v>Intimidation</v>
      </c>
      <c r="C548" s="22">
        <f t="shared" si="518"/>
        <v>0</v>
      </c>
      <c r="D548" s="112" t="e">
        <f ca="1">Skills!S530</f>
        <v>#N/A</v>
      </c>
      <c r="E548" s="113" t="e">
        <f>Profession!B$252</f>
        <v>#REF!</v>
      </c>
      <c r="F548" s="19"/>
      <c r="G548" s="19"/>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56"/>
      <c r="BF548" s="4">
        <f t="shared" si="468"/>
        <v>0</v>
      </c>
      <c r="BG548" s="4">
        <f t="shared" si="468"/>
        <v>0</v>
      </c>
      <c r="BH548" s="4">
        <f t="shared" si="469"/>
        <v>0</v>
      </c>
      <c r="BI548" s="4">
        <f t="shared" si="470"/>
        <v>0</v>
      </c>
      <c r="BJ548" s="4">
        <f t="shared" si="471"/>
        <v>0</v>
      </c>
      <c r="BK548" s="4">
        <f t="shared" si="472"/>
        <v>0</v>
      </c>
      <c r="BL548" s="4">
        <f t="shared" si="473"/>
        <v>0</v>
      </c>
      <c r="BM548" s="4">
        <f t="shared" si="474"/>
        <v>0</v>
      </c>
      <c r="BN548" s="4">
        <f t="shared" si="475"/>
        <v>0</v>
      </c>
      <c r="BO548" s="4">
        <f t="shared" si="476"/>
        <v>0</v>
      </c>
      <c r="BP548" s="4">
        <f t="shared" si="477"/>
        <v>0</v>
      </c>
      <c r="BQ548" s="4">
        <f t="shared" si="478"/>
        <v>0</v>
      </c>
      <c r="BR548" s="4">
        <f t="shared" si="479"/>
        <v>0</v>
      </c>
      <c r="BS548" s="4">
        <f t="shared" si="480"/>
        <v>0</v>
      </c>
      <c r="BT548" s="4">
        <f t="shared" si="481"/>
        <v>0</v>
      </c>
      <c r="BU548" s="4">
        <f t="shared" si="482"/>
        <v>0</v>
      </c>
      <c r="BV548" s="4">
        <f t="shared" si="483"/>
        <v>0</v>
      </c>
      <c r="BW548" s="4">
        <f t="shared" si="484"/>
        <v>0</v>
      </c>
      <c r="BX548" s="4">
        <f t="shared" si="485"/>
        <v>0</v>
      </c>
      <c r="BY548" s="4">
        <f t="shared" si="486"/>
        <v>0</v>
      </c>
      <c r="BZ548" s="4">
        <f t="shared" si="487"/>
        <v>0</v>
      </c>
      <c r="CA548" s="4">
        <f t="shared" si="488"/>
        <v>0</v>
      </c>
      <c r="CB548" s="4">
        <f t="shared" si="489"/>
        <v>0</v>
      </c>
      <c r="CC548" s="4">
        <f t="shared" si="490"/>
        <v>0</v>
      </c>
      <c r="CD548" s="4">
        <f t="shared" si="491"/>
        <v>0</v>
      </c>
      <c r="CE548" s="4">
        <f t="shared" si="492"/>
        <v>0</v>
      </c>
      <c r="CF548" s="4">
        <f t="shared" si="493"/>
        <v>0</v>
      </c>
      <c r="CG548" s="4">
        <f t="shared" si="494"/>
        <v>0</v>
      </c>
      <c r="CH548" s="4">
        <f t="shared" si="495"/>
        <v>0</v>
      </c>
      <c r="CI548" s="4">
        <f t="shared" si="496"/>
        <v>0</v>
      </c>
      <c r="CJ548" s="4">
        <f t="shared" si="497"/>
        <v>0</v>
      </c>
      <c r="CK548" s="4">
        <f t="shared" si="498"/>
        <v>0</v>
      </c>
      <c r="CL548" s="4">
        <f t="shared" si="499"/>
        <v>0</v>
      </c>
      <c r="CM548" s="4">
        <f t="shared" si="500"/>
        <v>0</v>
      </c>
      <c r="CN548" s="4">
        <f t="shared" si="501"/>
        <v>0</v>
      </c>
      <c r="CO548" s="4">
        <f t="shared" si="502"/>
        <v>0</v>
      </c>
      <c r="CP548" s="4">
        <f t="shared" si="503"/>
        <v>0</v>
      </c>
      <c r="CQ548" s="4">
        <f t="shared" si="504"/>
        <v>0</v>
      </c>
      <c r="CR548" s="4">
        <f t="shared" si="505"/>
        <v>0</v>
      </c>
      <c r="CS548" s="4">
        <f t="shared" si="506"/>
        <v>0</v>
      </c>
      <c r="CT548" s="4">
        <f t="shared" si="507"/>
        <v>0</v>
      </c>
      <c r="CU548" s="4">
        <f t="shared" si="508"/>
        <v>0</v>
      </c>
      <c r="CV548" s="4">
        <f t="shared" si="509"/>
        <v>0</v>
      </c>
      <c r="CW548" s="4">
        <f t="shared" si="510"/>
        <v>0</v>
      </c>
      <c r="CX548" s="4">
        <f t="shared" si="511"/>
        <v>0</v>
      </c>
      <c r="CY548" s="4">
        <f t="shared" si="512"/>
        <v>0</v>
      </c>
      <c r="CZ548" s="4">
        <f t="shared" si="513"/>
        <v>0</v>
      </c>
      <c r="DA548" s="4">
        <f t="shared" si="514"/>
        <v>0</v>
      </c>
      <c r="DB548" s="4">
        <f t="shared" si="515"/>
        <v>0</v>
      </c>
      <c r="DC548" s="4">
        <f t="shared" si="516"/>
        <v>0</v>
      </c>
      <c r="DD548" s="4">
        <f t="shared" si="517"/>
        <v>0</v>
      </c>
    </row>
    <row r="549" spans="1:108" x14ac:dyDescent="0.25">
      <c r="A549" s="41" t="str">
        <f>Skills!M531</f>
        <v>Influence, Seduction</v>
      </c>
      <c r="B549" s="57" t="str">
        <f>Skills!N531</f>
        <v>Seduction</v>
      </c>
      <c r="C549" s="24">
        <f t="shared" si="518"/>
        <v>0</v>
      </c>
      <c r="D549" s="110" t="e">
        <f>Skills!S531</f>
        <v>#N/A</v>
      </c>
      <c r="E549" s="111" t="e">
        <f>Profession!B$252</f>
        <v>#REF!</v>
      </c>
      <c r="F549" s="18"/>
      <c r="G549" s="18"/>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49"/>
      <c r="BF549" s="4">
        <f t="shared" si="468"/>
        <v>0</v>
      </c>
      <c r="BG549" s="4">
        <f t="shared" si="468"/>
        <v>0</v>
      </c>
      <c r="BH549" s="4">
        <f t="shared" si="469"/>
        <v>0</v>
      </c>
      <c r="BI549" s="4">
        <f t="shared" si="470"/>
        <v>0</v>
      </c>
      <c r="BJ549" s="4">
        <f t="shared" si="471"/>
        <v>0</v>
      </c>
      <c r="BK549" s="4">
        <f t="shared" si="472"/>
        <v>0</v>
      </c>
      <c r="BL549" s="4">
        <f t="shared" si="473"/>
        <v>0</v>
      </c>
      <c r="BM549" s="4">
        <f t="shared" si="474"/>
        <v>0</v>
      </c>
      <c r="BN549" s="4">
        <f t="shared" si="475"/>
        <v>0</v>
      </c>
      <c r="BO549" s="4">
        <f t="shared" si="476"/>
        <v>0</v>
      </c>
      <c r="BP549" s="4">
        <f t="shared" si="477"/>
        <v>0</v>
      </c>
      <c r="BQ549" s="4">
        <f t="shared" si="478"/>
        <v>0</v>
      </c>
      <c r="BR549" s="4">
        <f t="shared" si="479"/>
        <v>0</v>
      </c>
      <c r="BS549" s="4">
        <f t="shared" si="480"/>
        <v>0</v>
      </c>
      <c r="BT549" s="4">
        <f t="shared" si="481"/>
        <v>0</v>
      </c>
      <c r="BU549" s="4">
        <f t="shared" si="482"/>
        <v>0</v>
      </c>
      <c r="BV549" s="4">
        <f t="shared" si="483"/>
        <v>0</v>
      </c>
      <c r="BW549" s="4">
        <f t="shared" si="484"/>
        <v>0</v>
      </c>
      <c r="BX549" s="4">
        <f t="shared" si="485"/>
        <v>0</v>
      </c>
      <c r="BY549" s="4">
        <f t="shared" si="486"/>
        <v>0</v>
      </c>
      <c r="BZ549" s="4">
        <f t="shared" si="487"/>
        <v>0</v>
      </c>
      <c r="CA549" s="4">
        <f t="shared" si="488"/>
        <v>0</v>
      </c>
      <c r="CB549" s="4">
        <f t="shared" si="489"/>
        <v>0</v>
      </c>
      <c r="CC549" s="4">
        <f t="shared" si="490"/>
        <v>0</v>
      </c>
      <c r="CD549" s="4">
        <f t="shared" si="491"/>
        <v>0</v>
      </c>
      <c r="CE549" s="4">
        <f t="shared" si="492"/>
        <v>0</v>
      </c>
      <c r="CF549" s="4">
        <f t="shared" si="493"/>
        <v>0</v>
      </c>
      <c r="CG549" s="4">
        <f t="shared" si="494"/>
        <v>0</v>
      </c>
      <c r="CH549" s="4">
        <f t="shared" si="495"/>
        <v>0</v>
      </c>
      <c r="CI549" s="4">
        <f t="shared" si="496"/>
        <v>0</v>
      </c>
      <c r="CJ549" s="4">
        <f t="shared" si="497"/>
        <v>0</v>
      </c>
      <c r="CK549" s="4">
        <f t="shared" si="498"/>
        <v>0</v>
      </c>
      <c r="CL549" s="4">
        <f t="shared" si="499"/>
        <v>0</v>
      </c>
      <c r="CM549" s="4">
        <f t="shared" si="500"/>
        <v>0</v>
      </c>
      <c r="CN549" s="4">
        <f t="shared" si="501"/>
        <v>0</v>
      </c>
      <c r="CO549" s="4">
        <f t="shared" si="502"/>
        <v>0</v>
      </c>
      <c r="CP549" s="4">
        <f t="shared" si="503"/>
        <v>0</v>
      </c>
      <c r="CQ549" s="4">
        <f t="shared" si="504"/>
        <v>0</v>
      </c>
      <c r="CR549" s="4">
        <f t="shared" si="505"/>
        <v>0</v>
      </c>
      <c r="CS549" s="4">
        <f t="shared" si="506"/>
        <v>0</v>
      </c>
      <c r="CT549" s="4">
        <f t="shared" si="507"/>
        <v>0</v>
      </c>
      <c r="CU549" s="4">
        <f t="shared" si="508"/>
        <v>0</v>
      </c>
      <c r="CV549" s="4">
        <f t="shared" si="509"/>
        <v>0</v>
      </c>
      <c r="CW549" s="4">
        <f t="shared" si="510"/>
        <v>0</v>
      </c>
      <c r="CX549" s="4">
        <f t="shared" si="511"/>
        <v>0</v>
      </c>
      <c r="CY549" s="4">
        <f t="shared" si="512"/>
        <v>0</v>
      </c>
      <c r="CZ549" s="4">
        <f t="shared" si="513"/>
        <v>0</v>
      </c>
      <c r="DA549" s="4">
        <f t="shared" si="514"/>
        <v>0</v>
      </c>
      <c r="DB549" s="4">
        <f t="shared" si="515"/>
        <v>0</v>
      </c>
      <c r="DC549" s="4">
        <f t="shared" si="516"/>
        <v>0</v>
      </c>
      <c r="DD549" s="4">
        <f t="shared" si="517"/>
        <v>0</v>
      </c>
    </row>
    <row r="550" spans="1:108" x14ac:dyDescent="0.25">
      <c r="A550" s="41">
        <f>Skills!M532</f>
        <v>0</v>
      </c>
      <c r="B550" s="55" t="str">
        <f>Skills!N532</f>
        <v>Subterfuge Category</v>
      </c>
      <c r="C550" s="22">
        <f t="shared" si="518"/>
        <v>0</v>
      </c>
      <c r="D550" s="112" t="str">
        <f>Skills!S532</f>
        <v>- -</v>
      </c>
      <c r="E550" s="113" t="s">
        <v>782</v>
      </c>
      <c r="F550" s="19"/>
      <c r="G550" s="19"/>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56"/>
      <c r="BF550" s="4">
        <f t="shared" si="468"/>
        <v>0</v>
      </c>
      <c r="BG550" s="4">
        <f t="shared" si="468"/>
        <v>0</v>
      </c>
      <c r="BH550" s="4">
        <f t="shared" si="469"/>
        <v>0</v>
      </c>
      <c r="BI550" s="4">
        <f t="shared" si="470"/>
        <v>0</v>
      </c>
      <c r="BJ550" s="4">
        <f t="shared" si="471"/>
        <v>0</v>
      </c>
      <c r="BK550" s="4">
        <f t="shared" si="472"/>
        <v>0</v>
      </c>
      <c r="BL550" s="4">
        <f t="shared" si="473"/>
        <v>0</v>
      </c>
      <c r="BM550" s="4">
        <f t="shared" si="474"/>
        <v>0</v>
      </c>
      <c r="BN550" s="4">
        <f t="shared" si="475"/>
        <v>0</v>
      </c>
      <c r="BO550" s="4">
        <f t="shared" si="476"/>
        <v>0</v>
      </c>
      <c r="BP550" s="4">
        <f t="shared" si="477"/>
        <v>0</v>
      </c>
      <c r="BQ550" s="4">
        <f t="shared" si="478"/>
        <v>0</v>
      </c>
      <c r="BR550" s="4">
        <f t="shared" si="479"/>
        <v>0</v>
      </c>
      <c r="BS550" s="4">
        <f t="shared" si="480"/>
        <v>0</v>
      </c>
      <c r="BT550" s="4">
        <f t="shared" si="481"/>
        <v>0</v>
      </c>
      <c r="BU550" s="4">
        <f t="shared" si="482"/>
        <v>0</v>
      </c>
      <c r="BV550" s="4">
        <f t="shared" si="483"/>
        <v>0</v>
      </c>
      <c r="BW550" s="4">
        <f t="shared" si="484"/>
        <v>0</v>
      </c>
      <c r="BX550" s="4">
        <f t="shared" si="485"/>
        <v>0</v>
      </c>
      <c r="BY550" s="4">
        <f t="shared" si="486"/>
        <v>0</v>
      </c>
      <c r="BZ550" s="4">
        <f t="shared" si="487"/>
        <v>0</v>
      </c>
      <c r="CA550" s="4">
        <f t="shared" si="488"/>
        <v>0</v>
      </c>
      <c r="CB550" s="4">
        <f t="shared" si="489"/>
        <v>0</v>
      </c>
      <c r="CC550" s="4">
        <f t="shared" si="490"/>
        <v>0</v>
      </c>
      <c r="CD550" s="4">
        <f t="shared" si="491"/>
        <v>0</v>
      </c>
      <c r="CE550" s="4">
        <f t="shared" si="492"/>
        <v>0</v>
      </c>
      <c r="CF550" s="4">
        <f t="shared" si="493"/>
        <v>0</v>
      </c>
      <c r="CG550" s="4">
        <f t="shared" si="494"/>
        <v>0</v>
      </c>
      <c r="CH550" s="4">
        <f t="shared" si="495"/>
        <v>0</v>
      </c>
      <c r="CI550" s="4">
        <f t="shared" si="496"/>
        <v>0</v>
      </c>
      <c r="CJ550" s="4">
        <f t="shared" si="497"/>
        <v>0</v>
      </c>
      <c r="CK550" s="4">
        <f t="shared" si="498"/>
        <v>0</v>
      </c>
      <c r="CL550" s="4">
        <f t="shared" si="499"/>
        <v>0</v>
      </c>
      <c r="CM550" s="4">
        <f t="shared" si="500"/>
        <v>0</v>
      </c>
      <c r="CN550" s="4">
        <f t="shared" si="501"/>
        <v>0</v>
      </c>
      <c r="CO550" s="4">
        <f t="shared" si="502"/>
        <v>0</v>
      </c>
      <c r="CP550" s="4">
        <f t="shared" si="503"/>
        <v>0</v>
      </c>
      <c r="CQ550" s="4">
        <f t="shared" si="504"/>
        <v>0</v>
      </c>
      <c r="CR550" s="4">
        <f t="shared" si="505"/>
        <v>0</v>
      </c>
      <c r="CS550" s="4">
        <f t="shared" si="506"/>
        <v>0</v>
      </c>
      <c r="CT550" s="4">
        <f t="shared" si="507"/>
        <v>0</v>
      </c>
      <c r="CU550" s="4">
        <f t="shared" si="508"/>
        <v>0</v>
      </c>
      <c r="CV550" s="4">
        <f t="shared" si="509"/>
        <v>0</v>
      </c>
      <c r="CW550" s="4">
        <f t="shared" si="510"/>
        <v>0</v>
      </c>
      <c r="CX550" s="4">
        <f t="shared" si="511"/>
        <v>0</v>
      </c>
      <c r="CY550" s="4">
        <f t="shared" si="512"/>
        <v>0</v>
      </c>
      <c r="CZ550" s="4">
        <f t="shared" si="513"/>
        <v>0</v>
      </c>
      <c r="DA550" s="4">
        <f t="shared" si="514"/>
        <v>0</v>
      </c>
      <c r="DB550" s="4">
        <f t="shared" si="515"/>
        <v>0</v>
      </c>
      <c r="DC550" s="4">
        <f t="shared" si="516"/>
        <v>0</v>
      </c>
      <c r="DD550" s="4">
        <f t="shared" si="517"/>
        <v>0</v>
      </c>
    </row>
    <row r="551" spans="1:108" x14ac:dyDescent="0.25">
      <c r="A551" s="41">
        <f>Skills!M533</f>
        <v>0</v>
      </c>
      <c r="B551" s="57" t="str">
        <f>Skills!N533</f>
        <v>Subterfuge Skills</v>
      </c>
      <c r="C551" s="24">
        <f t="shared" si="518"/>
        <v>0</v>
      </c>
      <c r="D551" s="110" t="str">
        <f>Skills!S533</f>
        <v>- -</v>
      </c>
      <c r="E551" s="111" t="s">
        <v>782</v>
      </c>
      <c r="F551" s="18"/>
      <c r="G551" s="18"/>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49"/>
      <c r="BF551" s="4">
        <f t="shared" si="468"/>
        <v>0</v>
      </c>
      <c r="BG551" s="4">
        <f t="shared" si="468"/>
        <v>0</v>
      </c>
      <c r="BH551" s="4">
        <f t="shared" si="469"/>
        <v>0</v>
      </c>
      <c r="BI551" s="4">
        <f t="shared" si="470"/>
        <v>0</v>
      </c>
      <c r="BJ551" s="4">
        <f t="shared" si="471"/>
        <v>0</v>
      </c>
      <c r="BK551" s="4">
        <f t="shared" si="472"/>
        <v>0</v>
      </c>
      <c r="BL551" s="4">
        <f t="shared" si="473"/>
        <v>0</v>
      </c>
      <c r="BM551" s="4">
        <f t="shared" si="474"/>
        <v>0</v>
      </c>
      <c r="BN551" s="4">
        <f t="shared" si="475"/>
        <v>0</v>
      </c>
      <c r="BO551" s="4">
        <f t="shared" si="476"/>
        <v>0</v>
      </c>
      <c r="BP551" s="4">
        <f t="shared" si="477"/>
        <v>0</v>
      </c>
      <c r="BQ551" s="4">
        <f t="shared" si="478"/>
        <v>0</v>
      </c>
      <c r="BR551" s="4">
        <f t="shared" si="479"/>
        <v>0</v>
      </c>
      <c r="BS551" s="4">
        <f t="shared" si="480"/>
        <v>0</v>
      </c>
      <c r="BT551" s="4">
        <f t="shared" si="481"/>
        <v>0</v>
      </c>
      <c r="BU551" s="4">
        <f t="shared" si="482"/>
        <v>0</v>
      </c>
      <c r="BV551" s="4">
        <f t="shared" si="483"/>
        <v>0</v>
      </c>
      <c r="BW551" s="4">
        <f t="shared" si="484"/>
        <v>0</v>
      </c>
      <c r="BX551" s="4">
        <f t="shared" si="485"/>
        <v>0</v>
      </c>
      <c r="BY551" s="4">
        <f t="shared" si="486"/>
        <v>0</v>
      </c>
      <c r="BZ551" s="4">
        <f t="shared" si="487"/>
        <v>0</v>
      </c>
      <c r="CA551" s="4">
        <f t="shared" si="488"/>
        <v>0</v>
      </c>
      <c r="CB551" s="4">
        <f t="shared" si="489"/>
        <v>0</v>
      </c>
      <c r="CC551" s="4">
        <f t="shared" si="490"/>
        <v>0</v>
      </c>
      <c r="CD551" s="4">
        <f t="shared" si="491"/>
        <v>0</v>
      </c>
      <c r="CE551" s="4">
        <f t="shared" si="492"/>
        <v>0</v>
      </c>
      <c r="CF551" s="4">
        <f t="shared" si="493"/>
        <v>0</v>
      </c>
      <c r="CG551" s="4">
        <f t="shared" si="494"/>
        <v>0</v>
      </c>
      <c r="CH551" s="4">
        <f t="shared" si="495"/>
        <v>0</v>
      </c>
      <c r="CI551" s="4">
        <f t="shared" si="496"/>
        <v>0</v>
      </c>
      <c r="CJ551" s="4">
        <f t="shared" si="497"/>
        <v>0</v>
      </c>
      <c r="CK551" s="4">
        <f t="shared" si="498"/>
        <v>0</v>
      </c>
      <c r="CL551" s="4">
        <f t="shared" si="499"/>
        <v>0</v>
      </c>
      <c r="CM551" s="4">
        <f t="shared" si="500"/>
        <v>0</v>
      </c>
      <c r="CN551" s="4">
        <f t="shared" si="501"/>
        <v>0</v>
      </c>
      <c r="CO551" s="4">
        <f t="shared" si="502"/>
        <v>0</v>
      </c>
      <c r="CP551" s="4">
        <f t="shared" si="503"/>
        <v>0</v>
      </c>
      <c r="CQ551" s="4">
        <f t="shared" si="504"/>
        <v>0</v>
      </c>
      <c r="CR551" s="4">
        <f t="shared" si="505"/>
        <v>0</v>
      </c>
      <c r="CS551" s="4">
        <f t="shared" si="506"/>
        <v>0</v>
      </c>
      <c r="CT551" s="4">
        <f t="shared" si="507"/>
        <v>0</v>
      </c>
      <c r="CU551" s="4">
        <f t="shared" si="508"/>
        <v>0</v>
      </c>
      <c r="CV551" s="4">
        <f t="shared" si="509"/>
        <v>0</v>
      </c>
      <c r="CW551" s="4">
        <f t="shared" si="510"/>
        <v>0</v>
      </c>
      <c r="CX551" s="4">
        <f t="shared" si="511"/>
        <v>0</v>
      </c>
      <c r="CY551" s="4">
        <f t="shared" si="512"/>
        <v>0</v>
      </c>
      <c r="CZ551" s="4">
        <f t="shared" si="513"/>
        <v>0</v>
      </c>
      <c r="DA551" s="4">
        <f t="shared" si="514"/>
        <v>0</v>
      </c>
      <c r="DB551" s="4">
        <f t="shared" si="515"/>
        <v>0</v>
      </c>
      <c r="DC551" s="4">
        <f t="shared" si="516"/>
        <v>0</v>
      </c>
      <c r="DD551" s="4">
        <f t="shared" si="517"/>
        <v>0</v>
      </c>
    </row>
    <row r="552" spans="1:108" x14ac:dyDescent="0.25">
      <c r="A552" s="41">
        <f>Skills!M534</f>
        <v>0</v>
      </c>
      <c r="B552" s="55" t="str">
        <f>Skills!N534</f>
        <v>Ambush Sub-category</v>
      </c>
      <c r="C552" s="22">
        <f t="shared" si="518"/>
        <v>0</v>
      </c>
      <c r="D552" s="112" t="str">
        <f>Skills!S534</f>
        <v>- -</v>
      </c>
      <c r="E552" s="113" t="s">
        <v>782</v>
      </c>
      <c r="F552" s="19"/>
      <c r="G552" s="19"/>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56"/>
      <c r="BF552" s="4">
        <f t="shared" si="468"/>
        <v>0</v>
      </c>
      <c r="BG552" s="4">
        <f t="shared" si="468"/>
        <v>0</v>
      </c>
      <c r="BH552" s="4">
        <f t="shared" si="469"/>
        <v>0</v>
      </c>
      <c r="BI552" s="4">
        <f t="shared" si="470"/>
        <v>0</v>
      </c>
      <c r="BJ552" s="4">
        <f t="shared" si="471"/>
        <v>0</v>
      </c>
      <c r="BK552" s="4">
        <f t="shared" si="472"/>
        <v>0</v>
      </c>
      <c r="BL552" s="4">
        <f t="shared" si="473"/>
        <v>0</v>
      </c>
      <c r="BM552" s="4">
        <f t="shared" si="474"/>
        <v>0</v>
      </c>
      <c r="BN552" s="4">
        <f t="shared" si="475"/>
        <v>0</v>
      </c>
      <c r="BO552" s="4">
        <f t="shared" si="476"/>
        <v>0</v>
      </c>
      <c r="BP552" s="4">
        <f t="shared" si="477"/>
        <v>0</v>
      </c>
      <c r="BQ552" s="4">
        <f t="shared" si="478"/>
        <v>0</v>
      </c>
      <c r="BR552" s="4">
        <f t="shared" si="479"/>
        <v>0</v>
      </c>
      <c r="BS552" s="4">
        <f t="shared" si="480"/>
        <v>0</v>
      </c>
      <c r="BT552" s="4">
        <f t="shared" si="481"/>
        <v>0</v>
      </c>
      <c r="BU552" s="4">
        <f t="shared" si="482"/>
        <v>0</v>
      </c>
      <c r="BV552" s="4">
        <f t="shared" si="483"/>
        <v>0</v>
      </c>
      <c r="BW552" s="4">
        <f t="shared" si="484"/>
        <v>0</v>
      </c>
      <c r="BX552" s="4">
        <f t="shared" si="485"/>
        <v>0</v>
      </c>
      <c r="BY552" s="4">
        <f t="shared" si="486"/>
        <v>0</v>
      </c>
      <c r="BZ552" s="4">
        <f t="shared" si="487"/>
        <v>0</v>
      </c>
      <c r="CA552" s="4">
        <f t="shared" si="488"/>
        <v>0</v>
      </c>
      <c r="CB552" s="4">
        <f t="shared" si="489"/>
        <v>0</v>
      </c>
      <c r="CC552" s="4">
        <f t="shared" si="490"/>
        <v>0</v>
      </c>
      <c r="CD552" s="4">
        <f t="shared" si="491"/>
        <v>0</v>
      </c>
      <c r="CE552" s="4">
        <f t="shared" si="492"/>
        <v>0</v>
      </c>
      <c r="CF552" s="4">
        <f t="shared" si="493"/>
        <v>0</v>
      </c>
      <c r="CG552" s="4">
        <f t="shared" si="494"/>
        <v>0</v>
      </c>
      <c r="CH552" s="4">
        <f t="shared" si="495"/>
        <v>0</v>
      </c>
      <c r="CI552" s="4">
        <f t="shared" si="496"/>
        <v>0</v>
      </c>
      <c r="CJ552" s="4">
        <f t="shared" si="497"/>
        <v>0</v>
      </c>
      <c r="CK552" s="4">
        <f t="shared" si="498"/>
        <v>0</v>
      </c>
      <c r="CL552" s="4">
        <f t="shared" si="499"/>
        <v>0</v>
      </c>
      <c r="CM552" s="4">
        <f t="shared" si="500"/>
        <v>0</v>
      </c>
      <c r="CN552" s="4">
        <f t="shared" si="501"/>
        <v>0</v>
      </c>
      <c r="CO552" s="4">
        <f t="shared" si="502"/>
        <v>0</v>
      </c>
      <c r="CP552" s="4">
        <f t="shared" si="503"/>
        <v>0</v>
      </c>
      <c r="CQ552" s="4">
        <f t="shared" si="504"/>
        <v>0</v>
      </c>
      <c r="CR552" s="4">
        <f t="shared" si="505"/>
        <v>0</v>
      </c>
      <c r="CS552" s="4">
        <f t="shared" si="506"/>
        <v>0</v>
      </c>
      <c r="CT552" s="4">
        <f t="shared" si="507"/>
        <v>0</v>
      </c>
      <c r="CU552" s="4">
        <f t="shared" si="508"/>
        <v>0</v>
      </c>
      <c r="CV552" s="4">
        <f t="shared" si="509"/>
        <v>0</v>
      </c>
      <c r="CW552" s="4">
        <f t="shared" si="510"/>
        <v>0</v>
      </c>
      <c r="CX552" s="4">
        <f t="shared" si="511"/>
        <v>0</v>
      </c>
      <c r="CY552" s="4">
        <f t="shared" si="512"/>
        <v>0</v>
      </c>
      <c r="CZ552" s="4">
        <f t="shared" si="513"/>
        <v>0</v>
      </c>
      <c r="DA552" s="4">
        <f t="shared" si="514"/>
        <v>0</v>
      </c>
      <c r="DB552" s="4">
        <f t="shared" si="515"/>
        <v>0</v>
      </c>
      <c r="DC552" s="4">
        <f t="shared" si="516"/>
        <v>0</v>
      </c>
      <c r="DD552" s="4">
        <f t="shared" si="517"/>
        <v>0</v>
      </c>
    </row>
    <row r="553" spans="1:108" x14ac:dyDescent="0.25">
      <c r="A553" s="41">
        <f>Skills!M535</f>
        <v>0</v>
      </c>
      <c r="B553" s="57" t="str">
        <f>Skills!N535</f>
        <v>Ambush Skills</v>
      </c>
      <c r="C553" s="24">
        <f t="shared" si="518"/>
        <v>0</v>
      </c>
      <c r="D553" s="110" t="str">
        <f>Skills!S535</f>
        <v>- -</v>
      </c>
      <c r="E553" s="111" t="s">
        <v>782</v>
      </c>
      <c r="F553" s="18"/>
      <c r="G553" s="18"/>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49"/>
      <c r="BF553" s="4">
        <f t="shared" si="468"/>
        <v>0</v>
      </c>
      <c r="BG553" s="4">
        <f t="shared" si="468"/>
        <v>0</v>
      </c>
      <c r="BH553" s="4">
        <f t="shared" si="469"/>
        <v>0</v>
      </c>
      <c r="BI553" s="4">
        <f t="shared" si="470"/>
        <v>0</v>
      </c>
      <c r="BJ553" s="4">
        <f t="shared" si="471"/>
        <v>0</v>
      </c>
      <c r="BK553" s="4">
        <f t="shared" si="472"/>
        <v>0</v>
      </c>
      <c r="BL553" s="4">
        <f t="shared" si="473"/>
        <v>0</v>
      </c>
      <c r="BM553" s="4">
        <f t="shared" si="474"/>
        <v>0</v>
      </c>
      <c r="BN553" s="4">
        <f t="shared" si="475"/>
        <v>0</v>
      </c>
      <c r="BO553" s="4">
        <f t="shared" si="476"/>
        <v>0</v>
      </c>
      <c r="BP553" s="4">
        <f t="shared" si="477"/>
        <v>0</v>
      </c>
      <c r="BQ553" s="4">
        <f t="shared" si="478"/>
        <v>0</v>
      </c>
      <c r="BR553" s="4">
        <f t="shared" si="479"/>
        <v>0</v>
      </c>
      <c r="BS553" s="4">
        <f t="shared" si="480"/>
        <v>0</v>
      </c>
      <c r="BT553" s="4">
        <f t="shared" si="481"/>
        <v>0</v>
      </c>
      <c r="BU553" s="4">
        <f t="shared" si="482"/>
        <v>0</v>
      </c>
      <c r="BV553" s="4">
        <f t="shared" si="483"/>
        <v>0</v>
      </c>
      <c r="BW553" s="4">
        <f t="shared" si="484"/>
        <v>0</v>
      </c>
      <c r="BX553" s="4">
        <f t="shared" si="485"/>
        <v>0</v>
      </c>
      <c r="BY553" s="4">
        <f t="shared" si="486"/>
        <v>0</v>
      </c>
      <c r="BZ553" s="4">
        <f t="shared" si="487"/>
        <v>0</v>
      </c>
      <c r="CA553" s="4">
        <f t="shared" si="488"/>
        <v>0</v>
      </c>
      <c r="CB553" s="4">
        <f t="shared" si="489"/>
        <v>0</v>
      </c>
      <c r="CC553" s="4">
        <f t="shared" si="490"/>
        <v>0</v>
      </c>
      <c r="CD553" s="4">
        <f t="shared" si="491"/>
        <v>0</v>
      </c>
      <c r="CE553" s="4">
        <f t="shared" si="492"/>
        <v>0</v>
      </c>
      <c r="CF553" s="4">
        <f t="shared" si="493"/>
        <v>0</v>
      </c>
      <c r="CG553" s="4">
        <f t="shared" si="494"/>
        <v>0</v>
      </c>
      <c r="CH553" s="4">
        <f t="shared" si="495"/>
        <v>0</v>
      </c>
      <c r="CI553" s="4">
        <f t="shared" si="496"/>
        <v>0</v>
      </c>
      <c r="CJ553" s="4">
        <f t="shared" si="497"/>
        <v>0</v>
      </c>
      <c r="CK553" s="4">
        <f t="shared" si="498"/>
        <v>0</v>
      </c>
      <c r="CL553" s="4">
        <f t="shared" si="499"/>
        <v>0</v>
      </c>
      <c r="CM553" s="4">
        <f t="shared" si="500"/>
        <v>0</v>
      </c>
      <c r="CN553" s="4">
        <f t="shared" si="501"/>
        <v>0</v>
      </c>
      <c r="CO553" s="4">
        <f t="shared" si="502"/>
        <v>0</v>
      </c>
      <c r="CP553" s="4">
        <f t="shared" si="503"/>
        <v>0</v>
      </c>
      <c r="CQ553" s="4">
        <f t="shared" si="504"/>
        <v>0</v>
      </c>
      <c r="CR553" s="4">
        <f t="shared" si="505"/>
        <v>0</v>
      </c>
      <c r="CS553" s="4">
        <f t="shared" si="506"/>
        <v>0</v>
      </c>
      <c r="CT553" s="4">
        <f t="shared" si="507"/>
        <v>0</v>
      </c>
      <c r="CU553" s="4">
        <f t="shared" si="508"/>
        <v>0</v>
      </c>
      <c r="CV553" s="4">
        <f t="shared" si="509"/>
        <v>0</v>
      </c>
      <c r="CW553" s="4">
        <f t="shared" si="510"/>
        <v>0</v>
      </c>
      <c r="CX553" s="4">
        <f t="shared" si="511"/>
        <v>0</v>
      </c>
      <c r="CY553" s="4">
        <f t="shared" si="512"/>
        <v>0</v>
      </c>
      <c r="CZ553" s="4">
        <f t="shared" si="513"/>
        <v>0</v>
      </c>
      <c r="DA553" s="4">
        <f t="shared" si="514"/>
        <v>0</v>
      </c>
      <c r="DB553" s="4">
        <f t="shared" si="515"/>
        <v>0</v>
      </c>
      <c r="DC553" s="4">
        <f t="shared" si="516"/>
        <v>0</v>
      </c>
      <c r="DD553" s="4">
        <f t="shared" si="517"/>
        <v>0</v>
      </c>
    </row>
    <row r="554" spans="1:108" x14ac:dyDescent="0.25">
      <c r="A554" s="41" t="str">
        <f>Skills!M536</f>
        <v>Ambush, Directed Spells</v>
      </c>
      <c r="B554" s="55" t="str">
        <f>Skills!N536</f>
        <v>Directed Spells</v>
      </c>
      <c r="C554" s="22">
        <f t="shared" si="518"/>
        <v>0</v>
      </c>
      <c r="D554" s="112" t="e">
        <f ca="1">Skills!S536</f>
        <v>#N/A</v>
      </c>
      <c r="E554" s="113" t="e">
        <f>Profession!B$259</f>
        <v>#REF!</v>
      </c>
      <c r="F554" s="19"/>
      <c r="G554" s="19"/>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56"/>
      <c r="BF554" s="4">
        <f t="shared" si="468"/>
        <v>0</v>
      </c>
      <c r="BG554" s="4">
        <f t="shared" si="468"/>
        <v>0</v>
      </c>
      <c r="BH554" s="4">
        <f t="shared" si="469"/>
        <v>0</v>
      </c>
      <c r="BI554" s="4">
        <f t="shared" si="470"/>
        <v>0</v>
      </c>
      <c r="BJ554" s="4">
        <f t="shared" si="471"/>
        <v>0</v>
      </c>
      <c r="BK554" s="4">
        <f t="shared" si="472"/>
        <v>0</v>
      </c>
      <c r="BL554" s="4">
        <f t="shared" si="473"/>
        <v>0</v>
      </c>
      <c r="BM554" s="4">
        <f t="shared" si="474"/>
        <v>0</v>
      </c>
      <c r="BN554" s="4">
        <f t="shared" si="475"/>
        <v>0</v>
      </c>
      <c r="BO554" s="4">
        <f t="shared" si="476"/>
        <v>0</v>
      </c>
      <c r="BP554" s="4">
        <f t="shared" si="477"/>
        <v>0</v>
      </c>
      <c r="BQ554" s="4">
        <f t="shared" si="478"/>
        <v>0</v>
      </c>
      <c r="BR554" s="4">
        <f t="shared" si="479"/>
        <v>0</v>
      </c>
      <c r="BS554" s="4">
        <f t="shared" si="480"/>
        <v>0</v>
      </c>
      <c r="BT554" s="4">
        <f t="shared" si="481"/>
        <v>0</v>
      </c>
      <c r="BU554" s="4">
        <f t="shared" si="482"/>
        <v>0</v>
      </c>
      <c r="BV554" s="4">
        <f t="shared" si="483"/>
        <v>0</v>
      </c>
      <c r="BW554" s="4">
        <f t="shared" si="484"/>
        <v>0</v>
      </c>
      <c r="BX554" s="4">
        <f t="shared" si="485"/>
        <v>0</v>
      </c>
      <c r="BY554" s="4">
        <f t="shared" si="486"/>
        <v>0</v>
      </c>
      <c r="BZ554" s="4">
        <f t="shared" si="487"/>
        <v>0</v>
      </c>
      <c r="CA554" s="4">
        <f t="shared" si="488"/>
        <v>0</v>
      </c>
      <c r="CB554" s="4">
        <f t="shared" si="489"/>
        <v>0</v>
      </c>
      <c r="CC554" s="4">
        <f t="shared" si="490"/>
        <v>0</v>
      </c>
      <c r="CD554" s="4">
        <f t="shared" si="491"/>
        <v>0</v>
      </c>
      <c r="CE554" s="4">
        <f t="shared" si="492"/>
        <v>0</v>
      </c>
      <c r="CF554" s="4">
        <f t="shared" si="493"/>
        <v>0</v>
      </c>
      <c r="CG554" s="4">
        <f t="shared" si="494"/>
        <v>0</v>
      </c>
      <c r="CH554" s="4">
        <f t="shared" si="495"/>
        <v>0</v>
      </c>
      <c r="CI554" s="4">
        <f t="shared" si="496"/>
        <v>0</v>
      </c>
      <c r="CJ554" s="4">
        <f t="shared" si="497"/>
        <v>0</v>
      </c>
      <c r="CK554" s="4">
        <f t="shared" si="498"/>
        <v>0</v>
      </c>
      <c r="CL554" s="4">
        <f t="shared" si="499"/>
        <v>0</v>
      </c>
      <c r="CM554" s="4">
        <f t="shared" si="500"/>
        <v>0</v>
      </c>
      <c r="CN554" s="4">
        <f t="shared" si="501"/>
        <v>0</v>
      </c>
      <c r="CO554" s="4">
        <f t="shared" si="502"/>
        <v>0</v>
      </c>
      <c r="CP554" s="4">
        <f t="shared" si="503"/>
        <v>0</v>
      </c>
      <c r="CQ554" s="4">
        <f t="shared" si="504"/>
        <v>0</v>
      </c>
      <c r="CR554" s="4">
        <f t="shared" si="505"/>
        <v>0</v>
      </c>
      <c r="CS554" s="4">
        <f t="shared" si="506"/>
        <v>0</v>
      </c>
      <c r="CT554" s="4">
        <f t="shared" si="507"/>
        <v>0</v>
      </c>
      <c r="CU554" s="4">
        <f t="shared" si="508"/>
        <v>0</v>
      </c>
      <c r="CV554" s="4">
        <f t="shared" si="509"/>
        <v>0</v>
      </c>
      <c r="CW554" s="4">
        <f t="shared" si="510"/>
        <v>0</v>
      </c>
      <c r="CX554" s="4">
        <f t="shared" si="511"/>
        <v>0</v>
      </c>
      <c r="CY554" s="4">
        <f t="shared" si="512"/>
        <v>0</v>
      </c>
      <c r="CZ554" s="4">
        <f t="shared" si="513"/>
        <v>0</v>
      </c>
      <c r="DA554" s="4">
        <f t="shared" si="514"/>
        <v>0</v>
      </c>
      <c r="DB554" s="4">
        <f t="shared" si="515"/>
        <v>0</v>
      </c>
      <c r="DC554" s="4">
        <f t="shared" si="516"/>
        <v>0</v>
      </c>
      <c r="DD554" s="4">
        <f t="shared" si="517"/>
        <v>0</v>
      </c>
    </row>
    <row r="555" spans="1:108" x14ac:dyDescent="0.25">
      <c r="A555" s="41" t="str">
        <f>Skills!M537</f>
        <v>Ambush, Melee</v>
      </c>
      <c r="B555" s="57" t="str">
        <f>Skills!N537</f>
        <v>Melee</v>
      </c>
      <c r="C555" s="24">
        <f t="shared" si="518"/>
        <v>0</v>
      </c>
      <c r="D555" s="110" t="e">
        <f>Skills!S537</f>
        <v>#N/A</v>
      </c>
      <c r="E555" s="111" t="e">
        <f>Profession!B$259</f>
        <v>#REF!</v>
      </c>
      <c r="F555" s="18"/>
      <c r="G555" s="18"/>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49"/>
      <c r="BF555" s="4">
        <f t="shared" si="468"/>
        <v>0</v>
      </c>
      <c r="BG555" s="4">
        <f t="shared" si="468"/>
        <v>0</v>
      </c>
      <c r="BH555" s="4">
        <f t="shared" si="469"/>
        <v>0</v>
      </c>
      <c r="BI555" s="4">
        <f t="shared" si="470"/>
        <v>0</v>
      </c>
      <c r="BJ555" s="4">
        <f t="shared" si="471"/>
        <v>0</v>
      </c>
      <c r="BK555" s="4">
        <f t="shared" si="472"/>
        <v>0</v>
      </c>
      <c r="BL555" s="4">
        <f t="shared" si="473"/>
        <v>0</v>
      </c>
      <c r="BM555" s="4">
        <f t="shared" si="474"/>
        <v>0</v>
      </c>
      <c r="BN555" s="4">
        <f t="shared" si="475"/>
        <v>0</v>
      </c>
      <c r="BO555" s="4">
        <f t="shared" si="476"/>
        <v>0</v>
      </c>
      <c r="BP555" s="4">
        <f t="shared" si="477"/>
        <v>0</v>
      </c>
      <c r="BQ555" s="4">
        <f t="shared" si="478"/>
        <v>0</v>
      </c>
      <c r="BR555" s="4">
        <f t="shared" si="479"/>
        <v>0</v>
      </c>
      <c r="BS555" s="4">
        <f t="shared" si="480"/>
        <v>0</v>
      </c>
      <c r="BT555" s="4">
        <f t="shared" si="481"/>
        <v>0</v>
      </c>
      <c r="BU555" s="4">
        <f t="shared" si="482"/>
        <v>0</v>
      </c>
      <c r="BV555" s="4">
        <f t="shared" si="483"/>
        <v>0</v>
      </c>
      <c r="BW555" s="4">
        <f t="shared" si="484"/>
        <v>0</v>
      </c>
      <c r="BX555" s="4">
        <f t="shared" si="485"/>
        <v>0</v>
      </c>
      <c r="BY555" s="4">
        <f t="shared" si="486"/>
        <v>0</v>
      </c>
      <c r="BZ555" s="4">
        <f t="shared" si="487"/>
        <v>0</v>
      </c>
      <c r="CA555" s="4">
        <f t="shared" si="488"/>
        <v>0</v>
      </c>
      <c r="CB555" s="4">
        <f t="shared" si="489"/>
        <v>0</v>
      </c>
      <c r="CC555" s="4">
        <f t="shared" si="490"/>
        <v>0</v>
      </c>
      <c r="CD555" s="4">
        <f t="shared" si="491"/>
        <v>0</v>
      </c>
      <c r="CE555" s="4">
        <f t="shared" si="492"/>
        <v>0</v>
      </c>
      <c r="CF555" s="4">
        <f t="shared" si="493"/>
        <v>0</v>
      </c>
      <c r="CG555" s="4">
        <f t="shared" si="494"/>
        <v>0</v>
      </c>
      <c r="CH555" s="4">
        <f t="shared" si="495"/>
        <v>0</v>
      </c>
      <c r="CI555" s="4">
        <f t="shared" si="496"/>
        <v>0</v>
      </c>
      <c r="CJ555" s="4">
        <f t="shared" si="497"/>
        <v>0</v>
      </c>
      <c r="CK555" s="4">
        <f t="shared" si="498"/>
        <v>0</v>
      </c>
      <c r="CL555" s="4">
        <f t="shared" si="499"/>
        <v>0</v>
      </c>
      <c r="CM555" s="4">
        <f t="shared" si="500"/>
        <v>0</v>
      </c>
      <c r="CN555" s="4">
        <f t="shared" si="501"/>
        <v>0</v>
      </c>
      <c r="CO555" s="4">
        <f t="shared" si="502"/>
        <v>0</v>
      </c>
      <c r="CP555" s="4">
        <f t="shared" si="503"/>
        <v>0</v>
      </c>
      <c r="CQ555" s="4">
        <f t="shared" si="504"/>
        <v>0</v>
      </c>
      <c r="CR555" s="4">
        <f t="shared" si="505"/>
        <v>0</v>
      </c>
      <c r="CS555" s="4">
        <f t="shared" si="506"/>
        <v>0</v>
      </c>
      <c r="CT555" s="4">
        <f t="shared" si="507"/>
        <v>0</v>
      </c>
      <c r="CU555" s="4">
        <f t="shared" si="508"/>
        <v>0</v>
      </c>
      <c r="CV555" s="4">
        <f t="shared" si="509"/>
        <v>0</v>
      </c>
      <c r="CW555" s="4">
        <f t="shared" si="510"/>
        <v>0</v>
      </c>
      <c r="CX555" s="4">
        <f t="shared" si="511"/>
        <v>0</v>
      </c>
      <c r="CY555" s="4">
        <f t="shared" si="512"/>
        <v>0</v>
      </c>
      <c r="CZ555" s="4">
        <f t="shared" si="513"/>
        <v>0</v>
      </c>
      <c r="DA555" s="4">
        <f t="shared" si="514"/>
        <v>0</v>
      </c>
      <c r="DB555" s="4">
        <f t="shared" si="515"/>
        <v>0</v>
      </c>
      <c r="DC555" s="4">
        <f t="shared" si="516"/>
        <v>0</v>
      </c>
      <c r="DD555" s="4">
        <f t="shared" si="517"/>
        <v>0</v>
      </c>
    </row>
    <row r="556" spans="1:108" x14ac:dyDescent="0.25">
      <c r="A556" s="41" t="str">
        <f>Skills!M538</f>
        <v>Ambush, Ranged</v>
      </c>
      <c r="B556" s="55" t="str">
        <f>Skills!N538</f>
        <v>Ranged</v>
      </c>
      <c r="C556" s="22">
        <f t="shared" si="518"/>
        <v>0</v>
      </c>
      <c r="D556" s="112" t="e">
        <f ca="1">Skills!S538</f>
        <v>#N/A</v>
      </c>
      <c r="E556" s="113" t="e">
        <f>Profession!B$259</f>
        <v>#REF!</v>
      </c>
      <c r="F556" s="19"/>
      <c r="G556" s="19"/>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56"/>
      <c r="BF556" s="4">
        <f t="shared" si="468"/>
        <v>0</v>
      </c>
      <c r="BG556" s="4">
        <f t="shared" si="468"/>
        <v>0</v>
      </c>
      <c r="BH556" s="4">
        <f t="shared" si="469"/>
        <v>0</v>
      </c>
      <c r="BI556" s="4">
        <f t="shared" si="470"/>
        <v>0</v>
      </c>
      <c r="BJ556" s="4">
        <f t="shared" si="471"/>
        <v>0</v>
      </c>
      <c r="BK556" s="4">
        <f t="shared" si="472"/>
        <v>0</v>
      </c>
      <c r="BL556" s="4">
        <f t="shared" si="473"/>
        <v>0</v>
      </c>
      <c r="BM556" s="4">
        <f t="shared" si="474"/>
        <v>0</v>
      </c>
      <c r="BN556" s="4">
        <f t="shared" si="475"/>
        <v>0</v>
      </c>
      <c r="BO556" s="4">
        <f t="shared" si="476"/>
        <v>0</v>
      </c>
      <c r="BP556" s="4">
        <f t="shared" si="477"/>
        <v>0</v>
      </c>
      <c r="BQ556" s="4">
        <f t="shared" si="478"/>
        <v>0</v>
      </c>
      <c r="BR556" s="4">
        <f t="shared" si="479"/>
        <v>0</v>
      </c>
      <c r="BS556" s="4">
        <f t="shared" si="480"/>
        <v>0</v>
      </c>
      <c r="BT556" s="4">
        <f t="shared" si="481"/>
        <v>0</v>
      </c>
      <c r="BU556" s="4">
        <f t="shared" si="482"/>
        <v>0</v>
      </c>
      <c r="BV556" s="4">
        <f t="shared" si="483"/>
        <v>0</v>
      </c>
      <c r="BW556" s="4">
        <f t="shared" si="484"/>
        <v>0</v>
      </c>
      <c r="BX556" s="4">
        <f t="shared" si="485"/>
        <v>0</v>
      </c>
      <c r="BY556" s="4">
        <f t="shared" si="486"/>
        <v>0</v>
      </c>
      <c r="BZ556" s="4">
        <f t="shared" si="487"/>
        <v>0</v>
      </c>
      <c r="CA556" s="4">
        <f t="shared" si="488"/>
        <v>0</v>
      </c>
      <c r="CB556" s="4">
        <f t="shared" si="489"/>
        <v>0</v>
      </c>
      <c r="CC556" s="4">
        <f t="shared" si="490"/>
        <v>0</v>
      </c>
      <c r="CD556" s="4">
        <f t="shared" si="491"/>
        <v>0</v>
      </c>
      <c r="CE556" s="4">
        <f t="shared" si="492"/>
        <v>0</v>
      </c>
      <c r="CF556" s="4">
        <f t="shared" si="493"/>
        <v>0</v>
      </c>
      <c r="CG556" s="4">
        <f t="shared" si="494"/>
        <v>0</v>
      </c>
      <c r="CH556" s="4">
        <f t="shared" si="495"/>
        <v>0</v>
      </c>
      <c r="CI556" s="4">
        <f t="shared" si="496"/>
        <v>0</v>
      </c>
      <c r="CJ556" s="4">
        <f t="shared" si="497"/>
        <v>0</v>
      </c>
      <c r="CK556" s="4">
        <f t="shared" si="498"/>
        <v>0</v>
      </c>
      <c r="CL556" s="4">
        <f t="shared" si="499"/>
        <v>0</v>
      </c>
      <c r="CM556" s="4">
        <f t="shared" si="500"/>
        <v>0</v>
      </c>
      <c r="CN556" s="4">
        <f t="shared" si="501"/>
        <v>0</v>
      </c>
      <c r="CO556" s="4">
        <f t="shared" si="502"/>
        <v>0</v>
      </c>
      <c r="CP556" s="4">
        <f t="shared" si="503"/>
        <v>0</v>
      </c>
      <c r="CQ556" s="4">
        <f t="shared" si="504"/>
        <v>0</v>
      </c>
      <c r="CR556" s="4">
        <f t="shared" si="505"/>
        <v>0</v>
      </c>
      <c r="CS556" s="4">
        <f t="shared" si="506"/>
        <v>0</v>
      </c>
      <c r="CT556" s="4">
        <f t="shared" si="507"/>
        <v>0</v>
      </c>
      <c r="CU556" s="4">
        <f t="shared" si="508"/>
        <v>0</v>
      </c>
      <c r="CV556" s="4">
        <f t="shared" si="509"/>
        <v>0</v>
      </c>
      <c r="CW556" s="4">
        <f t="shared" si="510"/>
        <v>0</v>
      </c>
      <c r="CX556" s="4">
        <f t="shared" si="511"/>
        <v>0</v>
      </c>
      <c r="CY556" s="4">
        <f t="shared" si="512"/>
        <v>0</v>
      </c>
      <c r="CZ556" s="4">
        <f t="shared" si="513"/>
        <v>0</v>
      </c>
      <c r="DA556" s="4">
        <f t="shared" si="514"/>
        <v>0</v>
      </c>
      <c r="DB556" s="4">
        <f t="shared" si="515"/>
        <v>0</v>
      </c>
      <c r="DC556" s="4">
        <f t="shared" si="516"/>
        <v>0</v>
      </c>
      <c r="DD556" s="4">
        <f t="shared" si="517"/>
        <v>0</v>
      </c>
    </row>
    <row r="557" spans="1:108" x14ac:dyDescent="0.25">
      <c r="A557" s="41" t="str">
        <f>Skills!M539</f>
        <v>Ambush, Unarmed</v>
      </c>
      <c r="B557" s="57" t="str">
        <f>Skills!N539</f>
        <v>Unarmed</v>
      </c>
      <c r="C557" s="24">
        <f t="shared" si="518"/>
        <v>0</v>
      </c>
      <c r="D557" s="110" t="e">
        <f>Skills!S539</f>
        <v>#N/A</v>
      </c>
      <c r="E557" s="111" t="e">
        <f>Profession!B$259</f>
        <v>#REF!</v>
      </c>
      <c r="F557" s="18"/>
      <c r="G557" s="18"/>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49"/>
      <c r="BF557" s="4">
        <f t="shared" si="468"/>
        <v>0</v>
      </c>
      <c r="BG557" s="4">
        <f t="shared" si="468"/>
        <v>0</v>
      </c>
      <c r="BH557" s="4">
        <f t="shared" si="469"/>
        <v>0</v>
      </c>
      <c r="BI557" s="4">
        <f t="shared" si="470"/>
        <v>0</v>
      </c>
      <c r="BJ557" s="4">
        <f t="shared" si="471"/>
        <v>0</v>
      </c>
      <c r="BK557" s="4">
        <f t="shared" si="472"/>
        <v>0</v>
      </c>
      <c r="BL557" s="4">
        <f t="shared" si="473"/>
        <v>0</v>
      </c>
      <c r="BM557" s="4">
        <f t="shared" si="474"/>
        <v>0</v>
      </c>
      <c r="BN557" s="4">
        <f t="shared" si="475"/>
        <v>0</v>
      </c>
      <c r="BO557" s="4">
        <f t="shared" si="476"/>
        <v>0</v>
      </c>
      <c r="BP557" s="4">
        <f t="shared" si="477"/>
        <v>0</v>
      </c>
      <c r="BQ557" s="4">
        <f t="shared" si="478"/>
        <v>0</v>
      </c>
      <c r="BR557" s="4">
        <f t="shared" si="479"/>
        <v>0</v>
      </c>
      <c r="BS557" s="4">
        <f t="shared" si="480"/>
        <v>0</v>
      </c>
      <c r="BT557" s="4">
        <f t="shared" si="481"/>
        <v>0</v>
      </c>
      <c r="BU557" s="4">
        <f t="shared" si="482"/>
        <v>0</v>
      </c>
      <c r="BV557" s="4">
        <f t="shared" si="483"/>
        <v>0</v>
      </c>
      <c r="BW557" s="4">
        <f t="shared" si="484"/>
        <v>0</v>
      </c>
      <c r="BX557" s="4">
        <f t="shared" si="485"/>
        <v>0</v>
      </c>
      <c r="BY557" s="4">
        <f t="shared" si="486"/>
        <v>0</v>
      </c>
      <c r="BZ557" s="4">
        <f t="shared" si="487"/>
        <v>0</v>
      </c>
      <c r="CA557" s="4">
        <f t="shared" si="488"/>
        <v>0</v>
      </c>
      <c r="CB557" s="4">
        <f t="shared" si="489"/>
        <v>0</v>
      </c>
      <c r="CC557" s="4">
        <f t="shared" si="490"/>
        <v>0</v>
      </c>
      <c r="CD557" s="4">
        <f t="shared" si="491"/>
        <v>0</v>
      </c>
      <c r="CE557" s="4">
        <f t="shared" si="492"/>
        <v>0</v>
      </c>
      <c r="CF557" s="4">
        <f t="shared" si="493"/>
        <v>0</v>
      </c>
      <c r="CG557" s="4">
        <f t="shared" si="494"/>
        <v>0</v>
      </c>
      <c r="CH557" s="4">
        <f t="shared" si="495"/>
        <v>0</v>
      </c>
      <c r="CI557" s="4">
        <f t="shared" si="496"/>
        <v>0</v>
      </c>
      <c r="CJ557" s="4">
        <f t="shared" si="497"/>
        <v>0</v>
      </c>
      <c r="CK557" s="4">
        <f t="shared" si="498"/>
        <v>0</v>
      </c>
      <c r="CL557" s="4">
        <f t="shared" si="499"/>
        <v>0</v>
      </c>
      <c r="CM557" s="4">
        <f t="shared" si="500"/>
        <v>0</v>
      </c>
      <c r="CN557" s="4">
        <f t="shared" si="501"/>
        <v>0</v>
      </c>
      <c r="CO557" s="4">
        <f t="shared" si="502"/>
        <v>0</v>
      </c>
      <c r="CP557" s="4">
        <f t="shared" si="503"/>
        <v>0</v>
      </c>
      <c r="CQ557" s="4">
        <f t="shared" si="504"/>
        <v>0</v>
      </c>
      <c r="CR557" s="4">
        <f t="shared" si="505"/>
        <v>0</v>
      </c>
      <c r="CS557" s="4">
        <f t="shared" si="506"/>
        <v>0</v>
      </c>
      <c r="CT557" s="4">
        <f t="shared" si="507"/>
        <v>0</v>
      </c>
      <c r="CU557" s="4">
        <f t="shared" si="508"/>
        <v>0</v>
      </c>
      <c r="CV557" s="4">
        <f t="shared" si="509"/>
        <v>0</v>
      </c>
      <c r="CW557" s="4">
        <f t="shared" si="510"/>
        <v>0</v>
      </c>
      <c r="CX557" s="4">
        <f t="shared" si="511"/>
        <v>0</v>
      </c>
      <c r="CY557" s="4">
        <f t="shared" si="512"/>
        <v>0</v>
      </c>
      <c r="CZ557" s="4">
        <f t="shared" si="513"/>
        <v>0</v>
      </c>
      <c r="DA557" s="4">
        <f t="shared" si="514"/>
        <v>0</v>
      </c>
      <c r="DB557" s="4">
        <f t="shared" si="515"/>
        <v>0</v>
      </c>
      <c r="DC557" s="4">
        <f t="shared" si="516"/>
        <v>0</v>
      </c>
      <c r="DD557" s="4">
        <f t="shared" si="517"/>
        <v>0</v>
      </c>
    </row>
    <row r="558" spans="1:108" x14ac:dyDescent="0.25">
      <c r="A558" s="41">
        <f>Skills!M540</f>
        <v>0</v>
      </c>
      <c r="B558" s="55" t="str">
        <f>Skills!N540</f>
        <v>Subterfuge Sub-category</v>
      </c>
      <c r="C558" s="22">
        <f t="shared" si="518"/>
        <v>0</v>
      </c>
      <c r="D558" s="112" t="str">
        <f>Skills!S540</f>
        <v>- -</v>
      </c>
      <c r="E558" s="113" t="s">
        <v>782</v>
      </c>
      <c r="F558" s="19"/>
      <c r="G558" s="19"/>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56"/>
      <c r="BF558" s="4">
        <f t="shared" si="468"/>
        <v>0</v>
      </c>
      <c r="BG558" s="4">
        <f t="shared" si="468"/>
        <v>0</v>
      </c>
      <c r="BH558" s="4">
        <f t="shared" si="469"/>
        <v>0</v>
      </c>
      <c r="BI558" s="4">
        <f t="shared" si="470"/>
        <v>0</v>
      </c>
      <c r="BJ558" s="4">
        <f t="shared" si="471"/>
        <v>0</v>
      </c>
      <c r="BK558" s="4">
        <f t="shared" si="472"/>
        <v>0</v>
      </c>
      <c r="BL558" s="4">
        <f t="shared" si="473"/>
        <v>0</v>
      </c>
      <c r="BM558" s="4">
        <f t="shared" si="474"/>
        <v>0</v>
      </c>
      <c r="BN558" s="4">
        <f t="shared" si="475"/>
        <v>0</v>
      </c>
      <c r="BO558" s="4">
        <f t="shared" si="476"/>
        <v>0</v>
      </c>
      <c r="BP558" s="4">
        <f t="shared" si="477"/>
        <v>0</v>
      </c>
      <c r="BQ558" s="4">
        <f t="shared" si="478"/>
        <v>0</v>
      </c>
      <c r="BR558" s="4">
        <f t="shared" si="479"/>
        <v>0</v>
      </c>
      <c r="BS558" s="4">
        <f t="shared" si="480"/>
        <v>0</v>
      </c>
      <c r="BT558" s="4">
        <f t="shared" si="481"/>
        <v>0</v>
      </c>
      <c r="BU558" s="4">
        <f t="shared" si="482"/>
        <v>0</v>
      </c>
      <c r="BV558" s="4">
        <f t="shared" si="483"/>
        <v>0</v>
      </c>
      <c r="BW558" s="4">
        <f t="shared" si="484"/>
        <v>0</v>
      </c>
      <c r="BX558" s="4">
        <f t="shared" si="485"/>
        <v>0</v>
      </c>
      <c r="BY558" s="4">
        <f t="shared" si="486"/>
        <v>0</v>
      </c>
      <c r="BZ558" s="4">
        <f t="shared" si="487"/>
        <v>0</v>
      </c>
      <c r="CA558" s="4">
        <f t="shared" si="488"/>
        <v>0</v>
      </c>
      <c r="CB558" s="4">
        <f t="shared" si="489"/>
        <v>0</v>
      </c>
      <c r="CC558" s="4">
        <f t="shared" si="490"/>
        <v>0</v>
      </c>
      <c r="CD558" s="4">
        <f t="shared" si="491"/>
        <v>0</v>
      </c>
      <c r="CE558" s="4">
        <f t="shared" si="492"/>
        <v>0</v>
      </c>
      <c r="CF558" s="4">
        <f t="shared" si="493"/>
        <v>0</v>
      </c>
      <c r="CG558" s="4">
        <f t="shared" si="494"/>
        <v>0</v>
      </c>
      <c r="CH558" s="4">
        <f t="shared" si="495"/>
        <v>0</v>
      </c>
      <c r="CI558" s="4">
        <f t="shared" si="496"/>
        <v>0</v>
      </c>
      <c r="CJ558" s="4">
        <f t="shared" si="497"/>
        <v>0</v>
      </c>
      <c r="CK558" s="4">
        <f t="shared" si="498"/>
        <v>0</v>
      </c>
      <c r="CL558" s="4">
        <f t="shared" si="499"/>
        <v>0</v>
      </c>
      <c r="CM558" s="4">
        <f t="shared" si="500"/>
        <v>0</v>
      </c>
      <c r="CN558" s="4">
        <f t="shared" si="501"/>
        <v>0</v>
      </c>
      <c r="CO558" s="4">
        <f t="shared" si="502"/>
        <v>0</v>
      </c>
      <c r="CP558" s="4">
        <f t="shared" si="503"/>
        <v>0</v>
      </c>
      <c r="CQ558" s="4">
        <f t="shared" si="504"/>
        <v>0</v>
      </c>
      <c r="CR558" s="4">
        <f t="shared" si="505"/>
        <v>0</v>
      </c>
      <c r="CS558" s="4">
        <f t="shared" si="506"/>
        <v>0</v>
      </c>
      <c r="CT558" s="4">
        <f t="shared" si="507"/>
        <v>0</v>
      </c>
      <c r="CU558" s="4">
        <f t="shared" si="508"/>
        <v>0</v>
      </c>
      <c r="CV558" s="4">
        <f t="shared" si="509"/>
        <v>0</v>
      </c>
      <c r="CW558" s="4">
        <f t="shared" si="510"/>
        <v>0</v>
      </c>
      <c r="CX558" s="4">
        <f t="shared" si="511"/>
        <v>0</v>
      </c>
      <c r="CY558" s="4">
        <f t="shared" si="512"/>
        <v>0</v>
      </c>
      <c r="CZ558" s="4">
        <f t="shared" si="513"/>
        <v>0</v>
      </c>
      <c r="DA558" s="4">
        <f t="shared" si="514"/>
        <v>0</v>
      </c>
      <c r="DB558" s="4">
        <f t="shared" si="515"/>
        <v>0</v>
      </c>
      <c r="DC558" s="4">
        <f t="shared" si="516"/>
        <v>0</v>
      </c>
      <c r="DD558" s="4">
        <f t="shared" si="517"/>
        <v>0</v>
      </c>
    </row>
    <row r="559" spans="1:108" x14ac:dyDescent="0.25">
      <c r="A559" s="41">
        <f>Skills!M541</f>
        <v>0</v>
      </c>
      <c r="B559" s="57" t="str">
        <f>Skills!N541</f>
        <v>Subterfuge Skills</v>
      </c>
      <c r="C559" s="24">
        <f t="shared" si="518"/>
        <v>0</v>
      </c>
      <c r="D559" s="110" t="str">
        <f>Skills!S541</f>
        <v>- -</v>
      </c>
      <c r="E559" s="111" t="s">
        <v>782</v>
      </c>
      <c r="F559" s="18"/>
      <c r="G559" s="18"/>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49"/>
      <c r="BF559" s="4">
        <f t="shared" si="468"/>
        <v>0</v>
      </c>
      <c r="BG559" s="4">
        <f t="shared" si="468"/>
        <v>0</v>
      </c>
      <c r="BH559" s="4">
        <f t="shared" si="469"/>
        <v>0</v>
      </c>
      <c r="BI559" s="4">
        <f t="shared" si="470"/>
        <v>0</v>
      </c>
      <c r="BJ559" s="4">
        <f t="shared" si="471"/>
        <v>0</v>
      </c>
      <c r="BK559" s="4">
        <f t="shared" si="472"/>
        <v>0</v>
      </c>
      <c r="BL559" s="4">
        <f t="shared" si="473"/>
        <v>0</v>
      </c>
      <c r="BM559" s="4">
        <f t="shared" si="474"/>
        <v>0</v>
      </c>
      <c r="BN559" s="4">
        <f t="shared" si="475"/>
        <v>0</v>
      </c>
      <c r="BO559" s="4">
        <f t="shared" si="476"/>
        <v>0</v>
      </c>
      <c r="BP559" s="4">
        <f t="shared" si="477"/>
        <v>0</v>
      </c>
      <c r="BQ559" s="4">
        <f t="shared" si="478"/>
        <v>0</v>
      </c>
      <c r="BR559" s="4">
        <f t="shared" si="479"/>
        <v>0</v>
      </c>
      <c r="BS559" s="4">
        <f t="shared" si="480"/>
        <v>0</v>
      </c>
      <c r="BT559" s="4">
        <f t="shared" si="481"/>
        <v>0</v>
      </c>
      <c r="BU559" s="4">
        <f t="shared" si="482"/>
        <v>0</v>
      </c>
      <c r="BV559" s="4">
        <f t="shared" si="483"/>
        <v>0</v>
      </c>
      <c r="BW559" s="4">
        <f t="shared" si="484"/>
        <v>0</v>
      </c>
      <c r="BX559" s="4">
        <f t="shared" si="485"/>
        <v>0</v>
      </c>
      <c r="BY559" s="4">
        <f t="shared" si="486"/>
        <v>0</v>
      </c>
      <c r="BZ559" s="4">
        <f t="shared" si="487"/>
        <v>0</v>
      </c>
      <c r="CA559" s="4">
        <f t="shared" si="488"/>
        <v>0</v>
      </c>
      <c r="CB559" s="4">
        <f t="shared" si="489"/>
        <v>0</v>
      </c>
      <c r="CC559" s="4">
        <f t="shared" si="490"/>
        <v>0</v>
      </c>
      <c r="CD559" s="4">
        <f t="shared" si="491"/>
        <v>0</v>
      </c>
      <c r="CE559" s="4">
        <f t="shared" si="492"/>
        <v>0</v>
      </c>
      <c r="CF559" s="4">
        <f t="shared" si="493"/>
        <v>0</v>
      </c>
      <c r="CG559" s="4">
        <f t="shared" si="494"/>
        <v>0</v>
      </c>
      <c r="CH559" s="4">
        <f t="shared" si="495"/>
        <v>0</v>
      </c>
      <c r="CI559" s="4">
        <f t="shared" si="496"/>
        <v>0</v>
      </c>
      <c r="CJ559" s="4">
        <f t="shared" si="497"/>
        <v>0</v>
      </c>
      <c r="CK559" s="4">
        <f t="shared" si="498"/>
        <v>0</v>
      </c>
      <c r="CL559" s="4">
        <f t="shared" si="499"/>
        <v>0</v>
      </c>
      <c r="CM559" s="4">
        <f t="shared" si="500"/>
        <v>0</v>
      </c>
      <c r="CN559" s="4">
        <f t="shared" si="501"/>
        <v>0</v>
      </c>
      <c r="CO559" s="4">
        <f t="shared" si="502"/>
        <v>0</v>
      </c>
      <c r="CP559" s="4">
        <f t="shared" si="503"/>
        <v>0</v>
      </c>
      <c r="CQ559" s="4">
        <f t="shared" si="504"/>
        <v>0</v>
      </c>
      <c r="CR559" s="4">
        <f t="shared" si="505"/>
        <v>0</v>
      </c>
      <c r="CS559" s="4">
        <f t="shared" si="506"/>
        <v>0</v>
      </c>
      <c r="CT559" s="4">
        <f t="shared" si="507"/>
        <v>0</v>
      </c>
      <c r="CU559" s="4">
        <f t="shared" si="508"/>
        <v>0</v>
      </c>
      <c r="CV559" s="4">
        <f t="shared" si="509"/>
        <v>0</v>
      </c>
      <c r="CW559" s="4">
        <f t="shared" si="510"/>
        <v>0</v>
      </c>
      <c r="CX559" s="4">
        <f t="shared" si="511"/>
        <v>0</v>
      </c>
      <c r="CY559" s="4">
        <f t="shared" si="512"/>
        <v>0</v>
      </c>
      <c r="CZ559" s="4">
        <f t="shared" si="513"/>
        <v>0</v>
      </c>
      <c r="DA559" s="4">
        <f t="shared" si="514"/>
        <v>0</v>
      </c>
      <c r="DB559" s="4">
        <f t="shared" si="515"/>
        <v>0</v>
      </c>
      <c r="DC559" s="4">
        <f t="shared" si="516"/>
        <v>0</v>
      </c>
      <c r="DD559" s="4">
        <f t="shared" si="517"/>
        <v>0</v>
      </c>
    </row>
    <row r="560" spans="1:108" x14ac:dyDescent="0.25">
      <c r="A560" s="41" t="str">
        <f>Skills!M542</f>
        <v>Concealment</v>
      </c>
      <c r="B560" s="55" t="str">
        <f>Skills!N542</f>
        <v>Concealment</v>
      </c>
      <c r="C560" s="22">
        <f t="shared" si="518"/>
        <v>0</v>
      </c>
      <c r="D560" s="112">
        <f ca="1">Skills!S542</f>
        <v>1</v>
      </c>
      <c r="E560" s="113" t="e">
        <f>Profession!B254</f>
        <v>#REF!</v>
      </c>
      <c r="F560" s="19"/>
      <c r="G560" s="19"/>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56"/>
      <c r="BF560" s="4">
        <f t="shared" si="468"/>
        <v>0</v>
      </c>
      <c r="BG560" s="4">
        <f t="shared" si="468"/>
        <v>0</v>
      </c>
      <c r="BH560" s="4">
        <f t="shared" si="469"/>
        <v>0</v>
      </c>
      <c r="BI560" s="4">
        <f t="shared" si="470"/>
        <v>0</v>
      </c>
      <c r="BJ560" s="4">
        <f t="shared" si="471"/>
        <v>0</v>
      </c>
      <c r="BK560" s="4">
        <f t="shared" si="472"/>
        <v>0</v>
      </c>
      <c r="BL560" s="4">
        <f t="shared" si="473"/>
        <v>0</v>
      </c>
      <c r="BM560" s="4">
        <f t="shared" si="474"/>
        <v>0</v>
      </c>
      <c r="BN560" s="4">
        <f t="shared" si="475"/>
        <v>0</v>
      </c>
      <c r="BO560" s="4">
        <f t="shared" si="476"/>
        <v>0</v>
      </c>
      <c r="BP560" s="4">
        <f t="shared" si="477"/>
        <v>0</v>
      </c>
      <c r="BQ560" s="4">
        <f t="shared" si="478"/>
        <v>0</v>
      </c>
      <c r="BR560" s="4">
        <f t="shared" si="479"/>
        <v>0</v>
      </c>
      <c r="BS560" s="4">
        <f t="shared" si="480"/>
        <v>0</v>
      </c>
      <c r="BT560" s="4">
        <f t="shared" si="481"/>
        <v>0</v>
      </c>
      <c r="BU560" s="4">
        <f t="shared" si="482"/>
        <v>0</v>
      </c>
      <c r="BV560" s="4">
        <f t="shared" si="483"/>
        <v>0</v>
      </c>
      <c r="BW560" s="4">
        <f t="shared" si="484"/>
        <v>0</v>
      </c>
      <c r="BX560" s="4">
        <f t="shared" si="485"/>
        <v>0</v>
      </c>
      <c r="BY560" s="4">
        <f t="shared" si="486"/>
        <v>0</v>
      </c>
      <c r="BZ560" s="4">
        <f t="shared" si="487"/>
        <v>0</v>
      </c>
      <c r="CA560" s="4">
        <f t="shared" si="488"/>
        <v>0</v>
      </c>
      <c r="CB560" s="4">
        <f t="shared" si="489"/>
        <v>0</v>
      </c>
      <c r="CC560" s="4">
        <f t="shared" si="490"/>
        <v>0</v>
      </c>
      <c r="CD560" s="4">
        <f t="shared" si="491"/>
        <v>0</v>
      </c>
      <c r="CE560" s="4">
        <f t="shared" si="492"/>
        <v>0</v>
      </c>
      <c r="CF560" s="4">
        <f t="shared" si="493"/>
        <v>0</v>
      </c>
      <c r="CG560" s="4">
        <f t="shared" si="494"/>
        <v>0</v>
      </c>
      <c r="CH560" s="4">
        <f t="shared" si="495"/>
        <v>0</v>
      </c>
      <c r="CI560" s="4">
        <f t="shared" si="496"/>
        <v>0</v>
      </c>
      <c r="CJ560" s="4">
        <f t="shared" si="497"/>
        <v>0</v>
      </c>
      <c r="CK560" s="4">
        <f t="shared" si="498"/>
        <v>0</v>
      </c>
      <c r="CL560" s="4">
        <f t="shared" si="499"/>
        <v>0</v>
      </c>
      <c r="CM560" s="4">
        <f t="shared" si="500"/>
        <v>0</v>
      </c>
      <c r="CN560" s="4">
        <f t="shared" si="501"/>
        <v>0</v>
      </c>
      <c r="CO560" s="4">
        <f t="shared" si="502"/>
        <v>0</v>
      </c>
      <c r="CP560" s="4">
        <f t="shared" si="503"/>
        <v>0</v>
      </c>
      <c r="CQ560" s="4">
        <f t="shared" si="504"/>
        <v>0</v>
      </c>
      <c r="CR560" s="4">
        <f t="shared" si="505"/>
        <v>0</v>
      </c>
      <c r="CS560" s="4">
        <f t="shared" si="506"/>
        <v>0</v>
      </c>
      <c r="CT560" s="4">
        <f t="shared" si="507"/>
        <v>0</v>
      </c>
      <c r="CU560" s="4">
        <f t="shared" si="508"/>
        <v>0</v>
      </c>
      <c r="CV560" s="4">
        <f t="shared" si="509"/>
        <v>0</v>
      </c>
      <c r="CW560" s="4">
        <f t="shared" si="510"/>
        <v>0</v>
      </c>
      <c r="CX560" s="4">
        <f t="shared" si="511"/>
        <v>0</v>
      </c>
      <c r="CY560" s="4">
        <f t="shared" si="512"/>
        <v>0</v>
      </c>
      <c r="CZ560" s="4">
        <f t="shared" si="513"/>
        <v>0</v>
      </c>
      <c r="DA560" s="4">
        <f t="shared" si="514"/>
        <v>0</v>
      </c>
      <c r="DB560" s="4">
        <f t="shared" si="515"/>
        <v>0</v>
      </c>
      <c r="DC560" s="4">
        <f t="shared" si="516"/>
        <v>0</v>
      </c>
      <c r="DD560" s="4">
        <f t="shared" si="517"/>
        <v>0</v>
      </c>
    </row>
    <row r="561" spans="1:108" x14ac:dyDescent="0.25">
      <c r="A561" s="41" t="str">
        <f>Skills!M543</f>
        <v>Evidence Dispersal</v>
      </c>
      <c r="B561" s="57" t="str">
        <f>Skills!N543</f>
        <v>Evidence Dispersal</v>
      </c>
      <c r="C561" s="24">
        <f t="shared" si="518"/>
        <v>0</v>
      </c>
      <c r="D561" s="110">
        <f ca="1">Skills!S543</f>
        <v>0</v>
      </c>
      <c r="E561" s="111" t="e">
        <f>Profession!B255</f>
        <v>#REF!</v>
      </c>
      <c r="F561" s="18"/>
      <c r="G561" s="18"/>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49"/>
      <c r="BF561" s="4">
        <f t="shared" si="468"/>
        <v>0</v>
      </c>
      <c r="BG561" s="4">
        <f t="shared" si="468"/>
        <v>0</v>
      </c>
      <c r="BH561" s="4">
        <f t="shared" si="469"/>
        <v>0</v>
      </c>
      <c r="BI561" s="4">
        <f t="shared" si="470"/>
        <v>0</v>
      </c>
      <c r="BJ561" s="4">
        <f t="shared" si="471"/>
        <v>0</v>
      </c>
      <c r="BK561" s="4">
        <f t="shared" si="472"/>
        <v>0</v>
      </c>
      <c r="BL561" s="4">
        <f t="shared" si="473"/>
        <v>0</v>
      </c>
      <c r="BM561" s="4">
        <f t="shared" si="474"/>
        <v>0</v>
      </c>
      <c r="BN561" s="4">
        <f t="shared" si="475"/>
        <v>0</v>
      </c>
      <c r="BO561" s="4">
        <f t="shared" si="476"/>
        <v>0</v>
      </c>
      <c r="BP561" s="4">
        <f t="shared" si="477"/>
        <v>0</v>
      </c>
      <c r="BQ561" s="4">
        <f t="shared" si="478"/>
        <v>0</v>
      </c>
      <c r="BR561" s="4">
        <f t="shared" si="479"/>
        <v>0</v>
      </c>
      <c r="BS561" s="4">
        <f t="shared" si="480"/>
        <v>0</v>
      </c>
      <c r="BT561" s="4">
        <f t="shared" si="481"/>
        <v>0</v>
      </c>
      <c r="BU561" s="4">
        <f t="shared" si="482"/>
        <v>0</v>
      </c>
      <c r="BV561" s="4">
        <f t="shared" si="483"/>
        <v>0</v>
      </c>
      <c r="BW561" s="4">
        <f t="shared" si="484"/>
        <v>0</v>
      </c>
      <c r="BX561" s="4">
        <f t="shared" si="485"/>
        <v>0</v>
      </c>
      <c r="BY561" s="4">
        <f t="shared" si="486"/>
        <v>0</v>
      </c>
      <c r="BZ561" s="4">
        <f t="shared" si="487"/>
        <v>0</v>
      </c>
      <c r="CA561" s="4">
        <f t="shared" si="488"/>
        <v>0</v>
      </c>
      <c r="CB561" s="4">
        <f t="shared" si="489"/>
        <v>0</v>
      </c>
      <c r="CC561" s="4">
        <f t="shared" si="490"/>
        <v>0</v>
      </c>
      <c r="CD561" s="4">
        <f t="shared" si="491"/>
        <v>0</v>
      </c>
      <c r="CE561" s="4">
        <f t="shared" si="492"/>
        <v>0</v>
      </c>
      <c r="CF561" s="4">
        <f t="shared" si="493"/>
        <v>0</v>
      </c>
      <c r="CG561" s="4">
        <f t="shared" si="494"/>
        <v>0</v>
      </c>
      <c r="CH561" s="4">
        <f t="shared" si="495"/>
        <v>0</v>
      </c>
      <c r="CI561" s="4">
        <f t="shared" si="496"/>
        <v>0</v>
      </c>
      <c r="CJ561" s="4">
        <f t="shared" si="497"/>
        <v>0</v>
      </c>
      <c r="CK561" s="4">
        <f t="shared" si="498"/>
        <v>0</v>
      </c>
      <c r="CL561" s="4">
        <f t="shared" si="499"/>
        <v>0</v>
      </c>
      <c r="CM561" s="4">
        <f t="shared" si="500"/>
        <v>0</v>
      </c>
      <c r="CN561" s="4">
        <f t="shared" si="501"/>
        <v>0</v>
      </c>
      <c r="CO561" s="4">
        <f t="shared" si="502"/>
        <v>0</v>
      </c>
      <c r="CP561" s="4">
        <f t="shared" si="503"/>
        <v>0</v>
      </c>
      <c r="CQ561" s="4">
        <f t="shared" si="504"/>
        <v>0</v>
      </c>
      <c r="CR561" s="4">
        <f t="shared" si="505"/>
        <v>0</v>
      </c>
      <c r="CS561" s="4">
        <f t="shared" si="506"/>
        <v>0</v>
      </c>
      <c r="CT561" s="4">
        <f t="shared" si="507"/>
        <v>0</v>
      </c>
      <c r="CU561" s="4">
        <f t="shared" si="508"/>
        <v>0</v>
      </c>
      <c r="CV561" s="4">
        <f t="shared" si="509"/>
        <v>0</v>
      </c>
      <c r="CW561" s="4">
        <f t="shared" si="510"/>
        <v>0</v>
      </c>
      <c r="CX561" s="4">
        <f t="shared" si="511"/>
        <v>0</v>
      </c>
      <c r="CY561" s="4">
        <f t="shared" si="512"/>
        <v>0</v>
      </c>
      <c r="CZ561" s="4">
        <f t="shared" si="513"/>
        <v>0</v>
      </c>
      <c r="DA561" s="4">
        <f t="shared" si="514"/>
        <v>0</v>
      </c>
      <c r="DB561" s="4">
        <f t="shared" si="515"/>
        <v>0</v>
      </c>
      <c r="DC561" s="4">
        <f t="shared" si="516"/>
        <v>0</v>
      </c>
      <c r="DD561" s="4">
        <f t="shared" si="517"/>
        <v>0</v>
      </c>
    </row>
    <row r="562" spans="1:108" x14ac:dyDescent="0.25">
      <c r="A562" s="41" t="str">
        <f>Skills!M544</f>
        <v>Picking Pockets</v>
      </c>
      <c r="B562" s="55" t="str">
        <f>Skills!N544</f>
        <v>Picking Pockets</v>
      </c>
      <c r="C562" s="22">
        <f t="shared" si="518"/>
        <v>0</v>
      </c>
      <c r="D562" s="112">
        <f>Skills!S544</f>
        <v>0</v>
      </c>
      <c r="E562" s="113" t="e">
        <f>Profession!B256</f>
        <v>#REF!</v>
      </c>
      <c r="F562" s="19"/>
      <c r="G562" s="19"/>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56"/>
      <c r="BF562" s="4">
        <f t="shared" si="468"/>
        <v>0</v>
      </c>
      <c r="BG562" s="4">
        <f t="shared" si="468"/>
        <v>0</v>
      </c>
      <c r="BH562" s="4">
        <f t="shared" si="469"/>
        <v>0</v>
      </c>
      <c r="BI562" s="4">
        <f t="shared" si="470"/>
        <v>0</v>
      </c>
      <c r="BJ562" s="4">
        <f t="shared" si="471"/>
        <v>0</v>
      </c>
      <c r="BK562" s="4">
        <f t="shared" si="472"/>
        <v>0</v>
      </c>
      <c r="BL562" s="4">
        <f t="shared" si="473"/>
        <v>0</v>
      </c>
      <c r="BM562" s="4">
        <f t="shared" si="474"/>
        <v>0</v>
      </c>
      <c r="BN562" s="4">
        <f t="shared" si="475"/>
        <v>0</v>
      </c>
      <c r="BO562" s="4">
        <f t="shared" si="476"/>
        <v>0</v>
      </c>
      <c r="BP562" s="4">
        <f t="shared" si="477"/>
        <v>0</v>
      </c>
      <c r="BQ562" s="4">
        <f t="shared" si="478"/>
        <v>0</v>
      </c>
      <c r="BR562" s="4">
        <f t="shared" si="479"/>
        <v>0</v>
      </c>
      <c r="BS562" s="4">
        <f t="shared" si="480"/>
        <v>0</v>
      </c>
      <c r="BT562" s="4">
        <f t="shared" si="481"/>
        <v>0</v>
      </c>
      <c r="BU562" s="4">
        <f t="shared" si="482"/>
        <v>0</v>
      </c>
      <c r="BV562" s="4">
        <f t="shared" si="483"/>
        <v>0</v>
      </c>
      <c r="BW562" s="4">
        <f t="shared" si="484"/>
        <v>0</v>
      </c>
      <c r="BX562" s="4">
        <f t="shared" si="485"/>
        <v>0</v>
      </c>
      <c r="BY562" s="4">
        <f t="shared" si="486"/>
        <v>0</v>
      </c>
      <c r="BZ562" s="4">
        <f t="shared" si="487"/>
        <v>0</v>
      </c>
      <c r="CA562" s="4">
        <f t="shared" si="488"/>
        <v>0</v>
      </c>
      <c r="CB562" s="4">
        <f t="shared" si="489"/>
        <v>0</v>
      </c>
      <c r="CC562" s="4">
        <f t="shared" si="490"/>
        <v>0</v>
      </c>
      <c r="CD562" s="4">
        <f t="shared" si="491"/>
        <v>0</v>
      </c>
      <c r="CE562" s="4">
        <f t="shared" si="492"/>
        <v>0</v>
      </c>
      <c r="CF562" s="4">
        <f t="shared" si="493"/>
        <v>0</v>
      </c>
      <c r="CG562" s="4">
        <f t="shared" si="494"/>
        <v>0</v>
      </c>
      <c r="CH562" s="4">
        <f t="shared" si="495"/>
        <v>0</v>
      </c>
      <c r="CI562" s="4">
        <f t="shared" si="496"/>
        <v>0</v>
      </c>
      <c r="CJ562" s="4">
        <f t="shared" si="497"/>
        <v>0</v>
      </c>
      <c r="CK562" s="4">
        <f t="shared" si="498"/>
        <v>0</v>
      </c>
      <c r="CL562" s="4">
        <f t="shared" si="499"/>
        <v>0</v>
      </c>
      <c r="CM562" s="4">
        <f t="shared" si="500"/>
        <v>0</v>
      </c>
      <c r="CN562" s="4">
        <f t="shared" si="501"/>
        <v>0</v>
      </c>
      <c r="CO562" s="4">
        <f t="shared" si="502"/>
        <v>0</v>
      </c>
      <c r="CP562" s="4">
        <f t="shared" si="503"/>
        <v>0</v>
      </c>
      <c r="CQ562" s="4">
        <f t="shared" si="504"/>
        <v>0</v>
      </c>
      <c r="CR562" s="4">
        <f t="shared" si="505"/>
        <v>0</v>
      </c>
      <c r="CS562" s="4">
        <f t="shared" si="506"/>
        <v>0</v>
      </c>
      <c r="CT562" s="4">
        <f t="shared" si="507"/>
        <v>0</v>
      </c>
      <c r="CU562" s="4">
        <f t="shared" si="508"/>
        <v>0</v>
      </c>
      <c r="CV562" s="4">
        <f t="shared" si="509"/>
        <v>0</v>
      </c>
      <c r="CW562" s="4">
        <f t="shared" si="510"/>
        <v>0</v>
      </c>
      <c r="CX562" s="4">
        <f t="shared" si="511"/>
        <v>0</v>
      </c>
      <c r="CY562" s="4">
        <f t="shared" si="512"/>
        <v>0</v>
      </c>
      <c r="CZ562" s="4">
        <f t="shared" si="513"/>
        <v>0</v>
      </c>
      <c r="DA562" s="4">
        <f t="shared" si="514"/>
        <v>0</v>
      </c>
      <c r="DB562" s="4">
        <f t="shared" si="515"/>
        <v>0</v>
      </c>
      <c r="DC562" s="4">
        <f t="shared" si="516"/>
        <v>0</v>
      </c>
      <c r="DD562" s="4">
        <f t="shared" si="517"/>
        <v>0</v>
      </c>
    </row>
    <row r="563" spans="1:108" x14ac:dyDescent="0.25">
      <c r="A563" s="41" t="str">
        <f>Skills!M545</f>
        <v>Stalking</v>
      </c>
      <c r="B563" s="57" t="str">
        <f>Skills!N545</f>
        <v>Stalking</v>
      </c>
      <c r="C563" s="24">
        <f t="shared" si="518"/>
        <v>0</v>
      </c>
      <c r="D563" s="110">
        <f>Skills!S545</f>
        <v>2</v>
      </c>
      <c r="E563" s="111" t="e">
        <f>Profession!B257</f>
        <v>#REF!</v>
      </c>
      <c r="F563" s="18"/>
      <c r="G563" s="18"/>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49"/>
      <c r="BF563" s="4">
        <f t="shared" si="468"/>
        <v>0</v>
      </c>
      <c r="BG563" s="4">
        <f t="shared" si="468"/>
        <v>0</v>
      </c>
      <c r="BH563" s="4">
        <f t="shared" si="469"/>
        <v>0</v>
      </c>
      <c r="BI563" s="4">
        <f t="shared" si="470"/>
        <v>0</v>
      </c>
      <c r="BJ563" s="4">
        <f t="shared" si="471"/>
        <v>0</v>
      </c>
      <c r="BK563" s="4">
        <f t="shared" si="472"/>
        <v>0</v>
      </c>
      <c r="BL563" s="4">
        <f t="shared" si="473"/>
        <v>0</v>
      </c>
      <c r="BM563" s="4">
        <f t="shared" si="474"/>
        <v>0</v>
      </c>
      <c r="BN563" s="4">
        <f t="shared" si="475"/>
        <v>0</v>
      </c>
      <c r="BO563" s="4">
        <f t="shared" si="476"/>
        <v>0</v>
      </c>
      <c r="BP563" s="4">
        <f t="shared" si="477"/>
        <v>0</v>
      </c>
      <c r="BQ563" s="4">
        <f t="shared" si="478"/>
        <v>0</v>
      </c>
      <c r="BR563" s="4">
        <f t="shared" si="479"/>
        <v>0</v>
      </c>
      <c r="BS563" s="4">
        <f t="shared" si="480"/>
        <v>0</v>
      </c>
      <c r="BT563" s="4">
        <f t="shared" si="481"/>
        <v>0</v>
      </c>
      <c r="BU563" s="4">
        <f t="shared" si="482"/>
        <v>0</v>
      </c>
      <c r="BV563" s="4">
        <f t="shared" si="483"/>
        <v>0</v>
      </c>
      <c r="BW563" s="4">
        <f t="shared" si="484"/>
        <v>0</v>
      </c>
      <c r="BX563" s="4">
        <f t="shared" si="485"/>
        <v>0</v>
      </c>
      <c r="BY563" s="4">
        <f t="shared" si="486"/>
        <v>0</v>
      </c>
      <c r="BZ563" s="4">
        <f t="shared" si="487"/>
        <v>0</v>
      </c>
      <c r="CA563" s="4">
        <f t="shared" si="488"/>
        <v>0</v>
      </c>
      <c r="CB563" s="4">
        <f t="shared" si="489"/>
        <v>0</v>
      </c>
      <c r="CC563" s="4">
        <f t="shared" si="490"/>
        <v>0</v>
      </c>
      <c r="CD563" s="4">
        <f t="shared" si="491"/>
        <v>0</v>
      </c>
      <c r="CE563" s="4">
        <f t="shared" si="492"/>
        <v>0</v>
      </c>
      <c r="CF563" s="4">
        <f t="shared" si="493"/>
        <v>0</v>
      </c>
      <c r="CG563" s="4">
        <f t="shared" si="494"/>
        <v>0</v>
      </c>
      <c r="CH563" s="4">
        <f t="shared" si="495"/>
        <v>0</v>
      </c>
      <c r="CI563" s="4">
        <f t="shared" si="496"/>
        <v>0</v>
      </c>
      <c r="CJ563" s="4">
        <f t="shared" si="497"/>
        <v>0</v>
      </c>
      <c r="CK563" s="4">
        <f t="shared" si="498"/>
        <v>0</v>
      </c>
      <c r="CL563" s="4">
        <f t="shared" si="499"/>
        <v>0</v>
      </c>
      <c r="CM563" s="4">
        <f t="shared" si="500"/>
        <v>0</v>
      </c>
      <c r="CN563" s="4">
        <f t="shared" si="501"/>
        <v>0</v>
      </c>
      <c r="CO563" s="4">
        <f t="shared" si="502"/>
        <v>0</v>
      </c>
      <c r="CP563" s="4">
        <f t="shared" si="503"/>
        <v>0</v>
      </c>
      <c r="CQ563" s="4">
        <f t="shared" si="504"/>
        <v>0</v>
      </c>
      <c r="CR563" s="4">
        <f t="shared" si="505"/>
        <v>0</v>
      </c>
      <c r="CS563" s="4">
        <f t="shared" si="506"/>
        <v>0</v>
      </c>
      <c r="CT563" s="4">
        <f t="shared" si="507"/>
        <v>0</v>
      </c>
      <c r="CU563" s="4">
        <f t="shared" si="508"/>
        <v>0</v>
      </c>
      <c r="CV563" s="4">
        <f t="shared" si="509"/>
        <v>0</v>
      </c>
      <c r="CW563" s="4">
        <f t="shared" si="510"/>
        <v>0</v>
      </c>
      <c r="CX563" s="4">
        <f t="shared" si="511"/>
        <v>0</v>
      </c>
      <c r="CY563" s="4">
        <f t="shared" si="512"/>
        <v>0</v>
      </c>
      <c r="CZ563" s="4">
        <f t="shared" si="513"/>
        <v>0</v>
      </c>
      <c r="DA563" s="4">
        <f t="shared" si="514"/>
        <v>0</v>
      </c>
      <c r="DB563" s="4">
        <f t="shared" si="515"/>
        <v>0</v>
      </c>
      <c r="DC563" s="4">
        <f t="shared" si="516"/>
        <v>0</v>
      </c>
      <c r="DD563" s="4">
        <f t="shared" si="517"/>
        <v>0</v>
      </c>
    </row>
    <row r="564" spans="1:108" x14ac:dyDescent="0.25">
      <c r="A564" s="41" t="str">
        <f>Skills!M546</f>
        <v>Trickery</v>
      </c>
      <c r="B564" s="55" t="str">
        <f>Skills!N546</f>
        <v>Trickery</v>
      </c>
      <c r="C564" s="22">
        <f t="shared" si="518"/>
        <v>0</v>
      </c>
      <c r="D564" s="112">
        <f>Skills!S546</f>
        <v>0</v>
      </c>
      <c r="E564" s="113" t="e">
        <f>Profession!B258</f>
        <v>#REF!</v>
      </c>
      <c r="F564" s="19"/>
      <c r="G564" s="19"/>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56"/>
      <c r="BF564" s="4">
        <f t="shared" si="468"/>
        <v>0</v>
      </c>
      <c r="BG564" s="4">
        <f t="shared" si="468"/>
        <v>0</v>
      </c>
      <c r="BH564" s="4">
        <f t="shared" si="469"/>
        <v>0</v>
      </c>
      <c r="BI564" s="4">
        <f t="shared" si="470"/>
        <v>0</v>
      </c>
      <c r="BJ564" s="4">
        <f t="shared" si="471"/>
        <v>0</v>
      </c>
      <c r="BK564" s="4">
        <f t="shared" si="472"/>
        <v>0</v>
      </c>
      <c r="BL564" s="4">
        <f t="shared" si="473"/>
        <v>0</v>
      </c>
      <c r="BM564" s="4">
        <f t="shared" si="474"/>
        <v>0</v>
      </c>
      <c r="BN564" s="4">
        <f t="shared" si="475"/>
        <v>0</v>
      </c>
      <c r="BO564" s="4">
        <f t="shared" si="476"/>
        <v>0</v>
      </c>
      <c r="BP564" s="4">
        <f t="shared" si="477"/>
        <v>0</v>
      </c>
      <c r="BQ564" s="4">
        <f t="shared" si="478"/>
        <v>0</v>
      </c>
      <c r="BR564" s="4">
        <f t="shared" si="479"/>
        <v>0</v>
      </c>
      <c r="BS564" s="4">
        <f t="shared" si="480"/>
        <v>0</v>
      </c>
      <c r="BT564" s="4">
        <f t="shared" si="481"/>
        <v>0</v>
      </c>
      <c r="BU564" s="4">
        <f t="shared" si="482"/>
        <v>0</v>
      </c>
      <c r="BV564" s="4">
        <f t="shared" si="483"/>
        <v>0</v>
      </c>
      <c r="BW564" s="4">
        <f t="shared" si="484"/>
        <v>0</v>
      </c>
      <c r="BX564" s="4">
        <f t="shared" si="485"/>
        <v>0</v>
      </c>
      <c r="BY564" s="4">
        <f t="shared" si="486"/>
        <v>0</v>
      </c>
      <c r="BZ564" s="4">
        <f t="shared" si="487"/>
        <v>0</v>
      </c>
      <c r="CA564" s="4">
        <f t="shared" si="488"/>
        <v>0</v>
      </c>
      <c r="CB564" s="4">
        <f t="shared" si="489"/>
        <v>0</v>
      </c>
      <c r="CC564" s="4">
        <f t="shared" si="490"/>
        <v>0</v>
      </c>
      <c r="CD564" s="4">
        <f t="shared" si="491"/>
        <v>0</v>
      </c>
      <c r="CE564" s="4">
        <f t="shared" si="492"/>
        <v>0</v>
      </c>
      <c r="CF564" s="4">
        <f t="shared" si="493"/>
        <v>0</v>
      </c>
      <c r="CG564" s="4">
        <f t="shared" si="494"/>
        <v>0</v>
      </c>
      <c r="CH564" s="4">
        <f t="shared" si="495"/>
        <v>0</v>
      </c>
      <c r="CI564" s="4">
        <f t="shared" si="496"/>
        <v>0</v>
      </c>
      <c r="CJ564" s="4">
        <f t="shared" si="497"/>
        <v>0</v>
      </c>
      <c r="CK564" s="4">
        <f t="shared" si="498"/>
        <v>0</v>
      </c>
      <c r="CL564" s="4">
        <f t="shared" si="499"/>
        <v>0</v>
      </c>
      <c r="CM564" s="4">
        <f t="shared" si="500"/>
        <v>0</v>
      </c>
      <c r="CN564" s="4">
        <f t="shared" si="501"/>
        <v>0</v>
      </c>
      <c r="CO564" s="4">
        <f t="shared" si="502"/>
        <v>0</v>
      </c>
      <c r="CP564" s="4">
        <f t="shared" si="503"/>
        <v>0</v>
      </c>
      <c r="CQ564" s="4">
        <f t="shared" si="504"/>
        <v>0</v>
      </c>
      <c r="CR564" s="4">
        <f t="shared" si="505"/>
        <v>0</v>
      </c>
      <c r="CS564" s="4">
        <f t="shared" si="506"/>
        <v>0</v>
      </c>
      <c r="CT564" s="4">
        <f t="shared" si="507"/>
        <v>0</v>
      </c>
      <c r="CU564" s="4">
        <f t="shared" si="508"/>
        <v>0</v>
      </c>
      <c r="CV564" s="4">
        <f t="shared" si="509"/>
        <v>0</v>
      </c>
      <c r="CW564" s="4">
        <f t="shared" si="510"/>
        <v>0</v>
      </c>
      <c r="CX564" s="4">
        <f t="shared" si="511"/>
        <v>0</v>
      </c>
      <c r="CY564" s="4">
        <f t="shared" si="512"/>
        <v>0</v>
      </c>
      <c r="CZ564" s="4">
        <f t="shared" si="513"/>
        <v>0</v>
      </c>
      <c r="DA564" s="4">
        <f t="shared" si="514"/>
        <v>0</v>
      </c>
      <c r="DB564" s="4">
        <f t="shared" si="515"/>
        <v>0</v>
      </c>
      <c r="DC564" s="4">
        <f t="shared" si="516"/>
        <v>0</v>
      </c>
      <c r="DD564" s="4">
        <f t="shared" si="517"/>
        <v>0</v>
      </c>
    </row>
    <row r="565" spans="1:108" x14ac:dyDescent="0.25">
      <c r="A565" s="41">
        <f>Skills!M547</f>
        <v>0</v>
      </c>
      <c r="B565" s="57" t="str">
        <f>Skills!N547</f>
        <v>Technology Category</v>
      </c>
      <c r="C565" s="24">
        <f t="shared" si="518"/>
        <v>0</v>
      </c>
      <c r="D565" s="110" t="str">
        <f>Skills!S547</f>
        <v>- -</v>
      </c>
      <c r="E565" s="111" t="s">
        <v>782</v>
      </c>
      <c r="F565" s="18"/>
      <c r="G565" s="18"/>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49"/>
      <c r="BF565" s="4">
        <f t="shared" si="468"/>
        <v>0</v>
      </c>
      <c r="BG565" s="4">
        <f t="shared" si="468"/>
        <v>0</v>
      </c>
      <c r="BH565" s="4">
        <f t="shared" si="469"/>
        <v>0</v>
      </c>
      <c r="BI565" s="4">
        <f t="shared" si="470"/>
        <v>0</v>
      </c>
      <c r="BJ565" s="4">
        <f t="shared" si="471"/>
        <v>0</v>
      </c>
      <c r="BK565" s="4">
        <f t="shared" si="472"/>
        <v>0</v>
      </c>
      <c r="BL565" s="4">
        <f t="shared" si="473"/>
        <v>0</v>
      </c>
      <c r="BM565" s="4">
        <f t="shared" si="474"/>
        <v>0</v>
      </c>
      <c r="BN565" s="4">
        <f t="shared" si="475"/>
        <v>0</v>
      </c>
      <c r="BO565" s="4">
        <f t="shared" si="476"/>
        <v>0</v>
      </c>
      <c r="BP565" s="4">
        <f t="shared" si="477"/>
        <v>0</v>
      </c>
      <c r="BQ565" s="4">
        <f t="shared" si="478"/>
        <v>0</v>
      </c>
      <c r="BR565" s="4">
        <f t="shared" si="479"/>
        <v>0</v>
      </c>
      <c r="BS565" s="4">
        <f t="shared" si="480"/>
        <v>0</v>
      </c>
      <c r="BT565" s="4">
        <f t="shared" si="481"/>
        <v>0</v>
      </c>
      <c r="BU565" s="4">
        <f t="shared" si="482"/>
        <v>0</v>
      </c>
      <c r="BV565" s="4">
        <f t="shared" si="483"/>
        <v>0</v>
      </c>
      <c r="BW565" s="4">
        <f t="shared" si="484"/>
        <v>0</v>
      </c>
      <c r="BX565" s="4">
        <f t="shared" si="485"/>
        <v>0</v>
      </c>
      <c r="BY565" s="4">
        <f t="shared" si="486"/>
        <v>0</v>
      </c>
      <c r="BZ565" s="4">
        <f t="shared" si="487"/>
        <v>0</v>
      </c>
      <c r="CA565" s="4">
        <f t="shared" si="488"/>
        <v>0</v>
      </c>
      <c r="CB565" s="4">
        <f t="shared" si="489"/>
        <v>0</v>
      </c>
      <c r="CC565" s="4">
        <f t="shared" si="490"/>
        <v>0</v>
      </c>
      <c r="CD565" s="4">
        <f t="shared" si="491"/>
        <v>0</v>
      </c>
      <c r="CE565" s="4">
        <f t="shared" si="492"/>
        <v>0</v>
      </c>
      <c r="CF565" s="4">
        <f t="shared" si="493"/>
        <v>0</v>
      </c>
      <c r="CG565" s="4">
        <f t="shared" si="494"/>
        <v>0</v>
      </c>
      <c r="CH565" s="4">
        <f t="shared" si="495"/>
        <v>0</v>
      </c>
      <c r="CI565" s="4">
        <f t="shared" si="496"/>
        <v>0</v>
      </c>
      <c r="CJ565" s="4">
        <f t="shared" si="497"/>
        <v>0</v>
      </c>
      <c r="CK565" s="4">
        <f t="shared" si="498"/>
        <v>0</v>
      </c>
      <c r="CL565" s="4">
        <f t="shared" si="499"/>
        <v>0</v>
      </c>
      <c r="CM565" s="4">
        <f t="shared" si="500"/>
        <v>0</v>
      </c>
      <c r="CN565" s="4">
        <f t="shared" si="501"/>
        <v>0</v>
      </c>
      <c r="CO565" s="4">
        <f t="shared" si="502"/>
        <v>0</v>
      </c>
      <c r="CP565" s="4">
        <f t="shared" si="503"/>
        <v>0</v>
      </c>
      <c r="CQ565" s="4">
        <f t="shared" si="504"/>
        <v>0</v>
      </c>
      <c r="CR565" s="4">
        <f t="shared" si="505"/>
        <v>0</v>
      </c>
      <c r="CS565" s="4">
        <f t="shared" si="506"/>
        <v>0</v>
      </c>
      <c r="CT565" s="4">
        <f t="shared" si="507"/>
        <v>0</v>
      </c>
      <c r="CU565" s="4">
        <f t="shared" si="508"/>
        <v>0</v>
      </c>
      <c r="CV565" s="4">
        <f t="shared" si="509"/>
        <v>0</v>
      </c>
      <c r="CW565" s="4">
        <f t="shared" si="510"/>
        <v>0</v>
      </c>
      <c r="CX565" s="4">
        <f t="shared" si="511"/>
        <v>0</v>
      </c>
      <c r="CY565" s="4">
        <f t="shared" si="512"/>
        <v>0</v>
      </c>
      <c r="CZ565" s="4">
        <f t="shared" si="513"/>
        <v>0</v>
      </c>
      <c r="DA565" s="4">
        <f t="shared" si="514"/>
        <v>0</v>
      </c>
      <c r="DB565" s="4">
        <f t="shared" si="515"/>
        <v>0</v>
      </c>
      <c r="DC565" s="4">
        <f t="shared" si="516"/>
        <v>0</v>
      </c>
      <c r="DD565" s="4">
        <f t="shared" si="517"/>
        <v>0</v>
      </c>
    </row>
    <row r="566" spans="1:108" x14ac:dyDescent="0.25">
      <c r="A566" s="41">
        <f>Skills!M548</f>
        <v>0</v>
      </c>
      <c r="B566" s="55" t="str">
        <f>Skills!N548</f>
        <v>Technology Skills</v>
      </c>
      <c r="C566" s="22">
        <f t="shared" si="518"/>
        <v>0</v>
      </c>
      <c r="D566" s="112" t="str">
        <f>Skills!S548</f>
        <v>- -</v>
      </c>
      <c r="E566" s="113" t="s">
        <v>782</v>
      </c>
      <c r="F566" s="19"/>
      <c r="G566" s="19"/>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56"/>
      <c r="BF566" s="4">
        <f t="shared" si="468"/>
        <v>0</v>
      </c>
      <c r="BG566" s="4">
        <f t="shared" si="468"/>
        <v>0</v>
      </c>
      <c r="BH566" s="4">
        <f t="shared" si="469"/>
        <v>0</v>
      </c>
      <c r="BI566" s="4">
        <f t="shared" si="470"/>
        <v>0</v>
      </c>
      <c r="BJ566" s="4">
        <f t="shared" si="471"/>
        <v>0</v>
      </c>
      <c r="BK566" s="4">
        <f t="shared" si="472"/>
        <v>0</v>
      </c>
      <c r="BL566" s="4">
        <f t="shared" si="473"/>
        <v>0</v>
      </c>
      <c r="BM566" s="4">
        <f t="shared" si="474"/>
        <v>0</v>
      </c>
      <c r="BN566" s="4">
        <f t="shared" si="475"/>
        <v>0</v>
      </c>
      <c r="BO566" s="4">
        <f t="shared" si="476"/>
        <v>0</v>
      </c>
      <c r="BP566" s="4">
        <f t="shared" si="477"/>
        <v>0</v>
      </c>
      <c r="BQ566" s="4">
        <f t="shared" si="478"/>
        <v>0</v>
      </c>
      <c r="BR566" s="4">
        <f t="shared" si="479"/>
        <v>0</v>
      </c>
      <c r="BS566" s="4">
        <f t="shared" si="480"/>
        <v>0</v>
      </c>
      <c r="BT566" s="4">
        <f t="shared" si="481"/>
        <v>0</v>
      </c>
      <c r="BU566" s="4">
        <f t="shared" si="482"/>
        <v>0</v>
      </c>
      <c r="BV566" s="4">
        <f t="shared" si="483"/>
        <v>0</v>
      </c>
      <c r="BW566" s="4">
        <f t="shared" si="484"/>
        <v>0</v>
      </c>
      <c r="BX566" s="4">
        <f t="shared" si="485"/>
        <v>0</v>
      </c>
      <c r="BY566" s="4">
        <f t="shared" si="486"/>
        <v>0</v>
      </c>
      <c r="BZ566" s="4">
        <f t="shared" si="487"/>
        <v>0</v>
      </c>
      <c r="CA566" s="4">
        <f t="shared" si="488"/>
        <v>0</v>
      </c>
      <c r="CB566" s="4">
        <f t="shared" si="489"/>
        <v>0</v>
      </c>
      <c r="CC566" s="4">
        <f t="shared" si="490"/>
        <v>0</v>
      </c>
      <c r="CD566" s="4">
        <f t="shared" si="491"/>
        <v>0</v>
      </c>
      <c r="CE566" s="4">
        <f t="shared" si="492"/>
        <v>0</v>
      </c>
      <c r="CF566" s="4">
        <f t="shared" si="493"/>
        <v>0</v>
      </c>
      <c r="CG566" s="4">
        <f t="shared" si="494"/>
        <v>0</v>
      </c>
      <c r="CH566" s="4">
        <f t="shared" si="495"/>
        <v>0</v>
      </c>
      <c r="CI566" s="4">
        <f t="shared" si="496"/>
        <v>0</v>
      </c>
      <c r="CJ566" s="4">
        <f t="shared" si="497"/>
        <v>0</v>
      </c>
      <c r="CK566" s="4">
        <f t="shared" si="498"/>
        <v>0</v>
      </c>
      <c r="CL566" s="4">
        <f t="shared" si="499"/>
        <v>0</v>
      </c>
      <c r="CM566" s="4">
        <f t="shared" si="500"/>
        <v>0</v>
      </c>
      <c r="CN566" s="4">
        <f t="shared" si="501"/>
        <v>0</v>
      </c>
      <c r="CO566" s="4">
        <f t="shared" si="502"/>
        <v>0</v>
      </c>
      <c r="CP566" s="4">
        <f t="shared" si="503"/>
        <v>0</v>
      </c>
      <c r="CQ566" s="4">
        <f t="shared" si="504"/>
        <v>0</v>
      </c>
      <c r="CR566" s="4">
        <f t="shared" si="505"/>
        <v>0</v>
      </c>
      <c r="CS566" s="4">
        <f t="shared" si="506"/>
        <v>0</v>
      </c>
      <c r="CT566" s="4">
        <f t="shared" si="507"/>
        <v>0</v>
      </c>
      <c r="CU566" s="4">
        <f t="shared" si="508"/>
        <v>0</v>
      </c>
      <c r="CV566" s="4">
        <f t="shared" si="509"/>
        <v>0</v>
      </c>
      <c r="CW566" s="4">
        <f t="shared" si="510"/>
        <v>0</v>
      </c>
      <c r="CX566" s="4">
        <f t="shared" si="511"/>
        <v>0</v>
      </c>
      <c r="CY566" s="4">
        <f t="shared" si="512"/>
        <v>0</v>
      </c>
      <c r="CZ566" s="4">
        <f t="shared" si="513"/>
        <v>0</v>
      </c>
      <c r="DA566" s="4">
        <f t="shared" si="514"/>
        <v>0</v>
      </c>
      <c r="DB566" s="4">
        <f t="shared" si="515"/>
        <v>0</v>
      </c>
      <c r="DC566" s="4">
        <f t="shared" si="516"/>
        <v>0</v>
      </c>
      <c r="DD566" s="4">
        <f t="shared" si="517"/>
        <v>0</v>
      </c>
    </row>
    <row r="567" spans="1:108" x14ac:dyDescent="0.25">
      <c r="A567" s="41">
        <f>Skills!M549</f>
        <v>0</v>
      </c>
      <c r="B567" s="57" t="str">
        <f>Skills!N549</f>
        <v>Technology Sub-category</v>
      </c>
      <c r="C567" s="24">
        <f t="shared" si="518"/>
        <v>0</v>
      </c>
      <c r="D567" s="110" t="str">
        <f>Skills!S549</f>
        <v>- -</v>
      </c>
      <c r="E567" s="111" t="s">
        <v>782</v>
      </c>
      <c r="F567" s="18"/>
      <c r="G567" s="18"/>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49"/>
      <c r="BF567" s="4">
        <f t="shared" si="468"/>
        <v>0</v>
      </c>
      <c r="BG567" s="4">
        <f t="shared" si="468"/>
        <v>0</v>
      </c>
      <c r="BH567" s="4">
        <f t="shared" si="469"/>
        <v>0</v>
      </c>
      <c r="BI567" s="4">
        <f t="shared" si="470"/>
        <v>0</v>
      </c>
      <c r="BJ567" s="4">
        <f t="shared" si="471"/>
        <v>0</v>
      </c>
      <c r="BK567" s="4">
        <f t="shared" si="472"/>
        <v>0</v>
      </c>
      <c r="BL567" s="4">
        <f t="shared" si="473"/>
        <v>0</v>
      </c>
      <c r="BM567" s="4">
        <f t="shared" si="474"/>
        <v>0</v>
      </c>
      <c r="BN567" s="4">
        <f t="shared" si="475"/>
        <v>0</v>
      </c>
      <c r="BO567" s="4">
        <f t="shared" si="476"/>
        <v>0</v>
      </c>
      <c r="BP567" s="4">
        <f t="shared" si="477"/>
        <v>0</v>
      </c>
      <c r="BQ567" s="4">
        <f t="shared" si="478"/>
        <v>0</v>
      </c>
      <c r="BR567" s="4">
        <f t="shared" si="479"/>
        <v>0</v>
      </c>
      <c r="BS567" s="4">
        <f t="shared" si="480"/>
        <v>0</v>
      </c>
      <c r="BT567" s="4">
        <f t="shared" si="481"/>
        <v>0</v>
      </c>
      <c r="BU567" s="4">
        <f t="shared" si="482"/>
        <v>0</v>
      </c>
      <c r="BV567" s="4">
        <f t="shared" si="483"/>
        <v>0</v>
      </c>
      <c r="BW567" s="4">
        <f t="shared" si="484"/>
        <v>0</v>
      </c>
      <c r="BX567" s="4">
        <f t="shared" si="485"/>
        <v>0</v>
      </c>
      <c r="BY567" s="4">
        <f t="shared" si="486"/>
        <v>0</v>
      </c>
      <c r="BZ567" s="4">
        <f t="shared" si="487"/>
        <v>0</v>
      </c>
      <c r="CA567" s="4">
        <f t="shared" si="488"/>
        <v>0</v>
      </c>
      <c r="CB567" s="4">
        <f t="shared" si="489"/>
        <v>0</v>
      </c>
      <c r="CC567" s="4">
        <f t="shared" si="490"/>
        <v>0</v>
      </c>
      <c r="CD567" s="4">
        <f t="shared" si="491"/>
        <v>0</v>
      </c>
      <c r="CE567" s="4">
        <f t="shared" si="492"/>
        <v>0</v>
      </c>
      <c r="CF567" s="4">
        <f t="shared" si="493"/>
        <v>0</v>
      </c>
      <c r="CG567" s="4">
        <f t="shared" si="494"/>
        <v>0</v>
      </c>
      <c r="CH567" s="4">
        <f t="shared" si="495"/>
        <v>0</v>
      </c>
      <c r="CI567" s="4">
        <f t="shared" si="496"/>
        <v>0</v>
      </c>
      <c r="CJ567" s="4">
        <f t="shared" si="497"/>
        <v>0</v>
      </c>
      <c r="CK567" s="4">
        <f t="shared" si="498"/>
        <v>0</v>
      </c>
      <c r="CL567" s="4">
        <f t="shared" si="499"/>
        <v>0</v>
      </c>
      <c r="CM567" s="4">
        <f t="shared" si="500"/>
        <v>0</v>
      </c>
      <c r="CN567" s="4">
        <f t="shared" si="501"/>
        <v>0</v>
      </c>
      <c r="CO567" s="4">
        <f t="shared" si="502"/>
        <v>0</v>
      </c>
      <c r="CP567" s="4">
        <f t="shared" si="503"/>
        <v>0</v>
      </c>
      <c r="CQ567" s="4">
        <f t="shared" si="504"/>
        <v>0</v>
      </c>
      <c r="CR567" s="4">
        <f t="shared" si="505"/>
        <v>0</v>
      </c>
      <c r="CS567" s="4">
        <f t="shared" si="506"/>
        <v>0</v>
      </c>
      <c r="CT567" s="4">
        <f t="shared" si="507"/>
        <v>0</v>
      </c>
      <c r="CU567" s="4">
        <f t="shared" si="508"/>
        <v>0</v>
      </c>
      <c r="CV567" s="4">
        <f t="shared" si="509"/>
        <v>0</v>
      </c>
      <c r="CW567" s="4">
        <f t="shared" si="510"/>
        <v>0</v>
      </c>
      <c r="CX567" s="4">
        <f t="shared" si="511"/>
        <v>0</v>
      </c>
      <c r="CY567" s="4">
        <f t="shared" si="512"/>
        <v>0</v>
      </c>
      <c r="CZ567" s="4">
        <f t="shared" si="513"/>
        <v>0</v>
      </c>
      <c r="DA567" s="4">
        <f t="shared" si="514"/>
        <v>0</v>
      </c>
      <c r="DB567" s="4">
        <f t="shared" si="515"/>
        <v>0</v>
      </c>
      <c r="DC567" s="4">
        <f t="shared" si="516"/>
        <v>0</v>
      </c>
      <c r="DD567" s="4">
        <f t="shared" si="517"/>
        <v>0</v>
      </c>
    </row>
    <row r="568" spans="1:108" x14ac:dyDescent="0.25">
      <c r="A568" s="41">
        <f>Skills!M550</f>
        <v>0</v>
      </c>
      <c r="B568" s="55" t="str">
        <f>Skills!N550</f>
        <v>Technology Skills</v>
      </c>
      <c r="C568" s="22">
        <f t="shared" si="518"/>
        <v>0</v>
      </c>
      <c r="D568" s="112" t="str">
        <f>Skills!S550</f>
        <v>- -</v>
      </c>
      <c r="E568" s="113" t="s">
        <v>782</v>
      </c>
      <c r="F568" s="19"/>
      <c r="G568" s="19"/>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56"/>
      <c r="BF568" s="4">
        <f t="shared" si="468"/>
        <v>0</v>
      </c>
      <c r="BG568" s="4">
        <f t="shared" si="468"/>
        <v>0</v>
      </c>
      <c r="BH568" s="4">
        <f t="shared" si="469"/>
        <v>0</v>
      </c>
      <c r="BI568" s="4">
        <f t="shared" si="470"/>
        <v>0</v>
      </c>
      <c r="BJ568" s="4">
        <f t="shared" si="471"/>
        <v>0</v>
      </c>
      <c r="BK568" s="4">
        <f t="shared" si="472"/>
        <v>0</v>
      </c>
      <c r="BL568" s="4">
        <f t="shared" si="473"/>
        <v>0</v>
      </c>
      <c r="BM568" s="4">
        <f t="shared" si="474"/>
        <v>0</v>
      </c>
      <c r="BN568" s="4">
        <f t="shared" si="475"/>
        <v>0</v>
      </c>
      <c r="BO568" s="4">
        <f t="shared" si="476"/>
        <v>0</v>
      </c>
      <c r="BP568" s="4">
        <f t="shared" si="477"/>
        <v>0</v>
      </c>
      <c r="BQ568" s="4">
        <f t="shared" si="478"/>
        <v>0</v>
      </c>
      <c r="BR568" s="4">
        <f t="shared" si="479"/>
        <v>0</v>
      </c>
      <c r="BS568" s="4">
        <f t="shared" si="480"/>
        <v>0</v>
      </c>
      <c r="BT568" s="4">
        <f t="shared" si="481"/>
        <v>0</v>
      </c>
      <c r="BU568" s="4">
        <f t="shared" si="482"/>
        <v>0</v>
      </c>
      <c r="BV568" s="4">
        <f t="shared" si="483"/>
        <v>0</v>
      </c>
      <c r="BW568" s="4">
        <f t="shared" si="484"/>
        <v>0</v>
      </c>
      <c r="BX568" s="4">
        <f t="shared" si="485"/>
        <v>0</v>
      </c>
      <c r="BY568" s="4">
        <f t="shared" si="486"/>
        <v>0</v>
      </c>
      <c r="BZ568" s="4">
        <f t="shared" si="487"/>
        <v>0</v>
      </c>
      <c r="CA568" s="4">
        <f t="shared" si="488"/>
        <v>0</v>
      </c>
      <c r="CB568" s="4">
        <f t="shared" si="489"/>
        <v>0</v>
      </c>
      <c r="CC568" s="4">
        <f t="shared" si="490"/>
        <v>0</v>
      </c>
      <c r="CD568" s="4">
        <f t="shared" si="491"/>
        <v>0</v>
      </c>
      <c r="CE568" s="4">
        <f t="shared" si="492"/>
        <v>0</v>
      </c>
      <c r="CF568" s="4">
        <f t="shared" si="493"/>
        <v>0</v>
      </c>
      <c r="CG568" s="4">
        <f t="shared" si="494"/>
        <v>0</v>
      </c>
      <c r="CH568" s="4">
        <f t="shared" si="495"/>
        <v>0</v>
      </c>
      <c r="CI568" s="4">
        <f t="shared" si="496"/>
        <v>0</v>
      </c>
      <c r="CJ568" s="4">
        <f t="shared" si="497"/>
        <v>0</v>
      </c>
      <c r="CK568" s="4">
        <f t="shared" si="498"/>
        <v>0</v>
      </c>
      <c r="CL568" s="4">
        <f t="shared" si="499"/>
        <v>0</v>
      </c>
      <c r="CM568" s="4">
        <f t="shared" si="500"/>
        <v>0</v>
      </c>
      <c r="CN568" s="4">
        <f t="shared" si="501"/>
        <v>0</v>
      </c>
      <c r="CO568" s="4">
        <f t="shared" si="502"/>
        <v>0</v>
      </c>
      <c r="CP568" s="4">
        <f t="shared" si="503"/>
        <v>0</v>
      </c>
      <c r="CQ568" s="4">
        <f t="shared" si="504"/>
        <v>0</v>
      </c>
      <c r="CR568" s="4">
        <f t="shared" si="505"/>
        <v>0</v>
      </c>
      <c r="CS568" s="4">
        <f t="shared" si="506"/>
        <v>0</v>
      </c>
      <c r="CT568" s="4">
        <f t="shared" si="507"/>
        <v>0</v>
      </c>
      <c r="CU568" s="4">
        <f t="shared" si="508"/>
        <v>0</v>
      </c>
      <c r="CV568" s="4">
        <f t="shared" si="509"/>
        <v>0</v>
      </c>
      <c r="CW568" s="4">
        <f t="shared" si="510"/>
        <v>0</v>
      </c>
      <c r="CX568" s="4">
        <f t="shared" si="511"/>
        <v>0</v>
      </c>
      <c r="CY568" s="4">
        <f t="shared" si="512"/>
        <v>0</v>
      </c>
      <c r="CZ568" s="4">
        <f t="shared" si="513"/>
        <v>0</v>
      </c>
      <c r="DA568" s="4">
        <f t="shared" si="514"/>
        <v>0</v>
      </c>
      <c r="DB568" s="4">
        <f t="shared" si="515"/>
        <v>0</v>
      </c>
      <c r="DC568" s="4">
        <f t="shared" si="516"/>
        <v>0</v>
      </c>
      <c r="DD568" s="4">
        <f t="shared" si="517"/>
        <v>0</v>
      </c>
    </row>
    <row r="569" spans="1:108" x14ac:dyDescent="0.25">
      <c r="A569" s="41" t="str">
        <f>Skills!M551</f>
        <v>Aquatics Technics</v>
      </c>
      <c r="B569" s="57" t="str">
        <f>Skills!N551</f>
        <v>Aquatics Technics</v>
      </c>
      <c r="C569" s="24">
        <f t="shared" si="518"/>
        <v>0</v>
      </c>
      <c r="D569" s="110">
        <f>Skills!S551</f>
        <v>0</v>
      </c>
      <c r="E569" s="111" t="e">
        <f>Profession!B261</f>
        <v>#REF!</v>
      </c>
      <c r="F569" s="18"/>
      <c r="G569" s="18"/>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49"/>
      <c r="BF569" s="4">
        <f t="shared" si="468"/>
        <v>0</v>
      </c>
      <c r="BG569" s="4">
        <f t="shared" si="468"/>
        <v>0</v>
      </c>
      <c r="BH569" s="4">
        <f t="shared" si="469"/>
        <v>0</v>
      </c>
      <c r="BI569" s="4">
        <f t="shared" si="470"/>
        <v>0</v>
      </c>
      <c r="BJ569" s="4">
        <f t="shared" si="471"/>
        <v>0</v>
      </c>
      <c r="BK569" s="4">
        <f t="shared" si="472"/>
        <v>0</v>
      </c>
      <c r="BL569" s="4">
        <f t="shared" si="473"/>
        <v>0</v>
      </c>
      <c r="BM569" s="4">
        <f t="shared" si="474"/>
        <v>0</v>
      </c>
      <c r="BN569" s="4">
        <f t="shared" si="475"/>
        <v>0</v>
      </c>
      <c r="BO569" s="4">
        <f t="shared" si="476"/>
        <v>0</v>
      </c>
      <c r="BP569" s="4">
        <f t="shared" si="477"/>
        <v>0</v>
      </c>
      <c r="BQ569" s="4">
        <f t="shared" si="478"/>
        <v>0</v>
      </c>
      <c r="BR569" s="4">
        <f t="shared" si="479"/>
        <v>0</v>
      </c>
      <c r="BS569" s="4">
        <f t="shared" si="480"/>
        <v>0</v>
      </c>
      <c r="BT569" s="4">
        <f t="shared" si="481"/>
        <v>0</v>
      </c>
      <c r="BU569" s="4">
        <f t="shared" si="482"/>
        <v>0</v>
      </c>
      <c r="BV569" s="4">
        <f t="shared" si="483"/>
        <v>0</v>
      </c>
      <c r="BW569" s="4">
        <f t="shared" si="484"/>
        <v>0</v>
      </c>
      <c r="BX569" s="4">
        <f t="shared" si="485"/>
        <v>0</v>
      </c>
      <c r="BY569" s="4">
        <f t="shared" si="486"/>
        <v>0</v>
      </c>
      <c r="BZ569" s="4">
        <f t="shared" si="487"/>
        <v>0</v>
      </c>
      <c r="CA569" s="4">
        <f t="shared" si="488"/>
        <v>0</v>
      </c>
      <c r="CB569" s="4">
        <f t="shared" si="489"/>
        <v>0</v>
      </c>
      <c r="CC569" s="4">
        <f t="shared" si="490"/>
        <v>0</v>
      </c>
      <c r="CD569" s="4">
        <f t="shared" si="491"/>
        <v>0</v>
      </c>
      <c r="CE569" s="4">
        <f t="shared" si="492"/>
        <v>0</v>
      </c>
      <c r="CF569" s="4">
        <f t="shared" si="493"/>
        <v>0</v>
      </c>
      <c r="CG569" s="4">
        <f t="shared" si="494"/>
        <v>0</v>
      </c>
      <c r="CH569" s="4">
        <f t="shared" si="495"/>
        <v>0</v>
      </c>
      <c r="CI569" s="4">
        <f t="shared" si="496"/>
        <v>0</v>
      </c>
      <c r="CJ569" s="4">
        <f t="shared" si="497"/>
        <v>0</v>
      </c>
      <c r="CK569" s="4">
        <f t="shared" si="498"/>
        <v>0</v>
      </c>
      <c r="CL569" s="4">
        <f t="shared" si="499"/>
        <v>0</v>
      </c>
      <c r="CM569" s="4">
        <f t="shared" si="500"/>
        <v>0</v>
      </c>
      <c r="CN569" s="4">
        <f t="shared" si="501"/>
        <v>0</v>
      </c>
      <c r="CO569" s="4">
        <f t="shared" si="502"/>
        <v>0</v>
      </c>
      <c r="CP569" s="4">
        <f t="shared" si="503"/>
        <v>0</v>
      </c>
      <c r="CQ569" s="4">
        <f t="shared" si="504"/>
        <v>0</v>
      </c>
      <c r="CR569" s="4">
        <f t="shared" si="505"/>
        <v>0</v>
      </c>
      <c r="CS569" s="4">
        <f t="shared" si="506"/>
        <v>0</v>
      </c>
      <c r="CT569" s="4">
        <f t="shared" si="507"/>
        <v>0</v>
      </c>
      <c r="CU569" s="4">
        <f t="shared" si="508"/>
        <v>0</v>
      </c>
      <c r="CV569" s="4">
        <f t="shared" si="509"/>
        <v>0</v>
      </c>
      <c r="CW569" s="4">
        <f t="shared" si="510"/>
        <v>0</v>
      </c>
      <c r="CX569" s="4">
        <f t="shared" si="511"/>
        <v>0</v>
      </c>
      <c r="CY569" s="4">
        <f t="shared" si="512"/>
        <v>0</v>
      </c>
      <c r="CZ569" s="4">
        <f t="shared" si="513"/>
        <v>0</v>
      </c>
      <c r="DA569" s="4">
        <f t="shared" si="514"/>
        <v>0</v>
      </c>
      <c r="DB569" s="4">
        <f t="shared" si="515"/>
        <v>0</v>
      </c>
      <c r="DC569" s="4">
        <f t="shared" si="516"/>
        <v>0</v>
      </c>
      <c r="DD569" s="4">
        <f t="shared" si="517"/>
        <v>0</v>
      </c>
    </row>
    <row r="570" spans="1:108" x14ac:dyDescent="0.25">
      <c r="A570" s="41" t="str">
        <f>Skills!M552</f>
        <v>Audiophile Technics</v>
      </c>
      <c r="B570" s="55" t="str">
        <f>Skills!N552</f>
        <v>Audiophile Technics</v>
      </c>
      <c r="C570" s="22">
        <f t="shared" si="518"/>
        <v>0</v>
      </c>
      <c r="D570" s="112">
        <f>Skills!S552</f>
        <v>0</v>
      </c>
      <c r="E570" s="113" t="e">
        <f>Profession!B262</f>
        <v>#REF!</v>
      </c>
      <c r="F570" s="19"/>
      <c r="G570" s="19"/>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56"/>
      <c r="BF570" s="4">
        <f t="shared" si="468"/>
        <v>0</v>
      </c>
      <c r="BG570" s="4">
        <f t="shared" si="468"/>
        <v>0</v>
      </c>
      <c r="BH570" s="4">
        <f t="shared" si="469"/>
        <v>0</v>
      </c>
      <c r="BI570" s="4">
        <f t="shared" si="470"/>
        <v>0</v>
      </c>
      <c r="BJ570" s="4">
        <f t="shared" si="471"/>
        <v>0</v>
      </c>
      <c r="BK570" s="4">
        <f t="shared" si="472"/>
        <v>0</v>
      </c>
      <c r="BL570" s="4">
        <f t="shared" si="473"/>
        <v>0</v>
      </c>
      <c r="BM570" s="4">
        <f t="shared" si="474"/>
        <v>0</v>
      </c>
      <c r="BN570" s="4">
        <f t="shared" si="475"/>
        <v>0</v>
      </c>
      <c r="BO570" s="4">
        <f t="shared" si="476"/>
        <v>0</v>
      </c>
      <c r="BP570" s="4">
        <f t="shared" si="477"/>
        <v>0</v>
      </c>
      <c r="BQ570" s="4">
        <f t="shared" si="478"/>
        <v>0</v>
      </c>
      <c r="BR570" s="4">
        <f t="shared" si="479"/>
        <v>0</v>
      </c>
      <c r="BS570" s="4">
        <f t="shared" si="480"/>
        <v>0</v>
      </c>
      <c r="BT570" s="4">
        <f t="shared" si="481"/>
        <v>0</v>
      </c>
      <c r="BU570" s="4">
        <f t="shared" si="482"/>
        <v>0</v>
      </c>
      <c r="BV570" s="4">
        <f t="shared" si="483"/>
        <v>0</v>
      </c>
      <c r="BW570" s="4">
        <f t="shared" si="484"/>
        <v>0</v>
      </c>
      <c r="BX570" s="4">
        <f t="shared" si="485"/>
        <v>0</v>
      </c>
      <c r="BY570" s="4">
        <f t="shared" si="486"/>
        <v>0</v>
      </c>
      <c r="BZ570" s="4">
        <f t="shared" si="487"/>
        <v>0</v>
      </c>
      <c r="CA570" s="4">
        <f t="shared" si="488"/>
        <v>0</v>
      </c>
      <c r="CB570" s="4">
        <f t="shared" si="489"/>
        <v>0</v>
      </c>
      <c r="CC570" s="4">
        <f t="shared" si="490"/>
        <v>0</v>
      </c>
      <c r="CD570" s="4">
        <f t="shared" si="491"/>
        <v>0</v>
      </c>
      <c r="CE570" s="4">
        <f t="shared" si="492"/>
        <v>0</v>
      </c>
      <c r="CF570" s="4">
        <f t="shared" si="493"/>
        <v>0</v>
      </c>
      <c r="CG570" s="4">
        <f t="shared" si="494"/>
        <v>0</v>
      </c>
      <c r="CH570" s="4">
        <f t="shared" si="495"/>
        <v>0</v>
      </c>
      <c r="CI570" s="4">
        <f t="shared" si="496"/>
        <v>0</v>
      </c>
      <c r="CJ570" s="4">
        <f t="shared" si="497"/>
        <v>0</v>
      </c>
      <c r="CK570" s="4">
        <f t="shared" si="498"/>
        <v>0</v>
      </c>
      <c r="CL570" s="4">
        <f t="shared" si="499"/>
        <v>0</v>
      </c>
      <c r="CM570" s="4">
        <f t="shared" si="500"/>
        <v>0</v>
      </c>
      <c r="CN570" s="4">
        <f t="shared" si="501"/>
        <v>0</v>
      </c>
      <c r="CO570" s="4">
        <f t="shared" si="502"/>
        <v>0</v>
      </c>
      <c r="CP570" s="4">
        <f t="shared" si="503"/>
        <v>0</v>
      </c>
      <c r="CQ570" s="4">
        <f t="shared" si="504"/>
        <v>0</v>
      </c>
      <c r="CR570" s="4">
        <f t="shared" si="505"/>
        <v>0</v>
      </c>
      <c r="CS570" s="4">
        <f t="shared" si="506"/>
        <v>0</v>
      </c>
      <c r="CT570" s="4">
        <f t="shared" si="507"/>
        <v>0</v>
      </c>
      <c r="CU570" s="4">
        <f t="shared" si="508"/>
        <v>0</v>
      </c>
      <c r="CV570" s="4">
        <f t="shared" si="509"/>
        <v>0</v>
      </c>
      <c r="CW570" s="4">
        <f t="shared" si="510"/>
        <v>0</v>
      </c>
      <c r="CX570" s="4">
        <f t="shared" si="511"/>
        <v>0</v>
      </c>
      <c r="CY570" s="4">
        <f t="shared" si="512"/>
        <v>0</v>
      </c>
      <c r="CZ570" s="4">
        <f t="shared" si="513"/>
        <v>0</v>
      </c>
      <c r="DA570" s="4">
        <f t="shared" si="514"/>
        <v>0</v>
      </c>
      <c r="DB570" s="4">
        <f t="shared" si="515"/>
        <v>0</v>
      </c>
      <c r="DC570" s="4">
        <f t="shared" si="516"/>
        <v>0</v>
      </c>
      <c r="DD570" s="4">
        <f t="shared" si="517"/>
        <v>0</v>
      </c>
    </row>
    <row r="571" spans="1:108" x14ac:dyDescent="0.25">
      <c r="A571" s="41" t="str">
        <f>Skills!M553</f>
        <v>Communications</v>
      </c>
      <c r="B571" s="57" t="str">
        <f>Skills!N553</f>
        <v>Communications</v>
      </c>
      <c r="C571" s="24">
        <f t="shared" si="518"/>
        <v>0</v>
      </c>
      <c r="D571" s="110">
        <f ca="1">Skills!S553</f>
        <v>0</v>
      </c>
      <c r="E571" s="111" t="e">
        <f>Profession!B263</f>
        <v>#REF!</v>
      </c>
      <c r="F571" s="18"/>
      <c r="G571" s="18"/>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49"/>
      <c r="BF571" s="4">
        <f t="shared" si="468"/>
        <v>0</v>
      </c>
      <c r="BG571" s="4">
        <f t="shared" si="468"/>
        <v>0</v>
      </c>
      <c r="BH571" s="4">
        <f t="shared" si="469"/>
        <v>0</v>
      </c>
      <c r="BI571" s="4">
        <f t="shared" si="470"/>
        <v>0</v>
      </c>
      <c r="BJ571" s="4">
        <f t="shared" si="471"/>
        <v>0</v>
      </c>
      <c r="BK571" s="4">
        <f t="shared" si="472"/>
        <v>0</v>
      </c>
      <c r="BL571" s="4">
        <f t="shared" si="473"/>
        <v>0</v>
      </c>
      <c r="BM571" s="4">
        <f t="shared" si="474"/>
        <v>0</v>
      </c>
      <c r="BN571" s="4">
        <f t="shared" si="475"/>
        <v>0</v>
      </c>
      <c r="BO571" s="4">
        <f t="shared" si="476"/>
        <v>0</v>
      </c>
      <c r="BP571" s="4">
        <f t="shared" si="477"/>
        <v>0</v>
      </c>
      <c r="BQ571" s="4">
        <f t="shared" si="478"/>
        <v>0</v>
      </c>
      <c r="BR571" s="4">
        <f t="shared" si="479"/>
        <v>0</v>
      </c>
      <c r="BS571" s="4">
        <f t="shared" si="480"/>
        <v>0</v>
      </c>
      <c r="BT571" s="4">
        <f t="shared" si="481"/>
        <v>0</v>
      </c>
      <c r="BU571" s="4">
        <f t="shared" si="482"/>
        <v>0</v>
      </c>
      <c r="BV571" s="4">
        <f t="shared" si="483"/>
        <v>0</v>
      </c>
      <c r="BW571" s="4">
        <f t="shared" si="484"/>
        <v>0</v>
      </c>
      <c r="BX571" s="4">
        <f t="shared" si="485"/>
        <v>0</v>
      </c>
      <c r="BY571" s="4">
        <f t="shared" si="486"/>
        <v>0</v>
      </c>
      <c r="BZ571" s="4">
        <f t="shared" si="487"/>
        <v>0</v>
      </c>
      <c r="CA571" s="4">
        <f t="shared" si="488"/>
        <v>0</v>
      </c>
      <c r="CB571" s="4">
        <f t="shared" si="489"/>
        <v>0</v>
      </c>
      <c r="CC571" s="4">
        <f t="shared" si="490"/>
        <v>0</v>
      </c>
      <c r="CD571" s="4">
        <f t="shared" si="491"/>
        <v>0</v>
      </c>
      <c r="CE571" s="4">
        <f t="shared" si="492"/>
        <v>0</v>
      </c>
      <c r="CF571" s="4">
        <f t="shared" si="493"/>
        <v>0</v>
      </c>
      <c r="CG571" s="4">
        <f t="shared" si="494"/>
        <v>0</v>
      </c>
      <c r="CH571" s="4">
        <f t="shared" si="495"/>
        <v>0</v>
      </c>
      <c r="CI571" s="4">
        <f t="shared" si="496"/>
        <v>0</v>
      </c>
      <c r="CJ571" s="4">
        <f t="shared" si="497"/>
        <v>0</v>
      </c>
      <c r="CK571" s="4">
        <f t="shared" si="498"/>
        <v>0</v>
      </c>
      <c r="CL571" s="4">
        <f t="shared" si="499"/>
        <v>0</v>
      </c>
      <c r="CM571" s="4">
        <f t="shared" si="500"/>
        <v>0</v>
      </c>
      <c r="CN571" s="4">
        <f t="shared" si="501"/>
        <v>0</v>
      </c>
      <c r="CO571" s="4">
        <f t="shared" si="502"/>
        <v>0</v>
      </c>
      <c r="CP571" s="4">
        <f t="shared" si="503"/>
        <v>0</v>
      </c>
      <c r="CQ571" s="4">
        <f t="shared" si="504"/>
        <v>0</v>
      </c>
      <c r="CR571" s="4">
        <f t="shared" si="505"/>
        <v>0</v>
      </c>
      <c r="CS571" s="4">
        <f t="shared" si="506"/>
        <v>0</v>
      </c>
      <c r="CT571" s="4">
        <f t="shared" si="507"/>
        <v>0</v>
      </c>
      <c r="CU571" s="4">
        <f t="shared" si="508"/>
        <v>0</v>
      </c>
      <c r="CV571" s="4">
        <f t="shared" si="509"/>
        <v>0</v>
      </c>
      <c r="CW571" s="4">
        <f t="shared" si="510"/>
        <v>0</v>
      </c>
      <c r="CX571" s="4">
        <f t="shared" si="511"/>
        <v>0</v>
      </c>
      <c r="CY571" s="4">
        <f t="shared" si="512"/>
        <v>0</v>
      </c>
      <c r="CZ571" s="4">
        <f t="shared" si="513"/>
        <v>0</v>
      </c>
      <c r="DA571" s="4">
        <f t="shared" si="514"/>
        <v>0</v>
      </c>
      <c r="DB571" s="4">
        <f t="shared" si="515"/>
        <v>0</v>
      </c>
      <c r="DC571" s="4">
        <f t="shared" si="516"/>
        <v>0</v>
      </c>
      <c r="DD571" s="4">
        <f t="shared" si="517"/>
        <v>0</v>
      </c>
    </row>
    <row r="572" spans="1:108" x14ac:dyDescent="0.25">
      <c r="A572" s="41" t="str">
        <f>Skills!M554</f>
        <v>Demolitions</v>
      </c>
      <c r="B572" s="55" t="str">
        <f>Skills!N554</f>
        <v>Demolitions</v>
      </c>
      <c r="C572" s="22">
        <f t="shared" si="518"/>
        <v>0</v>
      </c>
      <c r="D572" s="112">
        <f ca="1">Skills!S554</f>
        <v>0</v>
      </c>
      <c r="E572" s="113" t="e">
        <f>Profession!B264</f>
        <v>#REF!</v>
      </c>
      <c r="F572" s="19"/>
      <c r="G572" s="19"/>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56"/>
      <c r="BF572" s="4">
        <f t="shared" si="468"/>
        <v>0</v>
      </c>
      <c r="BG572" s="4">
        <f t="shared" si="468"/>
        <v>0</v>
      </c>
      <c r="BH572" s="4">
        <f t="shared" si="469"/>
        <v>0</v>
      </c>
      <c r="BI572" s="4">
        <f t="shared" si="470"/>
        <v>0</v>
      </c>
      <c r="BJ572" s="4">
        <f t="shared" si="471"/>
        <v>0</v>
      </c>
      <c r="BK572" s="4">
        <f t="shared" si="472"/>
        <v>0</v>
      </c>
      <c r="BL572" s="4">
        <f t="shared" si="473"/>
        <v>0</v>
      </c>
      <c r="BM572" s="4">
        <f t="shared" si="474"/>
        <v>0</v>
      </c>
      <c r="BN572" s="4">
        <f t="shared" si="475"/>
        <v>0</v>
      </c>
      <c r="BO572" s="4">
        <f t="shared" si="476"/>
        <v>0</v>
      </c>
      <c r="BP572" s="4">
        <f t="shared" si="477"/>
        <v>0</v>
      </c>
      <c r="BQ572" s="4">
        <f t="shared" si="478"/>
        <v>0</v>
      </c>
      <c r="BR572" s="4">
        <f t="shared" si="479"/>
        <v>0</v>
      </c>
      <c r="BS572" s="4">
        <f t="shared" si="480"/>
        <v>0</v>
      </c>
      <c r="BT572" s="4">
        <f t="shared" si="481"/>
        <v>0</v>
      </c>
      <c r="BU572" s="4">
        <f t="shared" si="482"/>
        <v>0</v>
      </c>
      <c r="BV572" s="4">
        <f t="shared" si="483"/>
        <v>0</v>
      </c>
      <c r="BW572" s="4">
        <f t="shared" si="484"/>
        <v>0</v>
      </c>
      <c r="BX572" s="4">
        <f t="shared" si="485"/>
        <v>0</v>
      </c>
      <c r="BY572" s="4">
        <f t="shared" si="486"/>
        <v>0</v>
      </c>
      <c r="BZ572" s="4">
        <f t="shared" si="487"/>
        <v>0</v>
      </c>
      <c r="CA572" s="4">
        <f t="shared" si="488"/>
        <v>0</v>
      </c>
      <c r="CB572" s="4">
        <f t="shared" si="489"/>
        <v>0</v>
      </c>
      <c r="CC572" s="4">
        <f t="shared" si="490"/>
        <v>0</v>
      </c>
      <c r="CD572" s="4">
        <f t="shared" si="491"/>
        <v>0</v>
      </c>
      <c r="CE572" s="4">
        <f t="shared" si="492"/>
        <v>0</v>
      </c>
      <c r="CF572" s="4">
        <f t="shared" si="493"/>
        <v>0</v>
      </c>
      <c r="CG572" s="4">
        <f t="shared" si="494"/>
        <v>0</v>
      </c>
      <c r="CH572" s="4">
        <f t="shared" si="495"/>
        <v>0</v>
      </c>
      <c r="CI572" s="4">
        <f t="shared" si="496"/>
        <v>0</v>
      </c>
      <c r="CJ572" s="4">
        <f t="shared" si="497"/>
        <v>0</v>
      </c>
      <c r="CK572" s="4">
        <f t="shared" si="498"/>
        <v>0</v>
      </c>
      <c r="CL572" s="4">
        <f t="shared" si="499"/>
        <v>0</v>
      </c>
      <c r="CM572" s="4">
        <f t="shared" si="500"/>
        <v>0</v>
      </c>
      <c r="CN572" s="4">
        <f t="shared" si="501"/>
        <v>0</v>
      </c>
      <c r="CO572" s="4">
        <f t="shared" si="502"/>
        <v>0</v>
      </c>
      <c r="CP572" s="4">
        <f t="shared" si="503"/>
        <v>0</v>
      </c>
      <c r="CQ572" s="4">
        <f t="shared" si="504"/>
        <v>0</v>
      </c>
      <c r="CR572" s="4">
        <f t="shared" si="505"/>
        <v>0</v>
      </c>
      <c r="CS572" s="4">
        <f t="shared" si="506"/>
        <v>0</v>
      </c>
      <c r="CT572" s="4">
        <f t="shared" si="507"/>
        <v>0</v>
      </c>
      <c r="CU572" s="4">
        <f t="shared" si="508"/>
        <v>0</v>
      </c>
      <c r="CV572" s="4">
        <f t="shared" si="509"/>
        <v>0</v>
      </c>
      <c r="CW572" s="4">
        <f t="shared" si="510"/>
        <v>0</v>
      </c>
      <c r="CX572" s="4">
        <f t="shared" si="511"/>
        <v>0</v>
      </c>
      <c r="CY572" s="4">
        <f t="shared" si="512"/>
        <v>0</v>
      </c>
      <c r="CZ572" s="4">
        <f t="shared" si="513"/>
        <v>0</v>
      </c>
      <c r="DA572" s="4">
        <f t="shared" si="514"/>
        <v>0</v>
      </c>
      <c r="DB572" s="4">
        <f t="shared" si="515"/>
        <v>0</v>
      </c>
      <c r="DC572" s="4">
        <f t="shared" si="516"/>
        <v>0</v>
      </c>
      <c r="DD572" s="4">
        <f t="shared" si="517"/>
        <v>0</v>
      </c>
    </row>
    <row r="573" spans="1:108" x14ac:dyDescent="0.25">
      <c r="A573" s="41" t="str">
        <f>Skills!M555</f>
        <v>Electronic Technics</v>
      </c>
      <c r="B573" s="57" t="str">
        <f>Skills!N555</f>
        <v>Electronic Technics</v>
      </c>
      <c r="C573" s="24">
        <f t="shared" si="518"/>
        <v>0</v>
      </c>
      <c r="D573" s="110">
        <f ca="1">Skills!S555</f>
        <v>0</v>
      </c>
      <c r="E573" s="111" t="e">
        <f>Profession!B265</f>
        <v>#REF!</v>
      </c>
      <c r="F573" s="18"/>
      <c r="G573" s="18"/>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49"/>
      <c r="BF573" s="4">
        <f t="shared" si="468"/>
        <v>0</v>
      </c>
      <c r="BG573" s="4">
        <f t="shared" si="468"/>
        <v>0</v>
      </c>
      <c r="BH573" s="4">
        <f t="shared" si="469"/>
        <v>0</v>
      </c>
      <c r="BI573" s="4">
        <f t="shared" si="470"/>
        <v>0</v>
      </c>
      <c r="BJ573" s="4">
        <f t="shared" si="471"/>
        <v>0</v>
      </c>
      <c r="BK573" s="4">
        <f t="shared" si="472"/>
        <v>0</v>
      </c>
      <c r="BL573" s="4">
        <f t="shared" si="473"/>
        <v>0</v>
      </c>
      <c r="BM573" s="4">
        <f t="shared" si="474"/>
        <v>0</v>
      </c>
      <c r="BN573" s="4">
        <f t="shared" si="475"/>
        <v>0</v>
      </c>
      <c r="BO573" s="4">
        <f t="shared" si="476"/>
        <v>0</v>
      </c>
      <c r="BP573" s="4">
        <f t="shared" si="477"/>
        <v>0</v>
      </c>
      <c r="BQ573" s="4">
        <f t="shared" si="478"/>
        <v>0</v>
      </c>
      <c r="BR573" s="4">
        <f t="shared" si="479"/>
        <v>0</v>
      </c>
      <c r="BS573" s="4">
        <f t="shared" si="480"/>
        <v>0</v>
      </c>
      <c r="BT573" s="4">
        <f t="shared" si="481"/>
        <v>0</v>
      </c>
      <c r="BU573" s="4">
        <f t="shared" si="482"/>
        <v>0</v>
      </c>
      <c r="BV573" s="4">
        <f t="shared" si="483"/>
        <v>0</v>
      </c>
      <c r="BW573" s="4">
        <f t="shared" si="484"/>
        <v>0</v>
      </c>
      <c r="BX573" s="4">
        <f t="shared" si="485"/>
        <v>0</v>
      </c>
      <c r="BY573" s="4">
        <f t="shared" si="486"/>
        <v>0</v>
      </c>
      <c r="BZ573" s="4">
        <f t="shared" si="487"/>
        <v>0</v>
      </c>
      <c r="CA573" s="4">
        <f t="shared" si="488"/>
        <v>0</v>
      </c>
      <c r="CB573" s="4">
        <f t="shared" si="489"/>
        <v>0</v>
      </c>
      <c r="CC573" s="4">
        <f t="shared" si="490"/>
        <v>0</v>
      </c>
      <c r="CD573" s="4">
        <f t="shared" si="491"/>
        <v>0</v>
      </c>
      <c r="CE573" s="4">
        <f t="shared" si="492"/>
        <v>0</v>
      </c>
      <c r="CF573" s="4">
        <f t="shared" si="493"/>
        <v>0</v>
      </c>
      <c r="CG573" s="4">
        <f t="shared" si="494"/>
        <v>0</v>
      </c>
      <c r="CH573" s="4">
        <f t="shared" si="495"/>
        <v>0</v>
      </c>
      <c r="CI573" s="4">
        <f t="shared" si="496"/>
        <v>0</v>
      </c>
      <c r="CJ573" s="4">
        <f t="shared" si="497"/>
        <v>0</v>
      </c>
      <c r="CK573" s="4">
        <f t="shared" si="498"/>
        <v>0</v>
      </c>
      <c r="CL573" s="4">
        <f t="shared" si="499"/>
        <v>0</v>
      </c>
      <c r="CM573" s="4">
        <f t="shared" si="500"/>
        <v>0</v>
      </c>
      <c r="CN573" s="4">
        <f t="shared" si="501"/>
        <v>0</v>
      </c>
      <c r="CO573" s="4">
        <f t="shared" si="502"/>
        <v>0</v>
      </c>
      <c r="CP573" s="4">
        <f t="shared" si="503"/>
        <v>0</v>
      </c>
      <c r="CQ573" s="4">
        <f t="shared" si="504"/>
        <v>0</v>
      </c>
      <c r="CR573" s="4">
        <f t="shared" si="505"/>
        <v>0</v>
      </c>
      <c r="CS573" s="4">
        <f t="shared" si="506"/>
        <v>0</v>
      </c>
      <c r="CT573" s="4">
        <f t="shared" si="507"/>
        <v>0</v>
      </c>
      <c r="CU573" s="4">
        <f t="shared" si="508"/>
        <v>0</v>
      </c>
      <c r="CV573" s="4">
        <f t="shared" si="509"/>
        <v>0</v>
      </c>
      <c r="CW573" s="4">
        <f t="shared" si="510"/>
        <v>0</v>
      </c>
      <c r="CX573" s="4">
        <f t="shared" si="511"/>
        <v>0</v>
      </c>
      <c r="CY573" s="4">
        <f t="shared" si="512"/>
        <v>0</v>
      </c>
      <c r="CZ573" s="4">
        <f t="shared" si="513"/>
        <v>0</v>
      </c>
      <c r="DA573" s="4">
        <f t="shared" si="514"/>
        <v>0</v>
      </c>
      <c r="DB573" s="4">
        <f t="shared" si="515"/>
        <v>0</v>
      </c>
      <c r="DC573" s="4">
        <f t="shared" si="516"/>
        <v>0</v>
      </c>
      <c r="DD573" s="4">
        <f t="shared" si="517"/>
        <v>0</v>
      </c>
    </row>
    <row r="574" spans="1:108" x14ac:dyDescent="0.25">
      <c r="A574" s="41" t="str">
        <f>Skills!M556</f>
        <v>Fabrication</v>
      </c>
      <c r="B574" s="55" t="str">
        <f>Skills!N556</f>
        <v>Fabrication</v>
      </c>
      <c r="C574" s="22">
        <f t="shared" si="518"/>
        <v>0</v>
      </c>
      <c r="D574" s="112">
        <f>Skills!S556</f>
        <v>0</v>
      </c>
      <c r="E574" s="113" t="e">
        <f>Profession!B266</f>
        <v>#REF!</v>
      </c>
      <c r="F574" s="19"/>
      <c r="G574" s="19"/>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56"/>
      <c r="BF574" s="4">
        <f t="shared" si="468"/>
        <v>0</v>
      </c>
      <c r="BG574" s="4">
        <f t="shared" si="468"/>
        <v>0</v>
      </c>
      <c r="BH574" s="4">
        <f t="shared" si="469"/>
        <v>0</v>
      </c>
      <c r="BI574" s="4">
        <f t="shared" si="470"/>
        <v>0</v>
      </c>
      <c r="BJ574" s="4">
        <f t="shared" si="471"/>
        <v>0</v>
      </c>
      <c r="BK574" s="4">
        <f t="shared" si="472"/>
        <v>0</v>
      </c>
      <c r="BL574" s="4">
        <f t="shared" si="473"/>
        <v>0</v>
      </c>
      <c r="BM574" s="4">
        <f t="shared" si="474"/>
        <v>0</v>
      </c>
      <c r="BN574" s="4">
        <f t="shared" si="475"/>
        <v>0</v>
      </c>
      <c r="BO574" s="4">
        <f t="shared" si="476"/>
        <v>0</v>
      </c>
      <c r="BP574" s="4">
        <f t="shared" si="477"/>
        <v>0</v>
      </c>
      <c r="BQ574" s="4">
        <f t="shared" si="478"/>
        <v>0</v>
      </c>
      <c r="BR574" s="4">
        <f t="shared" si="479"/>
        <v>0</v>
      </c>
      <c r="BS574" s="4">
        <f t="shared" si="480"/>
        <v>0</v>
      </c>
      <c r="BT574" s="4">
        <f t="shared" si="481"/>
        <v>0</v>
      </c>
      <c r="BU574" s="4">
        <f t="shared" si="482"/>
        <v>0</v>
      </c>
      <c r="BV574" s="4">
        <f t="shared" si="483"/>
        <v>0</v>
      </c>
      <c r="BW574" s="4">
        <f t="shared" si="484"/>
        <v>0</v>
      </c>
      <c r="BX574" s="4">
        <f t="shared" si="485"/>
        <v>0</v>
      </c>
      <c r="BY574" s="4">
        <f t="shared" si="486"/>
        <v>0</v>
      </c>
      <c r="BZ574" s="4">
        <f t="shared" si="487"/>
        <v>0</v>
      </c>
      <c r="CA574" s="4">
        <f t="shared" si="488"/>
        <v>0</v>
      </c>
      <c r="CB574" s="4">
        <f t="shared" si="489"/>
        <v>0</v>
      </c>
      <c r="CC574" s="4">
        <f t="shared" si="490"/>
        <v>0</v>
      </c>
      <c r="CD574" s="4">
        <f t="shared" si="491"/>
        <v>0</v>
      </c>
      <c r="CE574" s="4">
        <f t="shared" si="492"/>
        <v>0</v>
      </c>
      <c r="CF574" s="4">
        <f t="shared" si="493"/>
        <v>0</v>
      </c>
      <c r="CG574" s="4">
        <f t="shared" si="494"/>
        <v>0</v>
      </c>
      <c r="CH574" s="4">
        <f t="shared" si="495"/>
        <v>0</v>
      </c>
      <c r="CI574" s="4">
        <f t="shared" si="496"/>
        <v>0</v>
      </c>
      <c r="CJ574" s="4">
        <f t="shared" si="497"/>
        <v>0</v>
      </c>
      <c r="CK574" s="4">
        <f t="shared" si="498"/>
        <v>0</v>
      </c>
      <c r="CL574" s="4">
        <f t="shared" si="499"/>
        <v>0</v>
      </c>
      <c r="CM574" s="4">
        <f t="shared" si="500"/>
        <v>0</v>
      </c>
      <c r="CN574" s="4">
        <f t="shared" si="501"/>
        <v>0</v>
      </c>
      <c r="CO574" s="4">
        <f t="shared" si="502"/>
        <v>0</v>
      </c>
      <c r="CP574" s="4">
        <f t="shared" si="503"/>
        <v>0</v>
      </c>
      <c r="CQ574" s="4">
        <f t="shared" si="504"/>
        <v>0</v>
      </c>
      <c r="CR574" s="4">
        <f t="shared" si="505"/>
        <v>0</v>
      </c>
      <c r="CS574" s="4">
        <f t="shared" si="506"/>
        <v>0</v>
      </c>
      <c r="CT574" s="4">
        <f t="shared" si="507"/>
        <v>0</v>
      </c>
      <c r="CU574" s="4">
        <f t="shared" si="508"/>
        <v>0</v>
      </c>
      <c r="CV574" s="4">
        <f t="shared" si="509"/>
        <v>0</v>
      </c>
      <c r="CW574" s="4">
        <f t="shared" si="510"/>
        <v>0</v>
      </c>
      <c r="CX574" s="4">
        <f t="shared" si="511"/>
        <v>0</v>
      </c>
      <c r="CY574" s="4">
        <f t="shared" si="512"/>
        <v>0</v>
      </c>
      <c r="CZ574" s="4">
        <f t="shared" si="513"/>
        <v>0</v>
      </c>
      <c r="DA574" s="4">
        <f t="shared" si="514"/>
        <v>0</v>
      </c>
      <c r="DB574" s="4">
        <f t="shared" si="515"/>
        <v>0</v>
      </c>
      <c r="DC574" s="4">
        <f t="shared" si="516"/>
        <v>0</v>
      </c>
      <c r="DD574" s="4">
        <f t="shared" si="517"/>
        <v>0</v>
      </c>
    </row>
    <row r="575" spans="1:108" x14ac:dyDescent="0.25">
      <c r="A575" s="41" t="str">
        <f>Skills!M557</f>
        <v>Genetic Technics</v>
      </c>
      <c r="B575" s="57" t="str">
        <f>Skills!N557</f>
        <v>Genetic Technics</v>
      </c>
      <c r="C575" s="24">
        <f t="shared" si="518"/>
        <v>0</v>
      </c>
      <c r="D575" s="110">
        <f ca="1">Skills!S557</f>
        <v>0</v>
      </c>
      <c r="E575" s="111" t="e">
        <f>Profession!B267</f>
        <v>#REF!</v>
      </c>
      <c r="F575" s="18"/>
      <c r="G575" s="18"/>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49"/>
      <c r="BF575" s="4">
        <f t="shared" si="468"/>
        <v>0</v>
      </c>
      <c r="BG575" s="4">
        <f t="shared" si="468"/>
        <v>0</v>
      </c>
      <c r="BH575" s="4">
        <f t="shared" si="469"/>
        <v>0</v>
      </c>
      <c r="BI575" s="4">
        <f t="shared" si="470"/>
        <v>0</v>
      </c>
      <c r="BJ575" s="4">
        <f t="shared" si="471"/>
        <v>0</v>
      </c>
      <c r="BK575" s="4">
        <f t="shared" si="472"/>
        <v>0</v>
      </c>
      <c r="BL575" s="4">
        <f t="shared" si="473"/>
        <v>0</v>
      </c>
      <c r="BM575" s="4">
        <f t="shared" si="474"/>
        <v>0</v>
      </c>
      <c r="BN575" s="4">
        <f t="shared" si="475"/>
        <v>0</v>
      </c>
      <c r="BO575" s="4">
        <f t="shared" si="476"/>
        <v>0</v>
      </c>
      <c r="BP575" s="4">
        <f t="shared" si="477"/>
        <v>0</v>
      </c>
      <c r="BQ575" s="4">
        <f t="shared" si="478"/>
        <v>0</v>
      </c>
      <c r="BR575" s="4">
        <f t="shared" si="479"/>
        <v>0</v>
      </c>
      <c r="BS575" s="4">
        <f t="shared" si="480"/>
        <v>0</v>
      </c>
      <c r="BT575" s="4">
        <f t="shared" si="481"/>
        <v>0</v>
      </c>
      <c r="BU575" s="4">
        <f t="shared" si="482"/>
        <v>0</v>
      </c>
      <c r="BV575" s="4">
        <f t="shared" si="483"/>
        <v>0</v>
      </c>
      <c r="BW575" s="4">
        <f t="shared" si="484"/>
        <v>0</v>
      </c>
      <c r="BX575" s="4">
        <f t="shared" si="485"/>
        <v>0</v>
      </c>
      <c r="BY575" s="4">
        <f t="shared" si="486"/>
        <v>0</v>
      </c>
      <c r="BZ575" s="4">
        <f t="shared" si="487"/>
        <v>0</v>
      </c>
      <c r="CA575" s="4">
        <f t="shared" si="488"/>
        <v>0</v>
      </c>
      <c r="CB575" s="4">
        <f t="shared" si="489"/>
        <v>0</v>
      </c>
      <c r="CC575" s="4">
        <f t="shared" si="490"/>
        <v>0</v>
      </c>
      <c r="CD575" s="4">
        <f t="shared" si="491"/>
        <v>0</v>
      </c>
      <c r="CE575" s="4">
        <f t="shared" si="492"/>
        <v>0</v>
      </c>
      <c r="CF575" s="4">
        <f t="shared" si="493"/>
        <v>0</v>
      </c>
      <c r="CG575" s="4">
        <f t="shared" si="494"/>
        <v>0</v>
      </c>
      <c r="CH575" s="4">
        <f t="shared" si="495"/>
        <v>0</v>
      </c>
      <c r="CI575" s="4">
        <f t="shared" si="496"/>
        <v>0</v>
      </c>
      <c r="CJ575" s="4">
        <f t="shared" si="497"/>
        <v>0</v>
      </c>
      <c r="CK575" s="4">
        <f t="shared" si="498"/>
        <v>0</v>
      </c>
      <c r="CL575" s="4">
        <f t="shared" si="499"/>
        <v>0</v>
      </c>
      <c r="CM575" s="4">
        <f t="shared" si="500"/>
        <v>0</v>
      </c>
      <c r="CN575" s="4">
        <f t="shared" si="501"/>
        <v>0</v>
      </c>
      <c r="CO575" s="4">
        <f t="shared" si="502"/>
        <v>0</v>
      </c>
      <c r="CP575" s="4">
        <f t="shared" si="503"/>
        <v>0</v>
      </c>
      <c r="CQ575" s="4">
        <f t="shared" si="504"/>
        <v>0</v>
      </c>
      <c r="CR575" s="4">
        <f t="shared" si="505"/>
        <v>0</v>
      </c>
      <c r="CS575" s="4">
        <f t="shared" si="506"/>
        <v>0</v>
      </c>
      <c r="CT575" s="4">
        <f t="shared" si="507"/>
        <v>0</v>
      </c>
      <c r="CU575" s="4">
        <f t="shared" si="508"/>
        <v>0</v>
      </c>
      <c r="CV575" s="4">
        <f t="shared" si="509"/>
        <v>0</v>
      </c>
      <c r="CW575" s="4">
        <f t="shared" si="510"/>
        <v>0</v>
      </c>
      <c r="CX575" s="4">
        <f t="shared" si="511"/>
        <v>0</v>
      </c>
      <c r="CY575" s="4">
        <f t="shared" si="512"/>
        <v>0</v>
      </c>
      <c r="CZ575" s="4">
        <f t="shared" si="513"/>
        <v>0</v>
      </c>
      <c r="DA575" s="4">
        <f t="shared" si="514"/>
        <v>0</v>
      </c>
      <c r="DB575" s="4">
        <f t="shared" si="515"/>
        <v>0</v>
      </c>
      <c r="DC575" s="4">
        <f t="shared" si="516"/>
        <v>0</v>
      </c>
      <c r="DD575" s="4">
        <f t="shared" si="517"/>
        <v>0</v>
      </c>
    </row>
    <row r="576" spans="1:108" x14ac:dyDescent="0.25">
      <c r="A576" s="41" t="str">
        <f>Skills!M558</f>
        <v>Heavy Machine Operation</v>
      </c>
      <c r="B576" s="55" t="str">
        <f>Skills!N558</f>
        <v>Heavy Machine Operation</v>
      </c>
      <c r="C576" s="22">
        <f t="shared" si="518"/>
        <v>0</v>
      </c>
      <c r="D576" s="112">
        <f>Skills!S558</f>
        <v>0</v>
      </c>
      <c r="E576" s="113" t="e">
        <f>Profession!B268</f>
        <v>#REF!</v>
      </c>
      <c r="F576" s="19"/>
      <c r="G576" s="19"/>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56"/>
      <c r="BF576" s="4">
        <f t="shared" si="468"/>
        <v>0</v>
      </c>
      <c r="BG576" s="4">
        <f t="shared" si="468"/>
        <v>0</v>
      </c>
      <c r="BH576" s="4">
        <f t="shared" si="469"/>
        <v>0</v>
      </c>
      <c r="BI576" s="4">
        <f t="shared" si="470"/>
        <v>0</v>
      </c>
      <c r="BJ576" s="4">
        <f t="shared" si="471"/>
        <v>0</v>
      </c>
      <c r="BK576" s="4">
        <f t="shared" si="472"/>
        <v>0</v>
      </c>
      <c r="BL576" s="4">
        <f t="shared" si="473"/>
        <v>0</v>
      </c>
      <c r="BM576" s="4">
        <f t="shared" si="474"/>
        <v>0</v>
      </c>
      <c r="BN576" s="4">
        <f t="shared" si="475"/>
        <v>0</v>
      </c>
      <c r="BO576" s="4">
        <f t="shared" si="476"/>
        <v>0</v>
      </c>
      <c r="BP576" s="4">
        <f t="shared" si="477"/>
        <v>0</v>
      </c>
      <c r="BQ576" s="4">
        <f t="shared" si="478"/>
        <v>0</v>
      </c>
      <c r="BR576" s="4">
        <f t="shared" si="479"/>
        <v>0</v>
      </c>
      <c r="BS576" s="4">
        <f t="shared" si="480"/>
        <v>0</v>
      </c>
      <c r="BT576" s="4">
        <f t="shared" si="481"/>
        <v>0</v>
      </c>
      <c r="BU576" s="4">
        <f t="shared" si="482"/>
        <v>0</v>
      </c>
      <c r="BV576" s="4">
        <f t="shared" si="483"/>
        <v>0</v>
      </c>
      <c r="BW576" s="4">
        <f t="shared" si="484"/>
        <v>0</v>
      </c>
      <c r="BX576" s="4">
        <f t="shared" si="485"/>
        <v>0</v>
      </c>
      <c r="BY576" s="4">
        <f t="shared" si="486"/>
        <v>0</v>
      </c>
      <c r="BZ576" s="4">
        <f t="shared" si="487"/>
        <v>0</v>
      </c>
      <c r="CA576" s="4">
        <f t="shared" si="488"/>
        <v>0</v>
      </c>
      <c r="CB576" s="4">
        <f t="shared" si="489"/>
        <v>0</v>
      </c>
      <c r="CC576" s="4">
        <f t="shared" si="490"/>
        <v>0</v>
      </c>
      <c r="CD576" s="4">
        <f t="shared" si="491"/>
        <v>0</v>
      </c>
      <c r="CE576" s="4">
        <f t="shared" si="492"/>
        <v>0</v>
      </c>
      <c r="CF576" s="4">
        <f t="shared" si="493"/>
        <v>0</v>
      </c>
      <c r="CG576" s="4">
        <f t="shared" si="494"/>
        <v>0</v>
      </c>
      <c r="CH576" s="4">
        <f t="shared" si="495"/>
        <v>0</v>
      </c>
      <c r="CI576" s="4">
        <f t="shared" si="496"/>
        <v>0</v>
      </c>
      <c r="CJ576" s="4">
        <f t="shared" si="497"/>
        <v>0</v>
      </c>
      <c r="CK576" s="4">
        <f t="shared" si="498"/>
        <v>0</v>
      </c>
      <c r="CL576" s="4">
        <f t="shared" si="499"/>
        <v>0</v>
      </c>
      <c r="CM576" s="4">
        <f t="shared" si="500"/>
        <v>0</v>
      </c>
      <c r="CN576" s="4">
        <f t="shared" si="501"/>
        <v>0</v>
      </c>
      <c r="CO576" s="4">
        <f t="shared" si="502"/>
        <v>0</v>
      </c>
      <c r="CP576" s="4">
        <f t="shared" si="503"/>
        <v>0</v>
      </c>
      <c r="CQ576" s="4">
        <f t="shared" si="504"/>
        <v>0</v>
      </c>
      <c r="CR576" s="4">
        <f t="shared" si="505"/>
        <v>0</v>
      </c>
      <c r="CS576" s="4">
        <f t="shared" si="506"/>
        <v>0</v>
      </c>
      <c r="CT576" s="4">
        <f t="shared" si="507"/>
        <v>0</v>
      </c>
      <c r="CU576" s="4">
        <f t="shared" si="508"/>
        <v>0</v>
      </c>
      <c r="CV576" s="4">
        <f t="shared" si="509"/>
        <v>0</v>
      </c>
      <c r="CW576" s="4">
        <f t="shared" si="510"/>
        <v>0</v>
      </c>
      <c r="CX576" s="4">
        <f t="shared" si="511"/>
        <v>0</v>
      </c>
      <c r="CY576" s="4">
        <f t="shared" si="512"/>
        <v>0</v>
      </c>
      <c r="CZ576" s="4">
        <f t="shared" si="513"/>
        <v>0</v>
      </c>
      <c r="DA576" s="4">
        <f t="shared" si="514"/>
        <v>0</v>
      </c>
      <c r="DB576" s="4">
        <f t="shared" si="515"/>
        <v>0</v>
      </c>
      <c r="DC576" s="4">
        <f t="shared" si="516"/>
        <v>0</v>
      </c>
      <c r="DD576" s="4">
        <f t="shared" si="517"/>
        <v>0</v>
      </c>
    </row>
    <row r="577" spans="1:108" x14ac:dyDescent="0.25">
      <c r="A577" s="41" t="str">
        <f>Skills!M559</f>
        <v>Industrial Ceramics</v>
      </c>
      <c r="B577" s="57" t="str">
        <f>Skills!N559</f>
        <v>Industrial Ceramics</v>
      </c>
      <c r="C577" s="24">
        <f t="shared" si="518"/>
        <v>0</v>
      </c>
      <c r="D577" s="110">
        <f ca="1">Skills!S559</f>
        <v>0</v>
      </c>
      <c r="E577" s="111" t="e">
        <f>Profession!B269</f>
        <v>#REF!</v>
      </c>
      <c r="F577" s="18"/>
      <c r="G577" s="18"/>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49"/>
      <c r="BF577" s="4">
        <f t="shared" si="468"/>
        <v>0</v>
      </c>
      <c r="BG577" s="4">
        <f t="shared" si="468"/>
        <v>0</v>
      </c>
      <c r="BH577" s="4">
        <f t="shared" si="469"/>
        <v>0</v>
      </c>
      <c r="BI577" s="4">
        <f t="shared" si="470"/>
        <v>0</v>
      </c>
      <c r="BJ577" s="4">
        <f t="shared" si="471"/>
        <v>0</v>
      </c>
      <c r="BK577" s="4">
        <f t="shared" si="472"/>
        <v>0</v>
      </c>
      <c r="BL577" s="4">
        <f t="shared" si="473"/>
        <v>0</v>
      </c>
      <c r="BM577" s="4">
        <f t="shared" si="474"/>
        <v>0</v>
      </c>
      <c r="BN577" s="4">
        <f t="shared" si="475"/>
        <v>0</v>
      </c>
      <c r="BO577" s="4">
        <f t="shared" si="476"/>
        <v>0</v>
      </c>
      <c r="BP577" s="4">
        <f t="shared" si="477"/>
        <v>0</v>
      </c>
      <c r="BQ577" s="4">
        <f t="shared" si="478"/>
        <v>0</v>
      </c>
      <c r="BR577" s="4">
        <f t="shared" si="479"/>
        <v>0</v>
      </c>
      <c r="BS577" s="4">
        <f t="shared" si="480"/>
        <v>0</v>
      </c>
      <c r="BT577" s="4">
        <f t="shared" si="481"/>
        <v>0</v>
      </c>
      <c r="BU577" s="4">
        <f t="shared" si="482"/>
        <v>0</v>
      </c>
      <c r="BV577" s="4">
        <f t="shared" si="483"/>
        <v>0</v>
      </c>
      <c r="BW577" s="4">
        <f t="shared" si="484"/>
        <v>0</v>
      </c>
      <c r="BX577" s="4">
        <f t="shared" si="485"/>
        <v>0</v>
      </c>
      <c r="BY577" s="4">
        <f t="shared" si="486"/>
        <v>0</v>
      </c>
      <c r="BZ577" s="4">
        <f t="shared" si="487"/>
        <v>0</v>
      </c>
      <c r="CA577" s="4">
        <f t="shared" si="488"/>
        <v>0</v>
      </c>
      <c r="CB577" s="4">
        <f t="shared" si="489"/>
        <v>0</v>
      </c>
      <c r="CC577" s="4">
        <f t="shared" si="490"/>
        <v>0</v>
      </c>
      <c r="CD577" s="4">
        <f t="shared" si="491"/>
        <v>0</v>
      </c>
      <c r="CE577" s="4">
        <f t="shared" si="492"/>
        <v>0</v>
      </c>
      <c r="CF577" s="4">
        <f t="shared" si="493"/>
        <v>0</v>
      </c>
      <c r="CG577" s="4">
        <f t="shared" si="494"/>
        <v>0</v>
      </c>
      <c r="CH577" s="4">
        <f t="shared" si="495"/>
        <v>0</v>
      </c>
      <c r="CI577" s="4">
        <f t="shared" si="496"/>
        <v>0</v>
      </c>
      <c r="CJ577" s="4">
        <f t="shared" si="497"/>
        <v>0</v>
      </c>
      <c r="CK577" s="4">
        <f t="shared" si="498"/>
        <v>0</v>
      </c>
      <c r="CL577" s="4">
        <f t="shared" si="499"/>
        <v>0</v>
      </c>
      <c r="CM577" s="4">
        <f t="shared" si="500"/>
        <v>0</v>
      </c>
      <c r="CN577" s="4">
        <f t="shared" si="501"/>
        <v>0</v>
      </c>
      <c r="CO577" s="4">
        <f t="shared" si="502"/>
        <v>0</v>
      </c>
      <c r="CP577" s="4">
        <f t="shared" si="503"/>
        <v>0</v>
      </c>
      <c r="CQ577" s="4">
        <f t="shared" si="504"/>
        <v>0</v>
      </c>
      <c r="CR577" s="4">
        <f t="shared" si="505"/>
        <v>0</v>
      </c>
      <c r="CS577" s="4">
        <f t="shared" si="506"/>
        <v>0</v>
      </c>
      <c r="CT577" s="4">
        <f t="shared" si="507"/>
        <v>0</v>
      </c>
      <c r="CU577" s="4">
        <f t="shared" si="508"/>
        <v>0</v>
      </c>
      <c r="CV577" s="4">
        <f t="shared" si="509"/>
        <v>0</v>
      </c>
      <c r="CW577" s="4">
        <f t="shared" si="510"/>
        <v>0</v>
      </c>
      <c r="CX577" s="4">
        <f t="shared" si="511"/>
        <v>0</v>
      </c>
      <c r="CY577" s="4">
        <f t="shared" si="512"/>
        <v>0</v>
      </c>
      <c r="CZ577" s="4">
        <f t="shared" si="513"/>
        <v>0</v>
      </c>
      <c r="DA577" s="4">
        <f t="shared" si="514"/>
        <v>0</v>
      </c>
      <c r="DB577" s="4">
        <f t="shared" si="515"/>
        <v>0</v>
      </c>
      <c r="DC577" s="4">
        <f t="shared" si="516"/>
        <v>0</v>
      </c>
      <c r="DD577" s="4">
        <f t="shared" si="517"/>
        <v>0</v>
      </c>
    </row>
    <row r="578" spans="1:108" x14ac:dyDescent="0.25">
      <c r="A578" s="41" t="str">
        <f>Skills!M560</f>
        <v>Locks</v>
      </c>
      <c r="B578" s="55" t="str">
        <f>Skills!N560</f>
        <v>Locks</v>
      </c>
      <c r="C578" s="22">
        <f t="shared" si="518"/>
        <v>0</v>
      </c>
      <c r="D578" s="112">
        <f ca="1">Skills!S560</f>
        <v>0</v>
      </c>
      <c r="E578" s="113" t="e">
        <f>Profession!B270</f>
        <v>#REF!</v>
      </c>
      <c r="F578" s="19"/>
      <c r="G578" s="19"/>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56"/>
      <c r="BF578" s="4">
        <f t="shared" si="468"/>
        <v>0</v>
      </c>
      <c r="BG578" s="4">
        <f t="shared" si="468"/>
        <v>0</v>
      </c>
      <c r="BH578" s="4">
        <f t="shared" si="469"/>
        <v>0</v>
      </c>
      <c r="BI578" s="4">
        <f t="shared" si="470"/>
        <v>0</v>
      </c>
      <c r="BJ578" s="4">
        <f t="shared" si="471"/>
        <v>0</v>
      </c>
      <c r="BK578" s="4">
        <f t="shared" si="472"/>
        <v>0</v>
      </c>
      <c r="BL578" s="4">
        <f t="shared" si="473"/>
        <v>0</v>
      </c>
      <c r="BM578" s="4">
        <f t="shared" si="474"/>
        <v>0</v>
      </c>
      <c r="BN578" s="4">
        <f t="shared" si="475"/>
        <v>0</v>
      </c>
      <c r="BO578" s="4">
        <f t="shared" si="476"/>
        <v>0</v>
      </c>
      <c r="BP578" s="4">
        <f t="shared" si="477"/>
        <v>0</v>
      </c>
      <c r="BQ578" s="4">
        <f t="shared" si="478"/>
        <v>0</v>
      </c>
      <c r="BR578" s="4">
        <f t="shared" si="479"/>
        <v>0</v>
      </c>
      <c r="BS578" s="4">
        <f t="shared" si="480"/>
        <v>0</v>
      </c>
      <c r="BT578" s="4">
        <f t="shared" si="481"/>
        <v>0</v>
      </c>
      <c r="BU578" s="4">
        <f t="shared" si="482"/>
        <v>0</v>
      </c>
      <c r="BV578" s="4">
        <f t="shared" si="483"/>
        <v>0</v>
      </c>
      <c r="BW578" s="4">
        <f t="shared" si="484"/>
        <v>0</v>
      </c>
      <c r="BX578" s="4">
        <f t="shared" si="485"/>
        <v>0</v>
      </c>
      <c r="BY578" s="4">
        <f t="shared" si="486"/>
        <v>0</v>
      </c>
      <c r="BZ578" s="4">
        <f t="shared" si="487"/>
        <v>0</v>
      </c>
      <c r="CA578" s="4">
        <f t="shared" si="488"/>
        <v>0</v>
      </c>
      <c r="CB578" s="4">
        <f t="shared" si="489"/>
        <v>0</v>
      </c>
      <c r="CC578" s="4">
        <f t="shared" si="490"/>
        <v>0</v>
      </c>
      <c r="CD578" s="4">
        <f t="shared" si="491"/>
        <v>0</v>
      </c>
      <c r="CE578" s="4">
        <f t="shared" si="492"/>
        <v>0</v>
      </c>
      <c r="CF578" s="4">
        <f t="shared" si="493"/>
        <v>0</v>
      </c>
      <c r="CG578" s="4">
        <f t="shared" si="494"/>
        <v>0</v>
      </c>
      <c r="CH578" s="4">
        <f t="shared" si="495"/>
        <v>0</v>
      </c>
      <c r="CI578" s="4">
        <f t="shared" si="496"/>
        <v>0</v>
      </c>
      <c r="CJ578" s="4">
        <f t="shared" si="497"/>
        <v>0</v>
      </c>
      <c r="CK578" s="4">
        <f t="shared" si="498"/>
        <v>0</v>
      </c>
      <c r="CL578" s="4">
        <f t="shared" si="499"/>
        <v>0</v>
      </c>
      <c r="CM578" s="4">
        <f t="shared" si="500"/>
        <v>0</v>
      </c>
      <c r="CN578" s="4">
        <f t="shared" si="501"/>
        <v>0</v>
      </c>
      <c r="CO578" s="4">
        <f t="shared" si="502"/>
        <v>0</v>
      </c>
      <c r="CP578" s="4">
        <f t="shared" si="503"/>
        <v>0</v>
      </c>
      <c r="CQ578" s="4">
        <f t="shared" si="504"/>
        <v>0</v>
      </c>
      <c r="CR578" s="4">
        <f t="shared" si="505"/>
        <v>0</v>
      </c>
      <c r="CS578" s="4">
        <f t="shared" si="506"/>
        <v>0</v>
      </c>
      <c r="CT578" s="4">
        <f t="shared" si="507"/>
        <v>0</v>
      </c>
      <c r="CU578" s="4">
        <f t="shared" si="508"/>
        <v>0</v>
      </c>
      <c r="CV578" s="4">
        <f t="shared" si="509"/>
        <v>0</v>
      </c>
      <c r="CW578" s="4">
        <f t="shared" si="510"/>
        <v>0</v>
      </c>
      <c r="CX578" s="4">
        <f t="shared" si="511"/>
        <v>0</v>
      </c>
      <c r="CY578" s="4">
        <f t="shared" si="512"/>
        <v>0</v>
      </c>
      <c r="CZ578" s="4">
        <f t="shared" si="513"/>
        <v>0</v>
      </c>
      <c r="DA578" s="4">
        <f t="shared" si="514"/>
        <v>0</v>
      </c>
      <c r="DB578" s="4">
        <f t="shared" si="515"/>
        <v>0</v>
      </c>
      <c r="DC578" s="4">
        <f t="shared" si="516"/>
        <v>0</v>
      </c>
      <c r="DD578" s="4">
        <f t="shared" si="517"/>
        <v>0</v>
      </c>
    </row>
    <row r="579" spans="1:108" x14ac:dyDescent="0.25">
      <c r="A579" s="41" t="str">
        <f>Skills!M561</f>
        <v>Medical Technics</v>
      </c>
      <c r="B579" s="57" t="str">
        <f>Skills!N561</f>
        <v>Medical Technics</v>
      </c>
      <c r="C579" s="24">
        <f t="shared" si="518"/>
        <v>0</v>
      </c>
      <c r="D579" s="110">
        <f ca="1">Skills!S561</f>
        <v>0</v>
      </c>
      <c r="E579" s="111" t="e">
        <f>Profession!B271</f>
        <v>#REF!</v>
      </c>
      <c r="F579" s="18"/>
      <c r="G579" s="18"/>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49"/>
      <c r="BF579" s="4">
        <f t="shared" si="468"/>
        <v>0</v>
      </c>
      <c r="BG579" s="4">
        <f t="shared" si="468"/>
        <v>0</v>
      </c>
      <c r="BH579" s="4">
        <f t="shared" si="469"/>
        <v>0</v>
      </c>
      <c r="BI579" s="4">
        <f t="shared" si="470"/>
        <v>0</v>
      </c>
      <c r="BJ579" s="4">
        <f t="shared" si="471"/>
        <v>0</v>
      </c>
      <c r="BK579" s="4">
        <f t="shared" si="472"/>
        <v>0</v>
      </c>
      <c r="BL579" s="4">
        <f t="shared" si="473"/>
        <v>0</v>
      </c>
      <c r="BM579" s="4">
        <f t="shared" si="474"/>
        <v>0</v>
      </c>
      <c r="BN579" s="4">
        <f t="shared" si="475"/>
        <v>0</v>
      </c>
      <c r="BO579" s="4">
        <f t="shared" si="476"/>
        <v>0</v>
      </c>
      <c r="BP579" s="4">
        <f t="shared" si="477"/>
        <v>0</v>
      </c>
      <c r="BQ579" s="4">
        <f t="shared" si="478"/>
        <v>0</v>
      </c>
      <c r="BR579" s="4">
        <f t="shared" si="479"/>
        <v>0</v>
      </c>
      <c r="BS579" s="4">
        <f t="shared" si="480"/>
        <v>0</v>
      </c>
      <c r="BT579" s="4">
        <f t="shared" si="481"/>
        <v>0</v>
      </c>
      <c r="BU579" s="4">
        <f t="shared" si="482"/>
        <v>0</v>
      </c>
      <c r="BV579" s="4">
        <f t="shared" si="483"/>
        <v>0</v>
      </c>
      <c r="BW579" s="4">
        <f t="shared" si="484"/>
        <v>0</v>
      </c>
      <c r="BX579" s="4">
        <f t="shared" si="485"/>
        <v>0</v>
      </c>
      <c r="BY579" s="4">
        <f t="shared" si="486"/>
        <v>0</v>
      </c>
      <c r="BZ579" s="4">
        <f t="shared" si="487"/>
        <v>0</v>
      </c>
      <c r="CA579" s="4">
        <f t="shared" si="488"/>
        <v>0</v>
      </c>
      <c r="CB579" s="4">
        <f t="shared" si="489"/>
        <v>0</v>
      </c>
      <c r="CC579" s="4">
        <f t="shared" si="490"/>
        <v>0</v>
      </c>
      <c r="CD579" s="4">
        <f t="shared" si="491"/>
        <v>0</v>
      </c>
      <c r="CE579" s="4">
        <f t="shared" si="492"/>
        <v>0</v>
      </c>
      <c r="CF579" s="4">
        <f t="shared" si="493"/>
        <v>0</v>
      </c>
      <c r="CG579" s="4">
        <f t="shared" si="494"/>
        <v>0</v>
      </c>
      <c r="CH579" s="4">
        <f t="shared" si="495"/>
        <v>0</v>
      </c>
      <c r="CI579" s="4">
        <f t="shared" si="496"/>
        <v>0</v>
      </c>
      <c r="CJ579" s="4">
        <f t="shared" si="497"/>
        <v>0</v>
      </c>
      <c r="CK579" s="4">
        <f t="shared" si="498"/>
        <v>0</v>
      </c>
      <c r="CL579" s="4">
        <f t="shared" si="499"/>
        <v>0</v>
      </c>
      <c r="CM579" s="4">
        <f t="shared" si="500"/>
        <v>0</v>
      </c>
      <c r="CN579" s="4">
        <f t="shared" si="501"/>
        <v>0</v>
      </c>
      <c r="CO579" s="4">
        <f t="shared" si="502"/>
        <v>0</v>
      </c>
      <c r="CP579" s="4">
        <f t="shared" si="503"/>
        <v>0</v>
      </c>
      <c r="CQ579" s="4">
        <f t="shared" si="504"/>
        <v>0</v>
      </c>
      <c r="CR579" s="4">
        <f t="shared" si="505"/>
        <v>0</v>
      </c>
      <c r="CS579" s="4">
        <f t="shared" si="506"/>
        <v>0</v>
      </c>
      <c r="CT579" s="4">
        <f t="shared" si="507"/>
        <v>0</v>
      </c>
      <c r="CU579" s="4">
        <f t="shared" si="508"/>
        <v>0</v>
      </c>
      <c r="CV579" s="4">
        <f t="shared" si="509"/>
        <v>0</v>
      </c>
      <c r="CW579" s="4">
        <f t="shared" si="510"/>
        <v>0</v>
      </c>
      <c r="CX579" s="4">
        <f t="shared" si="511"/>
        <v>0</v>
      </c>
      <c r="CY579" s="4">
        <f t="shared" si="512"/>
        <v>0</v>
      </c>
      <c r="CZ579" s="4">
        <f t="shared" si="513"/>
        <v>0</v>
      </c>
      <c r="DA579" s="4">
        <f t="shared" si="514"/>
        <v>0</v>
      </c>
      <c r="DB579" s="4">
        <f t="shared" si="515"/>
        <v>0</v>
      </c>
      <c r="DC579" s="4">
        <f t="shared" si="516"/>
        <v>0</v>
      </c>
      <c r="DD579" s="4">
        <f t="shared" si="517"/>
        <v>0</v>
      </c>
    </row>
    <row r="580" spans="1:108" x14ac:dyDescent="0.25">
      <c r="A580" s="41" t="str">
        <f>Skills!M562</f>
        <v>Musical Technics</v>
      </c>
      <c r="B580" s="55" t="str">
        <f>Skills!N562</f>
        <v>Musical Technics</v>
      </c>
      <c r="C580" s="22">
        <f t="shared" si="518"/>
        <v>0</v>
      </c>
      <c r="D580" s="112">
        <f ca="1">Skills!S562</f>
        <v>0</v>
      </c>
      <c r="E580" s="113" t="e">
        <f>Profession!B272</f>
        <v>#REF!</v>
      </c>
      <c r="F580" s="19"/>
      <c r="G580" s="19"/>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56"/>
      <c r="BF580" s="4">
        <f t="shared" ref="BF580:BG616" si="519">IF(F580=1,(LEFT($E580,2))*1,IF(F580=2,((LEFT($E580,2))+(MID($E580,FIND("/",$E580)+2,2))),IF(F580=3,((LEFT($E580,2))+(MID($E580,FIND("/",$E580)+2,2))+(RIGHT($E580,2))),0)))</f>
        <v>0</v>
      </c>
      <c r="BG580" s="4">
        <f t="shared" si="519"/>
        <v>0</v>
      </c>
      <c r="BH580" s="4">
        <f t="shared" ref="BH580:BH616" si="520">IF(H580=1,(LEFT($E580,2))*1,IF(H580=2,((LEFT($E580,2))+(MID($E580,FIND("/",$E580)+2,2))),IF(H580=3,((LEFT($E580,2))+(MID($E580,FIND("/",$E580)+2,2))+(RIGHT($E580,2))),0)))</f>
        <v>0</v>
      </c>
      <c r="BI580" s="4">
        <f t="shared" ref="BI580:BI616" si="521">IF(I580=1,(LEFT($E580,2))*1,IF(I580=2,((LEFT($E580,2))+(MID($E580,FIND("/",$E580)+2,2))),IF(I580=3,((LEFT($E580,2))+(MID($E580,FIND("/",$E580)+2,2))+(RIGHT($E580,2))),0)))</f>
        <v>0</v>
      </c>
      <c r="BJ580" s="4">
        <f t="shared" ref="BJ580:BJ616" si="522">IF(J580=1,(LEFT($E580,2))*1,IF(J580=2,((LEFT($E580,2))+(MID($E580,FIND("/",$E580)+2,2))),IF(J580=3,((LEFT($E580,2))+(MID($E580,FIND("/",$E580)+2,2))+(RIGHT($E580,2))),0)))</f>
        <v>0</v>
      </c>
      <c r="BK580" s="4">
        <f t="shared" ref="BK580:BK616" si="523">IF(K580=1,(LEFT($E580,2))*1,IF(K580=2,((LEFT($E580,2))+(MID($E580,FIND("/",$E580)+2,2))),IF(K580=3,((LEFT($E580,2))+(MID($E580,FIND("/",$E580)+2,2))+(RIGHT($E580,2))),0)))</f>
        <v>0</v>
      </c>
      <c r="BL580" s="4">
        <f t="shared" ref="BL580:BL616" si="524">IF(L580=1,(LEFT($E580,2))*1,IF(L580=2,((LEFT($E580,2))+(MID($E580,FIND("/",$E580)+2,2))),IF(L580=3,((LEFT($E580,2))+(MID($E580,FIND("/",$E580)+2,2))+(RIGHT($E580,2))),0)))</f>
        <v>0</v>
      </c>
      <c r="BM580" s="4">
        <f t="shared" ref="BM580:BM616" si="525">IF(M580=1,(LEFT($E580,2))*1,IF(M580=2,((LEFT($E580,2))+(MID($E580,FIND("/",$E580)+2,2))),IF(M580=3,((LEFT($E580,2))+(MID($E580,FIND("/",$E580)+2,2))+(RIGHT($E580,2))),0)))</f>
        <v>0</v>
      </c>
      <c r="BN580" s="4">
        <f t="shared" ref="BN580:BN616" si="526">IF(N580=1,(LEFT($E580,2))*1,IF(N580=2,((LEFT($E580,2))+(MID($E580,FIND("/",$E580)+2,2))),IF(N580=3,((LEFT($E580,2))+(MID($E580,FIND("/",$E580)+2,2))+(RIGHT($E580,2))),0)))</f>
        <v>0</v>
      </c>
      <c r="BO580" s="4">
        <f t="shared" ref="BO580:BO616" si="527">IF(O580=1,(LEFT($E580,2))*1,IF(O580=2,((LEFT($E580,2))+(MID($E580,FIND("/",$E580)+2,2))),IF(O580=3,((LEFT($E580,2))+(MID($E580,FIND("/",$E580)+2,2))+(RIGHT($E580,2))),0)))</f>
        <v>0</v>
      </c>
      <c r="BP580" s="4">
        <f t="shared" ref="BP580:BP616" si="528">IF(P580=1,(LEFT($E580,2))*1,IF(P580=2,((LEFT($E580,2))+(MID($E580,FIND("/",$E580)+2,2))),IF(P580=3,((LEFT($E580,2))+(MID($E580,FIND("/",$E580)+2,2))+(RIGHT($E580,2))),0)))</f>
        <v>0</v>
      </c>
      <c r="BQ580" s="4">
        <f t="shared" ref="BQ580:BQ616" si="529">IF(Q580=1,(LEFT($E580,2))*1,IF(Q580=2,((LEFT($E580,2))+(MID($E580,FIND("/",$E580)+2,2))),IF(Q580=3,((LEFT($E580,2))+(MID($E580,FIND("/",$E580)+2,2))+(RIGHT($E580,2))),0)))</f>
        <v>0</v>
      </c>
      <c r="BR580" s="4">
        <f t="shared" ref="BR580:BR616" si="530">IF(R580=1,(LEFT($E580,2))*1,IF(R580=2,((LEFT($E580,2))+(MID($E580,FIND("/",$E580)+2,2))),IF(R580=3,((LEFT($E580,2))+(MID($E580,FIND("/",$E580)+2,2))+(RIGHT($E580,2))),0)))</f>
        <v>0</v>
      </c>
      <c r="BS580" s="4">
        <f t="shared" ref="BS580:BS616" si="531">IF(S580=1,(LEFT($E580,2))*1,IF(S580=2,((LEFT($E580,2))+(MID($E580,FIND("/",$E580)+2,2))),IF(S580=3,((LEFT($E580,2))+(MID($E580,FIND("/",$E580)+2,2))+(RIGHT($E580,2))),0)))</f>
        <v>0</v>
      </c>
      <c r="BT580" s="4">
        <f t="shared" ref="BT580:BT616" si="532">IF(T580=1,(LEFT($E580,2))*1,IF(T580=2,((LEFT($E580,2))+(MID($E580,FIND("/",$E580)+2,2))),IF(T580=3,((LEFT($E580,2))+(MID($E580,FIND("/",$E580)+2,2))+(RIGHT($E580,2))),0)))</f>
        <v>0</v>
      </c>
      <c r="BU580" s="4">
        <f t="shared" ref="BU580:BU616" si="533">IF(U580=1,(LEFT($E580,2))*1,IF(U580=2,((LEFT($E580,2))+(MID($E580,FIND("/",$E580)+2,2))),IF(U580=3,((LEFT($E580,2))+(MID($E580,FIND("/",$E580)+2,2))+(RIGHT($E580,2))),0)))</f>
        <v>0</v>
      </c>
      <c r="BV580" s="4">
        <f t="shared" ref="BV580:BV616" si="534">IF(V580=1,(LEFT($E580,2))*1,IF(V580=2,((LEFT($E580,2))+(MID($E580,FIND("/",$E580)+2,2))),IF(V580=3,((LEFT($E580,2))+(MID($E580,FIND("/",$E580)+2,2))+(RIGHT($E580,2))),0)))</f>
        <v>0</v>
      </c>
      <c r="BW580" s="4">
        <f t="shared" ref="BW580:BW616" si="535">IF(W580=1,(LEFT($E580,2))*1,IF(W580=2,((LEFT($E580,2))+(MID($E580,FIND("/",$E580)+2,2))),IF(W580=3,((LEFT($E580,2))+(MID($E580,FIND("/",$E580)+2,2))+(RIGHT($E580,2))),0)))</f>
        <v>0</v>
      </c>
      <c r="BX580" s="4">
        <f t="shared" ref="BX580:BX616" si="536">IF(X580=1,(LEFT($E580,2))*1,IF(X580=2,((LEFT($E580,2))+(MID($E580,FIND("/",$E580)+2,2))),IF(X580=3,((LEFT($E580,2))+(MID($E580,FIND("/",$E580)+2,2))+(RIGHT($E580,2))),0)))</f>
        <v>0</v>
      </c>
      <c r="BY580" s="4">
        <f t="shared" ref="BY580:BY616" si="537">IF(Y580=1,(LEFT($E580,2))*1,IF(Y580=2,((LEFT($E580,2))+(MID($E580,FIND("/",$E580)+2,2))),IF(Y580=3,((LEFT($E580,2))+(MID($E580,FIND("/",$E580)+2,2))+(RIGHT($E580,2))),0)))</f>
        <v>0</v>
      </c>
      <c r="BZ580" s="4">
        <f t="shared" ref="BZ580:BZ616" si="538">IF(Z580=1,(LEFT($E580,2))*1,IF(Z580=2,((LEFT($E580,2))+(MID($E580,FIND("/",$E580)+2,2))),IF(Z580=3,((LEFT($E580,2))+(MID($E580,FIND("/",$E580)+2,2))+(RIGHT($E580,2))),0)))</f>
        <v>0</v>
      </c>
      <c r="CA580" s="4">
        <f t="shared" ref="CA580:CA616" si="539">IF(AA580=1,(LEFT($E580,2))*1,IF(AA580=2,((LEFT($E580,2))+(MID($E580,FIND("/",$E580)+2,2))),IF(AA580=3,((LEFT($E580,2))+(MID($E580,FIND("/",$E580)+2,2))+(RIGHT($E580,2))),0)))</f>
        <v>0</v>
      </c>
      <c r="CB580" s="4">
        <f t="shared" ref="CB580:CB616" si="540">IF(AB580=1,(LEFT($E580,2))*1,IF(AB580=2,((LEFT($E580,2))+(MID($E580,FIND("/",$E580)+2,2))),IF(AB580=3,((LEFT($E580,2))+(MID($E580,FIND("/",$E580)+2,2))+(RIGHT($E580,2))),0)))</f>
        <v>0</v>
      </c>
      <c r="CC580" s="4">
        <f t="shared" ref="CC580:CC616" si="541">IF(AC580=1,(LEFT($E580,2))*1,IF(AC580=2,((LEFT($E580,2))+(MID($E580,FIND("/",$E580)+2,2))),IF(AC580=3,((LEFT($E580,2))+(MID($E580,FIND("/",$E580)+2,2))+(RIGHT($E580,2))),0)))</f>
        <v>0</v>
      </c>
      <c r="CD580" s="4">
        <f t="shared" ref="CD580:CD616" si="542">IF(AD580=1,(LEFT($E580,2))*1,IF(AD580=2,((LEFT($E580,2))+(MID($E580,FIND("/",$E580)+2,2))),IF(AD580=3,((LEFT($E580,2))+(MID($E580,FIND("/",$E580)+2,2))+(RIGHT($E580,2))),0)))</f>
        <v>0</v>
      </c>
      <c r="CE580" s="4">
        <f t="shared" ref="CE580:CE616" si="543">IF(AE580=1,(LEFT($E580,2))*1,IF(AE580=2,((LEFT($E580,2))+(MID($E580,FIND("/",$E580)+2,2))),IF(AE580=3,((LEFT($E580,2))+(MID($E580,FIND("/",$E580)+2,2))+(RIGHT($E580,2))),0)))</f>
        <v>0</v>
      </c>
      <c r="CF580" s="4">
        <f t="shared" ref="CF580:CF616" si="544">IF(AF580=1,(LEFT($E580,2))*1,IF(AF580=2,((LEFT($E580,2))+(MID($E580,FIND("/",$E580)+2,2))),IF(AF580=3,((LEFT($E580,2))+(MID($E580,FIND("/",$E580)+2,2))+(RIGHT($E580,2))),0)))</f>
        <v>0</v>
      </c>
      <c r="CG580" s="4">
        <f t="shared" ref="CG580:CG616" si="545">IF(AG580=1,(LEFT($E580,2))*1,IF(AG580=2,((LEFT($E580,2))+(MID($E580,FIND("/",$E580)+2,2))),IF(AG580=3,((LEFT($E580,2))+(MID($E580,FIND("/",$E580)+2,2))+(RIGHT($E580,2))),0)))</f>
        <v>0</v>
      </c>
      <c r="CH580" s="4">
        <f t="shared" ref="CH580:CH616" si="546">IF(AH580=1,(LEFT($E580,2))*1,IF(AH580=2,((LEFT($E580,2))+(MID($E580,FIND("/",$E580)+2,2))),IF(AH580=3,((LEFT($E580,2))+(MID($E580,FIND("/",$E580)+2,2))+(RIGHT($E580,2))),0)))</f>
        <v>0</v>
      </c>
      <c r="CI580" s="4">
        <f t="shared" ref="CI580:CI616" si="547">IF(AI580=1,(LEFT($E580,2))*1,IF(AI580=2,((LEFT($E580,2))+(MID($E580,FIND("/",$E580)+2,2))),IF(AI580=3,((LEFT($E580,2))+(MID($E580,FIND("/",$E580)+2,2))+(RIGHT($E580,2))),0)))</f>
        <v>0</v>
      </c>
      <c r="CJ580" s="4">
        <f t="shared" ref="CJ580:CJ616" si="548">IF(AJ580=1,(LEFT($E580,2))*1,IF(AJ580=2,((LEFT($E580,2))+(MID($E580,FIND("/",$E580)+2,2))),IF(AJ580=3,((LEFT($E580,2))+(MID($E580,FIND("/",$E580)+2,2))+(RIGHT($E580,2))),0)))</f>
        <v>0</v>
      </c>
      <c r="CK580" s="4">
        <f t="shared" ref="CK580:CK616" si="549">IF(AK580=1,(LEFT($E580,2))*1,IF(AK580=2,((LEFT($E580,2))+(MID($E580,FIND("/",$E580)+2,2))),IF(AK580=3,((LEFT($E580,2))+(MID($E580,FIND("/",$E580)+2,2))+(RIGHT($E580,2))),0)))</f>
        <v>0</v>
      </c>
      <c r="CL580" s="4">
        <f t="shared" ref="CL580:CL616" si="550">IF(AL580=1,(LEFT($E580,2))*1,IF(AL580=2,((LEFT($E580,2))+(MID($E580,FIND("/",$E580)+2,2))),IF(AL580=3,((LEFT($E580,2))+(MID($E580,FIND("/",$E580)+2,2))+(RIGHT($E580,2))),0)))</f>
        <v>0</v>
      </c>
      <c r="CM580" s="4">
        <f t="shared" ref="CM580:CM616" si="551">IF(AM580=1,(LEFT($E580,2))*1,IF(AM580=2,((LEFT($E580,2))+(MID($E580,FIND("/",$E580)+2,2))),IF(AM580=3,((LEFT($E580,2))+(MID($E580,FIND("/",$E580)+2,2))+(RIGHT($E580,2))),0)))</f>
        <v>0</v>
      </c>
      <c r="CN580" s="4">
        <f t="shared" ref="CN580:CN616" si="552">IF(AN580=1,(LEFT($E580,2))*1,IF(AN580=2,((LEFT($E580,2))+(MID($E580,FIND("/",$E580)+2,2))),IF(AN580=3,((LEFT($E580,2))+(MID($E580,FIND("/",$E580)+2,2))+(RIGHT($E580,2))),0)))</f>
        <v>0</v>
      </c>
      <c r="CO580" s="4">
        <f t="shared" ref="CO580:CO616" si="553">IF(AO580=1,(LEFT($E580,2))*1,IF(AO580=2,((LEFT($E580,2))+(MID($E580,FIND("/",$E580)+2,2))),IF(AO580=3,((LEFT($E580,2))+(MID($E580,FIND("/",$E580)+2,2))+(RIGHT($E580,2))),0)))</f>
        <v>0</v>
      </c>
      <c r="CP580" s="4">
        <f t="shared" ref="CP580:CP616" si="554">IF(AP580=1,(LEFT($E580,2))*1,IF(AP580=2,((LEFT($E580,2))+(MID($E580,FIND("/",$E580)+2,2))),IF(AP580=3,((LEFT($E580,2))+(MID($E580,FIND("/",$E580)+2,2))+(RIGHT($E580,2))),0)))</f>
        <v>0</v>
      </c>
      <c r="CQ580" s="4">
        <f t="shared" ref="CQ580:CQ616" si="555">IF(AQ580=1,(LEFT($E580,2))*1,IF(AQ580=2,((LEFT($E580,2))+(MID($E580,FIND("/",$E580)+2,2))),IF(AQ580=3,((LEFT($E580,2))+(MID($E580,FIND("/",$E580)+2,2))+(RIGHT($E580,2))),0)))</f>
        <v>0</v>
      </c>
      <c r="CR580" s="4">
        <f t="shared" ref="CR580:CR616" si="556">IF(AR580=1,(LEFT($E580,2))*1,IF(AR580=2,((LEFT($E580,2))+(MID($E580,FIND("/",$E580)+2,2))),IF(AR580=3,((LEFT($E580,2))+(MID($E580,FIND("/",$E580)+2,2))+(RIGHT($E580,2))),0)))</f>
        <v>0</v>
      </c>
      <c r="CS580" s="4">
        <f t="shared" ref="CS580:CS616" si="557">IF(AS580=1,(LEFT($E580,2))*1,IF(AS580=2,((LEFT($E580,2))+(MID($E580,FIND("/",$E580)+2,2))),IF(AS580=3,((LEFT($E580,2))+(MID($E580,FIND("/",$E580)+2,2))+(RIGHT($E580,2))),0)))</f>
        <v>0</v>
      </c>
      <c r="CT580" s="4">
        <f t="shared" ref="CT580:CT616" si="558">IF(AT580=1,(LEFT($E580,2))*1,IF(AT580=2,((LEFT($E580,2))+(MID($E580,FIND("/",$E580)+2,2))),IF(AT580=3,((LEFT($E580,2))+(MID($E580,FIND("/",$E580)+2,2))+(RIGHT($E580,2))),0)))</f>
        <v>0</v>
      </c>
      <c r="CU580" s="4">
        <f t="shared" ref="CU580:CU616" si="559">IF(AU580=1,(LEFT($E580,2))*1,IF(AU580=2,((LEFT($E580,2))+(MID($E580,FIND("/",$E580)+2,2))),IF(AU580=3,((LEFT($E580,2))+(MID($E580,FIND("/",$E580)+2,2))+(RIGHT($E580,2))),0)))</f>
        <v>0</v>
      </c>
      <c r="CV580" s="4">
        <f t="shared" ref="CV580:CV616" si="560">IF(AV580=1,(LEFT($E580,2))*1,IF(AV580=2,((LEFT($E580,2))+(MID($E580,FIND("/",$E580)+2,2))),IF(AV580=3,((LEFT($E580,2))+(MID($E580,FIND("/",$E580)+2,2))+(RIGHT($E580,2))),0)))</f>
        <v>0</v>
      </c>
      <c r="CW580" s="4">
        <f t="shared" ref="CW580:CW616" si="561">IF(AW580=1,(LEFT($E580,2))*1,IF(AW580=2,((LEFT($E580,2))+(MID($E580,FIND("/",$E580)+2,2))),IF(AW580=3,((LEFT($E580,2))+(MID($E580,FIND("/",$E580)+2,2))+(RIGHT($E580,2))),0)))</f>
        <v>0</v>
      </c>
      <c r="CX580" s="4">
        <f t="shared" ref="CX580:CX616" si="562">IF(AX580=1,(LEFT($E580,2))*1,IF(AX580=2,((LEFT($E580,2))+(MID($E580,FIND("/",$E580)+2,2))),IF(AX580=3,((LEFT($E580,2))+(MID($E580,FIND("/",$E580)+2,2))+(RIGHT($E580,2))),0)))</f>
        <v>0</v>
      </c>
      <c r="CY580" s="4">
        <f t="shared" ref="CY580:CY616" si="563">IF(AY580=1,(LEFT($E580,2))*1,IF(AY580=2,((LEFT($E580,2))+(MID($E580,FIND("/",$E580)+2,2))),IF(AY580=3,((LEFT($E580,2))+(MID($E580,FIND("/",$E580)+2,2))+(RIGHT($E580,2))),0)))</f>
        <v>0</v>
      </c>
      <c r="CZ580" s="4">
        <f t="shared" ref="CZ580:CZ616" si="564">IF(AZ580=1,(LEFT($E580,2))*1,IF(AZ580=2,((LEFT($E580,2))+(MID($E580,FIND("/",$E580)+2,2))),IF(AZ580=3,((LEFT($E580,2))+(MID($E580,FIND("/",$E580)+2,2))+(RIGHT($E580,2))),0)))</f>
        <v>0</v>
      </c>
      <c r="DA580" s="4">
        <f t="shared" ref="DA580:DA616" si="565">IF(BA580=1,(LEFT($E580,2))*1,IF(BA580=2,((LEFT($E580,2))+(MID($E580,FIND("/",$E580)+2,2))),IF(BA580=3,((LEFT($E580,2))+(MID($E580,FIND("/",$E580)+2,2))+(RIGHT($E580,2))),0)))</f>
        <v>0</v>
      </c>
      <c r="DB580" s="4">
        <f t="shared" ref="DB580:DB616" si="566">IF(BB580=1,(LEFT($E580,2))*1,IF(BB580=2,((LEFT($E580,2))+(MID($E580,FIND("/",$E580)+2,2))),IF(BB580=3,((LEFT($E580,2))+(MID($E580,FIND("/",$E580)+2,2))+(RIGHT($E580,2))),0)))</f>
        <v>0</v>
      </c>
      <c r="DC580" s="4">
        <f t="shared" ref="DC580:DC616" si="567">IF(BC580=1,(LEFT($E580,2))*1,IF(BC580=2,((LEFT($E580,2))+(MID($E580,FIND("/",$E580)+2,2))),IF(BC580=3,((LEFT($E580,2))+(MID($E580,FIND("/",$E580)+2,2))+(RIGHT($E580,2))),0)))</f>
        <v>0</v>
      </c>
      <c r="DD580" s="4">
        <f t="shared" ref="DD580:DD616" si="568">IF(BD580=1,(LEFT($E580,2))*1,IF(BD580=2,((LEFT($E580,2))+(MID($E580,FIND("/",$E580)+2,2))),IF(BD580=3,((LEFT($E580,2))+(MID($E580,FIND("/",$E580)+2,2))+(RIGHT($E580,2))),0)))</f>
        <v>0</v>
      </c>
    </row>
    <row r="581" spans="1:108" x14ac:dyDescent="0.25">
      <c r="A581" s="41" t="str">
        <f>Skills!M563</f>
        <v>Optical Technics</v>
      </c>
      <c r="B581" s="57" t="str">
        <f>Skills!N563</f>
        <v>Optical Technics</v>
      </c>
      <c r="C581" s="24">
        <f t="shared" si="518"/>
        <v>0</v>
      </c>
      <c r="D581" s="110">
        <f>Skills!S563</f>
        <v>0</v>
      </c>
      <c r="E581" s="111" t="e">
        <f>Profession!B273</f>
        <v>#REF!</v>
      </c>
      <c r="F581" s="18"/>
      <c r="G581" s="18"/>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49"/>
      <c r="BF581" s="4">
        <f t="shared" si="519"/>
        <v>0</v>
      </c>
      <c r="BG581" s="4">
        <f t="shared" si="519"/>
        <v>0</v>
      </c>
      <c r="BH581" s="4">
        <f t="shared" si="520"/>
        <v>0</v>
      </c>
      <c r="BI581" s="4">
        <f t="shared" si="521"/>
        <v>0</v>
      </c>
      <c r="BJ581" s="4">
        <f t="shared" si="522"/>
        <v>0</v>
      </c>
      <c r="BK581" s="4">
        <f t="shared" si="523"/>
        <v>0</v>
      </c>
      <c r="BL581" s="4">
        <f t="shared" si="524"/>
        <v>0</v>
      </c>
      <c r="BM581" s="4">
        <f t="shared" si="525"/>
        <v>0</v>
      </c>
      <c r="BN581" s="4">
        <f t="shared" si="526"/>
        <v>0</v>
      </c>
      <c r="BO581" s="4">
        <f t="shared" si="527"/>
        <v>0</v>
      </c>
      <c r="BP581" s="4">
        <f t="shared" si="528"/>
        <v>0</v>
      </c>
      <c r="BQ581" s="4">
        <f t="shared" si="529"/>
        <v>0</v>
      </c>
      <c r="BR581" s="4">
        <f t="shared" si="530"/>
        <v>0</v>
      </c>
      <c r="BS581" s="4">
        <f t="shared" si="531"/>
        <v>0</v>
      </c>
      <c r="BT581" s="4">
        <f t="shared" si="532"/>
        <v>0</v>
      </c>
      <c r="BU581" s="4">
        <f t="shared" si="533"/>
        <v>0</v>
      </c>
      <c r="BV581" s="4">
        <f t="shared" si="534"/>
        <v>0</v>
      </c>
      <c r="BW581" s="4">
        <f t="shared" si="535"/>
        <v>0</v>
      </c>
      <c r="BX581" s="4">
        <f t="shared" si="536"/>
        <v>0</v>
      </c>
      <c r="BY581" s="4">
        <f t="shared" si="537"/>
        <v>0</v>
      </c>
      <c r="BZ581" s="4">
        <f t="shared" si="538"/>
        <v>0</v>
      </c>
      <c r="CA581" s="4">
        <f t="shared" si="539"/>
        <v>0</v>
      </c>
      <c r="CB581" s="4">
        <f t="shared" si="540"/>
        <v>0</v>
      </c>
      <c r="CC581" s="4">
        <f t="shared" si="541"/>
        <v>0</v>
      </c>
      <c r="CD581" s="4">
        <f t="shared" si="542"/>
        <v>0</v>
      </c>
      <c r="CE581" s="4">
        <f t="shared" si="543"/>
        <v>0</v>
      </c>
      <c r="CF581" s="4">
        <f t="shared" si="544"/>
        <v>0</v>
      </c>
      <c r="CG581" s="4">
        <f t="shared" si="545"/>
        <v>0</v>
      </c>
      <c r="CH581" s="4">
        <f t="shared" si="546"/>
        <v>0</v>
      </c>
      <c r="CI581" s="4">
        <f t="shared" si="547"/>
        <v>0</v>
      </c>
      <c r="CJ581" s="4">
        <f t="shared" si="548"/>
        <v>0</v>
      </c>
      <c r="CK581" s="4">
        <f t="shared" si="549"/>
        <v>0</v>
      </c>
      <c r="CL581" s="4">
        <f t="shared" si="550"/>
        <v>0</v>
      </c>
      <c r="CM581" s="4">
        <f t="shared" si="551"/>
        <v>0</v>
      </c>
      <c r="CN581" s="4">
        <f t="shared" si="552"/>
        <v>0</v>
      </c>
      <c r="CO581" s="4">
        <f t="shared" si="553"/>
        <v>0</v>
      </c>
      <c r="CP581" s="4">
        <f t="shared" si="554"/>
        <v>0</v>
      </c>
      <c r="CQ581" s="4">
        <f t="shared" si="555"/>
        <v>0</v>
      </c>
      <c r="CR581" s="4">
        <f t="shared" si="556"/>
        <v>0</v>
      </c>
      <c r="CS581" s="4">
        <f t="shared" si="557"/>
        <v>0</v>
      </c>
      <c r="CT581" s="4">
        <f t="shared" si="558"/>
        <v>0</v>
      </c>
      <c r="CU581" s="4">
        <f t="shared" si="559"/>
        <v>0</v>
      </c>
      <c r="CV581" s="4">
        <f t="shared" si="560"/>
        <v>0</v>
      </c>
      <c r="CW581" s="4">
        <f t="shared" si="561"/>
        <v>0</v>
      </c>
      <c r="CX581" s="4">
        <f t="shared" si="562"/>
        <v>0</v>
      </c>
      <c r="CY581" s="4">
        <f t="shared" si="563"/>
        <v>0</v>
      </c>
      <c r="CZ581" s="4">
        <f t="shared" si="564"/>
        <v>0</v>
      </c>
      <c r="DA581" s="4">
        <f t="shared" si="565"/>
        <v>0</v>
      </c>
      <c r="DB581" s="4">
        <f t="shared" si="566"/>
        <v>0</v>
      </c>
      <c r="DC581" s="4">
        <f t="shared" si="567"/>
        <v>0</v>
      </c>
      <c r="DD581" s="4">
        <f t="shared" si="568"/>
        <v>0</v>
      </c>
    </row>
    <row r="582" spans="1:108" x14ac:dyDescent="0.25">
      <c r="A582" s="41" t="str">
        <f>Skills!M564</f>
        <v>Safe Cracking</v>
      </c>
      <c r="B582" s="55" t="str">
        <f>Skills!N564</f>
        <v>Safe Cracking</v>
      </c>
      <c r="C582" s="22">
        <f t="shared" si="518"/>
        <v>0</v>
      </c>
      <c r="D582" s="112">
        <f>Skills!S564</f>
        <v>0</v>
      </c>
      <c r="E582" s="113" t="e">
        <f>Profession!B274</f>
        <v>#REF!</v>
      </c>
      <c r="F582" s="19"/>
      <c r="G582" s="19"/>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56"/>
      <c r="BF582" s="4">
        <f t="shared" si="519"/>
        <v>0</v>
      </c>
      <c r="BG582" s="4">
        <f t="shared" si="519"/>
        <v>0</v>
      </c>
      <c r="BH582" s="4">
        <f t="shared" si="520"/>
        <v>0</v>
      </c>
      <c r="BI582" s="4">
        <f t="shared" si="521"/>
        <v>0</v>
      </c>
      <c r="BJ582" s="4">
        <f t="shared" si="522"/>
        <v>0</v>
      </c>
      <c r="BK582" s="4">
        <f t="shared" si="523"/>
        <v>0</v>
      </c>
      <c r="BL582" s="4">
        <f t="shared" si="524"/>
        <v>0</v>
      </c>
      <c r="BM582" s="4">
        <f t="shared" si="525"/>
        <v>0</v>
      </c>
      <c r="BN582" s="4">
        <f t="shared" si="526"/>
        <v>0</v>
      </c>
      <c r="BO582" s="4">
        <f t="shared" si="527"/>
        <v>0</v>
      </c>
      <c r="BP582" s="4">
        <f t="shared" si="528"/>
        <v>0</v>
      </c>
      <c r="BQ582" s="4">
        <f t="shared" si="529"/>
        <v>0</v>
      </c>
      <c r="BR582" s="4">
        <f t="shared" si="530"/>
        <v>0</v>
      </c>
      <c r="BS582" s="4">
        <f t="shared" si="531"/>
        <v>0</v>
      </c>
      <c r="BT582" s="4">
        <f t="shared" si="532"/>
        <v>0</v>
      </c>
      <c r="BU582" s="4">
        <f t="shared" si="533"/>
        <v>0</v>
      </c>
      <c r="BV582" s="4">
        <f t="shared" si="534"/>
        <v>0</v>
      </c>
      <c r="BW582" s="4">
        <f t="shared" si="535"/>
        <v>0</v>
      </c>
      <c r="BX582" s="4">
        <f t="shared" si="536"/>
        <v>0</v>
      </c>
      <c r="BY582" s="4">
        <f t="shared" si="537"/>
        <v>0</v>
      </c>
      <c r="BZ582" s="4">
        <f t="shared" si="538"/>
        <v>0</v>
      </c>
      <c r="CA582" s="4">
        <f t="shared" si="539"/>
        <v>0</v>
      </c>
      <c r="CB582" s="4">
        <f t="shared" si="540"/>
        <v>0</v>
      </c>
      <c r="CC582" s="4">
        <f t="shared" si="541"/>
        <v>0</v>
      </c>
      <c r="CD582" s="4">
        <f t="shared" si="542"/>
        <v>0</v>
      </c>
      <c r="CE582" s="4">
        <f t="shared" si="543"/>
        <v>0</v>
      </c>
      <c r="CF582" s="4">
        <f t="shared" si="544"/>
        <v>0</v>
      </c>
      <c r="CG582" s="4">
        <f t="shared" si="545"/>
        <v>0</v>
      </c>
      <c r="CH582" s="4">
        <f t="shared" si="546"/>
        <v>0</v>
      </c>
      <c r="CI582" s="4">
        <f t="shared" si="547"/>
        <v>0</v>
      </c>
      <c r="CJ582" s="4">
        <f t="shared" si="548"/>
        <v>0</v>
      </c>
      <c r="CK582" s="4">
        <f t="shared" si="549"/>
        <v>0</v>
      </c>
      <c r="CL582" s="4">
        <f t="shared" si="550"/>
        <v>0</v>
      </c>
      <c r="CM582" s="4">
        <f t="shared" si="551"/>
        <v>0</v>
      </c>
      <c r="CN582" s="4">
        <f t="shared" si="552"/>
        <v>0</v>
      </c>
      <c r="CO582" s="4">
        <f t="shared" si="553"/>
        <v>0</v>
      </c>
      <c r="CP582" s="4">
        <f t="shared" si="554"/>
        <v>0</v>
      </c>
      <c r="CQ582" s="4">
        <f t="shared" si="555"/>
        <v>0</v>
      </c>
      <c r="CR582" s="4">
        <f t="shared" si="556"/>
        <v>0</v>
      </c>
      <c r="CS582" s="4">
        <f t="shared" si="557"/>
        <v>0</v>
      </c>
      <c r="CT582" s="4">
        <f t="shared" si="558"/>
        <v>0</v>
      </c>
      <c r="CU582" s="4">
        <f t="shared" si="559"/>
        <v>0</v>
      </c>
      <c r="CV582" s="4">
        <f t="shared" si="560"/>
        <v>0</v>
      </c>
      <c r="CW582" s="4">
        <f t="shared" si="561"/>
        <v>0</v>
      </c>
      <c r="CX582" s="4">
        <f t="shared" si="562"/>
        <v>0</v>
      </c>
      <c r="CY582" s="4">
        <f t="shared" si="563"/>
        <v>0</v>
      </c>
      <c r="CZ582" s="4">
        <f t="shared" si="564"/>
        <v>0</v>
      </c>
      <c r="DA582" s="4">
        <f t="shared" si="565"/>
        <v>0</v>
      </c>
      <c r="DB582" s="4">
        <f t="shared" si="566"/>
        <v>0</v>
      </c>
      <c r="DC582" s="4">
        <f t="shared" si="567"/>
        <v>0</v>
      </c>
      <c r="DD582" s="4">
        <f t="shared" si="568"/>
        <v>0</v>
      </c>
    </row>
    <row r="583" spans="1:108" x14ac:dyDescent="0.25">
      <c r="A583" s="41" t="str">
        <f>Skills!M565</f>
        <v>Security Operations</v>
      </c>
      <c r="B583" s="57" t="str">
        <f>Skills!N565</f>
        <v>Security Operations</v>
      </c>
      <c r="C583" s="24">
        <f t="shared" ref="C583:C638" si="569">SUM(F583:BD583)</f>
        <v>0</v>
      </c>
      <c r="D583" s="110">
        <f>Skills!S565</f>
        <v>0</v>
      </c>
      <c r="E583" s="111" t="e">
        <f>Profession!B275</f>
        <v>#REF!</v>
      </c>
      <c r="F583" s="18"/>
      <c r="G583" s="18"/>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49"/>
      <c r="BF583" s="4">
        <f t="shared" si="519"/>
        <v>0</v>
      </c>
      <c r="BG583" s="4">
        <f t="shared" si="519"/>
        <v>0</v>
      </c>
      <c r="BH583" s="4">
        <f t="shared" si="520"/>
        <v>0</v>
      </c>
      <c r="BI583" s="4">
        <f t="shared" si="521"/>
        <v>0</v>
      </c>
      <c r="BJ583" s="4">
        <f t="shared" si="522"/>
        <v>0</v>
      </c>
      <c r="BK583" s="4">
        <f t="shared" si="523"/>
        <v>0</v>
      </c>
      <c r="BL583" s="4">
        <f t="shared" si="524"/>
        <v>0</v>
      </c>
      <c r="BM583" s="4">
        <f t="shared" si="525"/>
        <v>0</v>
      </c>
      <c r="BN583" s="4">
        <f t="shared" si="526"/>
        <v>0</v>
      </c>
      <c r="BO583" s="4">
        <f t="shared" si="527"/>
        <v>0</v>
      </c>
      <c r="BP583" s="4">
        <f t="shared" si="528"/>
        <v>0</v>
      </c>
      <c r="BQ583" s="4">
        <f t="shared" si="529"/>
        <v>0</v>
      </c>
      <c r="BR583" s="4">
        <f t="shared" si="530"/>
        <v>0</v>
      </c>
      <c r="BS583" s="4">
        <f t="shared" si="531"/>
        <v>0</v>
      </c>
      <c r="BT583" s="4">
        <f t="shared" si="532"/>
        <v>0</v>
      </c>
      <c r="BU583" s="4">
        <f t="shared" si="533"/>
        <v>0</v>
      </c>
      <c r="BV583" s="4">
        <f t="shared" si="534"/>
        <v>0</v>
      </c>
      <c r="BW583" s="4">
        <f t="shared" si="535"/>
        <v>0</v>
      </c>
      <c r="BX583" s="4">
        <f t="shared" si="536"/>
        <v>0</v>
      </c>
      <c r="BY583" s="4">
        <f t="shared" si="537"/>
        <v>0</v>
      </c>
      <c r="BZ583" s="4">
        <f t="shared" si="538"/>
        <v>0</v>
      </c>
      <c r="CA583" s="4">
        <f t="shared" si="539"/>
        <v>0</v>
      </c>
      <c r="CB583" s="4">
        <f t="shared" si="540"/>
        <v>0</v>
      </c>
      <c r="CC583" s="4">
        <f t="shared" si="541"/>
        <v>0</v>
      </c>
      <c r="CD583" s="4">
        <f t="shared" si="542"/>
        <v>0</v>
      </c>
      <c r="CE583" s="4">
        <f t="shared" si="543"/>
        <v>0</v>
      </c>
      <c r="CF583" s="4">
        <f t="shared" si="544"/>
        <v>0</v>
      </c>
      <c r="CG583" s="4">
        <f t="shared" si="545"/>
        <v>0</v>
      </c>
      <c r="CH583" s="4">
        <f t="shared" si="546"/>
        <v>0</v>
      </c>
      <c r="CI583" s="4">
        <f t="shared" si="547"/>
        <v>0</v>
      </c>
      <c r="CJ583" s="4">
        <f t="shared" si="548"/>
        <v>0</v>
      </c>
      <c r="CK583" s="4">
        <f t="shared" si="549"/>
        <v>0</v>
      </c>
      <c r="CL583" s="4">
        <f t="shared" si="550"/>
        <v>0</v>
      </c>
      <c r="CM583" s="4">
        <f t="shared" si="551"/>
        <v>0</v>
      </c>
      <c r="CN583" s="4">
        <f t="shared" si="552"/>
        <v>0</v>
      </c>
      <c r="CO583" s="4">
        <f t="shared" si="553"/>
        <v>0</v>
      </c>
      <c r="CP583" s="4">
        <f t="shared" si="554"/>
        <v>0</v>
      </c>
      <c r="CQ583" s="4">
        <f t="shared" si="555"/>
        <v>0</v>
      </c>
      <c r="CR583" s="4">
        <f t="shared" si="556"/>
        <v>0</v>
      </c>
      <c r="CS583" s="4">
        <f t="shared" si="557"/>
        <v>0</v>
      </c>
      <c r="CT583" s="4">
        <f t="shared" si="558"/>
        <v>0</v>
      </c>
      <c r="CU583" s="4">
        <f t="shared" si="559"/>
        <v>0</v>
      </c>
      <c r="CV583" s="4">
        <f t="shared" si="560"/>
        <v>0</v>
      </c>
      <c r="CW583" s="4">
        <f t="shared" si="561"/>
        <v>0</v>
      </c>
      <c r="CX583" s="4">
        <f t="shared" si="562"/>
        <v>0</v>
      </c>
      <c r="CY583" s="4">
        <f t="shared" si="563"/>
        <v>0</v>
      </c>
      <c r="CZ583" s="4">
        <f t="shared" si="564"/>
        <v>0</v>
      </c>
      <c r="DA583" s="4">
        <f t="shared" si="565"/>
        <v>0</v>
      </c>
      <c r="DB583" s="4">
        <f t="shared" si="566"/>
        <v>0</v>
      </c>
      <c r="DC583" s="4">
        <f t="shared" si="567"/>
        <v>0</v>
      </c>
      <c r="DD583" s="4">
        <f t="shared" si="568"/>
        <v>0</v>
      </c>
    </row>
    <row r="584" spans="1:108" x14ac:dyDescent="0.25">
      <c r="A584" s="41" t="str">
        <f>Skills!M566</f>
        <v>Traps</v>
      </c>
      <c r="B584" s="55" t="str">
        <f>Skills!N566</f>
        <v>Traps</v>
      </c>
      <c r="C584" s="22">
        <f t="shared" si="569"/>
        <v>0</v>
      </c>
      <c r="D584" s="112">
        <f>Skills!S566</f>
        <v>0</v>
      </c>
      <c r="E584" s="113" t="e">
        <f>Profession!B276</f>
        <v>#REF!</v>
      </c>
      <c r="F584" s="19"/>
      <c r="G584" s="19"/>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56"/>
      <c r="BF584" s="4">
        <f t="shared" si="519"/>
        <v>0</v>
      </c>
      <c r="BG584" s="4">
        <f t="shared" si="519"/>
        <v>0</v>
      </c>
      <c r="BH584" s="4">
        <f t="shared" si="520"/>
        <v>0</v>
      </c>
      <c r="BI584" s="4">
        <f t="shared" si="521"/>
        <v>0</v>
      </c>
      <c r="BJ584" s="4">
        <f t="shared" si="522"/>
        <v>0</v>
      </c>
      <c r="BK584" s="4">
        <f t="shared" si="523"/>
        <v>0</v>
      </c>
      <c r="BL584" s="4">
        <f t="shared" si="524"/>
        <v>0</v>
      </c>
      <c r="BM584" s="4">
        <f t="shared" si="525"/>
        <v>0</v>
      </c>
      <c r="BN584" s="4">
        <f t="shared" si="526"/>
        <v>0</v>
      </c>
      <c r="BO584" s="4">
        <f t="shared" si="527"/>
        <v>0</v>
      </c>
      <c r="BP584" s="4">
        <f t="shared" si="528"/>
        <v>0</v>
      </c>
      <c r="BQ584" s="4">
        <f t="shared" si="529"/>
        <v>0</v>
      </c>
      <c r="BR584" s="4">
        <f t="shared" si="530"/>
        <v>0</v>
      </c>
      <c r="BS584" s="4">
        <f t="shared" si="531"/>
        <v>0</v>
      </c>
      <c r="BT584" s="4">
        <f t="shared" si="532"/>
        <v>0</v>
      </c>
      <c r="BU584" s="4">
        <f t="shared" si="533"/>
        <v>0</v>
      </c>
      <c r="BV584" s="4">
        <f t="shared" si="534"/>
        <v>0</v>
      </c>
      <c r="BW584" s="4">
        <f t="shared" si="535"/>
        <v>0</v>
      </c>
      <c r="BX584" s="4">
        <f t="shared" si="536"/>
        <v>0</v>
      </c>
      <c r="BY584" s="4">
        <f t="shared" si="537"/>
        <v>0</v>
      </c>
      <c r="BZ584" s="4">
        <f t="shared" si="538"/>
        <v>0</v>
      </c>
      <c r="CA584" s="4">
        <f t="shared" si="539"/>
        <v>0</v>
      </c>
      <c r="CB584" s="4">
        <f t="shared" si="540"/>
        <v>0</v>
      </c>
      <c r="CC584" s="4">
        <f t="shared" si="541"/>
        <v>0</v>
      </c>
      <c r="CD584" s="4">
        <f t="shared" si="542"/>
        <v>0</v>
      </c>
      <c r="CE584" s="4">
        <f t="shared" si="543"/>
        <v>0</v>
      </c>
      <c r="CF584" s="4">
        <f t="shared" si="544"/>
        <v>0</v>
      </c>
      <c r="CG584" s="4">
        <f t="shared" si="545"/>
        <v>0</v>
      </c>
      <c r="CH584" s="4">
        <f t="shared" si="546"/>
        <v>0</v>
      </c>
      <c r="CI584" s="4">
        <f t="shared" si="547"/>
        <v>0</v>
      </c>
      <c r="CJ584" s="4">
        <f t="shared" si="548"/>
        <v>0</v>
      </c>
      <c r="CK584" s="4">
        <f t="shared" si="549"/>
        <v>0</v>
      </c>
      <c r="CL584" s="4">
        <f t="shared" si="550"/>
        <v>0</v>
      </c>
      <c r="CM584" s="4">
        <f t="shared" si="551"/>
        <v>0</v>
      </c>
      <c r="CN584" s="4">
        <f t="shared" si="552"/>
        <v>0</v>
      </c>
      <c r="CO584" s="4">
        <f t="shared" si="553"/>
        <v>0</v>
      </c>
      <c r="CP584" s="4">
        <f t="shared" si="554"/>
        <v>0</v>
      </c>
      <c r="CQ584" s="4">
        <f t="shared" si="555"/>
        <v>0</v>
      </c>
      <c r="CR584" s="4">
        <f t="shared" si="556"/>
        <v>0</v>
      </c>
      <c r="CS584" s="4">
        <f t="shared" si="557"/>
        <v>0</v>
      </c>
      <c r="CT584" s="4">
        <f t="shared" si="558"/>
        <v>0</v>
      </c>
      <c r="CU584" s="4">
        <f t="shared" si="559"/>
        <v>0</v>
      </c>
      <c r="CV584" s="4">
        <f t="shared" si="560"/>
        <v>0</v>
      </c>
      <c r="CW584" s="4">
        <f t="shared" si="561"/>
        <v>0</v>
      </c>
      <c r="CX584" s="4">
        <f t="shared" si="562"/>
        <v>0</v>
      </c>
      <c r="CY584" s="4">
        <f t="shared" si="563"/>
        <v>0</v>
      </c>
      <c r="CZ584" s="4">
        <f t="shared" si="564"/>
        <v>0</v>
      </c>
      <c r="DA584" s="4">
        <f t="shared" si="565"/>
        <v>0</v>
      </c>
      <c r="DB584" s="4">
        <f t="shared" si="566"/>
        <v>0</v>
      </c>
      <c r="DC584" s="4">
        <f t="shared" si="567"/>
        <v>0</v>
      </c>
      <c r="DD584" s="4">
        <f t="shared" si="568"/>
        <v>0</v>
      </c>
    </row>
    <row r="585" spans="1:108" x14ac:dyDescent="0.25">
      <c r="A585" s="41" t="str">
        <f>Skills!M567</f>
        <v>Vehicle Body Repair</v>
      </c>
      <c r="B585" s="57" t="str">
        <f>Skills!N567</f>
        <v>Vehicle Body Repair</v>
      </c>
      <c r="C585" s="24">
        <f t="shared" si="569"/>
        <v>0</v>
      </c>
      <c r="D585" s="110">
        <f>Skills!S567</f>
        <v>0</v>
      </c>
      <c r="E585" s="111" t="e">
        <f>Profession!B277</f>
        <v>#REF!</v>
      </c>
      <c r="F585" s="18"/>
      <c r="G585" s="18"/>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49"/>
      <c r="BF585" s="4">
        <f t="shared" si="519"/>
        <v>0</v>
      </c>
      <c r="BG585" s="4">
        <f t="shared" si="519"/>
        <v>0</v>
      </c>
      <c r="BH585" s="4">
        <f t="shared" si="520"/>
        <v>0</v>
      </c>
      <c r="BI585" s="4">
        <f t="shared" si="521"/>
        <v>0</v>
      </c>
      <c r="BJ585" s="4">
        <f t="shared" si="522"/>
        <v>0</v>
      </c>
      <c r="BK585" s="4">
        <f t="shared" si="523"/>
        <v>0</v>
      </c>
      <c r="BL585" s="4">
        <f t="shared" si="524"/>
        <v>0</v>
      </c>
      <c r="BM585" s="4">
        <f t="shared" si="525"/>
        <v>0</v>
      </c>
      <c r="BN585" s="4">
        <f t="shared" si="526"/>
        <v>0</v>
      </c>
      <c r="BO585" s="4">
        <f t="shared" si="527"/>
        <v>0</v>
      </c>
      <c r="BP585" s="4">
        <f t="shared" si="528"/>
        <v>0</v>
      </c>
      <c r="BQ585" s="4">
        <f t="shared" si="529"/>
        <v>0</v>
      </c>
      <c r="BR585" s="4">
        <f t="shared" si="530"/>
        <v>0</v>
      </c>
      <c r="BS585" s="4">
        <f t="shared" si="531"/>
        <v>0</v>
      </c>
      <c r="BT585" s="4">
        <f t="shared" si="532"/>
        <v>0</v>
      </c>
      <c r="BU585" s="4">
        <f t="shared" si="533"/>
        <v>0</v>
      </c>
      <c r="BV585" s="4">
        <f t="shared" si="534"/>
        <v>0</v>
      </c>
      <c r="BW585" s="4">
        <f t="shared" si="535"/>
        <v>0</v>
      </c>
      <c r="BX585" s="4">
        <f t="shared" si="536"/>
        <v>0</v>
      </c>
      <c r="BY585" s="4">
        <f t="shared" si="537"/>
        <v>0</v>
      </c>
      <c r="BZ585" s="4">
        <f t="shared" si="538"/>
        <v>0</v>
      </c>
      <c r="CA585" s="4">
        <f t="shared" si="539"/>
        <v>0</v>
      </c>
      <c r="CB585" s="4">
        <f t="shared" si="540"/>
        <v>0</v>
      </c>
      <c r="CC585" s="4">
        <f t="shared" si="541"/>
        <v>0</v>
      </c>
      <c r="CD585" s="4">
        <f t="shared" si="542"/>
        <v>0</v>
      </c>
      <c r="CE585" s="4">
        <f t="shared" si="543"/>
        <v>0</v>
      </c>
      <c r="CF585" s="4">
        <f t="shared" si="544"/>
        <v>0</v>
      </c>
      <c r="CG585" s="4">
        <f t="shared" si="545"/>
        <v>0</v>
      </c>
      <c r="CH585" s="4">
        <f t="shared" si="546"/>
        <v>0</v>
      </c>
      <c r="CI585" s="4">
        <f t="shared" si="547"/>
        <v>0</v>
      </c>
      <c r="CJ585" s="4">
        <f t="shared" si="548"/>
        <v>0</v>
      </c>
      <c r="CK585" s="4">
        <f t="shared" si="549"/>
        <v>0</v>
      </c>
      <c r="CL585" s="4">
        <f t="shared" si="550"/>
        <v>0</v>
      </c>
      <c r="CM585" s="4">
        <f t="shared" si="551"/>
        <v>0</v>
      </c>
      <c r="CN585" s="4">
        <f t="shared" si="552"/>
        <v>0</v>
      </c>
      <c r="CO585" s="4">
        <f t="shared" si="553"/>
        <v>0</v>
      </c>
      <c r="CP585" s="4">
        <f t="shared" si="554"/>
        <v>0</v>
      </c>
      <c r="CQ585" s="4">
        <f t="shared" si="555"/>
        <v>0</v>
      </c>
      <c r="CR585" s="4">
        <f t="shared" si="556"/>
        <v>0</v>
      </c>
      <c r="CS585" s="4">
        <f t="shared" si="557"/>
        <v>0</v>
      </c>
      <c r="CT585" s="4">
        <f t="shared" si="558"/>
        <v>0</v>
      </c>
      <c r="CU585" s="4">
        <f t="shared" si="559"/>
        <v>0</v>
      </c>
      <c r="CV585" s="4">
        <f t="shared" si="560"/>
        <v>0</v>
      </c>
      <c r="CW585" s="4">
        <f t="shared" si="561"/>
        <v>0</v>
      </c>
      <c r="CX585" s="4">
        <f t="shared" si="562"/>
        <v>0</v>
      </c>
      <c r="CY585" s="4">
        <f t="shared" si="563"/>
        <v>0</v>
      </c>
      <c r="CZ585" s="4">
        <f t="shared" si="564"/>
        <v>0</v>
      </c>
      <c r="DA585" s="4">
        <f t="shared" si="565"/>
        <v>0</v>
      </c>
      <c r="DB585" s="4">
        <f t="shared" si="566"/>
        <v>0</v>
      </c>
      <c r="DC585" s="4">
        <f t="shared" si="567"/>
        <v>0</v>
      </c>
      <c r="DD585" s="4">
        <f t="shared" si="568"/>
        <v>0</v>
      </c>
    </row>
    <row r="586" spans="1:108" x14ac:dyDescent="0.25">
      <c r="A586" s="41">
        <f>Skills!M568</f>
        <v>0</v>
      </c>
      <c r="B586" s="55" t="str">
        <f>Skills!N568</f>
        <v>Armour Repair Sub-category</v>
      </c>
      <c r="C586" s="22">
        <f t="shared" si="569"/>
        <v>0</v>
      </c>
      <c r="D586" s="112" t="str">
        <f>Skills!S568</f>
        <v>- -</v>
      </c>
      <c r="E586" s="113" t="s">
        <v>782</v>
      </c>
      <c r="F586" s="19"/>
      <c r="G586" s="19"/>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56"/>
      <c r="BF586" s="4">
        <f t="shared" si="519"/>
        <v>0</v>
      </c>
      <c r="BG586" s="4">
        <f t="shared" si="519"/>
        <v>0</v>
      </c>
      <c r="BH586" s="4">
        <f t="shared" si="520"/>
        <v>0</v>
      </c>
      <c r="BI586" s="4">
        <f t="shared" si="521"/>
        <v>0</v>
      </c>
      <c r="BJ586" s="4">
        <f t="shared" si="522"/>
        <v>0</v>
      </c>
      <c r="BK586" s="4">
        <f t="shared" si="523"/>
        <v>0</v>
      </c>
      <c r="BL586" s="4">
        <f t="shared" si="524"/>
        <v>0</v>
      </c>
      <c r="BM586" s="4">
        <f t="shared" si="525"/>
        <v>0</v>
      </c>
      <c r="BN586" s="4">
        <f t="shared" si="526"/>
        <v>0</v>
      </c>
      <c r="BO586" s="4">
        <f t="shared" si="527"/>
        <v>0</v>
      </c>
      <c r="BP586" s="4">
        <f t="shared" si="528"/>
        <v>0</v>
      </c>
      <c r="BQ586" s="4">
        <f t="shared" si="529"/>
        <v>0</v>
      </c>
      <c r="BR586" s="4">
        <f t="shared" si="530"/>
        <v>0</v>
      </c>
      <c r="BS586" s="4">
        <f t="shared" si="531"/>
        <v>0</v>
      </c>
      <c r="BT586" s="4">
        <f t="shared" si="532"/>
        <v>0</v>
      </c>
      <c r="BU586" s="4">
        <f t="shared" si="533"/>
        <v>0</v>
      </c>
      <c r="BV586" s="4">
        <f t="shared" si="534"/>
        <v>0</v>
      </c>
      <c r="BW586" s="4">
        <f t="shared" si="535"/>
        <v>0</v>
      </c>
      <c r="BX586" s="4">
        <f t="shared" si="536"/>
        <v>0</v>
      </c>
      <c r="BY586" s="4">
        <f t="shared" si="537"/>
        <v>0</v>
      </c>
      <c r="BZ586" s="4">
        <f t="shared" si="538"/>
        <v>0</v>
      </c>
      <c r="CA586" s="4">
        <f t="shared" si="539"/>
        <v>0</v>
      </c>
      <c r="CB586" s="4">
        <f t="shared" si="540"/>
        <v>0</v>
      </c>
      <c r="CC586" s="4">
        <f t="shared" si="541"/>
        <v>0</v>
      </c>
      <c r="CD586" s="4">
        <f t="shared" si="542"/>
        <v>0</v>
      </c>
      <c r="CE586" s="4">
        <f t="shared" si="543"/>
        <v>0</v>
      </c>
      <c r="CF586" s="4">
        <f t="shared" si="544"/>
        <v>0</v>
      </c>
      <c r="CG586" s="4">
        <f t="shared" si="545"/>
        <v>0</v>
      </c>
      <c r="CH586" s="4">
        <f t="shared" si="546"/>
        <v>0</v>
      </c>
      <c r="CI586" s="4">
        <f t="shared" si="547"/>
        <v>0</v>
      </c>
      <c r="CJ586" s="4">
        <f t="shared" si="548"/>
        <v>0</v>
      </c>
      <c r="CK586" s="4">
        <f t="shared" si="549"/>
        <v>0</v>
      </c>
      <c r="CL586" s="4">
        <f t="shared" si="550"/>
        <v>0</v>
      </c>
      <c r="CM586" s="4">
        <f t="shared" si="551"/>
        <v>0</v>
      </c>
      <c r="CN586" s="4">
        <f t="shared" si="552"/>
        <v>0</v>
      </c>
      <c r="CO586" s="4">
        <f t="shared" si="553"/>
        <v>0</v>
      </c>
      <c r="CP586" s="4">
        <f t="shared" si="554"/>
        <v>0</v>
      </c>
      <c r="CQ586" s="4">
        <f t="shared" si="555"/>
        <v>0</v>
      </c>
      <c r="CR586" s="4">
        <f t="shared" si="556"/>
        <v>0</v>
      </c>
      <c r="CS586" s="4">
        <f t="shared" si="557"/>
        <v>0</v>
      </c>
      <c r="CT586" s="4">
        <f t="shared" si="558"/>
        <v>0</v>
      </c>
      <c r="CU586" s="4">
        <f t="shared" si="559"/>
        <v>0</v>
      </c>
      <c r="CV586" s="4">
        <f t="shared" si="560"/>
        <v>0</v>
      </c>
      <c r="CW586" s="4">
        <f t="shared" si="561"/>
        <v>0</v>
      </c>
      <c r="CX586" s="4">
        <f t="shared" si="562"/>
        <v>0</v>
      </c>
      <c r="CY586" s="4">
        <f t="shared" si="563"/>
        <v>0</v>
      </c>
      <c r="CZ586" s="4">
        <f t="shared" si="564"/>
        <v>0</v>
      </c>
      <c r="DA586" s="4">
        <f t="shared" si="565"/>
        <v>0</v>
      </c>
      <c r="DB586" s="4">
        <f t="shared" si="566"/>
        <v>0</v>
      </c>
      <c r="DC586" s="4">
        <f t="shared" si="567"/>
        <v>0</v>
      </c>
      <c r="DD586" s="4">
        <f t="shared" si="568"/>
        <v>0</v>
      </c>
    </row>
    <row r="587" spans="1:108" x14ac:dyDescent="0.25">
      <c r="A587" s="41">
        <f>Skills!M569</f>
        <v>0</v>
      </c>
      <c r="B587" s="57" t="str">
        <f>Skills!N569</f>
        <v>Armour Repair Skills</v>
      </c>
      <c r="C587" s="24">
        <f t="shared" si="569"/>
        <v>0</v>
      </c>
      <c r="D587" s="110" t="str">
        <f>Skills!S569</f>
        <v>- -</v>
      </c>
      <c r="E587" s="111" t="s">
        <v>782</v>
      </c>
      <c r="F587" s="18"/>
      <c r="G587" s="18"/>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49"/>
      <c r="BF587" s="4">
        <f t="shared" si="519"/>
        <v>0</v>
      </c>
      <c r="BG587" s="4">
        <f t="shared" si="519"/>
        <v>0</v>
      </c>
      <c r="BH587" s="4">
        <f t="shared" si="520"/>
        <v>0</v>
      </c>
      <c r="BI587" s="4">
        <f t="shared" si="521"/>
        <v>0</v>
      </c>
      <c r="BJ587" s="4">
        <f t="shared" si="522"/>
        <v>0</v>
      </c>
      <c r="BK587" s="4">
        <f t="shared" si="523"/>
        <v>0</v>
      </c>
      <c r="BL587" s="4">
        <f t="shared" si="524"/>
        <v>0</v>
      </c>
      <c r="BM587" s="4">
        <f t="shared" si="525"/>
        <v>0</v>
      </c>
      <c r="BN587" s="4">
        <f t="shared" si="526"/>
        <v>0</v>
      </c>
      <c r="BO587" s="4">
        <f t="shared" si="527"/>
        <v>0</v>
      </c>
      <c r="BP587" s="4">
        <f t="shared" si="528"/>
        <v>0</v>
      </c>
      <c r="BQ587" s="4">
        <f t="shared" si="529"/>
        <v>0</v>
      </c>
      <c r="BR587" s="4">
        <f t="shared" si="530"/>
        <v>0</v>
      </c>
      <c r="BS587" s="4">
        <f t="shared" si="531"/>
        <v>0</v>
      </c>
      <c r="BT587" s="4">
        <f t="shared" si="532"/>
        <v>0</v>
      </c>
      <c r="BU587" s="4">
        <f t="shared" si="533"/>
        <v>0</v>
      </c>
      <c r="BV587" s="4">
        <f t="shared" si="534"/>
        <v>0</v>
      </c>
      <c r="BW587" s="4">
        <f t="shared" si="535"/>
        <v>0</v>
      </c>
      <c r="BX587" s="4">
        <f t="shared" si="536"/>
        <v>0</v>
      </c>
      <c r="BY587" s="4">
        <f t="shared" si="537"/>
        <v>0</v>
      </c>
      <c r="BZ587" s="4">
        <f t="shared" si="538"/>
        <v>0</v>
      </c>
      <c r="CA587" s="4">
        <f t="shared" si="539"/>
        <v>0</v>
      </c>
      <c r="CB587" s="4">
        <f t="shared" si="540"/>
        <v>0</v>
      </c>
      <c r="CC587" s="4">
        <f t="shared" si="541"/>
        <v>0</v>
      </c>
      <c r="CD587" s="4">
        <f t="shared" si="542"/>
        <v>0</v>
      </c>
      <c r="CE587" s="4">
        <f t="shared" si="543"/>
        <v>0</v>
      </c>
      <c r="CF587" s="4">
        <f t="shared" si="544"/>
        <v>0</v>
      </c>
      <c r="CG587" s="4">
        <f t="shared" si="545"/>
        <v>0</v>
      </c>
      <c r="CH587" s="4">
        <f t="shared" si="546"/>
        <v>0</v>
      </c>
      <c r="CI587" s="4">
        <f t="shared" si="547"/>
        <v>0</v>
      </c>
      <c r="CJ587" s="4">
        <f t="shared" si="548"/>
        <v>0</v>
      </c>
      <c r="CK587" s="4">
        <f t="shared" si="549"/>
        <v>0</v>
      </c>
      <c r="CL587" s="4">
        <f t="shared" si="550"/>
        <v>0</v>
      </c>
      <c r="CM587" s="4">
        <f t="shared" si="551"/>
        <v>0</v>
      </c>
      <c r="CN587" s="4">
        <f t="shared" si="552"/>
        <v>0</v>
      </c>
      <c r="CO587" s="4">
        <f t="shared" si="553"/>
        <v>0</v>
      </c>
      <c r="CP587" s="4">
        <f t="shared" si="554"/>
        <v>0</v>
      </c>
      <c r="CQ587" s="4">
        <f t="shared" si="555"/>
        <v>0</v>
      </c>
      <c r="CR587" s="4">
        <f t="shared" si="556"/>
        <v>0</v>
      </c>
      <c r="CS587" s="4">
        <f t="shared" si="557"/>
        <v>0</v>
      </c>
      <c r="CT587" s="4">
        <f t="shared" si="558"/>
        <v>0</v>
      </c>
      <c r="CU587" s="4">
        <f t="shared" si="559"/>
        <v>0</v>
      </c>
      <c r="CV587" s="4">
        <f t="shared" si="560"/>
        <v>0</v>
      </c>
      <c r="CW587" s="4">
        <f t="shared" si="561"/>
        <v>0</v>
      </c>
      <c r="CX587" s="4">
        <f t="shared" si="562"/>
        <v>0</v>
      </c>
      <c r="CY587" s="4">
        <f t="shared" si="563"/>
        <v>0</v>
      </c>
      <c r="CZ587" s="4">
        <f t="shared" si="564"/>
        <v>0</v>
      </c>
      <c r="DA587" s="4">
        <f t="shared" si="565"/>
        <v>0</v>
      </c>
      <c r="DB587" s="4">
        <f t="shared" si="566"/>
        <v>0</v>
      </c>
      <c r="DC587" s="4">
        <f t="shared" si="567"/>
        <v>0</v>
      </c>
      <c r="DD587" s="4">
        <f t="shared" si="568"/>
        <v>0</v>
      </c>
    </row>
    <row r="588" spans="1:108" x14ac:dyDescent="0.25">
      <c r="A588" s="41" t="str">
        <f>Skills!M570</f>
        <v>Repair, Leather Armour</v>
      </c>
      <c r="B588" s="55" t="str">
        <f>Skills!N570</f>
        <v>Leather Armour</v>
      </c>
      <c r="C588" s="22">
        <f t="shared" si="569"/>
        <v>0</v>
      </c>
      <c r="D588" s="112" t="e">
        <f>Skills!S570</f>
        <v>#N/A</v>
      </c>
      <c r="E588" s="113" t="e">
        <f>Profession!$B$278</f>
        <v>#REF!</v>
      </c>
      <c r="F588" s="19"/>
      <c r="G588" s="19"/>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56"/>
      <c r="BF588" s="4">
        <f t="shared" si="519"/>
        <v>0</v>
      </c>
      <c r="BG588" s="4">
        <f t="shared" si="519"/>
        <v>0</v>
      </c>
      <c r="BH588" s="4">
        <f t="shared" si="520"/>
        <v>0</v>
      </c>
      <c r="BI588" s="4">
        <f t="shared" si="521"/>
        <v>0</v>
      </c>
      <c r="BJ588" s="4">
        <f t="shared" si="522"/>
        <v>0</v>
      </c>
      <c r="BK588" s="4">
        <f t="shared" si="523"/>
        <v>0</v>
      </c>
      <c r="BL588" s="4">
        <f t="shared" si="524"/>
        <v>0</v>
      </c>
      <c r="BM588" s="4">
        <f t="shared" si="525"/>
        <v>0</v>
      </c>
      <c r="BN588" s="4">
        <f t="shared" si="526"/>
        <v>0</v>
      </c>
      <c r="BO588" s="4">
        <f t="shared" si="527"/>
        <v>0</v>
      </c>
      <c r="BP588" s="4">
        <f t="shared" si="528"/>
        <v>0</v>
      </c>
      <c r="BQ588" s="4">
        <f t="shared" si="529"/>
        <v>0</v>
      </c>
      <c r="BR588" s="4">
        <f t="shared" si="530"/>
        <v>0</v>
      </c>
      <c r="BS588" s="4">
        <f t="shared" si="531"/>
        <v>0</v>
      </c>
      <c r="BT588" s="4">
        <f t="shared" si="532"/>
        <v>0</v>
      </c>
      <c r="BU588" s="4">
        <f t="shared" si="533"/>
        <v>0</v>
      </c>
      <c r="BV588" s="4">
        <f t="shared" si="534"/>
        <v>0</v>
      </c>
      <c r="BW588" s="4">
        <f t="shared" si="535"/>
        <v>0</v>
      </c>
      <c r="BX588" s="4">
        <f t="shared" si="536"/>
        <v>0</v>
      </c>
      <c r="BY588" s="4">
        <f t="shared" si="537"/>
        <v>0</v>
      </c>
      <c r="BZ588" s="4">
        <f t="shared" si="538"/>
        <v>0</v>
      </c>
      <c r="CA588" s="4">
        <f t="shared" si="539"/>
        <v>0</v>
      </c>
      <c r="CB588" s="4">
        <f t="shared" si="540"/>
        <v>0</v>
      </c>
      <c r="CC588" s="4">
        <f t="shared" si="541"/>
        <v>0</v>
      </c>
      <c r="CD588" s="4">
        <f t="shared" si="542"/>
        <v>0</v>
      </c>
      <c r="CE588" s="4">
        <f t="shared" si="543"/>
        <v>0</v>
      </c>
      <c r="CF588" s="4">
        <f t="shared" si="544"/>
        <v>0</v>
      </c>
      <c r="CG588" s="4">
        <f t="shared" si="545"/>
        <v>0</v>
      </c>
      <c r="CH588" s="4">
        <f t="shared" si="546"/>
        <v>0</v>
      </c>
      <c r="CI588" s="4">
        <f t="shared" si="547"/>
        <v>0</v>
      </c>
      <c r="CJ588" s="4">
        <f t="shared" si="548"/>
        <v>0</v>
      </c>
      <c r="CK588" s="4">
        <f t="shared" si="549"/>
        <v>0</v>
      </c>
      <c r="CL588" s="4">
        <f t="shared" si="550"/>
        <v>0</v>
      </c>
      <c r="CM588" s="4">
        <f t="shared" si="551"/>
        <v>0</v>
      </c>
      <c r="CN588" s="4">
        <f t="shared" si="552"/>
        <v>0</v>
      </c>
      <c r="CO588" s="4">
        <f t="shared" si="553"/>
        <v>0</v>
      </c>
      <c r="CP588" s="4">
        <f t="shared" si="554"/>
        <v>0</v>
      </c>
      <c r="CQ588" s="4">
        <f t="shared" si="555"/>
        <v>0</v>
      </c>
      <c r="CR588" s="4">
        <f t="shared" si="556"/>
        <v>0</v>
      </c>
      <c r="CS588" s="4">
        <f t="shared" si="557"/>
        <v>0</v>
      </c>
      <c r="CT588" s="4">
        <f t="shared" si="558"/>
        <v>0</v>
      </c>
      <c r="CU588" s="4">
        <f t="shared" si="559"/>
        <v>0</v>
      </c>
      <c r="CV588" s="4">
        <f t="shared" si="560"/>
        <v>0</v>
      </c>
      <c r="CW588" s="4">
        <f t="shared" si="561"/>
        <v>0</v>
      </c>
      <c r="CX588" s="4">
        <f t="shared" si="562"/>
        <v>0</v>
      </c>
      <c r="CY588" s="4">
        <f t="shared" si="563"/>
        <v>0</v>
      </c>
      <c r="CZ588" s="4">
        <f t="shared" si="564"/>
        <v>0</v>
      </c>
      <c r="DA588" s="4">
        <f t="shared" si="565"/>
        <v>0</v>
      </c>
      <c r="DB588" s="4">
        <f t="shared" si="566"/>
        <v>0</v>
      </c>
      <c r="DC588" s="4">
        <f t="shared" si="567"/>
        <v>0</v>
      </c>
      <c r="DD588" s="4">
        <f t="shared" si="568"/>
        <v>0</v>
      </c>
    </row>
    <row r="589" spans="1:108" x14ac:dyDescent="0.25">
      <c r="A589" s="41" t="str">
        <f>Skills!M571</f>
        <v>Repair, Metal Armour</v>
      </c>
      <c r="B589" s="57" t="str">
        <f>Skills!N571</f>
        <v>Metal Armour</v>
      </c>
      <c r="C589" s="24">
        <f t="shared" si="569"/>
        <v>0</v>
      </c>
      <c r="D589" s="110" t="e">
        <f>Skills!S571</f>
        <v>#N/A</v>
      </c>
      <c r="E589" s="111" t="e">
        <f>Profession!$B$278</f>
        <v>#REF!</v>
      </c>
      <c r="F589" s="18"/>
      <c r="G589" s="18"/>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49"/>
      <c r="BF589" s="4">
        <f t="shared" si="519"/>
        <v>0</v>
      </c>
      <c r="BG589" s="4">
        <f t="shared" si="519"/>
        <v>0</v>
      </c>
      <c r="BH589" s="4">
        <f t="shared" si="520"/>
        <v>0</v>
      </c>
      <c r="BI589" s="4">
        <f t="shared" si="521"/>
        <v>0</v>
      </c>
      <c r="BJ589" s="4">
        <f t="shared" si="522"/>
        <v>0</v>
      </c>
      <c r="BK589" s="4">
        <f t="shared" si="523"/>
        <v>0</v>
      </c>
      <c r="BL589" s="4">
        <f t="shared" si="524"/>
        <v>0</v>
      </c>
      <c r="BM589" s="4">
        <f t="shared" si="525"/>
        <v>0</v>
      </c>
      <c r="BN589" s="4">
        <f t="shared" si="526"/>
        <v>0</v>
      </c>
      <c r="BO589" s="4">
        <f t="shared" si="527"/>
        <v>0</v>
      </c>
      <c r="BP589" s="4">
        <f t="shared" si="528"/>
        <v>0</v>
      </c>
      <c r="BQ589" s="4">
        <f t="shared" si="529"/>
        <v>0</v>
      </c>
      <c r="BR589" s="4">
        <f t="shared" si="530"/>
        <v>0</v>
      </c>
      <c r="BS589" s="4">
        <f t="shared" si="531"/>
        <v>0</v>
      </c>
      <c r="BT589" s="4">
        <f t="shared" si="532"/>
        <v>0</v>
      </c>
      <c r="BU589" s="4">
        <f t="shared" si="533"/>
        <v>0</v>
      </c>
      <c r="BV589" s="4">
        <f t="shared" si="534"/>
        <v>0</v>
      </c>
      <c r="BW589" s="4">
        <f t="shared" si="535"/>
        <v>0</v>
      </c>
      <c r="BX589" s="4">
        <f t="shared" si="536"/>
        <v>0</v>
      </c>
      <c r="BY589" s="4">
        <f t="shared" si="537"/>
        <v>0</v>
      </c>
      <c r="BZ589" s="4">
        <f t="shared" si="538"/>
        <v>0</v>
      </c>
      <c r="CA589" s="4">
        <f t="shared" si="539"/>
        <v>0</v>
      </c>
      <c r="CB589" s="4">
        <f t="shared" si="540"/>
        <v>0</v>
      </c>
      <c r="CC589" s="4">
        <f t="shared" si="541"/>
        <v>0</v>
      </c>
      <c r="CD589" s="4">
        <f t="shared" si="542"/>
        <v>0</v>
      </c>
      <c r="CE589" s="4">
        <f t="shared" si="543"/>
        <v>0</v>
      </c>
      <c r="CF589" s="4">
        <f t="shared" si="544"/>
        <v>0</v>
      </c>
      <c r="CG589" s="4">
        <f t="shared" si="545"/>
        <v>0</v>
      </c>
      <c r="CH589" s="4">
        <f t="shared" si="546"/>
        <v>0</v>
      </c>
      <c r="CI589" s="4">
        <f t="shared" si="547"/>
        <v>0</v>
      </c>
      <c r="CJ589" s="4">
        <f t="shared" si="548"/>
        <v>0</v>
      </c>
      <c r="CK589" s="4">
        <f t="shared" si="549"/>
        <v>0</v>
      </c>
      <c r="CL589" s="4">
        <f t="shared" si="550"/>
        <v>0</v>
      </c>
      <c r="CM589" s="4">
        <f t="shared" si="551"/>
        <v>0</v>
      </c>
      <c r="CN589" s="4">
        <f t="shared" si="552"/>
        <v>0</v>
      </c>
      <c r="CO589" s="4">
        <f t="shared" si="553"/>
        <v>0</v>
      </c>
      <c r="CP589" s="4">
        <f t="shared" si="554"/>
        <v>0</v>
      </c>
      <c r="CQ589" s="4">
        <f t="shared" si="555"/>
        <v>0</v>
      </c>
      <c r="CR589" s="4">
        <f t="shared" si="556"/>
        <v>0</v>
      </c>
      <c r="CS589" s="4">
        <f t="shared" si="557"/>
        <v>0</v>
      </c>
      <c r="CT589" s="4">
        <f t="shared" si="558"/>
        <v>0</v>
      </c>
      <c r="CU589" s="4">
        <f t="shared" si="559"/>
        <v>0</v>
      </c>
      <c r="CV589" s="4">
        <f t="shared" si="560"/>
        <v>0</v>
      </c>
      <c r="CW589" s="4">
        <f t="shared" si="561"/>
        <v>0</v>
      </c>
      <c r="CX589" s="4">
        <f t="shared" si="562"/>
        <v>0</v>
      </c>
      <c r="CY589" s="4">
        <f t="shared" si="563"/>
        <v>0</v>
      </c>
      <c r="CZ589" s="4">
        <f t="shared" si="564"/>
        <v>0</v>
      </c>
      <c r="DA589" s="4">
        <f t="shared" si="565"/>
        <v>0</v>
      </c>
      <c r="DB589" s="4">
        <f t="shared" si="566"/>
        <v>0</v>
      </c>
      <c r="DC589" s="4">
        <f t="shared" si="567"/>
        <v>0</v>
      </c>
      <c r="DD589" s="4">
        <f t="shared" si="568"/>
        <v>0</v>
      </c>
    </row>
    <row r="590" spans="1:108" x14ac:dyDescent="0.25">
      <c r="A590" s="41">
        <f>Skills!M572</f>
        <v>0</v>
      </c>
      <c r="B590" s="55" t="str">
        <f>Skills!N572</f>
        <v>Criminal Technology Sub-category</v>
      </c>
      <c r="C590" s="22">
        <f t="shared" si="569"/>
        <v>0</v>
      </c>
      <c r="D590" s="112" t="str">
        <f>Skills!S572</f>
        <v>- -</v>
      </c>
      <c r="E590" s="113" t="s">
        <v>782</v>
      </c>
      <c r="F590" s="19"/>
      <c r="G590" s="19"/>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56"/>
      <c r="BF590" s="4">
        <f t="shared" si="519"/>
        <v>0</v>
      </c>
      <c r="BG590" s="4">
        <f t="shared" si="519"/>
        <v>0</v>
      </c>
      <c r="BH590" s="4">
        <f t="shared" si="520"/>
        <v>0</v>
      </c>
      <c r="BI590" s="4">
        <f t="shared" si="521"/>
        <v>0</v>
      </c>
      <c r="BJ590" s="4">
        <f t="shared" si="522"/>
        <v>0</v>
      </c>
      <c r="BK590" s="4">
        <f t="shared" si="523"/>
        <v>0</v>
      </c>
      <c r="BL590" s="4">
        <f t="shared" si="524"/>
        <v>0</v>
      </c>
      <c r="BM590" s="4">
        <f t="shared" si="525"/>
        <v>0</v>
      </c>
      <c r="BN590" s="4">
        <f t="shared" si="526"/>
        <v>0</v>
      </c>
      <c r="BO590" s="4">
        <f t="shared" si="527"/>
        <v>0</v>
      </c>
      <c r="BP590" s="4">
        <f t="shared" si="528"/>
        <v>0</v>
      </c>
      <c r="BQ590" s="4">
        <f t="shared" si="529"/>
        <v>0</v>
      </c>
      <c r="BR590" s="4">
        <f t="shared" si="530"/>
        <v>0</v>
      </c>
      <c r="BS590" s="4">
        <f t="shared" si="531"/>
        <v>0</v>
      </c>
      <c r="BT590" s="4">
        <f t="shared" si="532"/>
        <v>0</v>
      </c>
      <c r="BU590" s="4">
        <f t="shared" si="533"/>
        <v>0</v>
      </c>
      <c r="BV590" s="4">
        <f t="shared" si="534"/>
        <v>0</v>
      </c>
      <c r="BW590" s="4">
        <f t="shared" si="535"/>
        <v>0</v>
      </c>
      <c r="BX590" s="4">
        <f t="shared" si="536"/>
        <v>0</v>
      </c>
      <c r="BY590" s="4">
        <f t="shared" si="537"/>
        <v>0</v>
      </c>
      <c r="BZ590" s="4">
        <f t="shared" si="538"/>
        <v>0</v>
      </c>
      <c r="CA590" s="4">
        <f t="shared" si="539"/>
        <v>0</v>
      </c>
      <c r="CB590" s="4">
        <f t="shared" si="540"/>
        <v>0</v>
      </c>
      <c r="CC590" s="4">
        <f t="shared" si="541"/>
        <v>0</v>
      </c>
      <c r="CD590" s="4">
        <f t="shared" si="542"/>
        <v>0</v>
      </c>
      <c r="CE590" s="4">
        <f t="shared" si="543"/>
        <v>0</v>
      </c>
      <c r="CF590" s="4">
        <f t="shared" si="544"/>
        <v>0</v>
      </c>
      <c r="CG590" s="4">
        <f t="shared" si="545"/>
        <v>0</v>
      </c>
      <c r="CH590" s="4">
        <f t="shared" si="546"/>
        <v>0</v>
      </c>
      <c r="CI590" s="4">
        <f t="shared" si="547"/>
        <v>0</v>
      </c>
      <c r="CJ590" s="4">
        <f t="shared" si="548"/>
        <v>0</v>
      </c>
      <c r="CK590" s="4">
        <f t="shared" si="549"/>
        <v>0</v>
      </c>
      <c r="CL590" s="4">
        <f t="shared" si="550"/>
        <v>0</v>
      </c>
      <c r="CM590" s="4">
        <f t="shared" si="551"/>
        <v>0</v>
      </c>
      <c r="CN590" s="4">
        <f t="shared" si="552"/>
        <v>0</v>
      </c>
      <c r="CO590" s="4">
        <f t="shared" si="553"/>
        <v>0</v>
      </c>
      <c r="CP590" s="4">
        <f t="shared" si="554"/>
        <v>0</v>
      </c>
      <c r="CQ590" s="4">
        <f t="shared" si="555"/>
        <v>0</v>
      </c>
      <c r="CR590" s="4">
        <f t="shared" si="556"/>
        <v>0</v>
      </c>
      <c r="CS590" s="4">
        <f t="shared" si="557"/>
        <v>0</v>
      </c>
      <c r="CT590" s="4">
        <f t="shared" si="558"/>
        <v>0</v>
      </c>
      <c r="CU590" s="4">
        <f t="shared" si="559"/>
        <v>0</v>
      </c>
      <c r="CV590" s="4">
        <f t="shared" si="560"/>
        <v>0</v>
      </c>
      <c r="CW590" s="4">
        <f t="shared" si="561"/>
        <v>0</v>
      </c>
      <c r="CX590" s="4">
        <f t="shared" si="562"/>
        <v>0</v>
      </c>
      <c r="CY590" s="4">
        <f t="shared" si="563"/>
        <v>0</v>
      </c>
      <c r="CZ590" s="4">
        <f t="shared" si="564"/>
        <v>0</v>
      </c>
      <c r="DA590" s="4">
        <f t="shared" si="565"/>
        <v>0</v>
      </c>
      <c r="DB590" s="4">
        <f t="shared" si="566"/>
        <v>0</v>
      </c>
      <c r="DC590" s="4">
        <f t="shared" si="567"/>
        <v>0</v>
      </c>
      <c r="DD590" s="4">
        <f t="shared" si="568"/>
        <v>0</v>
      </c>
    </row>
    <row r="591" spans="1:108" x14ac:dyDescent="0.25">
      <c r="A591" s="41">
        <f>Skills!M573</f>
        <v>0</v>
      </c>
      <c r="B591" s="57" t="str">
        <f>Skills!N573</f>
        <v>Criminal Technology Skills</v>
      </c>
      <c r="C591" s="24">
        <f t="shared" si="569"/>
        <v>0</v>
      </c>
      <c r="D591" s="110" t="str">
        <f>Skills!S573</f>
        <v>- -</v>
      </c>
      <c r="E591" s="111" t="s">
        <v>782</v>
      </c>
      <c r="F591" s="18"/>
      <c r="G591" s="18"/>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49"/>
      <c r="BF591" s="4">
        <f t="shared" si="519"/>
        <v>0</v>
      </c>
      <c r="BG591" s="4">
        <f t="shared" si="519"/>
        <v>0</v>
      </c>
      <c r="BH591" s="4">
        <f t="shared" si="520"/>
        <v>0</v>
      </c>
      <c r="BI591" s="4">
        <f t="shared" si="521"/>
        <v>0</v>
      </c>
      <c r="BJ591" s="4">
        <f t="shared" si="522"/>
        <v>0</v>
      </c>
      <c r="BK591" s="4">
        <f t="shared" si="523"/>
        <v>0</v>
      </c>
      <c r="BL591" s="4">
        <f t="shared" si="524"/>
        <v>0</v>
      </c>
      <c r="BM591" s="4">
        <f t="shared" si="525"/>
        <v>0</v>
      </c>
      <c r="BN591" s="4">
        <f t="shared" si="526"/>
        <v>0</v>
      </c>
      <c r="BO591" s="4">
        <f t="shared" si="527"/>
        <v>0</v>
      </c>
      <c r="BP591" s="4">
        <f t="shared" si="528"/>
        <v>0</v>
      </c>
      <c r="BQ591" s="4">
        <f t="shared" si="529"/>
        <v>0</v>
      </c>
      <c r="BR591" s="4">
        <f t="shared" si="530"/>
        <v>0</v>
      </c>
      <c r="BS591" s="4">
        <f t="shared" si="531"/>
        <v>0</v>
      </c>
      <c r="BT591" s="4">
        <f t="shared" si="532"/>
        <v>0</v>
      </c>
      <c r="BU591" s="4">
        <f t="shared" si="533"/>
        <v>0</v>
      </c>
      <c r="BV591" s="4">
        <f t="shared" si="534"/>
        <v>0</v>
      </c>
      <c r="BW591" s="4">
        <f t="shared" si="535"/>
        <v>0</v>
      </c>
      <c r="BX591" s="4">
        <f t="shared" si="536"/>
        <v>0</v>
      </c>
      <c r="BY591" s="4">
        <f t="shared" si="537"/>
        <v>0</v>
      </c>
      <c r="BZ591" s="4">
        <f t="shared" si="538"/>
        <v>0</v>
      </c>
      <c r="CA591" s="4">
        <f t="shared" si="539"/>
        <v>0</v>
      </c>
      <c r="CB591" s="4">
        <f t="shared" si="540"/>
        <v>0</v>
      </c>
      <c r="CC591" s="4">
        <f t="shared" si="541"/>
        <v>0</v>
      </c>
      <c r="CD591" s="4">
        <f t="shared" si="542"/>
        <v>0</v>
      </c>
      <c r="CE591" s="4">
        <f t="shared" si="543"/>
        <v>0</v>
      </c>
      <c r="CF591" s="4">
        <f t="shared" si="544"/>
        <v>0</v>
      </c>
      <c r="CG591" s="4">
        <f t="shared" si="545"/>
        <v>0</v>
      </c>
      <c r="CH591" s="4">
        <f t="shared" si="546"/>
        <v>0</v>
      </c>
      <c r="CI591" s="4">
        <f t="shared" si="547"/>
        <v>0</v>
      </c>
      <c r="CJ591" s="4">
        <f t="shared" si="548"/>
        <v>0</v>
      </c>
      <c r="CK591" s="4">
        <f t="shared" si="549"/>
        <v>0</v>
      </c>
      <c r="CL591" s="4">
        <f t="shared" si="550"/>
        <v>0</v>
      </c>
      <c r="CM591" s="4">
        <f t="shared" si="551"/>
        <v>0</v>
      </c>
      <c r="CN591" s="4">
        <f t="shared" si="552"/>
        <v>0</v>
      </c>
      <c r="CO591" s="4">
        <f t="shared" si="553"/>
        <v>0</v>
      </c>
      <c r="CP591" s="4">
        <f t="shared" si="554"/>
        <v>0</v>
      </c>
      <c r="CQ591" s="4">
        <f t="shared" si="555"/>
        <v>0</v>
      </c>
      <c r="CR591" s="4">
        <f t="shared" si="556"/>
        <v>0</v>
      </c>
      <c r="CS591" s="4">
        <f t="shared" si="557"/>
        <v>0</v>
      </c>
      <c r="CT591" s="4">
        <f t="shared" si="558"/>
        <v>0</v>
      </c>
      <c r="CU591" s="4">
        <f t="shared" si="559"/>
        <v>0</v>
      </c>
      <c r="CV591" s="4">
        <f t="shared" si="560"/>
        <v>0</v>
      </c>
      <c r="CW591" s="4">
        <f t="shared" si="561"/>
        <v>0</v>
      </c>
      <c r="CX591" s="4">
        <f t="shared" si="562"/>
        <v>0</v>
      </c>
      <c r="CY591" s="4">
        <f t="shared" si="563"/>
        <v>0</v>
      </c>
      <c r="CZ591" s="4">
        <f t="shared" si="564"/>
        <v>0</v>
      </c>
      <c r="DA591" s="4">
        <f t="shared" si="565"/>
        <v>0</v>
      </c>
      <c r="DB591" s="4">
        <f t="shared" si="566"/>
        <v>0</v>
      </c>
      <c r="DC591" s="4">
        <f t="shared" si="567"/>
        <v>0</v>
      </c>
      <c r="DD591" s="4">
        <f t="shared" si="568"/>
        <v>0</v>
      </c>
    </row>
    <row r="592" spans="1:108" x14ac:dyDescent="0.25">
      <c r="A592" s="41" t="str">
        <f>Skills!M574</f>
        <v>Counterfeiting Technics</v>
      </c>
      <c r="B592" s="55" t="str">
        <f>Skills!N574</f>
        <v>Counterfeiting Technics</v>
      </c>
      <c r="C592" s="22">
        <f t="shared" si="569"/>
        <v>0</v>
      </c>
      <c r="D592" s="112" t="e">
        <f ca="1">Skills!S574</f>
        <v>#N/A</v>
      </c>
      <c r="E592" s="113" t="e">
        <f>Profession!$B$279</f>
        <v>#REF!</v>
      </c>
      <c r="F592" s="19"/>
      <c r="G592" s="19"/>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56"/>
      <c r="BF592" s="4">
        <f t="shared" si="519"/>
        <v>0</v>
      </c>
      <c r="BG592" s="4">
        <f t="shared" si="519"/>
        <v>0</v>
      </c>
      <c r="BH592" s="4">
        <f t="shared" si="520"/>
        <v>0</v>
      </c>
      <c r="BI592" s="4">
        <f t="shared" si="521"/>
        <v>0</v>
      </c>
      <c r="BJ592" s="4">
        <f t="shared" si="522"/>
        <v>0</v>
      </c>
      <c r="BK592" s="4">
        <f t="shared" si="523"/>
        <v>0</v>
      </c>
      <c r="BL592" s="4">
        <f t="shared" si="524"/>
        <v>0</v>
      </c>
      <c r="BM592" s="4">
        <f t="shared" si="525"/>
        <v>0</v>
      </c>
      <c r="BN592" s="4">
        <f t="shared" si="526"/>
        <v>0</v>
      </c>
      <c r="BO592" s="4">
        <f t="shared" si="527"/>
        <v>0</v>
      </c>
      <c r="BP592" s="4">
        <f t="shared" si="528"/>
        <v>0</v>
      </c>
      <c r="BQ592" s="4">
        <f t="shared" si="529"/>
        <v>0</v>
      </c>
      <c r="BR592" s="4">
        <f t="shared" si="530"/>
        <v>0</v>
      </c>
      <c r="BS592" s="4">
        <f t="shared" si="531"/>
        <v>0</v>
      </c>
      <c r="BT592" s="4">
        <f t="shared" si="532"/>
        <v>0</v>
      </c>
      <c r="BU592" s="4">
        <f t="shared" si="533"/>
        <v>0</v>
      </c>
      <c r="BV592" s="4">
        <f t="shared" si="534"/>
        <v>0</v>
      </c>
      <c r="BW592" s="4">
        <f t="shared" si="535"/>
        <v>0</v>
      </c>
      <c r="BX592" s="4">
        <f t="shared" si="536"/>
        <v>0</v>
      </c>
      <c r="BY592" s="4">
        <f t="shared" si="537"/>
        <v>0</v>
      </c>
      <c r="BZ592" s="4">
        <f t="shared" si="538"/>
        <v>0</v>
      </c>
      <c r="CA592" s="4">
        <f t="shared" si="539"/>
        <v>0</v>
      </c>
      <c r="CB592" s="4">
        <f t="shared" si="540"/>
        <v>0</v>
      </c>
      <c r="CC592" s="4">
        <f t="shared" si="541"/>
        <v>0</v>
      </c>
      <c r="CD592" s="4">
        <f t="shared" si="542"/>
        <v>0</v>
      </c>
      <c r="CE592" s="4">
        <f t="shared" si="543"/>
        <v>0</v>
      </c>
      <c r="CF592" s="4">
        <f t="shared" si="544"/>
        <v>0</v>
      </c>
      <c r="CG592" s="4">
        <f t="shared" si="545"/>
        <v>0</v>
      </c>
      <c r="CH592" s="4">
        <f t="shared" si="546"/>
        <v>0</v>
      </c>
      <c r="CI592" s="4">
        <f t="shared" si="547"/>
        <v>0</v>
      </c>
      <c r="CJ592" s="4">
        <f t="shared" si="548"/>
        <v>0</v>
      </c>
      <c r="CK592" s="4">
        <f t="shared" si="549"/>
        <v>0</v>
      </c>
      <c r="CL592" s="4">
        <f t="shared" si="550"/>
        <v>0</v>
      </c>
      <c r="CM592" s="4">
        <f t="shared" si="551"/>
        <v>0</v>
      </c>
      <c r="CN592" s="4">
        <f t="shared" si="552"/>
        <v>0</v>
      </c>
      <c r="CO592" s="4">
        <f t="shared" si="553"/>
        <v>0</v>
      </c>
      <c r="CP592" s="4">
        <f t="shared" si="554"/>
        <v>0</v>
      </c>
      <c r="CQ592" s="4">
        <f t="shared" si="555"/>
        <v>0</v>
      </c>
      <c r="CR592" s="4">
        <f t="shared" si="556"/>
        <v>0</v>
      </c>
      <c r="CS592" s="4">
        <f t="shared" si="557"/>
        <v>0</v>
      </c>
      <c r="CT592" s="4">
        <f t="shared" si="558"/>
        <v>0</v>
      </c>
      <c r="CU592" s="4">
        <f t="shared" si="559"/>
        <v>0</v>
      </c>
      <c r="CV592" s="4">
        <f t="shared" si="560"/>
        <v>0</v>
      </c>
      <c r="CW592" s="4">
        <f t="shared" si="561"/>
        <v>0</v>
      </c>
      <c r="CX592" s="4">
        <f t="shared" si="562"/>
        <v>0</v>
      </c>
      <c r="CY592" s="4">
        <f t="shared" si="563"/>
        <v>0</v>
      </c>
      <c r="CZ592" s="4">
        <f t="shared" si="564"/>
        <v>0</v>
      </c>
      <c r="DA592" s="4">
        <f t="shared" si="565"/>
        <v>0</v>
      </c>
      <c r="DB592" s="4">
        <f t="shared" si="566"/>
        <v>0</v>
      </c>
      <c r="DC592" s="4">
        <f t="shared" si="567"/>
        <v>0</v>
      </c>
      <c r="DD592" s="4">
        <f t="shared" si="568"/>
        <v>0</v>
      </c>
    </row>
    <row r="593" spans="1:108" x14ac:dyDescent="0.25">
      <c r="A593" s="41" t="str">
        <f>Skills!M575</f>
        <v>Forgery Technics</v>
      </c>
      <c r="B593" s="57" t="str">
        <f>Skills!N575</f>
        <v>Forgery Technics</v>
      </c>
      <c r="C593" s="24">
        <f t="shared" si="569"/>
        <v>0</v>
      </c>
      <c r="D593" s="110" t="e">
        <f ca="1">Skills!S575</f>
        <v>#N/A</v>
      </c>
      <c r="E593" s="111" t="e">
        <f>Profession!$B$279</f>
        <v>#REF!</v>
      </c>
      <c r="F593" s="18"/>
      <c r="G593" s="18"/>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49"/>
      <c r="BF593" s="4">
        <f t="shared" si="519"/>
        <v>0</v>
      </c>
      <c r="BG593" s="4">
        <f t="shared" si="519"/>
        <v>0</v>
      </c>
      <c r="BH593" s="4">
        <f t="shared" si="520"/>
        <v>0</v>
      </c>
      <c r="BI593" s="4">
        <f t="shared" si="521"/>
        <v>0</v>
      </c>
      <c r="BJ593" s="4">
        <f t="shared" si="522"/>
        <v>0</v>
      </c>
      <c r="BK593" s="4">
        <f t="shared" si="523"/>
        <v>0</v>
      </c>
      <c r="BL593" s="4">
        <f t="shared" si="524"/>
        <v>0</v>
      </c>
      <c r="BM593" s="4">
        <f t="shared" si="525"/>
        <v>0</v>
      </c>
      <c r="BN593" s="4">
        <f t="shared" si="526"/>
        <v>0</v>
      </c>
      <c r="BO593" s="4">
        <f t="shared" si="527"/>
        <v>0</v>
      </c>
      <c r="BP593" s="4">
        <f t="shared" si="528"/>
        <v>0</v>
      </c>
      <c r="BQ593" s="4">
        <f t="shared" si="529"/>
        <v>0</v>
      </c>
      <c r="BR593" s="4">
        <f t="shared" si="530"/>
        <v>0</v>
      </c>
      <c r="BS593" s="4">
        <f t="shared" si="531"/>
        <v>0</v>
      </c>
      <c r="BT593" s="4">
        <f t="shared" si="532"/>
        <v>0</v>
      </c>
      <c r="BU593" s="4">
        <f t="shared" si="533"/>
        <v>0</v>
      </c>
      <c r="BV593" s="4">
        <f t="shared" si="534"/>
        <v>0</v>
      </c>
      <c r="BW593" s="4">
        <f t="shared" si="535"/>
        <v>0</v>
      </c>
      <c r="BX593" s="4">
        <f t="shared" si="536"/>
        <v>0</v>
      </c>
      <c r="BY593" s="4">
        <f t="shared" si="537"/>
        <v>0</v>
      </c>
      <c r="BZ593" s="4">
        <f t="shared" si="538"/>
        <v>0</v>
      </c>
      <c r="CA593" s="4">
        <f t="shared" si="539"/>
        <v>0</v>
      </c>
      <c r="CB593" s="4">
        <f t="shared" si="540"/>
        <v>0</v>
      </c>
      <c r="CC593" s="4">
        <f t="shared" si="541"/>
        <v>0</v>
      </c>
      <c r="CD593" s="4">
        <f t="shared" si="542"/>
        <v>0</v>
      </c>
      <c r="CE593" s="4">
        <f t="shared" si="543"/>
        <v>0</v>
      </c>
      <c r="CF593" s="4">
        <f t="shared" si="544"/>
        <v>0</v>
      </c>
      <c r="CG593" s="4">
        <f t="shared" si="545"/>
        <v>0</v>
      </c>
      <c r="CH593" s="4">
        <f t="shared" si="546"/>
        <v>0</v>
      </c>
      <c r="CI593" s="4">
        <f t="shared" si="547"/>
        <v>0</v>
      </c>
      <c r="CJ593" s="4">
        <f t="shared" si="548"/>
        <v>0</v>
      </c>
      <c r="CK593" s="4">
        <f t="shared" si="549"/>
        <v>0</v>
      </c>
      <c r="CL593" s="4">
        <f t="shared" si="550"/>
        <v>0</v>
      </c>
      <c r="CM593" s="4">
        <f t="shared" si="551"/>
        <v>0</v>
      </c>
      <c r="CN593" s="4">
        <f t="shared" si="552"/>
        <v>0</v>
      </c>
      <c r="CO593" s="4">
        <f t="shared" si="553"/>
        <v>0</v>
      </c>
      <c r="CP593" s="4">
        <f t="shared" si="554"/>
        <v>0</v>
      </c>
      <c r="CQ593" s="4">
        <f t="shared" si="555"/>
        <v>0</v>
      </c>
      <c r="CR593" s="4">
        <f t="shared" si="556"/>
        <v>0</v>
      </c>
      <c r="CS593" s="4">
        <f t="shared" si="557"/>
        <v>0</v>
      </c>
      <c r="CT593" s="4">
        <f t="shared" si="558"/>
        <v>0</v>
      </c>
      <c r="CU593" s="4">
        <f t="shared" si="559"/>
        <v>0</v>
      </c>
      <c r="CV593" s="4">
        <f t="shared" si="560"/>
        <v>0</v>
      </c>
      <c r="CW593" s="4">
        <f t="shared" si="561"/>
        <v>0</v>
      </c>
      <c r="CX593" s="4">
        <f t="shared" si="562"/>
        <v>0</v>
      </c>
      <c r="CY593" s="4">
        <f t="shared" si="563"/>
        <v>0</v>
      </c>
      <c r="CZ593" s="4">
        <f t="shared" si="564"/>
        <v>0</v>
      </c>
      <c r="DA593" s="4">
        <f t="shared" si="565"/>
        <v>0</v>
      </c>
      <c r="DB593" s="4">
        <f t="shared" si="566"/>
        <v>0</v>
      </c>
      <c r="DC593" s="4">
        <f t="shared" si="567"/>
        <v>0</v>
      </c>
      <c r="DD593" s="4">
        <f t="shared" si="568"/>
        <v>0</v>
      </c>
    </row>
    <row r="594" spans="1:108" x14ac:dyDescent="0.25">
      <c r="A594" s="41" t="str">
        <f>Skills!M576</f>
        <v>Tracking Technics</v>
      </c>
      <c r="B594" s="55" t="str">
        <f>Skills!N576</f>
        <v>Tracking Technics</v>
      </c>
      <c r="C594" s="22">
        <f t="shared" si="569"/>
        <v>0</v>
      </c>
      <c r="D594" s="112" t="e">
        <f>Skills!S576</f>
        <v>#N/A</v>
      </c>
      <c r="E594" s="113" t="e">
        <f>Profession!$B$279</f>
        <v>#REF!</v>
      </c>
      <c r="F594" s="19"/>
      <c r="G594" s="19"/>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56"/>
      <c r="BF594" s="4">
        <f t="shared" si="519"/>
        <v>0</v>
      </c>
      <c r="BG594" s="4">
        <f t="shared" si="519"/>
        <v>0</v>
      </c>
      <c r="BH594" s="4">
        <f t="shared" si="520"/>
        <v>0</v>
      </c>
      <c r="BI594" s="4">
        <f t="shared" si="521"/>
        <v>0</v>
      </c>
      <c r="BJ594" s="4">
        <f t="shared" si="522"/>
        <v>0</v>
      </c>
      <c r="BK594" s="4">
        <f t="shared" si="523"/>
        <v>0</v>
      </c>
      <c r="BL594" s="4">
        <f t="shared" si="524"/>
        <v>0</v>
      </c>
      <c r="BM594" s="4">
        <f t="shared" si="525"/>
        <v>0</v>
      </c>
      <c r="BN594" s="4">
        <f t="shared" si="526"/>
        <v>0</v>
      </c>
      <c r="BO594" s="4">
        <f t="shared" si="527"/>
        <v>0</v>
      </c>
      <c r="BP594" s="4">
        <f t="shared" si="528"/>
        <v>0</v>
      </c>
      <c r="BQ594" s="4">
        <f t="shared" si="529"/>
        <v>0</v>
      </c>
      <c r="BR594" s="4">
        <f t="shared" si="530"/>
        <v>0</v>
      </c>
      <c r="BS594" s="4">
        <f t="shared" si="531"/>
        <v>0</v>
      </c>
      <c r="BT594" s="4">
        <f t="shared" si="532"/>
        <v>0</v>
      </c>
      <c r="BU594" s="4">
        <f t="shared" si="533"/>
        <v>0</v>
      </c>
      <c r="BV594" s="4">
        <f t="shared" si="534"/>
        <v>0</v>
      </c>
      <c r="BW594" s="4">
        <f t="shared" si="535"/>
        <v>0</v>
      </c>
      <c r="BX594" s="4">
        <f t="shared" si="536"/>
        <v>0</v>
      </c>
      <c r="BY594" s="4">
        <f t="shared" si="537"/>
        <v>0</v>
      </c>
      <c r="BZ594" s="4">
        <f t="shared" si="538"/>
        <v>0</v>
      </c>
      <c r="CA594" s="4">
        <f t="shared" si="539"/>
        <v>0</v>
      </c>
      <c r="CB594" s="4">
        <f t="shared" si="540"/>
        <v>0</v>
      </c>
      <c r="CC594" s="4">
        <f t="shared" si="541"/>
        <v>0</v>
      </c>
      <c r="CD594" s="4">
        <f t="shared" si="542"/>
        <v>0</v>
      </c>
      <c r="CE594" s="4">
        <f t="shared" si="543"/>
        <v>0</v>
      </c>
      <c r="CF594" s="4">
        <f t="shared" si="544"/>
        <v>0</v>
      </c>
      <c r="CG594" s="4">
        <f t="shared" si="545"/>
        <v>0</v>
      </c>
      <c r="CH594" s="4">
        <f t="shared" si="546"/>
        <v>0</v>
      </c>
      <c r="CI594" s="4">
        <f t="shared" si="547"/>
        <v>0</v>
      </c>
      <c r="CJ594" s="4">
        <f t="shared" si="548"/>
        <v>0</v>
      </c>
      <c r="CK594" s="4">
        <f t="shared" si="549"/>
        <v>0</v>
      </c>
      <c r="CL594" s="4">
        <f t="shared" si="550"/>
        <v>0</v>
      </c>
      <c r="CM594" s="4">
        <f t="shared" si="551"/>
        <v>0</v>
      </c>
      <c r="CN594" s="4">
        <f t="shared" si="552"/>
        <v>0</v>
      </c>
      <c r="CO594" s="4">
        <f t="shared" si="553"/>
        <v>0</v>
      </c>
      <c r="CP594" s="4">
        <f t="shared" si="554"/>
        <v>0</v>
      </c>
      <c r="CQ594" s="4">
        <f t="shared" si="555"/>
        <v>0</v>
      </c>
      <c r="CR594" s="4">
        <f t="shared" si="556"/>
        <v>0</v>
      </c>
      <c r="CS594" s="4">
        <f t="shared" si="557"/>
        <v>0</v>
      </c>
      <c r="CT594" s="4">
        <f t="shared" si="558"/>
        <v>0</v>
      </c>
      <c r="CU594" s="4">
        <f t="shared" si="559"/>
        <v>0</v>
      </c>
      <c r="CV594" s="4">
        <f t="shared" si="560"/>
        <v>0</v>
      </c>
      <c r="CW594" s="4">
        <f t="shared" si="561"/>
        <v>0</v>
      </c>
      <c r="CX594" s="4">
        <f t="shared" si="562"/>
        <v>0</v>
      </c>
      <c r="CY594" s="4">
        <f t="shared" si="563"/>
        <v>0</v>
      </c>
      <c r="CZ594" s="4">
        <f t="shared" si="564"/>
        <v>0</v>
      </c>
      <c r="DA594" s="4">
        <f t="shared" si="565"/>
        <v>0</v>
      </c>
      <c r="DB594" s="4">
        <f t="shared" si="566"/>
        <v>0</v>
      </c>
      <c r="DC594" s="4">
        <f t="shared" si="567"/>
        <v>0</v>
      </c>
      <c r="DD594" s="4">
        <f t="shared" si="568"/>
        <v>0</v>
      </c>
    </row>
    <row r="595" spans="1:108" x14ac:dyDescent="0.25">
      <c r="A595" s="41">
        <f>Skills!M577</f>
        <v>0</v>
      </c>
      <c r="B595" s="57" t="str">
        <f>Skills!N577</f>
        <v>Mechanical Technology Sub-Category</v>
      </c>
      <c r="C595" s="24">
        <f t="shared" si="569"/>
        <v>0</v>
      </c>
      <c r="D595" s="110" t="str">
        <f>Skills!S577</f>
        <v>- -</v>
      </c>
      <c r="E595" s="111" t="s">
        <v>782</v>
      </c>
      <c r="F595" s="18"/>
      <c r="G595" s="18"/>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49"/>
      <c r="BF595" s="4">
        <f t="shared" si="519"/>
        <v>0</v>
      </c>
      <c r="BG595" s="4">
        <f t="shared" si="519"/>
        <v>0</v>
      </c>
      <c r="BH595" s="4">
        <f t="shared" si="520"/>
        <v>0</v>
      </c>
      <c r="BI595" s="4">
        <f t="shared" si="521"/>
        <v>0</v>
      </c>
      <c r="BJ595" s="4">
        <f t="shared" si="522"/>
        <v>0</v>
      </c>
      <c r="BK595" s="4">
        <f t="shared" si="523"/>
        <v>0</v>
      </c>
      <c r="BL595" s="4">
        <f t="shared" si="524"/>
        <v>0</v>
      </c>
      <c r="BM595" s="4">
        <f t="shared" si="525"/>
        <v>0</v>
      </c>
      <c r="BN595" s="4">
        <f t="shared" si="526"/>
        <v>0</v>
      </c>
      <c r="BO595" s="4">
        <f t="shared" si="527"/>
        <v>0</v>
      </c>
      <c r="BP595" s="4">
        <f t="shared" si="528"/>
        <v>0</v>
      </c>
      <c r="BQ595" s="4">
        <f t="shared" si="529"/>
        <v>0</v>
      </c>
      <c r="BR595" s="4">
        <f t="shared" si="530"/>
        <v>0</v>
      </c>
      <c r="BS595" s="4">
        <f t="shared" si="531"/>
        <v>0</v>
      </c>
      <c r="BT595" s="4">
        <f t="shared" si="532"/>
        <v>0</v>
      </c>
      <c r="BU595" s="4">
        <f t="shared" si="533"/>
        <v>0</v>
      </c>
      <c r="BV595" s="4">
        <f t="shared" si="534"/>
        <v>0</v>
      </c>
      <c r="BW595" s="4">
        <f t="shared" si="535"/>
        <v>0</v>
      </c>
      <c r="BX595" s="4">
        <f t="shared" si="536"/>
        <v>0</v>
      </c>
      <c r="BY595" s="4">
        <f t="shared" si="537"/>
        <v>0</v>
      </c>
      <c r="BZ595" s="4">
        <f t="shared" si="538"/>
        <v>0</v>
      </c>
      <c r="CA595" s="4">
        <f t="shared" si="539"/>
        <v>0</v>
      </c>
      <c r="CB595" s="4">
        <f t="shared" si="540"/>
        <v>0</v>
      </c>
      <c r="CC595" s="4">
        <f t="shared" si="541"/>
        <v>0</v>
      </c>
      <c r="CD595" s="4">
        <f t="shared" si="542"/>
        <v>0</v>
      </c>
      <c r="CE595" s="4">
        <f t="shared" si="543"/>
        <v>0</v>
      </c>
      <c r="CF595" s="4">
        <f t="shared" si="544"/>
        <v>0</v>
      </c>
      <c r="CG595" s="4">
        <f t="shared" si="545"/>
        <v>0</v>
      </c>
      <c r="CH595" s="4">
        <f t="shared" si="546"/>
        <v>0</v>
      </c>
      <c r="CI595" s="4">
        <f t="shared" si="547"/>
        <v>0</v>
      </c>
      <c r="CJ595" s="4">
        <f t="shared" si="548"/>
        <v>0</v>
      </c>
      <c r="CK595" s="4">
        <f t="shared" si="549"/>
        <v>0</v>
      </c>
      <c r="CL595" s="4">
        <f t="shared" si="550"/>
        <v>0</v>
      </c>
      <c r="CM595" s="4">
        <f t="shared" si="551"/>
        <v>0</v>
      </c>
      <c r="CN595" s="4">
        <f t="shared" si="552"/>
        <v>0</v>
      </c>
      <c r="CO595" s="4">
        <f t="shared" si="553"/>
        <v>0</v>
      </c>
      <c r="CP595" s="4">
        <f t="shared" si="554"/>
        <v>0</v>
      </c>
      <c r="CQ595" s="4">
        <f t="shared" si="555"/>
        <v>0</v>
      </c>
      <c r="CR595" s="4">
        <f t="shared" si="556"/>
        <v>0</v>
      </c>
      <c r="CS595" s="4">
        <f t="shared" si="557"/>
        <v>0</v>
      </c>
      <c r="CT595" s="4">
        <f t="shared" si="558"/>
        <v>0</v>
      </c>
      <c r="CU595" s="4">
        <f t="shared" si="559"/>
        <v>0</v>
      </c>
      <c r="CV595" s="4">
        <f t="shared" si="560"/>
        <v>0</v>
      </c>
      <c r="CW595" s="4">
        <f t="shared" si="561"/>
        <v>0</v>
      </c>
      <c r="CX595" s="4">
        <f t="shared" si="562"/>
        <v>0</v>
      </c>
      <c r="CY595" s="4">
        <f t="shared" si="563"/>
        <v>0</v>
      </c>
      <c r="CZ595" s="4">
        <f t="shared" si="564"/>
        <v>0</v>
      </c>
      <c r="DA595" s="4">
        <f t="shared" si="565"/>
        <v>0</v>
      </c>
      <c r="DB595" s="4">
        <f t="shared" si="566"/>
        <v>0</v>
      </c>
      <c r="DC595" s="4">
        <f t="shared" si="567"/>
        <v>0</v>
      </c>
      <c r="DD595" s="4">
        <f t="shared" si="568"/>
        <v>0</v>
      </c>
    </row>
    <row r="596" spans="1:108" x14ac:dyDescent="0.25">
      <c r="A596" s="41">
        <f>Skills!M578</f>
        <v>0</v>
      </c>
      <c r="B596" s="55" t="str">
        <f>Skills!N578</f>
        <v>Mechanical Technology Skills</v>
      </c>
      <c r="C596" s="22">
        <f t="shared" si="569"/>
        <v>0</v>
      </c>
      <c r="D596" s="112" t="str">
        <f>Skills!S578</f>
        <v>- -</v>
      </c>
      <c r="E596" s="113" t="s">
        <v>782</v>
      </c>
      <c r="F596" s="19"/>
      <c r="G596" s="19"/>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56"/>
      <c r="BF596" s="4">
        <f t="shared" si="519"/>
        <v>0</v>
      </c>
      <c r="BG596" s="4">
        <f t="shared" si="519"/>
        <v>0</v>
      </c>
      <c r="BH596" s="4">
        <f t="shared" si="520"/>
        <v>0</v>
      </c>
      <c r="BI596" s="4">
        <f t="shared" si="521"/>
        <v>0</v>
      </c>
      <c r="BJ596" s="4">
        <f t="shared" si="522"/>
        <v>0</v>
      </c>
      <c r="BK596" s="4">
        <f t="shared" si="523"/>
        <v>0</v>
      </c>
      <c r="BL596" s="4">
        <f t="shared" si="524"/>
        <v>0</v>
      </c>
      <c r="BM596" s="4">
        <f t="shared" si="525"/>
        <v>0</v>
      </c>
      <c r="BN596" s="4">
        <f t="shared" si="526"/>
        <v>0</v>
      </c>
      <c r="BO596" s="4">
        <f t="shared" si="527"/>
        <v>0</v>
      </c>
      <c r="BP596" s="4">
        <f t="shared" si="528"/>
        <v>0</v>
      </c>
      <c r="BQ596" s="4">
        <f t="shared" si="529"/>
        <v>0</v>
      </c>
      <c r="BR596" s="4">
        <f t="shared" si="530"/>
        <v>0</v>
      </c>
      <c r="BS596" s="4">
        <f t="shared" si="531"/>
        <v>0</v>
      </c>
      <c r="BT596" s="4">
        <f t="shared" si="532"/>
        <v>0</v>
      </c>
      <c r="BU596" s="4">
        <f t="shared" si="533"/>
        <v>0</v>
      </c>
      <c r="BV596" s="4">
        <f t="shared" si="534"/>
        <v>0</v>
      </c>
      <c r="BW596" s="4">
        <f t="shared" si="535"/>
        <v>0</v>
      </c>
      <c r="BX596" s="4">
        <f t="shared" si="536"/>
        <v>0</v>
      </c>
      <c r="BY596" s="4">
        <f t="shared" si="537"/>
        <v>0</v>
      </c>
      <c r="BZ596" s="4">
        <f t="shared" si="538"/>
        <v>0</v>
      </c>
      <c r="CA596" s="4">
        <f t="shared" si="539"/>
        <v>0</v>
      </c>
      <c r="CB596" s="4">
        <f t="shared" si="540"/>
        <v>0</v>
      </c>
      <c r="CC596" s="4">
        <f t="shared" si="541"/>
        <v>0</v>
      </c>
      <c r="CD596" s="4">
        <f t="shared" si="542"/>
        <v>0</v>
      </c>
      <c r="CE596" s="4">
        <f t="shared" si="543"/>
        <v>0</v>
      </c>
      <c r="CF596" s="4">
        <f t="shared" si="544"/>
        <v>0</v>
      </c>
      <c r="CG596" s="4">
        <f t="shared" si="545"/>
        <v>0</v>
      </c>
      <c r="CH596" s="4">
        <f t="shared" si="546"/>
        <v>0</v>
      </c>
      <c r="CI596" s="4">
        <f t="shared" si="547"/>
        <v>0</v>
      </c>
      <c r="CJ596" s="4">
        <f t="shared" si="548"/>
        <v>0</v>
      </c>
      <c r="CK596" s="4">
        <f t="shared" si="549"/>
        <v>0</v>
      </c>
      <c r="CL596" s="4">
        <f t="shared" si="550"/>
        <v>0</v>
      </c>
      <c r="CM596" s="4">
        <f t="shared" si="551"/>
        <v>0</v>
      </c>
      <c r="CN596" s="4">
        <f t="shared" si="552"/>
        <v>0</v>
      </c>
      <c r="CO596" s="4">
        <f t="shared" si="553"/>
        <v>0</v>
      </c>
      <c r="CP596" s="4">
        <f t="shared" si="554"/>
        <v>0</v>
      </c>
      <c r="CQ596" s="4">
        <f t="shared" si="555"/>
        <v>0</v>
      </c>
      <c r="CR596" s="4">
        <f t="shared" si="556"/>
        <v>0</v>
      </c>
      <c r="CS596" s="4">
        <f t="shared" si="557"/>
        <v>0</v>
      </c>
      <c r="CT596" s="4">
        <f t="shared" si="558"/>
        <v>0</v>
      </c>
      <c r="CU596" s="4">
        <f t="shared" si="559"/>
        <v>0</v>
      </c>
      <c r="CV596" s="4">
        <f t="shared" si="560"/>
        <v>0</v>
      </c>
      <c r="CW596" s="4">
        <f t="shared" si="561"/>
        <v>0</v>
      </c>
      <c r="CX596" s="4">
        <f t="shared" si="562"/>
        <v>0</v>
      </c>
      <c r="CY596" s="4">
        <f t="shared" si="563"/>
        <v>0</v>
      </c>
      <c r="CZ596" s="4">
        <f t="shared" si="564"/>
        <v>0</v>
      </c>
      <c r="DA596" s="4">
        <f t="shared" si="565"/>
        <v>0</v>
      </c>
      <c r="DB596" s="4">
        <f t="shared" si="566"/>
        <v>0</v>
      </c>
      <c r="DC596" s="4">
        <f t="shared" si="567"/>
        <v>0</v>
      </c>
      <c r="DD596" s="4">
        <f t="shared" si="568"/>
        <v>0</v>
      </c>
    </row>
    <row r="597" spans="1:108" x14ac:dyDescent="0.25">
      <c r="A597" s="41" t="str">
        <f>Skills!M579</f>
        <v>Aircraft Technics</v>
      </c>
      <c r="B597" s="57" t="str">
        <f>Skills!N579</f>
        <v>Aircraft Technics</v>
      </c>
      <c r="C597" s="24">
        <f t="shared" si="569"/>
        <v>0</v>
      </c>
      <c r="D597" s="110" t="e">
        <f>Skills!S579</f>
        <v>#N/A</v>
      </c>
      <c r="E597" s="111" t="e">
        <f>Profession!$B$280</f>
        <v>#REF!</v>
      </c>
      <c r="F597" s="18"/>
      <c r="G597" s="18"/>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49"/>
      <c r="BF597" s="4">
        <f t="shared" si="519"/>
        <v>0</v>
      </c>
      <c r="BG597" s="4">
        <f t="shared" si="519"/>
        <v>0</v>
      </c>
      <c r="BH597" s="4">
        <f t="shared" si="520"/>
        <v>0</v>
      </c>
      <c r="BI597" s="4">
        <f t="shared" si="521"/>
        <v>0</v>
      </c>
      <c r="BJ597" s="4">
        <f t="shared" si="522"/>
        <v>0</v>
      </c>
      <c r="BK597" s="4">
        <f t="shared" si="523"/>
        <v>0</v>
      </c>
      <c r="BL597" s="4">
        <f t="shared" si="524"/>
        <v>0</v>
      </c>
      <c r="BM597" s="4">
        <f t="shared" si="525"/>
        <v>0</v>
      </c>
      <c r="BN597" s="4">
        <f t="shared" si="526"/>
        <v>0</v>
      </c>
      <c r="BO597" s="4">
        <f t="shared" si="527"/>
        <v>0</v>
      </c>
      <c r="BP597" s="4">
        <f t="shared" si="528"/>
        <v>0</v>
      </c>
      <c r="BQ597" s="4">
        <f t="shared" si="529"/>
        <v>0</v>
      </c>
      <c r="BR597" s="4">
        <f t="shared" si="530"/>
        <v>0</v>
      </c>
      <c r="BS597" s="4">
        <f t="shared" si="531"/>
        <v>0</v>
      </c>
      <c r="BT597" s="4">
        <f t="shared" si="532"/>
        <v>0</v>
      </c>
      <c r="BU597" s="4">
        <f t="shared" si="533"/>
        <v>0</v>
      </c>
      <c r="BV597" s="4">
        <f t="shared" si="534"/>
        <v>0</v>
      </c>
      <c r="BW597" s="4">
        <f t="shared" si="535"/>
        <v>0</v>
      </c>
      <c r="BX597" s="4">
        <f t="shared" si="536"/>
        <v>0</v>
      </c>
      <c r="BY597" s="4">
        <f t="shared" si="537"/>
        <v>0</v>
      </c>
      <c r="BZ597" s="4">
        <f t="shared" si="538"/>
        <v>0</v>
      </c>
      <c r="CA597" s="4">
        <f t="shared" si="539"/>
        <v>0</v>
      </c>
      <c r="CB597" s="4">
        <f t="shared" si="540"/>
        <v>0</v>
      </c>
      <c r="CC597" s="4">
        <f t="shared" si="541"/>
        <v>0</v>
      </c>
      <c r="CD597" s="4">
        <f t="shared" si="542"/>
        <v>0</v>
      </c>
      <c r="CE597" s="4">
        <f t="shared" si="543"/>
        <v>0</v>
      </c>
      <c r="CF597" s="4">
        <f t="shared" si="544"/>
        <v>0</v>
      </c>
      <c r="CG597" s="4">
        <f t="shared" si="545"/>
        <v>0</v>
      </c>
      <c r="CH597" s="4">
        <f t="shared" si="546"/>
        <v>0</v>
      </c>
      <c r="CI597" s="4">
        <f t="shared" si="547"/>
        <v>0</v>
      </c>
      <c r="CJ597" s="4">
        <f t="shared" si="548"/>
        <v>0</v>
      </c>
      <c r="CK597" s="4">
        <f t="shared" si="549"/>
        <v>0</v>
      </c>
      <c r="CL597" s="4">
        <f t="shared" si="550"/>
        <v>0</v>
      </c>
      <c r="CM597" s="4">
        <f t="shared" si="551"/>
        <v>0</v>
      </c>
      <c r="CN597" s="4">
        <f t="shared" si="552"/>
        <v>0</v>
      </c>
      <c r="CO597" s="4">
        <f t="shared" si="553"/>
        <v>0</v>
      </c>
      <c r="CP597" s="4">
        <f t="shared" si="554"/>
        <v>0</v>
      </c>
      <c r="CQ597" s="4">
        <f t="shared" si="555"/>
        <v>0</v>
      </c>
      <c r="CR597" s="4">
        <f t="shared" si="556"/>
        <v>0</v>
      </c>
      <c r="CS597" s="4">
        <f t="shared" si="557"/>
        <v>0</v>
      </c>
      <c r="CT597" s="4">
        <f t="shared" si="558"/>
        <v>0</v>
      </c>
      <c r="CU597" s="4">
        <f t="shared" si="559"/>
        <v>0</v>
      </c>
      <c r="CV597" s="4">
        <f t="shared" si="560"/>
        <v>0</v>
      </c>
      <c r="CW597" s="4">
        <f t="shared" si="561"/>
        <v>0</v>
      </c>
      <c r="CX597" s="4">
        <f t="shared" si="562"/>
        <v>0</v>
      </c>
      <c r="CY597" s="4">
        <f t="shared" si="563"/>
        <v>0</v>
      </c>
      <c r="CZ597" s="4">
        <f t="shared" si="564"/>
        <v>0</v>
      </c>
      <c r="DA597" s="4">
        <f t="shared" si="565"/>
        <v>0</v>
      </c>
      <c r="DB597" s="4">
        <f t="shared" si="566"/>
        <v>0</v>
      </c>
      <c r="DC597" s="4">
        <f t="shared" si="567"/>
        <v>0</v>
      </c>
      <c r="DD597" s="4">
        <f t="shared" si="568"/>
        <v>0</v>
      </c>
    </row>
    <row r="598" spans="1:108" x14ac:dyDescent="0.25">
      <c r="A598" s="41" t="str">
        <f>Skills!M580</f>
        <v>Combustion Engine Technics</v>
      </c>
      <c r="B598" s="55" t="str">
        <f>Skills!N580</f>
        <v>Combustion Engine Technics</v>
      </c>
      <c r="C598" s="22">
        <f t="shared" si="569"/>
        <v>0</v>
      </c>
      <c r="D598" s="112" t="e">
        <f ca="1">Skills!S580</f>
        <v>#N/A</v>
      </c>
      <c r="E598" s="113" t="e">
        <f>Profession!$B$280</f>
        <v>#REF!</v>
      </c>
      <c r="F598" s="19"/>
      <c r="G598" s="19"/>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56"/>
      <c r="BF598" s="4">
        <f t="shared" si="519"/>
        <v>0</v>
      </c>
      <c r="BG598" s="4">
        <f t="shared" si="519"/>
        <v>0</v>
      </c>
      <c r="BH598" s="4">
        <f t="shared" si="520"/>
        <v>0</v>
      </c>
      <c r="BI598" s="4">
        <f t="shared" si="521"/>
        <v>0</v>
      </c>
      <c r="BJ598" s="4">
        <f t="shared" si="522"/>
        <v>0</v>
      </c>
      <c r="BK598" s="4">
        <f t="shared" si="523"/>
        <v>0</v>
      </c>
      <c r="BL598" s="4">
        <f t="shared" si="524"/>
        <v>0</v>
      </c>
      <c r="BM598" s="4">
        <f t="shared" si="525"/>
        <v>0</v>
      </c>
      <c r="BN598" s="4">
        <f t="shared" si="526"/>
        <v>0</v>
      </c>
      <c r="BO598" s="4">
        <f t="shared" si="527"/>
        <v>0</v>
      </c>
      <c r="BP598" s="4">
        <f t="shared" si="528"/>
        <v>0</v>
      </c>
      <c r="BQ598" s="4">
        <f t="shared" si="529"/>
        <v>0</v>
      </c>
      <c r="BR598" s="4">
        <f t="shared" si="530"/>
        <v>0</v>
      </c>
      <c r="BS598" s="4">
        <f t="shared" si="531"/>
        <v>0</v>
      </c>
      <c r="BT598" s="4">
        <f t="shared" si="532"/>
        <v>0</v>
      </c>
      <c r="BU598" s="4">
        <f t="shared" si="533"/>
        <v>0</v>
      </c>
      <c r="BV598" s="4">
        <f t="shared" si="534"/>
        <v>0</v>
      </c>
      <c r="BW598" s="4">
        <f t="shared" si="535"/>
        <v>0</v>
      </c>
      <c r="BX598" s="4">
        <f t="shared" si="536"/>
        <v>0</v>
      </c>
      <c r="BY598" s="4">
        <f t="shared" si="537"/>
        <v>0</v>
      </c>
      <c r="BZ598" s="4">
        <f t="shared" si="538"/>
        <v>0</v>
      </c>
      <c r="CA598" s="4">
        <f t="shared" si="539"/>
        <v>0</v>
      </c>
      <c r="CB598" s="4">
        <f t="shared" si="540"/>
        <v>0</v>
      </c>
      <c r="CC598" s="4">
        <f t="shared" si="541"/>
        <v>0</v>
      </c>
      <c r="CD598" s="4">
        <f t="shared" si="542"/>
        <v>0</v>
      </c>
      <c r="CE598" s="4">
        <f t="shared" si="543"/>
        <v>0</v>
      </c>
      <c r="CF598" s="4">
        <f t="shared" si="544"/>
        <v>0</v>
      </c>
      <c r="CG598" s="4">
        <f t="shared" si="545"/>
        <v>0</v>
      </c>
      <c r="CH598" s="4">
        <f t="shared" si="546"/>
        <v>0</v>
      </c>
      <c r="CI598" s="4">
        <f t="shared" si="547"/>
        <v>0</v>
      </c>
      <c r="CJ598" s="4">
        <f t="shared" si="548"/>
        <v>0</v>
      </c>
      <c r="CK598" s="4">
        <f t="shared" si="549"/>
        <v>0</v>
      </c>
      <c r="CL598" s="4">
        <f t="shared" si="550"/>
        <v>0</v>
      </c>
      <c r="CM598" s="4">
        <f t="shared" si="551"/>
        <v>0</v>
      </c>
      <c r="CN598" s="4">
        <f t="shared" si="552"/>
        <v>0</v>
      </c>
      <c r="CO598" s="4">
        <f t="shared" si="553"/>
        <v>0</v>
      </c>
      <c r="CP598" s="4">
        <f t="shared" si="554"/>
        <v>0</v>
      </c>
      <c r="CQ598" s="4">
        <f t="shared" si="555"/>
        <v>0</v>
      </c>
      <c r="CR598" s="4">
        <f t="shared" si="556"/>
        <v>0</v>
      </c>
      <c r="CS598" s="4">
        <f t="shared" si="557"/>
        <v>0</v>
      </c>
      <c r="CT598" s="4">
        <f t="shared" si="558"/>
        <v>0</v>
      </c>
      <c r="CU598" s="4">
        <f t="shared" si="559"/>
        <v>0</v>
      </c>
      <c r="CV598" s="4">
        <f t="shared" si="560"/>
        <v>0</v>
      </c>
      <c r="CW598" s="4">
        <f t="shared" si="561"/>
        <v>0</v>
      </c>
      <c r="CX598" s="4">
        <f t="shared" si="562"/>
        <v>0</v>
      </c>
      <c r="CY598" s="4">
        <f t="shared" si="563"/>
        <v>0</v>
      </c>
      <c r="CZ598" s="4">
        <f t="shared" si="564"/>
        <v>0</v>
      </c>
      <c r="DA598" s="4">
        <f t="shared" si="565"/>
        <v>0</v>
      </c>
      <c r="DB598" s="4">
        <f t="shared" si="566"/>
        <v>0</v>
      </c>
      <c r="DC598" s="4">
        <f t="shared" si="567"/>
        <v>0</v>
      </c>
      <c r="DD598" s="4">
        <f t="shared" si="568"/>
        <v>0</v>
      </c>
    </row>
    <row r="599" spans="1:108" x14ac:dyDescent="0.25">
      <c r="A599" s="41" t="str">
        <f>Skills!M581</f>
        <v>General Mechanics Technics</v>
      </c>
      <c r="B599" s="57" t="str">
        <f>Skills!N581</f>
        <v>General Mechanics Technics</v>
      </c>
      <c r="C599" s="24">
        <f t="shared" si="569"/>
        <v>0</v>
      </c>
      <c r="D599" s="110" t="e">
        <f>Skills!S581</f>
        <v>#N/A</v>
      </c>
      <c r="E599" s="111" t="e">
        <f>Profession!$B$280</f>
        <v>#REF!</v>
      </c>
      <c r="F599" s="18"/>
      <c r="G599" s="18"/>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49"/>
      <c r="BF599" s="4">
        <f t="shared" si="519"/>
        <v>0</v>
      </c>
      <c r="BG599" s="4">
        <f t="shared" si="519"/>
        <v>0</v>
      </c>
      <c r="BH599" s="4">
        <f t="shared" si="520"/>
        <v>0</v>
      </c>
      <c r="BI599" s="4">
        <f t="shared" si="521"/>
        <v>0</v>
      </c>
      <c r="BJ599" s="4">
        <f t="shared" si="522"/>
        <v>0</v>
      </c>
      <c r="BK599" s="4">
        <f t="shared" si="523"/>
        <v>0</v>
      </c>
      <c r="BL599" s="4">
        <f t="shared" si="524"/>
        <v>0</v>
      </c>
      <c r="BM599" s="4">
        <f t="shared" si="525"/>
        <v>0</v>
      </c>
      <c r="BN599" s="4">
        <f t="shared" si="526"/>
        <v>0</v>
      </c>
      <c r="BO599" s="4">
        <f t="shared" si="527"/>
        <v>0</v>
      </c>
      <c r="BP599" s="4">
        <f t="shared" si="528"/>
        <v>0</v>
      </c>
      <c r="BQ599" s="4">
        <f t="shared" si="529"/>
        <v>0</v>
      </c>
      <c r="BR599" s="4">
        <f t="shared" si="530"/>
        <v>0</v>
      </c>
      <c r="BS599" s="4">
        <f t="shared" si="531"/>
        <v>0</v>
      </c>
      <c r="BT599" s="4">
        <f t="shared" si="532"/>
        <v>0</v>
      </c>
      <c r="BU599" s="4">
        <f t="shared" si="533"/>
        <v>0</v>
      </c>
      <c r="BV599" s="4">
        <f t="shared" si="534"/>
        <v>0</v>
      </c>
      <c r="BW599" s="4">
        <f t="shared" si="535"/>
        <v>0</v>
      </c>
      <c r="BX599" s="4">
        <f t="shared" si="536"/>
        <v>0</v>
      </c>
      <c r="BY599" s="4">
        <f t="shared" si="537"/>
        <v>0</v>
      </c>
      <c r="BZ599" s="4">
        <f t="shared" si="538"/>
        <v>0</v>
      </c>
      <c r="CA599" s="4">
        <f t="shared" si="539"/>
        <v>0</v>
      </c>
      <c r="CB599" s="4">
        <f t="shared" si="540"/>
        <v>0</v>
      </c>
      <c r="CC599" s="4">
        <f t="shared" si="541"/>
        <v>0</v>
      </c>
      <c r="CD599" s="4">
        <f t="shared" si="542"/>
        <v>0</v>
      </c>
      <c r="CE599" s="4">
        <f t="shared" si="543"/>
        <v>0</v>
      </c>
      <c r="CF599" s="4">
        <f t="shared" si="544"/>
        <v>0</v>
      </c>
      <c r="CG599" s="4">
        <f t="shared" si="545"/>
        <v>0</v>
      </c>
      <c r="CH599" s="4">
        <f t="shared" si="546"/>
        <v>0</v>
      </c>
      <c r="CI599" s="4">
        <f t="shared" si="547"/>
        <v>0</v>
      </c>
      <c r="CJ599" s="4">
        <f t="shared" si="548"/>
        <v>0</v>
      </c>
      <c r="CK599" s="4">
        <f t="shared" si="549"/>
        <v>0</v>
      </c>
      <c r="CL599" s="4">
        <f t="shared" si="550"/>
        <v>0</v>
      </c>
      <c r="CM599" s="4">
        <f t="shared" si="551"/>
        <v>0</v>
      </c>
      <c r="CN599" s="4">
        <f t="shared" si="552"/>
        <v>0</v>
      </c>
      <c r="CO599" s="4">
        <f t="shared" si="553"/>
        <v>0</v>
      </c>
      <c r="CP599" s="4">
        <f t="shared" si="554"/>
        <v>0</v>
      </c>
      <c r="CQ599" s="4">
        <f t="shared" si="555"/>
        <v>0</v>
      </c>
      <c r="CR599" s="4">
        <f t="shared" si="556"/>
        <v>0</v>
      </c>
      <c r="CS599" s="4">
        <f t="shared" si="557"/>
        <v>0</v>
      </c>
      <c r="CT599" s="4">
        <f t="shared" si="558"/>
        <v>0</v>
      </c>
      <c r="CU599" s="4">
        <f t="shared" si="559"/>
        <v>0</v>
      </c>
      <c r="CV599" s="4">
        <f t="shared" si="560"/>
        <v>0</v>
      </c>
      <c r="CW599" s="4">
        <f t="shared" si="561"/>
        <v>0</v>
      </c>
      <c r="CX599" s="4">
        <f t="shared" si="562"/>
        <v>0</v>
      </c>
      <c r="CY599" s="4">
        <f t="shared" si="563"/>
        <v>0</v>
      </c>
      <c r="CZ599" s="4">
        <f t="shared" si="564"/>
        <v>0</v>
      </c>
      <c r="DA599" s="4">
        <f t="shared" si="565"/>
        <v>0</v>
      </c>
      <c r="DB599" s="4">
        <f t="shared" si="566"/>
        <v>0</v>
      </c>
      <c r="DC599" s="4">
        <f t="shared" si="567"/>
        <v>0</v>
      </c>
      <c r="DD599" s="4">
        <f t="shared" si="568"/>
        <v>0</v>
      </c>
    </row>
    <row r="600" spans="1:108" x14ac:dyDescent="0.25">
      <c r="A600" s="41" t="str">
        <f>Skills!M582</f>
        <v>Submersible Technics</v>
      </c>
      <c r="B600" s="55" t="str">
        <f>Skills!N582</f>
        <v>Submersible Technics</v>
      </c>
      <c r="C600" s="22">
        <f t="shared" si="569"/>
        <v>0</v>
      </c>
      <c r="D600" s="112" t="e">
        <f>Skills!S582</f>
        <v>#N/A</v>
      </c>
      <c r="E600" s="113" t="e">
        <f>Profession!$B$280</f>
        <v>#REF!</v>
      </c>
      <c r="F600" s="19"/>
      <c r="G600" s="19"/>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56"/>
      <c r="BF600" s="4">
        <f t="shared" si="519"/>
        <v>0</v>
      </c>
      <c r="BG600" s="4">
        <f t="shared" si="519"/>
        <v>0</v>
      </c>
      <c r="BH600" s="4">
        <f t="shared" si="520"/>
        <v>0</v>
      </c>
      <c r="BI600" s="4">
        <f t="shared" si="521"/>
        <v>0</v>
      </c>
      <c r="BJ600" s="4">
        <f t="shared" si="522"/>
        <v>0</v>
      </c>
      <c r="BK600" s="4">
        <f t="shared" si="523"/>
        <v>0</v>
      </c>
      <c r="BL600" s="4">
        <f t="shared" si="524"/>
        <v>0</v>
      </c>
      <c r="BM600" s="4">
        <f t="shared" si="525"/>
        <v>0</v>
      </c>
      <c r="BN600" s="4">
        <f t="shared" si="526"/>
        <v>0</v>
      </c>
      <c r="BO600" s="4">
        <f t="shared" si="527"/>
        <v>0</v>
      </c>
      <c r="BP600" s="4">
        <f t="shared" si="528"/>
        <v>0</v>
      </c>
      <c r="BQ600" s="4">
        <f t="shared" si="529"/>
        <v>0</v>
      </c>
      <c r="BR600" s="4">
        <f t="shared" si="530"/>
        <v>0</v>
      </c>
      <c r="BS600" s="4">
        <f t="shared" si="531"/>
        <v>0</v>
      </c>
      <c r="BT600" s="4">
        <f t="shared" si="532"/>
        <v>0</v>
      </c>
      <c r="BU600" s="4">
        <f t="shared" si="533"/>
        <v>0</v>
      </c>
      <c r="BV600" s="4">
        <f t="shared" si="534"/>
        <v>0</v>
      </c>
      <c r="BW600" s="4">
        <f t="shared" si="535"/>
        <v>0</v>
      </c>
      <c r="BX600" s="4">
        <f t="shared" si="536"/>
        <v>0</v>
      </c>
      <c r="BY600" s="4">
        <f t="shared" si="537"/>
        <v>0</v>
      </c>
      <c r="BZ600" s="4">
        <f t="shared" si="538"/>
        <v>0</v>
      </c>
      <c r="CA600" s="4">
        <f t="shared" si="539"/>
        <v>0</v>
      </c>
      <c r="CB600" s="4">
        <f t="shared" si="540"/>
        <v>0</v>
      </c>
      <c r="CC600" s="4">
        <f t="shared" si="541"/>
        <v>0</v>
      </c>
      <c r="CD600" s="4">
        <f t="shared" si="542"/>
        <v>0</v>
      </c>
      <c r="CE600" s="4">
        <f t="shared" si="543"/>
        <v>0</v>
      </c>
      <c r="CF600" s="4">
        <f t="shared" si="544"/>
        <v>0</v>
      </c>
      <c r="CG600" s="4">
        <f t="shared" si="545"/>
        <v>0</v>
      </c>
      <c r="CH600" s="4">
        <f t="shared" si="546"/>
        <v>0</v>
      </c>
      <c r="CI600" s="4">
        <f t="shared" si="547"/>
        <v>0</v>
      </c>
      <c r="CJ600" s="4">
        <f t="shared" si="548"/>
        <v>0</v>
      </c>
      <c r="CK600" s="4">
        <f t="shared" si="549"/>
        <v>0</v>
      </c>
      <c r="CL600" s="4">
        <f t="shared" si="550"/>
        <v>0</v>
      </c>
      <c r="CM600" s="4">
        <f t="shared" si="551"/>
        <v>0</v>
      </c>
      <c r="CN600" s="4">
        <f t="shared" si="552"/>
        <v>0</v>
      </c>
      <c r="CO600" s="4">
        <f t="shared" si="553"/>
        <v>0</v>
      </c>
      <c r="CP600" s="4">
        <f t="shared" si="554"/>
        <v>0</v>
      </c>
      <c r="CQ600" s="4">
        <f t="shared" si="555"/>
        <v>0</v>
      </c>
      <c r="CR600" s="4">
        <f t="shared" si="556"/>
        <v>0</v>
      </c>
      <c r="CS600" s="4">
        <f t="shared" si="557"/>
        <v>0</v>
      </c>
      <c r="CT600" s="4">
        <f t="shared" si="558"/>
        <v>0</v>
      </c>
      <c r="CU600" s="4">
        <f t="shared" si="559"/>
        <v>0</v>
      </c>
      <c r="CV600" s="4">
        <f t="shared" si="560"/>
        <v>0</v>
      </c>
      <c r="CW600" s="4">
        <f t="shared" si="561"/>
        <v>0</v>
      </c>
      <c r="CX600" s="4">
        <f t="shared" si="562"/>
        <v>0</v>
      </c>
      <c r="CY600" s="4">
        <f t="shared" si="563"/>
        <v>0</v>
      </c>
      <c r="CZ600" s="4">
        <f t="shared" si="564"/>
        <v>0</v>
      </c>
      <c r="DA600" s="4">
        <f t="shared" si="565"/>
        <v>0</v>
      </c>
      <c r="DB600" s="4">
        <f t="shared" si="566"/>
        <v>0</v>
      </c>
      <c r="DC600" s="4">
        <f t="shared" si="567"/>
        <v>0</v>
      </c>
      <c r="DD600" s="4">
        <f t="shared" si="568"/>
        <v>0</v>
      </c>
    </row>
    <row r="601" spans="1:108" x14ac:dyDescent="0.25">
      <c r="A601" s="41" t="str">
        <f>Skills!M583</f>
        <v>Surface Vehicle Technics</v>
      </c>
      <c r="B601" s="57" t="str">
        <f>Skills!N583</f>
        <v>Surface Vehicle Technics</v>
      </c>
      <c r="C601" s="24">
        <f t="shared" si="569"/>
        <v>0</v>
      </c>
      <c r="D601" s="110" t="e">
        <f>Skills!S583</f>
        <v>#N/A</v>
      </c>
      <c r="E601" s="111" t="e">
        <f>Profession!$B$280</f>
        <v>#REF!</v>
      </c>
      <c r="F601" s="18"/>
      <c r="G601" s="18"/>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49"/>
      <c r="BF601" s="4">
        <f t="shared" si="519"/>
        <v>0</v>
      </c>
      <c r="BG601" s="4">
        <f t="shared" si="519"/>
        <v>0</v>
      </c>
      <c r="BH601" s="4">
        <f t="shared" si="520"/>
        <v>0</v>
      </c>
      <c r="BI601" s="4">
        <f t="shared" si="521"/>
        <v>0</v>
      </c>
      <c r="BJ601" s="4">
        <f t="shared" si="522"/>
        <v>0</v>
      </c>
      <c r="BK601" s="4">
        <f t="shared" si="523"/>
        <v>0</v>
      </c>
      <c r="BL601" s="4">
        <f t="shared" si="524"/>
        <v>0</v>
      </c>
      <c r="BM601" s="4">
        <f t="shared" si="525"/>
        <v>0</v>
      </c>
      <c r="BN601" s="4">
        <f t="shared" si="526"/>
        <v>0</v>
      </c>
      <c r="BO601" s="4">
        <f t="shared" si="527"/>
        <v>0</v>
      </c>
      <c r="BP601" s="4">
        <f t="shared" si="528"/>
        <v>0</v>
      </c>
      <c r="BQ601" s="4">
        <f t="shared" si="529"/>
        <v>0</v>
      </c>
      <c r="BR601" s="4">
        <f t="shared" si="530"/>
        <v>0</v>
      </c>
      <c r="BS601" s="4">
        <f t="shared" si="531"/>
        <v>0</v>
      </c>
      <c r="BT601" s="4">
        <f t="shared" si="532"/>
        <v>0</v>
      </c>
      <c r="BU601" s="4">
        <f t="shared" si="533"/>
        <v>0</v>
      </c>
      <c r="BV601" s="4">
        <f t="shared" si="534"/>
        <v>0</v>
      </c>
      <c r="BW601" s="4">
        <f t="shared" si="535"/>
        <v>0</v>
      </c>
      <c r="BX601" s="4">
        <f t="shared" si="536"/>
        <v>0</v>
      </c>
      <c r="BY601" s="4">
        <f t="shared" si="537"/>
        <v>0</v>
      </c>
      <c r="BZ601" s="4">
        <f t="shared" si="538"/>
        <v>0</v>
      </c>
      <c r="CA601" s="4">
        <f t="shared" si="539"/>
        <v>0</v>
      </c>
      <c r="CB601" s="4">
        <f t="shared" si="540"/>
        <v>0</v>
      </c>
      <c r="CC601" s="4">
        <f t="shared" si="541"/>
        <v>0</v>
      </c>
      <c r="CD601" s="4">
        <f t="shared" si="542"/>
        <v>0</v>
      </c>
      <c r="CE601" s="4">
        <f t="shared" si="543"/>
        <v>0</v>
      </c>
      <c r="CF601" s="4">
        <f t="shared" si="544"/>
        <v>0</v>
      </c>
      <c r="CG601" s="4">
        <f t="shared" si="545"/>
        <v>0</v>
      </c>
      <c r="CH601" s="4">
        <f t="shared" si="546"/>
        <v>0</v>
      </c>
      <c r="CI601" s="4">
        <f t="shared" si="547"/>
        <v>0</v>
      </c>
      <c r="CJ601" s="4">
        <f t="shared" si="548"/>
        <v>0</v>
      </c>
      <c r="CK601" s="4">
        <f t="shared" si="549"/>
        <v>0</v>
      </c>
      <c r="CL601" s="4">
        <f t="shared" si="550"/>
        <v>0</v>
      </c>
      <c r="CM601" s="4">
        <f t="shared" si="551"/>
        <v>0</v>
      </c>
      <c r="CN601" s="4">
        <f t="shared" si="552"/>
        <v>0</v>
      </c>
      <c r="CO601" s="4">
        <f t="shared" si="553"/>
        <v>0</v>
      </c>
      <c r="CP601" s="4">
        <f t="shared" si="554"/>
        <v>0</v>
      </c>
      <c r="CQ601" s="4">
        <f t="shared" si="555"/>
        <v>0</v>
      </c>
      <c r="CR601" s="4">
        <f t="shared" si="556"/>
        <v>0</v>
      </c>
      <c r="CS601" s="4">
        <f t="shared" si="557"/>
        <v>0</v>
      </c>
      <c r="CT601" s="4">
        <f t="shared" si="558"/>
        <v>0</v>
      </c>
      <c r="CU601" s="4">
        <f t="shared" si="559"/>
        <v>0</v>
      </c>
      <c r="CV601" s="4">
        <f t="shared" si="560"/>
        <v>0</v>
      </c>
      <c r="CW601" s="4">
        <f t="shared" si="561"/>
        <v>0</v>
      </c>
      <c r="CX601" s="4">
        <f t="shared" si="562"/>
        <v>0</v>
      </c>
      <c r="CY601" s="4">
        <f t="shared" si="563"/>
        <v>0</v>
      </c>
      <c r="CZ601" s="4">
        <f t="shared" si="564"/>
        <v>0</v>
      </c>
      <c r="DA601" s="4">
        <f t="shared" si="565"/>
        <v>0</v>
      </c>
      <c r="DB601" s="4">
        <f t="shared" si="566"/>
        <v>0</v>
      </c>
      <c r="DC601" s="4">
        <f t="shared" si="567"/>
        <v>0</v>
      </c>
      <c r="DD601" s="4">
        <f t="shared" si="568"/>
        <v>0</v>
      </c>
    </row>
    <row r="602" spans="1:108" x14ac:dyDescent="0.25">
      <c r="A602" s="41">
        <f>Skills!M584</f>
        <v>0</v>
      </c>
      <c r="B602" s="55" t="str">
        <f>Skills!N584</f>
        <v>Weapon Design Sub-Category</v>
      </c>
      <c r="C602" s="22">
        <f t="shared" si="569"/>
        <v>0</v>
      </c>
      <c r="D602" s="112" t="str">
        <f>Skills!S584</f>
        <v>- -</v>
      </c>
      <c r="E602" s="113" t="s">
        <v>782</v>
      </c>
      <c r="F602" s="19"/>
      <c r="G602" s="19"/>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56"/>
      <c r="BF602" s="4">
        <f t="shared" si="519"/>
        <v>0</v>
      </c>
      <c r="BG602" s="4">
        <f t="shared" si="519"/>
        <v>0</v>
      </c>
      <c r="BH602" s="4">
        <f t="shared" si="520"/>
        <v>0</v>
      </c>
      <c r="BI602" s="4">
        <f t="shared" si="521"/>
        <v>0</v>
      </c>
      <c r="BJ602" s="4">
        <f t="shared" si="522"/>
        <v>0</v>
      </c>
      <c r="BK602" s="4">
        <f t="shared" si="523"/>
        <v>0</v>
      </c>
      <c r="BL602" s="4">
        <f t="shared" si="524"/>
        <v>0</v>
      </c>
      <c r="BM602" s="4">
        <f t="shared" si="525"/>
        <v>0</v>
      </c>
      <c r="BN602" s="4">
        <f t="shared" si="526"/>
        <v>0</v>
      </c>
      <c r="BO602" s="4">
        <f t="shared" si="527"/>
        <v>0</v>
      </c>
      <c r="BP602" s="4">
        <f t="shared" si="528"/>
        <v>0</v>
      </c>
      <c r="BQ602" s="4">
        <f t="shared" si="529"/>
        <v>0</v>
      </c>
      <c r="BR602" s="4">
        <f t="shared" si="530"/>
        <v>0</v>
      </c>
      <c r="BS602" s="4">
        <f t="shared" si="531"/>
        <v>0</v>
      </c>
      <c r="BT602" s="4">
        <f t="shared" si="532"/>
        <v>0</v>
      </c>
      <c r="BU602" s="4">
        <f t="shared" si="533"/>
        <v>0</v>
      </c>
      <c r="BV602" s="4">
        <f t="shared" si="534"/>
        <v>0</v>
      </c>
      <c r="BW602" s="4">
        <f t="shared" si="535"/>
        <v>0</v>
      </c>
      <c r="BX602" s="4">
        <f t="shared" si="536"/>
        <v>0</v>
      </c>
      <c r="BY602" s="4">
        <f t="shared" si="537"/>
        <v>0</v>
      </c>
      <c r="BZ602" s="4">
        <f t="shared" si="538"/>
        <v>0</v>
      </c>
      <c r="CA602" s="4">
        <f t="shared" si="539"/>
        <v>0</v>
      </c>
      <c r="CB602" s="4">
        <f t="shared" si="540"/>
        <v>0</v>
      </c>
      <c r="CC602" s="4">
        <f t="shared" si="541"/>
        <v>0</v>
      </c>
      <c r="CD602" s="4">
        <f t="shared" si="542"/>
        <v>0</v>
      </c>
      <c r="CE602" s="4">
        <f t="shared" si="543"/>
        <v>0</v>
      </c>
      <c r="CF602" s="4">
        <f t="shared" si="544"/>
        <v>0</v>
      </c>
      <c r="CG602" s="4">
        <f t="shared" si="545"/>
        <v>0</v>
      </c>
      <c r="CH602" s="4">
        <f t="shared" si="546"/>
        <v>0</v>
      </c>
      <c r="CI602" s="4">
        <f t="shared" si="547"/>
        <v>0</v>
      </c>
      <c r="CJ602" s="4">
        <f t="shared" si="548"/>
        <v>0</v>
      </c>
      <c r="CK602" s="4">
        <f t="shared" si="549"/>
        <v>0</v>
      </c>
      <c r="CL602" s="4">
        <f t="shared" si="550"/>
        <v>0</v>
      </c>
      <c r="CM602" s="4">
        <f t="shared" si="551"/>
        <v>0</v>
      </c>
      <c r="CN602" s="4">
        <f t="shared" si="552"/>
        <v>0</v>
      </c>
      <c r="CO602" s="4">
        <f t="shared" si="553"/>
        <v>0</v>
      </c>
      <c r="CP602" s="4">
        <f t="shared" si="554"/>
        <v>0</v>
      </c>
      <c r="CQ602" s="4">
        <f t="shared" si="555"/>
        <v>0</v>
      </c>
      <c r="CR602" s="4">
        <f t="shared" si="556"/>
        <v>0</v>
      </c>
      <c r="CS602" s="4">
        <f t="shared" si="557"/>
        <v>0</v>
      </c>
      <c r="CT602" s="4">
        <f t="shared" si="558"/>
        <v>0</v>
      </c>
      <c r="CU602" s="4">
        <f t="shared" si="559"/>
        <v>0</v>
      </c>
      <c r="CV602" s="4">
        <f t="shared" si="560"/>
        <v>0</v>
      </c>
      <c r="CW602" s="4">
        <f t="shared" si="561"/>
        <v>0</v>
      </c>
      <c r="CX602" s="4">
        <f t="shared" si="562"/>
        <v>0</v>
      </c>
      <c r="CY602" s="4">
        <f t="shared" si="563"/>
        <v>0</v>
      </c>
      <c r="CZ602" s="4">
        <f t="shared" si="564"/>
        <v>0</v>
      </c>
      <c r="DA602" s="4">
        <f t="shared" si="565"/>
        <v>0</v>
      </c>
      <c r="DB602" s="4">
        <f t="shared" si="566"/>
        <v>0</v>
      </c>
      <c r="DC602" s="4">
        <f t="shared" si="567"/>
        <v>0</v>
      </c>
      <c r="DD602" s="4">
        <f t="shared" si="568"/>
        <v>0</v>
      </c>
    </row>
    <row r="603" spans="1:108" x14ac:dyDescent="0.25">
      <c r="A603" s="41">
        <f>Skills!M585</f>
        <v>0</v>
      </c>
      <c r="B603" s="57" t="str">
        <f>Skills!N585</f>
        <v>Weapon Design Skills</v>
      </c>
      <c r="C603" s="24">
        <f t="shared" si="569"/>
        <v>0</v>
      </c>
      <c r="D603" s="110" t="str">
        <f>Skills!S585</f>
        <v>- -</v>
      </c>
      <c r="E603" s="111" t="s">
        <v>782</v>
      </c>
      <c r="F603" s="18"/>
      <c r="G603" s="18"/>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49"/>
      <c r="BF603" s="4">
        <f t="shared" si="519"/>
        <v>0</v>
      </c>
      <c r="BG603" s="4">
        <f t="shared" si="519"/>
        <v>0</v>
      </c>
      <c r="BH603" s="4">
        <f t="shared" si="520"/>
        <v>0</v>
      </c>
      <c r="BI603" s="4">
        <f t="shared" si="521"/>
        <v>0</v>
      </c>
      <c r="BJ603" s="4">
        <f t="shared" si="522"/>
        <v>0</v>
      </c>
      <c r="BK603" s="4">
        <f t="shared" si="523"/>
        <v>0</v>
      </c>
      <c r="BL603" s="4">
        <f t="shared" si="524"/>
        <v>0</v>
      </c>
      <c r="BM603" s="4">
        <f t="shared" si="525"/>
        <v>0</v>
      </c>
      <c r="BN603" s="4">
        <f t="shared" si="526"/>
        <v>0</v>
      </c>
      <c r="BO603" s="4">
        <f t="shared" si="527"/>
        <v>0</v>
      </c>
      <c r="BP603" s="4">
        <f t="shared" si="528"/>
        <v>0</v>
      </c>
      <c r="BQ603" s="4">
        <f t="shared" si="529"/>
        <v>0</v>
      </c>
      <c r="BR603" s="4">
        <f t="shared" si="530"/>
        <v>0</v>
      </c>
      <c r="BS603" s="4">
        <f t="shared" si="531"/>
        <v>0</v>
      </c>
      <c r="BT603" s="4">
        <f t="shared" si="532"/>
        <v>0</v>
      </c>
      <c r="BU603" s="4">
        <f t="shared" si="533"/>
        <v>0</v>
      </c>
      <c r="BV603" s="4">
        <f t="shared" si="534"/>
        <v>0</v>
      </c>
      <c r="BW603" s="4">
        <f t="shared" si="535"/>
        <v>0</v>
      </c>
      <c r="BX603" s="4">
        <f t="shared" si="536"/>
        <v>0</v>
      </c>
      <c r="BY603" s="4">
        <f t="shared" si="537"/>
        <v>0</v>
      </c>
      <c r="BZ603" s="4">
        <f t="shared" si="538"/>
        <v>0</v>
      </c>
      <c r="CA603" s="4">
        <f t="shared" si="539"/>
        <v>0</v>
      </c>
      <c r="CB603" s="4">
        <f t="shared" si="540"/>
        <v>0</v>
      </c>
      <c r="CC603" s="4">
        <f t="shared" si="541"/>
        <v>0</v>
      </c>
      <c r="CD603" s="4">
        <f t="shared" si="542"/>
        <v>0</v>
      </c>
      <c r="CE603" s="4">
        <f t="shared" si="543"/>
        <v>0</v>
      </c>
      <c r="CF603" s="4">
        <f t="shared" si="544"/>
        <v>0</v>
      </c>
      <c r="CG603" s="4">
        <f t="shared" si="545"/>
        <v>0</v>
      </c>
      <c r="CH603" s="4">
        <f t="shared" si="546"/>
        <v>0</v>
      </c>
      <c r="CI603" s="4">
        <f t="shared" si="547"/>
        <v>0</v>
      </c>
      <c r="CJ603" s="4">
        <f t="shared" si="548"/>
        <v>0</v>
      </c>
      <c r="CK603" s="4">
        <f t="shared" si="549"/>
        <v>0</v>
      </c>
      <c r="CL603" s="4">
        <f t="shared" si="550"/>
        <v>0</v>
      </c>
      <c r="CM603" s="4">
        <f t="shared" si="551"/>
        <v>0</v>
      </c>
      <c r="CN603" s="4">
        <f t="shared" si="552"/>
        <v>0</v>
      </c>
      <c r="CO603" s="4">
        <f t="shared" si="553"/>
        <v>0</v>
      </c>
      <c r="CP603" s="4">
        <f t="shared" si="554"/>
        <v>0</v>
      </c>
      <c r="CQ603" s="4">
        <f t="shared" si="555"/>
        <v>0</v>
      </c>
      <c r="CR603" s="4">
        <f t="shared" si="556"/>
        <v>0</v>
      </c>
      <c r="CS603" s="4">
        <f t="shared" si="557"/>
        <v>0</v>
      </c>
      <c r="CT603" s="4">
        <f t="shared" si="558"/>
        <v>0</v>
      </c>
      <c r="CU603" s="4">
        <f t="shared" si="559"/>
        <v>0</v>
      </c>
      <c r="CV603" s="4">
        <f t="shared" si="560"/>
        <v>0</v>
      </c>
      <c r="CW603" s="4">
        <f t="shared" si="561"/>
        <v>0</v>
      </c>
      <c r="CX603" s="4">
        <f t="shared" si="562"/>
        <v>0</v>
      </c>
      <c r="CY603" s="4">
        <f t="shared" si="563"/>
        <v>0</v>
      </c>
      <c r="CZ603" s="4">
        <f t="shared" si="564"/>
        <v>0</v>
      </c>
      <c r="DA603" s="4">
        <f t="shared" si="565"/>
        <v>0</v>
      </c>
      <c r="DB603" s="4">
        <f t="shared" si="566"/>
        <v>0</v>
      </c>
      <c r="DC603" s="4">
        <f t="shared" si="567"/>
        <v>0</v>
      </c>
      <c r="DD603" s="4">
        <f t="shared" si="568"/>
        <v>0</v>
      </c>
    </row>
    <row r="604" spans="1:108" x14ac:dyDescent="0.25">
      <c r="A604" s="41" t="str">
        <f>Skills!M586</f>
        <v>Explosive Technics</v>
      </c>
      <c r="B604" s="55" t="str">
        <f>Skills!N586</f>
        <v>Explosive Technics</v>
      </c>
      <c r="C604" s="22">
        <f t="shared" si="569"/>
        <v>0</v>
      </c>
      <c r="D604" s="112" t="e">
        <f ca="1">Skills!S586</f>
        <v>#N/A</v>
      </c>
      <c r="E604" s="113" t="e">
        <f>Profession!$B$281</f>
        <v>#REF!</v>
      </c>
      <c r="F604" s="19"/>
      <c r="G604" s="19"/>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56"/>
      <c r="BF604" s="4">
        <f t="shared" si="519"/>
        <v>0</v>
      </c>
      <c r="BG604" s="4">
        <f t="shared" si="519"/>
        <v>0</v>
      </c>
      <c r="BH604" s="4">
        <f t="shared" si="520"/>
        <v>0</v>
      </c>
      <c r="BI604" s="4">
        <f t="shared" si="521"/>
        <v>0</v>
      </c>
      <c r="BJ604" s="4">
        <f t="shared" si="522"/>
        <v>0</v>
      </c>
      <c r="BK604" s="4">
        <f t="shared" si="523"/>
        <v>0</v>
      </c>
      <c r="BL604" s="4">
        <f t="shared" si="524"/>
        <v>0</v>
      </c>
      <c r="BM604" s="4">
        <f t="shared" si="525"/>
        <v>0</v>
      </c>
      <c r="BN604" s="4">
        <f t="shared" si="526"/>
        <v>0</v>
      </c>
      <c r="BO604" s="4">
        <f t="shared" si="527"/>
        <v>0</v>
      </c>
      <c r="BP604" s="4">
        <f t="shared" si="528"/>
        <v>0</v>
      </c>
      <c r="BQ604" s="4">
        <f t="shared" si="529"/>
        <v>0</v>
      </c>
      <c r="BR604" s="4">
        <f t="shared" si="530"/>
        <v>0</v>
      </c>
      <c r="BS604" s="4">
        <f t="shared" si="531"/>
        <v>0</v>
      </c>
      <c r="BT604" s="4">
        <f t="shared" si="532"/>
        <v>0</v>
      </c>
      <c r="BU604" s="4">
        <f t="shared" si="533"/>
        <v>0</v>
      </c>
      <c r="BV604" s="4">
        <f t="shared" si="534"/>
        <v>0</v>
      </c>
      <c r="BW604" s="4">
        <f t="shared" si="535"/>
        <v>0</v>
      </c>
      <c r="BX604" s="4">
        <f t="shared" si="536"/>
        <v>0</v>
      </c>
      <c r="BY604" s="4">
        <f t="shared" si="537"/>
        <v>0</v>
      </c>
      <c r="BZ604" s="4">
        <f t="shared" si="538"/>
        <v>0</v>
      </c>
      <c r="CA604" s="4">
        <f t="shared" si="539"/>
        <v>0</v>
      </c>
      <c r="CB604" s="4">
        <f t="shared" si="540"/>
        <v>0</v>
      </c>
      <c r="CC604" s="4">
        <f t="shared" si="541"/>
        <v>0</v>
      </c>
      <c r="CD604" s="4">
        <f t="shared" si="542"/>
        <v>0</v>
      </c>
      <c r="CE604" s="4">
        <f t="shared" si="543"/>
        <v>0</v>
      </c>
      <c r="CF604" s="4">
        <f t="shared" si="544"/>
        <v>0</v>
      </c>
      <c r="CG604" s="4">
        <f t="shared" si="545"/>
        <v>0</v>
      </c>
      <c r="CH604" s="4">
        <f t="shared" si="546"/>
        <v>0</v>
      </c>
      <c r="CI604" s="4">
        <f t="shared" si="547"/>
        <v>0</v>
      </c>
      <c r="CJ604" s="4">
        <f t="shared" si="548"/>
        <v>0</v>
      </c>
      <c r="CK604" s="4">
        <f t="shared" si="549"/>
        <v>0</v>
      </c>
      <c r="CL604" s="4">
        <f t="shared" si="550"/>
        <v>0</v>
      </c>
      <c r="CM604" s="4">
        <f t="shared" si="551"/>
        <v>0</v>
      </c>
      <c r="CN604" s="4">
        <f t="shared" si="552"/>
        <v>0</v>
      </c>
      <c r="CO604" s="4">
        <f t="shared" si="553"/>
        <v>0</v>
      </c>
      <c r="CP604" s="4">
        <f t="shared" si="554"/>
        <v>0</v>
      </c>
      <c r="CQ604" s="4">
        <f t="shared" si="555"/>
        <v>0</v>
      </c>
      <c r="CR604" s="4">
        <f t="shared" si="556"/>
        <v>0</v>
      </c>
      <c r="CS604" s="4">
        <f t="shared" si="557"/>
        <v>0</v>
      </c>
      <c r="CT604" s="4">
        <f t="shared" si="558"/>
        <v>0</v>
      </c>
      <c r="CU604" s="4">
        <f t="shared" si="559"/>
        <v>0</v>
      </c>
      <c r="CV604" s="4">
        <f t="shared" si="560"/>
        <v>0</v>
      </c>
      <c r="CW604" s="4">
        <f t="shared" si="561"/>
        <v>0</v>
      </c>
      <c r="CX604" s="4">
        <f t="shared" si="562"/>
        <v>0</v>
      </c>
      <c r="CY604" s="4">
        <f t="shared" si="563"/>
        <v>0</v>
      </c>
      <c r="CZ604" s="4">
        <f t="shared" si="564"/>
        <v>0</v>
      </c>
      <c r="DA604" s="4">
        <f t="shared" si="565"/>
        <v>0</v>
      </c>
      <c r="DB604" s="4">
        <f t="shared" si="566"/>
        <v>0</v>
      </c>
      <c r="DC604" s="4">
        <f t="shared" si="567"/>
        <v>0</v>
      </c>
      <c r="DD604" s="4">
        <f t="shared" si="568"/>
        <v>0</v>
      </c>
    </row>
    <row r="605" spans="1:108" x14ac:dyDescent="0.25">
      <c r="A605" s="41" t="str">
        <f>Skills!M587</f>
        <v>Mounted Projectile Weapon Technics</v>
      </c>
      <c r="B605" s="57" t="str">
        <f>Skills!N587</f>
        <v>Mounted Projectile Weapon Technics</v>
      </c>
      <c r="C605" s="24">
        <f t="shared" si="569"/>
        <v>0</v>
      </c>
      <c r="D605" s="110" t="e">
        <f>Skills!S587</f>
        <v>#N/A</v>
      </c>
      <c r="E605" s="111" t="e">
        <f>Profession!$B$281</f>
        <v>#REF!</v>
      </c>
      <c r="F605" s="18"/>
      <c r="G605" s="18"/>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49"/>
      <c r="BF605" s="4">
        <f t="shared" si="519"/>
        <v>0</v>
      </c>
      <c r="BG605" s="4">
        <f t="shared" si="519"/>
        <v>0</v>
      </c>
      <c r="BH605" s="4">
        <f t="shared" si="520"/>
        <v>0</v>
      </c>
      <c r="BI605" s="4">
        <f t="shared" si="521"/>
        <v>0</v>
      </c>
      <c r="BJ605" s="4">
        <f t="shared" si="522"/>
        <v>0</v>
      </c>
      <c r="BK605" s="4">
        <f t="shared" si="523"/>
        <v>0</v>
      </c>
      <c r="BL605" s="4">
        <f t="shared" si="524"/>
        <v>0</v>
      </c>
      <c r="BM605" s="4">
        <f t="shared" si="525"/>
        <v>0</v>
      </c>
      <c r="BN605" s="4">
        <f t="shared" si="526"/>
        <v>0</v>
      </c>
      <c r="BO605" s="4">
        <f t="shared" si="527"/>
        <v>0</v>
      </c>
      <c r="BP605" s="4">
        <f t="shared" si="528"/>
        <v>0</v>
      </c>
      <c r="BQ605" s="4">
        <f t="shared" si="529"/>
        <v>0</v>
      </c>
      <c r="BR605" s="4">
        <f t="shared" si="530"/>
        <v>0</v>
      </c>
      <c r="BS605" s="4">
        <f t="shared" si="531"/>
        <v>0</v>
      </c>
      <c r="BT605" s="4">
        <f t="shared" si="532"/>
        <v>0</v>
      </c>
      <c r="BU605" s="4">
        <f t="shared" si="533"/>
        <v>0</v>
      </c>
      <c r="BV605" s="4">
        <f t="shared" si="534"/>
        <v>0</v>
      </c>
      <c r="BW605" s="4">
        <f t="shared" si="535"/>
        <v>0</v>
      </c>
      <c r="BX605" s="4">
        <f t="shared" si="536"/>
        <v>0</v>
      </c>
      <c r="BY605" s="4">
        <f t="shared" si="537"/>
        <v>0</v>
      </c>
      <c r="BZ605" s="4">
        <f t="shared" si="538"/>
        <v>0</v>
      </c>
      <c r="CA605" s="4">
        <f t="shared" si="539"/>
        <v>0</v>
      </c>
      <c r="CB605" s="4">
        <f t="shared" si="540"/>
        <v>0</v>
      </c>
      <c r="CC605" s="4">
        <f t="shared" si="541"/>
        <v>0</v>
      </c>
      <c r="CD605" s="4">
        <f t="shared" si="542"/>
        <v>0</v>
      </c>
      <c r="CE605" s="4">
        <f t="shared" si="543"/>
        <v>0</v>
      </c>
      <c r="CF605" s="4">
        <f t="shared" si="544"/>
        <v>0</v>
      </c>
      <c r="CG605" s="4">
        <f t="shared" si="545"/>
        <v>0</v>
      </c>
      <c r="CH605" s="4">
        <f t="shared" si="546"/>
        <v>0</v>
      </c>
      <c r="CI605" s="4">
        <f t="shared" si="547"/>
        <v>0</v>
      </c>
      <c r="CJ605" s="4">
        <f t="shared" si="548"/>
        <v>0</v>
      </c>
      <c r="CK605" s="4">
        <f t="shared" si="549"/>
        <v>0</v>
      </c>
      <c r="CL605" s="4">
        <f t="shared" si="550"/>
        <v>0</v>
      </c>
      <c r="CM605" s="4">
        <f t="shared" si="551"/>
        <v>0</v>
      </c>
      <c r="CN605" s="4">
        <f t="shared" si="552"/>
        <v>0</v>
      </c>
      <c r="CO605" s="4">
        <f t="shared" si="553"/>
        <v>0</v>
      </c>
      <c r="CP605" s="4">
        <f t="shared" si="554"/>
        <v>0</v>
      </c>
      <c r="CQ605" s="4">
        <f t="shared" si="555"/>
        <v>0</v>
      </c>
      <c r="CR605" s="4">
        <f t="shared" si="556"/>
        <v>0</v>
      </c>
      <c r="CS605" s="4">
        <f t="shared" si="557"/>
        <v>0</v>
      </c>
      <c r="CT605" s="4">
        <f t="shared" si="558"/>
        <v>0</v>
      </c>
      <c r="CU605" s="4">
        <f t="shared" si="559"/>
        <v>0</v>
      </c>
      <c r="CV605" s="4">
        <f t="shared" si="560"/>
        <v>0</v>
      </c>
      <c r="CW605" s="4">
        <f t="shared" si="561"/>
        <v>0</v>
      </c>
      <c r="CX605" s="4">
        <f t="shared" si="562"/>
        <v>0</v>
      </c>
      <c r="CY605" s="4">
        <f t="shared" si="563"/>
        <v>0</v>
      </c>
      <c r="CZ605" s="4">
        <f t="shared" si="564"/>
        <v>0</v>
      </c>
      <c r="DA605" s="4">
        <f t="shared" si="565"/>
        <v>0</v>
      </c>
      <c r="DB605" s="4">
        <f t="shared" si="566"/>
        <v>0</v>
      </c>
      <c r="DC605" s="4">
        <f t="shared" si="567"/>
        <v>0</v>
      </c>
      <c r="DD605" s="4">
        <f t="shared" si="568"/>
        <v>0</v>
      </c>
    </row>
    <row r="606" spans="1:108" x14ac:dyDescent="0.25">
      <c r="A606" s="41" t="str">
        <f>Skills!M588</f>
        <v>Projectile Weapon Technics</v>
      </c>
      <c r="B606" s="55" t="str">
        <f>Skills!N588</f>
        <v>Projectile Weapon Technics</v>
      </c>
      <c r="C606" s="22">
        <f t="shared" si="569"/>
        <v>0</v>
      </c>
      <c r="D606" s="112" t="e">
        <f>Skills!S588</f>
        <v>#N/A</v>
      </c>
      <c r="E606" s="113" t="e">
        <f>Profession!$B$281</f>
        <v>#REF!</v>
      </c>
      <c r="F606" s="19"/>
      <c r="G606" s="19"/>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56"/>
      <c r="BF606" s="4">
        <f t="shared" si="519"/>
        <v>0</v>
      </c>
      <c r="BG606" s="4">
        <f t="shared" si="519"/>
        <v>0</v>
      </c>
      <c r="BH606" s="4">
        <f t="shared" si="520"/>
        <v>0</v>
      </c>
      <c r="BI606" s="4">
        <f t="shared" si="521"/>
        <v>0</v>
      </c>
      <c r="BJ606" s="4">
        <f t="shared" si="522"/>
        <v>0</v>
      </c>
      <c r="BK606" s="4">
        <f t="shared" si="523"/>
        <v>0</v>
      </c>
      <c r="BL606" s="4">
        <f t="shared" si="524"/>
        <v>0</v>
      </c>
      <c r="BM606" s="4">
        <f t="shared" si="525"/>
        <v>0</v>
      </c>
      <c r="BN606" s="4">
        <f t="shared" si="526"/>
        <v>0</v>
      </c>
      <c r="BO606" s="4">
        <f t="shared" si="527"/>
        <v>0</v>
      </c>
      <c r="BP606" s="4">
        <f t="shared" si="528"/>
        <v>0</v>
      </c>
      <c r="BQ606" s="4">
        <f t="shared" si="529"/>
        <v>0</v>
      </c>
      <c r="BR606" s="4">
        <f t="shared" si="530"/>
        <v>0</v>
      </c>
      <c r="BS606" s="4">
        <f t="shared" si="531"/>
        <v>0</v>
      </c>
      <c r="BT606" s="4">
        <f t="shared" si="532"/>
        <v>0</v>
      </c>
      <c r="BU606" s="4">
        <f t="shared" si="533"/>
        <v>0</v>
      </c>
      <c r="BV606" s="4">
        <f t="shared" si="534"/>
        <v>0</v>
      </c>
      <c r="BW606" s="4">
        <f t="shared" si="535"/>
        <v>0</v>
      </c>
      <c r="BX606" s="4">
        <f t="shared" si="536"/>
        <v>0</v>
      </c>
      <c r="BY606" s="4">
        <f t="shared" si="537"/>
        <v>0</v>
      </c>
      <c r="BZ606" s="4">
        <f t="shared" si="538"/>
        <v>0</v>
      </c>
      <c r="CA606" s="4">
        <f t="shared" si="539"/>
        <v>0</v>
      </c>
      <c r="CB606" s="4">
        <f t="shared" si="540"/>
        <v>0</v>
      </c>
      <c r="CC606" s="4">
        <f t="shared" si="541"/>
        <v>0</v>
      </c>
      <c r="CD606" s="4">
        <f t="shared" si="542"/>
        <v>0</v>
      </c>
      <c r="CE606" s="4">
        <f t="shared" si="543"/>
        <v>0</v>
      </c>
      <c r="CF606" s="4">
        <f t="shared" si="544"/>
        <v>0</v>
      </c>
      <c r="CG606" s="4">
        <f t="shared" si="545"/>
        <v>0</v>
      </c>
      <c r="CH606" s="4">
        <f t="shared" si="546"/>
        <v>0</v>
      </c>
      <c r="CI606" s="4">
        <f t="shared" si="547"/>
        <v>0</v>
      </c>
      <c r="CJ606" s="4">
        <f t="shared" si="548"/>
        <v>0</v>
      </c>
      <c r="CK606" s="4">
        <f t="shared" si="549"/>
        <v>0</v>
      </c>
      <c r="CL606" s="4">
        <f t="shared" si="550"/>
        <v>0</v>
      </c>
      <c r="CM606" s="4">
        <f t="shared" si="551"/>
        <v>0</v>
      </c>
      <c r="CN606" s="4">
        <f t="shared" si="552"/>
        <v>0</v>
      </c>
      <c r="CO606" s="4">
        <f t="shared" si="553"/>
        <v>0</v>
      </c>
      <c r="CP606" s="4">
        <f t="shared" si="554"/>
        <v>0</v>
      </c>
      <c r="CQ606" s="4">
        <f t="shared" si="555"/>
        <v>0</v>
      </c>
      <c r="CR606" s="4">
        <f t="shared" si="556"/>
        <v>0</v>
      </c>
      <c r="CS606" s="4">
        <f t="shared" si="557"/>
        <v>0</v>
      </c>
      <c r="CT606" s="4">
        <f t="shared" si="558"/>
        <v>0</v>
      </c>
      <c r="CU606" s="4">
        <f t="shared" si="559"/>
        <v>0</v>
      </c>
      <c r="CV606" s="4">
        <f t="shared" si="560"/>
        <v>0</v>
      </c>
      <c r="CW606" s="4">
        <f t="shared" si="561"/>
        <v>0</v>
      </c>
      <c r="CX606" s="4">
        <f t="shared" si="562"/>
        <v>0</v>
      </c>
      <c r="CY606" s="4">
        <f t="shared" si="563"/>
        <v>0</v>
      </c>
      <c r="CZ606" s="4">
        <f t="shared" si="564"/>
        <v>0</v>
      </c>
      <c r="DA606" s="4">
        <f t="shared" si="565"/>
        <v>0</v>
      </c>
      <c r="DB606" s="4">
        <f t="shared" si="566"/>
        <v>0</v>
      </c>
      <c r="DC606" s="4">
        <f t="shared" si="567"/>
        <v>0</v>
      </c>
      <c r="DD606" s="4">
        <f t="shared" si="568"/>
        <v>0</v>
      </c>
    </row>
    <row r="607" spans="1:108" x14ac:dyDescent="0.25">
      <c r="A607" s="41">
        <f>Skills!M589</f>
        <v>0</v>
      </c>
      <c r="B607" s="57" t="str">
        <f>Skills!N589</f>
        <v>Vocation Category</v>
      </c>
      <c r="C607" s="24">
        <f t="shared" si="569"/>
        <v>0</v>
      </c>
      <c r="D607" s="110" t="str">
        <f>Skills!S589</f>
        <v>- -</v>
      </c>
      <c r="E607" s="111" t="s">
        <v>782</v>
      </c>
      <c r="F607" s="18"/>
      <c r="G607" s="18"/>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49"/>
      <c r="BF607" s="4">
        <f t="shared" si="519"/>
        <v>0</v>
      </c>
      <c r="BG607" s="4">
        <f t="shared" si="519"/>
        <v>0</v>
      </c>
      <c r="BH607" s="4">
        <f t="shared" si="520"/>
        <v>0</v>
      </c>
      <c r="BI607" s="4">
        <f t="shared" si="521"/>
        <v>0</v>
      </c>
      <c r="BJ607" s="4">
        <f t="shared" si="522"/>
        <v>0</v>
      </c>
      <c r="BK607" s="4">
        <f t="shared" si="523"/>
        <v>0</v>
      </c>
      <c r="BL607" s="4">
        <f t="shared" si="524"/>
        <v>0</v>
      </c>
      <c r="BM607" s="4">
        <f t="shared" si="525"/>
        <v>0</v>
      </c>
      <c r="BN607" s="4">
        <f t="shared" si="526"/>
        <v>0</v>
      </c>
      <c r="BO607" s="4">
        <f t="shared" si="527"/>
        <v>0</v>
      </c>
      <c r="BP607" s="4">
        <f t="shared" si="528"/>
        <v>0</v>
      </c>
      <c r="BQ607" s="4">
        <f t="shared" si="529"/>
        <v>0</v>
      </c>
      <c r="BR607" s="4">
        <f t="shared" si="530"/>
        <v>0</v>
      </c>
      <c r="BS607" s="4">
        <f t="shared" si="531"/>
        <v>0</v>
      </c>
      <c r="BT607" s="4">
        <f t="shared" si="532"/>
        <v>0</v>
      </c>
      <c r="BU607" s="4">
        <f t="shared" si="533"/>
        <v>0</v>
      </c>
      <c r="BV607" s="4">
        <f t="shared" si="534"/>
        <v>0</v>
      </c>
      <c r="BW607" s="4">
        <f t="shared" si="535"/>
        <v>0</v>
      </c>
      <c r="BX607" s="4">
        <f t="shared" si="536"/>
        <v>0</v>
      </c>
      <c r="BY607" s="4">
        <f t="shared" si="537"/>
        <v>0</v>
      </c>
      <c r="BZ607" s="4">
        <f t="shared" si="538"/>
        <v>0</v>
      </c>
      <c r="CA607" s="4">
        <f t="shared" si="539"/>
        <v>0</v>
      </c>
      <c r="CB607" s="4">
        <f t="shared" si="540"/>
        <v>0</v>
      </c>
      <c r="CC607" s="4">
        <f t="shared" si="541"/>
        <v>0</v>
      </c>
      <c r="CD607" s="4">
        <f t="shared" si="542"/>
        <v>0</v>
      </c>
      <c r="CE607" s="4">
        <f t="shared" si="543"/>
        <v>0</v>
      </c>
      <c r="CF607" s="4">
        <f t="shared" si="544"/>
        <v>0</v>
      </c>
      <c r="CG607" s="4">
        <f t="shared" si="545"/>
        <v>0</v>
      </c>
      <c r="CH607" s="4">
        <f t="shared" si="546"/>
        <v>0</v>
      </c>
      <c r="CI607" s="4">
        <f t="shared" si="547"/>
        <v>0</v>
      </c>
      <c r="CJ607" s="4">
        <f t="shared" si="548"/>
        <v>0</v>
      </c>
      <c r="CK607" s="4">
        <f t="shared" si="549"/>
        <v>0</v>
      </c>
      <c r="CL607" s="4">
        <f t="shared" si="550"/>
        <v>0</v>
      </c>
      <c r="CM607" s="4">
        <f t="shared" si="551"/>
        <v>0</v>
      </c>
      <c r="CN607" s="4">
        <f t="shared" si="552"/>
        <v>0</v>
      </c>
      <c r="CO607" s="4">
        <f t="shared" si="553"/>
        <v>0</v>
      </c>
      <c r="CP607" s="4">
        <f t="shared" si="554"/>
        <v>0</v>
      </c>
      <c r="CQ607" s="4">
        <f t="shared" si="555"/>
        <v>0</v>
      </c>
      <c r="CR607" s="4">
        <f t="shared" si="556"/>
        <v>0</v>
      </c>
      <c r="CS607" s="4">
        <f t="shared" si="557"/>
        <v>0</v>
      </c>
      <c r="CT607" s="4">
        <f t="shared" si="558"/>
        <v>0</v>
      </c>
      <c r="CU607" s="4">
        <f t="shared" si="559"/>
        <v>0</v>
      </c>
      <c r="CV607" s="4">
        <f t="shared" si="560"/>
        <v>0</v>
      </c>
      <c r="CW607" s="4">
        <f t="shared" si="561"/>
        <v>0</v>
      </c>
      <c r="CX607" s="4">
        <f t="shared" si="562"/>
        <v>0</v>
      </c>
      <c r="CY607" s="4">
        <f t="shared" si="563"/>
        <v>0</v>
      </c>
      <c r="CZ607" s="4">
        <f t="shared" si="564"/>
        <v>0</v>
      </c>
      <c r="DA607" s="4">
        <f t="shared" si="565"/>
        <v>0</v>
      </c>
      <c r="DB607" s="4">
        <f t="shared" si="566"/>
        <v>0</v>
      </c>
      <c r="DC607" s="4">
        <f t="shared" si="567"/>
        <v>0</v>
      </c>
      <c r="DD607" s="4">
        <f t="shared" si="568"/>
        <v>0</v>
      </c>
    </row>
    <row r="608" spans="1:108" x14ac:dyDescent="0.25">
      <c r="A608" s="41">
        <f>Skills!M590</f>
        <v>0</v>
      </c>
      <c r="B608" s="55" t="str">
        <f>Skills!N590</f>
        <v>Vocation Skills</v>
      </c>
      <c r="C608" s="22">
        <f t="shared" si="569"/>
        <v>0</v>
      </c>
      <c r="D608" s="112" t="str">
        <f>Skills!S590</f>
        <v>- -</v>
      </c>
      <c r="E608" s="113" t="s">
        <v>782</v>
      </c>
      <c r="F608" s="19"/>
      <c r="G608" s="19"/>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56"/>
      <c r="BF608" s="4">
        <f t="shared" si="519"/>
        <v>0</v>
      </c>
      <c r="BG608" s="4">
        <f t="shared" si="519"/>
        <v>0</v>
      </c>
      <c r="BH608" s="4">
        <f t="shared" si="520"/>
        <v>0</v>
      </c>
      <c r="BI608" s="4">
        <f t="shared" si="521"/>
        <v>0</v>
      </c>
      <c r="BJ608" s="4">
        <f t="shared" si="522"/>
        <v>0</v>
      </c>
      <c r="BK608" s="4">
        <f t="shared" si="523"/>
        <v>0</v>
      </c>
      <c r="BL608" s="4">
        <f t="shared" si="524"/>
        <v>0</v>
      </c>
      <c r="BM608" s="4">
        <f t="shared" si="525"/>
        <v>0</v>
      </c>
      <c r="BN608" s="4">
        <f t="shared" si="526"/>
        <v>0</v>
      </c>
      <c r="BO608" s="4">
        <f t="shared" si="527"/>
        <v>0</v>
      </c>
      <c r="BP608" s="4">
        <f t="shared" si="528"/>
        <v>0</v>
      </c>
      <c r="BQ608" s="4">
        <f t="shared" si="529"/>
        <v>0</v>
      </c>
      <c r="BR608" s="4">
        <f t="shared" si="530"/>
        <v>0</v>
      </c>
      <c r="BS608" s="4">
        <f t="shared" si="531"/>
        <v>0</v>
      </c>
      <c r="BT608" s="4">
        <f t="shared" si="532"/>
        <v>0</v>
      </c>
      <c r="BU608" s="4">
        <f t="shared" si="533"/>
        <v>0</v>
      </c>
      <c r="BV608" s="4">
        <f t="shared" si="534"/>
        <v>0</v>
      </c>
      <c r="BW608" s="4">
        <f t="shared" si="535"/>
        <v>0</v>
      </c>
      <c r="BX608" s="4">
        <f t="shared" si="536"/>
        <v>0</v>
      </c>
      <c r="BY608" s="4">
        <f t="shared" si="537"/>
        <v>0</v>
      </c>
      <c r="BZ608" s="4">
        <f t="shared" si="538"/>
        <v>0</v>
      </c>
      <c r="CA608" s="4">
        <f t="shared" si="539"/>
        <v>0</v>
      </c>
      <c r="CB608" s="4">
        <f t="shared" si="540"/>
        <v>0</v>
      </c>
      <c r="CC608" s="4">
        <f t="shared" si="541"/>
        <v>0</v>
      </c>
      <c r="CD608" s="4">
        <f t="shared" si="542"/>
        <v>0</v>
      </c>
      <c r="CE608" s="4">
        <f t="shared" si="543"/>
        <v>0</v>
      </c>
      <c r="CF608" s="4">
        <f t="shared" si="544"/>
        <v>0</v>
      </c>
      <c r="CG608" s="4">
        <f t="shared" si="545"/>
        <v>0</v>
      </c>
      <c r="CH608" s="4">
        <f t="shared" si="546"/>
        <v>0</v>
      </c>
      <c r="CI608" s="4">
        <f t="shared" si="547"/>
        <v>0</v>
      </c>
      <c r="CJ608" s="4">
        <f t="shared" si="548"/>
        <v>0</v>
      </c>
      <c r="CK608" s="4">
        <f t="shared" si="549"/>
        <v>0</v>
      </c>
      <c r="CL608" s="4">
        <f t="shared" si="550"/>
        <v>0</v>
      </c>
      <c r="CM608" s="4">
        <f t="shared" si="551"/>
        <v>0</v>
      </c>
      <c r="CN608" s="4">
        <f t="shared" si="552"/>
        <v>0</v>
      </c>
      <c r="CO608" s="4">
        <f t="shared" si="553"/>
        <v>0</v>
      </c>
      <c r="CP608" s="4">
        <f t="shared" si="554"/>
        <v>0</v>
      </c>
      <c r="CQ608" s="4">
        <f t="shared" si="555"/>
        <v>0</v>
      </c>
      <c r="CR608" s="4">
        <f t="shared" si="556"/>
        <v>0</v>
      </c>
      <c r="CS608" s="4">
        <f t="shared" si="557"/>
        <v>0</v>
      </c>
      <c r="CT608" s="4">
        <f t="shared" si="558"/>
        <v>0</v>
      </c>
      <c r="CU608" s="4">
        <f t="shared" si="559"/>
        <v>0</v>
      </c>
      <c r="CV608" s="4">
        <f t="shared" si="560"/>
        <v>0</v>
      </c>
      <c r="CW608" s="4">
        <f t="shared" si="561"/>
        <v>0</v>
      </c>
      <c r="CX608" s="4">
        <f t="shared" si="562"/>
        <v>0</v>
      </c>
      <c r="CY608" s="4">
        <f t="shared" si="563"/>
        <v>0</v>
      </c>
      <c r="CZ608" s="4">
        <f t="shared" si="564"/>
        <v>0</v>
      </c>
      <c r="DA608" s="4">
        <f t="shared" si="565"/>
        <v>0</v>
      </c>
      <c r="DB608" s="4">
        <f t="shared" si="566"/>
        <v>0</v>
      </c>
      <c r="DC608" s="4">
        <f t="shared" si="567"/>
        <v>0</v>
      </c>
      <c r="DD608" s="4">
        <f t="shared" si="568"/>
        <v>0</v>
      </c>
    </row>
    <row r="609" spans="1:108" x14ac:dyDescent="0.25">
      <c r="A609" s="41">
        <f>Skills!M591</f>
        <v>0</v>
      </c>
      <c r="B609" s="57" t="str">
        <f>Skills!N591</f>
        <v>Administration Sub-category</v>
      </c>
      <c r="C609" s="24">
        <f t="shared" si="569"/>
        <v>0</v>
      </c>
      <c r="D609" s="110" t="str">
        <f>Skills!S591</f>
        <v>- -</v>
      </c>
      <c r="E609" s="111" t="s">
        <v>782</v>
      </c>
      <c r="F609" s="18"/>
      <c r="G609" s="18"/>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49"/>
      <c r="BF609" s="4">
        <f t="shared" si="519"/>
        <v>0</v>
      </c>
      <c r="BG609" s="4">
        <f t="shared" si="519"/>
        <v>0</v>
      </c>
      <c r="BH609" s="4">
        <f t="shared" si="520"/>
        <v>0</v>
      </c>
      <c r="BI609" s="4">
        <f t="shared" si="521"/>
        <v>0</v>
      </c>
      <c r="BJ609" s="4">
        <f t="shared" si="522"/>
        <v>0</v>
      </c>
      <c r="BK609" s="4">
        <f t="shared" si="523"/>
        <v>0</v>
      </c>
      <c r="BL609" s="4">
        <f t="shared" si="524"/>
        <v>0</v>
      </c>
      <c r="BM609" s="4">
        <f t="shared" si="525"/>
        <v>0</v>
      </c>
      <c r="BN609" s="4">
        <f t="shared" si="526"/>
        <v>0</v>
      </c>
      <c r="BO609" s="4">
        <f t="shared" si="527"/>
        <v>0</v>
      </c>
      <c r="BP609" s="4">
        <f t="shared" si="528"/>
        <v>0</v>
      </c>
      <c r="BQ609" s="4">
        <f t="shared" si="529"/>
        <v>0</v>
      </c>
      <c r="BR609" s="4">
        <f t="shared" si="530"/>
        <v>0</v>
      </c>
      <c r="BS609" s="4">
        <f t="shared" si="531"/>
        <v>0</v>
      </c>
      <c r="BT609" s="4">
        <f t="shared" si="532"/>
        <v>0</v>
      </c>
      <c r="BU609" s="4">
        <f t="shared" si="533"/>
        <v>0</v>
      </c>
      <c r="BV609" s="4">
        <f t="shared" si="534"/>
        <v>0</v>
      </c>
      <c r="BW609" s="4">
        <f t="shared" si="535"/>
        <v>0</v>
      </c>
      <c r="BX609" s="4">
        <f t="shared" si="536"/>
        <v>0</v>
      </c>
      <c r="BY609" s="4">
        <f t="shared" si="537"/>
        <v>0</v>
      </c>
      <c r="BZ609" s="4">
        <f t="shared" si="538"/>
        <v>0</v>
      </c>
      <c r="CA609" s="4">
        <f t="shared" si="539"/>
        <v>0</v>
      </c>
      <c r="CB609" s="4">
        <f t="shared" si="540"/>
        <v>0</v>
      </c>
      <c r="CC609" s="4">
        <f t="shared" si="541"/>
        <v>0</v>
      </c>
      <c r="CD609" s="4">
        <f t="shared" si="542"/>
        <v>0</v>
      </c>
      <c r="CE609" s="4">
        <f t="shared" si="543"/>
        <v>0</v>
      </c>
      <c r="CF609" s="4">
        <f t="shared" si="544"/>
        <v>0</v>
      </c>
      <c r="CG609" s="4">
        <f t="shared" si="545"/>
        <v>0</v>
      </c>
      <c r="CH609" s="4">
        <f t="shared" si="546"/>
        <v>0</v>
      </c>
      <c r="CI609" s="4">
        <f t="shared" si="547"/>
        <v>0</v>
      </c>
      <c r="CJ609" s="4">
        <f t="shared" si="548"/>
        <v>0</v>
      </c>
      <c r="CK609" s="4">
        <f t="shared" si="549"/>
        <v>0</v>
      </c>
      <c r="CL609" s="4">
        <f t="shared" si="550"/>
        <v>0</v>
      </c>
      <c r="CM609" s="4">
        <f t="shared" si="551"/>
        <v>0</v>
      </c>
      <c r="CN609" s="4">
        <f t="shared" si="552"/>
        <v>0</v>
      </c>
      <c r="CO609" s="4">
        <f t="shared" si="553"/>
        <v>0</v>
      </c>
      <c r="CP609" s="4">
        <f t="shared" si="554"/>
        <v>0</v>
      </c>
      <c r="CQ609" s="4">
        <f t="shared" si="555"/>
        <v>0</v>
      </c>
      <c r="CR609" s="4">
        <f t="shared" si="556"/>
        <v>0</v>
      </c>
      <c r="CS609" s="4">
        <f t="shared" si="557"/>
        <v>0</v>
      </c>
      <c r="CT609" s="4">
        <f t="shared" si="558"/>
        <v>0</v>
      </c>
      <c r="CU609" s="4">
        <f t="shared" si="559"/>
        <v>0</v>
      </c>
      <c r="CV609" s="4">
        <f t="shared" si="560"/>
        <v>0</v>
      </c>
      <c r="CW609" s="4">
        <f t="shared" si="561"/>
        <v>0</v>
      </c>
      <c r="CX609" s="4">
        <f t="shared" si="562"/>
        <v>0</v>
      </c>
      <c r="CY609" s="4">
        <f t="shared" si="563"/>
        <v>0</v>
      </c>
      <c r="CZ609" s="4">
        <f t="shared" si="564"/>
        <v>0</v>
      </c>
      <c r="DA609" s="4">
        <f t="shared" si="565"/>
        <v>0</v>
      </c>
      <c r="DB609" s="4">
        <f t="shared" si="566"/>
        <v>0</v>
      </c>
      <c r="DC609" s="4">
        <f t="shared" si="567"/>
        <v>0</v>
      </c>
      <c r="DD609" s="4">
        <f t="shared" si="568"/>
        <v>0</v>
      </c>
    </row>
    <row r="610" spans="1:108" x14ac:dyDescent="0.25">
      <c r="A610" s="41">
        <f>Skills!M592</f>
        <v>0</v>
      </c>
      <c r="B610" s="55" t="str">
        <f>Skills!N592</f>
        <v>Administration Skills</v>
      </c>
      <c r="C610" s="22">
        <f t="shared" si="569"/>
        <v>0</v>
      </c>
      <c r="D610" s="112" t="str">
        <f>Skills!S592</f>
        <v>- -</v>
      </c>
      <c r="E610" s="113" t="s">
        <v>782</v>
      </c>
      <c r="F610" s="19"/>
      <c r="G610" s="19"/>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56"/>
      <c r="BF610" s="4">
        <f t="shared" si="519"/>
        <v>0</v>
      </c>
      <c r="BG610" s="4">
        <f t="shared" si="519"/>
        <v>0</v>
      </c>
      <c r="BH610" s="4">
        <f t="shared" si="520"/>
        <v>0</v>
      </c>
      <c r="BI610" s="4">
        <f t="shared" si="521"/>
        <v>0</v>
      </c>
      <c r="BJ610" s="4">
        <f t="shared" si="522"/>
        <v>0</v>
      </c>
      <c r="BK610" s="4">
        <f t="shared" si="523"/>
        <v>0</v>
      </c>
      <c r="BL610" s="4">
        <f t="shared" si="524"/>
        <v>0</v>
      </c>
      <c r="BM610" s="4">
        <f t="shared" si="525"/>
        <v>0</v>
      </c>
      <c r="BN610" s="4">
        <f t="shared" si="526"/>
        <v>0</v>
      </c>
      <c r="BO610" s="4">
        <f t="shared" si="527"/>
        <v>0</v>
      </c>
      <c r="BP610" s="4">
        <f t="shared" si="528"/>
        <v>0</v>
      </c>
      <c r="BQ610" s="4">
        <f t="shared" si="529"/>
        <v>0</v>
      </c>
      <c r="BR610" s="4">
        <f t="shared" si="530"/>
        <v>0</v>
      </c>
      <c r="BS610" s="4">
        <f t="shared" si="531"/>
        <v>0</v>
      </c>
      <c r="BT610" s="4">
        <f t="shared" si="532"/>
        <v>0</v>
      </c>
      <c r="BU610" s="4">
        <f t="shared" si="533"/>
        <v>0</v>
      </c>
      <c r="BV610" s="4">
        <f t="shared" si="534"/>
        <v>0</v>
      </c>
      <c r="BW610" s="4">
        <f t="shared" si="535"/>
        <v>0</v>
      </c>
      <c r="BX610" s="4">
        <f t="shared" si="536"/>
        <v>0</v>
      </c>
      <c r="BY610" s="4">
        <f t="shared" si="537"/>
        <v>0</v>
      </c>
      <c r="BZ610" s="4">
        <f t="shared" si="538"/>
        <v>0</v>
      </c>
      <c r="CA610" s="4">
        <f t="shared" si="539"/>
        <v>0</v>
      </c>
      <c r="CB610" s="4">
        <f t="shared" si="540"/>
        <v>0</v>
      </c>
      <c r="CC610" s="4">
        <f t="shared" si="541"/>
        <v>0</v>
      </c>
      <c r="CD610" s="4">
        <f t="shared" si="542"/>
        <v>0</v>
      </c>
      <c r="CE610" s="4">
        <f t="shared" si="543"/>
        <v>0</v>
      </c>
      <c r="CF610" s="4">
        <f t="shared" si="544"/>
        <v>0</v>
      </c>
      <c r="CG610" s="4">
        <f t="shared" si="545"/>
        <v>0</v>
      </c>
      <c r="CH610" s="4">
        <f t="shared" si="546"/>
        <v>0</v>
      </c>
      <c r="CI610" s="4">
        <f t="shared" si="547"/>
        <v>0</v>
      </c>
      <c r="CJ610" s="4">
        <f t="shared" si="548"/>
        <v>0</v>
      </c>
      <c r="CK610" s="4">
        <f t="shared" si="549"/>
        <v>0</v>
      </c>
      <c r="CL610" s="4">
        <f t="shared" si="550"/>
        <v>0</v>
      </c>
      <c r="CM610" s="4">
        <f t="shared" si="551"/>
        <v>0</v>
      </c>
      <c r="CN610" s="4">
        <f t="shared" si="552"/>
        <v>0</v>
      </c>
      <c r="CO610" s="4">
        <f t="shared" si="553"/>
        <v>0</v>
      </c>
      <c r="CP610" s="4">
        <f t="shared" si="554"/>
        <v>0</v>
      </c>
      <c r="CQ610" s="4">
        <f t="shared" si="555"/>
        <v>0</v>
      </c>
      <c r="CR610" s="4">
        <f t="shared" si="556"/>
        <v>0</v>
      </c>
      <c r="CS610" s="4">
        <f t="shared" si="557"/>
        <v>0</v>
      </c>
      <c r="CT610" s="4">
        <f t="shared" si="558"/>
        <v>0</v>
      </c>
      <c r="CU610" s="4">
        <f t="shared" si="559"/>
        <v>0</v>
      </c>
      <c r="CV610" s="4">
        <f t="shared" si="560"/>
        <v>0</v>
      </c>
      <c r="CW610" s="4">
        <f t="shared" si="561"/>
        <v>0</v>
      </c>
      <c r="CX610" s="4">
        <f t="shared" si="562"/>
        <v>0</v>
      </c>
      <c r="CY610" s="4">
        <f t="shared" si="563"/>
        <v>0</v>
      </c>
      <c r="CZ610" s="4">
        <f t="shared" si="564"/>
        <v>0</v>
      </c>
      <c r="DA610" s="4">
        <f t="shared" si="565"/>
        <v>0</v>
      </c>
      <c r="DB610" s="4">
        <f t="shared" si="566"/>
        <v>0</v>
      </c>
      <c r="DC610" s="4">
        <f t="shared" si="567"/>
        <v>0</v>
      </c>
      <c r="DD610" s="4">
        <f t="shared" si="568"/>
        <v>0</v>
      </c>
    </row>
    <row r="611" spans="1:108" x14ac:dyDescent="0.25">
      <c r="A611" s="41" t="str">
        <f>Skills!M593</f>
        <v>Administration, Accounting</v>
      </c>
      <c r="B611" s="57" t="str">
        <f>Skills!N593</f>
        <v>Accounting</v>
      </c>
      <c r="C611" s="24">
        <f t="shared" si="569"/>
        <v>0</v>
      </c>
      <c r="D611" s="110" t="e">
        <f>Skills!S593</f>
        <v>#N/A</v>
      </c>
      <c r="E611" s="111" t="e">
        <f>Profession!$B$283</f>
        <v>#REF!</v>
      </c>
      <c r="F611" s="18"/>
      <c r="G611" s="18"/>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49"/>
      <c r="BF611" s="4">
        <f t="shared" si="519"/>
        <v>0</v>
      </c>
      <c r="BG611" s="4">
        <f t="shared" si="519"/>
        <v>0</v>
      </c>
      <c r="BH611" s="4">
        <f t="shared" si="520"/>
        <v>0</v>
      </c>
      <c r="BI611" s="4">
        <f t="shared" si="521"/>
        <v>0</v>
      </c>
      <c r="BJ611" s="4">
        <f t="shared" si="522"/>
        <v>0</v>
      </c>
      <c r="BK611" s="4">
        <f t="shared" si="523"/>
        <v>0</v>
      </c>
      <c r="BL611" s="4">
        <f t="shared" si="524"/>
        <v>0</v>
      </c>
      <c r="BM611" s="4">
        <f t="shared" si="525"/>
        <v>0</v>
      </c>
      <c r="BN611" s="4">
        <f t="shared" si="526"/>
        <v>0</v>
      </c>
      <c r="BO611" s="4">
        <f t="shared" si="527"/>
        <v>0</v>
      </c>
      <c r="BP611" s="4">
        <f t="shared" si="528"/>
        <v>0</v>
      </c>
      <c r="BQ611" s="4">
        <f t="shared" si="529"/>
        <v>0</v>
      </c>
      <c r="BR611" s="4">
        <f t="shared" si="530"/>
        <v>0</v>
      </c>
      <c r="BS611" s="4">
        <f t="shared" si="531"/>
        <v>0</v>
      </c>
      <c r="BT611" s="4">
        <f t="shared" si="532"/>
        <v>0</v>
      </c>
      <c r="BU611" s="4">
        <f t="shared" si="533"/>
        <v>0</v>
      </c>
      <c r="BV611" s="4">
        <f t="shared" si="534"/>
        <v>0</v>
      </c>
      <c r="BW611" s="4">
        <f t="shared" si="535"/>
        <v>0</v>
      </c>
      <c r="BX611" s="4">
        <f t="shared" si="536"/>
        <v>0</v>
      </c>
      <c r="BY611" s="4">
        <f t="shared" si="537"/>
        <v>0</v>
      </c>
      <c r="BZ611" s="4">
        <f t="shared" si="538"/>
        <v>0</v>
      </c>
      <c r="CA611" s="4">
        <f t="shared" si="539"/>
        <v>0</v>
      </c>
      <c r="CB611" s="4">
        <f t="shared" si="540"/>
        <v>0</v>
      </c>
      <c r="CC611" s="4">
        <f t="shared" si="541"/>
        <v>0</v>
      </c>
      <c r="CD611" s="4">
        <f t="shared" si="542"/>
        <v>0</v>
      </c>
      <c r="CE611" s="4">
        <f t="shared" si="543"/>
        <v>0</v>
      </c>
      <c r="CF611" s="4">
        <f t="shared" si="544"/>
        <v>0</v>
      </c>
      <c r="CG611" s="4">
        <f t="shared" si="545"/>
        <v>0</v>
      </c>
      <c r="CH611" s="4">
        <f t="shared" si="546"/>
        <v>0</v>
      </c>
      <c r="CI611" s="4">
        <f t="shared" si="547"/>
        <v>0</v>
      </c>
      <c r="CJ611" s="4">
        <f t="shared" si="548"/>
        <v>0</v>
      </c>
      <c r="CK611" s="4">
        <f t="shared" si="549"/>
        <v>0</v>
      </c>
      <c r="CL611" s="4">
        <f t="shared" si="550"/>
        <v>0</v>
      </c>
      <c r="CM611" s="4">
        <f t="shared" si="551"/>
        <v>0</v>
      </c>
      <c r="CN611" s="4">
        <f t="shared" si="552"/>
        <v>0</v>
      </c>
      <c r="CO611" s="4">
        <f t="shared" si="553"/>
        <v>0</v>
      </c>
      <c r="CP611" s="4">
        <f t="shared" si="554"/>
        <v>0</v>
      </c>
      <c r="CQ611" s="4">
        <f t="shared" si="555"/>
        <v>0</v>
      </c>
      <c r="CR611" s="4">
        <f t="shared" si="556"/>
        <v>0</v>
      </c>
      <c r="CS611" s="4">
        <f t="shared" si="557"/>
        <v>0</v>
      </c>
      <c r="CT611" s="4">
        <f t="shared" si="558"/>
        <v>0</v>
      </c>
      <c r="CU611" s="4">
        <f t="shared" si="559"/>
        <v>0</v>
      </c>
      <c r="CV611" s="4">
        <f t="shared" si="560"/>
        <v>0</v>
      </c>
      <c r="CW611" s="4">
        <f t="shared" si="561"/>
        <v>0</v>
      </c>
      <c r="CX611" s="4">
        <f t="shared" si="562"/>
        <v>0</v>
      </c>
      <c r="CY611" s="4">
        <f t="shared" si="563"/>
        <v>0</v>
      </c>
      <c r="CZ611" s="4">
        <f t="shared" si="564"/>
        <v>0</v>
      </c>
      <c r="DA611" s="4">
        <f t="shared" si="565"/>
        <v>0</v>
      </c>
      <c r="DB611" s="4">
        <f t="shared" si="566"/>
        <v>0</v>
      </c>
      <c r="DC611" s="4">
        <f t="shared" si="567"/>
        <v>0</v>
      </c>
      <c r="DD611" s="4">
        <f t="shared" si="568"/>
        <v>0</v>
      </c>
    </row>
    <row r="612" spans="1:108" x14ac:dyDescent="0.25">
      <c r="A612" s="41" t="str">
        <f>Skills!M594</f>
        <v>Administration, Administrator</v>
      </c>
      <c r="B612" s="55" t="str">
        <f>Skills!N594</f>
        <v>Administrator</v>
      </c>
      <c r="C612" s="22">
        <f t="shared" si="569"/>
        <v>0</v>
      </c>
      <c r="D612" s="112" t="e">
        <f>Skills!S594</f>
        <v>#N/A</v>
      </c>
      <c r="E612" s="113" t="e">
        <f>Profession!$B$283</f>
        <v>#REF!</v>
      </c>
      <c r="F612" s="19"/>
      <c r="G612" s="19"/>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56"/>
      <c r="BF612" s="4">
        <f t="shared" si="519"/>
        <v>0</v>
      </c>
      <c r="BG612" s="4">
        <f t="shared" si="519"/>
        <v>0</v>
      </c>
      <c r="BH612" s="4">
        <f t="shared" si="520"/>
        <v>0</v>
      </c>
      <c r="BI612" s="4">
        <f t="shared" si="521"/>
        <v>0</v>
      </c>
      <c r="BJ612" s="4">
        <f t="shared" si="522"/>
        <v>0</v>
      </c>
      <c r="BK612" s="4">
        <f t="shared" si="523"/>
        <v>0</v>
      </c>
      <c r="BL612" s="4">
        <f t="shared" si="524"/>
        <v>0</v>
      </c>
      <c r="BM612" s="4">
        <f t="shared" si="525"/>
        <v>0</v>
      </c>
      <c r="BN612" s="4">
        <f t="shared" si="526"/>
        <v>0</v>
      </c>
      <c r="BO612" s="4">
        <f t="shared" si="527"/>
        <v>0</v>
      </c>
      <c r="BP612" s="4">
        <f t="shared" si="528"/>
        <v>0</v>
      </c>
      <c r="BQ612" s="4">
        <f t="shared" si="529"/>
        <v>0</v>
      </c>
      <c r="BR612" s="4">
        <f t="shared" si="530"/>
        <v>0</v>
      </c>
      <c r="BS612" s="4">
        <f t="shared" si="531"/>
        <v>0</v>
      </c>
      <c r="BT612" s="4">
        <f t="shared" si="532"/>
        <v>0</v>
      </c>
      <c r="BU612" s="4">
        <f t="shared" si="533"/>
        <v>0</v>
      </c>
      <c r="BV612" s="4">
        <f t="shared" si="534"/>
        <v>0</v>
      </c>
      <c r="BW612" s="4">
        <f t="shared" si="535"/>
        <v>0</v>
      </c>
      <c r="BX612" s="4">
        <f t="shared" si="536"/>
        <v>0</v>
      </c>
      <c r="BY612" s="4">
        <f t="shared" si="537"/>
        <v>0</v>
      </c>
      <c r="BZ612" s="4">
        <f t="shared" si="538"/>
        <v>0</v>
      </c>
      <c r="CA612" s="4">
        <f t="shared" si="539"/>
        <v>0</v>
      </c>
      <c r="CB612" s="4">
        <f t="shared" si="540"/>
        <v>0</v>
      </c>
      <c r="CC612" s="4">
        <f t="shared" si="541"/>
        <v>0</v>
      </c>
      <c r="CD612" s="4">
        <f t="shared" si="542"/>
        <v>0</v>
      </c>
      <c r="CE612" s="4">
        <f t="shared" si="543"/>
        <v>0</v>
      </c>
      <c r="CF612" s="4">
        <f t="shared" si="544"/>
        <v>0</v>
      </c>
      <c r="CG612" s="4">
        <f t="shared" si="545"/>
        <v>0</v>
      </c>
      <c r="CH612" s="4">
        <f t="shared" si="546"/>
        <v>0</v>
      </c>
      <c r="CI612" s="4">
        <f t="shared" si="547"/>
        <v>0</v>
      </c>
      <c r="CJ612" s="4">
        <f t="shared" si="548"/>
        <v>0</v>
      </c>
      <c r="CK612" s="4">
        <f t="shared" si="549"/>
        <v>0</v>
      </c>
      <c r="CL612" s="4">
        <f t="shared" si="550"/>
        <v>0</v>
      </c>
      <c r="CM612" s="4">
        <f t="shared" si="551"/>
        <v>0</v>
      </c>
      <c r="CN612" s="4">
        <f t="shared" si="552"/>
        <v>0</v>
      </c>
      <c r="CO612" s="4">
        <f t="shared" si="553"/>
        <v>0</v>
      </c>
      <c r="CP612" s="4">
        <f t="shared" si="554"/>
        <v>0</v>
      </c>
      <c r="CQ612" s="4">
        <f t="shared" si="555"/>
        <v>0</v>
      </c>
      <c r="CR612" s="4">
        <f t="shared" si="556"/>
        <v>0</v>
      </c>
      <c r="CS612" s="4">
        <f t="shared" si="557"/>
        <v>0</v>
      </c>
      <c r="CT612" s="4">
        <f t="shared" si="558"/>
        <v>0</v>
      </c>
      <c r="CU612" s="4">
        <f t="shared" si="559"/>
        <v>0</v>
      </c>
      <c r="CV612" s="4">
        <f t="shared" si="560"/>
        <v>0</v>
      </c>
      <c r="CW612" s="4">
        <f t="shared" si="561"/>
        <v>0</v>
      </c>
      <c r="CX612" s="4">
        <f t="shared" si="562"/>
        <v>0</v>
      </c>
      <c r="CY612" s="4">
        <f t="shared" si="563"/>
        <v>0</v>
      </c>
      <c r="CZ612" s="4">
        <f t="shared" si="564"/>
        <v>0</v>
      </c>
      <c r="DA612" s="4">
        <f t="shared" si="565"/>
        <v>0</v>
      </c>
      <c r="DB612" s="4">
        <f t="shared" si="566"/>
        <v>0</v>
      </c>
      <c r="DC612" s="4">
        <f t="shared" si="567"/>
        <v>0</v>
      </c>
      <c r="DD612" s="4">
        <f t="shared" si="568"/>
        <v>0</v>
      </c>
    </row>
    <row r="613" spans="1:108" x14ac:dyDescent="0.25">
      <c r="A613" s="41" t="str">
        <f>Skills!M595</f>
        <v>Administration, Booking</v>
      </c>
      <c r="B613" s="57" t="str">
        <f>Skills!N595</f>
        <v>Booking</v>
      </c>
      <c r="C613" s="24">
        <f t="shared" si="569"/>
        <v>0</v>
      </c>
      <c r="D613" s="110" t="e">
        <f>Skills!S595</f>
        <v>#N/A</v>
      </c>
      <c r="E613" s="111" t="e">
        <f>Profession!$B$283</f>
        <v>#REF!</v>
      </c>
      <c r="F613" s="18"/>
      <c r="G613" s="18"/>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49"/>
      <c r="BF613" s="4">
        <f t="shared" si="519"/>
        <v>0</v>
      </c>
      <c r="BG613" s="4">
        <f t="shared" si="519"/>
        <v>0</v>
      </c>
      <c r="BH613" s="4">
        <f t="shared" si="520"/>
        <v>0</v>
      </c>
      <c r="BI613" s="4">
        <f t="shared" si="521"/>
        <v>0</v>
      </c>
      <c r="BJ613" s="4">
        <f t="shared" si="522"/>
        <v>0</v>
      </c>
      <c r="BK613" s="4">
        <f t="shared" si="523"/>
        <v>0</v>
      </c>
      <c r="BL613" s="4">
        <f t="shared" si="524"/>
        <v>0</v>
      </c>
      <c r="BM613" s="4">
        <f t="shared" si="525"/>
        <v>0</v>
      </c>
      <c r="BN613" s="4">
        <f t="shared" si="526"/>
        <v>0</v>
      </c>
      <c r="BO613" s="4">
        <f t="shared" si="527"/>
        <v>0</v>
      </c>
      <c r="BP613" s="4">
        <f t="shared" si="528"/>
        <v>0</v>
      </c>
      <c r="BQ613" s="4">
        <f t="shared" si="529"/>
        <v>0</v>
      </c>
      <c r="BR613" s="4">
        <f t="shared" si="530"/>
        <v>0</v>
      </c>
      <c r="BS613" s="4">
        <f t="shared" si="531"/>
        <v>0</v>
      </c>
      <c r="BT613" s="4">
        <f t="shared" si="532"/>
        <v>0</v>
      </c>
      <c r="BU613" s="4">
        <f t="shared" si="533"/>
        <v>0</v>
      </c>
      <c r="BV613" s="4">
        <f t="shared" si="534"/>
        <v>0</v>
      </c>
      <c r="BW613" s="4">
        <f t="shared" si="535"/>
        <v>0</v>
      </c>
      <c r="BX613" s="4">
        <f t="shared" si="536"/>
        <v>0</v>
      </c>
      <c r="BY613" s="4">
        <f t="shared" si="537"/>
        <v>0</v>
      </c>
      <c r="BZ613" s="4">
        <f t="shared" si="538"/>
        <v>0</v>
      </c>
      <c r="CA613" s="4">
        <f t="shared" si="539"/>
        <v>0</v>
      </c>
      <c r="CB613" s="4">
        <f t="shared" si="540"/>
        <v>0</v>
      </c>
      <c r="CC613" s="4">
        <f t="shared" si="541"/>
        <v>0</v>
      </c>
      <c r="CD613" s="4">
        <f t="shared" si="542"/>
        <v>0</v>
      </c>
      <c r="CE613" s="4">
        <f t="shared" si="543"/>
        <v>0</v>
      </c>
      <c r="CF613" s="4">
        <f t="shared" si="544"/>
        <v>0</v>
      </c>
      <c r="CG613" s="4">
        <f t="shared" si="545"/>
        <v>0</v>
      </c>
      <c r="CH613" s="4">
        <f t="shared" si="546"/>
        <v>0</v>
      </c>
      <c r="CI613" s="4">
        <f t="shared" si="547"/>
        <v>0</v>
      </c>
      <c r="CJ613" s="4">
        <f t="shared" si="548"/>
        <v>0</v>
      </c>
      <c r="CK613" s="4">
        <f t="shared" si="549"/>
        <v>0</v>
      </c>
      <c r="CL613" s="4">
        <f t="shared" si="550"/>
        <v>0</v>
      </c>
      <c r="CM613" s="4">
        <f t="shared" si="551"/>
        <v>0</v>
      </c>
      <c r="CN613" s="4">
        <f t="shared" si="552"/>
        <v>0</v>
      </c>
      <c r="CO613" s="4">
        <f t="shared" si="553"/>
        <v>0</v>
      </c>
      <c r="CP613" s="4">
        <f t="shared" si="554"/>
        <v>0</v>
      </c>
      <c r="CQ613" s="4">
        <f t="shared" si="555"/>
        <v>0</v>
      </c>
      <c r="CR613" s="4">
        <f t="shared" si="556"/>
        <v>0</v>
      </c>
      <c r="CS613" s="4">
        <f t="shared" si="557"/>
        <v>0</v>
      </c>
      <c r="CT613" s="4">
        <f t="shared" si="558"/>
        <v>0</v>
      </c>
      <c r="CU613" s="4">
        <f t="shared" si="559"/>
        <v>0</v>
      </c>
      <c r="CV613" s="4">
        <f t="shared" si="560"/>
        <v>0</v>
      </c>
      <c r="CW613" s="4">
        <f t="shared" si="561"/>
        <v>0</v>
      </c>
      <c r="CX613" s="4">
        <f t="shared" si="562"/>
        <v>0</v>
      </c>
      <c r="CY613" s="4">
        <f t="shared" si="563"/>
        <v>0</v>
      </c>
      <c r="CZ613" s="4">
        <f t="shared" si="564"/>
        <v>0</v>
      </c>
      <c r="DA613" s="4">
        <f t="shared" si="565"/>
        <v>0</v>
      </c>
      <c r="DB613" s="4">
        <f t="shared" si="566"/>
        <v>0</v>
      </c>
      <c r="DC613" s="4">
        <f t="shared" si="567"/>
        <v>0</v>
      </c>
      <c r="DD613" s="4">
        <f t="shared" si="568"/>
        <v>0</v>
      </c>
    </row>
    <row r="614" spans="1:108" x14ac:dyDescent="0.25">
      <c r="A614" s="41" t="str">
        <f>Skills!M596</f>
        <v>Administration, Librarian</v>
      </c>
      <c r="B614" s="55" t="str">
        <f>Skills!N596</f>
        <v>Librarian</v>
      </c>
      <c r="C614" s="22">
        <f t="shared" si="569"/>
        <v>0</v>
      </c>
      <c r="D614" s="112" t="e">
        <f ca="1">Skills!S596</f>
        <v>#N/A</v>
      </c>
      <c r="E614" s="113" t="e">
        <f>Profession!$B$283</f>
        <v>#REF!</v>
      </c>
      <c r="F614" s="19"/>
      <c r="G614" s="19"/>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56"/>
      <c r="BF614" s="4">
        <f t="shared" si="519"/>
        <v>0</v>
      </c>
      <c r="BG614" s="4">
        <f t="shared" si="519"/>
        <v>0</v>
      </c>
      <c r="BH614" s="4">
        <f t="shared" si="520"/>
        <v>0</v>
      </c>
      <c r="BI614" s="4">
        <f t="shared" si="521"/>
        <v>0</v>
      </c>
      <c r="BJ614" s="4">
        <f t="shared" si="522"/>
        <v>0</v>
      </c>
      <c r="BK614" s="4">
        <f t="shared" si="523"/>
        <v>0</v>
      </c>
      <c r="BL614" s="4">
        <f t="shared" si="524"/>
        <v>0</v>
      </c>
      <c r="BM614" s="4">
        <f t="shared" si="525"/>
        <v>0</v>
      </c>
      <c r="BN614" s="4">
        <f t="shared" si="526"/>
        <v>0</v>
      </c>
      <c r="BO614" s="4">
        <f t="shared" si="527"/>
        <v>0</v>
      </c>
      <c r="BP614" s="4">
        <f t="shared" si="528"/>
        <v>0</v>
      </c>
      <c r="BQ614" s="4">
        <f t="shared" si="529"/>
        <v>0</v>
      </c>
      <c r="BR614" s="4">
        <f t="shared" si="530"/>
        <v>0</v>
      </c>
      <c r="BS614" s="4">
        <f t="shared" si="531"/>
        <v>0</v>
      </c>
      <c r="BT614" s="4">
        <f t="shared" si="532"/>
        <v>0</v>
      </c>
      <c r="BU614" s="4">
        <f t="shared" si="533"/>
        <v>0</v>
      </c>
      <c r="BV614" s="4">
        <f t="shared" si="534"/>
        <v>0</v>
      </c>
      <c r="BW614" s="4">
        <f t="shared" si="535"/>
        <v>0</v>
      </c>
      <c r="BX614" s="4">
        <f t="shared" si="536"/>
        <v>0</v>
      </c>
      <c r="BY614" s="4">
        <f t="shared" si="537"/>
        <v>0</v>
      </c>
      <c r="BZ614" s="4">
        <f t="shared" si="538"/>
        <v>0</v>
      </c>
      <c r="CA614" s="4">
        <f t="shared" si="539"/>
        <v>0</v>
      </c>
      <c r="CB614" s="4">
        <f t="shared" si="540"/>
        <v>0</v>
      </c>
      <c r="CC614" s="4">
        <f t="shared" si="541"/>
        <v>0</v>
      </c>
      <c r="CD614" s="4">
        <f t="shared" si="542"/>
        <v>0</v>
      </c>
      <c r="CE614" s="4">
        <f t="shared" si="543"/>
        <v>0</v>
      </c>
      <c r="CF614" s="4">
        <f t="shared" si="544"/>
        <v>0</v>
      </c>
      <c r="CG614" s="4">
        <f t="shared" si="545"/>
        <v>0</v>
      </c>
      <c r="CH614" s="4">
        <f t="shared" si="546"/>
        <v>0</v>
      </c>
      <c r="CI614" s="4">
        <f t="shared" si="547"/>
        <v>0</v>
      </c>
      <c r="CJ614" s="4">
        <f t="shared" si="548"/>
        <v>0</v>
      </c>
      <c r="CK614" s="4">
        <f t="shared" si="549"/>
        <v>0</v>
      </c>
      <c r="CL614" s="4">
        <f t="shared" si="550"/>
        <v>0</v>
      </c>
      <c r="CM614" s="4">
        <f t="shared" si="551"/>
        <v>0</v>
      </c>
      <c r="CN614" s="4">
        <f t="shared" si="552"/>
        <v>0</v>
      </c>
      <c r="CO614" s="4">
        <f t="shared" si="553"/>
        <v>0</v>
      </c>
      <c r="CP614" s="4">
        <f t="shared" si="554"/>
        <v>0</v>
      </c>
      <c r="CQ614" s="4">
        <f t="shared" si="555"/>
        <v>0</v>
      </c>
      <c r="CR614" s="4">
        <f t="shared" si="556"/>
        <v>0</v>
      </c>
      <c r="CS614" s="4">
        <f t="shared" si="557"/>
        <v>0</v>
      </c>
      <c r="CT614" s="4">
        <f t="shared" si="558"/>
        <v>0</v>
      </c>
      <c r="CU614" s="4">
        <f t="shared" si="559"/>
        <v>0</v>
      </c>
      <c r="CV614" s="4">
        <f t="shared" si="560"/>
        <v>0</v>
      </c>
      <c r="CW614" s="4">
        <f t="shared" si="561"/>
        <v>0</v>
      </c>
      <c r="CX614" s="4">
        <f t="shared" si="562"/>
        <v>0</v>
      </c>
      <c r="CY614" s="4">
        <f t="shared" si="563"/>
        <v>0</v>
      </c>
      <c r="CZ614" s="4">
        <f t="shared" si="564"/>
        <v>0</v>
      </c>
      <c r="DA614" s="4">
        <f t="shared" si="565"/>
        <v>0</v>
      </c>
      <c r="DB614" s="4">
        <f t="shared" si="566"/>
        <v>0</v>
      </c>
      <c r="DC614" s="4">
        <f t="shared" si="567"/>
        <v>0</v>
      </c>
      <c r="DD614" s="4">
        <f t="shared" si="568"/>
        <v>0</v>
      </c>
    </row>
    <row r="615" spans="1:108" x14ac:dyDescent="0.25">
      <c r="A615" s="41" t="str">
        <f>Skills!M597</f>
        <v>Administration, Corporate Management</v>
      </c>
      <c r="B615" s="57" t="str">
        <f>Skills!N597</f>
        <v>Corporate Management</v>
      </c>
      <c r="C615" s="24">
        <f t="shared" si="569"/>
        <v>0</v>
      </c>
      <c r="D615" s="110" t="e">
        <f ca="1">Skills!S597</f>
        <v>#N/A</v>
      </c>
      <c r="E615" s="111" t="e">
        <f>Profession!$B$283</f>
        <v>#REF!</v>
      </c>
      <c r="F615" s="18"/>
      <c r="G615" s="18"/>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49"/>
      <c r="BF615" s="4">
        <f t="shared" si="519"/>
        <v>0</v>
      </c>
      <c r="BG615" s="4">
        <f t="shared" si="519"/>
        <v>0</v>
      </c>
      <c r="BH615" s="4">
        <f t="shared" si="520"/>
        <v>0</v>
      </c>
      <c r="BI615" s="4">
        <f t="shared" si="521"/>
        <v>0</v>
      </c>
      <c r="BJ615" s="4">
        <f t="shared" si="522"/>
        <v>0</v>
      </c>
      <c r="BK615" s="4">
        <f t="shared" si="523"/>
        <v>0</v>
      </c>
      <c r="BL615" s="4">
        <f t="shared" si="524"/>
        <v>0</v>
      </c>
      <c r="BM615" s="4">
        <f t="shared" si="525"/>
        <v>0</v>
      </c>
      <c r="BN615" s="4">
        <f t="shared" si="526"/>
        <v>0</v>
      </c>
      <c r="BO615" s="4">
        <f t="shared" si="527"/>
        <v>0</v>
      </c>
      <c r="BP615" s="4">
        <f t="shared" si="528"/>
        <v>0</v>
      </c>
      <c r="BQ615" s="4">
        <f t="shared" si="529"/>
        <v>0</v>
      </c>
      <c r="BR615" s="4">
        <f t="shared" si="530"/>
        <v>0</v>
      </c>
      <c r="BS615" s="4">
        <f t="shared" si="531"/>
        <v>0</v>
      </c>
      <c r="BT615" s="4">
        <f t="shared" si="532"/>
        <v>0</v>
      </c>
      <c r="BU615" s="4">
        <f t="shared" si="533"/>
        <v>0</v>
      </c>
      <c r="BV615" s="4">
        <f t="shared" si="534"/>
        <v>0</v>
      </c>
      <c r="BW615" s="4">
        <f t="shared" si="535"/>
        <v>0</v>
      </c>
      <c r="BX615" s="4">
        <f t="shared" si="536"/>
        <v>0</v>
      </c>
      <c r="BY615" s="4">
        <f t="shared" si="537"/>
        <v>0</v>
      </c>
      <c r="BZ615" s="4">
        <f t="shared" si="538"/>
        <v>0</v>
      </c>
      <c r="CA615" s="4">
        <f t="shared" si="539"/>
        <v>0</v>
      </c>
      <c r="CB615" s="4">
        <f t="shared" si="540"/>
        <v>0</v>
      </c>
      <c r="CC615" s="4">
        <f t="shared" si="541"/>
        <v>0</v>
      </c>
      <c r="CD615" s="4">
        <f t="shared" si="542"/>
        <v>0</v>
      </c>
      <c r="CE615" s="4">
        <f t="shared" si="543"/>
        <v>0</v>
      </c>
      <c r="CF615" s="4">
        <f t="shared" si="544"/>
        <v>0</v>
      </c>
      <c r="CG615" s="4">
        <f t="shared" si="545"/>
        <v>0</v>
      </c>
      <c r="CH615" s="4">
        <f t="shared" si="546"/>
        <v>0</v>
      </c>
      <c r="CI615" s="4">
        <f t="shared" si="547"/>
        <v>0</v>
      </c>
      <c r="CJ615" s="4">
        <f t="shared" si="548"/>
        <v>0</v>
      </c>
      <c r="CK615" s="4">
        <f t="shared" si="549"/>
        <v>0</v>
      </c>
      <c r="CL615" s="4">
        <f t="shared" si="550"/>
        <v>0</v>
      </c>
      <c r="CM615" s="4">
        <f t="shared" si="551"/>
        <v>0</v>
      </c>
      <c r="CN615" s="4">
        <f t="shared" si="552"/>
        <v>0</v>
      </c>
      <c r="CO615" s="4">
        <f t="shared" si="553"/>
        <v>0</v>
      </c>
      <c r="CP615" s="4">
        <f t="shared" si="554"/>
        <v>0</v>
      </c>
      <c r="CQ615" s="4">
        <f t="shared" si="555"/>
        <v>0</v>
      </c>
      <c r="CR615" s="4">
        <f t="shared" si="556"/>
        <v>0</v>
      </c>
      <c r="CS615" s="4">
        <f t="shared" si="557"/>
        <v>0</v>
      </c>
      <c r="CT615" s="4">
        <f t="shared" si="558"/>
        <v>0</v>
      </c>
      <c r="CU615" s="4">
        <f t="shared" si="559"/>
        <v>0</v>
      </c>
      <c r="CV615" s="4">
        <f t="shared" si="560"/>
        <v>0</v>
      </c>
      <c r="CW615" s="4">
        <f t="shared" si="561"/>
        <v>0</v>
      </c>
      <c r="CX615" s="4">
        <f t="shared" si="562"/>
        <v>0</v>
      </c>
      <c r="CY615" s="4">
        <f t="shared" si="563"/>
        <v>0</v>
      </c>
      <c r="CZ615" s="4">
        <f t="shared" si="564"/>
        <v>0</v>
      </c>
      <c r="DA615" s="4">
        <f t="shared" si="565"/>
        <v>0</v>
      </c>
      <c r="DB615" s="4">
        <f t="shared" si="566"/>
        <v>0</v>
      </c>
      <c r="DC615" s="4">
        <f t="shared" si="567"/>
        <v>0</v>
      </c>
      <c r="DD615" s="4">
        <f t="shared" si="568"/>
        <v>0</v>
      </c>
    </row>
    <row r="616" spans="1:108" x14ac:dyDescent="0.25">
      <c r="A616" s="41" t="str">
        <f>Skills!M598</f>
        <v>Administration, Officer</v>
      </c>
      <c r="B616" s="55" t="str">
        <f>Skills!N598</f>
        <v>Officer</v>
      </c>
      <c r="C616" s="22">
        <f t="shared" si="569"/>
        <v>0</v>
      </c>
      <c r="D616" s="112" t="e">
        <f>Skills!S598</f>
        <v>#N/A</v>
      </c>
      <c r="E616" s="113" t="e">
        <f>Profession!$B$283</f>
        <v>#REF!</v>
      </c>
      <c r="F616" s="19"/>
      <c r="G616" s="19"/>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56"/>
      <c r="BF616" s="4">
        <f t="shared" si="519"/>
        <v>0</v>
      </c>
      <c r="BG616" s="4">
        <f t="shared" si="519"/>
        <v>0</v>
      </c>
      <c r="BH616" s="4">
        <f t="shared" si="520"/>
        <v>0</v>
      </c>
      <c r="BI616" s="4">
        <f t="shared" si="521"/>
        <v>0</v>
      </c>
      <c r="BJ616" s="4">
        <f t="shared" si="522"/>
        <v>0</v>
      </c>
      <c r="BK616" s="4">
        <f t="shared" si="523"/>
        <v>0</v>
      </c>
      <c r="BL616" s="4">
        <f t="shared" si="524"/>
        <v>0</v>
      </c>
      <c r="BM616" s="4">
        <f t="shared" si="525"/>
        <v>0</v>
      </c>
      <c r="BN616" s="4">
        <f t="shared" si="526"/>
        <v>0</v>
      </c>
      <c r="BO616" s="4">
        <f t="shared" si="527"/>
        <v>0</v>
      </c>
      <c r="BP616" s="4">
        <f t="shared" si="528"/>
        <v>0</v>
      </c>
      <c r="BQ616" s="4">
        <f t="shared" si="529"/>
        <v>0</v>
      </c>
      <c r="BR616" s="4">
        <f t="shared" si="530"/>
        <v>0</v>
      </c>
      <c r="BS616" s="4">
        <f t="shared" si="531"/>
        <v>0</v>
      </c>
      <c r="BT616" s="4">
        <f t="shared" si="532"/>
        <v>0</v>
      </c>
      <c r="BU616" s="4">
        <f t="shared" si="533"/>
        <v>0</v>
      </c>
      <c r="BV616" s="4">
        <f t="shared" si="534"/>
        <v>0</v>
      </c>
      <c r="BW616" s="4">
        <f t="shared" si="535"/>
        <v>0</v>
      </c>
      <c r="BX616" s="4">
        <f t="shared" si="536"/>
        <v>0</v>
      </c>
      <c r="BY616" s="4">
        <f t="shared" si="537"/>
        <v>0</v>
      </c>
      <c r="BZ616" s="4">
        <f t="shared" si="538"/>
        <v>0</v>
      </c>
      <c r="CA616" s="4">
        <f t="shared" si="539"/>
        <v>0</v>
      </c>
      <c r="CB616" s="4">
        <f t="shared" si="540"/>
        <v>0</v>
      </c>
      <c r="CC616" s="4">
        <f t="shared" si="541"/>
        <v>0</v>
      </c>
      <c r="CD616" s="4">
        <f t="shared" si="542"/>
        <v>0</v>
      </c>
      <c r="CE616" s="4">
        <f t="shared" si="543"/>
        <v>0</v>
      </c>
      <c r="CF616" s="4">
        <f t="shared" si="544"/>
        <v>0</v>
      </c>
      <c r="CG616" s="4">
        <f t="shared" si="545"/>
        <v>0</v>
      </c>
      <c r="CH616" s="4">
        <f t="shared" si="546"/>
        <v>0</v>
      </c>
      <c r="CI616" s="4">
        <f t="shared" si="547"/>
        <v>0</v>
      </c>
      <c r="CJ616" s="4">
        <f t="shared" si="548"/>
        <v>0</v>
      </c>
      <c r="CK616" s="4">
        <f t="shared" si="549"/>
        <v>0</v>
      </c>
      <c r="CL616" s="4">
        <f t="shared" si="550"/>
        <v>0</v>
      </c>
      <c r="CM616" s="4">
        <f t="shared" si="551"/>
        <v>0</v>
      </c>
      <c r="CN616" s="4">
        <f t="shared" si="552"/>
        <v>0</v>
      </c>
      <c r="CO616" s="4">
        <f t="shared" si="553"/>
        <v>0</v>
      </c>
      <c r="CP616" s="4">
        <f t="shared" si="554"/>
        <v>0</v>
      </c>
      <c r="CQ616" s="4">
        <f t="shared" si="555"/>
        <v>0</v>
      </c>
      <c r="CR616" s="4">
        <f t="shared" si="556"/>
        <v>0</v>
      </c>
      <c r="CS616" s="4">
        <f t="shared" si="557"/>
        <v>0</v>
      </c>
      <c r="CT616" s="4">
        <f t="shared" si="558"/>
        <v>0</v>
      </c>
      <c r="CU616" s="4">
        <f t="shared" si="559"/>
        <v>0</v>
      </c>
      <c r="CV616" s="4">
        <f t="shared" si="560"/>
        <v>0</v>
      </c>
      <c r="CW616" s="4">
        <f t="shared" si="561"/>
        <v>0</v>
      </c>
      <c r="CX616" s="4">
        <f t="shared" si="562"/>
        <v>0</v>
      </c>
      <c r="CY616" s="4">
        <f t="shared" si="563"/>
        <v>0</v>
      </c>
      <c r="CZ616" s="4">
        <f t="shared" si="564"/>
        <v>0</v>
      </c>
      <c r="DA616" s="4">
        <f t="shared" si="565"/>
        <v>0</v>
      </c>
      <c r="DB616" s="4">
        <f t="shared" si="566"/>
        <v>0</v>
      </c>
      <c r="DC616" s="4">
        <f t="shared" si="567"/>
        <v>0</v>
      </c>
      <c r="DD616" s="4">
        <f t="shared" si="568"/>
        <v>0</v>
      </c>
    </row>
    <row r="617" spans="1:108" x14ac:dyDescent="0.25">
      <c r="A617" s="41" t="str">
        <f>Skills!M599</f>
        <v>Administration, Critic</v>
      </c>
      <c r="B617" s="57" t="str">
        <f>Skills!N599</f>
        <v>Critic</v>
      </c>
      <c r="C617" s="24">
        <f t="shared" si="569"/>
        <v>0</v>
      </c>
      <c r="D617" s="110" t="e">
        <f>Skills!S599</f>
        <v>#N/A</v>
      </c>
      <c r="E617" s="111" t="e">
        <f>Profession!$B$283</f>
        <v>#REF!</v>
      </c>
      <c r="F617" s="18"/>
      <c r="G617" s="18"/>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49"/>
      <c r="BF617" s="4">
        <f t="shared" ref="BF617:BR617" si="570">IF(F617=1,(LEFT($E617,2))*1,IF(F617=2,((LEFT($E617,2))+(MID($E617,FIND("/",$E617)+2,2))),IF(F617=3,((LEFT($E617,2))+(MID($E617,FIND("/",$E617)+2,2))+(RIGHT($E617,2))),0)))</f>
        <v>0</v>
      </c>
      <c r="BG617" s="4">
        <f t="shared" si="570"/>
        <v>0</v>
      </c>
      <c r="BH617" s="4">
        <f t="shared" si="570"/>
        <v>0</v>
      </c>
      <c r="BI617" s="4">
        <f t="shared" si="570"/>
        <v>0</v>
      </c>
      <c r="BJ617" s="4">
        <f t="shared" si="570"/>
        <v>0</v>
      </c>
      <c r="BK617" s="4">
        <f t="shared" si="570"/>
        <v>0</v>
      </c>
      <c r="BL617" s="4">
        <f t="shared" si="570"/>
        <v>0</v>
      </c>
      <c r="BM617" s="4">
        <f t="shared" si="570"/>
        <v>0</v>
      </c>
      <c r="BN617" s="4">
        <f t="shared" si="570"/>
        <v>0</v>
      </c>
      <c r="BO617" s="4">
        <f t="shared" si="570"/>
        <v>0</v>
      </c>
      <c r="BP617" s="4">
        <f t="shared" si="570"/>
        <v>0</v>
      </c>
      <c r="BQ617" s="4">
        <f t="shared" si="570"/>
        <v>0</v>
      </c>
      <c r="BR617" s="4">
        <f t="shared" si="570"/>
        <v>0</v>
      </c>
      <c r="BS617" s="4">
        <f t="shared" ref="BS617:CA617" si="571">IF(S617=1,(LEFT($E617,2))*1,IF(S617=2,((LEFT($E617,2))+(MID($E617,FIND("/",$E617)+2,2))),IF(S617=3,((LEFT($E617,2))+(MID($E617,FIND("/",$E617)+2,2))+(RIGHT($E617,2))),0)))</f>
        <v>0</v>
      </c>
      <c r="BT617" s="4">
        <f t="shared" si="571"/>
        <v>0</v>
      </c>
      <c r="BU617" s="4">
        <f t="shared" si="571"/>
        <v>0</v>
      </c>
      <c r="BV617" s="4">
        <f t="shared" si="571"/>
        <v>0</v>
      </c>
      <c r="BW617" s="4">
        <f t="shared" si="571"/>
        <v>0</v>
      </c>
      <c r="BX617" s="4">
        <f t="shared" si="571"/>
        <v>0</v>
      </c>
      <c r="BY617" s="4">
        <f t="shared" si="571"/>
        <v>0</v>
      </c>
      <c r="BZ617" s="4">
        <f t="shared" si="571"/>
        <v>0</v>
      </c>
      <c r="CA617" s="4">
        <f t="shared" si="571"/>
        <v>0</v>
      </c>
      <c r="CB617" s="4">
        <f t="shared" ref="CB617:DD617" si="572">IF(AB617=1,(LEFT($E617,2))*1,IF(AB617=2,((LEFT($E617,2))+(MID($E617,FIND("/",$E617)+2,2))),IF(AB617=3,((LEFT($E617,2))+(MID($E617,FIND("/",$E617)+2,2))+(RIGHT($E617,2))),0)))</f>
        <v>0</v>
      </c>
      <c r="CC617" s="4">
        <f t="shared" si="572"/>
        <v>0</v>
      </c>
      <c r="CD617" s="4">
        <f t="shared" si="572"/>
        <v>0</v>
      </c>
      <c r="CE617" s="4">
        <f t="shared" si="572"/>
        <v>0</v>
      </c>
      <c r="CF617" s="4">
        <f t="shared" si="572"/>
        <v>0</v>
      </c>
      <c r="CG617" s="4">
        <f t="shared" si="572"/>
        <v>0</v>
      </c>
      <c r="CH617" s="4">
        <f t="shared" si="572"/>
        <v>0</v>
      </c>
      <c r="CI617" s="4">
        <f t="shared" si="572"/>
        <v>0</v>
      </c>
      <c r="CJ617" s="4">
        <f t="shared" si="572"/>
        <v>0</v>
      </c>
      <c r="CK617" s="4">
        <f t="shared" si="572"/>
        <v>0</v>
      </c>
      <c r="CL617" s="4">
        <f t="shared" si="572"/>
        <v>0</v>
      </c>
      <c r="CM617" s="4">
        <f t="shared" si="572"/>
        <v>0</v>
      </c>
      <c r="CN617" s="4">
        <f t="shared" si="572"/>
        <v>0</v>
      </c>
      <c r="CO617" s="4">
        <f t="shared" si="572"/>
        <v>0</v>
      </c>
      <c r="CP617" s="4">
        <f t="shared" si="572"/>
        <v>0</v>
      </c>
      <c r="CQ617" s="4">
        <f t="shared" si="572"/>
        <v>0</v>
      </c>
      <c r="CR617" s="4">
        <f t="shared" si="572"/>
        <v>0</v>
      </c>
      <c r="CS617" s="4">
        <f t="shared" si="572"/>
        <v>0</v>
      </c>
      <c r="CT617" s="4">
        <f t="shared" si="572"/>
        <v>0</v>
      </c>
      <c r="CU617" s="4">
        <f t="shared" si="572"/>
        <v>0</v>
      </c>
      <c r="CV617" s="4">
        <f t="shared" si="572"/>
        <v>0</v>
      </c>
      <c r="CW617" s="4">
        <f t="shared" si="572"/>
        <v>0</v>
      </c>
      <c r="CX617" s="4">
        <f t="shared" si="572"/>
        <v>0</v>
      </c>
      <c r="CY617" s="4">
        <f t="shared" si="572"/>
        <v>0</v>
      </c>
      <c r="CZ617" s="4">
        <f t="shared" si="572"/>
        <v>0</v>
      </c>
      <c r="DA617" s="4">
        <f t="shared" si="572"/>
        <v>0</v>
      </c>
      <c r="DB617" s="4">
        <f t="shared" si="572"/>
        <v>0</v>
      </c>
      <c r="DC617" s="4">
        <f t="shared" si="572"/>
        <v>0</v>
      </c>
      <c r="DD617" s="4">
        <f t="shared" si="572"/>
        <v>0</v>
      </c>
    </row>
    <row r="618" spans="1:108" x14ac:dyDescent="0.25">
      <c r="A618" s="41">
        <f>Skills!M600</f>
        <v>0</v>
      </c>
      <c r="B618" s="55" t="str">
        <f>Skills!N600</f>
        <v>Service Sub-category</v>
      </c>
      <c r="C618" s="22">
        <f t="shared" si="569"/>
        <v>0</v>
      </c>
      <c r="D618" s="112" t="str">
        <f>Skills!S600</f>
        <v>- -</v>
      </c>
      <c r="E618" s="113" t="s">
        <v>782</v>
      </c>
      <c r="F618" s="19"/>
      <c r="G618" s="19"/>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56"/>
      <c r="BF618" s="4">
        <f t="shared" ref="BF618:BF638" si="573">IF(F618=1,(LEFT($E618,2))*1,IF(F618=2,((LEFT($E618,2))+(MID($E618,FIND("/",$E618)+2,2))),IF(F618=3,((LEFT($E618,2))+(MID($E618,FIND("/",$E618)+2,2))+(RIGHT($E618,2))),0)))</f>
        <v>0</v>
      </c>
      <c r="BG618" s="4">
        <f t="shared" ref="BG618:BG638" si="574">IF(G618=1,(LEFT($E618,2))*1,IF(G618=2,((LEFT($E618,2))+(MID($E618,FIND("/",$E618)+2,2))),IF(G618=3,((LEFT($E618,2))+(MID($E618,FIND("/",$E618)+2,2))+(RIGHT($E618,2))),0)))</f>
        <v>0</v>
      </c>
      <c r="BH618" s="4">
        <f t="shared" ref="BH618:BH638" si="575">IF(H618=1,(LEFT($E618,2))*1,IF(H618=2,((LEFT($E618,2))+(MID($E618,FIND("/",$E618)+2,2))),IF(H618=3,((LEFT($E618,2))+(MID($E618,FIND("/",$E618)+2,2))+(RIGHT($E618,2))),0)))</f>
        <v>0</v>
      </c>
      <c r="BI618" s="4">
        <f t="shared" ref="BI618:BI638" si="576">IF(I618=1,(LEFT($E618,2))*1,IF(I618=2,((LEFT($E618,2))+(MID($E618,FIND("/",$E618)+2,2))),IF(I618=3,((LEFT($E618,2))+(MID($E618,FIND("/",$E618)+2,2))+(RIGHT($E618,2))),0)))</f>
        <v>0</v>
      </c>
      <c r="BJ618" s="4">
        <f t="shared" ref="BJ618:BJ638" si="577">IF(J618=1,(LEFT($E618,2))*1,IF(J618=2,((LEFT($E618,2))+(MID($E618,FIND("/",$E618)+2,2))),IF(J618=3,((LEFT($E618,2))+(MID($E618,FIND("/",$E618)+2,2))+(RIGHT($E618,2))),0)))</f>
        <v>0</v>
      </c>
      <c r="BK618" s="4">
        <f t="shared" ref="BK618:BK638" si="578">IF(K618=1,(LEFT($E618,2))*1,IF(K618=2,((LEFT($E618,2))+(MID($E618,FIND("/",$E618)+2,2))),IF(K618=3,((LEFT($E618,2))+(MID($E618,FIND("/",$E618)+2,2))+(RIGHT($E618,2))),0)))</f>
        <v>0</v>
      </c>
      <c r="BL618" s="4">
        <f t="shared" ref="BL618:BL638" si="579">IF(L618=1,(LEFT($E618,2))*1,IF(L618=2,((LEFT($E618,2))+(MID($E618,FIND("/",$E618)+2,2))),IF(L618=3,((LEFT($E618,2))+(MID($E618,FIND("/",$E618)+2,2))+(RIGHT($E618,2))),0)))</f>
        <v>0</v>
      </c>
      <c r="BM618" s="4">
        <f t="shared" ref="BM618:BM638" si="580">IF(M618=1,(LEFT($E618,2))*1,IF(M618=2,((LEFT($E618,2))+(MID($E618,FIND("/",$E618)+2,2))),IF(M618=3,((LEFT($E618,2))+(MID($E618,FIND("/",$E618)+2,2))+(RIGHT($E618,2))),0)))</f>
        <v>0</v>
      </c>
      <c r="BN618" s="4">
        <f t="shared" ref="BN618:BN638" si="581">IF(N618=1,(LEFT($E618,2))*1,IF(N618=2,((LEFT($E618,2))+(MID($E618,FIND("/",$E618)+2,2))),IF(N618=3,((LEFT($E618,2))+(MID($E618,FIND("/",$E618)+2,2))+(RIGHT($E618,2))),0)))</f>
        <v>0</v>
      </c>
      <c r="BO618" s="4">
        <f t="shared" ref="BO618:BO638" si="582">IF(O618=1,(LEFT($E618,2))*1,IF(O618=2,((LEFT($E618,2))+(MID($E618,FIND("/",$E618)+2,2))),IF(O618=3,((LEFT($E618,2))+(MID($E618,FIND("/",$E618)+2,2))+(RIGHT($E618,2))),0)))</f>
        <v>0</v>
      </c>
      <c r="BP618" s="4">
        <f t="shared" ref="BP618:BP638" si="583">IF(P618=1,(LEFT($E618,2))*1,IF(P618=2,((LEFT($E618,2))+(MID($E618,FIND("/",$E618)+2,2))),IF(P618=3,((LEFT($E618,2))+(MID($E618,FIND("/",$E618)+2,2))+(RIGHT($E618,2))),0)))</f>
        <v>0</v>
      </c>
      <c r="BQ618" s="4">
        <f t="shared" ref="BQ618:BQ638" si="584">IF(Q618=1,(LEFT($E618,2))*1,IF(Q618=2,((LEFT($E618,2))+(MID($E618,FIND("/",$E618)+2,2))),IF(Q618=3,((LEFT($E618,2))+(MID($E618,FIND("/",$E618)+2,2))+(RIGHT($E618,2))),0)))</f>
        <v>0</v>
      </c>
      <c r="BR618" s="4">
        <f t="shared" ref="BR618:BR638" si="585">IF(R618=1,(LEFT($E618,2))*1,IF(R618=2,((LEFT($E618,2))+(MID($E618,FIND("/",$E618)+2,2))),IF(R618=3,((LEFT($E618,2))+(MID($E618,FIND("/",$E618)+2,2))+(RIGHT($E618,2))),0)))</f>
        <v>0</v>
      </c>
      <c r="BS618" s="4">
        <f t="shared" ref="BS618:BS638" si="586">IF(S618=1,(LEFT($E618,2))*1,IF(S618=2,((LEFT($E618,2))+(MID($E618,FIND("/",$E618)+2,2))),IF(S618=3,((LEFT($E618,2))+(MID($E618,FIND("/",$E618)+2,2))+(RIGHT($E618,2))),0)))</f>
        <v>0</v>
      </c>
      <c r="BT618" s="4">
        <f t="shared" ref="BT618:BT638" si="587">IF(T618=1,(LEFT($E618,2))*1,IF(T618=2,((LEFT($E618,2))+(MID($E618,FIND("/",$E618)+2,2))),IF(T618=3,((LEFT($E618,2))+(MID($E618,FIND("/",$E618)+2,2))+(RIGHT($E618,2))),0)))</f>
        <v>0</v>
      </c>
      <c r="BU618" s="4">
        <f t="shared" ref="BU618:BU638" si="588">IF(U618=1,(LEFT($E618,2))*1,IF(U618=2,((LEFT($E618,2))+(MID($E618,FIND("/",$E618)+2,2))),IF(U618=3,((LEFT($E618,2))+(MID($E618,FIND("/",$E618)+2,2))+(RIGHT($E618,2))),0)))</f>
        <v>0</v>
      </c>
      <c r="BV618" s="4">
        <f t="shared" ref="BV618:BV638" si="589">IF(V618=1,(LEFT($E618,2))*1,IF(V618=2,((LEFT($E618,2))+(MID($E618,FIND("/",$E618)+2,2))),IF(V618=3,((LEFT($E618,2))+(MID($E618,FIND("/",$E618)+2,2))+(RIGHT($E618,2))),0)))</f>
        <v>0</v>
      </c>
      <c r="BW618" s="4">
        <f t="shared" ref="BW618:BW638" si="590">IF(W618=1,(LEFT($E618,2))*1,IF(W618=2,((LEFT($E618,2))+(MID($E618,FIND("/",$E618)+2,2))),IF(W618=3,((LEFT($E618,2))+(MID($E618,FIND("/",$E618)+2,2))+(RIGHT($E618,2))),0)))</f>
        <v>0</v>
      </c>
      <c r="BX618" s="4">
        <f t="shared" ref="BX618:BX638" si="591">IF(X618=1,(LEFT($E618,2))*1,IF(X618=2,((LEFT($E618,2))+(MID($E618,FIND("/",$E618)+2,2))),IF(X618=3,((LEFT($E618,2))+(MID($E618,FIND("/",$E618)+2,2))+(RIGHT($E618,2))),0)))</f>
        <v>0</v>
      </c>
      <c r="BY618" s="4">
        <f t="shared" ref="BY618:BY638" si="592">IF(Y618=1,(LEFT($E618,2))*1,IF(Y618=2,((LEFT($E618,2))+(MID($E618,FIND("/",$E618)+2,2))),IF(Y618=3,((LEFT($E618,2))+(MID($E618,FIND("/",$E618)+2,2))+(RIGHT($E618,2))),0)))</f>
        <v>0</v>
      </c>
      <c r="BZ618" s="4">
        <f t="shared" ref="BZ618:BZ638" si="593">IF(Z618=1,(LEFT($E618,2))*1,IF(Z618=2,((LEFT($E618,2))+(MID($E618,FIND("/",$E618)+2,2))),IF(Z618=3,((LEFT($E618,2))+(MID($E618,FIND("/",$E618)+2,2))+(RIGHT($E618,2))),0)))</f>
        <v>0</v>
      </c>
      <c r="CA618" s="4">
        <f t="shared" ref="CA618:CA638" si="594">IF(AA618=1,(LEFT($E618,2))*1,IF(AA618=2,((LEFT($E618,2))+(MID($E618,FIND("/",$E618)+2,2))),IF(AA618=3,((LEFT($E618,2))+(MID($E618,FIND("/",$E618)+2,2))+(RIGHT($E618,2))),0)))</f>
        <v>0</v>
      </c>
      <c r="CB618" s="4">
        <f t="shared" ref="CB618:CB638" si="595">IF(AB618=1,(LEFT($E618,2))*1,IF(AB618=2,((LEFT($E618,2))+(MID($E618,FIND("/",$E618)+2,2))),IF(AB618=3,((LEFT($E618,2))+(MID($E618,FIND("/",$E618)+2,2))+(RIGHT($E618,2))),0)))</f>
        <v>0</v>
      </c>
      <c r="CC618" s="4">
        <f t="shared" ref="CC618:CC638" si="596">IF(AC618=1,(LEFT($E618,2))*1,IF(AC618=2,((LEFT($E618,2))+(MID($E618,FIND("/",$E618)+2,2))),IF(AC618=3,((LEFT($E618,2))+(MID($E618,FIND("/",$E618)+2,2))+(RIGHT($E618,2))),0)))</f>
        <v>0</v>
      </c>
      <c r="CD618" s="4">
        <f t="shared" ref="CD618:CD638" si="597">IF(AD618=1,(LEFT($E618,2))*1,IF(AD618=2,((LEFT($E618,2))+(MID($E618,FIND("/",$E618)+2,2))),IF(AD618=3,((LEFT($E618,2))+(MID($E618,FIND("/",$E618)+2,2))+(RIGHT($E618,2))),0)))</f>
        <v>0</v>
      </c>
      <c r="CE618" s="4">
        <f t="shared" ref="CE618:CE638" si="598">IF(AE618=1,(LEFT($E618,2))*1,IF(AE618=2,((LEFT($E618,2))+(MID($E618,FIND("/",$E618)+2,2))),IF(AE618=3,((LEFT($E618,2))+(MID($E618,FIND("/",$E618)+2,2))+(RIGHT($E618,2))),0)))</f>
        <v>0</v>
      </c>
      <c r="CF618" s="4">
        <f t="shared" ref="CF618:CF638" si="599">IF(AF618=1,(LEFT($E618,2))*1,IF(AF618=2,((LEFT($E618,2))+(MID($E618,FIND("/",$E618)+2,2))),IF(AF618=3,((LEFT($E618,2))+(MID($E618,FIND("/",$E618)+2,2))+(RIGHT($E618,2))),0)))</f>
        <v>0</v>
      </c>
      <c r="CG618" s="4">
        <f t="shared" ref="CG618:CG638" si="600">IF(AG618=1,(LEFT($E618,2))*1,IF(AG618=2,((LEFT($E618,2))+(MID($E618,FIND("/",$E618)+2,2))),IF(AG618=3,((LEFT($E618,2))+(MID($E618,FIND("/",$E618)+2,2))+(RIGHT($E618,2))),0)))</f>
        <v>0</v>
      </c>
      <c r="CH618" s="4">
        <f t="shared" ref="CH618:CH638" si="601">IF(AH618=1,(LEFT($E618,2))*1,IF(AH618=2,((LEFT($E618,2))+(MID($E618,FIND("/",$E618)+2,2))),IF(AH618=3,((LEFT($E618,2))+(MID($E618,FIND("/",$E618)+2,2))+(RIGHT($E618,2))),0)))</f>
        <v>0</v>
      </c>
      <c r="CI618" s="4">
        <f t="shared" ref="CI618:CI638" si="602">IF(AI618=1,(LEFT($E618,2))*1,IF(AI618=2,((LEFT($E618,2))+(MID($E618,FIND("/",$E618)+2,2))),IF(AI618=3,((LEFT($E618,2))+(MID($E618,FIND("/",$E618)+2,2))+(RIGHT($E618,2))),0)))</f>
        <v>0</v>
      </c>
      <c r="CJ618" s="4">
        <f t="shared" ref="CJ618:CJ638" si="603">IF(AJ618=1,(LEFT($E618,2))*1,IF(AJ618=2,((LEFT($E618,2))+(MID($E618,FIND("/",$E618)+2,2))),IF(AJ618=3,((LEFT($E618,2))+(MID($E618,FIND("/",$E618)+2,2))+(RIGHT($E618,2))),0)))</f>
        <v>0</v>
      </c>
      <c r="CK618" s="4">
        <f t="shared" ref="CK618:CK638" si="604">IF(AK618=1,(LEFT($E618,2))*1,IF(AK618=2,((LEFT($E618,2))+(MID($E618,FIND("/",$E618)+2,2))),IF(AK618=3,((LEFT($E618,2))+(MID($E618,FIND("/",$E618)+2,2))+(RIGHT($E618,2))),0)))</f>
        <v>0</v>
      </c>
      <c r="CL618" s="4">
        <f t="shared" ref="CL618:CL638" si="605">IF(AL618=1,(LEFT($E618,2))*1,IF(AL618=2,((LEFT($E618,2))+(MID($E618,FIND("/",$E618)+2,2))),IF(AL618=3,((LEFT($E618,2))+(MID($E618,FIND("/",$E618)+2,2))+(RIGHT($E618,2))),0)))</f>
        <v>0</v>
      </c>
      <c r="CM618" s="4">
        <f t="shared" ref="CM618:CM638" si="606">IF(AM618=1,(LEFT($E618,2))*1,IF(AM618=2,((LEFT($E618,2))+(MID($E618,FIND("/",$E618)+2,2))),IF(AM618=3,((LEFT($E618,2))+(MID($E618,FIND("/",$E618)+2,2))+(RIGHT($E618,2))),0)))</f>
        <v>0</v>
      </c>
      <c r="CN618" s="4">
        <f t="shared" ref="CN618:CN638" si="607">IF(AN618=1,(LEFT($E618,2))*1,IF(AN618=2,((LEFT($E618,2))+(MID($E618,FIND("/",$E618)+2,2))),IF(AN618=3,((LEFT($E618,2))+(MID($E618,FIND("/",$E618)+2,2))+(RIGHT($E618,2))),0)))</f>
        <v>0</v>
      </c>
      <c r="CO618" s="4">
        <f t="shared" ref="CO618:CO638" si="608">IF(AO618=1,(LEFT($E618,2))*1,IF(AO618=2,((LEFT($E618,2))+(MID($E618,FIND("/",$E618)+2,2))),IF(AO618=3,((LEFT($E618,2))+(MID($E618,FIND("/",$E618)+2,2))+(RIGHT($E618,2))),0)))</f>
        <v>0</v>
      </c>
      <c r="CP618" s="4">
        <f t="shared" ref="CP618:CP638" si="609">IF(AP618=1,(LEFT($E618,2))*1,IF(AP618=2,((LEFT($E618,2))+(MID($E618,FIND("/",$E618)+2,2))),IF(AP618=3,((LEFT($E618,2))+(MID($E618,FIND("/",$E618)+2,2))+(RIGHT($E618,2))),0)))</f>
        <v>0</v>
      </c>
      <c r="CQ618" s="4">
        <f t="shared" ref="CQ618:CQ638" si="610">IF(AQ618=1,(LEFT($E618,2))*1,IF(AQ618=2,((LEFT($E618,2))+(MID($E618,FIND("/",$E618)+2,2))),IF(AQ618=3,((LEFT($E618,2))+(MID($E618,FIND("/",$E618)+2,2))+(RIGHT($E618,2))),0)))</f>
        <v>0</v>
      </c>
      <c r="CR618" s="4">
        <f t="shared" ref="CR618:CR638" si="611">IF(AR618=1,(LEFT($E618,2))*1,IF(AR618=2,((LEFT($E618,2))+(MID($E618,FIND("/",$E618)+2,2))),IF(AR618=3,((LEFT($E618,2))+(MID($E618,FIND("/",$E618)+2,2))+(RIGHT($E618,2))),0)))</f>
        <v>0</v>
      </c>
      <c r="CS618" s="4">
        <f t="shared" ref="CS618:CS638" si="612">IF(AS618=1,(LEFT($E618,2))*1,IF(AS618=2,((LEFT($E618,2))+(MID($E618,FIND("/",$E618)+2,2))),IF(AS618=3,((LEFT($E618,2))+(MID($E618,FIND("/",$E618)+2,2))+(RIGHT($E618,2))),0)))</f>
        <v>0</v>
      </c>
      <c r="CT618" s="4">
        <f t="shared" ref="CT618:CT638" si="613">IF(AT618=1,(LEFT($E618,2))*1,IF(AT618=2,((LEFT($E618,2))+(MID($E618,FIND("/",$E618)+2,2))),IF(AT618=3,((LEFT($E618,2))+(MID($E618,FIND("/",$E618)+2,2))+(RIGHT($E618,2))),0)))</f>
        <v>0</v>
      </c>
      <c r="CU618" s="4">
        <f t="shared" ref="CU618:CU638" si="614">IF(AU618=1,(LEFT($E618,2))*1,IF(AU618=2,((LEFT($E618,2))+(MID($E618,FIND("/",$E618)+2,2))),IF(AU618=3,((LEFT($E618,2))+(MID($E618,FIND("/",$E618)+2,2))+(RIGHT($E618,2))),0)))</f>
        <v>0</v>
      </c>
      <c r="CV618" s="4">
        <f t="shared" ref="CV618:CV638" si="615">IF(AV618=1,(LEFT($E618,2))*1,IF(AV618=2,((LEFT($E618,2))+(MID($E618,FIND("/",$E618)+2,2))),IF(AV618=3,((LEFT($E618,2))+(MID($E618,FIND("/",$E618)+2,2))+(RIGHT($E618,2))),0)))</f>
        <v>0</v>
      </c>
      <c r="CW618" s="4">
        <f t="shared" ref="CW618:CW638" si="616">IF(AW618=1,(LEFT($E618,2))*1,IF(AW618=2,((LEFT($E618,2))+(MID($E618,FIND("/",$E618)+2,2))),IF(AW618=3,((LEFT($E618,2))+(MID($E618,FIND("/",$E618)+2,2))+(RIGHT($E618,2))),0)))</f>
        <v>0</v>
      </c>
      <c r="CX618" s="4">
        <f t="shared" ref="CX618:CX638" si="617">IF(AX618=1,(LEFT($E618,2))*1,IF(AX618=2,((LEFT($E618,2))+(MID($E618,FIND("/",$E618)+2,2))),IF(AX618=3,((LEFT($E618,2))+(MID($E618,FIND("/",$E618)+2,2))+(RIGHT($E618,2))),0)))</f>
        <v>0</v>
      </c>
      <c r="CY618" s="4">
        <f t="shared" ref="CY618:CY638" si="618">IF(AY618=1,(LEFT($E618,2))*1,IF(AY618=2,((LEFT($E618,2))+(MID($E618,FIND("/",$E618)+2,2))),IF(AY618=3,((LEFT($E618,2))+(MID($E618,FIND("/",$E618)+2,2))+(RIGHT($E618,2))),0)))</f>
        <v>0</v>
      </c>
      <c r="CZ618" s="4">
        <f t="shared" ref="CZ618:CZ638" si="619">IF(AZ618=1,(LEFT($E618,2))*1,IF(AZ618=2,((LEFT($E618,2))+(MID($E618,FIND("/",$E618)+2,2))),IF(AZ618=3,((LEFT($E618,2))+(MID($E618,FIND("/",$E618)+2,2))+(RIGHT($E618,2))),0)))</f>
        <v>0</v>
      </c>
      <c r="DA618" s="4">
        <f t="shared" ref="DA618:DA638" si="620">IF(BA618=1,(LEFT($E618,2))*1,IF(BA618=2,((LEFT($E618,2))+(MID($E618,FIND("/",$E618)+2,2))),IF(BA618=3,((LEFT($E618,2))+(MID($E618,FIND("/",$E618)+2,2))+(RIGHT($E618,2))),0)))</f>
        <v>0</v>
      </c>
      <c r="DB618" s="4">
        <f t="shared" ref="DB618:DB638" si="621">IF(BB618=1,(LEFT($E618,2))*1,IF(BB618=2,((LEFT($E618,2))+(MID($E618,FIND("/",$E618)+2,2))),IF(BB618=3,((LEFT($E618,2))+(MID($E618,FIND("/",$E618)+2,2))+(RIGHT($E618,2))),0)))</f>
        <v>0</v>
      </c>
      <c r="DC618" s="4">
        <f t="shared" ref="DC618:DC638" si="622">IF(BC618=1,(LEFT($E618,2))*1,IF(BC618=2,((LEFT($E618,2))+(MID($E618,FIND("/",$E618)+2,2))),IF(BC618=3,((LEFT($E618,2))+(MID($E618,FIND("/",$E618)+2,2))+(RIGHT($E618,2))),0)))</f>
        <v>0</v>
      </c>
      <c r="DD618" s="4">
        <f t="shared" ref="DD618:DD638" si="623">IF(BD618=1,(LEFT($E618,2))*1,IF(BD618=2,((LEFT($E618,2))+(MID($E618,FIND("/",$E618)+2,2))),IF(BD618=3,((LEFT($E618,2))+(MID($E618,FIND("/",$E618)+2,2))+(RIGHT($E618,2))),0)))</f>
        <v>0</v>
      </c>
    </row>
    <row r="619" spans="1:108" x14ac:dyDescent="0.25">
      <c r="A619" s="41">
        <f>Skills!M601</f>
        <v>0</v>
      </c>
      <c r="B619" s="57" t="str">
        <f>Skills!N601</f>
        <v>Service Skills</v>
      </c>
      <c r="C619" s="24">
        <f t="shared" si="569"/>
        <v>0</v>
      </c>
      <c r="D619" s="110" t="str">
        <f>Skills!S601</f>
        <v>- -</v>
      </c>
      <c r="E619" s="111" t="s">
        <v>782</v>
      </c>
      <c r="F619" s="18"/>
      <c r="G619" s="18"/>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49"/>
      <c r="BF619" s="4">
        <f t="shared" si="573"/>
        <v>0</v>
      </c>
      <c r="BG619" s="4">
        <f t="shared" si="574"/>
        <v>0</v>
      </c>
      <c r="BH619" s="4">
        <f t="shared" si="575"/>
        <v>0</v>
      </c>
      <c r="BI619" s="4">
        <f t="shared" si="576"/>
        <v>0</v>
      </c>
      <c r="BJ619" s="4">
        <f t="shared" si="577"/>
        <v>0</v>
      </c>
      <c r="BK619" s="4">
        <f t="shared" si="578"/>
        <v>0</v>
      </c>
      <c r="BL619" s="4">
        <f t="shared" si="579"/>
        <v>0</v>
      </c>
      <c r="BM619" s="4">
        <f t="shared" si="580"/>
        <v>0</v>
      </c>
      <c r="BN619" s="4">
        <f t="shared" si="581"/>
        <v>0</v>
      </c>
      <c r="BO619" s="4">
        <f t="shared" si="582"/>
        <v>0</v>
      </c>
      <c r="BP619" s="4">
        <f t="shared" si="583"/>
        <v>0</v>
      </c>
      <c r="BQ619" s="4">
        <f t="shared" si="584"/>
        <v>0</v>
      </c>
      <c r="BR619" s="4">
        <f t="shared" si="585"/>
        <v>0</v>
      </c>
      <c r="BS619" s="4">
        <f t="shared" si="586"/>
        <v>0</v>
      </c>
      <c r="BT619" s="4">
        <f t="shared" si="587"/>
        <v>0</v>
      </c>
      <c r="BU619" s="4">
        <f t="shared" si="588"/>
        <v>0</v>
      </c>
      <c r="BV619" s="4">
        <f t="shared" si="589"/>
        <v>0</v>
      </c>
      <c r="BW619" s="4">
        <f t="shared" si="590"/>
        <v>0</v>
      </c>
      <c r="BX619" s="4">
        <f t="shared" si="591"/>
        <v>0</v>
      </c>
      <c r="BY619" s="4">
        <f t="shared" si="592"/>
        <v>0</v>
      </c>
      <c r="BZ619" s="4">
        <f t="shared" si="593"/>
        <v>0</v>
      </c>
      <c r="CA619" s="4">
        <f t="shared" si="594"/>
        <v>0</v>
      </c>
      <c r="CB619" s="4">
        <f t="shared" si="595"/>
        <v>0</v>
      </c>
      <c r="CC619" s="4">
        <f t="shared" si="596"/>
        <v>0</v>
      </c>
      <c r="CD619" s="4">
        <f t="shared" si="597"/>
        <v>0</v>
      </c>
      <c r="CE619" s="4">
        <f t="shared" si="598"/>
        <v>0</v>
      </c>
      <c r="CF619" s="4">
        <f t="shared" si="599"/>
        <v>0</v>
      </c>
      <c r="CG619" s="4">
        <f t="shared" si="600"/>
        <v>0</v>
      </c>
      <c r="CH619" s="4">
        <f t="shared" si="601"/>
        <v>0</v>
      </c>
      <c r="CI619" s="4">
        <f t="shared" si="602"/>
        <v>0</v>
      </c>
      <c r="CJ619" s="4">
        <f t="shared" si="603"/>
        <v>0</v>
      </c>
      <c r="CK619" s="4">
        <f t="shared" si="604"/>
        <v>0</v>
      </c>
      <c r="CL619" s="4">
        <f t="shared" si="605"/>
        <v>0</v>
      </c>
      <c r="CM619" s="4">
        <f t="shared" si="606"/>
        <v>0</v>
      </c>
      <c r="CN619" s="4">
        <f t="shared" si="607"/>
        <v>0</v>
      </c>
      <c r="CO619" s="4">
        <f t="shared" si="608"/>
        <v>0</v>
      </c>
      <c r="CP619" s="4">
        <f t="shared" si="609"/>
        <v>0</v>
      </c>
      <c r="CQ619" s="4">
        <f t="shared" si="610"/>
        <v>0</v>
      </c>
      <c r="CR619" s="4">
        <f t="shared" si="611"/>
        <v>0</v>
      </c>
      <c r="CS619" s="4">
        <f t="shared" si="612"/>
        <v>0</v>
      </c>
      <c r="CT619" s="4">
        <f t="shared" si="613"/>
        <v>0</v>
      </c>
      <c r="CU619" s="4">
        <f t="shared" si="614"/>
        <v>0</v>
      </c>
      <c r="CV619" s="4">
        <f t="shared" si="615"/>
        <v>0</v>
      </c>
      <c r="CW619" s="4">
        <f t="shared" si="616"/>
        <v>0</v>
      </c>
      <c r="CX619" s="4">
        <f t="shared" si="617"/>
        <v>0</v>
      </c>
      <c r="CY619" s="4">
        <f t="shared" si="618"/>
        <v>0</v>
      </c>
      <c r="CZ619" s="4">
        <f t="shared" si="619"/>
        <v>0</v>
      </c>
      <c r="DA619" s="4">
        <f t="shared" si="620"/>
        <v>0</v>
      </c>
      <c r="DB619" s="4">
        <f t="shared" si="621"/>
        <v>0</v>
      </c>
      <c r="DC619" s="4">
        <f t="shared" si="622"/>
        <v>0</v>
      </c>
      <c r="DD619" s="4">
        <f t="shared" si="623"/>
        <v>0</v>
      </c>
    </row>
    <row r="620" spans="1:108" x14ac:dyDescent="0.25">
      <c r="A620" s="41" t="str">
        <f>Skills!M602</f>
        <v>Service, Attendant</v>
      </c>
      <c r="B620" s="55" t="str">
        <f>Skills!N602</f>
        <v>Attendant</v>
      </c>
      <c r="C620" s="22">
        <f t="shared" si="569"/>
        <v>0</v>
      </c>
      <c r="D620" s="112" t="e">
        <f ca="1">Skills!S602</f>
        <v>#N/A</v>
      </c>
      <c r="E620" s="113" t="e">
        <f>Profession!$B$284</f>
        <v>#REF!</v>
      </c>
      <c r="F620" s="19"/>
      <c r="G620" s="19"/>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56"/>
      <c r="BF620" s="4">
        <f t="shared" si="573"/>
        <v>0</v>
      </c>
      <c r="BG620" s="4">
        <f t="shared" si="574"/>
        <v>0</v>
      </c>
      <c r="BH620" s="4">
        <f t="shared" si="575"/>
        <v>0</v>
      </c>
      <c r="BI620" s="4">
        <f t="shared" si="576"/>
        <v>0</v>
      </c>
      <c r="BJ620" s="4">
        <f t="shared" si="577"/>
        <v>0</v>
      </c>
      <c r="BK620" s="4">
        <f t="shared" si="578"/>
        <v>0</v>
      </c>
      <c r="BL620" s="4">
        <f t="shared" si="579"/>
        <v>0</v>
      </c>
      <c r="BM620" s="4">
        <f t="shared" si="580"/>
        <v>0</v>
      </c>
      <c r="BN620" s="4">
        <f t="shared" si="581"/>
        <v>0</v>
      </c>
      <c r="BO620" s="4">
        <f t="shared" si="582"/>
        <v>0</v>
      </c>
      <c r="BP620" s="4">
        <f t="shared" si="583"/>
        <v>0</v>
      </c>
      <c r="BQ620" s="4">
        <f t="shared" si="584"/>
        <v>0</v>
      </c>
      <c r="BR620" s="4">
        <f t="shared" si="585"/>
        <v>0</v>
      </c>
      <c r="BS620" s="4">
        <f t="shared" si="586"/>
        <v>0</v>
      </c>
      <c r="BT620" s="4">
        <f t="shared" si="587"/>
        <v>0</v>
      </c>
      <c r="BU620" s="4">
        <f t="shared" si="588"/>
        <v>0</v>
      </c>
      <c r="BV620" s="4">
        <f t="shared" si="589"/>
        <v>0</v>
      </c>
      <c r="BW620" s="4">
        <f t="shared" si="590"/>
        <v>0</v>
      </c>
      <c r="BX620" s="4">
        <f t="shared" si="591"/>
        <v>0</v>
      </c>
      <c r="BY620" s="4">
        <f t="shared" si="592"/>
        <v>0</v>
      </c>
      <c r="BZ620" s="4">
        <f t="shared" si="593"/>
        <v>0</v>
      </c>
      <c r="CA620" s="4">
        <f t="shared" si="594"/>
        <v>0</v>
      </c>
      <c r="CB620" s="4">
        <f t="shared" si="595"/>
        <v>0</v>
      </c>
      <c r="CC620" s="4">
        <f t="shared" si="596"/>
        <v>0</v>
      </c>
      <c r="CD620" s="4">
        <f t="shared" si="597"/>
        <v>0</v>
      </c>
      <c r="CE620" s="4">
        <f t="shared" si="598"/>
        <v>0</v>
      </c>
      <c r="CF620" s="4">
        <f t="shared" si="599"/>
        <v>0</v>
      </c>
      <c r="CG620" s="4">
        <f t="shared" si="600"/>
        <v>0</v>
      </c>
      <c r="CH620" s="4">
        <f t="shared" si="601"/>
        <v>0</v>
      </c>
      <c r="CI620" s="4">
        <f t="shared" si="602"/>
        <v>0</v>
      </c>
      <c r="CJ620" s="4">
        <f t="shared" si="603"/>
        <v>0</v>
      </c>
      <c r="CK620" s="4">
        <f t="shared" si="604"/>
        <v>0</v>
      </c>
      <c r="CL620" s="4">
        <f t="shared" si="605"/>
        <v>0</v>
      </c>
      <c r="CM620" s="4">
        <f t="shared" si="606"/>
        <v>0</v>
      </c>
      <c r="CN620" s="4">
        <f t="shared" si="607"/>
        <v>0</v>
      </c>
      <c r="CO620" s="4">
        <f t="shared" si="608"/>
        <v>0</v>
      </c>
      <c r="CP620" s="4">
        <f t="shared" si="609"/>
        <v>0</v>
      </c>
      <c r="CQ620" s="4">
        <f t="shared" si="610"/>
        <v>0</v>
      </c>
      <c r="CR620" s="4">
        <f t="shared" si="611"/>
        <v>0</v>
      </c>
      <c r="CS620" s="4">
        <f t="shared" si="612"/>
        <v>0</v>
      </c>
      <c r="CT620" s="4">
        <f t="shared" si="613"/>
        <v>0</v>
      </c>
      <c r="CU620" s="4">
        <f t="shared" si="614"/>
        <v>0</v>
      </c>
      <c r="CV620" s="4">
        <f t="shared" si="615"/>
        <v>0</v>
      </c>
      <c r="CW620" s="4">
        <f t="shared" si="616"/>
        <v>0</v>
      </c>
      <c r="CX620" s="4">
        <f t="shared" si="617"/>
        <v>0</v>
      </c>
      <c r="CY620" s="4">
        <f t="shared" si="618"/>
        <v>0</v>
      </c>
      <c r="CZ620" s="4">
        <f t="shared" si="619"/>
        <v>0</v>
      </c>
      <c r="DA620" s="4">
        <f t="shared" si="620"/>
        <v>0</v>
      </c>
      <c r="DB620" s="4">
        <f t="shared" si="621"/>
        <v>0</v>
      </c>
      <c r="DC620" s="4">
        <f t="shared" si="622"/>
        <v>0</v>
      </c>
      <c r="DD620" s="4">
        <f t="shared" si="623"/>
        <v>0</v>
      </c>
    </row>
    <row r="621" spans="1:108" x14ac:dyDescent="0.25">
      <c r="A621" s="41" t="str">
        <f>Skills!M603</f>
        <v>Service, Coachman</v>
      </c>
      <c r="B621" s="57" t="str">
        <f>Skills!N603</f>
        <v>Coachman</v>
      </c>
      <c r="C621" s="24">
        <f t="shared" si="569"/>
        <v>0</v>
      </c>
      <c r="D621" s="110" t="e">
        <f>Skills!S603</f>
        <v>#N/A</v>
      </c>
      <c r="E621" s="111" t="e">
        <f>Profession!$B$284</f>
        <v>#REF!</v>
      </c>
      <c r="F621" s="18"/>
      <c r="G621" s="18"/>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49"/>
      <c r="BF621" s="4">
        <f t="shared" si="573"/>
        <v>0</v>
      </c>
      <c r="BG621" s="4">
        <f t="shared" si="574"/>
        <v>0</v>
      </c>
      <c r="BH621" s="4">
        <f t="shared" si="575"/>
        <v>0</v>
      </c>
      <c r="BI621" s="4">
        <f t="shared" si="576"/>
        <v>0</v>
      </c>
      <c r="BJ621" s="4">
        <f t="shared" si="577"/>
        <v>0</v>
      </c>
      <c r="BK621" s="4">
        <f t="shared" si="578"/>
        <v>0</v>
      </c>
      <c r="BL621" s="4">
        <f t="shared" si="579"/>
        <v>0</v>
      </c>
      <c r="BM621" s="4">
        <f t="shared" si="580"/>
        <v>0</v>
      </c>
      <c r="BN621" s="4">
        <f t="shared" si="581"/>
        <v>0</v>
      </c>
      <c r="BO621" s="4">
        <f t="shared" si="582"/>
        <v>0</v>
      </c>
      <c r="BP621" s="4">
        <f t="shared" si="583"/>
        <v>0</v>
      </c>
      <c r="BQ621" s="4">
        <f t="shared" si="584"/>
        <v>0</v>
      </c>
      <c r="BR621" s="4">
        <f t="shared" si="585"/>
        <v>0</v>
      </c>
      <c r="BS621" s="4">
        <f t="shared" si="586"/>
        <v>0</v>
      </c>
      <c r="BT621" s="4">
        <f t="shared" si="587"/>
        <v>0</v>
      </c>
      <c r="BU621" s="4">
        <f t="shared" si="588"/>
        <v>0</v>
      </c>
      <c r="BV621" s="4">
        <f t="shared" si="589"/>
        <v>0</v>
      </c>
      <c r="BW621" s="4">
        <f t="shared" si="590"/>
        <v>0</v>
      </c>
      <c r="BX621" s="4">
        <f t="shared" si="591"/>
        <v>0</v>
      </c>
      <c r="BY621" s="4">
        <f t="shared" si="592"/>
        <v>0</v>
      </c>
      <c r="BZ621" s="4">
        <f t="shared" si="593"/>
        <v>0</v>
      </c>
      <c r="CA621" s="4">
        <f t="shared" si="594"/>
        <v>0</v>
      </c>
      <c r="CB621" s="4">
        <f t="shared" si="595"/>
        <v>0</v>
      </c>
      <c r="CC621" s="4">
        <f t="shared" si="596"/>
        <v>0</v>
      </c>
      <c r="CD621" s="4">
        <f t="shared" si="597"/>
        <v>0</v>
      </c>
      <c r="CE621" s="4">
        <f t="shared" si="598"/>
        <v>0</v>
      </c>
      <c r="CF621" s="4">
        <f t="shared" si="599"/>
        <v>0</v>
      </c>
      <c r="CG621" s="4">
        <f t="shared" si="600"/>
        <v>0</v>
      </c>
      <c r="CH621" s="4">
        <f t="shared" si="601"/>
        <v>0</v>
      </c>
      <c r="CI621" s="4">
        <f t="shared" si="602"/>
        <v>0</v>
      </c>
      <c r="CJ621" s="4">
        <f t="shared" si="603"/>
        <v>0</v>
      </c>
      <c r="CK621" s="4">
        <f t="shared" si="604"/>
        <v>0</v>
      </c>
      <c r="CL621" s="4">
        <f t="shared" si="605"/>
        <v>0</v>
      </c>
      <c r="CM621" s="4">
        <f t="shared" si="606"/>
        <v>0</v>
      </c>
      <c r="CN621" s="4">
        <f t="shared" si="607"/>
        <v>0</v>
      </c>
      <c r="CO621" s="4">
        <f t="shared" si="608"/>
        <v>0</v>
      </c>
      <c r="CP621" s="4">
        <f t="shared" si="609"/>
        <v>0</v>
      </c>
      <c r="CQ621" s="4">
        <f t="shared" si="610"/>
        <v>0</v>
      </c>
      <c r="CR621" s="4">
        <f t="shared" si="611"/>
        <v>0</v>
      </c>
      <c r="CS621" s="4">
        <f t="shared" si="612"/>
        <v>0</v>
      </c>
      <c r="CT621" s="4">
        <f t="shared" si="613"/>
        <v>0</v>
      </c>
      <c r="CU621" s="4">
        <f t="shared" si="614"/>
        <v>0</v>
      </c>
      <c r="CV621" s="4">
        <f t="shared" si="615"/>
        <v>0</v>
      </c>
      <c r="CW621" s="4">
        <f t="shared" si="616"/>
        <v>0</v>
      </c>
      <c r="CX621" s="4">
        <f t="shared" si="617"/>
        <v>0</v>
      </c>
      <c r="CY621" s="4">
        <f t="shared" si="618"/>
        <v>0</v>
      </c>
      <c r="CZ621" s="4">
        <f t="shared" si="619"/>
        <v>0</v>
      </c>
      <c r="DA621" s="4">
        <f t="shared" si="620"/>
        <v>0</v>
      </c>
      <c r="DB621" s="4">
        <f t="shared" si="621"/>
        <v>0</v>
      </c>
      <c r="DC621" s="4">
        <f t="shared" si="622"/>
        <v>0</v>
      </c>
      <c r="DD621" s="4">
        <f t="shared" si="623"/>
        <v>0</v>
      </c>
    </row>
    <row r="622" spans="1:108" x14ac:dyDescent="0.25">
      <c r="A622" s="41" t="str">
        <f>Skills!M604</f>
        <v>Service, Lawyer</v>
      </c>
      <c r="B622" s="55" t="str">
        <f>Skills!N604</f>
        <v>Lawyer</v>
      </c>
      <c r="C622" s="22">
        <f t="shared" si="569"/>
        <v>0</v>
      </c>
      <c r="D622" s="112" t="e">
        <f>Skills!S604</f>
        <v>#N/A</v>
      </c>
      <c r="E622" s="113" t="e">
        <f>Profession!$B$284</f>
        <v>#REF!</v>
      </c>
      <c r="F622" s="19"/>
      <c r="G622" s="19"/>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56"/>
      <c r="BF622" s="4">
        <f t="shared" si="573"/>
        <v>0</v>
      </c>
      <c r="BG622" s="4">
        <f t="shared" si="574"/>
        <v>0</v>
      </c>
      <c r="BH622" s="4">
        <f t="shared" si="575"/>
        <v>0</v>
      </c>
      <c r="BI622" s="4">
        <f t="shared" si="576"/>
        <v>0</v>
      </c>
      <c r="BJ622" s="4">
        <f t="shared" si="577"/>
        <v>0</v>
      </c>
      <c r="BK622" s="4">
        <f t="shared" si="578"/>
        <v>0</v>
      </c>
      <c r="BL622" s="4">
        <f t="shared" si="579"/>
        <v>0</v>
      </c>
      <c r="BM622" s="4">
        <f t="shared" si="580"/>
        <v>0</v>
      </c>
      <c r="BN622" s="4">
        <f t="shared" si="581"/>
        <v>0</v>
      </c>
      <c r="BO622" s="4">
        <f t="shared" si="582"/>
        <v>0</v>
      </c>
      <c r="BP622" s="4">
        <f t="shared" si="583"/>
        <v>0</v>
      </c>
      <c r="BQ622" s="4">
        <f t="shared" si="584"/>
        <v>0</v>
      </c>
      <c r="BR622" s="4">
        <f t="shared" si="585"/>
        <v>0</v>
      </c>
      <c r="BS622" s="4">
        <f t="shared" si="586"/>
        <v>0</v>
      </c>
      <c r="BT622" s="4">
        <f t="shared" si="587"/>
        <v>0</v>
      </c>
      <c r="BU622" s="4">
        <f t="shared" si="588"/>
        <v>0</v>
      </c>
      <c r="BV622" s="4">
        <f t="shared" si="589"/>
        <v>0</v>
      </c>
      <c r="BW622" s="4">
        <f t="shared" si="590"/>
        <v>0</v>
      </c>
      <c r="BX622" s="4">
        <f t="shared" si="591"/>
        <v>0</v>
      </c>
      <c r="BY622" s="4">
        <f t="shared" si="592"/>
        <v>0</v>
      </c>
      <c r="BZ622" s="4">
        <f t="shared" si="593"/>
        <v>0</v>
      </c>
      <c r="CA622" s="4">
        <f t="shared" si="594"/>
        <v>0</v>
      </c>
      <c r="CB622" s="4">
        <f t="shared" si="595"/>
        <v>0</v>
      </c>
      <c r="CC622" s="4">
        <f t="shared" si="596"/>
        <v>0</v>
      </c>
      <c r="CD622" s="4">
        <f t="shared" si="597"/>
        <v>0</v>
      </c>
      <c r="CE622" s="4">
        <f t="shared" si="598"/>
        <v>0</v>
      </c>
      <c r="CF622" s="4">
        <f t="shared" si="599"/>
        <v>0</v>
      </c>
      <c r="CG622" s="4">
        <f t="shared" si="600"/>
        <v>0</v>
      </c>
      <c r="CH622" s="4">
        <f t="shared" si="601"/>
        <v>0</v>
      </c>
      <c r="CI622" s="4">
        <f t="shared" si="602"/>
        <v>0</v>
      </c>
      <c r="CJ622" s="4">
        <f t="shared" si="603"/>
        <v>0</v>
      </c>
      <c r="CK622" s="4">
        <f t="shared" si="604"/>
        <v>0</v>
      </c>
      <c r="CL622" s="4">
        <f t="shared" si="605"/>
        <v>0</v>
      </c>
      <c r="CM622" s="4">
        <f t="shared" si="606"/>
        <v>0</v>
      </c>
      <c r="CN622" s="4">
        <f t="shared" si="607"/>
        <v>0</v>
      </c>
      <c r="CO622" s="4">
        <f t="shared" si="608"/>
        <v>0</v>
      </c>
      <c r="CP622" s="4">
        <f t="shared" si="609"/>
        <v>0</v>
      </c>
      <c r="CQ622" s="4">
        <f t="shared" si="610"/>
        <v>0</v>
      </c>
      <c r="CR622" s="4">
        <f t="shared" si="611"/>
        <v>0</v>
      </c>
      <c r="CS622" s="4">
        <f t="shared" si="612"/>
        <v>0</v>
      </c>
      <c r="CT622" s="4">
        <f t="shared" si="613"/>
        <v>0</v>
      </c>
      <c r="CU622" s="4">
        <f t="shared" si="614"/>
        <v>0</v>
      </c>
      <c r="CV622" s="4">
        <f t="shared" si="615"/>
        <v>0</v>
      </c>
      <c r="CW622" s="4">
        <f t="shared" si="616"/>
        <v>0</v>
      </c>
      <c r="CX622" s="4">
        <f t="shared" si="617"/>
        <v>0</v>
      </c>
      <c r="CY622" s="4">
        <f t="shared" si="618"/>
        <v>0</v>
      </c>
      <c r="CZ622" s="4">
        <f t="shared" si="619"/>
        <v>0</v>
      </c>
      <c r="DA622" s="4">
        <f t="shared" si="620"/>
        <v>0</v>
      </c>
      <c r="DB622" s="4">
        <f t="shared" si="621"/>
        <v>0</v>
      </c>
      <c r="DC622" s="4">
        <f t="shared" si="622"/>
        <v>0</v>
      </c>
      <c r="DD622" s="4">
        <f t="shared" si="623"/>
        <v>0</v>
      </c>
    </row>
    <row r="623" spans="1:108" x14ac:dyDescent="0.25">
      <c r="A623" s="41" t="str">
        <f>Skills!M605</f>
        <v>Service, Preacher</v>
      </c>
      <c r="B623" s="57" t="str">
        <f>Skills!N605</f>
        <v>Preacher</v>
      </c>
      <c r="C623" s="24">
        <f t="shared" si="569"/>
        <v>0</v>
      </c>
      <c r="D623" s="110" t="e">
        <f>Skills!S605</f>
        <v>#N/A</v>
      </c>
      <c r="E623" s="111" t="e">
        <f>Profession!$B$284</f>
        <v>#REF!</v>
      </c>
      <c r="F623" s="18"/>
      <c r="G623" s="18"/>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49"/>
      <c r="BF623" s="4">
        <f t="shared" si="573"/>
        <v>0</v>
      </c>
      <c r="BG623" s="4">
        <f t="shared" si="574"/>
        <v>0</v>
      </c>
      <c r="BH623" s="4">
        <f t="shared" si="575"/>
        <v>0</v>
      </c>
      <c r="BI623" s="4">
        <f t="shared" si="576"/>
        <v>0</v>
      </c>
      <c r="BJ623" s="4">
        <f t="shared" si="577"/>
        <v>0</v>
      </c>
      <c r="BK623" s="4">
        <f t="shared" si="578"/>
        <v>0</v>
      </c>
      <c r="BL623" s="4">
        <f t="shared" si="579"/>
        <v>0</v>
      </c>
      <c r="BM623" s="4">
        <f t="shared" si="580"/>
        <v>0</v>
      </c>
      <c r="BN623" s="4">
        <f t="shared" si="581"/>
        <v>0</v>
      </c>
      <c r="BO623" s="4">
        <f t="shared" si="582"/>
        <v>0</v>
      </c>
      <c r="BP623" s="4">
        <f t="shared" si="583"/>
        <v>0</v>
      </c>
      <c r="BQ623" s="4">
        <f t="shared" si="584"/>
        <v>0</v>
      </c>
      <c r="BR623" s="4">
        <f t="shared" si="585"/>
        <v>0</v>
      </c>
      <c r="BS623" s="4">
        <f t="shared" si="586"/>
        <v>0</v>
      </c>
      <c r="BT623" s="4">
        <f t="shared" si="587"/>
        <v>0</v>
      </c>
      <c r="BU623" s="4">
        <f t="shared" si="588"/>
        <v>0</v>
      </c>
      <c r="BV623" s="4">
        <f t="shared" si="589"/>
        <v>0</v>
      </c>
      <c r="BW623" s="4">
        <f t="shared" si="590"/>
        <v>0</v>
      </c>
      <c r="BX623" s="4">
        <f t="shared" si="591"/>
        <v>0</v>
      </c>
      <c r="BY623" s="4">
        <f t="shared" si="592"/>
        <v>0</v>
      </c>
      <c r="BZ623" s="4">
        <f t="shared" si="593"/>
        <v>0</v>
      </c>
      <c r="CA623" s="4">
        <f t="shared" si="594"/>
        <v>0</v>
      </c>
      <c r="CB623" s="4">
        <f t="shared" si="595"/>
        <v>0</v>
      </c>
      <c r="CC623" s="4">
        <f t="shared" si="596"/>
        <v>0</v>
      </c>
      <c r="CD623" s="4">
        <f t="shared" si="597"/>
        <v>0</v>
      </c>
      <c r="CE623" s="4">
        <f t="shared" si="598"/>
        <v>0</v>
      </c>
      <c r="CF623" s="4">
        <f t="shared" si="599"/>
        <v>0</v>
      </c>
      <c r="CG623" s="4">
        <f t="shared" si="600"/>
        <v>0</v>
      </c>
      <c r="CH623" s="4">
        <f t="shared" si="601"/>
        <v>0</v>
      </c>
      <c r="CI623" s="4">
        <f t="shared" si="602"/>
        <v>0</v>
      </c>
      <c r="CJ623" s="4">
        <f t="shared" si="603"/>
        <v>0</v>
      </c>
      <c r="CK623" s="4">
        <f t="shared" si="604"/>
        <v>0</v>
      </c>
      <c r="CL623" s="4">
        <f t="shared" si="605"/>
        <v>0</v>
      </c>
      <c r="CM623" s="4">
        <f t="shared" si="606"/>
        <v>0</v>
      </c>
      <c r="CN623" s="4">
        <f t="shared" si="607"/>
        <v>0</v>
      </c>
      <c r="CO623" s="4">
        <f t="shared" si="608"/>
        <v>0</v>
      </c>
      <c r="CP623" s="4">
        <f t="shared" si="609"/>
        <v>0</v>
      </c>
      <c r="CQ623" s="4">
        <f t="shared" si="610"/>
        <v>0</v>
      </c>
      <c r="CR623" s="4">
        <f t="shared" si="611"/>
        <v>0</v>
      </c>
      <c r="CS623" s="4">
        <f t="shared" si="612"/>
        <v>0</v>
      </c>
      <c r="CT623" s="4">
        <f t="shared" si="613"/>
        <v>0</v>
      </c>
      <c r="CU623" s="4">
        <f t="shared" si="614"/>
        <v>0</v>
      </c>
      <c r="CV623" s="4">
        <f t="shared" si="615"/>
        <v>0</v>
      </c>
      <c r="CW623" s="4">
        <f t="shared" si="616"/>
        <v>0</v>
      </c>
      <c r="CX623" s="4">
        <f t="shared" si="617"/>
        <v>0</v>
      </c>
      <c r="CY623" s="4">
        <f t="shared" si="618"/>
        <v>0</v>
      </c>
      <c r="CZ623" s="4">
        <f t="shared" si="619"/>
        <v>0</v>
      </c>
      <c r="DA623" s="4">
        <f t="shared" si="620"/>
        <v>0</v>
      </c>
      <c r="DB623" s="4">
        <f t="shared" si="621"/>
        <v>0</v>
      </c>
      <c r="DC623" s="4">
        <f t="shared" si="622"/>
        <v>0</v>
      </c>
      <c r="DD623" s="4">
        <f t="shared" si="623"/>
        <v>0</v>
      </c>
    </row>
    <row r="624" spans="1:108" x14ac:dyDescent="0.25">
      <c r="A624" s="41" t="str">
        <f>Skills!M606</f>
        <v>Service, Child Care</v>
      </c>
      <c r="B624" s="55" t="str">
        <f>Skills!N606</f>
        <v>Child Care</v>
      </c>
      <c r="C624" s="22">
        <f t="shared" si="569"/>
        <v>0</v>
      </c>
      <c r="D624" s="112" t="e">
        <f>Skills!S606</f>
        <v>#N/A</v>
      </c>
      <c r="E624" s="113" t="e">
        <f>Profession!$B$284</f>
        <v>#REF!</v>
      </c>
      <c r="F624" s="19"/>
      <c r="G624" s="19"/>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56"/>
      <c r="BF624" s="4">
        <f t="shared" si="573"/>
        <v>0</v>
      </c>
      <c r="BG624" s="4">
        <f t="shared" si="574"/>
        <v>0</v>
      </c>
      <c r="BH624" s="4">
        <f t="shared" si="575"/>
        <v>0</v>
      </c>
      <c r="BI624" s="4">
        <f t="shared" si="576"/>
        <v>0</v>
      </c>
      <c r="BJ624" s="4">
        <f t="shared" si="577"/>
        <v>0</v>
      </c>
      <c r="BK624" s="4">
        <f t="shared" si="578"/>
        <v>0</v>
      </c>
      <c r="BL624" s="4">
        <f t="shared" si="579"/>
        <v>0</v>
      </c>
      <c r="BM624" s="4">
        <f t="shared" si="580"/>
        <v>0</v>
      </c>
      <c r="BN624" s="4">
        <f t="shared" si="581"/>
        <v>0</v>
      </c>
      <c r="BO624" s="4">
        <f t="shared" si="582"/>
        <v>0</v>
      </c>
      <c r="BP624" s="4">
        <f t="shared" si="583"/>
        <v>0</v>
      </c>
      <c r="BQ624" s="4">
        <f t="shared" si="584"/>
        <v>0</v>
      </c>
      <c r="BR624" s="4">
        <f t="shared" si="585"/>
        <v>0</v>
      </c>
      <c r="BS624" s="4">
        <f t="shared" si="586"/>
        <v>0</v>
      </c>
      <c r="BT624" s="4">
        <f t="shared" si="587"/>
        <v>0</v>
      </c>
      <c r="BU624" s="4">
        <f t="shared" si="588"/>
        <v>0</v>
      </c>
      <c r="BV624" s="4">
        <f t="shared" si="589"/>
        <v>0</v>
      </c>
      <c r="BW624" s="4">
        <f t="shared" si="590"/>
        <v>0</v>
      </c>
      <c r="BX624" s="4">
        <f t="shared" si="591"/>
        <v>0</v>
      </c>
      <c r="BY624" s="4">
        <f t="shared" si="592"/>
        <v>0</v>
      </c>
      <c r="BZ624" s="4">
        <f t="shared" si="593"/>
        <v>0</v>
      </c>
      <c r="CA624" s="4">
        <f t="shared" si="594"/>
        <v>0</v>
      </c>
      <c r="CB624" s="4">
        <f t="shared" si="595"/>
        <v>0</v>
      </c>
      <c r="CC624" s="4">
        <f t="shared" si="596"/>
        <v>0</v>
      </c>
      <c r="CD624" s="4">
        <f t="shared" si="597"/>
        <v>0</v>
      </c>
      <c r="CE624" s="4">
        <f t="shared" si="598"/>
        <v>0</v>
      </c>
      <c r="CF624" s="4">
        <f t="shared" si="599"/>
        <v>0</v>
      </c>
      <c r="CG624" s="4">
        <f t="shared" si="600"/>
        <v>0</v>
      </c>
      <c r="CH624" s="4">
        <f t="shared" si="601"/>
        <v>0</v>
      </c>
      <c r="CI624" s="4">
        <f t="shared" si="602"/>
        <v>0</v>
      </c>
      <c r="CJ624" s="4">
        <f t="shared" si="603"/>
        <v>0</v>
      </c>
      <c r="CK624" s="4">
        <f t="shared" si="604"/>
        <v>0</v>
      </c>
      <c r="CL624" s="4">
        <f t="shared" si="605"/>
        <v>0</v>
      </c>
      <c r="CM624" s="4">
        <f t="shared" si="606"/>
        <v>0</v>
      </c>
      <c r="CN624" s="4">
        <f t="shared" si="607"/>
        <v>0</v>
      </c>
      <c r="CO624" s="4">
        <f t="shared" si="608"/>
        <v>0</v>
      </c>
      <c r="CP624" s="4">
        <f t="shared" si="609"/>
        <v>0</v>
      </c>
      <c r="CQ624" s="4">
        <f t="shared" si="610"/>
        <v>0</v>
      </c>
      <c r="CR624" s="4">
        <f t="shared" si="611"/>
        <v>0</v>
      </c>
      <c r="CS624" s="4">
        <f t="shared" si="612"/>
        <v>0</v>
      </c>
      <c r="CT624" s="4">
        <f t="shared" si="613"/>
        <v>0</v>
      </c>
      <c r="CU624" s="4">
        <f t="shared" si="614"/>
        <v>0</v>
      </c>
      <c r="CV624" s="4">
        <f t="shared" si="615"/>
        <v>0</v>
      </c>
      <c r="CW624" s="4">
        <f t="shared" si="616"/>
        <v>0</v>
      </c>
      <c r="CX624" s="4">
        <f t="shared" si="617"/>
        <v>0</v>
      </c>
      <c r="CY624" s="4">
        <f t="shared" si="618"/>
        <v>0</v>
      </c>
      <c r="CZ624" s="4">
        <f t="shared" si="619"/>
        <v>0</v>
      </c>
      <c r="DA624" s="4">
        <f t="shared" si="620"/>
        <v>0</v>
      </c>
      <c r="DB624" s="4">
        <f t="shared" si="621"/>
        <v>0</v>
      </c>
      <c r="DC624" s="4">
        <f t="shared" si="622"/>
        <v>0</v>
      </c>
      <c r="DD624" s="4">
        <f t="shared" si="623"/>
        <v>0</v>
      </c>
    </row>
    <row r="625" spans="1:108" x14ac:dyDescent="0.25">
      <c r="A625" s="41" t="str">
        <f>Skills!M607</f>
        <v>Service, Innkeeping</v>
      </c>
      <c r="B625" s="57" t="str">
        <f>Skills!N607</f>
        <v>Innkeeping</v>
      </c>
      <c r="C625" s="24">
        <f t="shared" si="569"/>
        <v>0</v>
      </c>
      <c r="D625" s="110" t="e">
        <f ca="1">Skills!S607</f>
        <v>#N/A</v>
      </c>
      <c r="E625" s="111" t="e">
        <f>Profession!$B$284</f>
        <v>#REF!</v>
      </c>
      <c r="F625" s="18"/>
      <c r="G625" s="18"/>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49"/>
      <c r="BF625" s="4">
        <f t="shared" si="573"/>
        <v>0</v>
      </c>
      <c r="BG625" s="4">
        <f t="shared" si="574"/>
        <v>0</v>
      </c>
      <c r="BH625" s="4">
        <f t="shared" si="575"/>
        <v>0</v>
      </c>
      <c r="BI625" s="4">
        <f t="shared" si="576"/>
        <v>0</v>
      </c>
      <c r="BJ625" s="4">
        <f t="shared" si="577"/>
        <v>0</v>
      </c>
      <c r="BK625" s="4">
        <f t="shared" si="578"/>
        <v>0</v>
      </c>
      <c r="BL625" s="4">
        <f t="shared" si="579"/>
        <v>0</v>
      </c>
      <c r="BM625" s="4">
        <f t="shared" si="580"/>
        <v>0</v>
      </c>
      <c r="BN625" s="4">
        <f t="shared" si="581"/>
        <v>0</v>
      </c>
      <c r="BO625" s="4">
        <f t="shared" si="582"/>
        <v>0</v>
      </c>
      <c r="BP625" s="4">
        <f t="shared" si="583"/>
        <v>0</v>
      </c>
      <c r="BQ625" s="4">
        <f t="shared" si="584"/>
        <v>0</v>
      </c>
      <c r="BR625" s="4">
        <f t="shared" si="585"/>
        <v>0</v>
      </c>
      <c r="BS625" s="4">
        <f t="shared" si="586"/>
        <v>0</v>
      </c>
      <c r="BT625" s="4">
        <f t="shared" si="587"/>
        <v>0</v>
      </c>
      <c r="BU625" s="4">
        <f t="shared" si="588"/>
        <v>0</v>
      </c>
      <c r="BV625" s="4">
        <f t="shared" si="589"/>
        <v>0</v>
      </c>
      <c r="BW625" s="4">
        <f t="shared" si="590"/>
        <v>0</v>
      </c>
      <c r="BX625" s="4">
        <f t="shared" si="591"/>
        <v>0</v>
      </c>
      <c r="BY625" s="4">
        <f t="shared" si="592"/>
        <v>0</v>
      </c>
      <c r="BZ625" s="4">
        <f t="shared" si="593"/>
        <v>0</v>
      </c>
      <c r="CA625" s="4">
        <f t="shared" si="594"/>
        <v>0</v>
      </c>
      <c r="CB625" s="4">
        <f t="shared" si="595"/>
        <v>0</v>
      </c>
      <c r="CC625" s="4">
        <f t="shared" si="596"/>
        <v>0</v>
      </c>
      <c r="CD625" s="4">
        <f t="shared" si="597"/>
        <v>0</v>
      </c>
      <c r="CE625" s="4">
        <f t="shared" si="598"/>
        <v>0</v>
      </c>
      <c r="CF625" s="4">
        <f t="shared" si="599"/>
        <v>0</v>
      </c>
      <c r="CG625" s="4">
        <f t="shared" si="600"/>
        <v>0</v>
      </c>
      <c r="CH625" s="4">
        <f t="shared" si="601"/>
        <v>0</v>
      </c>
      <c r="CI625" s="4">
        <f t="shared" si="602"/>
        <v>0</v>
      </c>
      <c r="CJ625" s="4">
        <f t="shared" si="603"/>
        <v>0</v>
      </c>
      <c r="CK625" s="4">
        <f t="shared" si="604"/>
        <v>0</v>
      </c>
      <c r="CL625" s="4">
        <f t="shared" si="605"/>
        <v>0</v>
      </c>
      <c r="CM625" s="4">
        <f t="shared" si="606"/>
        <v>0</v>
      </c>
      <c r="CN625" s="4">
        <f t="shared" si="607"/>
        <v>0</v>
      </c>
      <c r="CO625" s="4">
        <f t="shared" si="608"/>
        <v>0</v>
      </c>
      <c r="CP625" s="4">
        <f t="shared" si="609"/>
        <v>0</v>
      </c>
      <c r="CQ625" s="4">
        <f t="shared" si="610"/>
        <v>0</v>
      </c>
      <c r="CR625" s="4">
        <f t="shared" si="611"/>
        <v>0</v>
      </c>
      <c r="CS625" s="4">
        <f t="shared" si="612"/>
        <v>0</v>
      </c>
      <c r="CT625" s="4">
        <f t="shared" si="613"/>
        <v>0</v>
      </c>
      <c r="CU625" s="4">
        <f t="shared" si="614"/>
        <v>0</v>
      </c>
      <c r="CV625" s="4">
        <f t="shared" si="615"/>
        <v>0</v>
      </c>
      <c r="CW625" s="4">
        <f t="shared" si="616"/>
        <v>0</v>
      </c>
      <c r="CX625" s="4">
        <f t="shared" si="617"/>
        <v>0</v>
      </c>
      <c r="CY625" s="4">
        <f t="shared" si="618"/>
        <v>0</v>
      </c>
      <c r="CZ625" s="4">
        <f t="shared" si="619"/>
        <v>0</v>
      </c>
      <c r="DA625" s="4">
        <f t="shared" si="620"/>
        <v>0</v>
      </c>
      <c r="DB625" s="4">
        <f t="shared" si="621"/>
        <v>0</v>
      </c>
      <c r="DC625" s="4">
        <f t="shared" si="622"/>
        <v>0</v>
      </c>
      <c r="DD625" s="4">
        <f t="shared" si="623"/>
        <v>0</v>
      </c>
    </row>
    <row r="626" spans="1:108" x14ac:dyDescent="0.25">
      <c r="A626" s="41" t="str">
        <f>Skills!M608</f>
        <v>Service, Counselor</v>
      </c>
      <c r="B626" s="55" t="str">
        <f>Skills!N608</f>
        <v>Counselor</v>
      </c>
      <c r="C626" s="22">
        <f t="shared" si="569"/>
        <v>0</v>
      </c>
      <c r="D626" s="112" t="e">
        <f ca="1">Skills!S608</f>
        <v>#N/A</v>
      </c>
      <c r="E626" s="113" t="e">
        <f>Profession!$B$284</f>
        <v>#REF!</v>
      </c>
      <c r="F626" s="19"/>
      <c r="G626" s="19"/>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56"/>
      <c r="BF626" s="4">
        <f t="shared" si="573"/>
        <v>0</v>
      </c>
      <c r="BG626" s="4">
        <f t="shared" si="574"/>
        <v>0</v>
      </c>
      <c r="BH626" s="4">
        <f t="shared" si="575"/>
        <v>0</v>
      </c>
      <c r="BI626" s="4">
        <f t="shared" si="576"/>
        <v>0</v>
      </c>
      <c r="BJ626" s="4">
        <f t="shared" si="577"/>
        <v>0</v>
      </c>
      <c r="BK626" s="4">
        <f t="shared" si="578"/>
        <v>0</v>
      </c>
      <c r="BL626" s="4">
        <f t="shared" si="579"/>
        <v>0</v>
      </c>
      <c r="BM626" s="4">
        <f t="shared" si="580"/>
        <v>0</v>
      </c>
      <c r="BN626" s="4">
        <f t="shared" si="581"/>
        <v>0</v>
      </c>
      <c r="BO626" s="4">
        <f t="shared" si="582"/>
        <v>0</v>
      </c>
      <c r="BP626" s="4">
        <f t="shared" si="583"/>
        <v>0</v>
      </c>
      <c r="BQ626" s="4">
        <f t="shared" si="584"/>
        <v>0</v>
      </c>
      <c r="BR626" s="4">
        <f t="shared" si="585"/>
        <v>0</v>
      </c>
      <c r="BS626" s="4">
        <f t="shared" si="586"/>
        <v>0</v>
      </c>
      <c r="BT626" s="4">
        <f t="shared" si="587"/>
        <v>0</v>
      </c>
      <c r="BU626" s="4">
        <f t="shared" si="588"/>
        <v>0</v>
      </c>
      <c r="BV626" s="4">
        <f t="shared" si="589"/>
        <v>0</v>
      </c>
      <c r="BW626" s="4">
        <f t="shared" si="590"/>
        <v>0</v>
      </c>
      <c r="BX626" s="4">
        <f t="shared" si="591"/>
        <v>0</v>
      </c>
      <c r="BY626" s="4">
        <f t="shared" si="592"/>
        <v>0</v>
      </c>
      <c r="BZ626" s="4">
        <f t="shared" si="593"/>
        <v>0</v>
      </c>
      <c r="CA626" s="4">
        <f t="shared" si="594"/>
        <v>0</v>
      </c>
      <c r="CB626" s="4">
        <f t="shared" si="595"/>
        <v>0</v>
      </c>
      <c r="CC626" s="4">
        <f t="shared" si="596"/>
        <v>0</v>
      </c>
      <c r="CD626" s="4">
        <f t="shared" si="597"/>
        <v>0</v>
      </c>
      <c r="CE626" s="4">
        <f t="shared" si="598"/>
        <v>0</v>
      </c>
      <c r="CF626" s="4">
        <f t="shared" si="599"/>
        <v>0</v>
      </c>
      <c r="CG626" s="4">
        <f t="shared" si="600"/>
        <v>0</v>
      </c>
      <c r="CH626" s="4">
        <f t="shared" si="601"/>
        <v>0</v>
      </c>
      <c r="CI626" s="4">
        <f t="shared" si="602"/>
        <v>0</v>
      </c>
      <c r="CJ626" s="4">
        <f t="shared" si="603"/>
        <v>0</v>
      </c>
      <c r="CK626" s="4">
        <f t="shared" si="604"/>
        <v>0</v>
      </c>
      <c r="CL626" s="4">
        <f t="shared" si="605"/>
        <v>0</v>
      </c>
      <c r="CM626" s="4">
        <f t="shared" si="606"/>
        <v>0</v>
      </c>
      <c r="CN626" s="4">
        <f t="shared" si="607"/>
        <v>0</v>
      </c>
      <c r="CO626" s="4">
        <f t="shared" si="608"/>
        <v>0</v>
      </c>
      <c r="CP626" s="4">
        <f t="shared" si="609"/>
        <v>0</v>
      </c>
      <c r="CQ626" s="4">
        <f t="shared" si="610"/>
        <v>0</v>
      </c>
      <c r="CR626" s="4">
        <f t="shared" si="611"/>
        <v>0</v>
      </c>
      <c r="CS626" s="4">
        <f t="shared" si="612"/>
        <v>0</v>
      </c>
      <c r="CT626" s="4">
        <f t="shared" si="613"/>
        <v>0</v>
      </c>
      <c r="CU626" s="4">
        <f t="shared" si="614"/>
        <v>0</v>
      </c>
      <c r="CV626" s="4">
        <f t="shared" si="615"/>
        <v>0</v>
      </c>
      <c r="CW626" s="4">
        <f t="shared" si="616"/>
        <v>0</v>
      </c>
      <c r="CX626" s="4">
        <f t="shared" si="617"/>
        <v>0</v>
      </c>
      <c r="CY626" s="4">
        <f t="shared" si="618"/>
        <v>0</v>
      </c>
      <c r="CZ626" s="4">
        <f t="shared" si="619"/>
        <v>0</v>
      </c>
      <c r="DA626" s="4">
        <f t="shared" si="620"/>
        <v>0</v>
      </c>
      <c r="DB626" s="4">
        <f t="shared" si="621"/>
        <v>0</v>
      </c>
      <c r="DC626" s="4">
        <f t="shared" si="622"/>
        <v>0</v>
      </c>
      <c r="DD626" s="4">
        <f t="shared" si="623"/>
        <v>0</v>
      </c>
    </row>
    <row r="627" spans="1:108" x14ac:dyDescent="0.25">
      <c r="A627" s="41" t="str">
        <f>Skills!M609</f>
        <v>Service, Guide</v>
      </c>
      <c r="B627" s="57" t="str">
        <f>Skills!N609</f>
        <v>Guide</v>
      </c>
      <c r="C627" s="24">
        <f t="shared" si="569"/>
        <v>0</v>
      </c>
      <c r="D627" s="110" t="e">
        <f>Skills!S609</f>
        <v>#N/A</v>
      </c>
      <c r="E627" s="111" t="e">
        <f>Profession!$B$284</f>
        <v>#REF!</v>
      </c>
      <c r="F627" s="18"/>
      <c r="G627" s="18"/>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49"/>
      <c r="BF627" s="4">
        <f t="shared" si="573"/>
        <v>0</v>
      </c>
      <c r="BG627" s="4">
        <f t="shared" si="574"/>
        <v>0</v>
      </c>
      <c r="BH627" s="4">
        <f t="shared" si="575"/>
        <v>0</v>
      </c>
      <c r="BI627" s="4">
        <f t="shared" si="576"/>
        <v>0</v>
      </c>
      <c r="BJ627" s="4">
        <f t="shared" si="577"/>
        <v>0</v>
      </c>
      <c r="BK627" s="4">
        <f t="shared" si="578"/>
        <v>0</v>
      </c>
      <c r="BL627" s="4">
        <f t="shared" si="579"/>
        <v>0</v>
      </c>
      <c r="BM627" s="4">
        <f t="shared" si="580"/>
        <v>0</v>
      </c>
      <c r="BN627" s="4">
        <f t="shared" si="581"/>
        <v>0</v>
      </c>
      <c r="BO627" s="4">
        <f t="shared" si="582"/>
        <v>0</v>
      </c>
      <c r="BP627" s="4">
        <f t="shared" si="583"/>
        <v>0</v>
      </c>
      <c r="BQ627" s="4">
        <f t="shared" si="584"/>
        <v>0</v>
      </c>
      <c r="BR627" s="4">
        <f t="shared" si="585"/>
        <v>0</v>
      </c>
      <c r="BS627" s="4">
        <f t="shared" si="586"/>
        <v>0</v>
      </c>
      <c r="BT627" s="4">
        <f t="shared" si="587"/>
        <v>0</v>
      </c>
      <c r="BU627" s="4">
        <f t="shared" si="588"/>
        <v>0</v>
      </c>
      <c r="BV627" s="4">
        <f t="shared" si="589"/>
        <v>0</v>
      </c>
      <c r="BW627" s="4">
        <f t="shared" si="590"/>
        <v>0</v>
      </c>
      <c r="BX627" s="4">
        <f t="shared" si="591"/>
        <v>0</v>
      </c>
      <c r="BY627" s="4">
        <f t="shared" si="592"/>
        <v>0</v>
      </c>
      <c r="BZ627" s="4">
        <f t="shared" si="593"/>
        <v>0</v>
      </c>
      <c r="CA627" s="4">
        <f t="shared" si="594"/>
        <v>0</v>
      </c>
      <c r="CB627" s="4">
        <f t="shared" si="595"/>
        <v>0</v>
      </c>
      <c r="CC627" s="4">
        <f t="shared" si="596"/>
        <v>0</v>
      </c>
      <c r="CD627" s="4">
        <f t="shared" si="597"/>
        <v>0</v>
      </c>
      <c r="CE627" s="4">
        <f t="shared" si="598"/>
        <v>0</v>
      </c>
      <c r="CF627" s="4">
        <f t="shared" si="599"/>
        <v>0</v>
      </c>
      <c r="CG627" s="4">
        <f t="shared" si="600"/>
        <v>0</v>
      </c>
      <c r="CH627" s="4">
        <f t="shared" si="601"/>
        <v>0</v>
      </c>
      <c r="CI627" s="4">
        <f t="shared" si="602"/>
        <v>0</v>
      </c>
      <c r="CJ627" s="4">
        <f t="shared" si="603"/>
        <v>0</v>
      </c>
      <c r="CK627" s="4">
        <f t="shared" si="604"/>
        <v>0</v>
      </c>
      <c r="CL627" s="4">
        <f t="shared" si="605"/>
        <v>0</v>
      </c>
      <c r="CM627" s="4">
        <f t="shared" si="606"/>
        <v>0</v>
      </c>
      <c r="CN627" s="4">
        <f t="shared" si="607"/>
        <v>0</v>
      </c>
      <c r="CO627" s="4">
        <f t="shared" si="608"/>
        <v>0</v>
      </c>
      <c r="CP627" s="4">
        <f t="shared" si="609"/>
        <v>0</v>
      </c>
      <c r="CQ627" s="4">
        <f t="shared" si="610"/>
        <v>0</v>
      </c>
      <c r="CR627" s="4">
        <f t="shared" si="611"/>
        <v>0</v>
      </c>
      <c r="CS627" s="4">
        <f t="shared" si="612"/>
        <v>0</v>
      </c>
      <c r="CT627" s="4">
        <f t="shared" si="613"/>
        <v>0</v>
      </c>
      <c r="CU627" s="4">
        <f t="shared" si="614"/>
        <v>0</v>
      </c>
      <c r="CV627" s="4">
        <f t="shared" si="615"/>
        <v>0</v>
      </c>
      <c r="CW627" s="4">
        <f t="shared" si="616"/>
        <v>0</v>
      </c>
      <c r="CX627" s="4">
        <f t="shared" si="617"/>
        <v>0</v>
      </c>
      <c r="CY627" s="4">
        <f t="shared" si="618"/>
        <v>0</v>
      </c>
      <c r="CZ627" s="4">
        <f t="shared" si="619"/>
        <v>0</v>
      </c>
      <c r="DA627" s="4">
        <f t="shared" si="620"/>
        <v>0</v>
      </c>
      <c r="DB627" s="4">
        <f t="shared" si="621"/>
        <v>0</v>
      </c>
      <c r="DC627" s="4">
        <f t="shared" si="622"/>
        <v>0</v>
      </c>
      <c r="DD627" s="4">
        <f t="shared" si="623"/>
        <v>0</v>
      </c>
    </row>
    <row r="628" spans="1:108" x14ac:dyDescent="0.25">
      <c r="A628" s="41" t="str">
        <f>Skills!M610</f>
        <v>Service, Messenger</v>
      </c>
      <c r="B628" s="55" t="str">
        <f>Skills!N610</f>
        <v>Messenger</v>
      </c>
      <c r="C628" s="22">
        <f t="shared" si="569"/>
        <v>0</v>
      </c>
      <c r="D628" s="112" t="e">
        <f ca="1">Skills!S610</f>
        <v>#N/A</v>
      </c>
      <c r="E628" s="113" t="e">
        <f>Profession!$B$284</f>
        <v>#REF!</v>
      </c>
      <c r="F628" s="19"/>
      <c r="G628" s="19"/>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56"/>
      <c r="BF628" s="4">
        <f t="shared" si="573"/>
        <v>0</v>
      </c>
      <c r="BG628" s="4">
        <f t="shared" si="574"/>
        <v>0</v>
      </c>
      <c r="BH628" s="4">
        <f t="shared" si="575"/>
        <v>0</v>
      </c>
      <c r="BI628" s="4">
        <f t="shared" si="576"/>
        <v>0</v>
      </c>
      <c r="BJ628" s="4">
        <f t="shared" si="577"/>
        <v>0</v>
      </c>
      <c r="BK628" s="4">
        <f t="shared" si="578"/>
        <v>0</v>
      </c>
      <c r="BL628" s="4">
        <f t="shared" si="579"/>
        <v>0</v>
      </c>
      <c r="BM628" s="4">
        <f t="shared" si="580"/>
        <v>0</v>
      </c>
      <c r="BN628" s="4">
        <f t="shared" si="581"/>
        <v>0</v>
      </c>
      <c r="BO628" s="4">
        <f t="shared" si="582"/>
        <v>0</v>
      </c>
      <c r="BP628" s="4">
        <f t="shared" si="583"/>
        <v>0</v>
      </c>
      <c r="BQ628" s="4">
        <f t="shared" si="584"/>
        <v>0</v>
      </c>
      <c r="BR628" s="4">
        <f t="shared" si="585"/>
        <v>0</v>
      </c>
      <c r="BS628" s="4">
        <f t="shared" si="586"/>
        <v>0</v>
      </c>
      <c r="BT628" s="4">
        <f t="shared" si="587"/>
        <v>0</v>
      </c>
      <c r="BU628" s="4">
        <f t="shared" si="588"/>
        <v>0</v>
      </c>
      <c r="BV628" s="4">
        <f t="shared" si="589"/>
        <v>0</v>
      </c>
      <c r="BW628" s="4">
        <f t="shared" si="590"/>
        <v>0</v>
      </c>
      <c r="BX628" s="4">
        <f t="shared" si="591"/>
        <v>0</v>
      </c>
      <c r="BY628" s="4">
        <f t="shared" si="592"/>
        <v>0</v>
      </c>
      <c r="BZ628" s="4">
        <f t="shared" si="593"/>
        <v>0</v>
      </c>
      <c r="CA628" s="4">
        <f t="shared" si="594"/>
        <v>0</v>
      </c>
      <c r="CB628" s="4">
        <f t="shared" si="595"/>
        <v>0</v>
      </c>
      <c r="CC628" s="4">
        <f t="shared" si="596"/>
        <v>0</v>
      </c>
      <c r="CD628" s="4">
        <f t="shared" si="597"/>
        <v>0</v>
      </c>
      <c r="CE628" s="4">
        <f t="shared" si="598"/>
        <v>0</v>
      </c>
      <c r="CF628" s="4">
        <f t="shared" si="599"/>
        <v>0</v>
      </c>
      <c r="CG628" s="4">
        <f t="shared" si="600"/>
        <v>0</v>
      </c>
      <c r="CH628" s="4">
        <f t="shared" si="601"/>
        <v>0</v>
      </c>
      <c r="CI628" s="4">
        <f t="shared" si="602"/>
        <v>0</v>
      </c>
      <c r="CJ628" s="4">
        <f t="shared" si="603"/>
        <v>0</v>
      </c>
      <c r="CK628" s="4">
        <f t="shared" si="604"/>
        <v>0</v>
      </c>
      <c r="CL628" s="4">
        <f t="shared" si="605"/>
        <v>0</v>
      </c>
      <c r="CM628" s="4">
        <f t="shared" si="606"/>
        <v>0</v>
      </c>
      <c r="CN628" s="4">
        <f t="shared" si="607"/>
        <v>0</v>
      </c>
      <c r="CO628" s="4">
        <f t="shared" si="608"/>
        <v>0</v>
      </c>
      <c r="CP628" s="4">
        <f t="shared" si="609"/>
        <v>0</v>
      </c>
      <c r="CQ628" s="4">
        <f t="shared" si="610"/>
        <v>0</v>
      </c>
      <c r="CR628" s="4">
        <f t="shared" si="611"/>
        <v>0</v>
      </c>
      <c r="CS628" s="4">
        <f t="shared" si="612"/>
        <v>0</v>
      </c>
      <c r="CT628" s="4">
        <f t="shared" si="613"/>
        <v>0</v>
      </c>
      <c r="CU628" s="4">
        <f t="shared" si="614"/>
        <v>0</v>
      </c>
      <c r="CV628" s="4">
        <f t="shared" si="615"/>
        <v>0</v>
      </c>
      <c r="CW628" s="4">
        <f t="shared" si="616"/>
        <v>0</v>
      </c>
      <c r="CX628" s="4">
        <f t="shared" si="617"/>
        <v>0</v>
      </c>
      <c r="CY628" s="4">
        <f t="shared" si="618"/>
        <v>0</v>
      </c>
      <c r="CZ628" s="4">
        <f t="shared" si="619"/>
        <v>0</v>
      </c>
      <c r="DA628" s="4">
        <f t="shared" si="620"/>
        <v>0</v>
      </c>
      <c r="DB628" s="4">
        <f t="shared" si="621"/>
        <v>0</v>
      </c>
      <c r="DC628" s="4">
        <f t="shared" si="622"/>
        <v>0</v>
      </c>
      <c r="DD628" s="4">
        <f t="shared" si="623"/>
        <v>0</v>
      </c>
    </row>
    <row r="629" spans="1:108" x14ac:dyDescent="0.25">
      <c r="A629" s="41" t="str">
        <f>Skills!M611</f>
        <v>Service, Sales Clerk</v>
      </c>
      <c r="B629" s="57" t="str">
        <f>Skills!N611</f>
        <v>Sales Clerk</v>
      </c>
      <c r="C629" s="24">
        <f t="shared" si="569"/>
        <v>0</v>
      </c>
      <c r="D629" s="110" t="e">
        <f>Skills!S611</f>
        <v>#N/A</v>
      </c>
      <c r="E629" s="111" t="e">
        <f>Profession!$B$284</f>
        <v>#REF!</v>
      </c>
      <c r="F629" s="18"/>
      <c r="G629" s="18"/>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49"/>
      <c r="BF629" s="4">
        <f t="shared" si="573"/>
        <v>0</v>
      </c>
      <c r="BG629" s="4">
        <f t="shared" si="574"/>
        <v>0</v>
      </c>
      <c r="BH629" s="4">
        <f t="shared" si="575"/>
        <v>0</v>
      </c>
      <c r="BI629" s="4">
        <f t="shared" si="576"/>
        <v>0</v>
      </c>
      <c r="BJ629" s="4">
        <f t="shared" si="577"/>
        <v>0</v>
      </c>
      <c r="BK629" s="4">
        <f t="shared" si="578"/>
        <v>0</v>
      </c>
      <c r="BL629" s="4">
        <f t="shared" si="579"/>
        <v>0</v>
      </c>
      <c r="BM629" s="4">
        <f t="shared" si="580"/>
        <v>0</v>
      </c>
      <c r="BN629" s="4">
        <f t="shared" si="581"/>
        <v>0</v>
      </c>
      <c r="BO629" s="4">
        <f t="shared" si="582"/>
        <v>0</v>
      </c>
      <c r="BP629" s="4">
        <f t="shared" si="583"/>
        <v>0</v>
      </c>
      <c r="BQ629" s="4">
        <f t="shared" si="584"/>
        <v>0</v>
      </c>
      <c r="BR629" s="4">
        <f t="shared" si="585"/>
        <v>0</v>
      </c>
      <c r="BS629" s="4">
        <f t="shared" si="586"/>
        <v>0</v>
      </c>
      <c r="BT629" s="4">
        <f t="shared" si="587"/>
        <v>0</v>
      </c>
      <c r="BU629" s="4">
        <f t="shared" si="588"/>
        <v>0</v>
      </c>
      <c r="BV629" s="4">
        <f t="shared" si="589"/>
        <v>0</v>
      </c>
      <c r="BW629" s="4">
        <f t="shared" si="590"/>
        <v>0</v>
      </c>
      <c r="BX629" s="4">
        <f t="shared" si="591"/>
        <v>0</v>
      </c>
      <c r="BY629" s="4">
        <f t="shared" si="592"/>
        <v>0</v>
      </c>
      <c r="BZ629" s="4">
        <f t="shared" si="593"/>
        <v>0</v>
      </c>
      <c r="CA629" s="4">
        <f t="shared" si="594"/>
        <v>0</v>
      </c>
      <c r="CB629" s="4">
        <f t="shared" si="595"/>
        <v>0</v>
      </c>
      <c r="CC629" s="4">
        <f t="shared" si="596"/>
        <v>0</v>
      </c>
      <c r="CD629" s="4">
        <f t="shared" si="597"/>
        <v>0</v>
      </c>
      <c r="CE629" s="4">
        <f t="shared" si="598"/>
        <v>0</v>
      </c>
      <c r="CF629" s="4">
        <f t="shared" si="599"/>
        <v>0</v>
      </c>
      <c r="CG629" s="4">
        <f t="shared" si="600"/>
        <v>0</v>
      </c>
      <c r="CH629" s="4">
        <f t="shared" si="601"/>
        <v>0</v>
      </c>
      <c r="CI629" s="4">
        <f t="shared" si="602"/>
        <v>0</v>
      </c>
      <c r="CJ629" s="4">
        <f t="shared" si="603"/>
        <v>0</v>
      </c>
      <c r="CK629" s="4">
        <f t="shared" si="604"/>
        <v>0</v>
      </c>
      <c r="CL629" s="4">
        <f t="shared" si="605"/>
        <v>0</v>
      </c>
      <c r="CM629" s="4">
        <f t="shared" si="606"/>
        <v>0</v>
      </c>
      <c r="CN629" s="4">
        <f t="shared" si="607"/>
        <v>0</v>
      </c>
      <c r="CO629" s="4">
        <f t="shared" si="608"/>
        <v>0</v>
      </c>
      <c r="CP629" s="4">
        <f t="shared" si="609"/>
        <v>0</v>
      </c>
      <c r="CQ629" s="4">
        <f t="shared" si="610"/>
        <v>0</v>
      </c>
      <c r="CR629" s="4">
        <f t="shared" si="611"/>
        <v>0</v>
      </c>
      <c r="CS629" s="4">
        <f t="shared" si="612"/>
        <v>0</v>
      </c>
      <c r="CT629" s="4">
        <f t="shared" si="613"/>
        <v>0</v>
      </c>
      <c r="CU629" s="4">
        <f t="shared" si="614"/>
        <v>0</v>
      </c>
      <c r="CV629" s="4">
        <f t="shared" si="615"/>
        <v>0</v>
      </c>
      <c r="CW629" s="4">
        <f t="shared" si="616"/>
        <v>0</v>
      </c>
      <c r="CX629" s="4">
        <f t="shared" si="617"/>
        <v>0</v>
      </c>
      <c r="CY629" s="4">
        <f t="shared" si="618"/>
        <v>0</v>
      </c>
      <c r="CZ629" s="4">
        <f t="shared" si="619"/>
        <v>0</v>
      </c>
      <c r="DA629" s="4">
        <f t="shared" si="620"/>
        <v>0</v>
      </c>
      <c r="DB629" s="4">
        <f t="shared" si="621"/>
        <v>0</v>
      </c>
      <c r="DC629" s="4">
        <f t="shared" si="622"/>
        <v>0</v>
      </c>
      <c r="DD629" s="4">
        <f t="shared" si="623"/>
        <v>0</v>
      </c>
    </row>
    <row r="630" spans="1:108" x14ac:dyDescent="0.25">
      <c r="A630" s="41" t="str">
        <f>Skills!M612</f>
        <v>Service, Valet</v>
      </c>
      <c r="B630" s="55" t="str">
        <f>Skills!N612</f>
        <v>Valet</v>
      </c>
      <c r="C630" s="22">
        <f t="shared" si="569"/>
        <v>0</v>
      </c>
      <c r="D630" s="112" t="e">
        <f>Skills!S612</f>
        <v>#N/A</v>
      </c>
      <c r="E630" s="113" t="e">
        <f>Profession!$B$284</f>
        <v>#REF!</v>
      </c>
      <c r="F630" s="19"/>
      <c r="G630" s="19"/>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56"/>
      <c r="BF630" s="4">
        <f t="shared" si="573"/>
        <v>0</v>
      </c>
      <c r="BG630" s="4">
        <f t="shared" si="574"/>
        <v>0</v>
      </c>
      <c r="BH630" s="4">
        <f t="shared" si="575"/>
        <v>0</v>
      </c>
      <c r="BI630" s="4">
        <f t="shared" si="576"/>
        <v>0</v>
      </c>
      <c r="BJ630" s="4">
        <f t="shared" si="577"/>
        <v>0</v>
      </c>
      <c r="BK630" s="4">
        <f t="shared" si="578"/>
        <v>0</v>
      </c>
      <c r="BL630" s="4">
        <f t="shared" si="579"/>
        <v>0</v>
      </c>
      <c r="BM630" s="4">
        <f t="shared" si="580"/>
        <v>0</v>
      </c>
      <c r="BN630" s="4">
        <f t="shared" si="581"/>
        <v>0</v>
      </c>
      <c r="BO630" s="4">
        <f t="shared" si="582"/>
        <v>0</v>
      </c>
      <c r="BP630" s="4">
        <f t="shared" si="583"/>
        <v>0</v>
      </c>
      <c r="BQ630" s="4">
        <f t="shared" si="584"/>
        <v>0</v>
      </c>
      <c r="BR630" s="4">
        <f t="shared" si="585"/>
        <v>0</v>
      </c>
      <c r="BS630" s="4">
        <f t="shared" si="586"/>
        <v>0</v>
      </c>
      <c r="BT630" s="4">
        <f t="shared" si="587"/>
        <v>0</v>
      </c>
      <c r="BU630" s="4">
        <f t="shared" si="588"/>
        <v>0</v>
      </c>
      <c r="BV630" s="4">
        <f t="shared" si="589"/>
        <v>0</v>
      </c>
      <c r="BW630" s="4">
        <f t="shared" si="590"/>
        <v>0</v>
      </c>
      <c r="BX630" s="4">
        <f t="shared" si="591"/>
        <v>0</v>
      </c>
      <c r="BY630" s="4">
        <f t="shared" si="592"/>
        <v>0</v>
      </c>
      <c r="BZ630" s="4">
        <f t="shared" si="593"/>
        <v>0</v>
      </c>
      <c r="CA630" s="4">
        <f t="shared" si="594"/>
        <v>0</v>
      </c>
      <c r="CB630" s="4">
        <f t="shared" si="595"/>
        <v>0</v>
      </c>
      <c r="CC630" s="4">
        <f t="shared" si="596"/>
        <v>0</v>
      </c>
      <c r="CD630" s="4">
        <f t="shared" si="597"/>
        <v>0</v>
      </c>
      <c r="CE630" s="4">
        <f t="shared" si="598"/>
        <v>0</v>
      </c>
      <c r="CF630" s="4">
        <f t="shared" si="599"/>
        <v>0</v>
      </c>
      <c r="CG630" s="4">
        <f t="shared" si="600"/>
        <v>0</v>
      </c>
      <c r="CH630" s="4">
        <f t="shared" si="601"/>
        <v>0</v>
      </c>
      <c r="CI630" s="4">
        <f t="shared" si="602"/>
        <v>0</v>
      </c>
      <c r="CJ630" s="4">
        <f t="shared" si="603"/>
        <v>0</v>
      </c>
      <c r="CK630" s="4">
        <f t="shared" si="604"/>
        <v>0</v>
      </c>
      <c r="CL630" s="4">
        <f t="shared" si="605"/>
        <v>0</v>
      </c>
      <c r="CM630" s="4">
        <f t="shared" si="606"/>
        <v>0</v>
      </c>
      <c r="CN630" s="4">
        <f t="shared" si="607"/>
        <v>0</v>
      </c>
      <c r="CO630" s="4">
        <f t="shared" si="608"/>
        <v>0</v>
      </c>
      <c r="CP630" s="4">
        <f t="shared" si="609"/>
        <v>0</v>
      </c>
      <c r="CQ630" s="4">
        <f t="shared" si="610"/>
        <v>0</v>
      </c>
      <c r="CR630" s="4">
        <f t="shared" si="611"/>
        <v>0</v>
      </c>
      <c r="CS630" s="4">
        <f t="shared" si="612"/>
        <v>0</v>
      </c>
      <c r="CT630" s="4">
        <f t="shared" si="613"/>
        <v>0</v>
      </c>
      <c r="CU630" s="4">
        <f t="shared" si="614"/>
        <v>0</v>
      </c>
      <c r="CV630" s="4">
        <f t="shared" si="615"/>
        <v>0</v>
      </c>
      <c r="CW630" s="4">
        <f t="shared" si="616"/>
        <v>0</v>
      </c>
      <c r="CX630" s="4">
        <f t="shared" si="617"/>
        <v>0</v>
      </c>
      <c r="CY630" s="4">
        <f t="shared" si="618"/>
        <v>0</v>
      </c>
      <c r="CZ630" s="4">
        <f t="shared" si="619"/>
        <v>0</v>
      </c>
      <c r="DA630" s="4">
        <f t="shared" si="620"/>
        <v>0</v>
      </c>
      <c r="DB630" s="4">
        <f t="shared" si="621"/>
        <v>0</v>
      </c>
      <c r="DC630" s="4">
        <f t="shared" si="622"/>
        <v>0</v>
      </c>
      <c r="DD630" s="4">
        <f t="shared" si="623"/>
        <v>0</v>
      </c>
    </row>
    <row r="631" spans="1:108" x14ac:dyDescent="0.25">
      <c r="A631" s="41">
        <f>Skills!M613</f>
        <v>0</v>
      </c>
      <c r="B631" s="57" t="str">
        <f>Skills!N613</f>
        <v>Trade Sub-category</v>
      </c>
      <c r="C631" s="24">
        <f t="shared" si="569"/>
        <v>0</v>
      </c>
      <c r="D631" s="110" t="str">
        <f>Skills!S613</f>
        <v>- -</v>
      </c>
      <c r="E631" s="111" t="s">
        <v>782</v>
      </c>
      <c r="F631" s="18"/>
      <c r="G631" s="18"/>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49"/>
      <c r="BF631" s="4">
        <f t="shared" si="573"/>
        <v>0</v>
      </c>
      <c r="BG631" s="4">
        <f t="shared" si="574"/>
        <v>0</v>
      </c>
      <c r="BH631" s="4">
        <f t="shared" si="575"/>
        <v>0</v>
      </c>
      <c r="BI631" s="4">
        <f t="shared" si="576"/>
        <v>0</v>
      </c>
      <c r="BJ631" s="4">
        <f t="shared" si="577"/>
        <v>0</v>
      </c>
      <c r="BK631" s="4">
        <f t="shared" si="578"/>
        <v>0</v>
      </c>
      <c r="BL631" s="4">
        <f t="shared" si="579"/>
        <v>0</v>
      </c>
      <c r="BM631" s="4">
        <f t="shared" si="580"/>
        <v>0</v>
      </c>
      <c r="BN631" s="4">
        <f t="shared" si="581"/>
        <v>0</v>
      </c>
      <c r="BO631" s="4">
        <f t="shared" si="582"/>
        <v>0</v>
      </c>
      <c r="BP631" s="4">
        <f t="shared" si="583"/>
        <v>0</v>
      </c>
      <c r="BQ631" s="4">
        <f t="shared" si="584"/>
        <v>0</v>
      </c>
      <c r="BR631" s="4">
        <f t="shared" si="585"/>
        <v>0</v>
      </c>
      <c r="BS631" s="4">
        <f t="shared" si="586"/>
        <v>0</v>
      </c>
      <c r="BT631" s="4">
        <f t="shared" si="587"/>
        <v>0</v>
      </c>
      <c r="BU631" s="4">
        <f t="shared" si="588"/>
        <v>0</v>
      </c>
      <c r="BV631" s="4">
        <f t="shared" si="589"/>
        <v>0</v>
      </c>
      <c r="BW631" s="4">
        <f t="shared" si="590"/>
        <v>0</v>
      </c>
      <c r="BX631" s="4">
        <f t="shared" si="591"/>
        <v>0</v>
      </c>
      <c r="BY631" s="4">
        <f t="shared" si="592"/>
        <v>0</v>
      </c>
      <c r="BZ631" s="4">
        <f t="shared" si="593"/>
        <v>0</v>
      </c>
      <c r="CA631" s="4">
        <f t="shared" si="594"/>
        <v>0</v>
      </c>
      <c r="CB631" s="4">
        <f t="shared" si="595"/>
        <v>0</v>
      </c>
      <c r="CC631" s="4">
        <f t="shared" si="596"/>
        <v>0</v>
      </c>
      <c r="CD631" s="4">
        <f t="shared" si="597"/>
        <v>0</v>
      </c>
      <c r="CE631" s="4">
        <f t="shared" si="598"/>
        <v>0</v>
      </c>
      <c r="CF631" s="4">
        <f t="shared" si="599"/>
        <v>0</v>
      </c>
      <c r="CG631" s="4">
        <f t="shared" si="600"/>
        <v>0</v>
      </c>
      <c r="CH631" s="4">
        <f t="shared" si="601"/>
        <v>0</v>
      </c>
      <c r="CI631" s="4">
        <f t="shared" si="602"/>
        <v>0</v>
      </c>
      <c r="CJ631" s="4">
        <f t="shared" si="603"/>
        <v>0</v>
      </c>
      <c r="CK631" s="4">
        <f t="shared" si="604"/>
        <v>0</v>
      </c>
      <c r="CL631" s="4">
        <f t="shared" si="605"/>
        <v>0</v>
      </c>
      <c r="CM631" s="4">
        <f t="shared" si="606"/>
        <v>0</v>
      </c>
      <c r="CN631" s="4">
        <f t="shared" si="607"/>
        <v>0</v>
      </c>
      <c r="CO631" s="4">
        <f t="shared" si="608"/>
        <v>0</v>
      </c>
      <c r="CP631" s="4">
        <f t="shared" si="609"/>
        <v>0</v>
      </c>
      <c r="CQ631" s="4">
        <f t="shared" si="610"/>
        <v>0</v>
      </c>
      <c r="CR631" s="4">
        <f t="shared" si="611"/>
        <v>0</v>
      </c>
      <c r="CS631" s="4">
        <f t="shared" si="612"/>
        <v>0</v>
      </c>
      <c r="CT631" s="4">
        <f t="shared" si="613"/>
        <v>0</v>
      </c>
      <c r="CU631" s="4">
        <f t="shared" si="614"/>
        <v>0</v>
      </c>
      <c r="CV631" s="4">
        <f t="shared" si="615"/>
        <v>0</v>
      </c>
      <c r="CW631" s="4">
        <f t="shared" si="616"/>
        <v>0</v>
      </c>
      <c r="CX631" s="4">
        <f t="shared" si="617"/>
        <v>0</v>
      </c>
      <c r="CY631" s="4">
        <f t="shared" si="618"/>
        <v>0</v>
      </c>
      <c r="CZ631" s="4">
        <f t="shared" si="619"/>
        <v>0</v>
      </c>
      <c r="DA631" s="4">
        <f t="shared" si="620"/>
        <v>0</v>
      </c>
      <c r="DB631" s="4">
        <f t="shared" si="621"/>
        <v>0</v>
      </c>
      <c r="DC631" s="4">
        <f t="shared" si="622"/>
        <v>0</v>
      </c>
      <c r="DD631" s="4">
        <f t="shared" si="623"/>
        <v>0</v>
      </c>
    </row>
    <row r="632" spans="1:108" x14ac:dyDescent="0.25">
      <c r="A632" s="41">
        <f>Skills!M614</f>
        <v>0</v>
      </c>
      <c r="B632" s="55" t="str">
        <f>Skills!N614</f>
        <v>Trade Skills</v>
      </c>
      <c r="C632" s="22">
        <f t="shared" si="569"/>
        <v>0</v>
      </c>
      <c r="D632" s="112" t="str">
        <f>Skills!S614</f>
        <v>- -</v>
      </c>
      <c r="E632" s="113" t="s">
        <v>782</v>
      </c>
      <c r="F632" s="19"/>
      <c r="G632" s="19"/>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56"/>
      <c r="BF632" s="4">
        <f t="shared" si="573"/>
        <v>0</v>
      </c>
      <c r="BG632" s="4">
        <f t="shared" si="574"/>
        <v>0</v>
      </c>
      <c r="BH632" s="4">
        <f t="shared" si="575"/>
        <v>0</v>
      </c>
      <c r="BI632" s="4">
        <f t="shared" si="576"/>
        <v>0</v>
      </c>
      <c r="BJ632" s="4">
        <f t="shared" si="577"/>
        <v>0</v>
      </c>
      <c r="BK632" s="4">
        <f t="shared" si="578"/>
        <v>0</v>
      </c>
      <c r="BL632" s="4">
        <f t="shared" si="579"/>
        <v>0</v>
      </c>
      <c r="BM632" s="4">
        <f t="shared" si="580"/>
        <v>0</v>
      </c>
      <c r="BN632" s="4">
        <f t="shared" si="581"/>
        <v>0</v>
      </c>
      <c r="BO632" s="4">
        <f t="shared" si="582"/>
        <v>0</v>
      </c>
      <c r="BP632" s="4">
        <f t="shared" si="583"/>
        <v>0</v>
      </c>
      <c r="BQ632" s="4">
        <f t="shared" si="584"/>
        <v>0</v>
      </c>
      <c r="BR632" s="4">
        <f t="shared" si="585"/>
        <v>0</v>
      </c>
      <c r="BS632" s="4">
        <f t="shared" si="586"/>
        <v>0</v>
      </c>
      <c r="BT632" s="4">
        <f t="shared" si="587"/>
        <v>0</v>
      </c>
      <c r="BU632" s="4">
        <f t="shared" si="588"/>
        <v>0</v>
      </c>
      <c r="BV632" s="4">
        <f t="shared" si="589"/>
        <v>0</v>
      </c>
      <c r="BW632" s="4">
        <f t="shared" si="590"/>
        <v>0</v>
      </c>
      <c r="BX632" s="4">
        <f t="shared" si="591"/>
        <v>0</v>
      </c>
      <c r="BY632" s="4">
        <f t="shared" si="592"/>
        <v>0</v>
      </c>
      <c r="BZ632" s="4">
        <f t="shared" si="593"/>
        <v>0</v>
      </c>
      <c r="CA632" s="4">
        <f t="shared" si="594"/>
        <v>0</v>
      </c>
      <c r="CB632" s="4">
        <f t="shared" si="595"/>
        <v>0</v>
      </c>
      <c r="CC632" s="4">
        <f t="shared" si="596"/>
        <v>0</v>
      </c>
      <c r="CD632" s="4">
        <f t="shared" si="597"/>
        <v>0</v>
      </c>
      <c r="CE632" s="4">
        <f t="shared" si="598"/>
        <v>0</v>
      </c>
      <c r="CF632" s="4">
        <f t="shared" si="599"/>
        <v>0</v>
      </c>
      <c r="CG632" s="4">
        <f t="shared" si="600"/>
        <v>0</v>
      </c>
      <c r="CH632" s="4">
        <f t="shared" si="601"/>
        <v>0</v>
      </c>
      <c r="CI632" s="4">
        <f t="shared" si="602"/>
        <v>0</v>
      </c>
      <c r="CJ632" s="4">
        <f t="shared" si="603"/>
        <v>0</v>
      </c>
      <c r="CK632" s="4">
        <f t="shared" si="604"/>
        <v>0</v>
      </c>
      <c r="CL632" s="4">
        <f t="shared" si="605"/>
        <v>0</v>
      </c>
      <c r="CM632" s="4">
        <f t="shared" si="606"/>
        <v>0</v>
      </c>
      <c r="CN632" s="4">
        <f t="shared" si="607"/>
        <v>0</v>
      </c>
      <c r="CO632" s="4">
        <f t="shared" si="608"/>
        <v>0</v>
      </c>
      <c r="CP632" s="4">
        <f t="shared" si="609"/>
        <v>0</v>
      </c>
      <c r="CQ632" s="4">
        <f t="shared" si="610"/>
        <v>0</v>
      </c>
      <c r="CR632" s="4">
        <f t="shared" si="611"/>
        <v>0</v>
      </c>
      <c r="CS632" s="4">
        <f t="shared" si="612"/>
        <v>0</v>
      </c>
      <c r="CT632" s="4">
        <f t="shared" si="613"/>
        <v>0</v>
      </c>
      <c r="CU632" s="4">
        <f t="shared" si="614"/>
        <v>0</v>
      </c>
      <c r="CV632" s="4">
        <f t="shared" si="615"/>
        <v>0</v>
      </c>
      <c r="CW632" s="4">
        <f t="shared" si="616"/>
        <v>0</v>
      </c>
      <c r="CX632" s="4">
        <f t="shared" si="617"/>
        <v>0</v>
      </c>
      <c r="CY632" s="4">
        <f t="shared" si="618"/>
        <v>0</v>
      </c>
      <c r="CZ632" s="4">
        <f t="shared" si="619"/>
        <v>0</v>
      </c>
      <c r="DA632" s="4">
        <f t="shared" si="620"/>
        <v>0</v>
      </c>
      <c r="DB632" s="4">
        <f t="shared" si="621"/>
        <v>0</v>
      </c>
      <c r="DC632" s="4">
        <f t="shared" si="622"/>
        <v>0</v>
      </c>
      <c r="DD632" s="4">
        <f t="shared" si="623"/>
        <v>0</v>
      </c>
    </row>
    <row r="633" spans="1:108" x14ac:dyDescent="0.25">
      <c r="A633" s="41" t="str">
        <f>Skills!M615</f>
        <v>Trade, Woodcutter</v>
      </c>
      <c r="B633" s="57" t="str">
        <f>Skills!N615</f>
        <v>Woodcutter</v>
      </c>
      <c r="C633" s="24">
        <f t="shared" si="569"/>
        <v>0</v>
      </c>
      <c r="D633" s="110" t="e">
        <f>Skills!S615</f>
        <v>#N/A</v>
      </c>
      <c r="E633" s="111" t="e">
        <f>Profession!$B$285</f>
        <v>#REF!</v>
      </c>
      <c r="F633" s="18"/>
      <c r="G633" s="18"/>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49"/>
      <c r="BF633" s="4">
        <f t="shared" si="573"/>
        <v>0</v>
      </c>
      <c r="BG633" s="4">
        <f t="shared" si="574"/>
        <v>0</v>
      </c>
      <c r="BH633" s="4">
        <f t="shared" si="575"/>
        <v>0</v>
      </c>
      <c r="BI633" s="4">
        <f t="shared" si="576"/>
        <v>0</v>
      </c>
      <c r="BJ633" s="4">
        <f t="shared" si="577"/>
        <v>0</v>
      </c>
      <c r="BK633" s="4">
        <f t="shared" si="578"/>
        <v>0</v>
      </c>
      <c r="BL633" s="4">
        <f t="shared" si="579"/>
        <v>0</v>
      </c>
      <c r="BM633" s="4">
        <f t="shared" si="580"/>
        <v>0</v>
      </c>
      <c r="BN633" s="4">
        <f t="shared" si="581"/>
        <v>0</v>
      </c>
      <c r="BO633" s="4">
        <f t="shared" si="582"/>
        <v>0</v>
      </c>
      <c r="BP633" s="4">
        <f t="shared" si="583"/>
        <v>0</v>
      </c>
      <c r="BQ633" s="4">
        <f t="shared" si="584"/>
        <v>0</v>
      </c>
      <c r="BR633" s="4">
        <f t="shared" si="585"/>
        <v>0</v>
      </c>
      <c r="BS633" s="4">
        <f t="shared" si="586"/>
        <v>0</v>
      </c>
      <c r="BT633" s="4">
        <f t="shared" si="587"/>
        <v>0</v>
      </c>
      <c r="BU633" s="4">
        <f t="shared" si="588"/>
        <v>0</v>
      </c>
      <c r="BV633" s="4">
        <f t="shared" si="589"/>
        <v>0</v>
      </c>
      <c r="BW633" s="4">
        <f t="shared" si="590"/>
        <v>0</v>
      </c>
      <c r="BX633" s="4">
        <f t="shared" si="591"/>
        <v>0</v>
      </c>
      <c r="BY633" s="4">
        <f t="shared" si="592"/>
        <v>0</v>
      </c>
      <c r="BZ633" s="4">
        <f t="shared" si="593"/>
        <v>0</v>
      </c>
      <c r="CA633" s="4">
        <f t="shared" si="594"/>
        <v>0</v>
      </c>
      <c r="CB633" s="4">
        <f t="shared" si="595"/>
        <v>0</v>
      </c>
      <c r="CC633" s="4">
        <f t="shared" si="596"/>
        <v>0</v>
      </c>
      <c r="CD633" s="4">
        <f t="shared" si="597"/>
        <v>0</v>
      </c>
      <c r="CE633" s="4">
        <f t="shared" si="598"/>
        <v>0</v>
      </c>
      <c r="CF633" s="4">
        <f t="shared" si="599"/>
        <v>0</v>
      </c>
      <c r="CG633" s="4">
        <f t="shared" si="600"/>
        <v>0</v>
      </c>
      <c r="CH633" s="4">
        <f t="shared" si="601"/>
        <v>0</v>
      </c>
      <c r="CI633" s="4">
        <f t="shared" si="602"/>
        <v>0</v>
      </c>
      <c r="CJ633" s="4">
        <f t="shared" si="603"/>
        <v>0</v>
      </c>
      <c r="CK633" s="4">
        <f t="shared" si="604"/>
        <v>0</v>
      </c>
      <c r="CL633" s="4">
        <f t="shared" si="605"/>
        <v>0</v>
      </c>
      <c r="CM633" s="4">
        <f t="shared" si="606"/>
        <v>0</v>
      </c>
      <c r="CN633" s="4">
        <f t="shared" si="607"/>
        <v>0</v>
      </c>
      <c r="CO633" s="4">
        <f t="shared" si="608"/>
        <v>0</v>
      </c>
      <c r="CP633" s="4">
        <f t="shared" si="609"/>
        <v>0</v>
      </c>
      <c r="CQ633" s="4">
        <f t="shared" si="610"/>
        <v>0</v>
      </c>
      <c r="CR633" s="4">
        <f t="shared" si="611"/>
        <v>0</v>
      </c>
      <c r="CS633" s="4">
        <f t="shared" si="612"/>
        <v>0</v>
      </c>
      <c r="CT633" s="4">
        <f t="shared" si="613"/>
        <v>0</v>
      </c>
      <c r="CU633" s="4">
        <f t="shared" si="614"/>
        <v>0</v>
      </c>
      <c r="CV633" s="4">
        <f t="shared" si="615"/>
        <v>0</v>
      </c>
      <c r="CW633" s="4">
        <f t="shared" si="616"/>
        <v>0</v>
      </c>
      <c r="CX633" s="4">
        <f t="shared" si="617"/>
        <v>0</v>
      </c>
      <c r="CY633" s="4">
        <f t="shared" si="618"/>
        <v>0</v>
      </c>
      <c r="CZ633" s="4">
        <f t="shared" si="619"/>
        <v>0</v>
      </c>
      <c r="DA633" s="4">
        <f t="shared" si="620"/>
        <v>0</v>
      </c>
      <c r="DB633" s="4">
        <f t="shared" si="621"/>
        <v>0</v>
      </c>
      <c r="DC633" s="4">
        <f t="shared" si="622"/>
        <v>0</v>
      </c>
      <c r="DD633" s="4">
        <f t="shared" si="623"/>
        <v>0</v>
      </c>
    </row>
    <row r="634" spans="1:108" x14ac:dyDescent="0.25">
      <c r="A634" s="41" t="str">
        <f>Skills!M616</f>
        <v>Trade, Sailor</v>
      </c>
      <c r="B634" s="55" t="str">
        <f>Skills!N616</f>
        <v>Sailor</v>
      </c>
      <c r="C634" s="22">
        <f t="shared" si="569"/>
        <v>0</v>
      </c>
      <c r="D634" s="112" t="e">
        <f>Skills!S616</f>
        <v>#N/A</v>
      </c>
      <c r="E634" s="113" t="e">
        <f>Profession!$B$285</f>
        <v>#REF!</v>
      </c>
      <c r="F634" s="19"/>
      <c r="G634" s="19"/>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56"/>
      <c r="BF634" s="4">
        <f t="shared" si="573"/>
        <v>0</v>
      </c>
      <c r="BG634" s="4">
        <f t="shared" si="574"/>
        <v>0</v>
      </c>
      <c r="BH634" s="4">
        <f t="shared" si="575"/>
        <v>0</v>
      </c>
      <c r="BI634" s="4">
        <f t="shared" si="576"/>
        <v>0</v>
      </c>
      <c r="BJ634" s="4">
        <f t="shared" si="577"/>
        <v>0</v>
      </c>
      <c r="BK634" s="4">
        <f t="shared" si="578"/>
        <v>0</v>
      </c>
      <c r="BL634" s="4">
        <f t="shared" si="579"/>
        <v>0</v>
      </c>
      <c r="BM634" s="4">
        <f t="shared" si="580"/>
        <v>0</v>
      </c>
      <c r="BN634" s="4">
        <f t="shared" si="581"/>
        <v>0</v>
      </c>
      <c r="BO634" s="4">
        <f t="shared" si="582"/>
        <v>0</v>
      </c>
      <c r="BP634" s="4">
        <f t="shared" si="583"/>
        <v>0</v>
      </c>
      <c r="BQ634" s="4">
        <f t="shared" si="584"/>
        <v>0</v>
      </c>
      <c r="BR634" s="4">
        <f t="shared" si="585"/>
        <v>0</v>
      </c>
      <c r="BS634" s="4">
        <f t="shared" si="586"/>
        <v>0</v>
      </c>
      <c r="BT634" s="4">
        <f t="shared" si="587"/>
        <v>0</v>
      </c>
      <c r="BU634" s="4">
        <f t="shared" si="588"/>
        <v>0</v>
      </c>
      <c r="BV634" s="4">
        <f t="shared" si="589"/>
        <v>0</v>
      </c>
      <c r="BW634" s="4">
        <f t="shared" si="590"/>
        <v>0</v>
      </c>
      <c r="BX634" s="4">
        <f t="shared" si="591"/>
        <v>0</v>
      </c>
      <c r="BY634" s="4">
        <f t="shared" si="592"/>
        <v>0</v>
      </c>
      <c r="BZ634" s="4">
        <f t="shared" si="593"/>
        <v>0</v>
      </c>
      <c r="CA634" s="4">
        <f t="shared" si="594"/>
        <v>0</v>
      </c>
      <c r="CB634" s="4">
        <f t="shared" si="595"/>
        <v>0</v>
      </c>
      <c r="CC634" s="4">
        <f t="shared" si="596"/>
        <v>0</v>
      </c>
      <c r="CD634" s="4">
        <f t="shared" si="597"/>
        <v>0</v>
      </c>
      <c r="CE634" s="4">
        <f t="shared" si="598"/>
        <v>0</v>
      </c>
      <c r="CF634" s="4">
        <f t="shared" si="599"/>
        <v>0</v>
      </c>
      <c r="CG634" s="4">
        <f t="shared" si="600"/>
        <v>0</v>
      </c>
      <c r="CH634" s="4">
        <f t="shared" si="601"/>
        <v>0</v>
      </c>
      <c r="CI634" s="4">
        <f t="shared" si="602"/>
        <v>0</v>
      </c>
      <c r="CJ634" s="4">
        <f t="shared" si="603"/>
        <v>0</v>
      </c>
      <c r="CK634" s="4">
        <f t="shared" si="604"/>
        <v>0</v>
      </c>
      <c r="CL634" s="4">
        <f t="shared" si="605"/>
        <v>0</v>
      </c>
      <c r="CM634" s="4">
        <f t="shared" si="606"/>
        <v>0</v>
      </c>
      <c r="CN634" s="4">
        <f t="shared" si="607"/>
        <v>0</v>
      </c>
      <c r="CO634" s="4">
        <f t="shared" si="608"/>
        <v>0</v>
      </c>
      <c r="CP634" s="4">
        <f t="shared" si="609"/>
        <v>0</v>
      </c>
      <c r="CQ634" s="4">
        <f t="shared" si="610"/>
        <v>0</v>
      </c>
      <c r="CR634" s="4">
        <f t="shared" si="611"/>
        <v>0</v>
      </c>
      <c r="CS634" s="4">
        <f t="shared" si="612"/>
        <v>0</v>
      </c>
      <c r="CT634" s="4">
        <f t="shared" si="613"/>
        <v>0</v>
      </c>
      <c r="CU634" s="4">
        <f t="shared" si="614"/>
        <v>0</v>
      </c>
      <c r="CV634" s="4">
        <f t="shared" si="615"/>
        <v>0</v>
      </c>
      <c r="CW634" s="4">
        <f t="shared" si="616"/>
        <v>0</v>
      </c>
      <c r="CX634" s="4">
        <f t="shared" si="617"/>
        <v>0</v>
      </c>
      <c r="CY634" s="4">
        <f t="shared" si="618"/>
        <v>0</v>
      </c>
      <c r="CZ634" s="4">
        <f t="shared" si="619"/>
        <v>0</v>
      </c>
      <c r="DA634" s="4">
        <f t="shared" si="620"/>
        <v>0</v>
      </c>
      <c r="DB634" s="4">
        <f t="shared" si="621"/>
        <v>0</v>
      </c>
      <c r="DC634" s="4">
        <f t="shared" si="622"/>
        <v>0</v>
      </c>
      <c r="DD634" s="4">
        <f t="shared" si="623"/>
        <v>0</v>
      </c>
    </row>
    <row r="635" spans="1:108" x14ac:dyDescent="0.25">
      <c r="A635" s="41" t="str">
        <f>Skills!M617</f>
        <v>Trade, Scribe</v>
      </c>
      <c r="B635" s="57" t="str">
        <f>Skills!N617</f>
        <v>Scribe</v>
      </c>
      <c r="C635" s="24">
        <f t="shared" si="569"/>
        <v>0</v>
      </c>
      <c r="D635" s="110" t="e">
        <f>Skills!S617</f>
        <v>#N/A</v>
      </c>
      <c r="E635" s="111" t="e">
        <f>Profession!$B$285</f>
        <v>#REF!</v>
      </c>
      <c r="F635" s="18"/>
      <c r="G635" s="18"/>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49"/>
      <c r="BF635" s="4">
        <f t="shared" si="573"/>
        <v>0</v>
      </c>
      <c r="BG635" s="4">
        <f t="shared" si="574"/>
        <v>0</v>
      </c>
      <c r="BH635" s="4">
        <f t="shared" si="575"/>
        <v>0</v>
      </c>
      <c r="BI635" s="4">
        <f t="shared" si="576"/>
        <v>0</v>
      </c>
      <c r="BJ635" s="4">
        <f t="shared" si="577"/>
        <v>0</v>
      </c>
      <c r="BK635" s="4">
        <f t="shared" si="578"/>
        <v>0</v>
      </c>
      <c r="BL635" s="4">
        <f t="shared" si="579"/>
        <v>0</v>
      </c>
      <c r="BM635" s="4">
        <f t="shared" si="580"/>
        <v>0</v>
      </c>
      <c r="BN635" s="4">
        <f t="shared" si="581"/>
        <v>0</v>
      </c>
      <c r="BO635" s="4">
        <f t="shared" si="582"/>
        <v>0</v>
      </c>
      <c r="BP635" s="4">
        <f t="shared" si="583"/>
        <v>0</v>
      </c>
      <c r="BQ635" s="4">
        <f t="shared" si="584"/>
        <v>0</v>
      </c>
      <c r="BR635" s="4">
        <f t="shared" si="585"/>
        <v>0</v>
      </c>
      <c r="BS635" s="4">
        <f t="shared" si="586"/>
        <v>0</v>
      </c>
      <c r="BT635" s="4">
        <f t="shared" si="587"/>
        <v>0</v>
      </c>
      <c r="BU635" s="4">
        <f t="shared" si="588"/>
        <v>0</v>
      </c>
      <c r="BV635" s="4">
        <f t="shared" si="589"/>
        <v>0</v>
      </c>
      <c r="BW635" s="4">
        <f t="shared" si="590"/>
        <v>0</v>
      </c>
      <c r="BX635" s="4">
        <f t="shared" si="591"/>
        <v>0</v>
      </c>
      <c r="BY635" s="4">
        <f t="shared" si="592"/>
        <v>0</v>
      </c>
      <c r="BZ635" s="4">
        <f t="shared" si="593"/>
        <v>0</v>
      </c>
      <c r="CA635" s="4">
        <f t="shared" si="594"/>
        <v>0</v>
      </c>
      <c r="CB635" s="4">
        <f t="shared" si="595"/>
        <v>0</v>
      </c>
      <c r="CC635" s="4">
        <f t="shared" si="596"/>
        <v>0</v>
      </c>
      <c r="CD635" s="4">
        <f t="shared" si="597"/>
        <v>0</v>
      </c>
      <c r="CE635" s="4">
        <f t="shared" si="598"/>
        <v>0</v>
      </c>
      <c r="CF635" s="4">
        <f t="shared" si="599"/>
        <v>0</v>
      </c>
      <c r="CG635" s="4">
        <f t="shared" si="600"/>
        <v>0</v>
      </c>
      <c r="CH635" s="4">
        <f t="shared" si="601"/>
        <v>0</v>
      </c>
      <c r="CI635" s="4">
        <f t="shared" si="602"/>
        <v>0</v>
      </c>
      <c r="CJ635" s="4">
        <f t="shared" si="603"/>
        <v>0</v>
      </c>
      <c r="CK635" s="4">
        <f t="shared" si="604"/>
        <v>0</v>
      </c>
      <c r="CL635" s="4">
        <f t="shared" si="605"/>
        <v>0</v>
      </c>
      <c r="CM635" s="4">
        <f t="shared" si="606"/>
        <v>0</v>
      </c>
      <c r="CN635" s="4">
        <f t="shared" si="607"/>
        <v>0</v>
      </c>
      <c r="CO635" s="4">
        <f t="shared" si="608"/>
        <v>0</v>
      </c>
      <c r="CP635" s="4">
        <f t="shared" si="609"/>
        <v>0</v>
      </c>
      <c r="CQ635" s="4">
        <f t="shared" si="610"/>
        <v>0</v>
      </c>
      <c r="CR635" s="4">
        <f t="shared" si="611"/>
        <v>0</v>
      </c>
      <c r="CS635" s="4">
        <f t="shared" si="612"/>
        <v>0</v>
      </c>
      <c r="CT635" s="4">
        <f t="shared" si="613"/>
        <v>0</v>
      </c>
      <c r="CU635" s="4">
        <f t="shared" si="614"/>
        <v>0</v>
      </c>
      <c r="CV635" s="4">
        <f t="shared" si="615"/>
        <v>0</v>
      </c>
      <c r="CW635" s="4">
        <f t="shared" si="616"/>
        <v>0</v>
      </c>
      <c r="CX635" s="4">
        <f t="shared" si="617"/>
        <v>0</v>
      </c>
      <c r="CY635" s="4">
        <f t="shared" si="618"/>
        <v>0</v>
      </c>
      <c r="CZ635" s="4">
        <f t="shared" si="619"/>
        <v>0</v>
      </c>
      <c r="DA635" s="4">
        <f t="shared" si="620"/>
        <v>0</v>
      </c>
      <c r="DB635" s="4">
        <f t="shared" si="621"/>
        <v>0</v>
      </c>
      <c r="DC635" s="4">
        <f t="shared" si="622"/>
        <v>0</v>
      </c>
      <c r="DD635" s="4">
        <f t="shared" si="623"/>
        <v>0</v>
      </c>
    </row>
    <row r="636" spans="1:108" x14ac:dyDescent="0.25">
      <c r="A636" s="41" t="str">
        <f>Skills!M618</f>
        <v>Trade, Soldier</v>
      </c>
      <c r="B636" s="55" t="str">
        <f>Skills!N618</f>
        <v>Soldier</v>
      </c>
      <c r="C636" s="22">
        <f t="shared" si="569"/>
        <v>0</v>
      </c>
      <c r="D636" s="112" t="e">
        <f ca="1">Skills!S618</f>
        <v>#N/A</v>
      </c>
      <c r="E636" s="113" t="e">
        <f>Profession!$B$285</f>
        <v>#REF!</v>
      </c>
      <c r="F636" s="19"/>
      <c r="G636" s="19"/>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56"/>
      <c r="BF636" s="4">
        <f t="shared" si="573"/>
        <v>0</v>
      </c>
      <c r="BG636" s="4">
        <f t="shared" si="574"/>
        <v>0</v>
      </c>
      <c r="BH636" s="4">
        <f t="shared" si="575"/>
        <v>0</v>
      </c>
      <c r="BI636" s="4">
        <f t="shared" si="576"/>
        <v>0</v>
      </c>
      <c r="BJ636" s="4">
        <f t="shared" si="577"/>
        <v>0</v>
      </c>
      <c r="BK636" s="4">
        <f t="shared" si="578"/>
        <v>0</v>
      </c>
      <c r="BL636" s="4">
        <f t="shared" si="579"/>
        <v>0</v>
      </c>
      <c r="BM636" s="4">
        <f t="shared" si="580"/>
        <v>0</v>
      </c>
      <c r="BN636" s="4">
        <f t="shared" si="581"/>
        <v>0</v>
      </c>
      <c r="BO636" s="4">
        <f t="shared" si="582"/>
        <v>0</v>
      </c>
      <c r="BP636" s="4">
        <f t="shared" si="583"/>
        <v>0</v>
      </c>
      <c r="BQ636" s="4">
        <f t="shared" si="584"/>
        <v>0</v>
      </c>
      <c r="BR636" s="4">
        <f t="shared" si="585"/>
        <v>0</v>
      </c>
      <c r="BS636" s="4">
        <f t="shared" si="586"/>
        <v>0</v>
      </c>
      <c r="BT636" s="4">
        <f t="shared" si="587"/>
        <v>0</v>
      </c>
      <c r="BU636" s="4">
        <f t="shared" si="588"/>
        <v>0</v>
      </c>
      <c r="BV636" s="4">
        <f t="shared" si="589"/>
        <v>0</v>
      </c>
      <c r="BW636" s="4">
        <f t="shared" si="590"/>
        <v>0</v>
      </c>
      <c r="BX636" s="4">
        <f t="shared" si="591"/>
        <v>0</v>
      </c>
      <c r="BY636" s="4">
        <f t="shared" si="592"/>
        <v>0</v>
      </c>
      <c r="BZ636" s="4">
        <f t="shared" si="593"/>
        <v>0</v>
      </c>
      <c r="CA636" s="4">
        <f t="shared" si="594"/>
        <v>0</v>
      </c>
      <c r="CB636" s="4">
        <f t="shared" si="595"/>
        <v>0</v>
      </c>
      <c r="CC636" s="4">
        <f t="shared" si="596"/>
        <v>0</v>
      </c>
      <c r="CD636" s="4">
        <f t="shared" si="597"/>
        <v>0</v>
      </c>
      <c r="CE636" s="4">
        <f t="shared" si="598"/>
        <v>0</v>
      </c>
      <c r="CF636" s="4">
        <f t="shared" si="599"/>
        <v>0</v>
      </c>
      <c r="CG636" s="4">
        <f t="shared" si="600"/>
        <v>0</v>
      </c>
      <c r="CH636" s="4">
        <f t="shared" si="601"/>
        <v>0</v>
      </c>
      <c r="CI636" s="4">
        <f t="shared" si="602"/>
        <v>0</v>
      </c>
      <c r="CJ636" s="4">
        <f t="shared" si="603"/>
        <v>0</v>
      </c>
      <c r="CK636" s="4">
        <f t="shared" si="604"/>
        <v>0</v>
      </c>
      <c r="CL636" s="4">
        <f t="shared" si="605"/>
        <v>0</v>
      </c>
      <c r="CM636" s="4">
        <f t="shared" si="606"/>
        <v>0</v>
      </c>
      <c r="CN636" s="4">
        <f t="shared" si="607"/>
        <v>0</v>
      </c>
      <c r="CO636" s="4">
        <f t="shared" si="608"/>
        <v>0</v>
      </c>
      <c r="CP636" s="4">
        <f t="shared" si="609"/>
        <v>0</v>
      </c>
      <c r="CQ636" s="4">
        <f t="shared" si="610"/>
        <v>0</v>
      </c>
      <c r="CR636" s="4">
        <f t="shared" si="611"/>
        <v>0</v>
      </c>
      <c r="CS636" s="4">
        <f t="shared" si="612"/>
        <v>0</v>
      </c>
      <c r="CT636" s="4">
        <f t="shared" si="613"/>
        <v>0</v>
      </c>
      <c r="CU636" s="4">
        <f t="shared" si="614"/>
        <v>0</v>
      </c>
      <c r="CV636" s="4">
        <f t="shared" si="615"/>
        <v>0</v>
      </c>
      <c r="CW636" s="4">
        <f t="shared" si="616"/>
        <v>0</v>
      </c>
      <c r="CX636" s="4">
        <f t="shared" si="617"/>
        <v>0</v>
      </c>
      <c r="CY636" s="4">
        <f t="shared" si="618"/>
        <v>0</v>
      </c>
      <c r="CZ636" s="4">
        <f t="shared" si="619"/>
        <v>0</v>
      </c>
      <c r="DA636" s="4">
        <f t="shared" si="620"/>
        <v>0</v>
      </c>
      <c r="DB636" s="4">
        <f t="shared" si="621"/>
        <v>0</v>
      </c>
      <c r="DC636" s="4">
        <f t="shared" si="622"/>
        <v>0</v>
      </c>
      <c r="DD636" s="4">
        <f t="shared" si="623"/>
        <v>0</v>
      </c>
    </row>
    <row r="637" spans="1:108" x14ac:dyDescent="0.25">
      <c r="A637" s="41" t="str">
        <f>Skills!M619</f>
        <v>Trade, Commercial Art</v>
      </c>
      <c r="B637" s="57" t="str">
        <f>Skills!N619</f>
        <v>Commercial Art</v>
      </c>
      <c r="C637" s="24">
        <f t="shared" si="569"/>
        <v>0</v>
      </c>
      <c r="D637" s="110" t="e">
        <f ca="1">Skills!S619</f>
        <v>#N/A</v>
      </c>
      <c r="E637" s="111" t="e">
        <f>Profession!$B$285</f>
        <v>#REF!</v>
      </c>
      <c r="F637" s="18"/>
      <c r="G637" s="18"/>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49"/>
      <c r="BF637" s="4">
        <f t="shared" si="573"/>
        <v>0</v>
      </c>
      <c r="BG637" s="4">
        <f t="shared" si="574"/>
        <v>0</v>
      </c>
      <c r="BH637" s="4">
        <f t="shared" si="575"/>
        <v>0</v>
      </c>
      <c r="BI637" s="4">
        <f t="shared" si="576"/>
        <v>0</v>
      </c>
      <c r="BJ637" s="4">
        <f t="shared" si="577"/>
        <v>0</v>
      </c>
      <c r="BK637" s="4">
        <f t="shared" si="578"/>
        <v>0</v>
      </c>
      <c r="BL637" s="4">
        <f t="shared" si="579"/>
        <v>0</v>
      </c>
      <c r="BM637" s="4">
        <f t="shared" si="580"/>
        <v>0</v>
      </c>
      <c r="BN637" s="4">
        <f t="shared" si="581"/>
        <v>0</v>
      </c>
      <c r="BO637" s="4">
        <f t="shared" si="582"/>
        <v>0</v>
      </c>
      <c r="BP637" s="4">
        <f t="shared" si="583"/>
        <v>0</v>
      </c>
      <c r="BQ637" s="4">
        <f t="shared" si="584"/>
        <v>0</v>
      </c>
      <c r="BR637" s="4">
        <f t="shared" si="585"/>
        <v>0</v>
      </c>
      <c r="BS637" s="4">
        <f t="shared" si="586"/>
        <v>0</v>
      </c>
      <c r="BT637" s="4">
        <f t="shared" si="587"/>
        <v>0</v>
      </c>
      <c r="BU637" s="4">
        <f t="shared" si="588"/>
        <v>0</v>
      </c>
      <c r="BV637" s="4">
        <f t="shared" si="589"/>
        <v>0</v>
      </c>
      <c r="BW637" s="4">
        <f t="shared" si="590"/>
        <v>0</v>
      </c>
      <c r="BX637" s="4">
        <f t="shared" si="591"/>
        <v>0</v>
      </c>
      <c r="BY637" s="4">
        <f t="shared" si="592"/>
        <v>0</v>
      </c>
      <c r="BZ637" s="4">
        <f t="shared" si="593"/>
        <v>0</v>
      </c>
      <c r="CA637" s="4">
        <f t="shared" si="594"/>
        <v>0</v>
      </c>
      <c r="CB637" s="4">
        <f t="shared" si="595"/>
        <v>0</v>
      </c>
      <c r="CC637" s="4">
        <f t="shared" si="596"/>
        <v>0</v>
      </c>
      <c r="CD637" s="4">
        <f t="shared" si="597"/>
        <v>0</v>
      </c>
      <c r="CE637" s="4">
        <f t="shared" si="598"/>
        <v>0</v>
      </c>
      <c r="CF637" s="4">
        <f t="shared" si="599"/>
        <v>0</v>
      </c>
      <c r="CG637" s="4">
        <f t="shared" si="600"/>
        <v>0</v>
      </c>
      <c r="CH637" s="4">
        <f t="shared" si="601"/>
        <v>0</v>
      </c>
      <c r="CI637" s="4">
        <f t="shared" si="602"/>
        <v>0</v>
      </c>
      <c r="CJ637" s="4">
        <f t="shared" si="603"/>
        <v>0</v>
      </c>
      <c r="CK637" s="4">
        <f t="shared" si="604"/>
        <v>0</v>
      </c>
      <c r="CL637" s="4">
        <f t="shared" si="605"/>
        <v>0</v>
      </c>
      <c r="CM637" s="4">
        <f t="shared" si="606"/>
        <v>0</v>
      </c>
      <c r="CN637" s="4">
        <f t="shared" si="607"/>
        <v>0</v>
      </c>
      <c r="CO637" s="4">
        <f t="shared" si="608"/>
        <v>0</v>
      </c>
      <c r="CP637" s="4">
        <f t="shared" si="609"/>
        <v>0</v>
      </c>
      <c r="CQ637" s="4">
        <f t="shared" si="610"/>
        <v>0</v>
      </c>
      <c r="CR637" s="4">
        <f t="shared" si="611"/>
        <v>0</v>
      </c>
      <c r="CS637" s="4">
        <f t="shared" si="612"/>
        <v>0</v>
      </c>
      <c r="CT637" s="4">
        <f t="shared" si="613"/>
        <v>0</v>
      </c>
      <c r="CU637" s="4">
        <f t="shared" si="614"/>
        <v>0</v>
      </c>
      <c r="CV637" s="4">
        <f t="shared" si="615"/>
        <v>0</v>
      </c>
      <c r="CW637" s="4">
        <f t="shared" si="616"/>
        <v>0</v>
      </c>
      <c r="CX637" s="4">
        <f t="shared" si="617"/>
        <v>0</v>
      </c>
      <c r="CY637" s="4">
        <f t="shared" si="618"/>
        <v>0</v>
      </c>
      <c r="CZ637" s="4">
        <f t="shared" si="619"/>
        <v>0</v>
      </c>
      <c r="DA637" s="4">
        <f t="shared" si="620"/>
        <v>0</v>
      </c>
      <c r="DB637" s="4">
        <f t="shared" si="621"/>
        <v>0</v>
      </c>
      <c r="DC637" s="4">
        <f t="shared" si="622"/>
        <v>0</v>
      </c>
      <c r="DD637" s="4">
        <f t="shared" si="623"/>
        <v>0</v>
      </c>
    </row>
    <row r="638" spans="1:108" x14ac:dyDescent="0.25">
      <c r="A638" s="41" t="str">
        <f>Skills!M620</f>
        <v>Trade, Taxidermist</v>
      </c>
      <c r="B638" s="55" t="str">
        <f>Skills!N620</f>
        <v>Taxidermist</v>
      </c>
      <c r="C638" s="22">
        <f t="shared" si="569"/>
        <v>0</v>
      </c>
      <c r="D638" s="112">
        <f>Skills!S620</f>
        <v>0</v>
      </c>
      <c r="E638" s="113" t="e">
        <f>Profession!$B$285</f>
        <v>#REF!</v>
      </c>
      <c r="F638" s="19"/>
      <c r="G638" s="19"/>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56"/>
      <c r="BF638" s="4">
        <f t="shared" si="573"/>
        <v>0</v>
      </c>
      <c r="BG638" s="4">
        <f t="shared" si="574"/>
        <v>0</v>
      </c>
      <c r="BH638" s="4">
        <f t="shared" si="575"/>
        <v>0</v>
      </c>
      <c r="BI638" s="4">
        <f t="shared" si="576"/>
        <v>0</v>
      </c>
      <c r="BJ638" s="4">
        <f t="shared" si="577"/>
        <v>0</v>
      </c>
      <c r="BK638" s="4">
        <f t="shared" si="578"/>
        <v>0</v>
      </c>
      <c r="BL638" s="4">
        <f t="shared" si="579"/>
        <v>0</v>
      </c>
      <c r="BM638" s="4">
        <f t="shared" si="580"/>
        <v>0</v>
      </c>
      <c r="BN638" s="4">
        <f t="shared" si="581"/>
        <v>0</v>
      </c>
      <c r="BO638" s="4">
        <f t="shared" si="582"/>
        <v>0</v>
      </c>
      <c r="BP638" s="4">
        <f t="shared" si="583"/>
        <v>0</v>
      </c>
      <c r="BQ638" s="4">
        <f t="shared" si="584"/>
        <v>0</v>
      </c>
      <c r="BR638" s="4">
        <f t="shared" si="585"/>
        <v>0</v>
      </c>
      <c r="BS638" s="4">
        <f t="shared" si="586"/>
        <v>0</v>
      </c>
      <c r="BT638" s="4">
        <f t="shared" si="587"/>
        <v>0</v>
      </c>
      <c r="BU638" s="4">
        <f t="shared" si="588"/>
        <v>0</v>
      </c>
      <c r="BV638" s="4">
        <f t="shared" si="589"/>
        <v>0</v>
      </c>
      <c r="BW638" s="4">
        <f t="shared" si="590"/>
        <v>0</v>
      </c>
      <c r="BX638" s="4">
        <f t="shared" si="591"/>
        <v>0</v>
      </c>
      <c r="BY638" s="4">
        <f t="shared" si="592"/>
        <v>0</v>
      </c>
      <c r="BZ638" s="4">
        <f t="shared" si="593"/>
        <v>0</v>
      </c>
      <c r="CA638" s="4">
        <f t="shared" si="594"/>
        <v>0</v>
      </c>
      <c r="CB638" s="4">
        <f t="shared" si="595"/>
        <v>0</v>
      </c>
      <c r="CC638" s="4">
        <f t="shared" si="596"/>
        <v>0</v>
      </c>
      <c r="CD638" s="4">
        <f t="shared" si="597"/>
        <v>0</v>
      </c>
      <c r="CE638" s="4">
        <f t="shared" si="598"/>
        <v>0</v>
      </c>
      <c r="CF638" s="4">
        <f t="shared" si="599"/>
        <v>0</v>
      </c>
      <c r="CG638" s="4">
        <f t="shared" si="600"/>
        <v>0</v>
      </c>
      <c r="CH638" s="4">
        <f t="shared" si="601"/>
        <v>0</v>
      </c>
      <c r="CI638" s="4">
        <f t="shared" si="602"/>
        <v>0</v>
      </c>
      <c r="CJ638" s="4">
        <f t="shared" si="603"/>
        <v>0</v>
      </c>
      <c r="CK638" s="4">
        <f t="shared" si="604"/>
        <v>0</v>
      </c>
      <c r="CL638" s="4">
        <f t="shared" si="605"/>
        <v>0</v>
      </c>
      <c r="CM638" s="4">
        <f t="shared" si="606"/>
        <v>0</v>
      </c>
      <c r="CN638" s="4">
        <f t="shared" si="607"/>
        <v>0</v>
      </c>
      <c r="CO638" s="4">
        <f t="shared" si="608"/>
        <v>0</v>
      </c>
      <c r="CP638" s="4">
        <f t="shared" si="609"/>
        <v>0</v>
      </c>
      <c r="CQ638" s="4">
        <f t="shared" si="610"/>
        <v>0</v>
      </c>
      <c r="CR638" s="4">
        <f t="shared" si="611"/>
        <v>0</v>
      </c>
      <c r="CS638" s="4">
        <f t="shared" si="612"/>
        <v>0</v>
      </c>
      <c r="CT638" s="4">
        <f t="shared" si="613"/>
        <v>0</v>
      </c>
      <c r="CU638" s="4">
        <f t="shared" si="614"/>
        <v>0</v>
      </c>
      <c r="CV638" s="4">
        <f t="shared" si="615"/>
        <v>0</v>
      </c>
      <c r="CW638" s="4">
        <f t="shared" si="616"/>
        <v>0</v>
      </c>
      <c r="CX638" s="4">
        <f t="shared" si="617"/>
        <v>0</v>
      </c>
      <c r="CY638" s="4">
        <f t="shared" si="618"/>
        <v>0</v>
      </c>
      <c r="CZ638" s="4">
        <f t="shared" si="619"/>
        <v>0</v>
      </c>
      <c r="DA638" s="4">
        <f t="shared" si="620"/>
        <v>0</v>
      </c>
      <c r="DB638" s="4">
        <f t="shared" si="621"/>
        <v>0</v>
      </c>
      <c r="DC638" s="4">
        <f t="shared" si="622"/>
        <v>0</v>
      </c>
      <c r="DD638" s="4">
        <f t="shared" si="623"/>
        <v>0</v>
      </c>
    </row>
  </sheetData>
  <mergeCells count="15">
    <mergeCell ref="B15:D15"/>
    <mergeCell ref="B16:D16"/>
    <mergeCell ref="B17:D17"/>
    <mergeCell ref="B8:C8"/>
    <mergeCell ref="B9:C9"/>
    <mergeCell ref="B10:C10"/>
    <mergeCell ref="B11:C11"/>
    <mergeCell ref="B12:C12"/>
    <mergeCell ref="B14:D14"/>
    <mergeCell ref="B7:C7"/>
    <mergeCell ref="B2:C2"/>
    <mergeCell ref="B3:C3"/>
    <mergeCell ref="B4:C4"/>
    <mergeCell ref="B5:C5"/>
    <mergeCell ref="B6:C6"/>
  </mergeCells>
  <conditionalFormatting sqref="B20">
    <cfRule type="expression" dxfId="4" priority="13" stopIfTrue="1">
      <formula>NOT(ISERROR(SEARCH("Category",B20)))</formula>
    </cfRule>
  </conditionalFormatting>
  <conditionalFormatting sqref="B21:B22">
    <cfRule type="expression" dxfId="3" priority="12" stopIfTrue="1">
      <formula>NOT(ISERROR(SEARCH("Category",B21)))</formula>
    </cfRule>
  </conditionalFormatting>
  <conditionalFormatting sqref="B23:B249">
    <cfRule type="expression" dxfId="2" priority="4" stopIfTrue="1">
      <formula>NOT(ISERROR(SEARCH("Category",B23)))</formula>
    </cfRule>
  </conditionalFormatting>
  <conditionalFormatting sqref="B250:B638">
    <cfRule type="expression" dxfId="1" priority="2" stopIfTrue="1">
      <formula>NOT(ISERROR(SEARCH("Category",B250)))</formula>
    </cfRule>
  </conditionalFormatting>
  <conditionalFormatting sqref="B20:B638">
    <cfRule type="containsText" dxfId="0" priority="1" operator="containsText" text="Skills">
      <formula>NOT(ISERROR(SEARCH("Skills",B20)))</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064C-D574-41F6-9140-5D9C45D68C44}">
  <dimension ref="A1:B36"/>
  <sheetViews>
    <sheetView topLeftCell="A14" workbookViewId="0">
      <selection activeCell="A35" sqref="A35"/>
    </sheetView>
  </sheetViews>
  <sheetFormatPr defaultRowHeight="15" x14ac:dyDescent="0.25"/>
  <sheetData>
    <row r="1" spans="1:2" x14ac:dyDescent="0.25">
      <c r="A1" t="s">
        <v>3487</v>
      </c>
      <c r="B1" s="105"/>
    </row>
    <row r="3" spans="1:2" x14ac:dyDescent="0.25">
      <c r="A3" t="s">
        <v>3488</v>
      </c>
    </row>
    <row r="4" spans="1:2" x14ac:dyDescent="0.25">
      <c r="A4" t="s">
        <v>3489</v>
      </c>
    </row>
    <row r="5" spans="1:2" x14ac:dyDescent="0.25">
      <c r="A5" t="s">
        <v>3490</v>
      </c>
    </row>
    <row r="6" spans="1:2" x14ac:dyDescent="0.25">
      <c r="A6" t="s">
        <v>3491</v>
      </c>
    </row>
    <row r="7" spans="1:2" x14ac:dyDescent="0.25">
      <c r="A7" t="s">
        <v>3492</v>
      </c>
    </row>
    <row r="9" spans="1:2" x14ac:dyDescent="0.25">
      <c r="A9" t="s">
        <v>3493</v>
      </c>
    </row>
    <row r="10" spans="1:2" x14ac:dyDescent="0.25">
      <c r="A10" t="s">
        <v>3494</v>
      </c>
    </row>
    <row r="11" spans="1:2" x14ac:dyDescent="0.25">
      <c r="A11" t="s">
        <v>3495</v>
      </c>
    </row>
    <row r="12" spans="1:2" x14ac:dyDescent="0.25">
      <c r="A12" t="s">
        <v>3496</v>
      </c>
    </row>
    <row r="15" spans="1:2" x14ac:dyDescent="0.25">
      <c r="A15" t="s">
        <v>1992</v>
      </c>
    </row>
    <row r="16" spans="1:2" x14ac:dyDescent="0.25">
      <c r="A16" t="s">
        <v>3505</v>
      </c>
    </row>
    <row r="17" spans="1:1" x14ac:dyDescent="0.25">
      <c r="A17" t="s">
        <v>3506</v>
      </c>
    </row>
    <row r="19" spans="1:1" x14ac:dyDescent="0.25">
      <c r="A19" t="s">
        <v>3490</v>
      </c>
    </row>
    <row r="20" spans="1:1" x14ac:dyDescent="0.25">
      <c r="A20" t="s">
        <v>3497</v>
      </c>
    </row>
    <row r="21" spans="1:1" x14ac:dyDescent="0.25">
      <c r="A21" t="s">
        <v>3498</v>
      </c>
    </row>
    <row r="22" spans="1:1" x14ac:dyDescent="0.25">
      <c r="A22" t="s">
        <v>3499</v>
      </c>
    </row>
    <row r="23" spans="1:1" x14ac:dyDescent="0.25">
      <c r="A23" t="s">
        <v>3500</v>
      </c>
    </row>
    <row r="24" spans="1:1" x14ac:dyDescent="0.25">
      <c r="A24" t="s">
        <v>3501</v>
      </c>
    </row>
    <row r="26" spans="1:1" x14ac:dyDescent="0.25">
      <c r="A26" t="s">
        <v>3502</v>
      </c>
    </row>
    <row r="27" spans="1:1" x14ac:dyDescent="0.25">
      <c r="A27" t="s">
        <v>3503</v>
      </c>
    </row>
    <row r="29" spans="1:1" x14ac:dyDescent="0.25">
      <c r="A29" t="s">
        <v>3504</v>
      </c>
    </row>
    <row r="31" spans="1:1" x14ac:dyDescent="0.25">
      <c r="A31" t="s">
        <v>3507</v>
      </c>
    </row>
    <row r="32" spans="1:1" x14ac:dyDescent="0.25">
      <c r="A32" t="s">
        <v>3508</v>
      </c>
    </row>
    <row r="33" spans="1:1" x14ac:dyDescent="0.25">
      <c r="A33" t="s">
        <v>3509</v>
      </c>
    </row>
    <row r="34" spans="1:1" x14ac:dyDescent="0.25">
      <c r="A34" t="s">
        <v>3510</v>
      </c>
    </row>
    <row r="35" spans="1:1" x14ac:dyDescent="0.25">
      <c r="A35" t="s">
        <v>3511</v>
      </c>
    </row>
    <row r="36" spans="1:1" x14ac:dyDescent="0.25">
      <c r="A36" t="s">
        <v>3512</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EV451"/>
  <sheetViews>
    <sheetView tabSelected="1" topLeftCell="J1" workbookViewId="0">
      <selection activeCell="J10" sqref="J10"/>
    </sheetView>
  </sheetViews>
  <sheetFormatPr defaultColWidth="0.85546875" defaultRowHeight="15" x14ac:dyDescent="0.25"/>
  <cols>
    <col min="2" max="2" width="13.28515625" bestFit="1" customWidth="1"/>
    <col min="3" max="3" width="4.7109375" customWidth="1"/>
    <col min="4" max="4" width="7.7109375" customWidth="1"/>
    <col min="5" max="5" width="4.7109375" customWidth="1"/>
    <col min="7" max="7" width="23.140625" customWidth="1"/>
    <col min="8" max="8" width="4.7109375" style="4" customWidth="1"/>
    <col min="9" max="10" width="6.7109375" customWidth="1"/>
    <col min="12" max="12" width="19.42578125" style="3" bestFit="1" customWidth="1"/>
    <col min="13" max="13" width="1.7109375" style="4" bestFit="1" customWidth="1"/>
    <col min="14" max="14" width="9.5703125" style="8" bestFit="1" customWidth="1"/>
    <col min="16" max="16" width="3" bestFit="1" customWidth="1"/>
    <col min="17" max="17" width="28.140625" bestFit="1" customWidth="1"/>
    <col min="18" max="20" width="3.7109375" customWidth="1"/>
    <col min="22" max="22" width="6.140625" bestFit="1" customWidth="1"/>
    <col min="23" max="23" width="15.28515625" bestFit="1" customWidth="1"/>
    <col min="24" max="24" width="5.85546875" bestFit="1" customWidth="1"/>
    <col min="26" max="26" width="6.85546875" bestFit="1" customWidth="1"/>
    <col min="27" max="27" width="5.85546875" bestFit="1" customWidth="1"/>
    <col min="29" max="29" width="37.140625" bestFit="1" customWidth="1"/>
    <col min="30" max="30" width="4.7109375" style="4" customWidth="1"/>
    <col min="33" max="33" width="4" bestFit="1" customWidth="1"/>
    <col min="34" max="34" width="4" customWidth="1"/>
    <col min="35" max="35" width="25.7109375" bestFit="1" customWidth="1"/>
    <col min="36" max="37" width="3.7109375" customWidth="1"/>
    <col min="38" max="38" width="6" bestFit="1" customWidth="1"/>
    <col min="39" max="39" width="6.5703125" bestFit="1" customWidth="1"/>
    <col min="40" max="40" width="25.7109375" bestFit="1" customWidth="1"/>
    <col min="41" max="41" width="4.7109375" style="4" customWidth="1"/>
    <col min="43" max="43" width="3.7109375" customWidth="1"/>
    <col min="44" max="44" width="22.85546875" bestFit="1" customWidth="1"/>
    <col min="45" max="45" width="9.85546875" style="4" bestFit="1" customWidth="1"/>
    <col min="46" max="46" width="5.7109375" style="4" customWidth="1"/>
    <col min="47" max="47" width="7.7109375" style="4" bestFit="1" customWidth="1"/>
    <col min="48" max="48" width="8.5703125" style="4" bestFit="1" customWidth="1"/>
    <col min="49" max="49" width="9.85546875" style="4" bestFit="1" customWidth="1"/>
    <col min="50" max="50" width="5.7109375" style="4" customWidth="1"/>
    <col min="51" max="51" width="7.7109375" style="4" bestFit="1" customWidth="1"/>
    <col min="52" max="52" width="8.5703125" style="4" bestFit="1" customWidth="1"/>
    <col min="53" max="53" width="9.85546875" style="4" bestFit="1" customWidth="1"/>
    <col min="54" max="56" width="5.7109375" style="4" customWidth="1"/>
    <col min="57" max="57" width="7.42578125" style="4" bestFit="1" customWidth="1"/>
    <col min="58" max="58" width="7.7109375" style="4" bestFit="1" customWidth="1"/>
    <col min="59" max="59" width="8.5703125" style="4" bestFit="1" customWidth="1"/>
    <col min="60" max="60" width="9.85546875" style="4" bestFit="1" customWidth="1"/>
    <col min="61" max="63" width="5.7109375" style="4" customWidth="1"/>
    <col min="64" max="64" width="7.42578125" style="4" bestFit="1" customWidth="1"/>
    <col min="65" max="65" width="7.7109375" style="4" bestFit="1" customWidth="1"/>
    <col min="66" max="66" width="8.5703125" style="4" bestFit="1" customWidth="1"/>
    <col min="67" max="67" width="5.7109375" style="4" customWidth="1"/>
    <col min="68" max="68" width="11" style="4" bestFit="1" customWidth="1"/>
    <col min="69" max="69" width="6.42578125" style="4" bestFit="1" customWidth="1"/>
    <col min="70" max="70" width="6.42578125" style="4" customWidth="1"/>
    <col min="71" max="71" width="8.5703125" style="4" bestFit="1" customWidth="1"/>
    <col min="72" max="72" width="9.42578125" bestFit="1" customWidth="1"/>
    <col min="73" max="73" width="12" bestFit="1" customWidth="1"/>
    <col min="74" max="74" width="12" customWidth="1"/>
    <col min="75" max="75" width="9.5703125" bestFit="1" customWidth="1"/>
    <col min="76" max="76" width="12.140625" bestFit="1" customWidth="1"/>
    <col min="77" max="77" width="47.5703125" bestFit="1" customWidth="1"/>
    <col min="78" max="98" width="4.7109375" customWidth="1"/>
    <col min="99" max="99" width="6.140625" bestFit="1" customWidth="1"/>
    <col min="100" max="100" width="8.5703125" bestFit="1" customWidth="1"/>
    <col min="102" max="102" width="3.7109375" customWidth="1"/>
    <col min="103" max="103" width="12.7109375" bestFit="1" customWidth="1"/>
    <col min="104" max="104" width="3.28515625" bestFit="1" customWidth="1"/>
    <col min="105" max="105" width="14.7109375" bestFit="1" customWidth="1"/>
    <col min="107" max="107" width="3.7109375" customWidth="1"/>
    <col min="108" max="108" width="12.7109375" bestFit="1" customWidth="1"/>
    <col min="109" max="109" width="3.28515625" bestFit="1" customWidth="1"/>
    <col min="110" max="110" width="14.7109375" bestFit="1" customWidth="1"/>
    <col min="112" max="113" width="3.7109375" customWidth="1"/>
    <col min="114" max="114" width="24.85546875" bestFit="1" customWidth="1"/>
    <col min="115" max="115" width="16.7109375" bestFit="1" customWidth="1"/>
    <col min="116" max="116" width="10.5703125" bestFit="1" customWidth="1"/>
    <col min="117" max="118" width="7.7109375" customWidth="1"/>
    <col min="119" max="121" width="6.7109375" customWidth="1"/>
    <col min="122" max="122" width="24.85546875" bestFit="1" customWidth="1"/>
    <col min="123" max="123" width="3.7109375" customWidth="1"/>
    <col min="124" max="124" width="10" bestFit="1" customWidth="1"/>
    <col min="125" max="125" width="4.5703125" bestFit="1" customWidth="1"/>
    <col min="126" max="126" width="5.5703125" style="4" bestFit="1" customWidth="1"/>
    <col min="127" max="127" width="4.7109375" customWidth="1"/>
    <col min="128" max="128" width="14.7109375" bestFit="1" customWidth="1"/>
    <col min="129" max="129" width="10" style="4" bestFit="1" customWidth="1"/>
    <col min="130" max="130" width="7.7109375" bestFit="1" customWidth="1"/>
    <col min="131" max="131" width="6.140625" bestFit="1" customWidth="1"/>
    <col min="132" max="133" width="4.28515625" style="4" customWidth="1"/>
    <col min="134" max="134" width="8.5703125" style="4" bestFit="1" customWidth="1"/>
    <col min="135" max="135" width="11" bestFit="1" customWidth="1"/>
    <col min="136" max="136" width="6.42578125" bestFit="1" customWidth="1"/>
    <col min="137" max="137" width="6.42578125" customWidth="1"/>
    <col min="138" max="138" width="7.42578125" bestFit="1" customWidth="1"/>
    <col min="139" max="139" width="8.42578125" bestFit="1" customWidth="1"/>
    <col min="140" max="140" width="11" bestFit="1" customWidth="1"/>
    <col min="141" max="141" width="0.85546875" customWidth="1"/>
    <col min="142" max="143" width="3.7109375" customWidth="1"/>
    <col min="144" max="144" width="1.7109375" bestFit="1" customWidth="1"/>
    <col min="145" max="145" width="12.7109375" customWidth="1"/>
    <col min="146" max="146" width="6.7109375" customWidth="1"/>
    <col min="147" max="147" width="6.28515625" customWidth="1"/>
    <col min="148" max="148" width="5.5703125" bestFit="1" customWidth="1"/>
    <col min="149" max="149" width="12.7109375" customWidth="1"/>
    <col min="150" max="150" width="5.5703125" bestFit="1" customWidth="1"/>
    <col min="152" max="152" width="2" bestFit="1" customWidth="1"/>
  </cols>
  <sheetData>
    <row r="1" spans="2:152" x14ac:dyDescent="0.25">
      <c r="B1" s="354" t="s">
        <v>803</v>
      </c>
      <c r="C1" s="354"/>
      <c r="D1" s="354"/>
      <c r="E1" s="354"/>
      <c r="G1" s="354" t="s">
        <v>1991</v>
      </c>
      <c r="H1" s="354"/>
      <c r="I1" s="354"/>
      <c r="J1" s="354"/>
      <c r="L1" s="354" t="s">
        <v>2009</v>
      </c>
      <c r="M1" s="354"/>
      <c r="N1" s="354"/>
      <c r="P1" s="354" t="s">
        <v>834</v>
      </c>
      <c r="Q1" s="354"/>
      <c r="V1" s="354" t="s">
        <v>188</v>
      </c>
      <c r="W1" s="354"/>
      <c r="X1" s="354"/>
      <c r="Z1" s="354" t="s">
        <v>2109</v>
      </c>
      <c r="AA1" s="354"/>
      <c r="AG1" s="354" t="s">
        <v>105</v>
      </c>
      <c r="AH1" s="354"/>
      <c r="AI1" s="354"/>
      <c r="AJ1" s="354"/>
      <c r="AK1" s="354"/>
      <c r="AL1" s="354"/>
      <c r="AM1" s="354"/>
      <c r="AN1" s="354"/>
      <c r="AO1" s="354"/>
      <c r="AQ1" s="527" t="s">
        <v>2491</v>
      </c>
      <c r="AR1" s="528"/>
      <c r="AS1" s="528"/>
      <c r="AT1" s="528"/>
      <c r="AU1" s="528"/>
      <c r="AV1" s="528"/>
      <c r="AW1" s="528"/>
      <c r="AX1" s="528"/>
      <c r="AY1" s="528"/>
      <c r="AZ1" s="528"/>
      <c r="BA1" s="528"/>
      <c r="BB1" s="528"/>
      <c r="BC1" s="528"/>
      <c r="BD1" s="528"/>
      <c r="BE1" s="528"/>
      <c r="BF1" s="528"/>
      <c r="BG1" s="528"/>
      <c r="BH1" s="528"/>
      <c r="BI1" s="528"/>
      <c r="BJ1" s="528"/>
      <c r="BK1" s="528"/>
      <c r="BL1" s="528"/>
      <c r="BM1" s="528"/>
      <c r="BN1" s="528"/>
      <c r="BO1" s="528"/>
      <c r="BP1" s="528"/>
      <c r="BQ1" s="528"/>
      <c r="BR1" s="528"/>
      <c r="BS1" s="528"/>
      <c r="BT1" s="528"/>
      <c r="BU1" s="528"/>
      <c r="BV1" s="528"/>
      <c r="BW1" s="528"/>
      <c r="BX1" s="528"/>
      <c r="BY1" s="528"/>
      <c r="BZ1" s="528"/>
      <c r="CA1" s="528"/>
      <c r="CB1" s="528"/>
      <c r="CC1" s="528"/>
      <c r="CD1" s="528"/>
      <c r="CE1" s="528"/>
      <c r="CF1" s="528"/>
      <c r="CG1" s="528"/>
      <c r="CH1" s="528"/>
      <c r="CI1" s="528"/>
      <c r="CJ1" s="528"/>
      <c r="CK1" s="528"/>
      <c r="CL1" s="528"/>
      <c r="CM1" s="528"/>
      <c r="CN1" s="528"/>
      <c r="CO1" s="528"/>
      <c r="CP1" s="528"/>
      <c r="CQ1" s="528"/>
      <c r="CR1" s="528"/>
      <c r="CS1" s="528"/>
      <c r="CT1" s="528"/>
      <c r="CU1" s="528"/>
      <c r="CV1" s="529"/>
      <c r="CX1" s="527" t="s">
        <v>64</v>
      </c>
      <c r="CY1" s="528"/>
      <c r="CZ1" s="528"/>
      <c r="DA1" s="529"/>
      <c r="DC1" s="527" t="s">
        <v>64</v>
      </c>
      <c r="DD1" s="528"/>
      <c r="DE1" s="528"/>
      <c r="DF1" s="529"/>
      <c r="DH1" s="527" t="s">
        <v>3061</v>
      </c>
      <c r="DI1" s="528"/>
      <c r="DJ1" s="528"/>
      <c r="DK1" s="528"/>
      <c r="DL1" s="528"/>
      <c r="DM1" s="528"/>
      <c r="DN1" s="528"/>
      <c r="DO1" s="528"/>
      <c r="DP1" s="528"/>
      <c r="DQ1" s="528"/>
      <c r="DR1" s="528"/>
      <c r="DS1" s="528"/>
      <c r="DT1" s="528"/>
      <c r="DU1" s="528"/>
      <c r="DV1" s="528"/>
      <c r="DW1" s="528"/>
      <c r="DX1" s="528"/>
      <c r="DY1" s="528"/>
      <c r="DZ1" s="528"/>
      <c r="EA1" s="528"/>
      <c r="EB1" s="528"/>
      <c r="EC1" s="528"/>
      <c r="ED1" s="528"/>
      <c r="EE1" s="528"/>
      <c r="EF1" s="528"/>
      <c r="EG1" s="528"/>
      <c r="EH1" s="528"/>
      <c r="EI1" s="528"/>
      <c r="EJ1" s="529"/>
      <c r="EL1" t="s">
        <v>3909</v>
      </c>
    </row>
    <row r="2" spans="2:152" x14ac:dyDescent="0.25">
      <c r="B2" s="3" t="str">
        <f>'Character Sheet'!BZ3</f>
        <v>Double Eagle:</v>
      </c>
      <c r="C2" s="4">
        <f>'Character Sheet'!CK3</f>
        <v>0</v>
      </c>
      <c r="D2" s="115">
        <v>7.3714202899999998E-2</v>
      </c>
      <c r="E2" s="4">
        <f>C2*D2</f>
        <v>0</v>
      </c>
      <c r="G2" t="s">
        <v>407</v>
      </c>
      <c r="H2" s="4">
        <f>In</f>
        <v>2</v>
      </c>
      <c r="I2" t="s">
        <v>1989</v>
      </c>
      <c r="J2" t="s">
        <v>794</v>
      </c>
      <c r="L2" s="3" t="s">
        <v>2010</v>
      </c>
      <c r="M2" s="4" t="s">
        <v>824</v>
      </c>
      <c r="N2" s="8">
        <f>'Character Sheet'!BJ5</f>
        <v>0</v>
      </c>
      <c r="P2">
        <v>1</v>
      </c>
      <c r="Q2" t="e">
        <f ca="1">VLOOKUP(P2,Skills!$F$2:$N$620,9,FALSE)</f>
        <v>#N/A</v>
      </c>
      <c r="R2" s="4" t="str">
        <f ca="1">IF(ISNUMBER(SEARCH(Q2&amp;";",$Q$18)),"x","")</f>
        <v/>
      </c>
      <c r="S2" s="4" t="str">
        <f ca="1">IF(ISNUMBER(SEARCH(Q2&amp;";",$Q$19)),"x","")</f>
        <v/>
      </c>
      <c r="T2" s="4">
        <f ca="1">IFERROR(VLOOKUP(Q2,'Character Creation'!$H$76:$CH$83,66,FALSE),0)</f>
        <v>0</v>
      </c>
      <c r="V2" s="3" t="s">
        <v>2053</v>
      </c>
      <c r="W2" t="str">
        <f>'Character Creation'!I27</f>
        <v>Ranged</v>
      </c>
      <c r="X2" s="4" t="e">
        <f>Profession!B34</f>
        <v>#REF!</v>
      </c>
      <c r="Z2" s="3" t="s">
        <v>2109</v>
      </c>
      <c r="AA2" s="8">
        <f>((LEFT('Character Creation'!Z17,FIND("'",'Character Creation'!Z17)-1))*12)</f>
        <v>60</v>
      </c>
      <c r="AC2" s="8" t="str">
        <f>IFERROR(VLOOKUP('Character Creation'!$CI15,Skills!$H$2:$N$620,6,FALSE),"")</f>
        <v/>
      </c>
      <c r="AD2" s="4">
        <f>'Character Creation'!EH15</f>
        <v>0</v>
      </c>
      <c r="AG2">
        <v>1</v>
      </c>
      <c r="AH2" s="4" t="str">
        <f>IFERROR(_xlfn.RANK.EQ(AM2,$AM$2:$AM$451),"")</f>
        <v/>
      </c>
      <c r="AI2" t="str">
        <f ca="1">IFERROR(VLOOKUP(AG2,Skills!$B$2:$M$620,12,FALSE),"")</f>
        <v/>
      </c>
      <c r="AJ2" s="4" t="str">
        <f>IFERROR(VLOOKUP(AG2,Skills!$B$2:$AF$620,31,FALSE),"")</f>
        <v/>
      </c>
      <c r="AK2" s="4" t="str">
        <f t="shared" ref="AK2:AK24" si="0">IFERROR(LEFT(AJ2,FIND("/",AJ2)-1),AJ2)</f>
        <v/>
      </c>
      <c r="AL2" s="4">
        <v>1E-3</v>
      </c>
      <c r="AM2" s="62" t="str">
        <f>IFERROR(AK2+AL2,"")</f>
        <v/>
      </c>
      <c r="AN2" t="str">
        <f ca="1">IFERROR(VLOOKUP(AG2,$AH$2:$AJ$451,2,FALSE),"")</f>
        <v/>
      </c>
      <c r="AO2" s="4" t="str">
        <f ca="1">IFERROR(VLOOKUP(AG2,$AH$2:$AJ$451,3,FALSE)&amp;IF(ISNUMBER(SEARCH(", Written",AN2))," -R"&amp;VLOOKUP(AN2,Skills!$M$2:$S$620,7,FALSE),IF(ISNUMBER(SEARCH(", Spoken",AN2))," -R"&amp;VLOOKUP(AN2,Skills!$M$2:$S$620,7,FALSE),"")),"")</f>
        <v/>
      </c>
      <c r="AQ2" s="83"/>
      <c r="AS2" s="524" t="s">
        <v>2494</v>
      </c>
      <c r="AT2" s="525"/>
      <c r="AU2" s="525"/>
      <c r="AV2" s="525"/>
      <c r="AW2" s="525"/>
      <c r="AX2" s="525"/>
      <c r="AY2" s="525"/>
      <c r="AZ2" s="526"/>
      <c r="BA2" s="524" t="s">
        <v>2495</v>
      </c>
      <c r="BB2" s="525"/>
      <c r="BC2" s="525"/>
      <c r="BD2" s="525"/>
      <c r="BE2" s="525"/>
      <c r="BF2" s="525"/>
      <c r="BG2" s="525"/>
      <c r="BH2" s="525"/>
      <c r="BI2" s="525"/>
      <c r="BJ2" s="525"/>
      <c r="BK2" s="525"/>
      <c r="BL2" s="525"/>
      <c r="BM2" s="525"/>
      <c r="BN2" s="525"/>
      <c r="BO2" s="526"/>
      <c r="BP2" s="524" t="s">
        <v>2527</v>
      </c>
      <c r="BQ2" s="525"/>
      <c r="BR2" s="525"/>
      <c r="BS2" s="525"/>
      <c r="BT2" s="525"/>
      <c r="BU2" s="525"/>
      <c r="BV2" s="525"/>
      <c r="BW2" s="526"/>
      <c r="BX2" s="86"/>
      <c r="BY2" s="527" t="s">
        <v>3014</v>
      </c>
      <c r="BZ2" s="528"/>
      <c r="CA2" s="528"/>
      <c r="CB2" s="528"/>
      <c r="CC2" s="528"/>
      <c r="CD2" s="528"/>
      <c r="CE2" s="528"/>
      <c r="CF2" s="528"/>
      <c r="CG2" s="528"/>
      <c r="CH2" s="528"/>
      <c r="CI2" s="528"/>
      <c r="CJ2" s="528"/>
      <c r="CK2" s="528"/>
      <c r="CL2" s="528"/>
      <c r="CM2" s="528"/>
      <c r="CN2" s="528"/>
      <c r="CO2" s="528"/>
      <c r="CP2" s="528"/>
      <c r="CQ2" s="528"/>
      <c r="CR2" s="528"/>
      <c r="CS2" s="528"/>
      <c r="CT2" s="528"/>
      <c r="CU2" s="528"/>
      <c r="CV2" s="529"/>
      <c r="CY2" s="89" t="s">
        <v>3011</v>
      </c>
      <c r="DD2" s="89" t="s">
        <v>3011</v>
      </c>
      <c r="DJ2" s="14" t="s">
        <v>3061</v>
      </c>
      <c r="DK2" s="14" t="s">
        <v>147</v>
      </c>
      <c r="DL2" s="14" t="s">
        <v>3068</v>
      </c>
      <c r="DM2" s="14" t="s">
        <v>37</v>
      </c>
      <c r="DN2" s="14" t="s">
        <v>40</v>
      </c>
      <c r="DO2" s="14" t="s">
        <v>3069</v>
      </c>
      <c r="DP2" s="14" t="s">
        <v>3069</v>
      </c>
      <c r="DQ2" s="354" t="s">
        <v>2334</v>
      </c>
      <c r="DR2" s="354"/>
      <c r="DT2" s="14" t="s">
        <v>54</v>
      </c>
      <c r="DU2" s="354" t="s">
        <v>861</v>
      </c>
      <c r="DV2" s="354"/>
      <c r="DW2" s="354"/>
      <c r="DX2" s="14" t="s">
        <v>54</v>
      </c>
      <c r="DY2" s="14" t="s">
        <v>57</v>
      </c>
      <c r="DZ2" s="14" t="s">
        <v>59</v>
      </c>
      <c r="EA2" s="14" t="s">
        <v>83</v>
      </c>
      <c r="EB2" s="354" t="s">
        <v>58</v>
      </c>
      <c r="EC2" s="354"/>
      <c r="ED2" s="14" t="s">
        <v>61</v>
      </c>
      <c r="EE2" s="14" t="s">
        <v>3062</v>
      </c>
      <c r="EF2" s="14" t="s">
        <v>3083</v>
      </c>
      <c r="EG2" s="14" t="s">
        <v>37</v>
      </c>
      <c r="EH2" s="14" t="s">
        <v>55</v>
      </c>
      <c r="EI2" s="14" t="s">
        <v>60</v>
      </c>
      <c r="EJ2" s="14" t="s">
        <v>3084</v>
      </c>
      <c r="EK2" s="14"/>
      <c r="EL2" s="4">
        <f ca="1">IFERROR(VLOOKUP(EO2,Skills!$N$402:$S$440,6,FALSE),0)</f>
        <v>0</v>
      </c>
      <c r="EM2" s="4">
        <v>1</v>
      </c>
      <c r="EN2" s="4" t="s">
        <v>824</v>
      </c>
      <c r="EO2" s="8" t="str">
        <f ca="1">IFERROR(VLOOKUP(EM2,Skills!$C$405:$M$440,11,FALSE),"")</f>
        <v/>
      </c>
      <c r="EP2" s="4" t="str">
        <f t="shared" ref="EP2:EP3" ca="1" si="1">IF(EO2="","",_xlfn.PERCENTRANK.INC($EL$2:$EL$31,EL2)+EQ2)</f>
        <v/>
      </c>
      <c r="EQ2" s="4">
        <v>0</v>
      </c>
      <c r="ER2" s="4" t="str">
        <f ca="1">IFERROR(_xlfn.RANK.EQ(EP2,$EP$2:$EP$31),"")</f>
        <v/>
      </c>
      <c r="ES2" t="str">
        <f t="shared" ref="ES2:ES31" ca="1" si="2">IF(EL2=0,"",EO2)</f>
        <v/>
      </c>
      <c r="ET2" s="4" t="e">
        <f ca="1">VLOOKUP(ES2,Skills!$N$405:$AG$440,20,FALSE)</f>
        <v>#N/A</v>
      </c>
      <c r="EV2">
        <v>1</v>
      </c>
    </row>
    <row r="3" spans="2:152" x14ac:dyDescent="0.25">
      <c r="B3" s="3" t="str">
        <f>'Character Sheet'!BZ4</f>
        <v>Eagle:</v>
      </c>
      <c r="C3" s="4">
        <f>'Character Sheet'!CK4</f>
        <v>0</v>
      </c>
      <c r="D3" s="115">
        <v>3.8580895900000002E-2</v>
      </c>
      <c r="E3" s="4">
        <f>C3*D3</f>
        <v>0</v>
      </c>
      <c r="G3" t="s">
        <v>1964</v>
      </c>
      <c r="H3" s="4">
        <f>Em</f>
        <v>5</v>
      </c>
      <c r="I3" t="s">
        <v>855</v>
      </c>
      <c r="J3" t="s">
        <v>853</v>
      </c>
      <c r="L3" s="3" t="s">
        <v>2011</v>
      </c>
      <c r="M3" s="4" t="s">
        <v>824</v>
      </c>
      <c r="N3" s="8">
        <f>'Character Sheet'!BJ4</f>
        <v>0</v>
      </c>
      <c r="P3">
        <v>2</v>
      </c>
      <c r="Q3" t="e">
        <f ca="1">VLOOKUP(P3,Skills!$F$2:$N$620,9,FALSE)</f>
        <v>#N/A</v>
      </c>
      <c r="R3" s="4" t="str">
        <f t="shared" ref="R3:R16" ca="1" si="3">IF(ISNUMBER(SEARCH(Q3&amp;";",$Q$18)),"x","")</f>
        <v/>
      </c>
      <c r="S3" s="4" t="str">
        <f t="shared" ref="S3:S16" ca="1" si="4">IF(ISNUMBER(SEARCH(Q3&amp;";",$Q$19)),"x","")</f>
        <v/>
      </c>
      <c r="T3" s="4">
        <f ca="1">IFERROR(VLOOKUP(Q3,'Character Creation'!$H$76:$CH$83,66,FALSE),0)</f>
        <v>0</v>
      </c>
      <c r="V3" s="3" t="s">
        <v>2054</v>
      </c>
      <c r="W3" t="str">
        <f>'Character Creation'!I28</f>
        <v>Melee</v>
      </c>
      <c r="X3" s="4" t="e">
        <f>Profession!B35</f>
        <v>#REF!</v>
      </c>
      <c r="Z3" s="3" t="s">
        <v>2109</v>
      </c>
      <c r="AA3" t="str">
        <f>MID('Character Creation'!Z17,FIND(" ",'Character Creation'!Z17)+1,2)</f>
        <v>08</v>
      </c>
      <c r="AC3" s="8" t="str">
        <f>IFERROR(VLOOKUP('Character Creation'!$CI16,Skills!$H$2:$N$620,6,FALSE),"")</f>
        <v/>
      </c>
      <c r="AD3" s="4">
        <f>'Character Creation'!EH16</f>
        <v>0</v>
      </c>
      <c r="AG3">
        <v>2</v>
      </c>
      <c r="AH3" s="4" t="str">
        <f t="shared" ref="AH3:AH66" ca="1" si="5">IFERROR(_xlfn.RANK.EQ(AM3,$AM$2:$AM$451),"")</f>
        <v/>
      </c>
      <c r="AI3" t="str">
        <f>IFERROR(VLOOKUP(AG3,Skills!$B$2:$M$620,12,FALSE),"")</f>
        <v/>
      </c>
      <c r="AJ3" s="4" t="str">
        <f ca="1">IFERROR(VLOOKUP(AG3,Skills!$B$2:$AF$620,31,FALSE),"")</f>
        <v/>
      </c>
      <c r="AK3" s="4" t="str">
        <f t="shared" ca="1" si="0"/>
        <v/>
      </c>
      <c r="AL3" s="4">
        <v>2E-3</v>
      </c>
      <c r="AM3" s="62" t="str">
        <f t="shared" ref="AM3:AM66" ca="1" si="6">IFERROR(AK3+AL3,"")</f>
        <v/>
      </c>
      <c r="AN3" t="str">
        <f t="shared" ref="AN3:AN66" ca="1" si="7">IFERROR(VLOOKUP(AG3,$AH$2:$AJ$451,2,FALSE),"")</f>
        <v/>
      </c>
      <c r="AO3" s="4" t="str">
        <f ca="1">IFERROR(VLOOKUP(AG3,$AH$2:$AJ$451,3,FALSE)&amp;IF(ISNUMBER(SEARCH(", Written",AN3))," -R"&amp;VLOOKUP(AN3,Skills!$M$2:$S$620,7,FALSE),IF(ISNUMBER(SEARCH(", Spoken",AN3))," -R"&amp;VLOOKUP(AN3,Skills!$M$2:$S$620,7,FALSE),"")),"")</f>
        <v/>
      </c>
      <c r="AQ3" s="83"/>
      <c r="AS3" s="4" t="s">
        <v>2492</v>
      </c>
      <c r="AT3" s="4" t="s">
        <v>2007</v>
      </c>
      <c r="AU3" s="4" t="s">
        <v>2525</v>
      </c>
      <c r="AV3" s="4" t="s">
        <v>61</v>
      </c>
      <c r="AW3" s="4" t="s">
        <v>2493</v>
      </c>
      <c r="AX3" s="4" t="s">
        <v>2007</v>
      </c>
      <c r="AY3" s="4" t="s">
        <v>2525</v>
      </c>
      <c r="AZ3" s="4" t="s">
        <v>61</v>
      </c>
      <c r="BA3" s="4" t="s">
        <v>2492</v>
      </c>
      <c r="BB3" s="4" t="s">
        <v>2007</v>
      </c>
      <c r="BC3" s="530" t="s">
        <v>2520</v>
      </c>
      <c r="BD3" s="530"/>
      <c r="BE3" s="4" t="s">
        <v>72</v>
      </c>
      <c r="BF3" s="4" t="s">
        <v>2525</v>
      </c>
      <c r="BG3" s="4" t="s">
        <v>61</v>
      </c>
      <c r="BH3" s="4" t="s">
        <v>2493</v>
      </c>
      <c r="BI3" s="4" t="s">
        <v>2007</v>
      </c>
      <c r="BJ3" s="530" t="s">
        <v>2520</v>
      </c>
      <c r="BK3" s="530"/>
      <c r="BL3" s="4" t="s">
        <v>72</v>
      </c>
      <c r="BM3" s="4" t="s">
        <v>2525</v>
      </c>
      <c r="BN3" s="4" t="s">
        <v>61</v>
      </c>
      <c r="BO3" s="4" t="s">
        <v>2497</v>
      </c>
      <c r="BP3" s="4" t="s">
        <v>2522</v>
      </c>
      <c r="BQ3" s="4" t="s">
        <v>37</v>
      </c>
      <c r="BR3" s="4" t="s">
        <v>2523</v>
      </c>
      <c r="BS3" s="4" t="s">
        <v>61</v>
      </c>
      <c r="BT3" s="4" t="s">
        <v>2498</v>
      </c>
      <c r="BU3" s="4" t="s">
        <v>2499</v>
      </c>
      <c r="BV3" s="4" t="s">
        <v>2526</v>
      </c>
      <c r="BW3" s="4" t="s">
        <v>2524</v>
      </c>
      <c r="BX3" s="4" t="s">
        <v>3015</v>
      </c>
      <c r="BY3" s="4" t="s">
        <v>3011</v>
      </c>
      <c r="BZ3" s="4" t="s">
        <v>2124</v>
      </c>
      <c r="CA3" s="4" t="s">
        <v>2125</v>
      </c>
      <c r="CB3" s="4" t="s">
        <v>2126</v>
      </c>
      <c r="CC3" s="4" t="s">
        <v>2127</v>
      </c>
      <c r="CD3" s="4" t="s">
        <v>2128</v>
      </c>
      <c r="CE3" s="4" t="s">
        <v>2129</v>
      </c>
      <c r="CF3" s="4" t="s">
        <v>3033</v>
      </c>
      <c r="CG3" s="4" t="s">
        <v>3034</v>
      </c>
      <c r="CH3" s="4" t="s">
        <v>3035</v>
      </c>
      <c r="CI3" s="4" t="s">
        <v>3036</v>
      </c>
      <c r="CJ3" s="4" t="s">
        <v>3037</v>
      </c>
      <c r="CK3" s="4" t="s">
        <v>3038</v>
      </c>
      <c r="CL3" s="4" t="s">
        <v>3039</v>
      </c>
      <c r="CM3" s="4" t="s">
        <v>3040</v>
      </c>
      <c r="CN3" s="4" t="s">
        <v>2130</v>
      </c>
      <c r="CO3" s="4" t="s">
        <v>3041</v>
      </c>
      <c r="CP3" s="4" t="s">
        <v>3042</v>
      </c>
      <c r="CQ3" s="4" t="s">
        <v>3043</v>
      </c>
      <c r="CR3" s="4" t="s">
        <v>3044</v>
      </c>
      <c r="CS3" s="4" t="s">
        <v>3045</v>
      </c>
      <c r="CT3" s="4" t="s">
        <v>3046</v>
      </c>
      <c r="CU3" s="4" t="s">
        <v>3031</v>
      </c>
      <c r="CV3" s="4" t="s">
        <v>61</v>
      </c>
      <c r="CX3">
        <v>1</v>
      </c>
      <c r="CY3" s="3" t="str">
        <f>'Character Sheet'!B49</f>
        <v>Head:</v>
      </c>
      <c r="CZ3" s="4">
        <f>MAX($BZ$4:$BZ$19)</f>
        <v>4</v>
      </c>
      <c r="DA3" t="str">
        <f>IFERROR(VLOOKUP(CZ3,Armour!$A$4:$B$99,2,FALSE),"No Armour")</f>
        <v>Heavy Cloth</v>
      </c>
      <c r="DC3">
        <v>1</v>
      </c>
      <c r="DD3" s="3" t="str">
        <f>'Character Sheet'!B128</f>
        <v>Head:</v>
      </c>
      <c r="DE3" s="4">
        <f>MAX($BZ$83:$BZ$116)</f>
        <v>0</v>
      </c>
      <c r="DF3" t="str">
        <f>IFERROR(VLOOKUP(DE3,Armour!$A$4:$B$99,2,FALSE),"No Armour")</f>
        <v>No Armour</v>
      </c>
      <c r="DH3" s="4" t="str">
        <f>IF(DP3=0,"",DP3)</f>
        <v/>
      </c>
      <c r="DI3">
        <v>1</v>
      </c>
      <c r="DJ3" s="3" t="str">
        <f>'Character Sheet'!FB21</f>
        <v>Light Dagger</v>
      </c>
      <c r="DK3" s="4" t="str">
        <f t="shared" ref="DK3:DK17" si="8">IFERROR(VLOOKUP($DJ3,ItemChart,13,FALSE),"")</f>
        <v>Blade</v>
      </c>
      <c r="DL3" s="4" t="str">
        <f>IFERROR(IF(DK3=0,"",VLOOKUP(DK3,Skills!$N$72:$AF$107,19,FALSE)),"")</f>
        <v/>
      </c>
      <c r="DM3" s="4">
        <f>IFERROR(VLOOKUP($DJ3,ItemChart,18,FALSE)+'Character Sheet'!IJ21,0)</f>
        <v>0</v>
      </c>
      <c r="DN3" s="4" t="str">
        <f>IFERROR(IF(DK3=0,"",DL3+DM3),"")</f>
        <v/>
      </c>
      <c r="DO3" s="4" t="str">
        <f>IFERROR(DN3+0.01,"")</f>
        <v/>
      </c>
      <c r="DP3" s="4">
        <f>IFERROR(_xlfn.RANK.EQ(DO3,$DO$3:$DO$127),0)</f>
        <v>0</v>
      </c>
      <c r="DQ3" s="4">
        <f>IF(DR3=0,0,1)</f>
        <v>1</v>
      </c>
      <c r="DR3" s="4" t="str">
        <f t="shared" ref="DR3:DR17" si="9">VLOOKUP(DJ3,ItemChart,26,FALSE)</f>
        <v>Light Dagger (Thrown)</v>
      </c>
      <c r="DS3" s="4">
        <f>DI3</f>
        <v>1</v>
      </c>
      <c r="DT3" s="4" t="str">
        <f t="shared" ref="DT3:DT17" si="10">IFERROR(VLOOKUP($DJ3,ItemChart,14,FALSE),"")</f>
        <v>Dagger</v>
      </c>
      <c r="DU3" s="4">
        <f t="shared" ref="DU3:DU17" si="11">IFERROR(VLOOKUP($DJ3,ItemChart,15,FALSE),"")</f>
        <v>0</v>
      </c>
      <c r="DV3" s="4" t="str">
        <f>VLOOKUP((VLOOKUP((VLOOKUP('Character Creation'!$Z$11,RaceChart,20,FALSE)&amp;" "&amp;VLOOKUP('Character Creation'!$Z$11,RaceChart,21,FALSE)),Charts!$H$2:$J$14,3,FALSE)+DU3),Charts!$J$2:$N$14,5,FALSE)</f>
        <v>M</v>
      </c>
      <c r="DW3" s="4" t="str">
        <f>VLOOKUP(DV3,Charts!$N$2:$Q$14,4,FALSE)</f>
        <v>(5)</v>
      </c>
      <c r="DX3" s="4" t="str">
        <f>IFERROR(DV3&amp;DW3&amp;" "&amp;DT3,"")</f>
        <v>M(5) Dagger</v>
      </c>
      <c r="DY3" s="4">
        <f t="shared" ref="DY3:DY17" si="12">IFERROR(VLOOKUP($DJ3,ItemChart,16,FALSE),"")</f>
        <v>1</v>
      </c>
      <c r="DZ3" s="4" t="str">
        <f t="shared" ref="DZ3:DZ17" si="13">IFERROR(MAX(2,VLOOKUP($DJ3,ItemChart,19,FALSE)-EA3),"")</f>
        <v/>
      </c>
      <c r="EA3" s="4" t="e">
        <f>ROUNDDOWN(VLOOKUP(DK3,Skills!$N$72:$S$107,6,FALSE)/5,0)</f>
        <v>#N/A</v>
      </c>
      <c r="EB3" s="4">
        <f t="shared" ref="EB3:EB17" si="14">IFERROR(VLOOKUP($DJ3,ItemChart,17,FALSE),"")</f>
        <v>0</v>
      </c>
      <c r="EC3" s="4" t="str">
        <f>IF(EB3&lt;0,EB3,"+"&amp;EB3)</f>
        <v>+0</v>
      </c>
      <c r="ED3" s="4">
        <f>VLOOKUP(DJ3,'Character Sheet'!$FB$21:$HQ$35,61,FALSE)</f>
        <v>80</v>
      </c>
      <c r="EE3" s="4" t="str">
        <f t="shared" ref="EE3:EE17" si="15">IFERROR(IF(VLOOKUP($DJ3,ItemChart,20,FALSE)=0,"- -",VLOOKUP($DJ3,ItemChart,20,FALSE)),"")</f>
        <v>- -</v>
      </c>
      <c r="EF3" s="4" t="str">
        <f>IFERROR(IF(VLOOKUP($DJ3,ItemChart,21,FALSE)=0,"- -",VLOOKUP($DJ3,ItemChart,21,FALSE)),"")</f>
        <v>- -</v>
      </c>
      <c r="EG3" s="4">
        <f>VLOOKUP(DR3,Items!$B$1156:$AA$1282,18,FALSE)</f>
        <v>-10</v>
      </c>
      <c r="EH3" s="4" t="e">
        <f>VLOOKUP(DJ3,'Character Sheet'!$E$26:$EZ$45,81,FALSE)</f>
        <v>#N/A</v>
      </c>
      <c r="EI3" s="4" t="e">
        <f>VLOOKUP(DJ3,'Character Sheet'!$E$26:$EZ$45,89,FALSE)</f>
        <v>#N/A</v>
      </c>
      <c r="EJ3" s="4" t="e">
        <f>SUM(EG3:EI3)</f>
        <v>#N/A</v>
      </c>
      <c r="EL3" s="4">
        <f ca="1">IFERROR(VLOOKUP(EO3,Skills!$N$402:$S$440,6,FALSE),0)</f>
        <v>0</v>
      </c>
      <c r="EM3" s="4">
        <v>2</v>
      </c>
      <c r="EN3" s="4" t="s">
        <v>824</v>
      </c>
      <c r="EO3" s="8" t="str">
        <f ca="1">IFERROR(VLOOKUP(EM3,Skills!$C$405:$M$440,11,FALSE),"")</f>
        <v/>
      </c>
      <c r="EP3" s="4" t="str">
        <f t="shared" ca="1" si="1"/>
        <v/>
      </c>
      <c r="EQ3" s="4">
        <v>1E-3</v>
      </c>
      <c r="ER3" s="4" t="str">
        <f t="shared" ref="ER3:ER31" ca="1" si="16">IFERROR(_xlfn.RANK.EQ(EP3,$EP$2:$EP$31),"")</f>
        <v/>
      </c>
      <c r="ES3" t="str">
        <f t="shared" ca="1" si="2"/>
        <v/>
      </c>
      <c r="ET3" s="4" t="e">
        <f ca="1">VLOOKUP(ES3,Skills!$N$405:$AG$440,20,FALSE)</f>
        <v>#N/A</v>
      </c>
      <c r="EV3">
        <v>2</v>
      </c>
    </row>
    <row r="4" spans="2:152" x14ac:dyDescent="0.25">
      <c r="B4" s="3" t="str">
        <f>'Character Sheet'!BZ5</f>
        <v>Half Eagle:</v>
      </c>
      <c r="C4" s="4">
        <f>'Character Sheet'!CK5</f>
        <v>0</v>
      </c>
      <c r="D4" s="115">
        <v>1.92904479E-2</v>
      </c>
      <c r="E4" s="4">
        <f>C4*D4</f>
        <v>0</v>
      </c>
      <c r="G4" t="s">
        <v>816</v>
      </c>
      <c r="H4" s="4">
        <f>Pr</f>
        <v>-3</v>
      </c>
      <c r="I4" t="s">
        <v>1990</v>
      </c>
      <c r="J4" t="s">
        <v>781</v>
      </c>
      <c r="L4" s="3" t="s">
        <v>2013</v>
      </c>
      <c r="M4" s="4" t="s">
        <v>824</v>
      </c>
      <c r="N4" s="8">
        <f>VLOOKUP(N2,Charts!$AM$2:$AN$52,2,FALSE)</f>
        <v>0</v>
      </c>
      <c r="P4">
        <v>3</v>
      </c>
      <c r="Q4" t="e">
        <f ca="1">VLOOKUP(P4,Skills!$F$2:$N$620,9,FALSE)</f>
        <v>#N/A</v>
      </c>
      <c r="R4" s="4" t="str">
        <f t="shared" ca="1" si="3"/>
        <v/>
      </c>
      <c r="S4" s="4" t="str">
        <f t="shared" ca="1" si="4"/>
        <v/>
      </c>
      <c r="T4" s="4">
        <f ca="1">IFERROR(VLOOKUP(Q4,'Character Creation'!$H$76:$CH$83,66,FALSE),0)</f>
        <v>0</v>
      </c>
      <c r="V4" s="3" t="s">
        <v>2055</v>
      </c>
      <c r="W4" t="str">
        <f>'Character Creation'!I29</f>
        <v>Unarmed</v>
      </c>
      <c r="X4" s="4" t="e">
        <f>Profession!B36</f>
        <v>#REF!</v>
      </c>
      <c r="Z4" s="3" t="s">
        <v>2109</v>
      </c>
      <c r="AA4" s="8">
        <f>AA2+AA3</f>
        <v>68</v>
      </c>
      <c r="AC4" s="8" t="str">
        <f>IFERROR(VLOOKUP('Character Creation'!$CI17,Skills!$H$2:$N$620,6,FALSE),"")</f>
        <v/>
      </c>
      <c r="AD4" s="4">
        <f>'Character Creation'!EH17</f>
        <v>1</v>
      </c>
      <c r="AG4">
        <v>3</v>
      </c>
      <c r="AH4" s="4" t="str">
        <f t="shared" si="5"/>
        <v/>
      </c>
      <c r="AI4" t="str">
        <f>IFERROR(VLOOKUP(AG4,Skills!$B$2:$M$620,12,FALSE),"")</f>
        <v/>
      </c>
      <c r="AJ4" s="4" t="str">
        <f>IFERROR(VLOOKUP(AG4,Skills!$B$2:$AF$620,31,FALSE),"")</f>
        <v/>
      </c>
      <c r="AK4" s="4" t="str">
        <f t="shared" si="0"/>
        <v/>
      </c>
      <c r="AL4" s="4">
        <v>3.0000000000000001E-3</v>
      </c>
      <c r="AM4" s="62" t="str">
        <f t="shared" si="6"/>
        <v/>
      </c>
      <c r="AN4" t="str">
        <f t="shared" ca="1" si="7"/>
        <v/>
      </c>
      <c r="AO4" s="4" t="str">
        <f ca="1">IFERROR(VLOOKUP(AG4,$AH$2:$AJ$451,3,FALSE)&amp;IF(ISNUMBER(SEARCH(", Written",AN4))," -R"&amp;VLOOKUP(AN4,Skills!$M$2:$S$620,7,FALSE),IF(ISNUMBER(SEARCH(", Spoken",AN4))," -R"&amp;VLOOKUP(AN4,Skills!$M$2:$S$620,7,FALSE),"")),"")</f>
        <v/>
      </c>
      <c r="AQ4">
        <v>1</v>
      </c>
      <c r="AR4" s="8" t="str">
        <f>'Character Sheet'!FB4</f>
        <v>Belt, Leather</v>
      </c>
      <c r="AS4" s="4" t="str">
        <f t="shared" ref="AS4:AS67" si="17">IFERROR(VLOOKUP(AR4,ItemChart,5,FALSE),"")</f>
        <v>Soft Leather</v>
      </c>
      <c r="AT4" s="4">
        <f t="shared" ref="AT4:AT67" si="18">IFERROR(VLOOKUP(AS4,MaterialChart,6,FALSE),"")</f>
        <v>0.05</v>
      </c>
      <c r="AU4" s="4">
        <f t="shared" ref="AU4" si="19">IFERROR(VLOOKUP(AS4,MaterialChart,2,FALSE),"")</f>
        <v>30</v>
      </c>
      <c r="AV4" s="4">
        <f t="shared" ref="AV4" si="20">IFERROR(VLOOKUP(AS4,MaterialChart,3,FALSE),"")</f>
        <v>0</v>
      </c>
      <c r="AW4" s="4" t="str">
        <f t="shared" ref="AW4" si="21">IFERROR(VLOOKUP(AR4,ItemChart,7,FALSE),"")</f>
        <v>Soft Leather</v>
      </c>
      <c r="AX4" s="4">
        <f t="shared" ref="AX4:AX67" si="22">IFERROR(VLOOKUP(AW4,MaterialChart,6,FALSE),"")</f>
        <v>0.05</v>
      </c>
      <c r="AY4" s="4">
        <f t="shared" ref="AY4" si="23">IFERROR(VLOOKUP(AW4,MaterialChart,2,FALSE),"")</f>
        <v>30</v>
      </c>
      <c r="AZ4" s="4">
        <f t="shared" ref="AZ4" si="24">IFERROR(VLOOKUP(AW4,MaterialChart,3,FALSE),"")</f>
        <v>0</v>
      </c>
      <c r="BA4" s="4" t="str">
        <f>IFERROR('Character Sheet'!JK4,"")</f>
        <v>Soft Leather</v>
      </c>
      <c r="BB4" s="4">
        <f t="shared" ref="BB4:BB67" si="25">IFERROR(VLOOKUP(BA4,MaterialChart,6,FALSE),"")</f>
        <v>0.05</v>
      </c>
      <c r="BC4" s="4">
        <f t="shared" ref="BC4" si="26">IFERROR(VLOOKUP(BA4,MaterialChart,4,FALSE),"")</f>
        <v>0</v>
      </c>
      <c r="BD4" s="4">
        <f>IFERROR(MAX(0,0-BC4),"")</f>
        <v>0</v>
      </c>
      <c r="BE4" s="4">
        <f>IFERROR(BU4*BO4,"")</f>
        <v>0.5</v>
      </c>
      <c r="BF4" s="4">
        <f t="shared" ref="BF4" si="27">IFERROR(VLOOKUP(BA4,MaterialChart,2,FALSE),"")</f>
        <v>30</v>
      </c>
      <c r="BG4" s="4">
        <f t="shared" ref="BG4" si="28">IFERROR(VLOOKUP(BA4,MaterialChart,3,FALSE),"")</f>
        <v>0</v>
      </c>
      <c r="BH4" s="4" t="str">
        <f>IFERROR('Character Sheet'!KC4,"")</f>
        <v>Soft Leather</v>
      </c>
      <c r="BI4" s="4">
        <f t="shared" ref="BI4:BI67" si="29">IFERROR(VLOOKUP(BH4,MaterialChart,6,FALSE),"")</f>
        <v>0.05</v>
      </c>
      <c r="BJ4" s="4">
        <f t="shared" ref="BJ4" si="30">IFERROR(VLOOKUP(BH4,MaterialChart,4,FALSE),"")</f>
        <v>0</v>
      </c>
      <c r="BK4" s="4">
        <f>IFERROR(MAX(0,0-BJ4),"")</f>
        <v>0</v>
      </c>
      <c r="BL4" s="4">
        <f>IFERROR(BU4-BE4,"")</f>
        <v>0</v>
      </c>
      <c r="BM4" s="4">
        <f t="shared" ref="BM4" si="31">IFERROR(VLOOKUP(BH4,MaterialChart,2,FALSE),"")</f>
        <v>30</v>
      </c>
      <c r="BN4" s="4">
        <f t="shared" ref="BN4" si="32">IFERROR(VLOOKUP(BH4,MaterialChart,3,FALSE),"")</f>
        <v>0</v>
      </c>
      <c r="BO4" s="4">
        <f t="shared" ref="BO4" si="33">IFERROR(VLOOKUP(AR4,ItemChart,6,FALSE),"")</f>
        <v>1</v>
      </c>
      <c r="BP4" s="4">
        <f t="shared" ref="BP4" si="34">IFERROR((VLOOKUP(AS4,MaterialChart,5,FALSE)),"")</f>
        <v>0</v>
      </c>
      <c r="BQ4" s="4">
        <f>IFERROR('Character Sheet'!IQ4+VLOOKUP(BA4,MaterialChart,5,FALSE),"")</f>
        <v>0</v>
      </c>
      <c r="BR4" s="4">
        <f>IFERROR(BQ4-BP4,"")</f>
        <v>0</v>
      </c>
      <c r="BS4" s="4">
        <f>IFERROR(VLOOKUP(BA4&amp;CU4,Armour!$B$4:$BP$99,4,FALSE)+(BG4)+(BN4)-((AV4)+(AZ4)),0)</f>
        <v>30</v>
      </c>
      <c r="BT4" s="4">
        <f t="shared" ref="BT4" si="35">IFERROR(VLOOKUP(AR4,ItemChart,2,FALSE),"")</f>
        <v>0.45</v>
      </c>
      <c r="BU4" s="4">
        <f t="shared" ref="BU4" si="36">IFERROR(VLOOKUP(AR4,ItemChart,3,FALSE),"")</f>
        <v>0.5</v>
      </c>
      <c r="BV4" s="4">
        <f t="shared" ref="BV4" si="37">IFERROR((((BU4*BO4)/AU4)*BF4)+(((BU4-(BU4*BO4))/AY4)*BM4),"")</f>
        <v>0.5</v>
      </c>
      <c r="BW4" s="4">
        <f>IFERROR(ROUNDUP((BE4*(BB4-AT4))+(BL4*(BI4-AX4))+(BT4*(((100+(BD4+IF(BE4=1,0,BK4))+(4*BR4))/100)))*'Character Sheet'!GT4,3),"")</f>
        <v>0.45</v>
      </c>
      <c r="BX4" s="4" t="str">
        <f t="shared" ref="BX4:BX39" si="38">IF(BW4="","","$"&amp;ROUND(BW4,2))</f>
        <v>$0.45</v>
      </c>
      <c r="BY4" s="8" t="str">
        <f t="shared" ref="BY4:BY19" si="39">IFERROR(VLOOKUP(AR4,ItemChart,11,FALSE),"")</f>
        <v>Waist</v>
      </c>
      <c r="BZ4" s="4">
        <f>IF(ISNUMBER(SEARCH(BZ$3,$BY4)),VLOOKUP($BA4&amp;$CU4,Armour!$B$4:$BP$99,67,FALSE),0)</f>
        <v>0</v>
      </c>
      <c r="CA4" s="4">
        <f>IF(ISNUMBER(SEARCH(CA$3,$BY4)),VLOOKUP($BA4&amp;$CU4,Armour!$B$4:$BP$99,67,FALSE),0)</f>
        <v>0</v>
      </c>
      <c r="CB4" s="4">
        <f>IF(ISNUMBER(SEARCH(CB$3,$BY4)),VLOOKUP($BA4&amp;$CU4,Armour!$B$4:$BP$99,67,FALSE),0)</f>
        <v>0</v>
      </c>
      <c r="CC4" s="4">
        <f>IF(ISNUMBER(SEARCH(CC$3,$BY4)),VLOOKUP($BA4&amp;$CU4,Armour!$B$4:$BP$99,67,FALSE),0)</f>
        <v>0</v>
      </c>
      <c r="CD4" s="4">
        <f>IF(ISNUMBER(SEARCH(CD$3,$BY4)),VLOOKUP($BA4&amp;$CU4,Armour!$B$4:$BP$99,67,FALSE),0)</f>
        <v>0</v>
      </c>
      <c r="CE4" s="4">
        <f>IF(ISNUMBER(SEARCH(CE$3,$BY4)),VLOOKUP($BA4&amp;$CU4,Armour!$B$4:$BP$99,67,FALSE),0)</f>
        <v>6</v>
      </c>
      <c r="CF4" s="4">
        <f>IF(ISNUMBER(SEARCH(CF$3,$BY4)),VLOOKUP($BA4&amp;$CU4,Armour!$B$4:$BP$99,67,FALSE),0)</f>
        <v>0</v>
      </c>
      <c r="CG4" s="4">
        <f>IF(ISNUMBER(SEARCH(CG$3,$BY4)),VLOOKUP($BA4&amp;$CU4,Armour!$B$4:$BP$99,67,FALSE),0)</f>
        <v>0</v>
      </c>
      <c r="CH4" s="4">
        <f>IF(ISNUMBER(SEARCH(CH$3,$BY4)),VLOOKUP($BA4&amp;$CU4,Armour!$B$4:$BP$99,67,FALSE),0)</f>
        <v>0</v>
      </c>
      <c r="CI4" s="4">
        <f>IF(ISNUMBER(SEARCH(CI$3,$BY4)),VLOOKUP($BA4&amp;$CU4,Armour!$B$4:$BP$99,67,FALSE),0)</f>
        <v>0</v>
      </c>
      <c r="CJ4" s="4">
        <f>IF(ISNUMBER(SEARCH(CJ$3,$BY4)),VLOOKUP($BA4&amp;$CU4,Armour!$B$4:$BP$99,67,FALSE),0)</f>
        <v>0</v>
      </c>
      <c r="CK4" s="4">
        <f>IF(ISNUMBER(SEARCH(CK$3,$BY4)),VLOOKUP($BA4&amp;$CU4,Armour!$B$4:$BP$99,67,FALSE),0)</f>
        <v>0</v>
      </c>
      <c r="CL4" s="4">
        <f>IF(ISNUMBER(SEARCH(CL$3,$BY4)),VLOOKUP($BA4&amp;$CU4,Armour!$B$4:$BP$99,67,FALSE),0)</f>
        <v>0</v>
      </c>
      <c r="CM4" s="4">
        <f>IF(ISNUMBER(SEARCH(CM$3,$BY4)),VLOOKUP($BA4&amp;$CU4,Armour!$B$4:$BP$99,67,FALSE),0)</f>
        <v>0</v>
      </c>
      <c r="CN4" s="4">
        <f>IF(ISNUMBER(SEARCH(CN$3,$BY4)),VLOOKUP($BA4&amp;$CU4,Armour!$B$4:$BP$99,67,FALSE),0)</f>
        <v>0</v>
      </c>
      <c r="CO4" s="4">
        <f>IF(ISNUMBER(SEARCH(CO$3,$BY4)),VLOOKUP($BA4&amp;$CU4,Armour!$B$4:$BP$99,67,FALSE),0)</f>
        <v>0</v>
      </c>
      <c r="CP4" s="4">
        <f>IF(ISNUMBER(SEARCH(CP$3,$BY4)),VLOOKUP($BA4&amp;$CU4,Armour!$B$4:$BP$99,67,FALSE),0)</f>
        <v>0</v>
      </c>
      <c r="CQ4" s="4">
        <f>IF(ISNUMBER(SEARCH(CQ$3,$BY4)),VLOOKUP($BA4&amp;$CU4,Armour!$B$4:$BP$99,67,FALSE),0)</f>
        <v>0</v>
      </c>
      <c r="CR4" s="4">
        <f>IF(ISNUMBER(SEARCH(CR$3,$BY4)),VLOOKUP($BA4&amp;$CU4,Armour!$B$4:$BP$99,67,FALSE),0)</f>
        <v>0</v>
      </c>
      <c r="CS4" s="4">
        <f>IF(ISNUMBER(SEARCH(CS$3,$BY4)),VLOOKUP($BA4&amp;$CU4,Armour!$B$4:$BP$99,67,FALSE),0)</f>
        <v>0</v>
      </c>
      <c r="CT4" s="4">
        <f>IF(ISNUMBER(SEARCH(CT$3,$BY4)),VLOOKUP($BA4&amp;$CU4,Armour!$B$4:$BP$99,67,FALSE),0)</f>
        <v>0</v>
      </c>
      <c r="CU4" s="4" t="str">
        <f t="shared" ref="CU4:CU19" si="40">SUBSTITUTE(IF(VLOOKUP(AR4,ItemChart,12,FALSE)="",""," "&amp;VLOOKUP(AR4,ItemChart,12,FALSE)),"0","")</f>
        <v/>
      </c>
      <c r="CV4" s="4"/>
      <c r="CX4">
        <v>2</v>
      </c>
      <c r="CY4" s="3" t="str">
        <f>'Character Sheet'!B50</f>
        <v>Neck:</v>
      </c>
      <c r="CZ4" s="4">
        <f>MAX($CA$4:$CA$19)</f>
        <v>2</v>
      </c>
      <c r="DA4" t="str">
        <f>IFERROR(VLOOKUP(CZ4,Armour!$A$4:$B$99,2,FALSE),"No Armour")</f>
        <v>Light Cloth</v>
      </c>
      <c r="DC4">
        <v>2</v>
      </c>
      <c r="DD4" s="3" t="str">
        <f>'Character Sheet'!B129</f>
        <v>Neck:</v>
      </c>
      <c r="DE4" s="4">
        <f>MAX($CA$83:$CA$116)</f>
        <v>0</v>
      </c>
      <c r="DF4" t="str">
        <f>IFERROR(VLOOKUP(DE4,Armour!$A$4:$B$99,2,FALSE),"No Armour")</f>
        <v>No Armour</v>
      </c>
      <c r="DH4" s="4" t="str">
        <f t="shared" ref="DH4:DH67" si="41">IF(DP4=0,"",DP4)</f>
        <v/>
      </c>
      <c r="DI4">
        <v>2</v>
      </c>
      <c r="DJ4" s="3" t="str">
        <f>'Character Sheet'!FB22</f>
        <v>Colt Army Model 1860</v>
      </c>
      <c r="DK4" s="4" t="str">
        <f t="shared" si="8"/>
        <v>Firearm</v>
      </c>
      <c r="DL4" s="4" t="str">
        <f>IFERROR(IF(DK4=0,"",VLOOKUP(DK4,Skills!$N$72:$AF$107,19,FALSE)),"")</f>
        <v/>
      </c>
      <c r="DM4" s="4">
        <f>IFERROR(VLOOKUP($DJ4,ItemChart,18,FALSE)+'Character Sheet'!IJ22,0)</f>
        <v>0</v>
      </c>
      <c r="DN4" s="4" t="str">
        <f t="shared" ref="DN4:DN17" si="42">IFERROR(IF(DK4=0,"",DL4+DM4),"")</f>
        <v/>
      </c>
      <c r="DO4" s="4" t="str">
        <f>IFERROR(DN4+0.02,"")</f>
        <v/>
      </c>
      <c r="DP4" s="4">
        <f t="shared" ref="DP4:DP67" si="43">IFERROR(_xlfn.RANK.EQ(DO4,$DO$3:$DO$127),0)</f>
        <v>0</v>
      </c>
      <c r="DQ4" s="4">
        <f t="shared" ref="DQ4:DQ10" si="44">IFERROR(IF(DR4=0,DQ3,DQ3+1),DQ3)</f>
        <v>2</v>
      </c>
      <c r="DR4" s="4" t="str">
        <f t="shared" si="9"/>
        <v>Colt Army Model 1860 (club)</v>
      </c>
      <c r="DS4" s="4">
        <f t="shared" ref="DS4:DS17" si="45">DI4</f>
        <v>2</v>
      </c>
      <c r="DT4" s="4" t="str">
        <f t="shared" si="10"/>
        <v>Bolt, Ice</v>
      </c>
      <c r="DU4" s="4">
        <f t="shared" si="11"/>
        <v>0</v>
      </c>
      <c r="DV4" s="4" t="str">
        <f>VLOOKUP((VLOOKUP((VLOOKUP('Character Creation'!$Z$11,RaceChart,20,FALSE)&amp;" "&amp;VLOOKUP('Character Creation'!$Z$11,RaceChart,21,FALSE)),Charts!$H$2:$J$14,3,FALSE)+DU4),Charts!$J$2:$N$14,5,FALSE)</f>
        <v>M</v>
      </c>
      <c r="DW4" s="4" t="str">
        <f>VLOOKUP(DV4,Charts!$N$2:$Q$14,4,FALSE)</f>
        <v>(5)</v>
      </c>
      <c r="DX4" s="4" t="str">
        <f t="shared" ref="DX4:DX21" si="46">IFERROR(DV4&amp;DW4&amp;" "&amp;DT4,"")</f>
        <v>M(5) Bolt, Ice</v>
      </c>
      <c r="DY4" s="4">
        <f t="shared" si="12"/>
        <v>1</v>
      </c>
      <c r="DZ4" s="4" t="str">
        <f t="shared" si="13"/>
        <v/>
      </c>
      <c r="EA4" s="4" t="e">
        <f>ROUNDDOWN(VLOOKUP(DK4,Skills!$N$72:$S$107,6,FALSE)/5,0)</f>
        <v>#N/A</v>
      </c>
      <c r="EB4" s="4">
        <f t="shared" si="14"/>
        <v>0</v>
      </c>
      <c r="EC4" s="4" t="str">
        <f t="shared" ref="EC4:EC21" si="47">IF(EB4&lt;0,EB4,"+"&amp;EB4)</f>
        <v>+0</v>
      </c>
      <c r="ED4" s="4">
        <f>VLOOKUP(DJ4,'Character Sheet'!$FB$21:$HQ$35,61,FALSE)</f>
        <v>60</v>
      </c>
      <c r="EE4" s="4">
        <f t="shared" si="15"/>
        <v>10</v>
      </c>
      <c r="EF4" s="4">
        <f t="shared" ref="EF4:EF17" si="48">IFERROR(IF(VLOOKUP($DJ4,ItemChart,21,FALSE)=0,"- -",VLOOKUP($DJ4,ItemChart,21,FALSE)),"")</f>
        <v>40</v>
      </c>
      <c r="EG4" s="4">
        <f>VLOOKUP(DR4,Items!$B$1156:$AA$1282,18,FALSE)</f>
        <v>-10</v>
      </c>
      <c r="EH4" s="4" t="e">
        <f>VLOOKUP(DJ4,'Character Sheet'!$E$26:$EZ$45,81,FALSE)</f>
        <v>#N/A</v>
      </c>
      <c r="EI4" s="4" t="e">
        <f>VLOOKUP(DJ4,'Character Sheet'!$E$26:$EZ$45,89,FALSE)</f>
        <v>#N/A</v>
      </c>
      <c r="EJ4" s="4" t="e">
        <f t="shared" ref="EJ4:EJ17" si="49">SUM(EG4:EI4)</f>
        <v>#N/A</v>
      </c>
      <c r="EL4" s="4">
        <f ca="1">IFERROR(VLOOKUP(EO4,Skills!$N$402:$S$440,6,FALSE),0)</f>
        <v>0</v>
      </c>
      <c r="EM4" s="4">
        <v>3</v>
      </c>
      <c r="EN4" s="4" t="s">
        <v>824</v>
      </c>
      <c r="EO4" s="8" t="str">
        <f ca="1">IFERROR(VLOOKUP(EM4,Skills!$C$405:$M$440,11,FALSE),"")</f>
        <v/>
      </c>
      <c r="EP4" s="4" t="str">
        <f ca="1">IF(EO4="","",_xlfn.PERCENTRANK.INC($EL$2:$EL$31,EL4)+EQ4)</f>
        <v/>
      </c>
      <c r="EQ4" s="4">
        <v>2E-3</v>
      </c>
      <c r="ER4" s="4" t="str">
        <f t="shared" ca="1" si="16"/>
        <v/>
      </c>
      <c r="ES4" t="str">
        <f t="shared" ca="1" si="2"/>
        <v/>
      </c>
      <c r="ET4" s="4" t="e">
        <f ca="1">VLOOKUP(ES4,Skills!$N$405:$AG$440,20,FALSE)</f>
        <v>#N/A</v>
      </c>
      <c r="EV4">
        <v>3</v>
      </c>
    </row>
    <row r="5" spans="2:152" x14ac:dyDescent="0.25">
      <c r="B5" s="3" t="str">
        <f>'Character Sheet'!BZ6</f>
        <v>3 Dollar Pc:</v>
      </c>
      <c r="C5" s="4">
        <f>'Character Sheet'!CK6</f>
        <v>0</v>
      </c>
      <c r="D5" s="115">
        <v>1.10561824E-2</v>
      </c>
      <c r="E5" s="4">
        <f>C5*D5</f>
        <v>0</v>
      </c>
      <c r="G5" t="s">
        <v>1985</v>
      </c>
      <c r="H5" s="4">
        <f>MIN(In,Em)</f>
        <v>2</v>
      </c>
      <c r="I5" t="str">
        <f>IF(In&lt;Em,"Chan.","Ess.")</f>
        <v>Chan.</v>
      </c>
      <c r="J5" t="str">
        <f>IF(In&lt;Em,"In","Em")</f>
        <v>In</v>
      </c>
      <c r="L5" s="3" t="s">
        <v>2012</v>
      </c>
      <c r="M5" s="4" t="s">
        <v>824</v>
      </c>
      <c r="N5" s="8">
        <f>IFERROR(VLOOKUP(N2+1,Charts!$AM$2:$AN$52,2,FALSE),"- -")</f>
        <v>500</v>
      </c>
      <c r="P5">
        <v>4</v>
      </c>
      <c r="Q5" t="e">
        <f ca="1">VLOOKUP(P5,Skills!$F$2:$N$620,9,FALSE)</f>
        <v>#N/A</v>
      </c>
      <c r="R5" s="4" t="str">
        <f t="shared" ca="1" si="3"/>
        <v/>
      </c>
      <c r="S5" s="4" t="str">
        <f t="shared" ca="1" si="4"/>
        <v/>
      </c>
      <c r="T5" s="4">
        <f ca="1">IFERROR(VLOOKUP(Q5,'Character Creation'!$H$76:$CH$83,66,FALSE),0)</f>
        <v>0</v>
      </c>
      <c r="V5" s="3" t="s">
        <v>2056</v>
      </c>
      <c r="W5" t="str">
        <f>'Character Creation'!I30</f>
        <v>Shield</v>
      </c>
      <c r="X5" s="4" t="e">
        <f>Profession!B37</f>
        <v>#REF!</v>
      </c>
      <c r="AC5" s="8" t="str">
        <f>IFERROR(VLOOKUP('Character Creation'!$CI18,Skills!$H$2:$N$620,6,FALSE),"")</f>
        <v/>
      </c>
      <c r="AD5" s="4">
        <f>'Character Creation'!EH18</f>
        <v>0</v>
      </c>
      <c r="AG5">
        <v>4</v>
      </c>
      <c r="AH5" s="4" t="str">
        <f t="shared" ca="1" si="5"/>
        <v/>
      </c>
      <c r="AI5" t="str">
        <f ca="1">IFERROR(VLOOKUP(AG5,Skills!$B$2:$M$620,12,FALSE),"")</f>
        <v/>
      </c>
      <c r="AJ5" s="4" t="str">
        <f ca="1">IFERROR(VLOOKUP(AG5,Skills!$B$2:$AF$620,31,FALSE),"")</f>
        <v/>
      </c>
      <c r="AK5" s="4" t="str">
        <f t="shared" ca="1" si="0"/>
        <v/>
      </c>
      <c r="AL5" s="4">
        <v>4.0000000000000001E-3</v>
      </c>
      <c r="AM5" s="62" t="str">
        <f t="shared" ca="1" si="6"/>
        <v/>
      </c>
      <c r="AN5" t="str">
        <f t="shared" ca="1" si="7"/>
        <v/>
      </c>
      <c r="AO5" s="4" t="str">
        <f ca="1">IFERROR(VLOOKUP(AG5,$AH$2:$AJ$451,3,FALSE)&amp;IF(ISNUMBER(SEARCH(", Written",AN5))," -R"&amp;VLOOKUP(AN5,Skills!$M$2:$S$620,7,FALSE),IF(ISNUMBER(SEARCH(", Spoken",AN5))," -R"&amp;VLOOKUP(AN5,Skills!$M$2:$S$620,7,FALSE),"")),"")</f>
        <v/>
      </c>
      <c r="AQ5">
        <v>2</v>
      </c>
      <c r="AR5" s="8" t="str">
        <f>'Character Sheet'!FB5</f>
        <v>Coat, Linen, Standard</v>
      </c>
      <c r="AS5" s="4" t="str">
        <f t="shared" si="17"/>
        <v>Heavy Cloth</v>
      </c>
      <c r="AT5" s="4">
        <f t="shared" si="18"/>
        <v>0.04</v>
      </c>
      <c r="AU5" s="4">
        <f t="shared" ref="AU5:AU68" si="50">IFERROR(VLOOKUP(AS5,MaterialChart,2,FALSE),"")</f>
        <v>12</v>
      </c>
      <c r="AV5" s="4">
        <f t="shared" ref="AV5:AV68" si="51">IFERROR(VLOOKUP(AS5,MaterialChart,3,FALSE),"")</f>
        <v>0</v>
      </c>
      <c r="AW5" s="4" t="str">
        <f t="shared" ref="AW5:AW68" si="52">IFERROR(VLOOKUP(AR5,ItemChart,7,FALSE),"")</f>
        <v>Light Cloth</v>
      </c>
      <c r="AX5" s="4">
        <f t="shared" si="22"/>
        <v>0.02</v>
      </c>
      <c r="AY5" s="4">
        <f t="shared" ref="AY5:AY68" si="53">IFERROR(VLOOKUP(AW5,MaterialChart,2,FALSE),"")</f>
        <v>10</v>
      </c>
      <c r="AZ5" s="4">
        <f t="shared" ref="AZ5:AZ68" si="54">IFERROR(VLOOKUP(AW5,MaterialChart,3,FALSE),"")</f>
        <v>0</v>
      </c>
      <c r="BA5" s="4" t="str">
        <f>IFERROR('Character Sheet'!JK5,"")</f>
        <v>Heavy Cloth</v>
      </c>
      <c r="BB5" s="4">
        <f t="shared" si="25"/>
        <v>0.04</v>
      </c>
      <c r="BC5" s="4">
        <f t="shared" ref="BC5:BC68" si="55">IFERROR(VLOOKUP(BA5,MaterialChart,4,FALSE),"")</f>
        <v>0</v>
      </c>
      <c r="BD5" s="4">
        <f t="shared" ref="BD5:BD68" si="56">IFERROR(MAX(0,0-BC5),"")</f>
        <v>0</v>
      </c>
      <c r="BE5" s="4">
        <f t="shared" ref="BE5:BE68" si="57">IFERROR(BU5*BO5,"")</f>
        <v>3.23</v>
      </c>
      <c r="BF5" s="4">
        <f t="shared" ref="BF5:BF68" si="58">IFERROR(VLOOKUP(BA5,MaterialChart,2,FALSE),"")</f>
        <v>12</v>
      </c>
      <c r="BG5" s="4">
        <f t="shared" ref="BG5:BG68" si="59">IFERROR(VLOOKUP(BA5,MaterialChart,3,FALSE),"")</f>
        <v>0</v>
      </c>
      <c r="BH5" s="4" t="str">
        <f>IFERROR('Character Sheet'!KC5,"")</f>
        <v>Light Cloth</v>
      </c>
      <c r="BI5" s="4">
        <f t="shared" si="29"/>
        <v>0.02</v>
      </c>
      <c r="BJ5" s="4">
        <f t="shared" ref="BJ5:BJ68" si="60">IFERROR(VLOOKUP(BH5,MaterialChart,4,FALSE),"")</f>
        <v>0</v>
      </c>
      <c r="BK5" s="4">
        <f t="shared" ref="BK5:BK68" si="61">IFERROR(MAX(0,0-BJ5),"")</f>
        <v>0</v>
      </c>
      <c r="BL5" s="4">
        <f t="shared" ref="BL5:BL68" si="62">IFERROR(BU5-BE5,"")</f>
        <v>0.16999999999999993</v>
      </c>
      <c r="BM5" s="4">
        <f t="shared" ref="BM5:BM68" si="63">IFERROR(VLOOKUP(BH5,MaterialChart,2,FALSE),"")</f>
        <v>10</v>
      </c>
      <c r="BN5" s="4">
        <f t="shared" ref="BN5:BN68" si="64">IFERROR(VLOOKUP(BH5,MaterialChart,3,FALSE),"")</f>
        <v>0</v>
      </c>
      <c r="BO5" s="4">
        <f t="shared" ref="BO5:BO68" si="65">IFERROR(VLOOKUP(AR5,ItemChart,6,FALSE),"")</f>
        <v>0.95</v>
      </c>
      <c r="BP5" s="4">
        <f t="shared" ref="BP5:BP68" si="66">IFERROR((VLOOKUP(AS5,MaterialChart,5,FALSE)),"")</f>
        <v>0</v>
      </c>
      <c r="BQ5" s="4">
        <f>IFERROR('Character Sheet'!IQ5+VLOOKUP(BA5,MaterialChart,5,FALSE),"")</f>
        <v>0</v>
      </c>
      <c r="BR5" s="4">
        <f t="shared" ref="BR5:BR68" si="67">IFERROR(BQ5-BP5,"")</f>
        <v>0</v>
      </c>
      <c r="BS5" s="4">
        <f>IFERROR(VLOOKUP(BA5&amp;CU5,Armour!$B$4:$BP$99,4,FALSE)+(BG5)+(BN5)-((AV5)+(AZ5)),0)</f>
        <v>30</v>
      </c>
      <c r="BT5" s="4">
        <f t="shared" ref="BT5:BT68" si="68">IFERROR(VLOOKUP(AR5,ItemChart,2,FALSE),"")</f>
        <v>6.5</v>
      </c>
      <c r="BU5" s="4">
        <f t="shared" ref="BU5:BU68" si="69">IFERROR(VLOOKUP(AR5,ItemChart,3,FALSE),"")</f>
        <v>3.4</v>
      </c>
      <c r="BV5" s="4">
        <f t="shared" ref="BV5:BV68" si="70">IFERROR((((BU5*BO5)/AU5)*BF5)+(((BU5-(BU5*BO5))/AY5)*BM5),"")</f>
        <v>3.4</v>
      </c>
      <c r="BW5" s="4">
        <f>IFERROR(ROUNDUP((BE5*(BB5-AT5))+(BL5*(BI5-AX5))+(BT5*(((100+(BD5+IF(BE5=1,0,BK5))+(4*BR5))/100)))*'Character Sheet'!GT5,3),"")</f>
        <v>6.5</v>
      </c>
      <c r="BX5" s="4" t="str">
        <f t="shared" si="38"/>
        <v>$6.5</v>
      </c>
      <c r="BY5" s="8" t="str">
        <f t="shared" si="39"/>
        <v>Chest, Abdomen, Back, Waist</v>
      </c>
      <c r="BZ5" s="4">
        <f>IF(ISNUMBER(SEARCH(BZ$3,$BY5)),VLOOKUP($BA5&amp;$CU5,Armour!$B$4:$BP$99,67,FALSE),0)</f>
        <v>0</v>
      </c>
      <c r="CA5" s="4">
        <f>IF(ISNUMBER(SEARCH(CA$3,$BY5)),VLOOKUP($BA5&amp;$CU5,Armour!$B$4:$BP$99,67,FALSE),0)</f>
        <v>0</v>
      </c>
      <c r="CB5" s="4">
        <f>IF(ISNUMBER(SEARCH(CB$3,$BY5)),VLOOKUP($BA5&amp;$CU5,Armour!$B$4:$BP$99,67,FALSE),0)</f>
        <v>4</v>
      </c>
      <c r="CC5" s="4">
        <f>IF(ISNUMBER(SEARCH(CC$3,$BY5)),VLOOKUP($BA5&amp;$CU5,Armour!$B$4:$BP$99,67,FALSE),0)</f>
        <v>4</v>
      </c>
      <c r="CD5" s="4">
        <f>IF(ISNUMBER(SEARCH(CD$3,$BY5)),VLOOKUP($BA5&amp;$CU5,Armour!$B$4:$BP$99,67,FALSE),0)</f>
        <v>4</v>
      </c>
      <c r="CE5" s="4">
        <f>IF(ISNUMBER(SEARCH(CE$3,$BY5)),VLOOKUP($BA5&amp;$CU5,Armour!$B$4:$BP$99,67,FALSE),0)</f>
        <v>4</v>
      </c>
      <c r="CF5" s="4">
        <f>IF(ISNUMBER(SEARCH(CF$3,$BY5)),VLOOKUP($BA5&amp;$CU5,Armour!$B$4:$BP$99,67,FALSE),0)</f>
        <v>0</v>
      </c>
      <c r="CG5" s="4">
        <f>IF(ISNUMBER(SEARCH(CG$3,$BY5)),VLOOKUP($BA5&amp;$CU5,Armour!$B$4:$BP$99,67,FALSE),0)</f>
        <v>0</v>
      </c>
      <c r="CH5" s="4">
        <f>IF(ISNUMBER(SEARCH(CH$3,$BY5)),VLOOKUP($BA5&amp;$CU5,Armour!$B$4:$BP$99,67,FALSE),0)</f>
        <v>0</v>
      </c>
      <c r="CI5" s="4">
        <f>IF(ISNUMBER(SEARCH(CI$3,$BY5)),VLOOKUP($BA5&amp;$CU5,Armour!$B$4:$BP$99,67,FALSE),0)</f>
        <v>0</v>
      </c>
      <c r="CJ5" s="4">
        <f>IF(ISNUMBER(SEARCH(CJ$3,$BY5)),VLOOKUP($BA5&amp;$CU5,Armour!$B$4:$BP$99,67,FALSE),0)</f>
        <v>0</v>
      </c>
      <c r="CK5" s="4">
        <f>IF(ISNUMBER(SEARCH(CK$3,$BY5)),VLOOKUP($BA5&amp;$CU5,Armour!$B$4:$BP$99,67,FALSE),0)</f>
        <v>0</v>
      </c>
      <c r="CL5" s="4">
        <f>IF(ISNUMBER(SEARCH(CL$3,$BY5)),VLOOKUP($BA5&amp;$CU5,Armour!$B$4:$BP$99,67,FALSE),0)</f>
        <v>0</v>
      </c>
      <c r="CM5" s="4">
        <f>IF(ISNUMBER(SEARCH(CM$3,$BY5)),VLOOKUP($BA5&amp;$CU5,Armour!$B$4:$BP$99,67,FALSE),0)</f>
        <v>0</v>
      </c>
      <c r="CN5" s="4">
        <f>IF(ISNUMBER(SEARCH(CN$3,$BY5)),VLOOKUP($BA5&amp;$CU5,Armour!$B$4:$BP$99,67,FALSE),0)</f>
        <v>0</v>
      </c>
      <c r="CO5" s="4">
        <f>IF(ISNUMBER(SEARCH(CO$3,$BY5)),VLOOKUP($BA5&amp;$CU5,Armour!$B$4:$BP$99,67,FALSE),0)</f>
        <v>0</v>
      </c>
      <c r="CP5" s="4">
        <f>IF(ISNUMBER(SEARCH(CP$3,$BY5)),VLOOKUP($BA5&amp;$CU5,Armour!$B$4:$BP$99,67,FALSE),0)</f>
        <v>0</v>
      </c>
      <c r="CQ5" s="4">
        <f>IF(ISNUMBER(SEARCH(CQ$3,$BY5)),VLOOKUP($BA5&amp;$CU5,Armour!$B$4:$BP$99,67,FALSE),0)</f>
        <v>0</v>
      </c>
      <c r="CR5" s="4">
        <f>IF(ISNUMBER(SEARCH(CR$3,$BY5)),VLOOKUP($BA5&amp;$CU5,Armour!$B$4:$BP$99,67,FALSE),0)</f>
        <v>0</v>
      </c>
      <c r="CS5" s="4">
        <f>IF(ISNUMBER(SEARCH(CS$3,$BY5)),VLOOKUP($BA5&amp;$CU5,Armour!$B$4:$BP$99,67,FALSE),0)</f>
        <v>0</v>
      </c>
      <c r="CT5" s="4">
        <f>IF(ISNUMBER(SEARCH(CT$3,$BY5)),VLOOKUP($BA5&amp;$CU5,Armour!$B$4:$BP$99,67,FALSE),0)</f>
        <v>0</v>
      </c>
      <c r="CU5" s="4" t="str">
        <f t="shared" si="40"/>
        <v/>
      </c>
      <c r="CV5" s="4"/>
      <c r="CX5">
        <v>3</v>
      </c>
      <c r="CY5" s="3" t="str">
        <f>'Character Sheet'!B51</f>
        <v>Chest:</v>
      </c>
      <c r="CZ5" s="4">
        <f>MAX($CB$4:$CB$19)</f>
        <v>6</v>
      </c>
      <c r="DA5" t="str">
        <f>IFERROR(VLOOKUP(CZ5,Armour!$A$4:$B$99,2,FALSE),"No Armour")</f>
        <v>Soft Leather</v>
      </c>
      <c r="DC5">
        <v>3</v>
      </c>
      <c r="DD5" s="3" t="str">
        <f>'Character Sheet'!B130</f>
        <v>L Flank:</v>
      </c>
      <c r="DE5" s="4">
        <f>MAX($CB$83:$CB$116)</f>
        <v>0</v>
      </c>
      <c r="DF5" t="str">
        <f>IFERROR(VLOOKUP(DE5,Armour!$A$4:$B$99,2,FALSE),"No Armour")</f>
        <v>No Armour</v>
      </c>
      <c r="DH5" s="4" t="str">
        <f t="shared" si="41"/>
        <v/>
      </c>
      <c r="DI5">
        <v>3</v>
      </c>
      <c r="DJ5" s="3" t="str">
        <f>'Character Sheet'!FB23</f>
        <v>.44 Colt Cartridge</v>
      </c>
      <c r="DK5" s="4" t="str">
        <f t="shared" si="8"/>
        <v/>
      </c>
      <c r="DL5" s="4" t="str">
        <f>IFERROR(IF(DK5=0,"",VLOOKUP(DK5,Skills!$N$72:$AF$107,19,FALSE)),"")</f>
        <v/>
      </c>
      <c r="DM5" s="4">
        <f>IFERROR(VLOOKUP($DJ5,ItemChart,18,FALSE)+'Character Sheet'!IJ23,0)</f>
        <v>0</v>
      </c>
      <c r="DN5" s="4" t="str">
        <f t="shared" si="42"/>
        <v/>
      </c>
      <c r="DO5" s="4" t="str">
        <f>IFERROR(DN5+0.03,"")</f>
        <v/>
      </c>
      <c r="DP5" s="4">
        <f t="shared" si="43"/>
        <v>0</v>
      </c>
      <c r="DQ5" s="4">
        <f t="shared" si="44"/>
        <v>2</v>
      </c>
      <c r="DR5" s="4" t="e">
        <f t="shared" si="9"/>
        <v>#N/A</v>
      </c>
      <c r="DS5" s="4">
        <f t="shared" si="45"/>
        <v>3</v>
      </c>
      <c r="DT5" s="4" t="str">
        <f t="shared" si="10"/>
        <v/>
      </c>
      <c r="DU5" s="4" t="str">
        <f t="shared" si="11"/>
        <v/>
      </c>
      <c r="DV5" s="4" t="e">
        <f>VLOOKUP((VLOOKUP((VLOOKUP('Character Creation'!$Z$11,RaceChart,20,FALSE)&amp;" "&amp;VLOOKUP('Character Creation'!$Z$11,RaceChart,21,FALSE)),Charts!$H$2:$J$14,3,FALSE)+DU5),Charts!$J$2:$N$14,5,FALSE)</f>
        <v>#VALUE!</v>
      </c>
      <c r="DW5" s="4" t="e">
        <f>VLOOKUP(DV5,Charts!$N$2:$Q$14,4,FALSE)</f>
        <v>#VALUE!</v>
      </c>
      <c r="DX5" s="4" t="str">
        <f t="shared" si="46"/>
        <v/>
      </c>
      <c r="DY5" s="4" t="str">
        <f t="shared" si="12"/>
        <v/>
      </c>
      <c r="DZ5" s="4" t="str">
        <f t="shared" si="13"/>
        <v/>
      </c>
      <c r="EA5" s="4" t="e">
        <f>ROUNDDOWN(VLOOKUP(DK5,Skills!$N$72:$S$107,6,FALSE)/5,0)</f>
        <v>#N/A</v>
      </c>
      <c r="EB5" s="4" t="str">
        <f t="shared" si="14"/>
        <v/>
      </c>
      <c r="EC5" s="4" t="str">
        <f t="shared" si="47"/>
        <v>+</v>
      </c>
      <c r="ED5" s="4">
        <f>VLOOKUP(DJ5,'Character Sheet'!$FB$21:$HQ$35,61,FALSE)</f>
        <v>0</v>
      </c>
      <c r="EE5" s="4" t="str">
        <f t="shared" si="15"/>
        <v/>
      </c>
      <c r="EF5" s="4" t="str">
        <f t="shared" si="48"/>
        <v/>
      </c>
      <c r="EG5" s="4" t="e">
        <f>VLOOKUP(DR5,Items!$B$1156:$AA$1282,18,FALSE)</f>
        <v>#N/A</v>
      </c>
      <c r="EH5" s="4" t="e">
        <f>VLOOKUP(DJ5,'Character Sheet'!$E$26:$EZ$45,81,FALSE)</f>
        <v>#N/A</v>
      </c>
      <c r="EI5" s="4" t="e">
        <f>VLOOKUP(DJ5,'Character Sheet'!$E$26:$EZ$45,89,FALSE)</f>
        <v>#N/A</v>
      </c>
      <c r="EJ5" s="4" t="e">
        <f t="shared" si="49"/>
        <v>#N/A</v>
      </c>
      <c r="EL5" s="4">
        <f ca="1">IFERROR(VLOOKUP(EO5,Skills!$N$402:$S$440,6,FALSE),0)</f>
        <v>0</v>
      </c>
      <c r="EM5" s="4">
        <v>4</v>
      </c>
      <c r="EN5" s="4" t="s">
        <v>824</v>
      </c>
      <c r="EO5" s="8" t="str">
        <f ca="1">IFERROR(VLOOKUP(EM5,Skills!$C$405:$M$440,11,FALSE),"")</f>
        <v/>
      </c>
      <c r="EP5" s="4" t="str">
        <f t="shared" ref="EP5:EP31" ca="1" si="71">IF(EO5="","",_xlfn.PERCENTRANK.INC($EL$2:$EL$31,EL5)+EQ5)</f>
        <v/>
      </c>
      <c r="EQ5" s="4">
        <v>3.0000000000000001E-3</v>
      </c>
      <c r="ER5" s="4" t="str">
        <f t="shared" ca="1" si="16"/>
        <v/>
      </c>
      <c r="ES5" t="str">
        <f t="shared" ca="1" si="2"/>
        <v/>
      </c>
      <c r="ET5" s="4" t="e">
        <f ca="1">VLOOKUP(ES5,Skills!$N$405:$AG$440,20,FALSE)</f>
        <v>#N/A</v>
      </c>
      <c r="EV5">
        <v>4</v>
      </c>
    </row>
    <row r="6" spans="2:152" x14ac:dyDescent="0.25">
      <c r="B6" s="3" t="str">
        <f>'Character Sheet'!BZ7</f>
        <v>Qtr Eagle:</v>
      </c>
      <c r="C6" s="4">
        <f>'Character Sheet'!CK7</f>
        <v>0</v>
      </c>
      <c r="D6" s="115">
        <v>9.6342009000000006E-3</v>
      </c>
      <c r="E6" s="4">
        <f t="shared" ref="E6:E15" si="72">C6*D6</f>
        <v>0</v>
      </c>
      <c r="G6" t="s">
        <v>1986</v>
      </c>
      <c r="H6" s="4">
        <f>MIN(In,Pr)</f>
        <v>-3</v>
      </c>
      <c r="I6" t="str">
        <f>IF(In&lt;Pr,"Chan.","Ment.")</f>
        <v>Ment.</v>
      </c>
      <c r="J6" t="str">
        <f>IF(In&lt;Pr,"In","Pr")</f>
        <v>Pr</v>
      </c>
      <c r="L6" s="3" t="s">
        <v>2014</v>
      </c>
      <c r="M6" s="4" t="s">
        <v>824</v>
      </c>
      <c r="N6" s="8">
        <f>IFERROR(N5-N4,"")</f>
        <v>500</v>
      </c>
      <c r="P6">
        <v>5</v>
      </c>
      <c r="Q6" t="e">
        <f ca="1">VLOOKUP(P6,Skills!$F$2:$N$620,9,FALSE)</f>
        <v>#N/A</v>
      </c>
      <c r="R6" s="4" t="str">
        <f t="shared" ca="1" si="3"/>
        <v/>
      </c>
      <c r="S6" s="4" t="str">
        <f t="shared" ca="1" si="4"/>
        <v/>
      </c>
      <c r="T6" s="4">
        <f ca="1">IFERROR(VLOOKUP(Q6,'Character Creation'!$H$76:$CH$83,66,FALSE),0)</f>
        <v>0</v>
      </c>
      <c r="V6" s="3" t="s">
        <v>2093</v>
      </c>
      <c r="W6" t="str">
        <f>'Character Creation'!I31</f>
        <v>Heavy Weapons</v>
      </c>
      <c r="X6" s="4" t="e">
        <f>Profession!B37</f>
        <v>#REF!</v>
      </c>
      <c r="AC6" s="8" t="str">
        <f>IFERROR(VLOOKUP('Character Creation'!$CI19,Skills!$H$2:$N$620,6,FALSE),"")</f>
        <v/>
      </c>
      <c r="AD6" s="4">
        <f>'Character Creation'!EH19</f>
        <v>0</v>
      </c>
      <c r="AG6">
        <v>5</v>
      </c>
      <c r="AH6" s="4" t="str">
        <f t="shared" si="5"/>
        <v/>
      </c>
      <c r="AI6" t="str">
        <f ca="1">IFERROR(VLOOKUP(AG6,Skills!$B$2:$M$620,12,FALSE),"")</f>
        <v/>
      </c>
      <c r="AJ6" s="4" t="str">
        <f>IFERROR(VLOOKUP(AG6,Skills!$B$2:$AF$620,31,FALSE),"")</f>
        <v/>
      </c>
      <c r="AK6" s="4" t="str">
        <f t="shared" si="0"/>
        <v/>
      </c>
      <c r="AL6" s="4">
        <v>5.0000000000000001E-3</v>
      </c>
      <c r="AM6" s="62" t="str">
        <f t="shared" si="6"/>
        <v/>
      </c>
      <c r="AN6" t="str">
        <f t="shared" ca="1" si="7"/>
        <v/>
      </c>
      <c r="AO6" s="4" t="str">
        <f ca="1">IFERROR(VLOOKUP(AG6,$AH$2:$AJ$451,3,FALSE)&amp;IF(ISNUMBER(SEARCH(", Written",AN6))," -R"&amp;VLOOKUP(AN6,Skills!$M$2:$S$620,7,FALSE),IF(ISNUMBER(SEARCH(", Spoken",AN6))," -R"&amp;VLOOKUP(AN6,Skills!$M$2:$S$620,7,FALSE),"")),"")</f>
        <v/>
      </c>
      <c r="AQ6">
        <v>3</v>
      </c>
      <c r="AR6" s="8" t="str">
        <f>'Character Sheet'!FB6</f>
        <v>Cravat/Necktie, Fancy</v>
      </c>
      <c r="AS6" s="4" t="str">
        <f t="shared" si="17"/>
        <v>Light Cloth</v>
      </c>
      <c r="AT6" s="4">
        <f t="shared" si="18"/>
        <v>0.02</v>
      </c>
      <c r="AU6" s="4">
        <f t="shared" si="50"/>
        <v>10</v>
      </c>
      <c r="AV6" s="4">
        <f t="shared" si="51"/>
        <v>0</v>
      </c>
      <c r="AW6" s="4" t="str">
        <f t="shared" si="52"/>
        <v>Light Cloth</v>
      </c>
      <c r="AX6" s="4">
        <f t="shared" si="22"/>
        <v>0.02</v>
      </c>
      <c r="AY6" s="4">
        <f t="shared" si="53"/>
        <v>10</v>
      </c>
      <c r="AZ6" s="4">
        <f t="shared" si="54"/>
        <v>0</v>
      </c>
      <c r="BA6" s="4" t="str">
        <f>IFERROR('Character Sheet'!JK6,"")</f>
        <v>Light Cloth</v>
      </c>
      <c r="BB6" s="4">
        <f t="shared" si="25"/>
        <v>0.02</v>
      </c>
      <c r="BC6" s="4">
        <f t="shared" si="55"/>
        <v>0</v>
      </c>
      <c r="BD6" s="4">
        <f t="shared" si="56"/>
        <v>0</v>
      </c>
      <c r="BE6" s="4">
        <f t="shared" si="57"/>
        <v>0.5</v>
      </c>
      <c r="BF6" s="4">
        <f t="shared" si="58"/>
        <v>10</v>
      </c>
      <c r="BG6" s="4">
        <f t="shared" si="59"/>
        <v>0</v>
      </c>
      <c r="BH6" s="4" t="str">
        <f>IFERROR('Character Sheet'!KC6,"")</f>
        <v>Light Cloth</v>
      </c>
      <c r="BI6" s="4">
        <f t="shared" si="29"/>
        <v>0.02</v>
      </c>
      <c r="BJ6" s="4">
        <f t="shared" si="60"/>
        <v>0</v>
      </c>
      <c r="BK6" s="4">
        <f t="shared" si="61"/>
        <v>0</v>
      </c>
      <c r="BL6" s="4">
        <f t="shared" si="62"/>
        <v>0</v>
      </c>
      <c r="BM6" s="4">
        <f t="shared" si="63"/>
        <v>10</v>
      </c>
      <c r="BN6" s="4">
        <f t="shared" si="64"/>
        <v>0</v>
      </c>
      <c r="BO6" s="4">
        <f t="shared" si="65"/>
        <v>1</v>
      </c>
      <c r="BP6" s="4">
        <f t="shared" si="66"/>
        <v>0</v>
      </c>
      <c r="BQ6" s="4">
        <f>IFERROR('Character Sheet'!IQ6+VLOOKUP(BA6,MaterialChart,5,FALSE),"")</f>
        <v>0</v>
      </c>
      <c r="BR6" s="4">
        <f t="shared" si="67"/>
        <v>0</v>
      </c>
      <c r="BS6" s="4">
        <f>IFERROR(VLOOKUP(BA6&amp;CU6,Armour!$B$4:$BP$99,4,FALSE)+(BG6)+(BN6)-((AV6)+(AZ6)),0)</f>
        <v>15</v>
      </c>
      <c r="BT6" s="4">
        <f t="shared" si="68"/>
        <v>1.24</v>
      </c>
      <c r="BU6" s="4">
        <f t="shared" si="69"/>
        <v>0.5</v>
      </c>
      <c r="BV6" s="4">
        <f t="shared" si="70"/>
        <v>0.5</v>
      </c>
      <c r="BW6" s="4">
        <f>IFERROR(ROUNDUP((BE6*(BB6-AT6))+(BL6*(BI6-AX6))+(BT6*(((100+(BD6+IF(BE6=1,0,BK6))+(4*BR6))/100)))*'Character Sheet'!GT6,3),"")</f>
        <v>1.24</v>
      </c>
      <c r="BX6" s="4" t="str">
        <f t="shared" si="38"/>
        <v>$1.24</v>
      </c>
      <c r="BY6" s="8" t="str">
        <f t="shared" si="39"/>
        <v>Neck</v>
      </c>
      <c r="BZ6" s="4">
        <f>IF(ISNUMBER(SEARCH(BZ$3,$BY6)),VLOOKUP($BA6&amp;$CU6,Armour!$B$4:$BP$99,67,FALSE),0)</f>
        <v>0</v>
      </c>
      <c r="CA6" s="4">
        <f>IF(ISNUMBER(SEARCH(CA$3,$BY6)),VLOOKUP($BA6&amp;$CU6,Armour!$B$4:$BP$99,67,FALSE),0)</f>
        <v>2</v>
      </c>
      <c r="CB6" s="4">
        <f>IF(ISNUMBER(SEARCH(CB$3,$BY6)),VLOOKUP($BA6&amp;$CU6,Armour!$B$4:$BP$99,67,FALSE),0)</f>
        <v>0</v>
      </c>
      <c r="CC6" s="4">
        <f>IF(ISNUMBER(SEARCH(CC$3,$BY6)),VLOOKUP($BA6&amp;$CU6,Armour!$B$4:$BP$99,67,FALSE),0)</f>
        <v>0</v>
      </c>
      <c r="CD6" s="4">
        <f>IF(ISNUMBER(SEARCH(CD$3,$BY6)),VLOOKUP($BA6&amp;$CU6,Armour!$B$4:$BP$99,67,FALSE),0)</f>
        <v>0</v>
      </c>
      <c r="CE6" s="4">
        <f>IF(ISNUMBER(SEARCH(CE$3,$BY6)),VLOOKUP($BA6&amp;$CU6,Armour!$B$4:$BP$99,67,FALSE),0)</f>
        <v>0</v>
      </c>
      <c r="CF6" s="4">
        <f>IF(ISNUMBER(SEARCH(CF$3,$BY6)),VLOOKUP($BA6&amp;$CU6,Armour!$B$4:$BP$99,67,FALSE),0)</f>
        <v>0</v>
      </c>
      <c r="CG6" s="4">
        <f>IF(ISNUMBER(SEARCH(CG$3,$BY6)),VLOOKUP($BA6&amp;$CU6,Armour!$B$4:$BP$99,67,FALSE),0)</f>
        <v>0</v>
      </c>
      <c r="CH6" s="4">
        <f>IF(ISNUMBER(SEARCH(CH$3,$BY6)),VLOOKUP($BA6&amp;$CU6,Armour!$B$4:$BP$99,67,FALSE),0)</f>
        <v>0</v>
      </c>
      <c r="CI6" s="4">
        <f>IF(ISNUMBER(SEARCH(CI$3,$BY6)),VLOOKUP($BA6&amp;$CU6,Armour!$B$4:$BP$99,67,FALSE),0)</f>
        <v>0</v>
      </c>
      <c r="CJ6" s="4">
        <f>IF(ISNUMBER(SEARCH(CJ$3,$BY6)),VLOOKUP($BA6&amp;$CU6,Armour!$B$4:$BP$99,67,FALSE),0)</f>
        <v>0</v>
      </c>
      <c r="CK6" s="4">
        <f>IF(ISNUMBER(SEARCH(CK$3,$BY6)),VLOOKUP($BA6&amp;$CU6,Armour!$B$4:$BP$99,67,FALSE),0)</f>
        <v>0</v>
      </c>
      <c r="CL6" s="4">
        <f>IF(ISNUMBER(SEARCH(CL$3,$BY6)),VLOOKUP($BA6&amp;$CU6,Armour!$B$4:$BP$99,67,FALSE),0)</f>
        <v>0</v>
      </c>
      <c r="CM6" s="4">
        <f>IF(ISNUMBER(SEARCH(CM$3,$BY6)),VLOOKUP($BA6&amp;$CU6,Armour!$B$4:$BP$99,67,FALSE),0)</f>
        <v>0</v>
      </c>
      <c r="CN6" s="4">
        <f>IF(ISNUMBER(SEARCH(CN$3,$BY6)),VLOOKUP($BA6&amp;$CU6,Armour!$B$4:$BP$99,67,FALSE),0)</f>
        <v>0</v>
      </c>
      <c r="CO6" s="4">
        <f>IF(ISNUMBER(SEARCH(CO$3,$BY6)),VLOOKUP($BA6&amp;$CU6,Armour!$B$4:$BP$99,67,FALSE),0)</f>
        <v>0</v>
      </c>
      <c r="CP6" s="4">
        <f>IF(ISNUMBER(SEARCH(CP$3,$BY6)),VLOOKUP($BA6&amp;$CU6,Armour!$B$4:$BP$99,67,FALSE),0)</f>
        <v>0</v>
      </c>
      <c r="CQ6" s="4">
        <f>IF(ISNUMBER(SEARCH(CQ$3,$BY6)),VLOOKUP($BA6&amp;$CU6,Armour!$B$4:$BP$99,67,FALSE),0)</f>
        <v>0</v>
      </c>
      <c r="CR6" s="4">
        <f>IF(ISNUMBER(SEARCH(CR$3,$BY6)),VLOOKUP($BA6&amp;$CU6,Armour!$B$4:$BP$99,67,FALSE),0)</f>
        <v>0</v>
      </c>
      <c r="CS6" s="4">
        <f>IF(ISNUMBER(SEARCH(CS$3,$BY6)),VLOOKUP($BA6&amp;$CU6,Armour!$B$4:$BP$99,67,FALSE),0)</f>
        <v>0</v>
      </c>
      <c r="CT6" s="4">
        <f>IF(ISNUMBER(SEARCH(CT$3,$BY6)),VLOOKUP($BA6&amp;$CU6,Armour!$B$4:$BP$99,67,FALSE),0)</f>
        <v>0</v>
      </c>
      <c r="CU6" s="4" t="str">
        <f t="shared" si="40"/>
        <v/>
      </c>
      <c r="CV6" s="4"/>
      <c r="CX6">
        <v>4</v>
      </c>
      <c r="CY6" s="3" t="str">
        <f>'Character Sheet'!B52</f>
        <v>Abdomen:</v>
      </c>
      <c r="CZ6" s="4">
        <f>MAX($CC$4:$CC$19)</f>
        <v>6</v>
      </c>
      <c r="DA6" t="str">
        <f>IFERROR(VLOOKUP(CZ6,Armour!$A$4:$B$99,2,FALSE),"No Armour")</f>
        <v>Soft Leather</v>
      </c>
      <c r="DC6">
        <v>4</v>
      </c>
      <c r="DD6" s="3" t="str">
        <f>'Character Sheet'!B131</f>
        <v>R Flank:</v>
      </c>
      <c r="DE6" s="4">
        <f>MAX($CC$83:$CC$116)</f>
        <v>0</v>
      </c>
      <c r="DF6" t="str">
        <f>IFERROR(VLOOKUP(DE6,Armour!$A$4:$B$99,2,FALSE),"No Armour")</f>
        <v>No Armour</v>
      </c>
      <c r="DH6" s="4" t="str">
        <f t="shared" si="41"/>
        <v/>
      </c>
      <c r="DI6">
        <v>4</v>
      </c>
      <c r="DJ6" s="3">
        <f>'Character Sheet'!FB24</f>
        <v>0</v>
      </c>
      <c r="DK6" s="4" t="str">
        <f t="shared" si="8"/>
        <v/>
      </c>
      <c r="DL6" s="4" t="str">
        <f>IFERROR(IF(DK6=0,"",VLOOKUP(DK6,Skills!$N$72:$AF$107,19,FALSE)),"")</f>
        <v/>
      </c>
      <c r="DM6" s="4">
        <f>IFERROR(VLOOKUP($DJ6,ItemChart,18,FALSE)+'Character Sheet'!IJ24,0)</f>
        <v>0</v>
      </c>
      <c r="DN6" s="4" t="str">
        <f t="shared" si="42"/>
        <v/>
      </c>
      <c r="DO6" s="4" t="str">
        <f>IFERROR(DN6+0.04,"")</f>
        <v/>
      </c>
      <c r="DP6" s="4">
        <f t="shared" si="43"/>
        <v>0</v>
      </c>
      <c r="DQ6" s="4">
        <f t="shared" si="44"/>
        <v>2</v>
      </c>
      <c r="DR6" s="4" t="e">
        <f t="shared" si="9"/>
        <v>#N/A</v>
      </c>
      <c r="DS6" s="4">
        <f t="shared" si="45"/>
        <v>4</v>
      </c>
      <c r="DT6" s="4" t="str">
        <f t="shared" si="10"/>
        <v/>
      </c>
      <c r="DU6" s="4" t="str">
        <f t="shared" si="11"/>
        <v/>
      </c>
      <c r="DV6" s="4" t="e">
        <f>VLOOKUP((VLOOKUP((VLOOKUP('Character Creation'!$Z$11,RaceChart,20,FALSE)&amp;" "&amp;VLOOKUP('Character Creation'!$Z$11,RaceChart,21,FALSE)),Charts!$H$2:$J$14,3,FALSE)+DU6),Charts!$J$2:$N$14,5,FALSE)</f>
        <v>#VALUE!</v>
      </c>
      <c r="DW6" s="4" t="e">
        <f>VLOOKUP(DV6,Charts!$N$2:$Q$14,4,FALSE)</f>
        <v>#VALUE!</v>
      </c>
      <c r="DX6" s="4" t="str">
        <f t="shared" si="46"/>
        <v/>
      </c>
      <c r="DY6" s="4" t="str">
        <f t="shared" si="12"/>
        <v/>
      </c>
      <c r="DZ6" s="4" t="str">
        <f t="shared" si="13"/>
        <v/>
      </c>
      <c r="EA6" s="4" t="e">
        <f>ROUNDDOWN(VLOOKUP(DK6,Skills!$N$72:$S$107,6,FALSE)/5,0)</f>
        <v>#N/A</v>
      </c>
      <c r="EB6" s="4" t="str">
        <f t="shared" si="14"/>
        <v/>
      </c>
      <c r="EC6" s="4" t="str">
        <f t="shared" si="47"/>
        <v>+</v>
      </c>
      <c r="ED6" s="4" t="e">
        <f>VLOOKUP(DJ6,'Character Sheet'!$FB$21:$HQ$35,61,FALSE)</f>
        <v>#N/A</v>
      </c>
      <c r="EE6" s="4" t="str">
        <f t="shared" si="15"/>
        <v/>
      </c>
      <c r="EF6" s="4" t="str">
        <f t="shared" si="48"/>
        <v/>
      </c>
      <c r="EG6" s="4" t="e">
        <f>VLOOKUP(DR6,Items!$B$1156:$AA$1282,18,FALSE)</f>
        <v>#N/A</v>
      </c>
      <c r="EH6" s="4" t="e">
        <f>VLOOKUP(DJ6,'Character Sheet'!$E$26:$EZ$45,81,FALSE)</f>
        <v>#N/A</v>
      </c>
      <c r="EI6" s="4" t="e">
        <f>VLOOKUP(DJ6,'Character Sheet'!$E$26:$EZ$45,89,FALSE)</f>
        <v>#N/A</v>
      </c>
      <c r="EJ6" s="4" t="e">
        <f t="shared" si="49"/>
        <v>#N/A</v>
      </c>
      <c r="EL6" s="4">
        <f ca="1">IFERROR(VLOOKUP(EO6,Skills!$N$402:$S$440,6,FALSE),0)</f>
        <v>0</v>
      </c>
      <c r="EM6" s="4">
        <v>5</v>
      </c>
      <c r="EN6" s="4" t="s">
        <v>824</v>
      </c>
      <c r="EO6" s="8" t="str">
        <f ca="1">IFERROR(VLOOKUP(EM6,Skills!$C$405:$M$440,11,FALSE),"")</f>
        <v/>
      </c>
      <c r="EP6" s="4" t="str">
        <f t="shared" ca="1" si="71"/>
        <v/>
      </c>
      <c r="EQ6" s="4">
        <v>4.0000000000000001E-3</v>
      </c>
      <c r="ER6" s="4" t="str">
        <f t="shared" ca="1" si="16"/>
        <v/>
      </c>
      <c r="ES6" t="str">
        <f t="shared" ca="1" si="2"/>
        <v/>
      </c>
      <c r="ET6" s="4" t="e">
        <f ca="1">VLOOKUP(ES6,Skills!$N$405:$AG$440,20,FALSE)</f>
        <v>#N/A</v>
      </c>
      <c r="EV6">
        <v>5</v>
      </c>
    </row>
    <row r="7" spans="2:152" x14ac:dyDescent="0.25">
      <c r="B7" s="3" t="str">
        <f>'Character Sheet'!BZ8</f>
        <v>Gold Dollar:</v>
      </c>
      <c r="C7" s="4">
        <f>'Character Sheet'!CK8</f>
        <v>0</v>
      </c>
      <c r="D7" s="115">
        <v>3.6861289999999998E-3</v>
      </c>
      <c r="E7" s="4">
        <f t="shared" si="72"/>
        <v>0</v>
      </c>
      <c r="G7" t="s">
        <v>1987</v>
      </c>
      <c r="H7" s="4">
        <f>MIN(Em,Pr)</f>
        <v>-3</v>
      </c>
      <c r="I7" t="str">
        <f>IF(Em&lt;Pr,"Ess.","Ment.")</f>
        <v>Ment.</v>
      </c>
      <c r="J7" t="str">
        <f>IF(Em&lt;Pr,"Em","Pr")</f>
        <v>Pr</v>
      </c>
      <c r="L7" s="3" t="s">
        <v>2017</v>
      </c>
      <c r="M7" s="4" t="s">
        <v>824</v>
      </c>
      <c r="N7" s="8">
        <f>IFERROR(N6/60,"")</f>
        <v>8.3333333333333339</v>
      </c>
      <c r="P7">
        <v>6</v>
      </c>
      <c r="Q7" t="e">
        <f ca="1">VLOOKUP(P7,Skills!$F$2:$N$620,9,FALSE)</f>
        <v>#N/A</v>
      </c>
      <c r="R7" s="4" t="str">
        <f t="shared" ca="1" si="3"/>
        <v/>
      </c>
      <c r="S7" s="4" t="str">
        <f t="shared" ca="1" si="4"/>
        <v/>
      </c>
      <c r="T7" s="4">
        <f ca="1">IFERROR(VLOOKUP(Q7,'Character Creation'!$H$76:$CH$83,66,FALSE),0)</f>
        <v>0</v>
      </c>
      <c r="AC7" s="8" t="str">
        <f>IFERROR(VLOOKUP('Character Creation'!$CI20,Skills!$H$2:$N$620,6,FALSE),"")</f>
        <v/>
      </c>
      <c r="AD7" s="4">
        <f>'Character Creation'!EH20</f>
        <v>0</v>
      </c>
      <c r="AG7">
        <v>6</v>
      </c>
      <c r="AH7" s="4" t="str">
        <f t="shared" ca="1" si="5"/>
        <v/>
      </c>
      <c r="AI7" t="str">
        <f ca="1">IFERROR(VLOOKUP(AG7,Skills!$B$2:$M$620,12,FALSE),"")</f>
        <v/>
      </c>
      <c r="AJ7" s="4" t="str">
        <f ca="1">IFERROR(VLOOKUP(AG7,Skills!$B$2:$AF$620,31,FALSE),"")</f>
        <v/>
      </c>
      <c r="AK7" s="4" t="str">
        <f t="shared" ca="1" si="0"/>
        <v/>
      </c>
      <c r="AL7" s="4">
        <v>6.0000000000000001E-3</v>
      </c>
      <c r="AM7" s="62" t="str">
        <f t="shared" ca="1" si="6"/>
        <v/>
      </c>
      <c r="AN7" t="str">
        <f t="shared" ca="1" si="7"/>
        <v/>
      </c>
      <c r="AO7" s="4" t="str">
        <f ca="1">IFERROR(VLOOKUP(AG7,$AH$2:$AJ$451,3,FALSE)&amp;IF(ISNUMBER(SEARCH(", Written",AN7))," -R"&amp;VLOOKUP(AN7,Skills!$M$2:$S$620,7,FALSE),IF(ISNUMBER(SEARCH(", Spoken",AN7))," -R"&amp;VLOOKUP(AN7,Skills!$M$2:$S$620,7,FALSE),"")),"")</f>
        <v/>
      </c>
      <c r="AQ7">
        <v>4</v>
      </c>
      <c r="AR7" s="8" t="str">
        <f>'Character Sheet'!FB7</f>
        <v>Gloves, Leather, Plain</v>
      </c>
      <c r="AS7" s="4" t="str">
        <f t="shared" si="17"/>
        <v>Soft Leather</v>
      </c>
      <c r="AT7" s="4">
        <f t="shared" si="18"/>
        <v>0.05</v>
      </c>
      <c r="AU7" s="4">
        <f t="shared" si="50"/>
        <v>30</v>
      </c>
      <c r="AV7" s="4">
        <f t="shared" si="51"/>
        <v>0</v>
      </c>
      <c r="AW7" s="4" t="str">
        <f t="shared" si="52"/>
        <v>Light Cloth</v>
      </c>
      <c r="AX7" s="4">
        <f t="shared" si="22"/>
        <v>0.02</v>
      </c>
      <c r="AY7" s="4">
        <f t="shared" si="53"/>
        <v>10</v>
      </c>
      <c r="AZ7" s="4">
        <f t="shared" si="54"/>
        <v>0</v>
      </c>
      <c r="BA7" s="4" t="str">
        <f>IFERROR('Character Sheet'!JK7,"")</f>
        <v>Soft Leather</v>
      </c>
      <c r="BB7" s="4">
        <f t="shared" si="25"/>
        <v>0.05</v>
      </c>
      <c r="BC7" s="4">
        <f t="shared" si="55"/>
        <v>0</v>
      </c>
      <c r="BD7" s="4">
        <f t="shared" si="56"/>
        <v>0</v>
      </c>
      <c r="BE7" s="4">
        <f t="shared" si="57"/>
        <v>0.23749999999999999</v>
      </c>
      <c r="BF7" s="4">
        <f t="shared" si="58"/>
        <v>30</v>
      </c>
      <c r="BG7" s="4">
        <f t="shared" si="59"/>
        <v>0</v>
      </c>
      <c r="BH7" s="4" t="str">
        <f>IFERROR('Character Sheet'!KC7,"")</f>
        <v>Light Cloth</v>
      </c>
      <c r="BI7" s="4">
        <f t="shared" si="29"/>
        <v>0.02</v>
      </c>
      <c r="BJ7" s="4">
        <f t="shared" si="60"/>
        <v>0</v>
      </c>
      <c r="BK7" s="4">
        <f t="shared" si="61"/>
        <v>0</v>
      </c>
      <c r="BL7" s="4">
        <f t="shared" si="62"/>
        <v>1.2500000000000011E-2</v>
      </c>
      <c r="BM7" s="4">
        <f t="shared" si="63"/>
        <v>10</v>
      </c>
      <c r="BN7" s="4">
        <f t="shared" si="64"/>
        <v>0</v>
      </c>
      <c r="BO7" s="4">
        <f t="shared" si="65"/>
        <v>0.95</v>
      </c>
      <c r="BP7" s="4">
        <f t="shared" si="66"/>
        <v>0</v>
      </c>
      <c r="BQ7" s="4">
        <f>IFERROR('Character Sheet'!IQ7+VLOOKUP(BA7,MaterialChart,5,FALSE),"")</f>
        <v>0</v>
      </c>
      <c r="BR7" s="4">
        <f t="shared" si="67"/>
        <v>0</v>
      </c>
      <c r="BS7" s="4">
        <f>IFERROR(VLOOKUP(BA7&amp;CU7,Armour!$B$4:$BP$99,4,FALSE)+(BG7)+(BN7)-((AV7)+(AZ7)),0)</f>
        <v>30</v>
      </c>
      <c r="BT7" s="4">
        <f t="shared" si="68"/>
        <v>0.31</v>
      </c>
      <c r="BU7" s="4">
        <f t="shared" si="69"/>
        <v>0.25</v>
      </c>
      <c r="BV7" s="4">
        <f t="shared" si="70"/>
        <v>0.24999999999999997</v>
      </c>
      <c r="BW7" s="4">
        <f>IFERROR(ROUNDUP((BE7*(BB7-AT7))+(BL7*(BI7-AX7))+(BT7*(((100+(BD7+IF(BE7=1,0,BK7))+(4*BR7))/100)))*'Character Sheet'!GT7,3),"")</f>
        <v>0.62</v>
      </c>
      <c r="BX7" s="4" t="str">
        <f t="shared" si="38"/>
        <v>$0.62</v>
      </c>
      <c r="BY7" s="8" t="str">
        <f t="shared" si="39"/>
        <v>L Hand, R Hand</v>
      </c>
      <c r="BZ7" s="4">
        <f>IF(ISNUMBER(SEARCH(BZ$3,$BY7)),VLOOKUP($BA7&amp;$CU7,Armour!$B$4:$BP$99,67,FALSE),0)</f>
        <v>0</v>
      </c>
      <c r="CA7" s="4">
        <f>IF(ISNUMBER(SEARCH(CA$3,$BY7)),VLOOKUP($BA7&amp;$CU7,Armour!$B$4:$BP$99,67,FALSE),0)</f>
        <v>0</v>
      </c>
      <c r="CB7" s="4">
        <f>IF(ISNUMBER(SEARCH(CB$3,$BY7)),VLOOKUP($BA7&amp;$CU7,Armour!$B$4:$BP$99,67,FALSE),0)</f>
        <v>0</v>
      </c>
      <c r="CC7" s="4">
        <f>IF(ISNUMBER(SEARCH(CC$3,$BY7)),VLOOKUP($BA7&amp;$CU7,Armour!$B$4:$BP$99,67,FALSE),0)</f>
        <v>0</v>
      </c>
      <c r="CD7" s="4">
        <f>IF(ISNUMBER(SEARCH(CD$3,$BY7)),VLOOKUP($BA7&amp;$CU7,Armour!$B$4:$BP$99,67,FALSE),0)</f>
        <v>0</v>
      </c>
      <c r="CE7" s="4">
        <f>IF(ISNUMBER(SEARCH(CE$3,$BY7)),VLOOKUP($BA7&amp;$CU7,Armour!$B$4:$BP$99,67,FALSE),0)</f>
        <v>0</v>
      </c>
      <c r="CF7" s="4">
        <f>IF(ISNUMBER(SEARCH(CF$3,$BY7)),VLOOKUP($BA7&amp;$CU7,Armour!$B$4:$BP$99,67,FALSE),0)</f>
        <v>0</v>
      </c>
      <c r="CG7" s="4">
        <f>IF(ISNUMBER(SEARCH(CG$3,$BY7)),VLOOKUP($BA7&amp;$CU7,Armour!$B$4:$BP$99,67,FALSE),0)</f>
        <v>0</v>
      </c>
      <c r="CH7" s="4">
        <f>IF(ISNUMBER(SEARCH(CH$3,$BY7)),VLOOKUP($BA7&amp;$CU7,Armour!$B$4:$BP$99,67,FALSE),0)</f>
        <v>0</v>
      </c>
      <c r="CI7" s="4">
        <f>IF(ISNUMBER(SEARCH(CI$3,$BY7)),VLOOKUP($BA7&amp;$CU7,Armour!$B$4:$BP$99,67,FALSE),0)</f>
        <v>0</v>
      </c>
      <c r="CJ7" s="4">
        <f>IF(ISNUMBER(SEARCH(CJ$3,$BY7)),VLOOKUP($BA7&amp;$CU7,Armour!$B$4:$BP$99,67,FALSE),0)</f>
        <v>0</v>
      </c>
      <c r="CK7" s="4">
        <f>IF(ISNUMBER(SEARCH(CK$3,$BY7)),VLOOKUP($BA7&amp;$CU7,Armour!$B$4:$BP$99,67,FALSE),0)</f>
        <v>0</v>
      </c>
      <c r="CL7" s="4">
        <f>IF(ISNUMBER(SEARCH(CL$3,$BY7)),VLOOKUP($BA7&amp;$CU7,Armour!$B$4:$BP$99,67,FALSE),0)</f>
        <v>6</v>
      </c>
      <c r="CM7" s="4">
        <f>IF(ISNUMBER(SEARCH(CM$3,$BY7)),VLOOKUP($BA7&amp;$CU7,Armour!$B$4:$BP$99,67,FALSE),0)</f>
        <v>6</v>
      </c>
      <c r="CN7" s="4">
        <f>IF(ISNUMBER(SEARCH(CN$3,$BY7)),VLOOKUP($BA7&amp;$CU7,Armour!$B$4:$BP$99,67,FALSE),0)</f>
        <v>0</v>
      </c>
      <c r="CO7" s="4">
        <f>IF(ISNUMBER(SEARCH(CO$3,$BY7)),VLOOKUP($BA7&amp;$CU7,Armour!$B$4:$BP$99,67,FALSE),0)</f>
        <v>0</v>
      </c>
      <c r="CP7" s="4">
        <f>IF(ISNUMBER(SEARCH(CP$3,$BY7)),VLOOKUP($BA7&amp;$CU7,Armour!$B$4:$BP$99,67,FALSE),0)</f>
        <v>0</v>
      </c>
      <c r="CQ7" s="4">
        <f>IF(ISNUMBER(SEARCH(CQ$3,$BY7)),VLOOKUP($BA7&amp;$CU7,Armour!$B$4:$BP$99,67,FALSE),0)</f>
        <v>0</v>
      </c>
      <c r="CR7" s="4">
        <f>IF(ISNUMBER(SEARCH(CR$3,$BY7)),VLOOKUP($BA7&amp;$CU7,Armour!$B$4:$BP$99,67,FALSE),0)</f>
        <v>0</v>
      </c>
      <c r="CS7" s="4">
        <f>IF(ISNUMBER(SEARCH(CS$3,$BY7)),VLOOKUP($BA7&amp;$CU7,Armour!$B$4:$BP$99,67,FALSE),0)</f>
        <v>0</v>
      </c>
      <c r="CT7" s="4">
        <f>IF(ISNUMBER(SEARCH(CT$3,$BY7)),VLOOKUP($BA7&amp;$CU7,Armour!$B$4:$BP$99,67,FALSE),0)</f>
        <v>0</v>
      </c>
      <c r="CU7" s="4" t="str">
        <f t="shared" si="40"/>
        <v/>
      </c>
      <c r="CV7" s="4"/>
      <c r="CX7">
        <v>5</v>
      </c>
      <c r="CY7" s="3" t="str">
        <f>'Character Sheet'!B53</f>
        <v>Back:</v>
      </c>
      <c r="CZ7" s="4">
        <f>MAX($CD$4:$CD$19)</f>
        <v>6</v>
      </c>
      <c r="DA7" t="str">
        <f>IFERROR(VLOOKUP(CZ7,Armour!$A$4:$B$99,2,FALSE),"No Armour")</f>
        <v>Soft Leather</v>
      </c>
      <c r="DC7">
        <v>5</v>
      </c>
      <c r="DD7" s="3" t="str">
        <f>'Character Sheet'!B132</f>
        <v>Back:</v>
      </c>
      <c r="DE7" s="4">
        <f>MAX($CD$83:$CD$116)</f>
        <v>0</v>
      </c>
      <c r="DF7" t="str">
        <f>IFERROR(VLOOKUP(DE7,Armour!$A$4:$B$99,2,FALSE),"No Armour")</f>
        <v>No Armour</v>
      </c>
      <c r="DH7" s="4" t="str">
        <f t="shared" si="41"/>
        <v/>
      </c>
      <c r="DI7">
        <v>5</v>
      </c>
      <c r="DJ7" s="3">
        <f>'Character Sheet'!FB25</f>
        <v>0</v>
      </c>
      <c r="DK7" s="4" t="str">
        <f t="shared" si="8"/>
        <v/>
      </c>
      <c r="DL7" s="4" t="str">
        <f>IFERROR(IF(DK7=0,"",VLOOKUP(DK7,Skills!$N$72:$AF$107,19,FALSE)),"")</f>
        <v/>
      </c>
      <c r="DM7" s="4">
        <f>IFERROR(VLOOKUP($DJ7,ItemChart,18,FALSE)+'Character Sheet'!IJ25,0)</f>
        <v>0</v>
      </c>
      <c r="DN7" s="4" t="str">
        <f t="shared" si="42"/>
        <v/>
      </c>
      <c r="DO7" s="4" t="str">
        <f>IFERROR(DN7+0.05,"")</f>
        <v/>
      </c>
      <c r="DP7" s="4">
        <f t="shared" si="43"/>
        <v>0</v>
      </c>
      <c r="DQ7" s="4">
        <f t="shared" si="44"/>
        <v>2</v>
      </c>
      <c r="DR7" s="4" t="e">
        <f t="shared" si="9"/>
        <v>#N/A</v>
      </c>
      <c r="DS7" s="4">
        <f t="shared" si="45"/>
        <v>5</v>
      </c>
      <c r="DT7" s="4" t="str">
        <f t="shared" si="10"/>
        <v/>
      </c>
      <c r="DU7" s="4" t="str">
        <f t="shared" si="11"/>
        <v/>
      </c>
      <c r="DV7" s="4" t="e">
        <f>VLOOKUP((VLOOKUP((VLOOKUP('Character Creation'!$Z$11,RaceChart,20,FALSE)&amp;" "&amp;VLOOKUP('Character Creation'!$Z$11,RaceChart,21,FALSE)),Charts!$H$2:$J$14,3,FALSE)+DU7),Charts!$J$2:$N$14,5,FALSE)</f>
        <v>#VALUE!</v>
      </c>
      <c r="DW7" s="4" t="e">
        <f>VLOOKUP(DV7,Charts!$N$2:$Q$14,4,FALSE)</f>
        <v>#VALUE!</v>
      </c>
      <c r="DX7" s="4" t="str">
        <f t="shared" si="46"/>
        <v/>
      </c>
      <c r="DY7" s="4" t="str">
        <f t="shared" si="12"/>
        <v/>
      </c>
      <c r="DZ7" s="4" t="str">
        <f t="shared" si="13"/>
        <v/>
      </c>
      <c r="EA7" s="4" t="e">
        <f>ROUNDDOWN(VLOOKUP(DK7,Skills!$N$72:$S$107,6,FALSE)/5,0)</f>
        <v>#N/A</v>
      </c>
      <c r="EB7" s="4" t="str">
        <f t="shared" si="14"/>
        <v/>
      </c>
      <c r="EC7" s="4" t="str">
        <f t="shared" si="47"/>
        <v>+</v>
      </c>
      <c r="ED7" s="4" t="e">
        <f>VLOOKUP(DJ7,'Character Sheet'!$FB$21:$HQ$35,61,FALSE)</f>
        <v>#N/A</v>
      </c>
      <c r="EE7" s="4" t="str">
        <f t="shared" si="15"/>
        <v/>
      </c>
      <c r="EF7" s="4" t="str">
        <f t="shared" si="48"/>
        <v/>
      </c>
      <c r="EG7" s="4" t="e">
        <f>VLOOKUP(DR7,Items!$B$1156:$AA$1282,18,FALSE)</f>
        <v>#N/A</v>
      </c>
      <c r="EH7" s="4" t="e">
        <f>VLOOKUP(DJ7,'Character Sheet'!$E$26:$EZ$45,81,FALSE)</f>
        <v>#N/A</v>
      </c>
      <c r="EI7" s="4" t="e">
        <f>VLOOKUP(DJ7,'Character Sheet'!$E$26:$EZ$45,89,FALSE)</f>
        <v>#N/A</v>
      </c>
      <c r="EJ7" s="4" t="e">
        <f t="shared" si="49"/>
        <v>#N/A</v>
      </c>
      <c r="EL7" s="4">
        <f ca="1">IFERROR(VLOOKUP(EO7,Skills!$N$402:$S$440,6,FALSE),0)</f>
        <v>0</v>
      </c>
      <c r="EM7" s="4">
        <v>6</v>
      </c>
      <c r="EN7" s="4" t="s">
        <v>824</v>
      </c>
      <c r="EO7" s="8" t="str">
        <f ca="1">IFERROR(VLOOKUP(EM7,Skills!$C$405:$M$440,11,FALSE),"")</f>
        <v/>
      </c>
      <c r="EP7" s="4" t="str">
        <f t="shared" ca="1" si="71"/>
        <v/>
      </c>
      <c r="EQ7" s="4">
        <v>5.0000000000000001E-3</v>
      </c>
      <c r="ER7" s="4" t="str">
        <f t="shared" ca="1" si="16"/>
        <v/>
      </c>
      <c r="ES7" t="str">
        <f t="shared" ca="1" si="2"/>
        <v/>
      </c>
      <c r="ET7" s="4" t="e">
        <f ca="1">VLOOKUP(ES7,Skills!$N$405:$AG$440,20,FALSE)</f>
        <v>#N/A</v>
      </c>
      <c r="EV7">
        <v>6</v>
      </c>
    </row>
    <row r="8" spans="2:152" x14ac:dyDescent="0.25">
      <c r="B8" s="3" t="str">
        <f>'Character Sheet'!BZ9</f>
        <v>Dollar:</v>
      </c>
      <c r="C8" s="4">
        <f>'Character Sheet'!CK9</f>
        <v>0</v>
      </c>
      <c r="D8" s="115">
        <v>1.78574432E-2</v>
      </c>
      <c r="E8" s="4">
        <f t="shared" si="72"/>
        <v>0</v>
      </c>
      <c r="G8" t="s">
        <v>1988</v>
      </c>
      <c r="H8" s="4">
        <f>MIN(In,Em,Pr)</f>
        <v>-3</v>
      </c>
      <c r="L8" s="3" t="s">
        <v>2015</v>
      </c>
      <c r="M8" s="4" t="s">
        <v>824</v>
      </c>
      <c r="N8" s="8">
        <f>N3-N4</f>
        <v>0</v>
      </c>
      <c r="P8">
        <v>7</v>
      </c>
      <c r="Q8" t="e">
        <f ca="1">VLOOKUP(P8,Skills!$F$2:$N$620,9,FALSE)</f>
        <v>#N/A</v>
      </c>
      <c r="R8" s="4" t="str">
        <f t="shared" ca="1" si="3"/>
        <v/>
      </c>
      <c r="S8" s="4" t="str">
        <f t="shared" ca="1" si="4"/>
        <v/>
      </c>
      <c r="T8" s="4">
        <f ca="1">IFERROR(VLOOKUP(Q8,'Character Creation'!$H$76:$CH$83,66,FALSE),0)</f>
        <v>0</v>
      </c>
      <c r="AC8" s="8" t="str">
        <f>IFERROR(VLOOKUP('Character Creation'!$CI21,Skills!$H$2:$N$620,6,FALSE),"")</f>
        <v/>
      </c>
      <c r="AD8" s="4">
        <f>'Character Creation'!EH21</f>
        <v>0</v>
      </c>
      <c r="AG8">
        <v>7</v>
      </c>
      <c r="AH8" s="4" t="str">
        <f t="shared" si="5"/>
        <v/>
      </c>
      <c r="AI8" t="str">
        <f>IFERROR(VLOOKUP(AG8,Skills!$B$2:$M$620,12,FALSE),"")</f>
        <v/>
      </c>
      <c r="AJ8" s="4" t="str">
        <f>IFERROR(VLOOKUP(AG8,Skills!$B$2:$AF$620,31,FALSE),"")</f>
        <v/>
      </c>
      <c r="AK8" s="4" t="str">
        <f t="shared" si="0"/>
        <v/>
      </c>
      <c r="AL8" s="4">
        <v>7.0000000000000001E-3</v>
      </c>
      <c r="AM8" s="62" t="str">
        <f t="shared" si="6"/>
        <v/>
      </c>
      <c r="AN8" t="str">
        <f t="shared" ca="1" si="7"/>
        <v/>
      </c>
      <c r="AO8" s="4" t="str">
        <f ca="1">IFERROR(VLOOKUP(AG8,$AH$2:$AJ$451,3,FALSE)&amp;IF(ISNUMBER(SEARCH(", Written",AN8))," -R"&amp;VLOOKUP(AN8,Skills!$M$2:$S$620,7,FALSE),IF(ISNUMBER(SEARCH(", Spoken",AN8))," -R"&amp;VLOOKUP(AN8,Skills!$M$2:$S$620,7,FALSE),"")),"")</f>
        <v/>
      </c>
      <c r="AQ8">
        <v>5</v>
      </c>
      <c r="AR8" s="8" t="str">
        <f>'Character Sheet'!FB8</f>
        <v>Cowboy Hat, Heavy</v>
      </c>
      <c r="AS8" s="4" t="str">
        <f t="shared" si="17"/>
        <v>Heavy Cloth</v>
      </c>
      <c r="AT8" s="4">
        <f t="shared" si="18"/>
        <v>0.04</v>
      </c>
      <c r="AU8" s="4">
        <f t="shared" si="50"/>
        <v>12</v>
      </c>
      <c r="AV8" s="4">
        <f t="shared" si="51"/>
        <v>0</v>
      </c>
      <c r="AW8" s="4" t="str">
        <f t="shared" si="52"/>
        <v>Light Cloth</v>
      </c>
      <c r="AX8" s="4">
        <f t="shared" si="22"/>
        <v>0.02</v>
      </c>
      <c r="AY8" s="4">
        <f t="shared" si="53"/>
        <v>10</v>
      </c>
      <c r="AZ8" s="4">
        <f t="shared" si="54"/>
        <v>0</v>
      </c>
      <c r="BA8" s="4" t="str">
        <f>IFERROR('Character Sheet'!JK8,"")</f>
        <v>Heavy Cloth</v>
      </c>
      <c r="BB8" s="4">
        <f t="shared" si="25"/>
        <v>0.04</v>
      </c>
      <c r="BC8" s="4">
        <f t="shared" si="55"/>
        <v>0</v>
      </c>
      <c r="BD8" s="4">
        <f t="shared" si="56"/>
        <v>0</v>
      </c>
      <c r="BE8" s="4">
        <f t="shared" si="57"/>
        <v>1.3915999999999999</v>
      </c>
      <c r="BF8" s="4">
        <f t="shared" si="58"/>
        <v>12</v>
      </c>
      <c r="BG8" s="4">
        <f t="shared" si="59"/>
        <v>0</v>
      </c>
      <c r="BH8" s="4" t="str">
        <f>IFERROR('Character Sheet'!KC8,"")</f>
        <v>Light Cloth</v>
      </c>
      <c r="BI8" s="4">
        <f t="shared" si="29"/>
        <v>0.02</v>
      </c>
      <c r="BJ8" s="4">
        <f t="shared" si="60"/>
        <v>0</v>
      </c>
      <c r="BK8" s="4">
        <f t="shared" si="61"/>
        <v>0</v>
      </c>
      <c r="BL8" s="4">
        <f t="shared" si="62"/>
        <v>2.8399999999999981E-2</v>
      </c>
      <c r="BM8" s="4">
        <f t="shared" si="63"/>
        <v>10</v>
      </c>
      <c r="BN8" s="4">
        <f t="shared" si="64"/>
        <v>0</v>
      </c>
      <c r="BO8" s="4">
        <f t="shared" si="65"/>
        <v>0.98</v>
      </c>
      <c r="BP8" s="4">
        <f t="shared" si="66"/>
        <v>0</v>
      </c>
      <c r="BQ8" s="4">
        <f>IFERROR('Character Sheet'!IQ8+VLOOKUP(BA8,MaterialChart,5,FALSE),"")</f>
        <v>0</v>
      </c>
      <c r="BR8" s="4">
        <f t="shared" si="67"/>
        <v>0</v>
      </c>
      <c r="BS8" s="4">
        <f>IFERROR(VLOOKUP(BA8&amp;CU8,Armour!$B$4:$BP$99,4,FALSE)+(BG8)+(BN8)-((AV8)+(AZ8)),0)</f>
        <v>30</v>
      </c>
      <c r="BT8" s="4">
        <f t="shared" si="68"/>
        <v>1</v>
      </c>
      <c r="BU8" s="4">
        <f t="shared" si="69"/>
        <v>1.42</v>
      </c>
      <c r="BV8" s="4">
        <f t="shared" si="70"/>
        <v>1.42</v>
      </c>
      <c r="BW8" s="4">
        <f>IFERROR(ROUNDUP((BE8*(BB8-AT8))+(BL8*(BI8-AX8))+(BT8*(((100+(BD8+IF(BE8=1,0,BK8))+(4*BR8))/100)))*'Character Sheet'!GT8,3),"")</f>
        <v>1</v>
      </c>
      <c r="BX8" s="4" t="str">
        <f t="shared" si="38"/>
        <v>$1</v>
      </c>
      <c r="BY8" s="8" t="str">
        <f t="shared" si="39"/>
        <v>Head</v>
      </c>
      <c r="BZ8" s="4">
        <f>IF(ISNUMBER(SEARCH(BZ$3,$BY8)),VLOOKUP($BA8&amp;$CU8,Armour!$B$4:$BP$99,67,FALSE),0)</f>
        <v>4</v>
      </c>
      <c r="CA8" s="4">
        <f>IF(ISNUMBER(SEARCH(CA$3,$BY8)),VLOOKUP($BA8&amp;$CU8,Armour!$B$4:$BP$99,67,FALSE),0)</f>
        <v>0</v>
      </c>
      <c r="CB8" s="4">
        <f>IF(ISNUMBER(SEARCH(CB$3,$BY8)),VLOOKUP($BA8&amp;$CU8,Armour!$B$4:$BP$99,67,FALSE),0)</f>
        <v>0</v>
      </c>
      <c r="CC8" s="4">
        <f>IF(ISNUMBER(SEARCH(CC$3,$BY8)),VLOOKUP($BA8&amp;$CU8,Armour!$B$4:$BP$99,67,FALSE),0)</f>
        <v>0</v>
      </c>
      <c r="CD8" s="4">
        <f>IF(ISNUMBER(SEARCH(CD$3,$BY8)),VLOOKUP($BA8&amp;$CU8,Armour!$B$4:$BP$99,67,FALSE),0)</f>
        <v>0</v>
      </c>
      <c r="CE8" s="4">
        <f>IF(ISNUMBER(SEARCH(CE$3,$BY8)),VLOOKUP($BA8&amp;$CU8,Armour!$B$4:$BP$99,67,FALSE),0)</f>
        <v>0</v>
      </c>
      <c r="CF8" s="4">
        <f>IF(ISNUMBER(SEARCH(CF$3,$BY8)),VLOOKUP($BA8&amp;$CU8,Armour!$B$4:$BP$99,67,FALSE),0)</f>
        <v>0</v>
      </c>
      <c r="CG8" s="4">
        <f>IF(ISNUMBER(SEARCH(CG$3,$BY8)),VLOOKUP($BA8&amp;$CU8,Armour!$B$4:$BP$99,67,FALSE),0)</f>
        <v>0</v>
      </c>
      <c r="CH8" s="4">
        <f>IF(ISNUMBER(SEARCH(CH$3,$BY8)),VLOOKUP($BA8&amp;$CU8,Armour!$B$4:$BP$99,67,FALSE),0)</f>
        <v>0</v>
      </c>
      <c r="CI8" s="4">
        <f>IF(ISNUMBER(SEARCH(CI$3,$BY8)),VLOOKUP($BA8&amp;$CU8,Armour!$B$4:$BP$99,67,FALSE),0)</f>
        <v>0</v>
      </c>
      <c r="CJ8" s="4">
        <f>IF(ISNUMBER(SEARCH(CJ$3,$BY8)),VLOOKUP($BA8&amp;$CU8,Armour!$B$4:$BP$99,67,FALSE),0)</f>
        <v>0</v>
      </c>
      <c r="CK8" s="4">
        <f>IF(ISNUMBER(SEARCH(CK$3,$BY8)),VLOOKUP($BA8&amp;$CU8,Armour!$B$4:$BP$99,67,FALSE),0)</f>
        <v>0</v>
      </c>
      <c r="CL8" s="4">
        <f>IF(ISNUMBER(SEARCH(CL$3,$BY8)),VLOOKUP($BA8&amp;$CU8,Armour!$B$4:$BP$99,67,FALSE),0)</f>
        <v>0</v>
      </c>
      <c r="CM8" s="4">
        <f>IF(ISNUMBER(SEARCH(CM$3,$BY8)),VLOOKUP($BA8&amp;$CU8,Armour!$B$4:$BP$99,67,FALSE),0)</f>
        <v>0</v>
      </c>
      <c r="CN8" s="4">
        <f>IF(ISNUMBER(SEARCH(CN$3,$BY8)),VLOOKUP($BA8&amp;$CU8,Armour!$B$4:$BP$99,67,FALSE),0)</f>
        <v>0</v>
      </c>
      <c r="CO8" s="4">
        <f>IF(ISNUMBER(SEARCH(CO$3,$BY8)),VLOOKUP($BA8&amp;$CU8,Armour!$B$4:$BP$99,67,FALSE),0)</f>
        <v>0</v>
      </c>
      <c r="CP8" s="4">
        <f>IF(ISNUMBER(SEARCH(CP$3,$BY8)),VLOOKUP($BA8&amp;$CU8,Armour!$B$4:$BP$99,67,FALSE),0)</f>
        <v>0</v>
      </c>
      <c r="CQ8" s="4">
        <f>IF(ISNUMBER(SEARCH(CQ$3,$BY8)),VLOOKUP($BA8&amp;$CU8,Armour!$B$4:$BP$99,67,FALSE),0)</f>
        <v>0</v>
      </c>
      <c r="CR8" s="4">
        <f>IF(ISNUMBER(SEARCH(CR$3,$BY8)),VLOOKUP($BA8&amp;$CU8,Armour!$B$4:$BP$99,67,FALSE),0)</f>
        <v>0</v>
      </c>
      <c r="CS8" s="4">
        <f>IF(ISNUMBER(SEARCH(CS$3,$BY8)),VLOOKUP($BA8&amp;$CU8,Armour!$B$4:$BP$99,67,FALSE),0)</f>
        <v>0</v>
      </c>
      <c r="CT8" s="4">
        <f>IF(ISNUMBER(SEARCH(CT$3,$BY8)),VLOOKUP($BA8&amp;$CU8,Armour!$B$4:$BP$99,67,FALSE),0)</f>
        <v>0</v>
      </c>
      <c r="CU8" s="4" t="str">
        <f t="shared" si="40"/>
        <v/>
      </c>
      <c r="CV8" s="4"/>
      <c r="CX8">
        <v>6</v>
      </c>
      <c r="CY8" s="3" t="str">
        <f>'Character Sheet'!B54</f>
        <v>Waist:</v>
      </c>
      <c r="CZ8" s="4">
        <f>MAX($CE$4:$CE$19)</f>
        <v>6</v>
      </c>
      <c r="DA8" t="str">
        <f>IFERROR(VLOOKUP(CZ8,Armour!$A$4:$B$99,2,FALSE),"No Armour")</f>
        <v>Soft Leather</v>
      </c>
      <c r="DC8">
        <v>6</v>
      </c>
      <c r="DD8" s="3" t="str">
        <f>'Character Sheet'!B133</f>
        <v>L Hip:</v>
      </c>
      <c r="DE8" s="4">
        <f>MAX($CE$83:$CE$116)</f>
        <v>0</v>
      </c>
      <c r="DF8" t="str">
        <f>IFERROR(VLOOKUP(DE8,Armour!$A$4:$B$99,2,FALSE),"No Armour")</f>
        <v>No Armour</v>
      </c>
      <c r="DH8" s="4" t="str">
        <f t="shared" si="41"/>
        <v/>
      </c>
      <c r="DI8">
        <v>6</v>
      </c>
      <c r="DJ8" s="3">
        <f>'Character Sheet'!FB26</f>
        <v>0</v>
      </c>
      <c r="DK8" s="4" t="str">
        <f t="shared" si="8"/>
        <v/>
      </c>
      <c r="DL8" s="4" t="str">
        <f>IFERROR(IF(DK8=0,"",VLOOKUP(DK8,Skills!$N$72:$AF$107,19,FALSE)),"")</f>
        <v/>
      </c>
      <c r="DM8" s="4">
        <f>IFERROR(VLOOKUP($DJ8,ItemChart,18,FALSE)+'Character Sheet'!IJ26,0)</f>
        <v>0</v>
      </c>
      <c r="DN8" s="4" t="str">
        <f t="shared" si="42"/>
        <v/>
      </c>
      <c r="DO8" s="4" t="str">
        <f>IFERROR(DN8+0.06,"")</f>
        <v/>
      </c>
      <c r="DP8" s="4">
        <f t="shared" si="43"/>
        <v>0</v>
      </c>
      <c r="DQ8" s="4">
        <f t="shared" si="44"/>
        <v>2</v>
      </c>
      <c r="DR8" s="4" t="e">
        <f t="shared" si="9"/>
        <v>#N/A</v>
      </c>
      <c r="DS8" s="4">
        <f t="shared" si="45"/>
        <v>6</v>
      </c>
      <c r="DT8" s="4" t="str">
        <f t="shared" si="10"/>
        <v/>
      </c>
      <c r="DU8" s="4" t="str">
        <f t="shared" si="11"/>
        <v/>
      </c>
      <c r="DV8" s="4" t="e">
        <f>VLOOKUP((VLOOKUP((VLOOKUP('Character Creation'!$Z$11,RaceChart,20,FALSE)&amp;" "&amp;VLOOKUP('Character Creation'!$Z$11,RaceChart,21,FALSE)),Charts!$H$2:$J$14,3,FALSE)+DU8),Charts!$J$2:$N$14,5,FALSE)</f>
        <v>#VALUE!</v>
      </c>
      <c r="DW8" s="4" t="e">
        <f>VLOOKUP(DV8,Charts!$N$2:$Q$14,4,FALSE)</f>
        <v>#VALUE!</v>
      </c>
      <c r="DX8" s="4" t="str">
        <f t="shared" si="46"/>
        <v/>
      </c>
      <c r="DY8" s="4" t="str">
        <f t="shared" si="12"/>
        <v/>
      </c>
      <c r="DZ8" s="4" t="str">
        <f t="shared" si="13"/>
        <v/>
      </c>
      <c r="EA8" s="4" t="e">
        <f>ROUNDDOWN(VLOOKUP(DK8,Skills!$N$72:$S$107,6,FALSE)/5,0)</f>
        <v>#N/A</v>
      </c>
      <c r="EB8" s="4" t="str">
        <f t="shared" si="14"/>
        <v/>
      </c>
      <c r="EC8" s="4" t="str">
        <f t="shared" si="47"/>
        <v>+</v>
      </c>
      <c r="ED8" s="4" t="e">
        <f>VLOOKUP(DJ8,'Character Sheet'!$FB$21:$HQ$35,61,FALSE)</f>
        <v>#N/A</v>
      </c>
      <c r="EE8" s="4" t="str">
        <f t="shared" si="15"/>
        <v/>
      </c>
      <c r="EF8" s="4" t="str">
        <f t="shared" si="48"/>
        <v/>
      </c>
      <c r="EG8" s="4" t="e">
        <f>VLOOKUP(DR8,Items!$B$1156:$AA$1282,18,FALSE)</f>
        <v>#N/A</v>
      </c>
      <c r="EH8" s="4" t="e">
        <f>VLOOKUP(DJ8,'Character Sheet'!$E$26:$EZ$45,81,FALSE)</f>
        <v>#N/A</v>
      </c>
      <c r="EI8" s="4" t="e">
        <f>VLOOKUP(DJ8,'Character Sheet'!$E$26:$EZ$45,89,FALSE)</f>
        <v>#N/A</v>
      </c>
      <c r="EJ8" s="4" t="e">
        <f t="shared" si="49"/>
        <v>#N/A</v>
      </c>
      <c r="EL8" s="4">
        <f ca="1">IFERROR(VLOOKUP(EO8,Skills!$N$402:$S$440,6,FALSE),0)</f>
        <v>0</v>
      </c>
      <c r="EM8" s="4">
        <v>7</v>
      </c>
      <c r="EN8" s="4" t="s">
        <v>824</v>
      </c>
      <c r="EO8" s="8" t="str">
        <f ca="1">IFERROR(VLOOKUP(EM8,Skills!$C$405:$M$440,11,FALSE),"")</f>
        <v/>
      </c>
      <c r="EP8" s="4" t="str">
        <f t="shared" ca="1" si="71"/>
        <v/>
      </c>
      <c r="EQ8" s="4">
        <v>6.0000000000000001E-3</v>
      </c>
      <c r="ER8" s="4" t="str">
        <f t="shared" ca="1" si="16"/>
        <v/>
      </c>
      <c r="ES8" t="str">
        <f t="shared" ca="1" si="2"/>
        <v/>
      </c>
      <c r="ET8" s="4" t="e">
        <f ca="1">VLOOKUP(ES8,Skills!$N$405:$AG$440,20,FALSE)</f>
        <v>#N/A</v>
      </c>
    </row>
    <row r="9" spans="2:152" x14ac:dyDescent="0.25">
      <c r="B9" s="3" t="str">
        <f>'Character Sheet'!CO3</f>
        <v>Hlf Dollar:</v>
      </c>
      <c r="C9" s="4">
        <f>'Character Sheet'!CY3</f>
        <v>2</v>
      </c>
      <c r="D9" s="115">
        <v>2.5000420499999999E-2</v>
      </c>
      <c r="E9" s="4">
        <f t="shared" si="72"/>
        <v>5.0000840999999997E-2</v>
      </c>
      <c r="L9" s="3" t="s">
        <v>2018</v>
      </c>
      <c r="M9" s="4" t="s">
        <v>824</v>
      </c>
      <c r="N9" s="40">
        <f>IFERROR(ROUNDDOWN(N8/N7,0),60)</f>
        <v>0</v>
      </c>
      <c r="P9">
        <v>8</v>
      </c>
      <c r="Q9" t="e">
        <f ca="1">VLOOKUP(P9,Skills!$F$2:$N$620,9,FALSE)</f>
        <v>#N/A</v>
      </c>
      <c r="R9" s="4" t="str">
        <f t="shared" ca="1" si="3"/>
        <v/>
      </c>
      <c r="S9" s="4" t="str">
        <f t="shared" ca="1" si="4"/>
        <v/>
      </c>
      <c r="T9" s="4">
        <f ca="1">IFERROR(VLOOKUP(Q9,'Character Creation'!$H$76:$CH$83,66,FALSE),0)</f>
        <v>0</v>
      </c>
      <c r="AC9" s="8" t="str">
        <f>IFERROR(VLOOKUP('Character Creation'!$CI22,Skills!$H$2:$N$620,6,FALSE),"")</f>
        <v/>
      </c>
      <c r="AD9" s="4">
        <f>'Character Creation'!EH22</f>
        <v>0</v>
      </c>
      <c r="AG9">
        <v>8</v>
      </c>
      <c r="AH9" s="4" t="str">
        <f t="shared" si="5"/>
        <v/>
      </c>
      <c r="AI9" t="str">
        <f>IFERROR(VLOOKUP(AG9,Skills!$B$2:$M$620,12,FALSE),"")</f>
        <v/>
      </c>
      <c r="AJ9" s="4" t="str">
        <f>IFERROR(VLOOKUP(AG9,Skills!$B$2:$AF$620,31,FALSE),"")</f>
        <v/>
      </c>
      <c r="AK9" s="4" t="str">
        <f t="shared" si="0"/>
        <v/>
      </c>
      <c r="AL9" s="4">
        <v>8.0000000000000002E-3</v>
      </c>
      <c r="AM9" s="62" t="str">
        <f t="shared" si="6"/>
        <v/>
      </c>
      <c r="AN9" t="str">
        <f t="shared" ca="1" si="7"/>
        <v/>
      </c>
      <c r="AO9" s="4" t="str">
        <f ca="1">IFERROR(VLOOKUP(AG9,$AH$2:$AJ$451,3,FALSE)&amp;IF(ISNUMBER(SEARCH(", Written",AN9))," -R"&amp;VLOOKUP(AN9,Skills!$M$2:$S$620,7,FALSE),IF(ISNUMBER(SEARCH(", Spoken",AN9))," -R"&amp;VLOOKUP(AN9,Skills!$M$2:$S$620,7,FALSE),"")),"")</f>
        <v/>
      </c>
      <c r="AQ9">
        <v>6</v>
      </c>
      <c r="AR9" s="8" t="str">
        <f>'Character Sheet'!FB9</f>
        <v>Shirt, Linen, Plain</v>
      </c>
      <c r="AS9" s="4" t="str">
        <f t="shared" si="17"/>
        <v>Light Cloth</v>
      </c>
      <c r="AT9" s="4">
        <f t="shared" si="18"/>
        <v>0.02</v>
      </c>
      <c r="AU9" s="4">
        <f t="shared" si="50"/>
        <v>10</v>
      </c>
      <c r="AV9" s="4">
        <f t="shared" si="51"/>
        <v>0</v>
      </c>
      <c r="AW9" s="4" t="str">
        <f t="shared" si="52"/>
        <v>Light Cloth</v>
      </c>
      <c r="AX9" s="4">
        <f t="shared" si="22"/>
        <v>0.02</v>
      </c>
      <c r="AY9" s="4">
        <f t="shared" si="53"/>
        <v>10</v>
      </c>
      <c r="AZ9" s="4">
        <f t="shared" si="54"/>
        <v>0</v>
      </c>
      <c r="BA9" s="4" t="str">
        <f>IFERROR('Character Sheet'!JK9,"")</f>
        <v>Light Cloth</v>
      </c>
      <c r="BB9" s="4">
        <f t="shared" si="25"/>
        <v>0.02</v>
      </c>
      <c r="BC9" s="4">
        <f t="shared" si="55"/>
        <v>0</v>
      </c>
      <c r="BD9" s="4">
        <f t="shared" si="56"/>
        <v>0</v>
      </c>
      <c r="BE9" s="4">
        <f t="shared" si="57"/>
        <v>0.95</v>
      </c>
      <c r="BF9" s="4">
        <f t="shared" si="58"/>
        <v>10</v>
      </c>
      <c r="BG9" s="4">
        <f t="shared" si="59"/>
        <v>0</v>
      </c>
      <c r="BH9" s="4" t="str">
        <f>IFERROR('Character Sheet'!KC9,"")</f>
        <v>Light Cloth</v>
      </c>
      <c r="BI9" s="4">
        <f t="shared" si="29"/>
        <v>0.02</v>
      </c>
      <c r="BJ9" s="4">
        <f t="shared" si="60"/>
        <v>0</v>
      </c>
      <c r="BK9" s="4">
        <f t="shared" si="61"/>
        <v>0</v>
      </c>
      <c r="BL9" s="4">
        <f t="shared" si="62"/>
        <v>5.0000000000000044E-2</v>
      </c>
      <c r="BM9" s="4">
        <f t="shared" si="63"/>
        <v>10</v>
      </c>
      <c r="BN9" s="4">
        <f t="shared" si="64"/>
        <v>0</v>
      </c>
      <c r="BO9" s="4">
        <f t="shared" si="65"/>
        <v>0.95</v>
      </c>
      <c r="BP9" s="4">
        <f t="shared" si="66"/>
        <v>0</v>
      </c>
      <c r="BQ9" s="4">
        <f>IFERROR('Character Sheet'!IQ9+VLOOKUP(BA9,MaterialChart,5,FALSE),"")</f>
        <v>0</v>
      </c>
      <c r="BR9" s="4">
        <f t="shared" si="67"/>
        <v>0</v>
      </c>
      <c r="BS9" s="4">
        <f>IFERROR(VLOOKUP(BA9&amp;CU9,Armour!$B$4:$BP$99,4,FALSE)+(BG9)+(BN9)-((AV9)+(AZ9)),0)</f>
        <v>15</v>
      </c>
      <c r="BT9" s="4">
        <f t="shared" si="68"/>
        <v>1.25</v>
      </c>
      <c r="BU9" s="4">
        <f t="shared" si="69"/>
        <v>1</v>
      </c>
      <c r="BV9" s="4">
        <f t="shared" si="70"/>
        <v>1</v>
      </c>
      <c r="BW9" s="4">
        <f>IFERROR(ROUNDUP((BE9*(BB9-AT9))+(BL9*(BI9-AX9))+(BT9*(((100+(BD9+IF(BE9=1,0,BK9))+(4*BR9))/100)))*'Character Sheet'!GT9,3),"")</f>
        <v>1.25</v>
      </c>
      <c r="BX9" s="4" t="str">
        <f t="shared" si="38"/>
        <v>$1.25</v>
      </c>
      <c r="BY9" s="8" t="str">
        <f t="shared" si="39"/>
        <v>Chest, Abdomen, Back, Waist, L Shoulder, R Shoulder, L Upper Arm, R Upper Arm</v>
      </c>
      <c r="BZ9" s="4">
        <f>IF(ISNUMBER(SEARCH(BZ$3,$BY9)),VLOOKUP($BA9&amp;$CU9,Armour!$B$4:$BP$99,67,FALSE),0)</f>
        <v>0</v>
      </c>
      <c r="CA9" s="4">
        <f>IF(ISNUMBER(SEARCH(CA$3,$BY9)),VLOOKUP($BA9&amp;$CU9,Armour!$B$4:$BP$99,67,FALSE),0)</f>
        <v>0</v>
      </c>
      <c r="CB9" s="4">
        <f>IF(ISNUMBER(SEARCH(CB$3,$BY9)),VLOOKUP($BA9&amp;$CU9,Armour!$B$4:$BP$99,67,FALSE),0)</f>
        <v>2</v>
      </c>
      <c r="CC9" s="4">
        <f>IF(ISNUMBER(SEARCH(CC$3,$BY9)),VLOOKUP($BA9&amp;$CU9,Armour!$B$4:$BP$99,67,FALSE),0)</f>
        <v>2</v>
      </c>
      <c r="CD9" s="4">
        <f>IF(ISNUMBER(SEARCH(CD$3,$BY9)),VLOOKUP($BA9&amp;$CU9,Armour!$B$4:$BP$99,67,FALSE),0)</f>
        <v>2</v>
      </c>
      <c r="CE9" s="4">
        <f>IF(ISNUMBER(SEARCH(CE$3,$BY9)),VLOOKUP($BA9&amp;$CU9,Armour!$B$4:$BP$99,67,FALSE),0)</f>
        <v>2</v>
      </c>
      <c r="CF9" s="4">
        <f>IF(ISNUMBER(SEARCH(CF$3,$BY9)),VLOOKUP($BA9&amp;$CU9,Armour!$B$4:$BP$99,67,FALSE),0)</f>
        <v>2</v>
      </c>
      <c r="CG9" s="4">
        <f>IF(ISNUMBER(SEARCH(CG$3,$BY9)),VLOOKUP($BA9&amp;$CU9,Armour!$B$4:$BP$99,67,FALSE),0)</f>
        <v>2</v>
      </c>
      <c r="CH9" s="4">
        <f>IF(ISNUMBER(SEARCH(CH$3,$BY9)),VLOOKUP($BA9&amp;$CU9,Armour!$B$4:$BP$99,67,FALSE),0)</f>
        <v>2</v>
      </c>
      <c r="CI9" s="4">
        <f>IF(ISNUMBER(SEARCH(CI$3,$BY9)),VLOOKUP($BA9&amp;$CU9,Armour!$B$4:$BP$99,67,FALSE),0)</f>
        <v>2</v>
      </c>
      <c r="CJ9" s="4">
        <f>IF(ISNUMBER(SEARCH(CJ$3,$BY9)),VLOOKUP($BA9&amp;$CU9,Armour!$B$4:$BP$99,67,FALSE),0)</f>
        <v>0</v>
      </c>
      <c r="CK9" s="4">
        <f>IF(ISNUMBER(SEARCH(CK$3,$BY9)),VLOOKUP($BA9&amp;$CU9,Armour!$B$4:$BP$99,67,FALSE),0)</f>
        <v>0</v>
      </c>
      <c r="CL9" s="4">
        <f>IF(ISNUMBER(SEARCH(CL$3,$BY9)),VLOOKUP($BA9&amp;$CU9,Armour!$B$4:$BP$99,67,FALSE),0)</f>
        <v>0</v>
      </c>
      <c r="CM9" s="4">
        <f>IF(ISNUMBER(SEARCH(CM$3,$BY9)),VLOOKUP($BA9&amp;$CU9,Armour!$B$4:$BP$99,67,FALSE),0)</f>
        <v>0</v>
      </c>
      <c r="CN9" s="4">
        <f>IF(ISNUMBER(SEARCH(CN$3,$BY9)),VLOOKUP($BA9&amp;$CU9,Armour!$B$4:$BP$99,67,FALSE),0)</f>
        <v>0</v>
      </c>
      <c r="CO9" s="4">
        <f>IF(ISNUMBER(SEARCH(CO$3,$BY9)),VLOOKUP($BA9&amp;$CU9,Armour!$B$4:$BP$99,67,FALSE),0)</f>
        <v>0</v>
      </c>
      <c r="CP9" s="4">
        <f>IF(ISNUMBER(SEARCH(CP$3,$BY9)),VLOOKUP($BA9&amp;$CU9,Armour!$B$4:$BP$99,67,FALSE),0)</f>
        <v>0</v>
      </c>
      <c r="CQ9" s="4">
        <f>IF(ISNUMBER(SEARCH(CQ$3,$BY9)),VLOOKUP($BA9&amp;$CU9,Armour!$B$4:$BP$99,67,FALSE),0)</f>
        <v>0</v>
      </c>
      <c r="CR9" s="4">
        <f>IF(ISNUMBER(SEARCH(CR$3,$BY9)),VLOOKUP($BA9&amp;$CU9,Armour!$B$4:$BP$99,67,FALSE),0)</f>
        <v>0</v>
      </c>
      <c r="CS9" s="4">
        <f>IF(ISNUMBER(SEARCH(CS$3,$BY9)),VLOOKUP($BA9&amp;$CU9,Armour!$B$4:$BP$99,67,FALSE),0)</f>
        <v>0</v>
      </c>
      <c r="CT9" s="4">
        <f>IF(ISNUMBER(SEARCH(CT$3,$BY9)),VLOOKUP($BA9&amp;$CU9,Armour!$B$4:$BP$99,67,FALSE),0)</f>
        <v>0</v>
      </c>
      <c r="CU9" s="4" t="str">
        <f t="shared" si="40"/>
        <v/>
      </c>
      <c r="CV9" s="4"/>
      <c r="CX9">
        <v>7</v>
      </c>
      <c r="CY9" s="3" t="str">
        <f>'Character Sheet'!B55</f>
        <v>L Shoulder:</v>
      </c>
      <c r="CZ9" s="4">
        <f>MAX($CF$4:$CF$19)</f>
        <v>2</v>
      </c>
      <c r="DA9" t="str">
        <f>IFERROR(VLOOKUP(CZ9,Armour!$A$4:$B$99,2,FALSE),"No Armour")</f>
        <v>Light Cloth</v>
      </c>
      <c r="DC9">
        <v>7</v>
      </c>
      <c r="DD9" s="3" t="str">
        <f>'Character Sheet'!B134</f>
        <v>R Hip:</v>
      </c>
      <c r="DE9" s="4">
        <f>MAX($CF$83:$CF$116)</f>
        <v>0</v>
      </c>
      <c r="DF9" t="str">
        <f>IFERROR(VLOOKUP(DE9,Armour!$A$4:$B$99,2,FALSE),"No Armour")</f>
        <v>No Armour</v>
      </c>
      <c r="DH9" s="4" t="str">
        <f t="shared" si="41"/>
        <v/>
      </c>
      <c r="DI9">
        <v>7</v>
      </c>
      <c r="DJ9" s="3">
        <f>'Character Sheet'!FB27</f>
        <v>0</v>
      </c>
      <c r="DK9" s="4" t="str">
        <f t="shared" si="8"/>
        <v/>
      </c>
      <c r="DL9" s="4" t="str">
        <f>IFERROR(IF(DK9=0,"",VLOOKUP(DK9,Skills!$N$72:$AF$107,19,FALSE)),"")</f>
        <v/>
      </c>
      <c r="DM9" s="4">
        <f>IFERROR(VLOOKUP($DJ9,ItemChart,18,FALSE)+'Character Sheet'!IJ27,0)</f>
        <v>0</v>
      </c>
      <c r="DN9" s="4" t="str">
        <f t="shared" si="42"/>
        <v/>
      </c>
      <c r="DO9" s="4" t="str">
        <f>IFERROR(DN9+0.07,"")</f>
        <v/>
      </c>
      <c r="DP9" s="4">
        <f t="shared" si="43"/>
        <v>0</v>
      </c>
      <c r="DQ9" s="4">
        <f t="shared" si="44"/>
        <v>2</v>
      </c>
      <c r="DR9" s="4" t="e">
        <f t="shared" si="9"/>
        <v>#N/A</v>
      </c>
      <c r="DS9" s="4">
        <f t="shared" si="45"/>
        <v>7</v>
      </c>
      <c r="DT9" s="4" t="str">
        <f t="shared" si="10"/>
        <v/>
      </c>
      <c r="DU9" s="4" t="str">
        <f t="shared" si="11"/>
        <v/>
      </c>
      <c r="DV9" s="4" t="e">
        <f>VLOOKUP((VLOOKUP((VLOOKUP('Character Creation'!$Z$11,RaceChart,20,FALSE)&amp;" "&amp;VLOOKUP('Character Creation'!$Z$11,RaceChart,21,FALSE)),Charts!$H$2:$J$14,3,FALSE)+DU9),Charts!$J$2:$N$14,5,FALSE)</f>
        <v>#VALUE!</v>
      </c>
      <c r="DW9" s="4" t="e">
        <f>VLOOKUP(DV9,Charts!$N$2:$Q$14,4,FALSE)</f>
        <v>#VALUE!</v>
      </c>
      <c r="DX9" s="4" t="str">
        <f t="shared" si="46"/>
        <v/>
      </c>
      <c r="DY9" s="4" t="str">
        <f t="shared" si="12"/>
        <v/>
      </c>
      <c r="DZ9" s="4" t="str">
        <f t="shared" si="13"/>
        <v/>
      </c>
      <c r="EA9" s="4" t="e">
        <f>ROUNDDOWN(VLOOKUP(DK9,Skills!$N$72:$S$107,6,FALSE)/5,0)</f>
        <v>#N/A</v>
      </c>
      <c r="EB9" s="4" t="str">
        <f t="shared" si="14"/>
        <v/>
      </c>
      <c r="EC9" s="4" t="str">
        <f t="shared" si="47"/>
        <v>+</v>
      </c>
      <c r="ED9" s="4" t="e">
        <f>VLOOKUP(DJ9,'Character Sheet'!$FB$21:$HQ$35,61,FALSE)</f>
        <v>#N/A</v>
      </c>
      <c r="EE9" s="4" t="str">
        <f t="shared" si="15"/>
        <v/>
      </c>
      <c r="EF9" s="4" t="str">
        <f t="shared" si="48"/>
        <v/>
      </c>
      <c r="EG9" s="4" t="e">
        <f>VLOOKUP(DR9,Items!$B$1156:$AA$1282,18,FALSE)</f>
        <v>#N/A</v>
      </c>
      <c r="EH9" s="4" t="e">
        <f>VLOOKUP(DJ9,'Character Sheet'!$E$26:$EZ$45,81,FALSE)</f>
        <v>#N/A</v>
      </c>
      <c r="EI9" s="4" t="e">
        <f>VLOOKUP(DJ9,'Character Sheet'!$E$26:$EZ$45,89,FALSE)</f>
        <v>#N/A</v>
      </c>
      <c r="EJ9" s="4" t="e">
        <f t="shared" si="49"/>
        <v>#N/A</v>
      </c>
      <c r="EL9" s="4">
        <f ca="1">IFERROR(VLOOKUP(EO9,Skills!$N$402:$S$440,6,FALSE),0)</f>
        <v>0</v>
      </c>
      <c r="EM9" s="4">
        <v>8</v>
      </c>
      <c r="EN9" s="4" t="s">
        <v>824</v>
      </c>
      <c r="EO9" s="8" t="str">
        <f ca="1">IFERROR(VLOOKUP(EM9,Skills!$C$405:$M$440,11,FALSE),"")</f>
        <v/>
      </c>
      <c r="EP9" s="4" t="str">
        <f t="shared" ca="1" si="71"/>
        <v/>
      </c>
      <c r="EQ9" s="4">
        <v>7.0000000000000001E-3</v>
      </c>
      <c r="ER9" s="4" t="str">
        <f t="shared" ca="1" si="16"/>
        <v/>
      </c>
      <c r="ES9" t="str">
        <f t="shared" ca="1" si="2"/>
        <v/>
      </c>
      <c r="ET9" s="4" t="e">
        <f ca="1">VLOOKUP(ES9,Skills!$N$405:$AG$440,20,FALSE)</f>
        <v>#N/A</v>
      </c>
    </row>
    <row r="10" spans="2:152" x14ac:dyDescent="0.25">
      <c r="B10" s="3" t="str">
        <f>'Character Sheet'!CO4</f>
        <v>Quarter:</v>
      </c>
      <c r="C10" s="4">
        <f>'Character Sheet'!CY4</f>
        <v>5</v>
      </c>
      <c r="D10" s="115">
        <v>1.25002103E-2</v>
      </c>
      <c r="E10" s="4">
        <f t="shared" si="72"/>
        <v>6.2501051500000002E-2</v>
      </c>
      <c r="G10" t="s">
        <v>1992</v>
      </c>
      <c r="H10" s="4">
        <f>VLOOKUP('Character Creation'!Z14,Calculations!$G$2:$I$8,2,FALSE)</f>
        <v>5</v>
      </c>
      <c r="I10" t="str">
        <f>VLOOKUP('Character Creation'!Z14,Calculations!$G$2:$I$8,3,FALSE)</f>
        <v>Ess.</v>
      </c>
      <c r="J10" t="str">
        <f>VLOOKUP('Character Creation'!Z14,Calculations!$G$2:$J$8,4,FALSE)</f>
        <v>Em</v>
      </c>
      <c r="P10">
        <v>9</v>
      </c>
      <c r="Q10" t="e">
        <f ca="1">VLOOKUP(P10,Skills!$F$2:$N$620,9,FALSE)</f>
        <v>#N/A</v>
      </c>
      <c r="R10" s="4" t="str">
        <f t="shared" ca="1" si="3"/>
        <v/>
      </c>
      <c r="S10" s="4" t="str">
        <f t="shared" ca="1" si="4"/>
        <v/>
      </c>
      <c r="T10" s="4">
        <f ca="1">IFERROR(VLOOKUP(Q10,'Character Creation'!$H$76:$CH$83,66,FALSE),0)</f>
        <v>0</v>
      </c>
      <c r="AC10" s="8" t="str">
        <f>IFERROR(VLOOKUP('Character Creation'!$CI23,Skills!$H$2:$N$620,6,FALSE),"")</f>
        <v/>
      </c>
      <c r="AD10" s="4">
        <f>'Character Creation'!EH23</f>
        <v>0</v>
      </c>
      <c r="AG10">
        <v>9</v>
      </c>
      <c r="AH10" s="4" t="str">
        <f t="shared" si="5"/>
        <v/>
      </c>
      <c r="AI10" t="str">
        <f>IFERROR(VLOOKUP(AG10,Skills!$B$2:$M$620,12,FALSE),"")</f>
        <v/>
      </c>
      <c r="AJ10" s="4" t="str">
        <f>IFERROR(VLOOKUP(AG10,Skills!$B$2:$AF$620,31,FALSE),"")</f>
        <v/>
      </c>
      <c r="AK10" s="4" t="str">
        <f t="shared" si="0"/>
        <v/>
      </c>
      <c r="AL10" s="4">
        <v>8.9999999999999993E-3</v>
      </c>
      <c r="AM10" s="62" t="str">
        <f t="shared" si="6"/>
        <v/>
      </c>
      <c r="AN10" t="str">
        <f t="shared" ca="1" si="7"/>
        <v/>
      </c>
      <c r="AO10" s="4" t="str">
        <f ca="1">IFERROR(VLOOKUP(AG10,$AH$2:$AJ$451,3,FALSE)&amp;IF(ISNUMBER(SEARCH(", Written",AN10))," -R"&amp;VLOOKUP(AN10,Skills!$M$2:$S$620,7,FALSE),IF(ISNUMBER(SEARCH(", Spoken",AN10))," -R"&amp;VLOOKUP(AN10,Skills!$M$2:$S$620,7,FALSE),"")),"")</f>
        <v/>
      </c>
      <c r="AQ10">
        <v>7</v>
      </c>
      <c r="AR10" s="8" t="str">
        <f>'Character Sheet'!FB10</f>
        <v>Shoes, Normal, Mens, Plain</v>
      </c>
      <c r="AS10" s="4" t="str">
        <f t="shared" si="17"/>
        <v>Heavy Cloth</v>
      </c>
      <c r="AT10" s="4">
        <f t="shared" si="18"/>
        <v>0.04</v>
      </c>
      <c r="AU10" s="4">
        <f t="shared" si="50"/>
        <v>12</v>
      </c>
      <c r="AV10" s="4">
        <f t="shared" si="51"/>
        <v>0</v>
      </c>
      <c r="AW10" s="4" t="str">
        <f t="shared" si="52"/>
        <v>Light Cloth</v>
      </c>
      <c r="AX10" s="4">
        <f t="shared" si="22"/>
        <v>0.02</v>
      </c>
      <c r="AY10" s="4">
        <f t="shared" si="53"/>
        <v>10</v>
      </c>
      <c r="AZ10" s="4">
        <f t="shared" si="54"/>
        <v>0</v>
      </c>
      <c r="BA10" s="4" t="str">
        <f>IFERROR('Character Sheet'!JK10,"")</f>
        <v>Heavy Cloth</v>
      </c>
      <c r="BB10" s="4">
        <f t="shared" si="25"/>
        <v>0.04</v>
      </c>
      <c r="BC10" s="4">
        <f t="shared" si="55"/>
        <v>0</v>
      </c>
      <c r="BD10" s="4">
        <f t="shared" si="56"/>
        <v>0</v>
      </c>
      <c r="BE10" s="4">
        <f t="shared" si="57"/>
        <v>0.47499999999999998</v>
      </c>
      <c r="BF10" s="4">
        <f t="shared" si="58"/>
        <v>12</v>
      </c>
      <c r="BG10" s="4">
        <f t="shared" si="59"/>
        <v>0</v>
      </c>
      <c r="BH10" s="4" t="str">
        <f>IFERROR('Character Sheet'!KC10,"")</f>
        <v>Light Cloth</v>
      </c>
      <c r="BI10" s="4">
        <f t="shared" si="29"/>
        <v>0.02</v>
      </c>
      <c r="BJ10" s="4">
        <f t="shared" si="60"/>
        <v>0</v>
      </c>
      <c r="BK10" s="4">
        <f t="shared" si="61"/>
        <v>0</v>
      </c>
      <c r="BL10" s="4">
        <f t="shared" si="62"/>
        <v>2.5000000000000022E-2</v>
      </c>
      <c r="BM10" s="4">
        <f t="shared" si="63"/>
        <v>10</v>
      </c>
      <c r="BN10" s="4">
        <f t="shared" si="64"/>
        <v>0</v>
      </c>
      <c r="BO10" s="4">
        <f t="shared" si="65"/>
        <v>0.95</v>
      </c>
      <c r="BP10" s="4">
        <f t="shared" si="66"/>
        <v>0</v>
      </c>
      <c r="BQ10" s="4">
        <f>IFERROR('Character Sheet'!IQ10+VLOOKUP(BA10,MaterialChart,5,FALSE),"")</f>
        <v>0</v>
      </c>
      <c r="BR10" s="4">
        <f t="shared" si="67"/>
        <v>0</v>
      </c>
      <c r="BS10" s="4">
        <f>IFERROR(VLOOKUP(BA10&amp;CU10,Armour!$B$4:$BP$99,4,FALSE)+(BG10)+(BN10)-((AV10)+(AZ10)),0)</f>
        <v>30</v>
      </c>
      <c r="BT10" s="4">
        <f t="shared" si="68"/>
        <v>0.73</v>
      </c>
      <c r="BU10" s="4">
        <f t="shared" si="69"/>
        <v>0.5</v>
      </c>
      <c r="BV10" s="4">
        <f t="shared" si="70"/>
        <v>0.5</v>
      </c>
      <c r="BW10" s="4">
        <f>IFERROR(ROUNDUP((BE10*(BB10-AT10))+(BL10*(BI10-AX10))+(BT10*(((100+(BD10+IF(BE10=1,0,BK10))+(4*BR10))/100)))*'Character Sheet'!GT10,3),"")</f>
        <v>1.46</v>
      </c>
      <c r="BX10" s="4" t="str">
        <f t="shared" si="38"/>
        <v>$1.46</v>
      </c>
      <c r="BY10" s="8" t="str">
        <f t="shared" si="39"/>
        <v>L Foot, R Foot</v>
      </c>
      <c r="BZ10" s="4">
        <f>IF(ISNUMBER(SEARCH(BZ$3,$BY10)),VLOOKUP($BA10&amp;$CU10,Armour!$B$4:$BP$99,67,FALSE),0)</f>
        <v>0</v>
      </c>
      <c r="CA10" s="4">
        <f>IF(ISNUMBER(SEARCH(CA$3,$BY10)),VLOOKUP($BA10&amp;$CU10,Armour!$B$4:$BP$99,67,FALSE),0)</f>
        <v>0</v>
      </c>
      <c r="CB10" s="4">
        <f>IF(ISNUMBER(SEARCH(CB$3,$BY10)),VLOOKUP($BA10&amp;$CU10,Armour!$B$4:$BP$99,67,FALSE),0)</f>
        <v>0</v>
      </c>
      <c r="CC10" s="4">
        <f>IF(ISNUMBER(SEARCH(CC$3,$BY10)),VLOOKUP($BA10&amp;$CU10,Armour!$B$4:$BP$99,67,FALSE),0)</f>
        <v>0</v>
      </c>
      <c r="CD10" s="4">
        <f>IF(ISNUMBER(SEARCH(CD$3,$BY10)),VLOOKUP($BA10&amp;$CU10,Armour!$B$4:$BP$99,67,FALSE),0)</f>
        <v>0</v>
      </c>
      <c r="CE10" s="4">
        <f>IF(ISNUMBER(SEARCH(CE$3,$BY10)),VLOOKUP($BA10&amp;$CU10,Armour!$B$4:$BP$99,67,FALSE),0)</f>
        <v>0</v>
      </c>
      <c r="CF10" s="4">
        <f>IF(ISNUMBER(SEARCH(CF$3,$BY10)),VLOOKUP($BA10&amp;$CU10,Armour!$B$4:$BP$99,67,FALSE),0)</f>
        <v>0</v>
      </c>
      <c r="CG10" s="4">
        <f>IF(ISNUMBER(SEARCH(CG$3,$BY10)),VLOOKUP($BA10&amp;$CU10,Armour!$B$4:$BP$99,67,FALSE),0)</f>
        <v>0</v>
      </c>
      <c r="CH10" s="4">
        <f>IF(ISNUMBER(SEARCH(CH$3,$BY10)),VLOOKUP($BA10&amp;$CU10,Armour!$B$4:$BP$99,67,FALSE),0)</f>
        <v>0</v>
      </c>
      <c r="CI10" s="4">
        <f>IF(ISNUMBER(SEARCH(CI$3,$BY10)),VLOOKUP($BA10&amp;$CU10,Armour!$B$4:$BP$99,67,FALSE),0)</f>
        <v>0</v>
      </c>
      <c r="CJ10" s="4">
        <f>IF(ISNUMBER(SEARCH(CJ$3,$BY10)),VLOOKUP($BA10&amp;$CU10,Armour!$B$4:$BP$99,67,FALSE),0)</f>
        <v>0</v>
      </c>
      <c r="CK10" s="4">
        <f>IF(ISNUMBER(SEARCH(CK$3,$BY10)),VLOOKUP($BA10&amp;$CU10,Armour!$B$4:$BP$99,67,FALSE),0)</f>
        <v>0</v>
      </c>
      <c r="CL10" s="4">
        <f>IF(ISNUMBER(SEARCH(CL$3,$BY10)),VLOOKUP($BA10&amp;$CU10,Armour!$B$4:$BP$99,67,FALSE),0)</f>
        <v>0</v>
      </c>
      <c r="CM10" s="4">
        <f>IF(ISNUMBER(SEARCH(CM$3,$BY10)),VLOOKUP($BA10&amp;$CU10,Armour!$B$4:$BP$99,67,FALSE),0)</f>
        <v>0</v>
      </c>
      <c r="CN10" s="4">
        <f>IF(ISNUMBER(SEARCH(CN$3,$BY10)),VLOOKUP($BA10&amp;$CU10,Armour!$B$4:$BP$99,67,FALSE),0)</f>
        <v>0</v>
      </c>
      <c r="CO10" s="4">
        <f>IF(ISNUMBER(SEARCH(CO$3,$BY10)),VLOOKUP($BA10&amp;$CU10,Armour!$B$4:$BP$99,67,FALSE),0)</f>
        <v>0</v>
      </c>
      <c r="CP10" s="4">
        <f>IF(ISNUMBER(SEARCH(CP$3,$BY10)),VLOOKUP($BA10&amp;$CU10,Armour!$B$4:$BP$99,67,FALSE),0)</f>
        <v>0</v>
      </c>
      <c r="CQ10" s="4">
        <f>IF(ISNUMBER(SEARCH(CQ$3,$BY10)),VLOOKUP($BA10&amp;$CU10,Armour!$B$4:$BP$99,67,FALSE),0)</f>
        <v>0</v>
      </c>
      <c r="CR10" s="4">
        <f>IF(ISNUMBER(SEARCH(CR$3,$BY10)),VLOOKUP($BA10&amp;$CU10,Armour!$B$4:$BP$99,67,FALSE),0)</f>
        <v>0</v>
      </c>
      <c r="CS10" s="4">
        <f>IF(ISNUMBER(SEARCH(CS$3,$BY10)),VLOOKUP($BA10&amp;$CU10,Armour!$B$4:$BP$99,67,FALSE),0)</f>
        <v>4</v>
      </c>
      <c r="CT10" s="4">
        <f>IF(ISNUMBER(SEARCH(CT$3,$BY10)),VLOOKUP($BA10&amp;$CU10,Armour!$B$4:$BP$99,67,FALSE),0)</f>
        <v>4</v>
      </c>
      <c r="CU10" s="4" t="str">
        <f t="shared" si="40"/>
        <v/>
      </c>
      <c r="CV10" s="4"/>
      <c r="CX10">
        <v>8</v>
      </c>
      <c r="CY10" s="3" t="str">
        <f>'Character Sheet'!B56</f>
        <v>R Shoulder:</v>
      </c>
      <c r="CZ10" s="4">
        <f>MAX($CG$4:$CG$19)</f>
        <v>2</v>
      </c>
      <c r="DA10" t="str">
        <f>IFERROR(VLOOKUP(CZ10,Armour!$A$4:$B$99,2,FALSE),"No Armour")</f>
        <v>Light Cloth</v>
      </c>
      <c r="DC10">
        <v>8</v>
      </c>
      <c r="DD10" s="3" t="str">
        <f>'Character Sheet'!B135</f>
        <v>L Shoulder:</v>
      </c>
      <c r="DE10" s="4">
        <f>MAX($CG$83:$CG$116)</f>
        <v>0</v>
      </c>
      <c r="DF10" t="str">
        <f>IFERROR(VLOOKUP(DE10,Armour!$A$4:$B$99,2,FALSE),"No Armour")</f>
        <v>No Armour</v>
      </c>
      <c r="DH10" s="4" t="str">
        <f t="shared" si="41"/>
        <v/>
      </c>
      <c r="DI10">
        <v>8</v>
      </c>
      <c r="DJ10" s="3">
        <f>'Character Sheet'!FB28</f>
        <v>0</v>
      </c>
      <c r="DK10" s="4" t="str">
        <f t="shared" si="8"/>
        <v/>
      </c>
      <c r="DL10" s="4" t="str">
        <f>IFERROR(IF(DK10=0,"",VLOOKUP(DK10,Skills!$N$72:$AF$107,19,FALSE)),"")</f>
        <v/>
      </c>
      <c r="DM10" s="4">
        <f>IFERROR(VLOOKUP($DJ10,ItemChart,18,FALSE)+'Character Sheet'!IJ28,0)</f>
        <v>0</v>
      </c>
      <c r="DN10" s="4" t="str">
        <f t="shared" si="42"/>
        <v/>
      </c>
      <c r="DO10" s="4" t="str">
        <f>IFERROR(DN10+0.08,"")</f>
        <v/>
      </c>
      <c r="DP10" s="4">
        <f t="shared" si="43"/>
        <v>0</v>
      </c>
      <c r="DQ10" s="4">
        <f t="shared" si="44"/>
        <v>2</v>
      </c>
      <c r="DR10" s="4" t="e">
        <f t="shared" si="9"/>
        <v>#N/A</v>
      </c>
      <c r="DS10" s="4">
        <f t="shared" si="45"/>
        <v>8</v>
      </c>
      <c r="DT10" s="4" t="str">
        <f t="shared" si="10"/>
        <v/>
      </c>
      <c r="DU10" s="4" t="str">
        <f t="shared" si="11"/>
        <v/>
      </c>
      <c r="DV10" s="4" t="e">
        <f>VLOOKUP((VLOOKUP((VLOOKUP('Character Creation'!$Z$11,RaceChart,20,FALSE)&amp;" "&amp;VLOOKUP('Character Creation'!$Z$11,RaceChart,21,FALSE)),Charts!$H$2:$J$14,3,FALSE)+DU10),Charts!$J$2:$N$14,5,FALSE)</f>
        <v>#VALUE!</v>
      </c>
      <c r="DW10" s="4" t="e">
        <f>VLOOKUP(DV10,Charts!$N$2:$Q$14,4,FALSE)</f>
        <v>#VALUE!</v>
      </c>
      <c r="DX10" s="4" t="str">
        <f t="shared" si="46"/>
        <v/>
      </c>
      <c r="DY10" s="4" t="str">
        <f t="shared" si="12"/>
        <v/>
      </c>
      <c r="DZ10" s="4" t="str">
        <f t="shared" si="13"/>
        <v/>
      </c>
      <c r="EA10" s="4" t="e">
        <f>ROUNDDOWN(VLOOKUP(DK10,Skills!$N$72:$S$107,6,FALSE)/5,0)</f>
        <v>#N/A</v>
      </c>
      <c r="EB10" s="4" t="str">
        <f t="shared" si="14"/>
        <v/>
      </c>
      <c r="EC10" s="4" t="str">
        <f t="shared" si="47"/>
        <v>+</v>
      </c>
      <c r="ED10" s="4" t="e">
        <f>VLOOKUP(DJ10,'Character Sheet'!$FB$21:$HQ$35,61,FALSE)</f>
        <v>#N/A</v>
      </c>
      <c r="EE10" s="4" t="str">
        <f t="shared" si="15"/>
        <v/>
      </c>
      <c r="EF10" s="4" t="str">
        <f t="shared" si="48"/>
        <v/>
      </c>
      <c r="EG10" s="4" t="e">
        <f>VLOOKUP(DR10,Items!$B$1156:$AA$1282,18,FALSE)</f>
        <v>#N/A</v>
      </c>
      <c r="EH10" s="4" t="e">
        <f>VLOOKUP(DJ10,'Character Sheet'!$E$26:$EZ$45,81,FALSE)</f>
        <v>#N/A</v>
      </c>
      <c r="EI10" s="4" t="e">
        <f>VLOOKUP(DJ10,'Character Sheet'!$E$26:$EZ$45,89,FALSE)</f>
        <v>#N/A</v>
      </c>
      <c r="EJ10" s="4" t="e">
        <f t="shared" si="49"/>
        <v>#N/A</v>
      </c>
      <c r="EL10" s="4">
        <f ca="1">IFERROR(VLOOKUP(EO10,Skills!$N$402:$S$440,6,FALSE),0)</f>
        <v>0</v>
      </c>
      <c r="EM10" s="4">
        <v>9</v>
      </c>
      <c r="EN10" s="4" t="s">
        <v>824</v>
      </c>
      <c r="EO10" s="8" t="str">
        <f ca="1">IFERROR(VLOOKUP(EM10,Skills!$C$405:$M$440,11,FALSE),"")</f>
        <v/>
      </c>
      <c r="EP10" s="4" t="str">
        <f t="shared" ca="1" si="71"/>
        <v/>
      </c>
      <c r="EQ10" s="4">
        <v>8.0000000000000002E-3</v>
      </c>
      <c r="ER10" s="4" t="str">
        <f t="shared" ca="1" si="16"/>
        <v/>
      </c>
      <c r="ES10" t="str">
        <f t="shared" ca="1" si="2"/>
        <v/>
      </c>
      <c r="ET10" s="4" t="e">
        <f ca="1">VLOOKUP(ES10,Skills!$N$405:$AG$440,20,FALSE)</f>
        <v>#N/A</v>
      </c>
    </row>
    <row r="11" spans="2:152" x14ac:dyDescent="0.25">
      <c r="B11" s="3" t="str">
        <f>'Character Sheet'!CO5</f>
        <v>20¢ Piece:</v>
      </c>
      <c r="C11" s="4">
        <f>'Character Sheet'!CY5</f>
        <v>1</v>
      </c>
      <c r="D11" s="115">
        <v>1.1023113100000001E-2</v>
      </c>
      <c r="E11" s="4">
        <f t="shared" si="72"/>
        <v>1.1023113100000001E-2</v>
      </c>
      <c r="P11">
        <v>10</v>
      </c>
      <c r="Q11" t="e">
        <f ca="1">VLOOKUP(P11,Skills!$F$2:$N$620,9,FALSE)</f>
        <v>#N/A</v>
      </c>
      <c r="R11" s="4" t="str">
        <f t="shared" ca="1" si="3"/>
        <v/>
      </c>
      <c r="S11" s="4" t="str">
        <f t="shared" ca="1" si="4"/>
        <v/>
      </c>
      <c r="T11" s="4">
        <f ca="1">IFERROR(VLOOKUP(Q11,'Character Creation'!$H$76:$CH$83,66,FALSE),0)</f>
        <v>0</v>
      </c>
      <c r="AC11" s="8" t="str">
        <f>IFERROR(VLOOKUP('Character Creation'!$CI24,Skills!$H$2:$N$620,6,FALSE),"")</f>
        <v/>
      </c>
      <c r="AD11" s="4">
        <f>'Character Creation'!EH24</f>
        <v>0</v>
      </c>
      <c r="AG11">
        <v>10</v>
      </c>
      <c r="AH11" s="4" t="str">
        <f t="shared" si="5"/>
        <v/>
      </c>
      <c r="AI11" t="str">
        <f>IFERROR(VLOOKUP(AG11,Skills!$B$2:$M$620,12,FALSE),"")</f>
        <v/>
      </c>
      <c r="AJ11" s="4" t="str">
        <f>IFERROR(VLOOKUP(AG11,Skills!$B$2:$AF$620,31,FALSE),"")</f>
        <v/>
      </c>
      <c r="AK11" s="4" t="str">
        <f t="shared" si="0"/>
        <v/>
      </c>
      <c r="AL11" s="4">
        <v>0.01</v>
      </c>
      <c r="AM11" s="62" t="str">
        <f t="shared" si="6"/>
        <v/>
      </c>
      <c r="AN11" t="str">
        <f t="shared" ca="1" si="7"/>
        <v/>
      </c>
      <c r="AO11" s="4" t="str">
        <f ca="1">IFERROR(VLOOKUP(AG11,$AH$2:$AJ$451,3,FALSE)&amp;IF(ISNUMBER(SEARCH(", Written",AN11))," -R"&amp;VLOOKUP(AN11,Skills!$M$2:$S$620,7,FALSE),IF(ISNUMBER(SEARCH(", Spoken",AN11))," -R"&amp;VLOOKUP(AN11,Skills!$M$2:$S$620,7,FALSE),"")),"")</f>
        <v/>
      </c>
      <c r="AQ11">
        <v>8</v>
      </c>
      <c r="AR11" s="8" t="str">
        <f>'Character Sheet'!FB11</f>
        <v>Blue Jeans, Denim</v>
      </c>
      <c r="AS11" s="4" t="str">
        <f t="shared" si="17"/>
        <v>Heavy Cloth</v>
      </c>
      <c r="AT11" s="4">
        <f t="shared" si="18"/>
        <v>0.04</v>
      </c>
      <c r="AU11" s="4">
        <f t="shared" si="50"/>
        <v>12</v>
      </c>
      <c r="AV11" s="4">
        <f t="shared" si="51"/>
        <v>0</v>
      </c>
      <c r="AW11" s="4" t="str">
        <f t="shared" si="52"/>
        <v>Heavy Cloth</v>
      </c>
      <c r="AX11" s="4">
        <f t="shared" si="22"/>
        <v>0.04</v>
      </c>
      <c r="AY11" s="4">
        <f t="shared" si="53"/>
        <v>12</v>
      </c>
      <c r="AZ11" s="4">
        <f t="shared" si="54"/>
        <v>0</v>
      </c>
      <c r="BA11" s="4" t="str">
        <f>IFERROR('Character Sheet'!JK11,"")</f>
        <v>Heavy Cloth</v>
      </c>
      <c r="BB11" s="4">
        <f t="shared" si="25"/>
        <v>0.04</v>
      </c>
      <c r="BC11" s="4">
        <f t="shared" si="55"/>
        <v>0</v>
      </c>
      <c r="BD11" s="4">
        <f t="shared" si="56"/>
        <v>0</v>
      </c>
      <c r="BE11" s="4">
        <f t="shared" si="57"/>
        <v>2</v>
      </c>
      <c r="BF11" s="4">
        <f t="shared" si="58"/>
        <v>12</v>
      </c>
      <c r="BG11" s="4">
        <f t="shared" si="59"/>
        <v>0</v>
      </c>
      <c r="BH11" s="4" t="str">
        <f>IFERROR('Character Sheet'!KC11,"")</f>
        <v>Heavy Cloth</v>
      </c>
      <c r="BI11" s="4">
        <f t="shared" si="29"/>
        <v>0.04</v>
      </c>
      <c r="BJ11" s="4">
        <f t="shared" si="60"/>
        <v>0</v>
      </c>
      <c r="BK11" s="4">
        <f t="shared" si="61"/>
        <v>0</v>
      </c>
      <c r="BL11" s="4">
        <f t="shared" si="62"/>
        <v>0</v>
      </c>
      <c r="BM11" s="4">
        <f t="shared" si="63"/>
        <v>12</v>
      </c>
      <c r="BN11" s="4">
        <f t="shared" si="64"/>
        <v>0</v>
      </c>
      <c r="BO11" s="4">
        <f t="shared" si="65"/>
        <v>1</v>
      </c>
      <c r="BP11" s="4">
        <f t="shared" si="66"/>
        <v>0</v>
      </c>
      <c r="BQ11" s="4">
        <f>IFERROR('Character Sheet'!IQ11+VLOOKUP(BA11,MaterialChart,5,FALSE),"")</f>
        <v>0</v>
      </c>
      <c r="BR11" s="4">
        <f t="shared" si="67"/>
        <v>0</v>
      </c>
      <c r="BS11" s="4">
        <f>IFERROR(VLOOKUP(BA11&amp;CU11,Armour!$B$4:$BP$99,4,FALSE)+(BG11)+(BN11)-((AV11)+(AZ11)),0)</f>
        <v>30</v>
      </c>
      <c r="BT11" s="4">
        <f t="shared" si="68"/>
        <v>1.1499999999999999</v>
      </c>
      <c r="BU11" s="4">
        <f t="shared" si="69"/>
        <v>2</v>
      </c>
      <c r="BV11" s="4">
        <f t="shared" si="70"/>
        <v>2</v>
      </c>
      <c r="BW11" s="4">
        <f>IFERROR(ROUNDUP((BE11*(BB11-AT11))+(BL11*(BI11-AX11))+(BT11*(((100+(BD11+IF(BE11=1,0,BK11))+(4*BR11))/100)))*'Character Sheet'!GT11,3),"")</f>
        <v>1.1499999999999999</v>
      </c>
      <c r="BX11" s="4" t="str">
        <f t="shared" si="38"/>
        <v>$1.15</v>
      </c>
      <c r="BY11" s="8" t="str">
        <f t="shared" si="39"/>
        <v>Groin, L Upper Leg, R Upper Leg, L Lower Leg, R Lower Leg</v>
      </c>
      <c r="BZ11" s="4">
        <f>IF(ISNUMBER(SEARCH(BZ$3,$BY11)),VLOOKUP($BA11&amp;$CU11,Armour!$B$4:$BP$99,67,FALSE),0)</f>
        <v>0</v>
      </c>
      <c r="CA11" s="4">
        <f>IF(ISNUMBER(SEARCH(CA$3,$BY11)),VLOOKUP($BA11&amp;$CU11,Armour!$B$4:$BP$99,67,FALSE),0)</f>
        <v>0</v>
      </c>
      <c r="CB11" s="4">
        <f>IF(ISNUMBER(SEARCH(CB$3,$BY11)),VLOOKUP($BA11&amp;$CU11,Armour!$B$4:$BP$99,67,FALSE),0)</f>
        <v>0</v>
      </c>
      <c r="CC11" s="4">
        <f>IF(ISNUMBER(SEARCH(CC$3,$BY11)),VLOOKUP($BA11&amp;$CU11,Armour!$B$4:$BP$99,67,FALSE),0)</f>
        <v>0</v>
      </c>
      <c r="CD11" s="4">
        <f>IF(ISNUMBER(SEARCH(CD$3,$BY11)),VLOOKUP($BA11&amp;$CU11,Armour!$B$4:$BP$99,67,FALSE),0)</f>
        <v>0</v>
      </c>
      <c r="CE11" s="4">
        <f>IF(ISNUMBER(SEARCH(CE$3,$BY11)),VLOOKUP($BA11&amp;$CU11,Armour!$B$4:$BP$99,67,FALSE),0)</f>
        <v>0</v>
      </c>
      <c r="CF11" s="4">
        <f>IF(ISNUMBER(SEARCH(CF$3,$BY11)),VLOOKUP($BA11&amp;$CU11,Armour!$B$4:$BP$99,67,FALSE),0)</f>
        <v>0</v>
      </c>
      <c r="CG11" s="4">
        <f>IF(ISNUMBER(SEARCH(CG$3,$BY11)),VLOOKUP($BA11&amp;$CU11,Armour!$B$4:$BP$99,67,FALSE),0)</f>
        <v>0</v>
      </c>
      <c r="CH11" s="4">
        <f>IF(ISNUMBER(SEARCH(CH$3,$BY11)),VLOOKUP($BA11&amp;$CU11,Armour!$B$4:$BP$99,67,FALSE),0)</f>
        <v>0</v>
      </c>
      <c r="CI11" s="4">
        <f>IF(ISNUMBER(SEARCH(CI$3,$BY11)),VLOOKUP($BA11&amp;$CU11,Armour!$B$4:$BP$99,67,FALSE),0)</f>
        <v>0</v>
      </c>
      <c r="CJ11" s="4">
        <f>IF(ISNUMBER(SEARCH(CJ$3,$BY11)),VLOOKUP($BA11&amp;$CU11,Armour!$B$4:$BP$99,67,FALSE),0)</f>
        <v>0</v>
      </c>
      <c r="CK11" s="4">
        <f>IF(ISNUMBER(SEARCH(CK$3,$BY11)),VLOOKUP($BA11&amp;$CU11,Armour!$B$4:$BP$99,67,FALSE),0)</f>
        <v>0</v>
      </c>
      <c r="CL11" s="4">
        <f>IF(ISNUMBER(SEARCH(CL$3,$BY11)),VLOOKUP($BA11&amp;$CU11,Armour!$B$4:$BP$99,67,FALSE),0)</f>
        <v>0</v>
      </c>
      <c r="CM11" s="4">
        <f>IF(ISNUMBER(SEARCH(CM$3,$BY11)),VLOOKUP($BA11&amp;$CU11,Armour!$B$4:$BP$99,67,FALSE),0)</f>
        <v>0</v>
      </c>
      <c r="CN11" s="4">
        <f>IF(ISNUMBER(SEARCH(CN$3,$BY11)),VLOOKUP($BA11&amp;$CU11,Armour!$B$4:$BP$99,67,FALSE),0)</f>
        <v>4</v>
      </c>
      <c r="CO11" s="4">
        <f>IF(ISNUMBER(SEARCH(CO$3,$BY11)),VLOOKUP($BA11&amp;$CU11,Armour!$B$4:$BP$99,67,FALSE),0)</f>
        <v>4</v>
      </c>
      <c r="CP11" s="4">
        <f>IF(ISNUMBER(SEARCH(CP$3,$BY11)),VLOOKUP($BA11&amp;$CU11,Armour!$B$4:$BP$99,67,FALSE),0)</f>
        <v>4</v>
      </c>
      <c r="CQ11" s="4">
        <f>IF(ISNUMBER(SEARCH(CQ$3,$BY11)),VLOOKUP($BA11&amp;$CU11,Armour!$B$4:$BP$99,67,FALSE),0)</f>
        <v>4</v>
      </c>
      <c r="CR11" s="4">
        <f>IF(ISNUMBER(SEARCH(CR$3,$BY11)),VLOOKUP($BA11&amp;$CU11,Armour!$B$4:$BP$99,67,FALSE),0)</f>
        <v>4</v>
      </c>
      <c r="CS11" s="4">
        <f>IF(ISNUMBER(SEARCH(CS$3,$BY11)),VLOOKUP($BA11&amp;$CU11,Armour!$B$4:$BP$99,67,FALSE),0)</f>
        <v>0</v>
      </c>
      <c r="CT11" s="4">
        <f>IF(ISNUMBER(SEARCH(CT$3,$BY11)),VLOOKUP($BA11&amp;$CU11,Armour!$B$4:$BP$99,67,FALSE),0)</f>
        <v>0</v>
      </c>
      <c r="CU11" s="4" t="str">
        <f t="shared" si="40"/>
        <v/>
      </c>
      <c r="CV11" s="4"/>
      <c r="CX11">
        <v>9</v>
      </c>
      <c r="CY11" s="3" t="str">
        <f>'Character Sheet'!B57</f>
        <v>L Upper Arm:</v>
      </c>
      <c r="CZ11" s="4">
        <f>MAX($CH$4:$CH$19)</f>
        <v>2</v>
      </c>
      <c r="DA11" t="str">
        <f>IFERROR(VLOOKUP(CZ11,Armour!$A$4:$B$99,2,FALSE),"No Armour")</f>
        <v>Light Cloth</v>
      </c>
      <c r="DC11">
        <v>9</v>
      </c>
      <c r="DD11" s="3" t="str">
        <f>'Character Sheet'!B136</f>
        <v>R Shoulder:</v>
      </c>
      <c r="DE11" s="4">
        <f>MAX($CH$83:$CH$116)</f>
        <v>0</v>
      </c>
      <c r="DF11" t="str">
        <f>IFERROR(VLOOKUP(DE11,Armour!$A$4:$B$99,2,FALSE),"No Armour")</f>
        <v>No Armour</v>
      </c>
      <c r="DH11" s="4" t="str">
        <f t="shared" si="41"/>
        <v/>
      </c>
      <c r="DI11">
        <v>9</v>
      </c>
      <c r="DJ11" s="3">
        <f>'Character Sheet'!FB29</f>
        <v>0</v>
      </c>
      <c r="DK11" s="4" t="str">
        <f t="shared" si="8"/>
        <v/>
      </c>
      <c r="DL11" s="4" t="str">
        <f>IFERROR(IF(DK11=0,"",VLOOKUP(DK11,Skills!$N$72:$AF$107,19,FALSE)),"")</f>
        <v/>
      </c>
      <c r="DM11" s="4">
        <f>IFERROR(VLOOKUP($DJ11,ItemChart,18,FALSE)+'Character Sheet'!IJ29,0)</f>
        <v>0</v>
      </c>
      <c r="DN11" s="4" t="str">
        <f t="shared" si="42"/>
        <v/>
      </c>
      <c r="DO11" s="4" t="str">
        <f>IFERROR(DN11+0.09,"")</f>
        <v/>
      </c>
      <c r="DP11" s="4">
        <f t="shared" si="43"/>
        <v>0</v>
      </c>
      <c r="DQ11" s="4">
        <f>IFERROR(IF(DR11=0,DQ10,DQ10+1),DQ10)</f>
        <v>2</v>
      </c>
      <c r="DR11" s="4" t="e">
        <f t="shared" si="9"/>
        <v>#N/A</v>
      </c>
      <c r="DS11" s="4">
        <f t="shared" si="45"/>
        <v>9</v>
      </c>
      <c r="DT11" s="4" t="str">
        <f t="shared" si="10"/>
        <v/>
      </c>
      <c r="DU11" s="4" t="str">
        <f t="shared" si="11"/>
        <v/>
      </c>
      <c r="DV11" s="4" t="e">
        <f>VLOOKUP((VLOOKUP((VLOOKUP('Character Creation'!$Z$11,RaceChart,20,FALSE)&amp;" "&amp;VLOOKUP('Character Creation'!$Z$11,RaceChart,21,FALSE)),Charts!$H$2:$J$14,3,FALSE)+DU11),Charts!$J$2:$N$14,5,FALSE)</f>
        <v>#VALUE!</v>
      </c>
      <c r="DW11" s="4" t="e">
        <f>VLOOKUP(DV11,Charts!$N$2:$Q$14,4,FALSE)</f>
        <v>#VALUE!</v>
      </c>
      <c r="DX11" s="4" t="str">
        <f t="shared" si="46"/>
        <v/>
      </c>
      <c r="DY11" s="4" t="str">
        <f t="shared" si="12"/>
        <v/>
      </c>
      <c r="DZ11" s="4" t="str">
        <f t="shared" si="13"/>
        <v/>
      </c>
      <c r="EA11" s="4" t="e">
        <f>ROUNDDOWN(VLOOKUP(DK11,Skills!$N$72:$S$107,6,FALSE)/5,0)</f>
        <v>#N/A</v>
      </c>
      <c r="EB11" s="4" t="str">
        <f t="shared" si="14"/>
        <v/>
      </c>
      <c r="EC11" s="4" t="str">
        <f t="shared" si="47"/>
        <v>+</v>
      </c>
      <c r="ED11" s="4" t="e">
        <f>VLOOKUP(DJ11,'Character Sheet'!$FB$21:$HQ$35,61,FALSE)</f>
        <v>#N/A</v>
      </c>
      <c r="EE11" s="4" t="str">
        <f t="shared" si="15"/>
        <v/>
      </c>
      <c r="EF11" s="4" t="str">
        <f t="shared" si="48"/>
        <v/>
      </c>
      <c r="EG11" s="4" t="e">
        <f>VLOOKUP(DR11,Items!$B$1156:$AA$1282,18,FALSE)</f>
        <v>#N/A</v>
      </c>
      <c r="EH11" s="4" t="e">
        <f>VLOOKUP(DJ11,'Character Sheet'!$E$26:$EZ$45,81,FALSE)</f>
        <v>#N/A</v>
      </c>
      <c r="EI11" s="4" t="e">
        <f>VLOOKUP(DJ11,'Character Sheet'!$E$26:$EZ$45,89,FALSE)</f>
        <v>#N/A</v>
      </c>
      <c r="EJ11" s="4" t="e">
        <f t="shared" si="49"/>
        <v>#N/A</v>
      </c>
      <c r="EL11" s="4">
        <f ca="1">IFERROR(VLOOKUP(EO11,Skills!$N$402:$S$440,6,FALSE),0)</f>
        <v>0</v>
      </c>
      <c r="EM11" s="4">
        <v>10</v>
      </c>
      <c r="EN11" s="4" t="s">
        <v>824</v>
      </c>
      <c r="EO11" s="8" t="str">
        <f ca="1">IFERROR(VLOOKUP(EM11,Skills!$C$405:$M$440,11,FALSE),"")</f>
        <v/>
      </c>
      <c r="EP11" s="4" t="str">
        <f t="shared" ca="1" si="71"/>
        <v/>
      </c>
      <c r="EQ11" s="4">
        <v>8.9999999999999993E-3</v>
      </c>
      <c r="ER11" s="4" t="str">
        <f t="shared" ca="1" si="16"/>
        <v/>
      </c>
      <c r="ES11" t="str">
        <f t="shared" ca="1" si="2"/>
        <v/>
      </c>
      <c r="ET11" s="4" t="e">
        <f ca="1">VLOOKUP(ES11,Skills!$N$405:$AG$440,20,FALSE)</f>
        <v>#N/A</v>
      </c>
    </row>
    <row r="12" spans="2:152" x14ac:dyDescent="0.25">
      <c r="B12" s="3" t="str">
        <f>'Character Sheet'!CO6</f>
        <v>Dime:</v>
      </c>
      <c r="C12" s="4">
        <f>'Character Sheet'!CY6</f>
        <v>4</v>
      </c>
      <c r="D12" s="115">
        <v>5.0000840999999997E-3</v>
      </c>
      <c r="E12" s="4">
        <f t="shared" si="72"/>
        <v>2.0000336399999999E-2</v>
      </c>
      <c r="P12">
        <v>11</v>
      </c>
      <c r="Q12" t="e">
        <f ca="1">VLOOKUP(P12,Skills!$F$2:$N$620,9,FALSE)</f>
        <v>#N/A</v>
      </c>
      <c r="R12" s="4" t="str">
        <f t="shared" ca="1" si="3"/>
        <v/>
      </c>
      <c r="S12" s="4" t="str">
        <f t="shared" ca="1" si="4"/>
        <v/>
      </c>
      <c r="T12" s="4">
        <f ca="1">IFERROR(VLOOKUP(Q12,'Character Creation'!$H$76:$CH$83,66,FALSE),0)</f>
        <v>0</v>
      </c>
      <c r="AC12" s="8" t="str">
        <f>IFERROR(VLOOKUP('Character Creation'!$CI25,Skills!$H$2:$N$620,6,FALSE),"")</f>
        <v/>
      </c>
      <c r="AD12" s="4">
        <f>'Character Creation'!EH25</f>
        <v>0</v>
      </c>
      <c r="AG12">
        <v>11</v>
      </c>
      <c r="AH12" s="4" t="str">
        <f t="shared" si="5"/>
        <v/>
      </c>
      <c r="AI12" t="str">
        <f>IFERROR(VLOOKUP(AG12,Skills!$B$2:$M$620,12,FALSE),"")</f>
        <v/>
      </c>
      <c r="AJ12" s="4" t="str">
        <f>IFERROR(VLOOKUP(AG12,Skills!$B$2:$AF$620,31,FALSE),"")</f>
        <v/>
      </c>
      <c r="AK12" s="4" t="str">
        <f t="shared" si="0"/>
        <v/>
      </c>
      <c r="AL12" s="4">
        <v>1.0999999999999999E-2</v>
      </c>
      <c r="AM12" s="62" t="str">
        <f t="shared" si="6"/>
        <v/>
      </c>
      <c r="AN12" t="str">
        <f t="shared" ca="1" si="7"/>
        <v/>
      </c>
      <c r="AO12" s="4" t="str">
        <f ca="1">IFERROR(VLOOKUP(AG12,$AH$2:$AJ$451,3,FALSE)&amp;IF(ISNUMBER(SEARCH(", Written",AN12))," -R"&amp;VLOOKUP(AN12,Skills!$M$2:$S$620,7,FALSE),IF(ISNUMBER(SEARCH(", Spoken",AN12))," -R"&amp;VLOOKUP(AN12,Skills!$M$2:$S$620,7,FALSE),"")),"")</f>
        <v/>
      </c>
      <c r="AQ12">
        <v>9</v>
      </c>
      <c r="AR12" s="8" t="str">
        <f>'Character Sheet'!FB12</f>
        <v>Vest, Leather</v>
      </c>
      <c r="AS12" s="4" t="str">
        <f t="shared" si="17"/>
        <v>Soft Leather</v>
      </c>
      <c r="AT12" s="4">
        <f t="shared" si="18"/>
        <v>0.05</v>
      </c>
      <c r="AU12" s="4">
        <f t="shared" si="50"/>
        <v>30</v>
      </c>
      <c r="AV12" s="4">
        <f t="shared" si="51"/>
        <v>0</v>
      </c>
      <c r="AW12" s="4" t="str">
        <f t="shared" si="52"/>
        <v>Light Cloth</v>
      </c>
      <c r="AX12" s="4">
        <f t="shared" si="22"/>
        <v>0.02</v>
      </c>
      <c r="AY12" s="4">
        <f t="shared" si="53"/>
        <v>10</v>
      </c>
      <c r="AZ12" s="4">
        <f t="shared" si="54"/>
        <v>0</v>
      </c>
      <c r="BA12" s="4" t="str">
        <f>IFERROR('Character Sheet'!JK12,"")</f>
        <v>Soft Leather</v>
      </c>
      <c r="BB12" s="4">
        <f t="shared" si="25"/>
        <v>0.05</v>
      </c>
      <c r="BC12" s="4">
        <f t="shared" si="55"/>
        <v>0</v>
      </c>
      <c r="BD12" s="4">
        <f t="shared" si="56"/>
        <v>0</v>
      </c>
      <c r="BE12" s="4">
        <f t="shared" si="57"/>
        <v>2.8499999999999996</v>
      </c>
      <c r="BF12" s="4">
        <f t="shared" si="58"/>
        <v>30</v>
      </c>
      <c r="BG12" s="4">
        <f t="shared" si="59"/>
        <v>0</v>
      </c>
      <c r="BH12" s="4" t="str">
        <f>IFERROR('Character Sheet'!KC12,"")</f>
        <v>Light Cloth</v>
      </c>
      <c r="BI12" s="4">
        <f t="shared" si="29"/>
        <v>0.02</v>
      </c>
      <c r="BJ12" s="4">
        <f t="shared" si="60"/>
        <v>0</v>
      </c>
      <c r="BK12" s="4">
        <f t="shared" si="61"/>
        <v>0</v>
      </c>
      <c r="BL12" s="4">
        <f t="shared" si="62"/>
        <v>0.15000000000000036</v>
      </c>
      <c r="BM12" s="4">
        <f t="shared" si="63"/>
        <v>10</v>
      </c>
      <c r="BN12" s="4">
        <f t="shared" si="64"/>
        <v>0</v>
      </c>
      <c r="BO12" s="4">
        <f t="shared" si="65"/>
        <v>0.95</v>
      </c>
      <c r="BP12" s="4">
        <f t="shared" si="66"/>
        <v>0</v>
      </c>
      <c r="BQ12" s="4">
        <f>IFERROR('Character Sheet'!IQ12+VLOOKUP(BA12,MaterialChart,5,FALSE),"")</f>
        <v>0</v>
      </c>
      <c r="BR12" s="4">
        <f t="shared" si="67"/>
        <v>0</v>
      </c>
      <c r="BS12" s="4">
        <f>IFERROR(VLOOKUP(BA12&amp;CU12,Armour!$B$4:$BP$99,4,FALSE)+(BG12)+(BN12)-((AV12)+(AZ12)),0)</f>
        <v>30</v>
      </c>
      <c r="BT12" s="4">
        <f t="shared" si="68"/>
        <v>2.75</v>
      </c>
      <c r="BU12" s="4">
        <f t="shared" si="69"/>
        <v>3</v>
      </c>
      <c r="BV12" s="4">
        <f t="shared" si="70"/>
        <v>3</v>
      </c>
      <c r="BW12" s="4">
        <f>IFERROR(ROUNDUP((BE12*(BB12-AT12))+(BL12*(BI12-AX12))+(BT12*(((100+(BD12+IF(BE12=1,0,BK12))+(4*BR12))/100)))*'Character Sheet'!GT12,3),"")</f>
        <v>2.75</v>
      </c>
      <c r="BX12" s="4" t="str">
        <f t="shared" si="38"/>
        <v>$2.75</v>
      </c>
      <c r="BY12" s="8" t="str">
        <f t="shared" si="39"/>
        <v>Chest, Abdomen, Back, Waist</v>
      </c>
      <c r="BZ12" s="4">
        <f>IF(ISNUMBER(SEARCH(BZ$3,$BY12)),VLOOKUP($BA12&amp;$CU12,Armour!$B$4:$BP$99,67,FALSE),0)</f>
        <v>0</v>
      </c>
      <c r="CA12" s="4">
        <f>IF(ISNUMBER(SEARCH(CA$3,$BY12)),VLOOKUP($BA12&amp;$CU12,Armour!$B$4:$BP$99,67,FALSE),0)</f>
        <v>0</v>
      </c>
      <c r="CB12" s="4">
        <f>IF(ISNUMBER(SEARCH(CB$3,$BY12)),VLOOKUP($BA12&amp;$CU12,Armour!$B$4:$BP$99,67,FALSE),0)</f>
        <v>6</v>
      </c>
      <c r="CC12" s="4">
        <f>IF(ISNUMBER(SEARCH(CC$3,$BY12)),VLOOKUP($BA12&amp;$CU12,Armour!$B$4:$BP$99,67,FALSE),0)</f>
        <v>6</v>
      </c>
      <c r="CD12" s="4">
        <f>IF(ISNUMBER(SEARCH(CD$3,$BY12)),VLOOKUP($BA12&amp;$CU12,Armour!$B$4:$BP$99,67,FALSE),0)</f>
        <v>6</v>
      </c>
      <c r="CE12" s="4">
        <f>IF(ISNUMBER(SEARCH(CE$3,$BY12)),VLOOKUP($BA12&amp;$CU12,Armour!$B$4:$BP$99,67,FALSE),0)</f>
        <v>6</v>
      </c>
      <c r="CF12" s="4">
        <f>IF(ISNUMBER(SEARCH(CF$3,$BY12)),VLOOKUP($BA12&amp;$CU12,Armour!$B$4:$BP$99,67,FALSE),0)</f>
        <v>0</v>
      </c>
      <c r="CG12" s="4">
        <f>IF(ISNUMBER(SEARCH(CG$3,$BY12)),VLOOKUP($BA12&amp;$CU12,Armour!$B$4:$BP$99,67,FALSE),0)</f>
        <v>0</v>
      </c>
      <c r="CH12" s="4">
        <f>IF(ISNUMBER(SEARCH(CH$3,$BY12)),VLOOKUP($BA12&amp;$CU12,Armour!$B$4:$BP$99,67,FALSE),0)</f>
        <v>0</v>
      </c>
      <c r="CI12" s="4">
        <f>IF(ISNUMBER(SEARCH(CI$3,$BY12)),VLOOKUP($BA12&amp;$CU12,Armour!$B$4:$BP$99,67,FALSE),0)</f>
        <v>0</v>
      </c>
      <c r="CJ12" s="4">
        <f>IF(ISNUMBER(SEARCH(CJ$3,$BY12)),VLOOKUP($BA12&amp;$CU12,Armour!$B$4:$BP$99,67,FALSE),0)</f>
        <v>0</v>
      </c>
      <c r="CK12" s="4">
        <f>IF(ISNUMBER(SEARCH(CK$3,$BY12)),VLOOKUP($BA12&amp;$CU12,Armour!$B$4:$BP$99,67,FALSE),0)</f>
        <v>0</v>
      </c>
      <c r="CL12" s="4">
        <f>IF(ISNUMBER(SEARCH(CL$3,$BY12)),VLOOKUP($BA12&amp;$CU12,Armour!$B$4:$BP$99,67,FALSE),0)</f>
        <v>0</v>
      </c>
      <c r="CM12" s="4">
        <f>IF(ISNUMBER(SEARCH(CM$3,$BY12)),VLOOKUP($BA12&amp;$CU12,Armour!$B$4:$BP$99,67,FALSE),0)</f>
        <v>0</v>
      </c>
      <c r="CN12" s="4">
        <f>IF(ISNUMBER(SEARCH(CN$3,$BY12)),VLOOKUP($BA12&amp;$CU12,Armour!$B$4:$BP$99,67,FALSE),0)</f>
        <v>0</v>
      </c>
      <c r="CO12" s="4">
        <f>IF(ISNUMBER(SEARCH(CO$3,$BY12)),VLOOKUP($BA12&amp;$CU12,Armour!$B$4:$BP$99,67,FALSE),0)</f>
        <v>0</v>
      </c>
      <c r="CP12" s="4">
        <f>IF(ISNUMBER(SEARCH(CP$3,$BY12)),VLOOKUP($BA12&amp;$CU12,Armour!$B$4:$BP$99,67,FALSE),0)</f>
        <v>0</v>
      </c>
      <c r="CQ12" s="4">
        <f>IF(ISNUMBER(SEARCH(CQ$3,$BY12)),VLOOKUP($BA12&amp;$CU12,Armour!$B$4:$BP$99,67,FALSE),0)</f>
        <v>0</v>
      </c>
      <c r="CR12" s="4">
        <f>IF(ISNUMBER(SEARCH(CR$3,$BY12)),VLOOKUP($BA12&amp;$CU12,Armour!$B$4:$BP$99,67,FALSE),0)</f>
        <v>0</v>
      </c>
      <c r="CS12" s="4">
        <f>IF(ISNUMBER(SEARCH(CS$3,$BY12)),VLOOKUP($BA12&amp;$CU12,Armour!$B$4:$BP$99,67,FALSE),0)</f>
        <v>0</v>
      </c>
      <c r="CT12" s="4">
        <f>IF(ISNUMBER(SEARCH(CT$3,$BY12)),VLOOKUP($BA12&amp;$CU12,Armour!$B$4:$BP$99,67,FALSE),0)</f>
        <v>0</v>
      </c>
      <c r="CU12" s="4" t="str">
        <f t="shared" si="40"/>
        <v/>
      </c>
      <c r="CV12" s="4"/>
      <c r="CX12">
        <v>10</v>
      </c>
      <c r="CY12" s="3" t="str">
        <f>'Character Sheet'!B58</f>
        <v>R Upper Arm:</v>
      </c>
      <c r="CZ12" s="4">
        <f>MAX($CI$4:$CI$19)</f>
        <v>2</v>
      </c>
      <c r="DA12" t="str">
        <f>IFERROR(VLOOKUP(CZ12,Armour!$A$4:$B$99,2,FALSE),"No Armour")</f>
        <v>Light Cloth</v>
      </c>
      <c r="DC12">
        <v>10</v>
      </c>
      <c r="DD12" s="3" t="str">
        <f>'Character Sheet'!B137</f>
        <v>L Front Upper Leg:</v>
      </c>
      <c r="DE12" s="4">
        <f>MAX($CI$83:$CI$116)</f>
        <v>0</v>
      </c>
      <c r="DF12" t="str">
        <f>IFERROR(VLOOKUP(DE12,Armour!$A$4:$B$99,2,FALSE),"No Armour")</f>
        <v>No Armour</v>
      </c>
      <c r="DH12" s="4" t="str">
        <f t="shared" si="41"/>
        <v/>
      </c>
      <c r="DI12">
        <v>10</v>
      </c>
      <c r="DJ12" s="3">
        <f>'Character Sheet'!FB30</f>
        <v>0</v>
      </c>
      <c r="DK12" s="4" t="str">
        <f t="shared" si="8"/>
        <v/>
      </c>
      <c r="DL12" s="4" t="str">
        <f>IFERROR(IF(DK12=0,"",VLOOKUP(DK12,Skills!$N$72:$AF$107,19,FALSE)),"")</f>
        <v/>
      </c>
      <c r="DM12" s="4">
        <f>IFERROR(VLOOKUP($DJ12,ItemChart,18,FALSE)+'Character Sheet'!IJ30,0)</f>
        <v>0</v>
      </c>
      <c r="DN12" s="4" t="str">
        <f t="shared" si="42"/>
        <v/>
      </c>
      <c r="DO12" s="4" t="str">
        <f>IFERROR(DN12+0.1,"")</f>
        <v/>
      </c>
      <c r="DP12" s="4">
        <f t="shared" si="43"/>
        <v>0</v>
      </c>
      <c r="DQ12" s="4">
        <f t="shared" ref="DQ12:DQ17" si="73">IFERROR(IF(DR12=0,DQ11,DQ11+1),DQ11)</f>
        <v>2</v>
      </c>
      <c r="DR12" s="4" t="e">
        <f t="shared" si="9"/>
        <v>#N/A</v>
      </c>
      <c r="DS12" s="4">
        <f t="shared" si="45"/>
        <v>10</v>
      </c>
      <c r="DT12" s="4" t="str">
        <f t="shared" si="10"/>
        <v/>
      </c>
      <c r="DU12" s="4" t="str">
        <f t="shared" si="11"/>
        <v/>
      </c>
      <c r="DV12" s="4" t="e">
        <f>VLOOKUP((VLOOKUP((VLOOKUP('Character Creation'!$Z$11,RaceChart,20,FALSE)&amp;" "&amp;VLOOKUP('Character Creation'!$Z$11,RaceChart,21,FALSE)),Charts!$H$2:$J$14,3,FALSE)+DU12),Charts!$J$2:$N$14,5,FALSE)</f>
        <v>#VALUE!</v>
      </c>
      <c r="DW12" s="4" t="e">
        <f>VLOOKUP(DV12,Charts!$N$2:$Q$14,4,FALSE)</f>
        <v>#VALUE!</v>
      </c>
      <c r="DX12" s="4" t="str">
        <f t="shared" si="46"/>
        <v/>
      </c>
      <c r="DY12" s="4" t="str">
        <f t="shared" si="12"/>
        <v/>
      </c>
      <c r="DZ12" s="4" t="str">
        <f t="shared" si="13"/>
        <v/>
      </c>
      <c r="EA12" s="4" t="e">
        <f>ROUNDDOWN(VLOOKUP(DK12,Skills!$N$72:$S$107,6,FALSE)/5,0)</f>
        <v>#N/A</v>
      </c>
      <c r="EB12" s="4" t="str">
        <f t="shared" si="14"/>
        <v/>
      </c>
      <c r="EC12" s="4" t="str">
        <f t="shared" si="47"/>
        <v>+</v>
      </c>
      <c r="ED12" s="4" t="e">
        <f>VLOOKUP(DJ12,'Character Sheet'!$FB$21:$HQ$35,61,FALSE)</f>
        <v>#N/A</v>
      </c>
      <c r="EE12" s="4" t="str">
        <f t="shared" si="15"/>
        <v/>
      </c>
      <c r="EF12" s="4" t="str">
        <f t="shared" si="48"/>
        <v/>
      </c>
      <c r="EG12" s="4" t="e">
        <f>VLOOKUP(DR12,Items!$B$1156:$AA$1282,18,FALSE)</f>
        <v>#N/A</v>
      </c>
      <c r="EH12" s="4" t="e">
        <f>VLOOKUP(DJ12,'Character Sheet'!$E$26:$EZ$45,81,FALSE)</f>
        <v>#N/A</v>
      </c>
      <c r="EI12" s="4" t="e">
        <f>VLOOKUP(DJ12,'Character Sheet'!$E$26:$EZ$45,89,FALSE)</f>
        <v>#N/A</v>
      </c>
      <c r="EJ12" s="4" t="e">
        <f t="shared" si="49"/>
        <v>#N/A</v>
      </c>
      <c r="EL12" s="4">
        <f ca="1">IFERROR(VLOOKUP(EO12,Skills!$N$402:$S$440,6,FALSE),0)</f>
        <v>0</v>
      </c>
      <c r="EM12" s="4">
        <v>11</v>
      </c>
      <c r="EN12" s="4" t="s">
        <v>824</v>
      </c>
      <c r="EO12" s="8" t="str">
        <f ca="1">IFERROR(VLOOKUP(EM12,Skills!$C$405:$M$440,11,FALSE),"")</f>
        <v/>
      </c>
      <c r="EP12" s="4" t="str">
        <f t="shared" ca="1" si="71"/>
        <v/>
      </c>
      <c r="EQ12" s="4">
        <v>0.01</v>
      </c>
      <c r="ER12" s="4" t="str">
        <f t="shared" ca="1" si="16"/>
        <v/>
      </c>
      <c r="ES12" t="str">
        <f t="shared" ca="1" si="2"/>
        <v/>
      </c>
      <c r="ET12" s="4" t="e">
        <f ca="1">VLOOKUP(ES12,Skills!$N$405:$AG$440,20,FALSE)</f>
        <v>#N/A</v>
      </c>
    </row>
    <row r="13" spans="2:152" x14ac:dyDescent="0.25">
      <c r="B13" s="3" t="str">
        <f>'Character Sheet'!CO7</f>
        <v>Five-Cent:</v>
      </c>
      <c r="C13" s="4">
        <f>'Character Sheet'!CY7</f>
        <v>1</v>
      </c>
      <c r="D13" s="115">
        <v>1.1023113100000001E-2</v>
      </c>
      <c r="E13" s="4">
        <f t="shared" si="72"/>
        <v>1.1023113100000001E-2</v>
      </c>
      <c r="P13">
        <v>12</v>
      </c>
      <c r="Q13" t="e">
        <f ca="1">VLOOKUP(P13,Skills!$F$2:$N$620,9,FALSE)</f>
        <v>#N/A</v>
      </c>
      <c r="R13" s="4" t="str">
        <f t="shared" ca="1" si="3"/>
        <v/>
      </c>
      <c r="S13" s="4" t="str">
        <f t="shared" ca="1" si="4"/>
        <v/>
      </c>
      <c r="T13" s="4">
        <f ca="1">IFERROR(VLOOKUP(Q13,'Character Creation'!$H$76:$CH$83,66,FALSE),0)</f>
        <v>0</v>
      </c>
      <c r="AC13" s="8" t="str">
        <f>IFERROR(VLOOKUP('Character Creation'!$CI26,Skills!$H$2:$N$620,6,FALSE),"")</f>
        <v/>
      </c>
      <c r="AD13" s="4">
        <f>'Character Creation'!EH26</f>
        <v>0</v>
      </c>
      <c r="AG13">
        <v>12</v>
      </c>
      <c r="AH13" s="4" t="str">
        <f t="shared" si="5"/>
        <v/>
      </c>
      <c r="AI13" t="str">
        <f>IFERROR(VLOOKUP(AG13,Skills!$B$2:$M$620,12,FALSE),"")</f>
        <v/>
      </c>
      <c r="AJ13" s="4" t="str">
        <f>IFERROR(VLOOKUP(AG13,Skills!$B$2:$AF$620,31,FALSE),"")</f>
        <v/>
      </c>
      <c r="AK13" s="4" t="str">
        <f t="shared" si="0"/>
        <v/>
      </c>
      <c r="AL13" s="4">
        <v>1.2E-2</v>
      </c>
      <c r="AM13" s="62" t="str">
        <f t="shared" si="6"/>
        <v/>
      </c>
      <c r="AN13" t="str">
        <f t="shared" ca="1" si="7"/>
        <v/>
      </c>
      <c r="AO13" s="4" t="str">
        <f ca="1">IFERROR(VLOOKUP(AG13,$AH$2:$AJ$451,3,FALSE)&amp;IF(ISNUMBER(SEARCH(", Written",AN13))," -R"&amp;VLOOKUP(AN13,Skills!$M$2:$S$620,7,FALSE),IF(ISNUMBER(SEARCH(", Spoken",AN13))," -R"&amp;VLOOKUP(AN13,Skills!$M$2:$S$620,7,FALSE),"")),"")</f>
        <v/>
      </c>
      <c r="AQ13">
        <v>10</v>
      </c>
      <c r="AR13" s="8">
        <f>'Character Sheet'!FB13</f>
        <v>0</v>
      </c>
      <c r="AS13" s="4" t="str">
        <f t="shared" si="17"/>
        <v/>
      </c>
      <c r="AT13" s="4" t="str">
        <f t="shared" si="18"/>
        <v/>
      </c>
      <c r="AU13" s="4" t="str">
        <f t="shared" si="50"/>
        <v/>
      </c>
      <c r="AV13" s="4" t="str">
        <f t="shared" si="51"/>
        <v/>
      </c>
      <c r="AW13" s="4" t="str">
        <f t="shared" si="52"/>
        <v/>
      </c>
      <c r="AX13" s="4" t="str">
        <f t="shared" si="22"/>
        <v/>
      </c>
      <c r="AY13" s="4" t="str">
        <f t="shared" si="53"/>
        <v/>
      </c>
      <c r="AZ13" s="4" t="str">
        <f t="shared" si="54"/>
        <v/>
      </c>
      <c r="BA13" s="4" t="str">
        <f>IFERROR('Character Sheet'!JK13,"")</f>
        <v/>
      </c>
      <c r="BB13" s="4" t="str">
        <f t="shared" si="25"/>
        <v/>
      </c>
      <c r="BC13" s="4" t="str">
        <f t="shared" si="55"/>
        <v/>
      </c>
      <c r="BD13" s="4" t="str">
        <f t="shared" si="56"/>
        <v/>
      </c>
      <c r="BE13" s="4" t="str">
        <f t="shared" si="57"/>
        <v/>
      </c>
      <c r="BF13" s="4" t="str">
        <f t="shared" si="58"/>
        <v/>
      </c>
      <c r="BG13" s="4" t="str">
        <f t="shared" si="59"/>
        <v/>
      </c>
      <c r="BH13" s="4" t="str">
        <f>IFERROR('Character Sheet'!KC13,"")</f>
        <v/>
      </c>
      <c r="BI13" s="4" t="str">
        <f t="shared" si="29"/>
        <v/>
      </c>
      <c r="BJ13" s="4" t="str">
        <f t="shared" si="60"/>
        <v/>
      </c>
      <c r="BK13" s="4" t="str">
        <f t="shared" si="61"/>
        <v/>
      </c>
      <c r="BL13" s="4" t="str">
        <f t="shared" si="62"/>
        <v/>
      </c>
      <c r="BM13" s="4" t="str">
        <f t="shared" si="63"/>
        <v/>
      </c>
      <c r="BN13" s="4" t="str">
        <f t="shared" si="64"/>
        <v/>
      </c>
      <c r="BO13" s="4" t="str">
        <f t="shared" si="65"/>
        <v/>
      </c>
      <c r="BP13" s="4" t="str">
        <f t="shared" si="66"/>
        <v/>
      </c>
      <c r="BQ13" s="4" t="str">
        <f>IFERROR('Character Sheet'!IQ13+VLOOKUP(BA13,MaterialChart,5,FALSE),"")</f>
        <v/>
      </c>
      <c r="BR13" s="4" t="str">
        <f t="shared" si="67"/>
        <v/>
      </c>
      <c r="BS13" s="4">
        <f>IFERROR(VLOOKUP(BA13&amp;CU13,Armour!$B$4:$BP$99,4,FALSE)+(BG13)+(BN13)-((AV13)+(AZ13)),0)</f>
        <v>0</v>
      </c>
      <c r="BT13" s="4" t="str">
        <f t="shared" si="68"/>
        <v/>
      </c>
      <c r="BU13" s="4" t="str">
        <f t="shared" si="69"/>
        <v/>
      </c>
      <c r="BV13" s="4" t="str">
        <f t="shared" si="70"/>
        <v/>
      </c>
      <c r="BW13" s="4" t="str">
        <f>IFERROR(ROUNDUP((BE13*(BB13-AT13))+(BL13*(BI13-AX13))+(BT13*(((100+(BD13+IF(BE13=1,0,BK13))+(4*BR13))/100)))*'Character Sheet'!GT13,3),"")</f>
        <v/>
      </c>
      <c r="BX13" s="4" t="str">
        <f t="shared" si="38"/>
        <v/>
      </c>
      <c r="BY13" s="8" t="str">
        <f t="shared" si="39"/>
        <v/>
      </c>
      <c r="BZ13" s="4">
        <f>IF(ISNUMBER(SEARCH(BZ$3,$BY13)),VLOOKUP($BA13&amp;$CU13,Armour!$B$4:$BP$99,67,FALSE),0)</f>
        <v>0</v>
      </c>
      <c r="CA13" s="4">
        <f>IF(ISNUMBER(SEARCH(CA$3,$BY13)),VLOOKUP($BA13&amp;$CU13,Armour!$B$4:$BP$99,67,FALSE),0)</f>
        <v>0</v>
      </c>
      <c r="CB13" s="4">
        <f>IF(ISNUMBER(SEARCH(CB$3,$BY13)),VLOOKUP($BA13&amp;$CU13,Armour!$B$4:$BP$99,67,FALSE),0)</f>
        <v>0</v>
      </c>
      <c r="CC13" s="4">
        <f>IF(ISNUMBER(SEARCH(CC$3,$BY13)),VLOOKUP($BA13&amp;$CU13,Armour!$B$4:$BP$99,67,FALSE),0)</f>
        <v>0</v>
      </c>
      <c r="CD13" s="4">
        <f>IF(ISNUMBER(SEARCH(CD$3,$BY13)),VLOOKUP($BA13&amp;$CU13,Armour!$B$4:$BP$99,67,FALSE),0)</f>
        <v>0</v>
      </c>
      <c r="CE13" s="4">
        <f>IF(ISNUMBER(SEARCH(CE$3,$BY13)),VLOOKUP($BA13&amp;$CU13,Armour!$B$4:$BP$99,67,FALSE),0)</f>
        <v>0</v>
      </c>
      <c r="CF13" s="4">
        <f>IF(ISNUMBER(SEARCH(CF$3,$BY13)),VLOOKUP($BA13&amp;$CU13,Armour!$B$4:$BP$99,67,FALSE),0)</f>
        <v>0</v>
      </c>
      <c r="CG13" s="4">
        <f>IF(ISNUMBER(SEARCH(CG$3,$BY13)),VLOOKUP($BA13&amp;$CU13,Armour!$B$4:$BP$99,67,FALSE),0)</f>
        <v>0</v>
      </c>
      <c r="CH13" s="4">
        <f>IF(ISNUMBER(SEARCH(CH$3,$BY13)),VLOOKUP($BA13&amp;$CU13,Armour!$B$4:$BP$99,67,FALSE),0)</f>
        <v>0</v>
      </c>
      <c r="CI13" s="4">
        <f>IF(ISNUMBER(SEARCH(CI$3,$BY13)),VLOOKUP($BA13&amp;$CU13,Armour!$B$4:$BP$99,67,FALSE),0)</f>
        <v>0</v>
      </c>
      <c r="CJ13" s="4">
        <f>IF(ISNUMBER(SEARCH(CJ$3,$BY13)),VLOOKUP($BA13&amp;$CU13,Armour!$B$4:$BP$99,67,FALSE),0)</f>
        <v>0</v>
      </c>
      <c r="CK13" s="4">
        <f>IF(ISNUMBER(SEARCH(CK$3,$BY13)),VLOOKUP($BA13&amp;$CU13,Armour!$B$4:$BP$99,67,FALSE),0)</f>
        <v>0</v>
      </c>
      <c r="CL13" s="4">
        <f>IF(ISNUMBER(SEARCH(CL$3,$BY13)),VLOOKUP($BA13&amp;$CU13,Armour!$B$4:$BP$99,67,FALSE),0)</f>
        <v>0</v>
      </c>
      <c r="CM13" s="4">
        <f>IF(ISNUMBER(SEARCH(CM$3,$BY13)),VLOOKUP($BA13&amp;$CU13,Armour!$B$4:$BP$99,67,FALSE),0)</f>
        <v>0</v>
      </c>
      <c r="CN13" s="4">
        <f>IF(ISNUMBER(SEARCH(CN$3,$BY13)),VLOOKUP($BA13&amp;$CU13,Armour!$B$4:$BP$99,67,FALSE),0)</f>
        <v>0</v>
      </c>
      <c r="CO13" s="4">
        <f>IF(ISNUMBER(SEARCH(CO$3,$BY13)),VLOOKUP($BA13&amp;$CU13,Armour!$B$4:$BP$99,67,FALSE),0)</f>
        <v>0</v>
      </c>
      <c r="CP13" s="4">
        <f>IF(ISNUMBER(SEARCH(CP$3,$BY13)),VLOOKUP($BA13&amp;$CU13,Armour!$B$4:$BP$99,67,FALSE),0)</f>
        <v>0</v>
      </c>
      <c r="CQ13" s="4">
        <f>IF(ISNUMBER(SEARCH(CQ$3,$BY13)),VLOOKUP($BA13&amp;$CU13,Armour!$B$4:$BP$99,67,FALSE),0)</f>
        <v>0</v>
      </c>
      <c r="CR13" s="4">
        <f>IF(ISNUMBER(SEARCH(CR$3,$BY13)),VLOOKUP($BA13&amp;$CU13,Armour!$B$4:$BP$99,67,FALSE),0)</f>
        <v>0</v>
      </c>
      <c r="CS13" s="4">
        <f>IF(ISNUMBER(SEARCH(CS$3,$BY13)),VLOOKUP($BA13&amp;$CU13,Armour!$B$4:$BP$99,67,FALSE),0)</f>
        <v>0</v>
      </c>
      <c r="CT13" s="4">
        <f>IF(ISNUMBER(SEARCH(CT$3,$BY13)),VLOOKUP($BA13&amp;$CU13,Armour!$B$4:$BP$99,67,FALSE),0)</f>
        <v>0</v>
      </c>
      <c r="CU13" s="4" t="e">
        <f t="shared" si="40"/>
        <v>#N/A</v>
      </c>
      <c r="CV13" s="4"/>
      <c r="CX13">
        <v>11</v>
      </c>
      <c r="CY13" s="3" t="str">
        <f>'Character Sheet'!B59</f>
        <v>L Lower Arm:</v>
      </c>
      <c r="CZ13" s="4">
        <f>MAX($CJ$4:$CJ$19)</f>
        <v>0</v>
      </c>
      <c r="DA13" t="str">
        <f>IFERROR(VLOOKUP(CZ13,Armour!$A$4:$B$99,2,FALSE),"No Armour")</f>
        <v>No Armour</v>
      </c>
      <c r="DC13">
        <v>11</v>
      </c>
      <c r="DD13" s="3" t="str">
        <f>'Character Sheet'!B138</f>
        <v>R Front Upper Leg:</v>
      </c>
      <c r="DE13" s="4">
        <f>MAX($CJ$83:$CJ$116)</f>
        <v>0</v>
      </c>
      <c r="DF13" t="str">
        <f>IFERROR(VLOOKUP(DE13,Armour!$A$4:$B$99,2,FALSE),"No Armour")</f>
        <v>No Armour</v>
      </c>
      <c r="DH13" s="4" t="str">
        <f t="shared" si="41"/>
        <v/>
      </c>
      <c r="DI13">
        <v>11</v>
      </c>
      <c r="DJ13" s="3">
        <f>'Character Sheet'!FB31</f>
        <v>0</v>
      </c>
      <c r="DK13" s="4" t="str">
        <f t="shared" si="8"/>
        <v/>
      </c>
      <c r="DL13" s="4" t="str">
        <f>IFERROR(IF(DK13=0,"",VLOOKUP(DK13,Skills!$N$72:$AF$107,19,FALSE)),"")</f>
        <v/>
      </c>
      <c r="DM13" s="4">
        <f>IFERROR(VLOOKUP($DJ13,ItemChart,18,FALSE)+'Character Sheet'!IJ31,0)</f>
        <v>0</v>
      </c>
      <c r="DN13" s="4" t="str">
        <f t="shared" si="42"/>
        <v/>
      </c>
      <c r="DO13" s="4" t="str">
        <f>IFERROR(DN13+0.11,"")</f>
        <v/>
      </c>
      <c r="DP13" s="4">
        <f t="shared" si="43"/>
        <v>0</v>
      </c>
      <c r="DQ13" s="4">
        <f t="shared" si="73"/>
        <v>2</v>
      </c>
      <c r="DR13" s="4" t="e">
        <f t="shared" si="9"/>
        <v>#N/A</v>
      </c>
      <c r="DS13" s="4">
        <f t="shared" si="45"/>
        <v>11</v>
      </c>
      <c r="DT13" s="4" t="str">
        <f t="shared" si="10"/>
        <v/>
      </c>
      <c r="DU13" s="4" t="str">
        <f t="shared" si="11"/>
        <v/>
      </c>
      <c r="DV13" s="4" t="e">
        <f>VLOOKUP((VLOOKUP((VLOOKUP('Character Creation'!$Z$11,RaceChart,20,FALSE)&amp;" "&amp;VLOOKUP('Character Creation'!$Z$11,RaceChart,21,FALSE)),Charts!$H$2:$J$14,3,FALSE)+DU13),Charts!$J$2:$N$14,5,FALSE)</f>
        <v>#VALUE!</v>
      </c>
      <c r="DW13" s="4" t="e">
        <f>VLOOKUP(DV13,Charts!$N$2:$Q$14,4,FALSE)</f>
        <v>#VALUE!</v>
      </c>
      <c r="DX13" s="4" t="str">
        <f t="shared" si="46"/>
        <v/>
      </c>
      <c r="DY13" s="4" t="str">
        <f t="shared" si="12"/>
        <v/>
      </c>
      <c r="DZ13" s="4" t="str">
        <f t="shared" si="13"/>
        <v/>
      </c>
      <c r="EA13" s="4" t="e">
        <f>ROUNDDOWN(VLOOKUP(DK13,Skills!$N$72:$S$107,6,FALSE)/5,0)</f>
        <v>#N/A</v>
      </c>
      <c r="EB13" s="4" t="str">
        <f t="shared" si="14"/>
        <v/>
      </c>
      <c r="EC13" s="4" t="str">
        <f t="shared" si="47"/>
        <v>+</v>
      </c>
      <c r="ED13" s="4" t="e">
        <f>VLOOKUP(DJ13,'Character Sheet'!$FB$21:$HQ$35,61,FALSE)</f>
        <v>#N/A</v>
      </c>
      <c r="EE13" s="4" t="str">
        <f t="shared" si="15"/>
        <v/>
      </c>
      <c r="EF13" s="4" t="str">
        <f t="shared" si="48"/>
        <v/>
      </c>
      <c r="EG13" s="4" t="e">
        <f>VLOOKUP(DR13,Items!$B$1156:$AA$1282,18,FALSE)</f>
        <v>#N/A</v>
      </c>
      <c r="EH13" s="4" t="e">
        <f>VLOOKUP(DJ13,'Character Sheet'!$E$26:$EZ$45,81,FALSE)</f>
        <v>#N/A</v>
      </c>
      <c r="EI13" s="4" t="e">
        <f>VLOOKUP(DJ13,'Character Sheet'!$E$26:$EZ$45,89,FALSE)</f>
        <v>#N/A</v>
      </c>
      <c r="EJ13" s="4" t="e">
        <f t="shared" si="49"/>
        <v>#N/A</v>
      </c>
      <c r="EL13" s="4">
        <f ca="1">IFERROR(VLOOKUP(EO13,Skills!$N$402:$S$440,6,FALSE),0)</f>
        <v>0</v>
      </c>
      <c r="EM13" s="4">
        <v>12</v>
      </c>
      <c r="EN13" s="4" t="s">
        <v>824</v>
      </c>
      <c r="EO13" s="8" t="str">
        <f ca="1">IFERROR(VLOOKUP(EM13,Skills!$C$405:$M$440,11,FALSE),"")</f>
        <v/>
      </c>
      <c r="EP13" s="4" t="str">
        <f t="shared" ca="1" si="71"/>
        <v/>
      </c>
      <c r="EQ13" s="4">
        <v>1.0999999999999999E-2</v>
      </c>
      <c r="ER13" s="4" t="str">
        <f t="shared" ca="1" si="16"/>
        <v/>
      </c>
      <c r="ES13" t="str">
        <f t="shared" ca="1" si="2"/>
        <v/>
      </c>
      <c r="ET13" s="4" t="e">
        <f ca="1">VLOOKUP(ES13,Skills!$N$405:$AG$440,20,FALSE)</f>
        <v>#N/A</v>
      </c>
    </row>
    <row r="14" spans="2:152" x14ac:dyDescent="0.25">
      <c r="B14" s="3" t="str">
        <f>'Character Sheet'!CO8</f>
        <v>3¢ Nickel:</v>
      </c>
      <c r="C14" s="4">
        <f>'Character Sheet'!CY8</f>
        <v>2</v>
      </c>
      <c r="D14" s="115">
        <v>4.2769679000000003E-3</v>
      </c>
      <c r="E14" s="4">
        <f t="shared" si="72"/>
        <v>8.5539358000000006E-3</v>
      </c>
      <c r="P14">
        <v>13</v>
      </c>
      <c r="Q14" t="e">
        <f ca="1">VLOOKUP(P14,Skills!$F$2:$N$620,9,FALSE)</f>
        <v>#N/A</v>
      </c>
      <c r="R14" s="4" t="str">
        <f t="shared" ca="1" si="3"/>
        <v/>
      </c>
      <c r="S14" s="4" t="str">
        <f t="shared" ca="1" si="4"/>
        <v/>
      </c>
      <c r="T14" s="4">
        <f ca="1">IFERROR(VLOOKUP(Q14,'Character Creation'!$H$76:$CH$83,66,FALSE),0)</f>
        <v>0</v>
      </c>
      <c r="AC14" s="8" t="str">
        <f>IFERROR(VLOOKUP('Character Creation'!$CI27,Skills!$H$2:$N$620,6,FALSE),"")</f>
        <v/>
      </c>
      <c r="AD14" s="4">
        <f>'Character Creation'!EH27</f>
        <v>0</v>
      </c>
      <c r="AG14">
        <v>13</v>
      </c>
      <c r="AH14" s="4" t="str">
        <f t="shared" si="5"/>
        <v/>
      </c>
      <c r="AI14" t="str">
        <f>IFERROR(VLOOKUP(AG14,Skills!$B$2:$M$620,12,FALSE),"")</f>
        <v/>
      </c>
      <c r="AJ14" s="4" t="str">
        <f>IFERROR(VLOOKUP(AG14,Skills!$B$2:$AF$620,31,FALSE),"")</f>
        <v/>
      </c>
      <c r="AK14" s="4" t="str">
        <f t="shared" si="0"/>
        <v/>
      </c>
      <c r="AL14" s="4">
        <v>1.2999999999999999E-2</v>
      </c>
      <c r="AM14" s="62" t="str">
        <f t="shared" si="6"/>
        <v/>
      </c>
      <c r="AN14" t="str">
        <f t="shared" ca="1" si="7"/>
        <v/>
      </c>
      <c r="AO14" s="4" t="str">
        <f ca="1">IFERROR(VLOOKUP(AG14,$AH$2:$AJ$451,3,FALSE)&amp;IF(ISNUMBER(SEARCH(", Written",AN14))," -R"&amp;VLOOKUP(AN14,Skills!$M$2:$S$620,7,FALSE),IF(ISNUMBER(SEARCH(", Spoken",AN14))," -R"&amp;VLOOKUP(AN14,Skills!$M$2:$S$620,7,FALSE),"")),"")</f>
        <v/>
      </c>
      <c r="AQ14">
        <v>11</v>
      </c>
      <c r="AR14" s="8">
        <f>'Character Sheet'!FB14</f>
        <v>0</v>
      </c>
      <c r="AS14" s="4" t="str">
        <f t="shared" si="17"/>
        <v/>
      </c>
      <c r="AT14" s="4" t="str">
        <f t="shared" si="18"/>
        <v/>
      </c>
      <c r="AU14" s="4" t="str">
        <f t="shared" si="50"/>
        <v/>
      </c>
      <c r="AV14" s="4" t="str">
        <f t="shared" si="51"/>
        <v/>
      </c>
      <c r="AW14" s="4" t="str">
        <f t="shared" si="52"/>
        <v/>
      </c>
      <c r="AX14" s="4" t="str">
        <f t="shared" si="22"/>
        <v/>
      </c>
      <c r="AY14" s="4" t="str">
        <f t="shared" si="53"/>
        <v/>
      </c>
      <c r="AZ14" s="4" t="str">
        <f t="shared" si="54"/>
        <v/>
      </c>
      <c r="BA14" s="4" t="str">
        <f>IFERROR('Character Sheet'!JK14,"")</f>
        <v/>
      </c>
      <c r="BB14" s="4" t="str">
        <f t="shared" si="25"/>
        <v/>
      </c>
      <c r="BC14" s="4" t="str">
        <f t="shared" si="55"/>
        <v/>
      </c>
      <c r="BD14" s="4" t="str">
        <f t="shared" si="56"/>
        <v/>
      </c>
      <c r="BE14" s="4" t="str">
        <f t="shared" si="57"/>
        <v/>
      </c>
      <c r="BF14" s="4" t="str">
        <f t="shared" si="58"/>
        <v/>
      </c>
      <c r="BG14" s="4" t="str">
        <f t="shared" si="59"/>
        <v/>
      </c>
      <c r="BH14" s="4" t="str">
        <f>IFERROR('Character Sheet'!KC14,"")</f>
        <v/>
      </c>
      <c r="BI14" s="4" t="str">
        <f t="shared" si="29"/>
        <v/>
      </c>
      <c r="BJ14" s="4" t="str">
        <f t="shared" si="60"/>
        <v/>
      </c>
      <c r="BK14" s="4" t="str">
        <f t="shared" si="61"/>
        <v/>
      </c>
      <c r="BL14" s="4" t="str">
        <f t="shared" si="62"/>
        <v/>
      </c>
      <c r="BM14" s="4" t="str">
        <f t="shared" si="63"/>
        <v/>
      </c>
      <c r="BN14" s="4" t="str">
        <f t="shared" si="64"/>
        <v/>
      </c>
      <c r="BO14" s="4" t="str">
        <f t="shared" si="65"/>
        <v/>
      </c>
      <c r="BP14" s="4" t="str">
        <f t="shared" si="66"/>
        <v/>
      </c>
      <c r="BQ14" s="4" t="str">
        <f>IFERROR('Character Sheet'!IQ14+VLOOKUP(BA14,MaterialChart,5,FALSE),"")</f>
        <v/>
      </c>
      <c r="BR14" s="4" t="str">
        <f t="shared" si="67"/>
        <v/>
      </c>
      <c r="BS14" s="4">
        <f>IFERROR(VLOOKUP(BA14&amp;CU14,Armour!$B$4:$BP$99,4,FALSE)+(BG14)+(BN14)-((AV14)+(AZ14)),0)</f>
        <v>0</v>
      </c>
      <c r="BT14" s="4" t="str">
        <f t="shared" si="68"/>
        <v/>
      </c>
      <c r="BU14" s="4" t="str">
        <f t="shared" si="69"/>
        <v/>
      </c>
      <c r="BV14" s="4" t="str">
        <f t="shared" si="70"/>
        <v/>
      </c>
      <c r="BW14" s="4" t="str">
        <f>IFERROR(ROUNDUP((BE14*(BB14-AT14))+(BL14*(BI14-AX14))+(BT14*(((100+(BD14+IF(BE14=1,0,BK14))+(4*BR14))/100)))*'Character Sheet'!GT14,3),"")</f>
        <v/>
      </c>
      <c r="BX14" s="4" t="str">
        <f t="shared" si="38"/>
        <v/>
      </c>
      <c r="BY14" s="8" t="str">
        <f t="shared" si="39"/>
        <v/>
      </c>
      <c r="BZ14" s="4">
        <f>IF(ISNUMBER(SEARCH(BZ$3,$BY14)),VLOOKUP($BA14&amp;$CU14,Armour!$B$4:$BP$99,67,FALSE),0)</f>
        <v>0</v>
      </c>
      <c r="CA14" s="4">
        <f>IF(ISNUMBER(SEARCH(CA$3,$BY14)),VLOOKUP($BA14&amp;$CU14,Armour!$B$4:$BP$99,67,FALSE),0)</f>
        <v>0</v>
      </c>
      <c r="CB14" s="4">
        <f>IF(ISNUMBER(SEARCH(CB$3,$BY14)),VLOOKUP($BA14&amp;$CU14,Armour!$B$4:$BP$99,67,FALSE),0)</f>
        <v>0</v>
      </c>
      <c r="CC14" s="4">
        <f>IF(ISNUMBER(SEARCH(CC$3,$BY14)),VLOOKUP($BA14&amp;$CU14,Armour!$B$4:$BP$99,67,FALSE),0)</f>
        <v>0</v>
      </c>
      <c r="CD14" s="4">
        <f>IF(ISNUMBER(SEARCH(CD$3,$BY14)),VLOOKUP($BA14&amp;$CU14,Armour!$B$4:$BP$99,67,FALSE),0)</f>
        <v>0</v>
      </c>
      <c r="CE14" s="4">
        <f>IF(ISNUMBER(SEARCH(CE$3,$BY14)),VLOOKUP($BA14&amp;$CU14,Armour!$B$4:$BP$99,67,FALSE),0)</f>
        <v>0</v>
      </c>
      <c r="CF14" s="4">
        <f>IF(ISNUMBER(SEARCH(CF$3,$BY14)),VLOOKUP($BA14&amp;$CU14,Armour!$B$4:$BP$99,67,FALSE),0)</f>
        <v>0</v>
      </c>
      <c r="CG14" s="4">
        <f>IF(ISNUMBER(SEARCH(CG$3,$BY14)),VLOOKUP($BA14&amp;$CU14,Armour!$B$4:$BP$99,67,FALSE),0)</f>
        <v>0</v>
      </c>
      <c r="CH14" s="4">
        <f>IF(ISNUMBER(SEARCH(CH$3,$BY14)),VLOOKUP($BA14&amp;$CU14,Armour!$B$4:$BP$99,67,FALSE),0)</f>
        <v>0</v>
      </c>
      <c r="CI14" s="4">
        <f>IF(ISNUMBER(SEARCH(CI$3,$BY14)),VLOOKUP($BA14&amp;$CU14,Armour!$B$4:$BP$99,67,FALSE),0)</f>
        <v>0</v>
      </c>
      <c r="CJ14" s="4">
        <f>IF(ISNUMBER(SEARCH(CJ$3,$BY14)),VLOOKUP($BA14&amp;$CU14,Armour!$B$4:$BP$99,67,FALSE),0)</f>
        <v>0</v>
      </c>
      <c r="CK14" s="4">
        <f>IF(ISNUMBER(SEARCH(CK$3,$BY14)),VLOOKUP($BA14&amp;$CU14,Armour!$B$4:$BP$99,67,FALSE),0)</f>
        <v>0</v>
      </c>
      <c r="CL14" s="4">
        <f>IF(ISNUMBER(SEARCH(CL$3,$BY14)),VLOOKUP($BA14&amp;$CU14,Armour!$B$4:$BP$99,67,FALSE),0)</f>
        <v>0</v>
      </c>
      <c r="CM14" s="4">
        <f>IF(ISNUMBER(SEARCH(CM$3,$BY14)),VLOOKUP($BA14&amp;$CU14,Armour!$B$4:$BP$99,67,FALSE),0)</f>
        <v>0</v>
      </c>
      <c r="CN14" s="4">
        <f>IF(ISNUMBER(SEARCH(CN$3,$BY14)),VLOOKUP($BA14&amp;$CU14,Armour!$B$4:$BP$99,67,FALSE),0)</f>
        <v>0</v>
      </c>
      <c r="CO14" s="4">
        <f>IF(ISNUMBER(SEARCH(CO$3,$BY14)),VLOOKUP($BA14&amp;$CU14,Armour!$B$4:$BP$99,67,FALSE),0)</f>
        <v>0</v>
      </c>
      <c r="CP14" s="4">
        <f>IF(ISNUMBER(SEARCH(CP$3,$BY14)),VLOOKUP($BA14&amp;$CU14,Armour!$B$4:$BP$99,67,FALSE),0)</f>
        <v>0</v>
      </c>
      <c r="CQ14" s="4">
        <f>IF(ISNUMBER(SEARCH(CQ$3,$BY14)),VLOOKUP($BA14&amp;$CU14,Armour!$B$4:$BP$99,67,FALSE),0)</f>
        <v>0</v>
      </c>
      <c r="CR14" s="4">
        <f>IF(ISNUMBER(SEARCH(CR$3,$BY14)),VLOOKUP($BA14&amp;$CU14,Armour!$B$4:$BP$99,67,FALSE),0)</f>
        <v>0</v>
      </c>
      <c r="CS14" s="4">
        <f>IF(ISNUMBER(SEARCH(CS$3,$BY14)),VLOOKUP($BA14&amp;$CU14,Armour!$B$4:$BP$99,67,FALSE),0)</f>
        <v>0</v>
      </c>
      <c r="CT14" s="4">
        <f>IF(ISNUMBER(SEARCH(CT$3,$BY14)),VLOOKUP($BA14&amp;$CU14,Armour!$B$4:$BP$99,67,FALSE),0)</f>
        <v>0</v>
      </c>
      <c r="CU14" s="4" t="e">
        <f t="shared" si="40"/>
        <v>#N/A</v>
      </c>
      <c r="CV14" s="4"/>
      <c r="CX14">
        <v>12</v>
      </c>
      <c r="CY14" s="3" t="str">
        <f>'Character Sheet'!B60</f>
        <v>R Lower Arm:</v>
      </c>
      <c r="CZ14" s="4">
        <f>MAX($CK$4:$CK$19)</f>
        <v>0</v>
      </c>
      <c r="DA14" t="str">
        <f>IFERROR(VLOOKUP(CZ14,Armour!$A$4:$B$99,2,FALSE),"No Armour")</f>
        <v>No Armour</v>
      </c>
      <c r="DC14">
        <v>12</v>
      </c>
      <c r="DD14" s="3" t="str">
        <f>'Character Sheet'!B139</f>
        <v>L Front Lower Leg:</v>
      </c>
      <c r="DE14" s="4">
        <f>MAX($CK$83:$CK$116)</f>
        <v>0</v>
      </c>
      <c r="DF14" t="str">
        <f>IFERROR(VLOOKUP(DE14,Armour!$A$4:$B$99,2,FALSE),"No Armour")</f>
        <v>No Armour</v>
      </c>
      <c r="DH14" s="4" t="str">
        <f t="shared" si="41"/>
        <v/>
      </c>
      <c r="DI14">
        <v>12</v>
      </c>
      <c r="DJ14" s="3">
        <f>'Character Sheet'!FB32</f>
        <v>0</v>
      </c>
      <c r="DK14" s="4" t="str">
        <f t="shared" si="8"/>
        <v/>
      </c>
      <c r="DL14" s="4" t="str">
        <f>IFERROR(IF(DK14=0,"",VLOOKUP(DK14,Skills!$N$72:$AF$107,19,FALSE)),"")</f>
        <v/>
      </c>
      <c r="DM14" s="4">
        <f>IFERROR(VLOOKUP($DJ14,ItemChart,18,FALSE)+'Character Sheet'!IJ32,0)</f>
        <v>0</v>
      </c>
      <c r="DN14" s="4" t="str">
        <f t="shared" si="42"/>
        <v/>
      </c>
      <c r="DO14" s="4" t="str">
        <f>IFERROR(DN14+0.12,"")</f>
        <v/>
      </c>
      <c r="DP14" s="4">
        <f t="shared" si="43"/>
        <v>0</v>
      </c>
      <c r="DQ14" s="4">
        <f t="shared" si="73"/>
        <v>2</v>
      </c>
      <c r="DR14" s="4" t="e">
        <f t="shared" si="9"/>
        <v>#N/A</v>
      </c>
      <c r="DS14" s="4">
        <f t="shared" si="45"/>
        <v>12</v>
      </c>
      <c r="DT14" s="4" t="str">
        <f t="shared" si="10"/>
        <v/>
      </c>
      <c r="DU14" s="4" t="str">
        <f t="shared" si="11"/>
        <v/>
      </c>
      <c r="DV14" s="4" t="e">
        <f>VLOOKUP((VLOOKUP((VLOOKUP('Character Creation'!$Z$11,RaceChart,20,FALSE)&amp;" "&amp;VLOOKUP('Character Creation'!$Z$11,RaceChart,21,FALSE)),Charts!$H$2:$J$14,3,FALSE)+DU14),Charts!$J$2:$N$14,5,FALSE)</f>
        <v>#VALUE!</v>
      </c>
      <c r="DW14" s="4" t="e">
        <f>VLOOKUP(DV14,Charts!$N$2:$Q$14,4,FALSE)</f>
        <v>#VALUE!</v>
      </c>
      <c r="DX14" s="4" t="str">
        <f t="shared" si="46"/>
        <v/>
      </c>
      <c r="DY14" s="4" t="str">
        <f t="shared" si="12"/>
        <v/>
      </c>
      <c r="DZ14" s="4" t="str">
        <f t="shared" si="13"/>
        <v/>
      </c>
      <c r="EA14" s="4" t="e">
        <f>ROUNDDOWN(VLOOKUP(DK14,Skills!$N$72:$S$107,6,FALSE)/5,0)</f>
        <v>#N/A</v>
      </c>
      <c r="EB14" s="4" t="str">
        <f t="shared" si="14"/>
        <v/>
      </c>
      <c r="EC14" s="4" t="str">
        <f t="shared" si="47"/>
        <v>+</v>
      </c>
      <c r="ED14" s="4" t="e">
        <f>VLOOKUP(DJ14,'Character Sheet'!$FB$21:$HQ$35,61,FALSE)</f>
        <v>#N/A</v>
      </c>
      <c r="EE14" s="4" t="str">
        <f t="shared" si="15"/>
        <v/>
      </c>
      <c r="EF14" s="4" t="str">
        <f t="shared" si="48"/>
        <v/>
      </c>
      <c r="EG14" s="4" t="e">
        <f>VLOOKUP(DR14,Items!$B$1156:$AA$1282,18,FALSE)</f>
        <v>#N/A</v>
      </c>
      <c r="EH14" s="4" t="e">
        <f>VLOOKUP(DJ14,'Character Sheet'!$E$26:$EZ$45,81,FALSE)</f>
        <v>#N/A</v>
      </c>
      <c r="EI14" s="4" t="e">
        <f>VLOOKUP(DJ14,'Character Sheet'!$E$26:$EZ$45,89,FALSE)</f>
        <v>#N/A</v>
      </c>
      <c r="EJ14" s="4" t="e">
        <f t="shared" si="49"/>
        <v>#N/A</v>
      </c>
      <c r="EL14" s="4">
        <f ca="1">IFERROR(VLOOKUP(EO14,Skills!$N$402:$S$440,6,FALSE),0)</f>
        <v>0</v>
      </c>
      <c r="EM14" s="4">
        <v>13</v>
      </c>
      <c r="EN14" s="4" t="s">
        <v>824</v>
      </c>
      <c r="EO14" s="8" t="str">
        <f ca="1">IFERROR(VLOOKUP(EM14,Skills!$C$405:$M$440,11,FALSE),"")</f>
        <v/>
      </c>
      <c r="EP14" s="4" t="str">
        <f t="shared" ca="1" si="71"/>
        <v/>
      </c>
      <c r="EQ14" s="4">
        <v>1.2E-2</v>
      </c>
      <c r="ER14" s="4" t="str">
        <f t="shared" ca="1" si="16"/>
        <v/>
      </c>
      <c r="ES14" t="str">
        <f t="shared" ca="1" si="2"/>
        <v/>
      </c>
      <c r="ET14" s="4" t="e">
        <f ca="1">VLOOKUP(ES14,Skills!$N$405:$AG$440,20,FALSE)</f>
        <v>#N/A</v>
      </c>
    </row>
    <row r="15" spans="2:152" x14ac:dyDescent="0.25">
      <c r="B15" s="3" t="str">
        <f>'Character Sheet'!CO9</f>
        <v>Cent:</v>
      </c>
      <c r="C15" s="4">
        <f>'Character Sheet'!CY9</f>
        <v>7</v>
      </c>
      <c r="D15" s="115">
        <v>5.5115566000000001E-3</v>
      </c>
      <c r="E15" s="4">
        <f t="shared" si="72"/>
        <v>3.8580896199999999E-2</v>
      </c>
      <c r="P15">
        <v>14</v>
      </c>
      <c r="Q15" t="e">
        <f ca="1">VLOOKUP(P15,Skills!$F$2:$N$620,9,FALSE)</f>
        <v>#N/A</v>
      </c>
      <c r="R15" s="4" t="str">
        <f t="shared" ca="1" si="3"/>
        <v/>
      </c>
      <c r="S15" s="4" t="str">
        <f t="shared" ca="1" si="4"/>
        <v/>
      </c>
      <c r="T15" s="4">
        <f ca="1">IFERROR(VLOOKUP(Q15,'Character Creation'!$H$76:$CH$83,66,FALSE),0)</f>
        <v>0</v>
      </c>
      <c r="AC15" s="8" t="str">
        <f>IFERROR(VLOOKUP('Character Creation'!$CI28,Skills!$H$2:$N$620,6,FALSE),"")</f>
        <v/>
      </c>
      <c r="AD15" s="4">
        <f>'Character Creation'!EH28</f>
        <v>0</v>
      </c>
      <c r="AG15">
        <v>14</v>
      </c>
      <c r="AH15" s="4" t="str">
        <f t="shared" si="5"/>
        <v/>
      </c>
      <c r="AI15" t="str">
        <f>IFERROR(VLOOKUP(AG15,Skills!$B$2:$M$620,12,FALSE),"")</f>
        <v/>
      </c>
      <c r="AJ15" s="4" t="str">
        <f>IFERROR(VLOOKUP(AG15,Skills!$B$2:$AF$620,31,FALSE),"")</f>
        <v/>
      </c>
      <c r="AK15" s="4" t="str">
        <f t="shared" si="0"/>
        <v/>
      </c>
      <c r="AL15" s="4">
        <v>1.4E-2</v>
      </c>
      <c r="AM15" s="62" t="str">
        <f t="shared" si="6"/>
        <v/>
      </c>
      <c r="AN15" t="str">
        <f t="shared" ca="1" si="7"/>
        <v/>
      </c>
      <c r="AO15" s="4" t="str">
        <f ca="1">IFERROR(VLOOKUP(AG15,$AH$2:$AJ$451,3,FALSE)&amp;IF(ISNUMBER(SEARCH(", Written",AN15))," -R"&amp;VLOOKUP(AN15,Skills!$M$2:$S$620,7,FALSE),IF(ISNUMBER(SEARCH(", Spoken",AN15))," -R"&amp;VLOOKUP(AN15,Skills!$M$2:$S$620,7,FALSE),"")),"")</f>
        <v/>
      </c>
      <c r="AQ15">
        <v>12</v>
      </c>
      <c r="AR15" s="8">
        <f>'Character Sheet'!FB15</f>
        <v>0</v>
      </c>
      <c r="AS15" s="4" t="str">
        <f t="shared" si="17"/>
        <v/>
      </c>
      <c r="AT15" s="4" t="str">
        <f t="shared" si="18"/>
        <v/>
      </c>
      <c r="AU15" s="4" t="str">
        <f t="shared" si="50"/>
        <v/>
      </c>
      <c r="AV15" s="4" t="str">
        <f t="shared" si="51"/>
        <v/>
      </c>
      <c r="AW15" s="4" t="str">
        <f t="shared" si="52"/>
        <v/>
      </c>
      <c r="AX15" s="4" t="str">
        <f t="shared" si="22"/>
        <v/>
      </c>
      <c r="AY15" s="4" t="str">
        <f t="shared" si="53"/>
        <v/>
      </c>
      <c r="AZ15" s="4" t="str">
        <f t="shared" si="54"/>
        <v/>
      </c>
      <c r="BA15" s="4" t="str">
        <f>IFERROR('Character Sheet'!JK15,"")</f>
        <v/>
      </c>
      <c r="BB15" s="4" t="str">
        <f t="shared" si="25"/>
        <v/>
      </c>
      <c r="BC15" s="4" t="str">
        <f t="shared" si="55"/>
        <v/>
      </c>
      <c r="BD15" s="4" t="str">
        <f t="shared" si="56"/>
        <v/>
      </c>
      <c r="BE15" s="4" t="str">
        <f t="shared" si="57"/>
        <v/>
      </c>
      <c r="BF15" s="4" t="str">
        <f t="shared" si="58"/>
        <v/>
      </c>
      <c r="BG15" s="4" t="str">
        <f t="shared" si="59"/>
        <v/>
      </c>
      <c r="BH15" s="4" t="str">
        <f>IFERROR('Character Sheet'!KC15,"")</f>
        <v/>
      </c>
      <c r="BI15" s="4" t="str">
        <f t="shared" si="29"/>
        <v/>
      </c>
      <c r="BJ15" s="4" t="str">
        <f t="shared" si="60"/>
        <v/>
      </c>
      <c r="BK15" s="4" t="str">
        <f t="shared" si="61"/>
        <v/>
      </c>
      <c r="BL15" s="4" t="str">
        <f t="shared" si="62"/>
        <v/>
      </c>
      <c r="BM15" s="4" t="str">
        <f t="shared" si="63"/>
        <v/>
      </c>
      <c r="BN15" s="4" t="str">
        <f t="shared" si="64"/>
        <v/>
      </c>
      <c r="BO15" s="4" t="str">
        <f t="shared" si="65"/>
        <v/>
      </c>
      <c r="BP15" s="4" t="str">
        <f t="shared" si="66"/>
        <v/>
      </c>
      <c r="BQ15" s="4" t="str">
        <f>IFERROR('Character Sheet'!IQ15+VLOOKUP(BA15,MaterialChart,5,FALSE),"")</f>
        <v/>
      </c>
      <c r="BR15" s="4" t="str">
        <f t="shared" si="67"/>
        <v/>
      </c>
      <c r="BS15" s="4">
        <f>IFERROR(VLOOKUP(BA15&amp;CU15,Armour!$B$4:$BP$99,4,FALSE)+(BG15)+(BN15)-((AV15)+(AZ15)),0)</f>
        <v>0</v>
      </c>
      <c r="BT15" s="4" t="str">
        <f t="shared" si="68"/>
        <v/>
      </c>
      <c r="BU15" s="4" t="str">
        <f t="shared" si="69"/>
        <v/>
      </c>
      <c r="BV15" s="4" t="str">
        <f t="shared" si="70"/>
        <v/>
      </c>
      <c r="BW15" s="4" t="str">
        <f>IFERROR(ROUNDUP((BE15*(BB15-AT15))+(BL15*(BI15-AX15))+(BT15*(((100+(BD15+IF(BE15=1,0,BK15))+(4*BR15))/100)))*'Character Sheet'!GT15,3),"")</f>
        <v/>
      </c>
      <c r="BX15" s="4" t="str">
        <f t="shared" si="38"/>
        <v/>
      </c>
      <c r="BY15" s="8" t="str">
        <f t="shared" si="39"/>
        <v/>
      </c>
      <c r="BZ15" s="4">
        <f>IF(ISNUMBER(SEARCH(BZ$3,$BY15)),VLOOKUP($BA15&amp;$CU15,Armour!$B$4:$BP$99,67,FALSE),0)</f>
        <v>0</v>
      </c>
      <c r="CA15" s="4">
        <f>IF(ISNUMBER(SEARCH(CA$3,$BY15)),VLOOKUP($BA15&amp;$CU15,Armour!$B$4:$BP$99,67,FALSE),0)</f>
        <v>0</v>
      </c>
      <c r="CB15" s="4">
        <f>IF(ISNUMBER(SEARCH(CB$3,$BY15)),VLOOKUP($BA15&amp;$CU15,Armour!$B$4:$BP$99,67,FALSE),0)</f>
        <v>0</v>
      </c>
      <c r="CC15" s="4">
        <f>IF(ISNUMBER(SEARCH(CC$3,$BY15)),VLOOKUP($BA15&amp;$CU15,Armour!$B$4:$BP$99,67,FALSE),0)</f>
        <v>0</v>
      </c>
      <c r="CD15" s="4">
        <f>IF(ISNUMBER(SEARCH(CD$3,$BY15)),VLOOKUP($BA15&amp;$CU15,Armour!$B$4:$BP$99,67,FALSE),0)</f>
        <v>0</v>
      </c>
      <c r="CE15" s="4">
        <f>IF(ISNUMBER(SEARCH(CE$3,$BY15)),VLOOKUP($BA15&amp;$CU15,Armour!$B$4:$BP$99,67,FALSE),0)</f>
        <v>0</v>
      </c>
      <c r="CF15" s="4">
        <f>IF(ISNUMBER(SEARCH(CF$3,$BY15)),VLOOKUP($BA15&amp;$CU15,Armour!$B$4:$BP$99,67,FALSE),0)</f>
        <v>0</v>
      </c>
      <c r="CG15" s="4">
        <f>IF(ISNUMBER(SEARCH(CG$3,$BY15)),VLOOKUP($BA15&amp;$CU15,Armour!$B$4:$BP$99,67,FALSE),0)</f>
        <v>0</v>
      </c>
      <c r="CH15" s="4">
        <f>IF(ISNUMBER(SEARCH(CH$3,$BY15)),VLOOKUP($BA15&amp;$CU15,Armour!$B$4:$BP$99,67,FALSE),0)</f>
        <v>0</v>
      </c>
      <c r="CI15" s="4">
        <f>IF(ISNUMBER(SEARCH(CI$3,$BY15)),VLOOKUP($BA15&amp;$CU15,Armour!$B$4:$BP$99,67,FALSE),0)</f>
        <v>0</v>
      </c>
      <c r="CJ15" s="4">
        <f>IF(ISNUMBER(SEARCH(CJ$3,$BY15)),VLOOKUP($BA15&amp;$CU15,Armour!$B$4:$BP$99,67,FALSE),0)</f>
        <v>0</v>
      </c>
      <c r="CK15" s="4">
        <f>IF(ISNUMBER(SEARCH(CK$3,$BY15)),VLOOKUP($BA15&amp;$CU15,Armour!$B$4:$BP$99,67,FALSE),0)</f>
        <v>0</v>
      </c>
      <c r="CL15" s="4">
        <f>IF(ISNUMBER(SEARCH(CL$3,$BY15)),VLOOKUP($BA15&amp;$CU15,Armour!$B$4:$BP$99,67,FALSE),0)</f>
        <v>0</v>
      </c>
      <c r="CM15" s="4">
        <f>IF(ISNUMBER(SEARCH(CM$3,$BY15)),VLOOKUP($BA15&amp;$CU15,Armour!$B$4:$BP$99,67,FALSE),0)</f>
        <v>0</v>
      </c>
      <c r="CN15" s="4">
        <f>IF(ISNUMBER(SEARCH(CN$3,$BY15)),VLOOKUP($BA15&amp;$CU15,Armour!$B$4:$BP$99,67,FALSE),0)</f>
        <v>0</v>
      </c>
      <c r="CO15" s="4">
        <f>IF(ISNUMBER(SEARCH(CO$3,$BY15)),VLOOKUP($BA15&amp;$CU15,Armour!$B$4:$BP$99,67,FALSE),0)</f>
        <v>0</v>
      </c>
      <c r="CP15" s="4">
        <f>IF(ISNUMBER(SEARCH(CP$3,$BY15)),VLOOKUP($BA15&amp;$CU15,Armour!$B$4:$BP$99,67,FALSE),0)</f>
        <v>0</v>
      </c>
      <c r="CQ15" s="4">
        <f>IF(ISNUMBER(SEARCH(CQ$3,$BY15)),VLOOKUP($BA15&amp;$CU15,Armour!$B$4:$BP$99,67,FALSE),0)</f>
        <v>0</v>
      </c>
      <c r="CR15" s="4">
        <f>IF(ISNUMBER(SEARCH(CR$3,$BY15)),VLOOKUP($BA15&amp;$CU15,Armour!$B$4:$BP$99,67,FALSE),0)</f>
        <v>0</v>
      </c>
      <c r="CS15" s="4">
        <f>IF(ISNUMBER(SEARCH(CS$3,$BY15)),VLOOKUP($BA15&amp;$CU15,Armour!$B$4:$BP$99,67,FALSE),0)</f>
        <v>0</v>
      </c>
      <c r="CT15" s="4">
        <f>IF(ISNUMBER(SEARCH(CT$3,$BY15)),VLOOKUP($BA15&amp;$CU15,Armour!$B$4:$BP$99,67,FALSE),0)</f>
        <v>0</v>
      </c>
      <c r="CU15" s="4" t="e">
        <f t="shared" si="40"/>
        <v>#N/A</v>
      </c>
      <c r="CV15" s="4"/>
      <c r="CX15">
        <v>13</v>
      </c>
      <c r="CY15" s="3" t="str">
        <f>'Character Sheet'!B61</f>
        <v>L Hand:</v>
      </c>
      <c r="CZ15" s="4">
        <f>MAX($CL$4:$CL$19)</f>
        <v>6</v>
      </c>
      <c r="DA15" t="str">
        <f>IFERROR(VLOOKUP(CZ15,Armour!$A$4:$B$99,2,FALSE),"No Armour")</f>
        <v>Soft Leather</v>
      </c>
      <c r="DC15">
        <v>13</v>
      </c>
      <c r="DD15" s="3" t="str">
        <f>'Character Sheet'!B140</f>
        <v>R Front Lower Leg:</v>
      </c>
      <c r="DE15" s="4">
        <f>MAX($CL$83:$CL$116)</f>
        <v>0</v>
      </c>
      <c r="DF15" t="str">
        <f>IFERROR(VLOOKUP(DE15,Armour!$A$4:$B$99,2,FALSE),"No Armour")</f>
        <v>No Armour</v>
      </c>
      <c r="DH15" s="4" t="str">
        <f t="shared" si="41"/>
        <v/>
      </c>
      <c r="DI15">
        <v>13</v>
      </c>
      <c r="DJ15" s="3">
        <f>'Character Sheet'!FB33</f>
        <v>0</v>
      </c>
      <c r="DK15" s="4" t="str">
        <f t="shared" si="8"/>
        <v/>
      </c>
      <c r="DL15" s="4" t="str">
        <f>IFERROR(IF(DK15=0,"",VLOOKUP(DK15,Skills!$N$72:$AF$107,19,FALSE)),"")</f>
        <v/>
      </c>
      <c r="DM15" s="4">
        <f>IFERROR(VLOOKUP($DJ15,ItemChart,18,FALSE)+'Character Sheet'!IJ33,0)</f>
        <v>0</v>
      </c>
      <c r="DN15" s="4" t="str">
        <f t="shared" si="42"/>
        <v/>
      </c>
      <c r="DO15" s="4" t="str">
        <f>IFERROR(DN15+0.13,"")</f>
        <v/>
      </c>
      <c r="DP15" s="4">
        <f t="shared" si="43"/>
        <v>0</v>
      </c>
      <c r="DQ15" s="4">
        <f t="shared" si="73"/>
        <v>2</v>
      </c>
      <c r="DR15" s="4" t="e">
        <f t="shared" si="9"/>
        <v>#N/A</v>
      </c>
      <c r="DS15" s="4">
        <f t="shared" si="45"/>
        <v>13</v>
      </c>
      <c r="DT15" s="4" t="str">
        <f t="shared" si="10"/>
        <v/>
      </c>
      <c r="DU15" s="4" t="str">
        <f t="shared" si="11"/>
        <v/>
      </c>
      <c r="DV15" s="4" t="e">
        <f>VLOOKUP((VLOOKUP((VLOOKUP('Character Creation'!$Z$11,RaceChart,20,FALSE)&amp;" "&amp;VLOOKUP('Character Creation'!$Z$11,RaceChart,21,FALSE)),Charts!$H$2:$J$14,3,FALSE)+DU15),Charts!$J$2:$N$14,5,FALSE)</f>
        <v>#VALUE!</v>
      </c>
      <c r="DW15" s="4" t="e">
        <f>VLOOKUP(DV15,Charts!$N$2:$Q$14,4,FALSE)</f>
        <v>#VALUE!</v>
      </c>
      <c r="DX15" s="4" t="str">
        <f t="shared" si="46"/>
        <v/>
      </c>
      <c r="DY15" s="4" t="str">
        <f t="shared" si="12"/>
        <v/>
      </c>
      <c r="DZ15" s="4" t="str">
        <f t="shared" si="13"/>
        <v/>
      </c>
      <c r="EA15" s="4" t="e">
        <f>ROUNDDOWN(VLOOKUP(DK15,Skills!$N$72:$S$107,6,FALSE)/5,0)</f>
        <v>#N/A</v>
      </c>
      <c r="EB15" s="4" t="str">
        <f t="shared" si="14"/>
        <v/>
      </c>
      <c r="EC15" s="4" t="str">
        <f t="shared" si="47"/>
        <v>+</v>
      </c>
      <c r="ED15" s="4" t="e">
        <f>VLOOKUP(DJ15,'Character Sheet'!$FB$21:$HQ$35,61,FALSE)</f>
        <v>#N/A</v>
      </c>
      <c r="EE15" s="4" t="str">
        <f t="shared" si="15"/>
        <v/>
      </c>
      <c r="EF15" s="4" t="str">
        <f t="shared" si="48"/>
        <v/>
      </c>
      <c r="EG15" s="4" t="e">
        <f>VLOOKUP(DR15,Items!$B$1156:$AA$1282,18,FALSE)</f>
        <v>#N/A</v>
      </c>
      <c r="EH15" s="4" t="e">
        <f>VLOOKUP(DJ15,'Character Sheet'!$E$26:$EZ$45,81,FALSE)</f>
        <v>#N/A</v>
      </c>
      <c r="EI15" s="4" t="e">
        <f>VLOOKUP(DJ15,'Character Sheet'!$E$26:$EZ$45,89,FALSE)</f>
        <v>#N/A</v>
      </c>
      <c r="EJ15" s="4" t="e">
        <f t="shared" si="49"/>
        <v>#N/A</v>
      </c>
      <c r="EL15" s="4">
        <f ca="1">IFERROR(VLOOKUP(EO15,Skills!$N$402:$S$440,6,FALSE),0)</f>
        <v>0</v>
      </c>
      <c r="EM15" s="4">
        <v>14</v>
      </c>
      <c r="EN15" s="4" t="s">
        <v>824</v>
      </c>
      <c r="EO15" s="8" t="str">
        <f ca="1">IFERROR(VLOOKUP(EM15,Skills!$C$405:$M$440,11,FALSE),"")</f>
        <v/>
      </c>
      <c r="EP15" s="4" t="str">
        <f t="shared" ca="1" si="71"/>
        <v/>
      </c>
      <c r="EQ15" s="4">
        <v>1.2999999999999999E-2</v>
      </c>
      <c r="ER15" s="4" t="str">
        <f t="shared" ca="1" si="16"/>
        <v/>
      </c>
      <c r="ES15" t="str">
        <f t="shared" ca="1" si="2"/>
        <v/>
      </c>
      <c r="ET15" s="4" t="e">
        <f ca="1">VLOOKUP(ES15,Skills!$N$405:$AG$440,20,FALSE)</f>
        <v>#N/A</v>
      </c>
    </row>
    <row r="16" spans="2:152" x14ac:dyDescent="0.25">
      <c r="B16" s="3"/>
      <c r="P16">
        <v>15</v>
      </c>
      <c r="Q16" t="e">
        <f ca="1">VLOOKUP(P16,Skills!$F$2:$N$620,9,FALSE)</f>
        <v>#N/A</v>
      </c>
      <c r="R16" s="4" t="str">
        <f t="shared" ca="1" si="3"/>
        <v/>
      </c>
      <c r="S16" s="4" t="str">
        <f t="shared" ca="1" si="4"/>
        <v/>
      </c>
      <c r="T16" s="4">
        <f ca="1">IFERROR(VLOOKUP(Q16,'Character Creation'!$H$76:$CH$83,66,FALSE),0)</f>
        <v>0</v>
      </c>
      <c r="AC16" s="8" t="str">
        <f>IFERROR(VLOOKUP('Character Creation'!$CI29,Skills!$H$2:$N$620,6,FALSE),"")</f>
        <v/>
      </c>
      <c r="AD16" s="4">
        <f>'Character Creation'!EH29</f>
        <v>0</v>
      </c>
      <c r="AG16">
        <v>15</v>
      </c>
      <c r="AH16" s="4" t="str">
        <f t="shared" si="5"/>
        <v/>
      </c>
      <c r="AI16" t="str">
        <f>IFERROR(VLOOKUP(AG16,Skills!$B$2:$M$620,12,FALSE),"")</f>
        <v/>
      </c>
      <c r="AJ16" s="4" t="str">
        <f>IFERROR(VLOOKUP(AG16,Skills!$B$2:$AF$620,31,FALSE),"")</f>
        <v/>
      </c>
      <c r="AK16" s="4" t="str">
        <f t="shared" si="0"/>
        <v/>
      </c>
      <c r="AL16" s="4">
        <v>1.4999999999999999E-2</v>
      </c>
      <c r="AM16" s="62" t="str">
        <f t="shared" si="6"/>
        <v/>
      </c>
      <c r="AN16" t="str">
        <f t="shared" ca="1" si="7"/>
        <v/>
      </c>
      <c r="AO16" s="4" t="str">
        <f ca="1">IFERROR(VLOOKUP(AG16,$AH$2:$AJ$451,3,FALSE)&amp;IF(ISNUMBER(SEARCH(", Written",AN16))," -R"&amp;VLOOKUP(AN16,Skills!$M$2:$S$620,7,FALSE),IF(ISNUMBER(SEARCH(", Spoken",AN16))," -R"&amp;VLOOKUP(AN16,Skills!$M$2:$S$620,7,FALSE),"")),"")</f>
        <v/>
      </c>
      <c r="AQ16">
        <v>13</v>
      </c>
      <c r="AR16" s="8">
        <f>'Character Sheet'!FB16</f>
        <v>0</v>
      </c>
      <c r="AS16" s="4" t="str">
        <f t="shared" si="17"/>
        <v/>
      </c>
      <c r="AT16" s="4" t="str">
        <f t="shared" si="18"/>
        <v/>
      </c>
      <c r="AU16" s="4" t="str">
        <f t="shared" si="50"/>
        <v/>
      </c>
      <c r="AV16" s="4" t="str">
        <f t="shared" si="51"/>
        <v/>
      </c>
      <c r="AW16" s="4" t="str">
        <f t="shared" si="52"/>
        <v/>
      </c>
      <c r="AX16" s="4" t="str">
        <f t="shared" si="22"/>
        <v/>
      </c>
      <c r="AY16" s="4" t="str">
        <f t="shared" si="53"/>
        <v/>
      </c>
      <c r="AZ16" s="4" t="str">
        <f t="shared" si="54"/>
        <v/>
      </c>
      <c r="BA16" s="4" t="str">
        <f>IFERROR('Character Sheet'!JK16,"")</f>
        <v/>
      </c>
      <c r="BB16" s="4" t="str">
        <f t="shared" si="25"/>
        <v/>
      </c>
      <c r="BC16" s="4" t="str">
        <f t="shared" si="55"/>
        <v/>
      </c>
      <c r="BD16" s="4" t="str">
        <f t="shared" si="56"/>
        <v/>
      </c>
      <c r="BE16" s="4" t="str">
        <f t="shared" si="57"/>
        <v/>
      </c>
      <c r="BF16" s="4" t="str">
        <f t="shared" si="58"/>
        <v/>
      </c>
      <c r="BG16" s="4" t="str">
        <f t="shared" si="59"/>
        <v/>
      </c>
      <c r="BH16" s="4" t="str">
        <f>IFERROR('Character Sheet'!KC16,"")</f>
        <v/>
      </c>
      <c r="BI16" s="4" t="str">
        <f t="shared" si="29"/>
        <v/>
      </c>
      <c r="BJ16" s="4" t="str">
        <f t="shared" si="60"/>
        <v/>
      </c>
      <c r="BK16" s="4" t="str">
        <f t="shared" si="61"/>
        <v/>
      </c>
      <c r="BL16" s="4" t="str">
        <f t="shared" si="62"/>
        <v/>
      </c>
      <c r="BM16" s="4" t="str">
        <f t="shared" si="63"/>
        <v/>
      </c>
      <c r="BN16" s="4" t="str">
        <f t="shared" si="64"/>
        <v/>
      </c>
      <c r="BO16" s="4" t="str">
        <f t="shared" si="65"/>
        <v/>
      </c>
      <c r="BP16" s="4" t="str">
        <f t="shared" si="66"/>
        <v/>
      </c>
      <c r="BQ16" s="4" t="str">
        <f>IFERROR('Character Sheet'!IQ16+VLOOKUP(BA16,MaterialChart,5,FALSE),"")</f>
        <v/>
      </c>
      <c r="BR16" s="4" t="str">
        <f t="shared" si="67"/>
        <v/>
      </c>
      <c r="BS16" s="4">
        <f>IFERROR(VLOOKUP(BA16&amp;CU16,Armour!$B$4:$BP$99,4,FALSE)+(BG16)+(BN16)-((AV16)+(AZ16)),0)</f>
        <v>0</v>
      </c>
      <c r="BT16" s="4" t="str">
        <f t="shared" si="68"/>
        <v/>
      </c>
      <c r="BU16" s="4" t="str">
        <f t="shared" si="69"/>
        <v/>
      </c>
      <c r="BV16" s="4" t="str">
        <f t="shared" si="70"/>
        <v/>
      </c>
      <c r="BW16" s="4" t="str">
        <f>IFERROR(ROUNDUP((BE16*(BB16-AT16))+(BL16*(BI16-AX16))+(BT16*(((100+(BD16+IF(BE16=1,0,BK16))+(4*BR16))/100)))*'Character Sheet'!GT16,3),"")</f>
        <v/>
      </c>
      <c r="BX16" s="4" t="str">
        <f t="shared" si="38"/>
        <v/>
      </c>
      <c r="BY16" s="8" t="str">
        <f t="shared" si="39"/>
        <v/>
      </c>
      <c r="BZ16" s="4">
        <f>IF(ISNUMBER(SEARCH(BZ$3,$BY16)),VLOOKUP($BA16&amp;$CU16,Armour!$B$4:$BP$99,67,FALSE),0)</f>
        <v>0</v>
      </c>
      <c r="CA16" s="4">
        <f>IF(ISNUMBER(SEARCH(CA$3,$BY16)),VLOOKUP($BA16&amp;$CU16,Armour!$B$4:$BP$99,67,FALSE),0)</f>
        <v>0</v>
      </c>
      <c r="CB16" s="4">
        <f>IF(ISNUMBER(SEARCH(CB$3,$BY16)),VLOOKUP($BA16&amp;$CU16,Armour!$B$4:$BP$99,67,FALSE),0)</f>
        <v>0</v>
      </c>
      <c r="CC16" s="4">
        <f>IF(ISNUMBER(SEARCH(CC$3,$BY16)),VLOOKUP($BA16&amp;$CU16,Armour!$B$4:$BP$99,67,FALSE),0)</f>
        <v>0</v>
      </c>
      <c r="CD16" s="4">
        <f>IF(ISNUMBER(SEARCH(CD$3,$BY16)),VLOOKUP($BA16&amp;$CU16,Armour!$B$4:$BP$99,67,FALSE),0)</f>
        <v>0</v>
      </c>
      <c r="CE16" s="4">
        <f>IF(ISNUMBER(SEARCH(CE$3,$BY16)),VLOOKUP($BA16&amp;$CU16,Armour!$B$4:$BP$99,67,FALSE),0)</f>
        <v>0</v>
      </c>
      <c r="CF16" s="4">
        <f>IF(ISNUMBER(SEARCH(CF$3,$BY16)),VLOOKUP($BA16&amp;$CU16,Armour!$B$4:$BP$99,67,FALSE),0)</f>
        <v>0</v>
      </c>
      <c r="CG16" s="4">
        <f>IF(ISNUMBER(SEARCH(CG$3,$BY16)),VLOOKUP($BA16&amp;$CU16,Armour!$B$4:$BP$99,67,FALSE),0)</f>
        <v>0</v>
      </c>
      <c r="CH16" s="4">
        <f>IF(ISNUMBER(SEARCH(CH$3,$BY16)),VLOOKUP($BA16&amp;$CU16,Armour!$B$4:$BP$99,67,FALSE),0)</f>
        <v>0</v>
      </c>
      <c r="CI16" s="4">
        <f>IF(ISNUMBER(SEARCH(CI$3,$BY16)),VLOOKUP($BA16&amp;$CU16,Armour!$B$4:$BP$99,67,FALSE),0)</f>
        <v>0</v>
      </c>
      <c r="CJ16" s="4">
        <f>IF(ISNUMBER(SEARCH(CJ$3,$BY16)),VLOOKUP($BA16&amp;$CU16,Armour!$B$4:$BP$99,67,FALSE),0)</f>
        <v>0</v>
      </c>
      <c r="CK16" s="4">
        <f>IF(ISNUMBER(SEARCH(CK$3,$BY16)),VLOOKUP($BA16&amp;$CU16,Armour!$B$4:$BP$99,67,FALSE),0)</f>
        <v>0</v>
      </c>
      <c r="CL16" s="4">
        <f>IF(ISNUMBER(SEARCH(CL$3,$BY16)),VLOOKUP($BA16&amp;$CU16,Armour!$B$4:$BP$99,67,FALSE),0)</f>
        <v>0</v>
      </c>
      <c r="CM16" s="4">
        <f>IF(ISNUMBER(SEARCH(CM$3,$BY16)),VLOOKUP($BA16&amp;$CU16,Armour!$B$4:$BP$99,67,FALSE),0)</f>
        <v>0</v>
      </c>
      <c r="CN16" s="4">
        <f>IF(ISNUMBER(SEARCH(CN$3,$BY16)),VLOOKUP($BA16&amp;$CU16,Armour!$B$4:$BP$99,67,FALSE),0)</f>
        <v>0</v>
      </c>
      <c r="CO16" s="4">
        <f>IF(ISNUMBER(SEARCH(CO$3,$BY16)),VLOOKUP($BA16&amp;$CU16,Armour!$B$4:$BP$99,67,FALSE),0)</f>
        <v>0</v>
      </c>
      <c r="CP16" s="4">
        <f>IF(ISNUMBER(SEARCH(CP$3,$BY16)),VLOOKUP($BA16&amp;$CU16,Armour!$B$4:$BP$99,67,FALSE),0)</f>
        <v>0</v>
      </c>
      <c r="CQ16" s="4">
        <f>IF(ISNUMBER(SEARCH(CQ$3,$BY16)),VLOOKUP($BA16&amp;$CU16,Armour!$B$4:$BP$99,67,FALSE),0)</f>
        <v>0</v>
      </c>
      <c r="CR16" s="4">
        <f>IF(ISNUMBER(SEARCH(CR$3,$BY16)),VLOOKUP($BA16&amp;$CU16,Armour!$B$4:$BP$99,67,FALSE),0)</f>
        <v>0</v>
      </c>
      <c r="CS16" s="4">
        <f>IF(ISNUMBER(SEARCH(CS$3,$BY16)),VLOOKUP($BA16&amp;$CU16,Armour!$B$4:$BP$99,67,FALSE),0)</f>
        <v>0</v>
      </c>
      <c r="CT16" s="4">
        <f>IF(ISNUMBER(SEARCH(CT$3,$BY16)),VLOOKUP($BA16&amp;$CU16,Armour!$B$4:$BP$99,67,FALSE),0)</f>
        <v>0</v>
      </c>
      <c r="CU16" s="4" t="e">
        <f t="shared" si="40"/>
        <v>#N/A</v>
      </c>
      <c r="CV16" s="4"/>
      <c r="CX16">
        <v>14</v>
      </c>
      <c r="CY16" s="3" t="str">
        <f>'Character Sheet'!B62</f>
        <v>R Hand:</v>
      </c>
      <c r="CZ16" s="4">
        <f>MAX($CM$4:$CM$19)</f>
        <v>6</v>
      </c>
      <c r="DA16" t="str">
        <f>IFERROR(VLOOKUP(CZ16,Armour!$A$4:$B$99,2,FALSE),"No Armour")</f>
        <v>Soft Leather</v>
      </c>
      <c r="DC16">
        <v>14</v>
      </c>
      <c r="DD16" s="3" t="str">
        <f>'Character Sheet'!B141</f>
        <v>L Front Hoof:</v>
      </c>
      <c r="DE16" s="4">
        <f>MAX($CM$83:$CM$116)</f>
        <v>0</v>
      </c>
      <c r="DF16" t="str">
        <f>IFERROR(VLOOKUP(DE16,Armour!$A$4:$B$99,2,FALSE),"No Armour")</f>
        <v>No Armour</v>
      </c>
      <c r="DH16" s="4" t="str">
        <f t="shared" si="41"/>
        <v/>
      </c>
      <c r="DI16">
        <v>14</v>
      </c>
      <c r="DJ16" s="3">
        <f>'Character Sheet'!FB34</f>
        <v>0</v>
      </c>
      <c r="DK16" s="4" t="str">
        <f t="shared" si="8"/>
        <v/>
      </c>
      <c r="DL16" s="4" t="str">
        <f>IFERROR(IF(DK16=0,"",VLOOKUP(DK16,Skills!$N$72:$AF$107,19,FALSE)),"")</f>
        <v/>
      </c>
      <c r="DM16" s="4">
        <f>IFERROR(VLOOKUP($DJ16,ItemChart,18,FALSE)+'Character Sheet'!IJ34,0)</f>
        <v>0</v>
      </c>
      <c r="DN16" s="4" t="str">
        <f t="shared" si="42"/>
        <v/>
      </c>
      <c r="DO16" s="4" t="str">
        <f>IFERROR(DN16+0.14,"")</f>
        <v/>
      </c>
      <c r="DP16" s="4">
        <f t="shared" si="43"/>
        <v>0</v>
      </c>
      <c r="DQ16" s="4">
        <f t="shared" si="73"/>
        <v>2</v>
      </c>
      <c r="DR16" s="4" t="e">
        <f t="shared" si="9"/>
        <v>#N/A</v>
      </c>
      <c r="DS16" s="4">
        <f t="shared" si="45"/>
        <v>14</v>
      </c>
      <c r="DT16" s="4" t="str">
        <f t="shared" si="10"/>
        <v/>
      </c>
      <c r="DU16" s="4" t="str">
        <f t="shared" si="11"/>
        <v/>
      </c>
      <c r="DV16" s="4" t="e">
        <f>VLOOKUP((VLOOKUP((VLOOKUP('Character Creation'!$Z$11,RaceChart,20,FALSE)&amp;" "&amp;VLOOKUP('Character Creation'!$Z$11,RaceChart,21,FALSE)),Charts!$H$2:$J$14,3,FALSE)+DU16),Charts!$J$2:$N$14,5,FALSE)</f>
        <v>#VALUE!</v>
      </c>
      <c r="DW16" s="4" t="e">
        <f>VLOOKUP(DV16,Charts!$N$2:$Q$14,4,FALSE)</f>
        <v>#VALUE!</v>
      </c>
      <c r="DX16" s="4" t="str">
        <f t="shared" si="46"/>
        <v/>
      </c>
      <c r="DY16" s="4" t="str">
        <f t="shared" si="12"/>
        <v/>
      </c>
      <c r="DZ16" s="4" t="str">
        <f t="shared" si="13"/>
        <v/>
      </c>
      <c r="EA16" s="4" t="e">
        <f>ROUNDDOWN(VLOOKUP(DK16,Skills!$N$72:$S$107,6,FALSE)/5,0)</f>
        <v>#N/A</v>
      </c>
      <c r="EB16" s="4" t="str">
        <f t="shared" si="14"/>
        <v/>
      </c>
      <c r="EC16" s="4" t="str">
        <f t="shared" si="47"/>
        <v>+</v>
      </c>
      <c r="ED16" s="4" t="e">
        <f>VLOOKUP(DJ16,'Character Sheet'!$FB$21:$HQ$35,61,FALSE)</f>
        <v>#N/A</v>
      </c>
      <c r="EE16" s="4" t="str">
        <f t="shared" si="15"/>
        <v/>
      </c>
      <c r="EF16" s="4" t="str">
        <f t="shared" si="48"/>
        <v/>
      </c>
      <c r="EG16" s="4" t="e">
        <f>VLOOKUP(DR16,Items!$B$1156:$AA$1282,18,FALSE)</f>
        <v>#N/A</v>
      </c>
      <c r="EH16" s="4" t="e">
        <f>VLOOKUP(DJ16,'Character Sheet'!$E$26:$EZ$45,81,FALSE)</f>
        <v>#N/A</v>
      </c>
      <c r="EI16" s="4" t="e">
        <f>VLOOKUP(DJ16,'Character Sheet'!$E$26:$EZ$45,89,FALSE)</f>
        <v>#N/A</v>
      </c>
      <c r="EJ16" s="4" t="e">
        <f t="shared" si="49"/>
        <v>#N/A</v>
      </c>
      <c r="EL16" s="4">
        <f ca="1">IFERROR(VLOOKUP(EO16,Skills!$N$402:$S$440,6,FALSE),0)</f>
        <v>0</v>
      </c>
      <c r="EM16" s="4">
        <v>15</v>
      </c>
      <c r="EN16" s="4" t="s">
        <v>824</v>
      </c>
      <c r="EO16" s="8" t="str">
        <f ca="1">IFERROR(VLOOKUP(EM16,Skills!$C$405:$M$440,11,FALSE),"")</f>
        <v/>
      </c>
      <c r="EP16" s="4" t="str">
        <f t="shared" ca="1" si="71"/>
        <v/>
      </c>
      <c r="EQ16" s="4">
        <v>1.4E-2</v>
      </c>
      <c r="ER16" s="4" t="str">
        <f t="shared" ca="1" si="16"/>
        <v/>
      </c>
      <c r="ES16" t="str">
        <f t="shared" ca="1" si="2"/>
        <v/>
      </c>
      <c r="ET16" s="4" t="e">
        <f ca="1">VLOOKUP(ES16,Skills!$N$405:$AG$440,20,FALSE)</f>
        <v>#N/A</v>
      </c>
    </row>
    <row r="17" spans="2:150" x14ac:dyDescent="0.25">
      <c r="B17" s="3"/>
      <c r="AC17" s="8" t="str">
        <f>IFERROR(VLOOKUP('Character Creation'!$CI30,Skills!$H$2:$N$620,6,FALSE),"")</f>
        <v/>
      </c>
      <c r="AD17" s="4">
        <f>'Character Creation'!EH30</f>
        <v>0</v>
      </c>
      <c r="AG17">
        <v>16</v>
      </c>
      <c r="AH17" s="4" t="str">
        <f t="shared" si="5"/>
        <v/>
      </c>
      <c r="AI17" t="str">
        <f>IFERROR(VLOOKUP(AG17,Skills!$B$2:$M$620,12,FALSE),"")</f>
        <v/>
      </c>
      <c r="AJ17" s="4" t="str">
        <f>IFERROR(VLOOKUP(AG17,Skills!$B$2:$AF$620,31,FALSE),"")</f>
        <v/>
      </c>
      <c r="AK17" s="4" t="str">
        <f t="shared" si="0"/>
        <v/>
      </c>
      <c r="AL17" s="4">
        <v>1.6E-2</v>
      </c>
      <c r="AM17" s="62" t="str">
        <f t="shared" si="6"/>
        <v/>
      </c>
      <c r="AN17" t="str">
        <f t="shared" ca="1" si="7"/>
        <v/>
      </c>
      <c r="AO17" s="4" t="str">
        <f ca="1">IFERROR(VLOOKUP(AG17,$AH$2:$AJ$451,3,FALSE)&amp;IF(ISNUMBER(SEARCH(", Written",AN17))," -R"&amp;VLOOKUP(AN17,Skills!$M$2:$S$620,7,FALSE),IF(ISNUMBER(SEARCH(", Spoken",AN17))," -R"&amp;VLOOKUP(AN17,Skills!$M$2:$S$620,7,FALSE),"")),"")</f>
        <v/>
      </c>
      <c r="AQ17">
        <v>14</v>
      </c>
      <c r="AR17" s="8">
        <f>'Character Sheet'!FB17</f>
        <v>0</v>
      </c>
      <c r="AS17" s="4" t="str">
        <f t="shared" si="17"/>
        <v/>
      </c>
      <c r="AT17" s="4" t="str">
        <f t="shared" si="18"/>
        <v/>
      </c>
      <c r="AU17" s="4" t="str">
        <f t="shared" si="50"/>
        <v/>
      </c>
      <c r="AV17" s="4" t="str">
        <f t="shared" si="51"/>
        <v/>
      </c>
      <c r="AW17" s="4" t="str">
        <f t="shared" si="52"/>
        <v/>
      </c>
      <c r="AX17" s="4" t="str">
        <f t="shared" si="22"/>
        <v/>
      </c>
      <c r="AY17" s="4" t="str">
        <f t="shared" si="53"/>
        <v/>
      </c>
      <c r="AZ17" s="4" t="str">
        <f t="shared" si="54"/>
        <v/>
      </c>
      <c r="BA17" s="4" t="str">
        <f>IFERROR('Character Sheet'!JK17,"")</f>
        <v/>
      </c>
      <c r="BB17" s="4" t="str">
        <f t="shared" si="25"/>
        <v/>
      </c>
      <c r="BC17" s="4" t="str">
        <f t="shared" si="55"/>
        <v/>
      </c>
      <c r="BD17" s="4" t="str">
        <f t="shared" si="56"/>
        <v/>
      </c>
      <c r="BE17" s="4" t="str">
        <f t="shared" si="57"/>
        <v/>
      </c>
      <c r="BF17" s="4" t="str">
        <f t="shared" si="58"/>
        <v/>
      </c>
      <c r="BG17" s="4" t="str">
        <f t="shared" si="59"/>
        <v/>
      </c>
      <c r="BH17" s="4" t="str">
        <f>IFERROR('Character Sheet'!KC17,"")</f>
        <v/>
      </c>
      <c r="BI17" s="4" t="str">
        <f t="shared" si="29"/>
        <v/>
      </c>
      <c r="BJ17" s="4" t="str">
        <f t="shared" si="60"/>
        <v/>
      </c>
      <c r="BK17" s="4" t="str">
        <f t="shared" si="61"/>
        <v/>
      </c>
      <c r="BL17" s="4" t="str">
        <f t="shared" si="62"/>
        <v/>
      </c>
      <c r="BM17" s="4" t="str">
        <f t="shared" si="63"/>
        <v/>
      </c>
      <c r="BN17" s="4" t="str">
        <f t="shared" si="64"/>
        <v/>
      </c>
      <c r="BO17" s="4" t="str">
        <f t="shared" si="65"/>
        <v/>
      </c>
      <c r="BP17" s="4" t="str">
        <f t="shared" si="66"/>
        <v/>
      </c>
      <c r="BQ17" s="4" t="str">
        <f>IFERROR('Character Sheet'!IQ17+VLOOKUP(BA17,MaterialChart,5,FALSE),"")</f>
        <v/>
      </c>
      <c r="BR17" s="4" t="str">
        <f t="shared" si="67"/>
        <v/>
      </c>
      <c r="BS17" s="4">
        <f>IFERROR(VLOOKUP(BA17&amp;CU17,Armour!$B$4:$BP$99,4,FALSE)+(BG17)+(BN17)-((AV17)+(AZ17)),0)</f>
        <v>0</v>
      </c>
      <c r="BT17" s="4" t="str">
        <f t="shared" si="68"/>
        <v/>
      </c>
      <c r="BU17" s="4" t="str">
        <f t="shared" si="69"/>
        <v/>
      </c>
      <c r="BV17" s="4" t="str">
        <f t="shared" si="70"/>
        <v/>
      </c>
      <c r="BW17" s="4" t="str">
        <f>IFERROR(ROUNDUP((BE17*(BB17-AT17))+(BL17*(BI17-AX17))+(BT17*(((100+(BD17+IF(BE17=1,0,BK17))+(4*BR17))/100)))*'Character Sheet'!GT17,3),"")</f>
        <v/>
      </c>
      <c r="BX17" s="4" t="str">
        <f t="shared" si="38"/>
        <v/>
      </c>
      <c r="BY17" s="8" t="str">
        <f t="shared" si="39"/>
        <v/>
      </c>
      <c r="BZ17" s="4">
        <f>IF(ISNUMBER(SEARCH(BZ$3,$BY17)),VLOOKUP($BA17&amp;$CU17,Armour!$B$4:$BP$99,67,FALSE),0)</f>
        <v>0</v>
      </c>
      <c r="CA17" s="4">
        <f>IF(ISNUMBER(SEARCH(CA$3,$BY17)),VLOOKUP($BA17&amp;$CU17,Armour!$B$4:$BP$99,67,FALSE),0)</f>
        <v>0</v>
      </c>
      <c r="CB17" s="4">
        <f>IF(ISNUMBER(SEARCH(CB$3,$BY17)),VLOOKUP($BA17&amp;$CU17,Armour!$B$4:$BP$99,67,FALSE),0)</f>
        <v>0</v>
      </c>
      <c r="CC17" s="4">
        <f>IF(ISNUMBER(SEARCH(CC$3,$BY17)),VLOOKUP($BA17&amp;$CU17,Armour!$B$4:$BP$99,67,FALSE),0)</f>
        <v>0</v>
      </c>
      <c r="CD17" s="4">
        <f>IF(ISNUMBER(SEARCH(CD$3,$BY17)),VLOOKUP($BA17&amp;$CU17,Armour!$B$4:$BP$99,67,FALSE),0)</f>
        <v>0</v>
      </c>
      <c r="CE17" s="4">
        <f>IF(ISNUMBER(SEARCH(CE$3,$BY17)),VLOOKUP($BA17&amp;$CU17,Armour!$B$4:$BP$99,67,FALSE),0)</f>
        <v>0</v>
      </c>
      <c r="CF17" s="4">
        <f>IF(ISNUMBER(SEARCH(CF$3,$BY17)),VLOOKUP($BA17&amp;$CU17,Armour!$B$4:$BP$99,67,FALSE),0)</f>
        <v>0</v>
      </c>
      <c r="CG17" s="4">
        <f>IF(ISNUMBER(SEARCH(CG$3,$BY17)),VLOOKUP($BA17&amp;$CU17,Armour!$B$4:$BP$99,67,FALSE),0)</f>
        <v>0</v>
      </c>
      <c r="CH17" s="4">
        <f>IF(ISNUMBER(SEARCH(CH$3,$BY17)),VLOOKUP($BA17&amp;$CU17,Armour!$B$4:$BP$99,67,FALSE),0)</f>
        <v>0</v>
      </c>
      <c r="CI17" s="4">
        <f>IF(ISNUMBER(SEARCH(CI$3,$BY17)),VLOOKUP($BA17&amp;$CU17,Armour!$B$4:$BP$99,67,FALSE),0)</f>
        <v>0</v>
      </c>
      <c r="CJ17" s="4">
        <f>IF(ISNUMBER(SEARCH(CJ$3,$BY17)),VLOOKUP($BA17&amp;$CU17,Armour!$B$4:$BP$99,67,FALSE),0)</f>
        <v>0</v>
      </c>
      <c r="CK17" s="4">
        <f>IF(ISNUMBER(SEARCH(CK$3,$BY17)),VLOOKUP($BA17&amp;$CU17,Armour!$B$4:$BP$99,67,FALSE),0)</f>
        <v>0</v>
      </c>
      <c r="CL17" s="4">
        <f>IF(ISNUMBER(SEARCH(CL$3,$BY17)),VLOOKUP($BA17&amp;$CU17,Armour!$B$4:$BP$99,67,FALSE),0)</f>
        <v>0</v>
      </c>
      <c r="CM17" s="4">
        <f>IF(ISNUMBER(SEARCH(CM$3,$BY17)),VLOOKUP($BA17&amp;$CU17,Armour!$B$4:$BP$99,67,FALSE),0)</f>
        <v>0</v>
      </c>
      <c r="CN17" s="4">
        <f>IF(ISNUMBER(SEARCH(CN$3,$BY17)),VLOOKUP($BA17&amp;$CU17,Armour!$B$4:$BP$99,67,FALSE),0)</f>
        <v>0</v>
      </c>
      <c r="CO17" s="4">
        <f>IF(ISNUMBER(SEARCH(CO$3,$BY17)),VLOOKUP($BA17&amp;$CU17,Armour!$B$4:$BP$99,67,FALSE),0)</f>
        <v>0</v>
      </c>
      <c r="CP17" s="4">
        <f>IF(ISNUMBER(SEARCH(CP$3,$BY17)),VLOOKUP($BA17&amp;$CU17,Armour!$B$4:$BP$99,67,FALSE),0)</f>
        <v>0</v>
      </c>
      <c r="CQ17" s="4">
        <f>IF(ISNUMBER(SEARCH(CQ$3,$BY17)),VLOOKUP($BA17&amp;$CU17,Armour!$B$4:$BP$99,67,FALSE),0)</f>
        <v>0</v>
      </c>
      <c r="CR17" s="4">
        <f>IF(ISNUMBER(SEARCH(CR$3,$BY17)),VLOOKUP($BA17&amp;$CU17,Armour!$B$4:$BP$99,67,FALSE),0)</f>
        <v>0</v>
      </c>
      <c r="CS17" s="4">
        <f>IF(ISNUMBER(SEARCH(CS$3,$BY17)),VLOOKUP($BA17&amp;$CU17,Armour!$B$4:$BP$99,67,FALSE),0)</f>
        <v>0</v>
      </c>
      <c r="CT17" s="4">
        <f>IF(ISNUMBER(SEARCH(CT$3,$BY17)),VLOOKUP($BA17&amp;$CU17,Armour!$B$4:$BP$99,67,FALSE),0)</f>
        <v>0</v>
      </c>
      <c r="CU17" s="4" t="e">
        <f t="shared" si="40"/>
        <v>#N/A</v>
      </c>
      <c r="CV17" s="4"/>
      <c r="CX17">
        <v>15</v>
      </c>
      <c r="CY17" s="3" t="str">
        <f>'Character Sheet'!B63</f>
        <v>Groin:</v>
      </c>
      <c r="CZ17" s="4">
        <f>MAX($CN$4:$CN$19)</f>
        <v>4</v>
      </c>
      <c r="DA17" t="str">
        <f>IFERROR(VLOOKUP(CZ17,Armour!$A$4:$B$99,2,FALSE),"No Armour")</f>
        <v>Heavy Cloth</v>
      </c>
      <c r="DC17">
        <v>15</v>
      </c>
      <c r="DD17" s="3" t="str">
        <f>'Character Sheet'!B142</f>
        <v>R Front Hoof:</v>
      </c>
      <c r="DE17" s="4">
        <f>MAX($CN$83:$CN$116)</f>
        <v>0</v>
      </c>
      <c r="DF17" t="str">
        <f>IFERROR(VLOOKUP(DE17,Armour!$A$4:$B$99,2,FALSE),"No Armour")</f>
        <v>No Armour</v>
      </c>
      <c r="DH17" s="4" t="str">
        <f t="shared" si="41"/>
        <v/>
      </c>
      <c r="DI17">
        <v>15</v>
      </c>
      <c r="DJ17" s="3">
        <f>'Character Sheet'!FB35</f>
        <v>0</v>
      </c>
      <c r="DK17" s="4" t="str">
        <f t="shared" si="8"/>
        <v/>
      </c>
      <c r="DL17" s="4" t="str">
        <f>IFERROR(IF(DK17=0,"",VLOOKUP(DK17,Skills!$N$72:$AF$107,19,FALSE)),"")</f>
        <v/>
      </c>
      <c r="DM17" s="4">
        <f>IFERROR(VLOOKUP($DJ17,ItemChart,18,FALSE)+'Character Sheet'!IJ35,0)</f>
        <v>0</v>
      </c>
      <c r="DN17" s="4" t="str">
        <f t="shared" si="42"/>
        <v/>
      </c>
      <c r="DO17" s="4" t="str">
        <f>IFERROR(DN17+0.15,"")</f>
        <v/>
      </c>
      <c r="DP17" s="4">
        <f t="shared" si="43"/>
        <v>0</v>
      </c>
      <c r="DQ17" s="4">
        <f t="shared" si="73"/>
        <v>2</v>
      </c>
      <c r="DR17" s="4" t="e">
        <f t="shared" si="9"/>
        <v>#N/A</v>
      </c>
      <c r="DS17" s="4">
        <f t="shared" si="45"/>
        <v>15</v>
      </c>
      <c r="DT17" s="4" t="str">
        <f t="shared" si="10"/>
        <v/>
      </c>
      <c r="DU17" s="4" t="str">
        <f t="shared" si="11"/>
        <v/>
      </c>
      <c r="DV17" s="4" t="e">
        <f>VLOOKUP((VLOOKUP((VLOOKUP('Character Creation'!$Z$11,RaceChart,20,FALSE)&amp;" "&amp;VLOOKUP('Character Creation'!$Z$11,RaceChart,21,FALSE)),Charts!$H$2:$J$14,3,FALSE)+DU17),Charts!$J$2:$N$14,5,FALSE)</f>
        <v>#VALUE!</v>
      </c>
      <c r="DW17" s="4" t="e">
        <f>VLOOKUP(DV17,Charts!$N$2:$Q$14,4,FALSE)</f>
        <v>#VALUE!</v>
      </c>
      <c r="DX17" s="4" t="str">
        <f t="shared" si="46"/>
        <v/>
      </c>
      <c r="DY17" s="4" t="str">
        <f t="shared" si="12"/>
        <v/>
      </c>
      <c r="DZ17" s="4" t="str">
        <f t="shared" si="13"/>
        <v/>
      </c>
      <c r="EA17" s="4" t="e">
        <f>ROUNDDOWN(VLOOKUP(DK17,Skills!$N$72:$S$107,6,FALSE)/5,0)</f>
        <v>#N/A</v>
      </c>
      <c r="EB17" s="4" t="str">
        <f t="shared" si="14"/>
        <v/>
      </c>
      <c r="EC17" s="4" t="str">
        <f t="shared" si="47"/>
        <v>+</v>
      </c>
      <c r="ED17" s="4" t="e">
        <f>VLOOKUP(DJ17,'Character Sheet'!$FB$21:$HQ$35,61,FALSE)</f>
        <v>#N/A</v>
      </c>
      <c r="EE17" s="4" t="str">
        <f t="shared" si="15"/>
        <v/>
      </c>
      <c r="EF17" s="4" t="str">
        <f t="shared" si="48"/>
        <v/>
      </c>
      <c r="EG17" s="4" t="e">
        <f>VLOOKUP(DR17,Items!$B$1156:$AA$1282,18,FALSE)</f>
        <v>#N/A</v>
      </c>
      <c r="EH17" s="4" t="e">
        <f>VLOOKUP(DJ17,'Character Sheet'!$E$26:$EZ$45,81,FALSE)</f>
        <v>#N/A</v>
      </c>
      <c r="EI17" s="4" t="e">
        <f>VLOOKUP(DJ17,'Character Sheet'!$E$26:$EZ$45,89,FALSE)</f>
        <v>#N/A</v>
      </c>
      <c r="EJ17" s="4" t="e">
        <f t="shared" si="49"/>
        <v>#N/A</v>
      </c>
      <c r="EL17" s="4">
        <f ca="1">IFERROR(VLOOKUP(EO17,Skills!$N$402:$S$440,6,FALSE),0)</f>
        <v>0</v>
      </c>
      <c r="EM17" s="4">
        <v>16</v>
      </c>
      <c r="EN17" s="4" t="s">
        <v>824</v>
      </c>
      <c r="EO17" s="8" t="str">
        <f ca="1">IFERROR(VLOOKUP(EM17,Skills!$C$405:$M$440,11,FALSE),"")</f>
        <v/>
      </c>
      <c r="EP17" s="4" t="str">
        <f t="shared" ca="1" si="71"/>
        <v/>
      </c>
      <c r="EQ17" s="4">
        <v>1.4999999999999999E-2</v>
      </c>
      <c r="ER17" s="4" t="str">
        <f t="shared" ca="1" si="16"/>
        <v/>
      </c>
      <c r="ES17" t="str">
        <f t="shared" ca="1" si="2"/>
        <v/>
      </c>
      <c r="ET17" s="4" t="e">
        <f ca="1">VLOOKUP(ES17,Skills!$N$405:$AG$440,20,FALSE)</f>
        <v>#N/A</v>
      </c>
    </row>
    <row r="18" spans="2:150" x14ac:dyDescent="0.25">
      <c r="P18" s="3" t="s">
        <v>2047</v>
      </c>
      <c r="Q18" t="str">
        <f>'Character Creation'!H56&amp;"; "&amp;'Character Creation'!H57&amp;"; "&amp;'Character Creation'!H58&amp;"; "&amp;'Character Creation'!H59&amp;"; "&amp;'Character Creation'!H60&amp;"; "&amp;'Character Creation'!H61&amp;"; "&amp;'Character Creation'!H62&amp;"; "&amp;'Character Creation'!H63&amp;"; "&amp;'Character Creation'!H64&amp;"; "&amp;'Character Creation'!H65&amp;"; "</f>
        <v xml:space="preserve">Perception; Ranged Weapons Sub-category; Musical Composition; Magic Lore; Languages Sub-category; Mental Focus; Running; Acting; Play Instrument Sub-category; Influence Sub-category; </v>
      </c>
      <c r="AC18" s="8" t="str">
        <f>IFERROR(VLOOKUP('Character Creation'!$CI31,Skills!$H$2:$N$620,6,FALSE),"")</f>
        <v/>
      </c>
      <c r="AD18" s="4">
        <f>'Character Creation'!EH31</f>
        <v>0</v>
      </c>
      <c r="AG18">
        <v>17</v>
      </c>
      <c r="AH18" s="4" t="str">
        <f t="shared" si="5"/>
        <v/>
      </c>
      <c r="AI18" t="str">
        <f>IFERROR(VLOOKUP(AG18,Skills!$B$2:$M$620,12,FALSE),"")</f>
        <v/>
      </c>
      <c r="AJ18" s="4" t="str">
        <f>IFERROR(VLOOKUP(AG18,Skills!$B$2:$AF$620,31,FALSE),"")</f>
        <v/>
      </c>
      <c r="AK18" s="4" t="str">
        <f t="shared" si="0"/>
        <v/>
      </c>
      <c r="AL18" s="4">
        <v>1.7000000000000001E-2</v>
      </c>
      <c r="AM18" s="62" t="str">
        <f t="shared" si="6"/>
        <v/>
      </c>
      <c r="AN18" t="str">
        <f t="shared" ca="1" si="7"/>
        <v/>
      </c>
      <c r="AO18" s="4" t="str">
        <f ca="1">IFERROR(VLOOKUP(AG18,$AH$2:$AJ$451,3,FALSE)&amp;IF(ISNUMBER(SEARCH(", Written",AN18))," -R"&amp;VLOOKUP(AN18,Skills!$M$2:$S$620,7,FALSE),IF(ISNUMBER(SEARCH(", Spoken",AN18))," -R"&amp;VLOOKUP(AN18,Skills!$M$2:$S$620,7,FALSE),"")),"")</f>
        <v/>
      </c>
      <c r="AQ18">
        <v>15</v>
      </c>
      <c r="AR18" s="8">
        <f>'Character Sheet'!FB18</f>
        <v>0</v>
      </c>
      <c r="AS18" s="4" t="str">
        <f t="shared" si="17"/>
        <v/>
      </c>
      <c r="AT18" s="4" t="str">
        <f t="shared" si="18"/>
        <v/>
      </c>
      <c r="AU18" s="4" t="str">
        <f t="shared" si="50"/>
        <v/>
      </c>
      <c r="AV18" s="4" t="str">
        <f t="shared" si="51"/>
        <v/>
      </c>
      <c r="AW18" s="4" t="str">
        <f t="shared" si="52"/>
        <v/>
      </c>
      <c r="AX18" s="4" t="str">
        <f t="shared" si="22"/>
        <v/>
      </c>
      <c r="AY18" s="4" t="str">
        <f t="shared" si="53"/>
        <v/>
      </c>
      <c r="AZ18" s="4" t="str">
        <f t="shared" si="54"/>
        <v/>
      </c>
      <c r="BA18" s="4" t="str">
        <f>IFERROR('Character Sheet'!JK18,"")</f>
        <v/>
      </c>
      <c r="BB18" s="4" t="str">
        <f t="shared" si="25"/>
        <v/>
      </c>
      <c r="BC18" s="4" t="str">
        <f t="shared" si="55"/>
        <v/>
      </c>
      <c r="BD18" s="4" t="str">
        <f t="shared" si="56"/>
        <v/>
      </c>
      <c r="BE18" s="4" t="str">
        <f t="shared" si="57"/>
        <v/>
      </c>
      <c r="BF18" s="4" t="str">
        <f t="shared" si="58"/>
        <v/>
      </c>
      <c r="BG18" s="4" t="str">
        <f t="shared" si="59"/>
        <v/>
      </c>
      <c r="BH18" s="4" t="str">
        <f>IFERROR('Character Sheet'!KC18,"")</f>
        <v/>
      </c>
      <c r="BI18" s="4" t="str">
        <f t="shared" si="29"/>
        <v/>
      </c>
      <c r="BJ18" s="4" t="str">
        <f t="shared" si="60"/>
        <v/>
      </c>
      <c r="BK18" s="4" t="str">
        <f t="shared" si="61"/>
        <v/>
      </c>
      <c r="BL18" s="4" t="str">
        <f t="shared" si="62"/>
        <v/>
      </c>
      <c r="BM18" s="4" t="str">
        <f t="shared" si="63"/>
        <v/>
      </c>
      <c r="BN18" s="4" t="str">
        <f t="shared" si="64"/>
        <v/>
      </c>
      <c r="BO18" s="4" t="str">
        <f t="shared" si="65"/>
        <v/>
      </c>
      <c r="BP18" s="4" t="str">
        <f t="shared" si="66"/>
        <v/>
      </c>
      <c r="BQ18" s="4" t="str">
        <f>IFERROR('Character Sheet'!IQ18+VLOOKUP(BA18,MaterialChart,5,FALSE),"")</f>
        <v/>
      </c>
      <c r="BR18" s="4" t="str">
        <f t="shared" si="67"/>
        <v/>
      </c>
      <c r="BS18" s="4">
        <f>IFERROR(VLOOKUP(BA18&amp;CU18,Armour!$B$4:$BP$99,4,FALSE)+(BG18)+(BN18)-((AV18)+(AZ18)),0)</f>
        <v>0</v>
      </c>
      <c r="BT18" s="4" t="str">
        <f t="shared" si="68"/>
        <v/>
      </c>
      <c r="BU18" s="4" t="str">
        <f t="shared" si="69"/>
        <v/>
      </c>
      <c r="BV18" s="4" t="str">
        <f t="shared" si="70"/>
        <v/>
      </c>
      <c r="BW18" s="4" t="str">
        <f>IFERROR(ROUNDUP((BE18*(BB18-AT18))+(BL18*(BI18-AX18))+(BT18*(((100+(BD18+IF(BE18=1,0,BK18))+(4*BR18))/100)))*'Character Sheet'!GT18,3),"")</f>
        <v/>
      </c>
      <c r="BX18" s="4" t="str">
        <f t="shared" si="38"/>
        <v/>
      </c>
      <c r="BY18" s="8" t="str">
        <f t="shared" si="39"/>
        <v/>
      </c>
      <c r="BZ18" s="4">
        <f>IF(ISNUMBER(SEARCH(BZ$3,$BY18)),VLOOKUP($BA18&amp;$CU18,Armour!$B$4:$BP$99,67,FALSE),0)</f>
        <v>0</v>
      </c>
      <c r="CA18" s="4">
        <f>IF(ISNUMBER(SEARCH(CA$3,$BY18)),VLOOKUP($BA18&amp;$CU18,Armour!$B$4:$BP$99,67,FALSE),0)</f>
        <v>0</v>
      </c>
      <c r="CB18" s="4">
        <f>IF(ISNUMBER(SEARCH(CB$3,$BY18)),VLOOKUP($BA18&amp;$CU18,Armour!$B$4:$BP$99,67,FALSE),0)</f>
        <v>0</v>
      </c>
      <c r="CC18" s="4">
        <f>IF(ISNUMBER(SEARCH(CC$3,$BY18)),VLOOKUP($BA18&amp;$CU18,Armour!$B$4:$BP$99,67,FALSE),0)</f>
        <v>0</v>
      </c>
      <c r="CD18" s="4">
        <f>IF(ISNUMBER(SEARCH(CD$3,$BY18)),VLOOKUP($BA18&amp;$CU18,Armour!$B$4:$BP$99,67,FALSE),0)</f>
        <v>0</v>
      </c>
      <c r="CE18" s="4">
        <f>IF(ISNUMBER(SEARCH(CE$3,$BY18)),VLOOKUP($BA18&amp;$CU18,Armour!$B$4:$BP$99,67,FALSE),0)</f>
        <v>0</v>
      </c>
      <c r="CF18" s="4">
        <f>IF(ISNUMBER(SEARCH(CF$3,$BY18)),VLOOKUP($BA18&amp;$CU18,Armour!$B$4:$BP$99,67,FALSE),0)</f>
        <v>0</v>
      </c>
      <c r="CG18" s="4">
        <f>IF(ISNUMBER(SEARCH(CG$3,$BY18)),VLOOKUP($BA18&amp;$CU18,Armour!$B$4:$BP$99,67,FALSE),0)</f>
        <v>0</v>
      </c>
      <c r="CH18" s="4">
        <f>IF(ISNUMBER(SEARCH(CH$3,$BY18)),VLOOKUP($BA18&amp;$CU18,Armour!$B$4:$BP$99,67,FALSE),0)</f>
        <v>0</v>
      </c>
      <c r="CI18" s="4">
        <f>IF(ISNUMBER(SEARCH(CI$3,$BY18)),VLOOKUP($BA18&amp;$CU18,Armour!$B$4:$BP$99,67,FALSE),0)</f>
        <v>0</v>
      </c>
      <c r="CJ18" s="4">
        <f>IF(ISNUMBER(SEARCH(CJ$3,$BY18)),VLOOKUP($BA18&amp;$CU18,Armour!$B$4:$BP$99,67,FALSE),0)</f>
        <v>0</v>
      </c>
      <c r="CK18" s="4">
        <f>IF(ISNUMBER(SEARCH(CK$3,$BY18)),VLOOKUP($BA18&amp;$CU18,Armour!$B$4:$BP$99,67,FALSE),0)</f>
        <v>0</v>
      </c>
      <c r="CL18" s="4">
        <f>IF(ISNUMBER(SEARCH(CL$3,$BY18)),VLOOKUP($BA18&amp;$CU18,Armour!$B$4:$BP$99,67,FALSE),0)</f>
        <v>0</v>
      </c>
      <c r="CM18" s="4">
        <f>IF(ISNUMBER(SEARCH(CM$3,$BY18)),VLOOKUP($BA18&amp;$CU18,Armour!$B$4:$BP$99,67,FALSE),0)</f>
        <v>0</v>
      </c>
      <c r="CN18" s="4">
        <f>IF(ISNUMBER(SEARCH(CN$3,$BY18)),VLOOKUP($BA18&amp;$CU18,Armour!$B$4:$BP$99,67,FALSE),0)</f>
        <v>0</v>
      </c>
      <c r="CO18" s="4">
        <f>IF(ISNUMBER(SEARCH(CO$3,$BY18)),VLOOKUP($BA18&amp;$CU18,Armour!$B$4:$BP$99,67,FALSE),0)</f>
        <v>0</v>
      </c>
      <c r="CP18" s="4">
        <f>IF(ISNUMBER(SEARCH(CP$3,$BY18)),VLOOKUP($BA18&amp;$CU18,Armour!$B$4:$BP$99,67,FALSE),0)</f>
        <v>0</v>
      </c>
      <c r="CQ18" s="4">
        <f>IF(ISNUMBER(SEARCH(CQ$3,$BY18)),VLOOKUP($BA18&amp;$CU18,Armour!$B$4:$BP$99,67,FALSE),0)</f>
        <v>0</v>
      </c>
      <c r="CR18" s="4">
        <f>IF(ISNUMBER(SEARCH(CR$3,$BY18)),VLOOKUP($BA18&amp;$CU18,Armour!$B$4:$BP$99,67,FALSE),0)</f>
        <v>0</v>
      </c>
      <c r="CS18" s="4">
        <f>IF(ISNUMBER(SEARCH(CS$3,$BY18)),VLOOKUP($BA18&amp;$CU18,Armour!$B$4:$BP$99,67,FALSE),0)</f>
        <v>0</v>
      </c>
      <c r="CT18" s="4">
        <f>IF(ISNUMBER(SEARCH(CT$3,$BY18)),VLOOKUP($BA18&amp;$CU18,Armour!$B$4:$BP$99,67,FALSE),0)</f>
        <v>0</v>
      </c>
      <c r="CU18" s="4" t="e">
        <f t="shared" si="40"/>
        <v>#N/A</v>
      </c>
      <c r="CV18" s="4"/>
      <c r="CX18">
        <v>16</v>
      </c>
      <c r="CY18" s="3" t="str">
        <f>'Character Sheet'!B64</f>
        <v>L Upper Leg:</v>
      </c>
      <c r="CZ18" s="4">
        <f>MAX($CO$4:$CO$19)</f>
        <v>4</v>
      </c>
      <c r="DA18" t="str">
        <f>IFERROR(VLOOKUP(CZ18,Armour!$A$4:$B$99,2,FALSE),"No Armour")</f>
        <v>Heavy Cloth</v>
      </c>
      <c r="DC18">
        <v>16</v>
      </c>
      <c r="DD18" s="3" t="str">
        <f>'Character Sheet'!B143</f>
        <v>L Rear Upper Leg:</v>
      </c>
      <c r="DE18" s="4">
        <f>MAX($CO$83:$CO$116)</f>
        <v>0</v>
      </c>
      <c r="DF18" t="str">
        <f>IFERROR(VLOOKUP(DE18,Armour!$A$4:$B$99,2,FALSE),"No Armour")</f>
        <v>No Armour</v>
      </c>
      <c r="DH18" s="4" t="str">
        <f t="shared" si="41"/>
        <v/>
      </c>
      <c r="DI18">
        <v>16</v>
      </c>
      <c r="DJ18" s="3"/>
      <c r="DK18" s="4"/>
      <c r="DL18" s="4"/>
      <c r="DM18" s="4"/>
      <c r="DN18" s="4"/>
      <c r="DO18" s="4"/>
      <c r="DP18" s="4">
        <f t="shared" si="43"/>
        <v>0</v>
      </c>
      <c r="DQ18" s="4"/>
      <c r="DR18" s="4"/>
      <c r="DS18" s="4"/>
      <c r="DT18" s="4"/>
      <c r="DU18" s="4"/>
      <c r="DW18" s="4"/>
      <c r="DX18" s="4"/>
      <c r="DZ18" s="4"/>
      <c r="EA18" s="4"/>
      <c r="EE18" s="4"/>
      <c r="EF18" s="4"/>
      <c r="EG18" s="4"/>
      <c r="EH18" s="4"/>
      <c r="EI18" s="4"/>
      <c r="EJ18" s="4"/>
      <c r="EL18" s="4">
        <f ca="1">IFERROR(VLOOKUP(EO18,Skills!$N$402:$S$440,6,FALSE),0)</f>
        <v>0</v>
      </c>
      <c r="EM18" s="4">
        <v>17</v>
      </c>
      <c r="EN18" s="4" t="s">
        <v>824</v>
      </c>
      <c r="EO18" s="8" t="str">
        <f ca="1">IFERROR(VLOOKUP(EM18,Skills!$C$405:$M$440,11,FALSE),"")</f>
        <v/>
      </c>
      <c r="EP18" s="4" t="str">
        <f t="shared" ca="1" si="71"/>
        <v/>
      </c>
      <c r="EQ18" s="4">
        <v>1.6E-2</v>
      </c>
      <c r="ER18" s="4" t="str">
        <f t="shared" ca="1" si="16"/>
        <v/>
      </c>
      <c r="ES18" t="str">
        <f t="shared" ca="1" si="2"/>
        <v/>
      </c>
      <c r="ET18" s="4" t="e">
        <f ca="1">VLOOKUP(ES18,Skills!$N$405:$AG$440,20,FALSE)</f>
        <v>#N/A</v>
      </c>
    </row>
    <row r="19" spans="2:150" x14ac:dyDescent="0.25">
      <c r="P19" s="3" t="s">
        <v>2048</v>
      </c>
      <c r="Q19" t="str">
        <f>'Character Creation'!H76&amp;"; "&amp;'Character Creation'!H77&amp;"; "&amp;'Character Creation'!H78&amp;"; "&amp;'Character Creation'!H79&amp;"; "&amp;'Character Creation'!H80&amp;"; "&amp;'Character Creation'!H81&amp;"; "&amp;'Character Creation'!H82&amp;"; "&amp;'Character Creation'!H83&amp;"; "</f>
        <v xml:space="preserve">; ; ; ; ; ; ; ; </v>
      </c>
      <c r="AC19" s="8" t="str">
        <f>IFERROR(VLOOKUP('Character Creation'!$CI32,Skills!$H$2:$N$620,6,FALSE),"")</f>
        <v/>
      </c>
      <c r="AD19" s="4">
        <f>'Character Creation'!EH32</f>
        <v>0</v>
      </c>
      <c r="AG19">
        <v>18</v>
      </c>
      <c r="AH19" s="4" t="str">
        <f t="shared" si="5"/>
        <v/>
      </c>
      <c r="AI19" t="str">
        <f>IFERROR(VLOOKUP(AG19,Skills!$B$2:$M$620,12,FALSE),"")</f>
        <v/>
      </c>
      <c r="AJ19" s="4" t="str">
        <f>IFERROR(VLOOKUP(AG19,Skills!$B$2:$AF$620,31,FALSE),"")</f>
        <v/>
      </c>
      <c r="AK19" s="4" t="str">
        <f t="shared" si="0"/>
        <v/>
      </c>
      <c r="AL19" s="4">
        <v>1.7999999999999999E-2</v>
      </c>
      <c r="AM19" s="62" t="str">
        <f t="shared" si="6"/>
        <v/>
      </c>
      <c r="AN19" t="str">
        <f t="shared" ca="1" si="7"/>
        <v/>
      </c>
      <c r="AO19" s="4" t="str">
        <f ca="1">IFERROR(VLOOKUP(AG19,$AH$2:$AJ$451,3,FALSE)&amp;IF(ISNUMBER(SEARCH(", Written",AN19))," -R"&amp;VLOOKUP(AN19,Skills!$M$2:$S$620,7,FALSE),IF(ISNUMBER(SEARCH(", Spoken",AN19))," -R"&amp;VLOOKUP(AN19,Skills!$M$2:$S$620,7,FALSE),"")),"")</f>
        <v/>
      </c>
      <c r="AQ19">
        <v>16</v>
      </c>
      <c r="AR19" s="8">
        <f>'Character Sheet'!FB19</f>
        <v>0</v>
      </c>
      <c r="AS19" s="4" t="str">
        <f t="shared" si="17"/>
        <v/>
      </c>
      <c r="AT19" s="4" t="str">
        <f t="shared" si="18"/>
        <v/>
      </c>
      <c r="AU19" s="4" t="str">
        <f t="shared" si="50"/>
        <v/>
      </c>
      <c r="AV19" s="4" t="str">
        <f t="shared" si="51"/>
        <v/>
      </c>
      <c r="AW19" s="4" t="str">
        <f t="shared" si="52"/>
        <v/>
      </c>
      <c r="AX19" s="4" t="str">
        <f t="shared" si="22"/>
        <v/>
      </c>
      <c r="AY19" s="4" t="str">
        <f t="shared" si="53"/>
        <v/>
      </c>
      <c r="AZ19" s="4" t="str">
        <f t="shared" si="54"/>
        <v/>
      </c>
      <c r="BA19" s="4" t="str">
        <f>IFERROR('Character Sheet'!JK19,"")</f>
        <v/>
      </c>
      <c r="BB19" s="4" t="str">
        <f t="shared" si="25"/>
        <v/>
      </c>
      <c r="BC19" s="4" t="str">
        <f t="shared" si="55"/>
        <v/>
      </c>
      <c r="BD19" s="4" t="str">
        <f t="shared" si="56"/>
        <v/>
      </c>
      <c r="BE19" s="4" t="str">
        <f t="shared" si="57"/>
        <v/>
      </c>
      <c r="BF19" s="4" t="str">
        <f t="shared" si="58"/>
        <v/>
      </c>
      <c r="BG19" s="4" t="str">
        <f t="shared" si="59"/>
        <v/>
      </c>
      <c r="BH19" s="4" t="str">
        <f>IFERROR('Character Sheet'!KC19,"")</f>
        <v/>
      </c>
      <c r="BI19" s="4" t="str">
        <f t="shared" si="29"/>
        <v/>
      </c>
      <c r="BJ19" s="4" t="str">
        <f t="shared" si="60"/>
        <v/>
      </c>
      <c r="BK19" s="4" t="str">
        <f t="shared" si="61"/>
        <v/>
      </c>
      <c r="BL19" s="4" t="str">
        <f t="shared" si="62"/>
        <v/>
      </c>
      <c r="BM19" s="4" t="str">
        <f t="shared" si="63"/>
        <v/>
      </c>
      <c r="BN19" s="4" t="str">
        <f t="shared" si="64"/>
        <v/>
      </c>
      <c r="BO19" s="4" t="str">
        <f t="shared" si="65"/>
        <v/>
      </c>
      <c r="BP19" s="4" t="str">
        <f t="shared" si="66"/>
        <v/>
      </c>
      <c r="BQ19" s="4" t="str">
        <f>IFERROR('Character Sheet'!IQ19+VLOOKUP(BA19,MaterialChart,5,FALSE),"")</f>
        <v/>
      </c>
      <c r="BR19" s="4" t="str">
        <f t="shared" si="67"/>
        <v/>
      </c>
      <c r="BS19" s="4">
        <f>IFERROR(VLOOKUP(BA19&amp;CU19,Armour!$B$4:$BP$99,4,FALSE)+(BG19)+(BN19)-((AV19)+(AZ19)),0)</f>
        <v>0</v>
      </c>
      <c r="BT19" s="4" t="str">
        <f t="shared" si="68"/>
        <v/>
      </c>
      <c r="BU19" s="4" t="str">
        <f t="shared" si="69"/>
        <v/>
      </c>
      <c r="BV19" s="4" t="str">
        <f t="shared" si="70"/>
        <v/>
      </c>
      <c r="BW19" s="4" t="str">
        <f>IFERROR(ROUNDUP((BE19*(BB19-AT19))+(BL19*(BI19-AX19))+(BT19*(((100+(BD19+IF(BE19=1,0,BK19))+(4*BR19))/100)))*'Character Sheet'!GT19,3),"")</f>
        <v/>
      </c>
      <c r="BX19" s="4" t="str">
        <f t="shared" si="38"/>
        <v/>
      </c>
      <c r="BY19" s="8" t="str">
        <f t="shared" si="39"/>
        <v/>
      </c>
      <c r="BZ19" s="4">
        <f>IF(ISNUMBER(SEARCH(BZ$3,$BY19)),VLOOKUP($BA19&amp;$CU19,Armour!$B$4:$BP$99,67,FALSE),0)</f>
        <v>0</v>
      </c>
      <c r="CA19" s="4">
        <f>IF(ISNUMBER(SEARCH(CA$3,$BY19)),VLOOKUP($BA19&amp;$CU19,Armour!$B$4:$BP$99,67,FALSE),0)</f>
        <v>0</v>
      </c>
      <c r="CB19" s="4">
        <f>IF(ISNUMBER(SEARCH(CB$3,$BY19)),VLOOKUP($BA19&amp;$CU19,Armour!$B$4:$BP$99,67,FALSE),0)</f>
        <v>0</v>
      </c>
      <c r="CC19" s="4">
        <f>IF(ISNUMBER(SEARCH(CC$3,$BY19)),VLOOKUP($BA19&amp;$CU19,Armour!$B$4:$BP$99,67,FALSE),0)</f>
        <v>0</v>
      </c>
      <c r="CD19" s="4">
        <f>IF(ISNUMBER(SEARCH(CD$3,$BY19)),VLOOKUP($BA19&amp;$CU19,Armour!$B$4:$BP$99,67,FALSE),0)</f>
        <v>0</v>
      </c>
      <c r="CE19" s="4">
        <f>IF(ISNUMBER(SEARCH(CE$3,$BY19)),VLOOKUP($BA19&amp;$CU19,Armour!$B$4:$BP$99,67,FALSE),0)</f>
        <v>0</v>
      </c>
      <c r="CF19" s="4">
        <f>IF(ISNUMBER(SEARCH(CF$3,$BY19)),VLOOKUP($BA19&amp;$CU19,Armour!$B$4:$BP$99,67,FALSE),0)</f>
        <v>0</v>
      </c>
      <c r="CG19" s="4">
        <f>IF(ISNUMBER(SEARCH(CG$3,$BY19)),VLOOKUP($BA19&amp;$CU19,Armour!$B$4:$BP$99,67,FALSE),0)</f>
        <v>0</v>
      </c>
      <c r="CH19" s="4">
        <f>IF(ISNUMBER(SEARCH(CH$3,$BY19)),VLOOKUP($BA19&amp;$CU19,Armour!$B$4:$BP$99,67,FALSE),0)</f>
        <v>0</v>
      </c>
      <c r="CI19" s="4">
        <f>IF(ISNUMBER(SEARCH(CI$3,$BY19)),VLOOKUP($BA19&amp;$CU19,Armour!$B$4:$BP$99,67,FALSE),0)</f>
        <v>0</v>
      </c>
      <c r="CJ19" s="4">
        <f>IF(ISNUMBER(SEARCH(CJ$3,$BY19)),VLOOKUP($BA19&amp;$CU19,Armour!$B$4:$BP$99,67,FALSE),0)</f>
        <v>0</v>
      </c>
      <c r="CK19" s="4">
        <f>IF(ISNUMBER(SEARCH(CK$3,$BY19)),VLOOKUP($BA19&amp;$CU19,Armour!$B$4:$BP$99,67,FALSE),0)</f>
        <v>0</v>
      </c>
      <c r="CL19" s="4">
        <f>IF(ISNUMBER(SEARCH(CL$3,$BY19)),VLOOKUP($BA19&amp;$CU19,Armour!$B$4:$BP$99,67,FALSE),0)</f>
        <v>0</v>
      </c>
      <c r="CM19" s="4">
        <f>IF(ISNUMBER(SEARCH(CM$3,$BY19)),VLOOKUP($BA19&amp;$CU19,Armour!$B$4:$BP$99,67,FALSE),0)</f>
        <v>0</v>
      </c>
      <c r="CN19" s="4">
        <f>IF(ISNUMBER(SEARCH(CN$3,$BY19)),VLOOKUP($BA19&amp;$CU19,Armour!$B$4:$BP$99,67,FALSE),0)</f>
        <v>0</v>
      </c>
      <c r="CO19" s="4">
        <f>IF(ISNUMBER(SEARCH(CO$3,$BY19)),VLOOKUP($BA19&amp;$CU19,Armour!$B$4:$BP$99,67,FALSE),0)</f>
        <v>0</v>
      </c>
      <c r="CP19" s="4">
        <f>IF(ISNUMBER(SEARCH(CP$3,$BY19)),VLOOKUP($BA19&amp;$CU19,Armour!$B$4:$BP$99,67,FALSE),0)</f>
        <v>0</v>
      </c>
      <c r="CQ19" s="4">
        <f>IF(ISNUMBER(SEARCH(CQ$3,$BY19)),VLOOKUP($BA19&amp;$CU19,Armour!$B$4:$BP$99,67,FALSE),0)</f>
        <v>0</v>
      </c>
      <c r="CR19" s="4">
        <f>IF(ISNUMBER(SEARCH(CR$3,$BY19)),VLOOKUP($BA19&amp;$CU19,Armour!$B$4:$BP$99,67,FALSE),0)</f>
        <v>0</v>
      </c>
      <c r="CS19" s="4">
        <f>IF(ISNUMBER(SEARCH(CS$3,$BY19)),VLOOKUP($BA19&amp;$CU19,Armour!$B$4:$BP$99,67,FALSE),0)</f>
        <v>0</v>
      </c>
      <c r="CT19" s="4">
        <f>IF(ISNUMBER(SEARCH(CT$3,$BY19)),VLOOKUP($BA19&amp;$CU19,Armour!$B$4:$BP$99,67,FALSE),0)</f>
        <v>0</v>
      </c>
      <c r="CU19" s="4" t="e">
        <f t="shared" si="40"/>
        <v>#N/A</v>
      </c>
      <c r="CV19" s="4"/>
      <c r="CX19">
        <v>17</v>
      </c>
      <c r="CY19" s="3" t="str">
        <f>'Character Sheet'!B65</f>
        <v>R Upper Leg:</v>
      </c>
      <c r="CZ19" s="4">
        <f>MAX($CP$4:$CP$19)</f>
        <v>4</v>
      </c>
      <c r="DA19" t="str">
        <f>IFERROR(VLOOKUP(CZ19,Armour!$A$4:$B$99,2,FALSE),"No Armour")</f>
        <v>Heavy Cloth</v>
      </c>
      <c r="DC19">
        <v>17</v>
      </c>
      <c r="DD19" s="3" t="str">
        <f>'Character Sheet'!B144</f>
        <v>R Rear Upper Leg:</v>
      </c>
      <c r="DE19" s="4">
        <f>MAX($CP$83:$CP$116)</f>
        <v>0</v>
      </c>
      <c r="DF19" t="str">
        <f>IFERROR(VLOOKUP(DE19,Armour!$A$4:$B$99,2,FALSE),"No Armour")</f>
        <v>No Armour</v>
      </c>
      <c r="DH19" s="4" t="str">
        <f t="shared" si="41"/>
        <v/>
      </c>
      <c r="DI19">
        <v>17</v>
      </c>
      <c r="DJ19" s="3" t="s">
        <v>3070</v>
      </c>
      <c r="DK19" s="4" t="s">
        <v>213</v>
      </c>
      <c r="DL19" s="4" t="str">
        <f>IFERROR(IF(DK19=0,"",VLOOKUP(DK19,Skills!$N$72:$AF$107,19,FALSE)),"")</f>
        <v/>
      </c>
      <c r="DM19" s="4">
        <v>0</v>
      </c>
      <c r="DN19" s="4" t="str">
        <f t="shared" ref="DN19:DN37" si="74">IFERROR(IF(DK19=0,"",DL19+DM19),"")</f>
        <v/>
      </c>
      <c r="DO19" s="4" t="str">
        <f>IFERROR(DN19+0.17,"")</f>
        <v/>
      </c>
      <c r="DP19" s="4">
        <f t="shared" si="43"/>
        <v>0</v>
      </c>
      <c r="DQ19" s="4"/>
      <c r="DT19" s="4" t="s">
        <v>213</v>
      </c>
      <c r="DU19" s="4">
        <v>0</v>
      </c>
      <c r="DV19" s="4" t="str">
        <f>VLOOKUP((VLOOKUP((VLOOKUP('Character Creation'!$Z$11,RaceChart,20,FALSE)&amp;" "&amp;VLOOKUP('Character Creation'!$Z$11,RaceChart,21,FALSE)),Charts!$H$2:$J$14,3,FALSE)+DU19),Charts!$J$2:$N$14,5,FALSE)</f>
        <v>M</v>
      </c>
      <c r="DW19" s="4" t="str">
        <f>VLOOKUP(DV19,Charts!$N$2:$Q$14,4,FALSE)</f>
        <v>(5)</v>
      </c>
      <c r="DX19" s="4" t="str">
        <f t="shared" si="46"/>
        <v>M(5) Strikes</v>
      </c>
      <c r="DY19" s="4">
        <v>1</v>
      </c>
      <c r="DZ19" s="4">
        <v>2</v>
      </c>
      <c r="EA19" s="4" t="e">
        <f>ROUNDDOWN(VLOOKUP(DK19,Skills!$N$72:$S$107,6,FALSE)/5,0)</f>
        <v>#N/A</v>
      </c>
      <c r="EB19" s="4">
        <v>0</v>
      </c>
      <c r="EC19" s="4" t="str">
        <f t="shared" si="47"/>
        <v>+0</v>
      </c>
      <c r="ED19" s="4" t="e">
        <f>VLOOKUP(DJ19,'Character Sheet'!$FB$21:$HQ$35,61,FALSE)</f>
        <v>#N/A</v>
      </c>
      <c r="EE19" s="6" t="s">
        <v>782</v>
      </c>
      <c r="EF19" s="6" t="s">
        <v>782</v>
      </c>
      <c r="EG19" s="6"/>
      <c r="EL19" s="4">
        <f ca="1">IFERROR(VLOOKUP(EO19,Skills!$N$402:$S$440,6,FALSE),0)</f>
        <v>0</v>
      </c>
      <c r="EM19" s="4">
        <v>18</v>
      </c>
      <c r="EN19" s="4" t="s">
        <v>824</v>
      </c>
      <c r="EO19" s="8" t="str">
        <f ca="1">IFERROR(VLOOKUP(EM19,Skills!$C$405:$M$440,11,FALSE),"")</f>
        <v/>
      </c>
      <c r="EP19" s="4" t="str">
        <f t="shared" ca="1" si="71"/>
        <v/>
      </c>
      <c r="EQ19" s="4">
        <v>1.7000000000000001E-2</v>
      </c>
      <c r="ER19" s="4" t="str">
        <f t="shared" ca="1" si="16"/>
        <v/>
      </c>
      <c r="ES19" t="str">
        <f t="shared" ca="1" si="2"/>
        <v/>
      </c>
      <c r="ET19" s="4" t="e">
        <f ca="1">VLOOKUP(ES19,Skills!$N$405:$AG$440,20,FALSE)</f>
        <v>#N/A</v>
      </c>
    </row>
    <row r="20" spans="2:150" x14ac:dyDescent="0.25">
      <c r="AC20" s="8" t="str">
        <f>IFERROR(VLOOKUP('Character Creation'!$CI33,Skills!$H$2:$N$620,6,FALSE),"")</f>
        <v/>
      </c>
      <c r="AD20" s="4">
        <f>'Character Creation'!EH33</f>
        <v>0</v>
      </c>
      <c r="AG20">
        <v>19</v>
      </c>
      <c r="AH20" s="4" t="str">
        <f t="shared" si="5"/>
        <v/>
      </c>
      <c r="AI20" t="str">
        <f>IFERROR(VLOOKUP(AG20,Skills!$B$2:$M$620,12,FALSE),"")</f>
        <v/>
      </c>
      <c r="AJ20" s="4" t="str">
        <f>IFERROR(VLOOKUP(AG20,Skills!$B$2:$AF$620,31,FALSE),"")</f>
        <v/>
      </c>
      <c r="AK20" s="4" t="str">
        <f t="shared" si="0"/>
        <v/>
      </c>
      <c r="AL20" s="4">
        <v>1.9E-2</v>
      </c>
      <c r="AM20" s="62" t="str">
        <f t="shared" si="6"/>
        <v/>
      </c>
      <c r="AN20" t="str">
        <f t="shared" ca="1" si="7"/>
        <v/>
      </c>
      <c r="AO20" s="4" t="str">
        <f ca="1">IFERROR(VLOOKUP(AG20,$AH$2:$AJ$451,3,FALSE)&amp;IF(ISNUMBER(SEARCH(", Written",AN20))," -R"&amp;VLOOKUP(AN20,Skills!$M$2:$S$620,7,FALSE),IF(ISNUMBER(SEARCH(", Spoken",AN20))," -R"&amp;VLOOKUP(AN20,Skills!$M$2:$S$620,7,FALSE),"")),"")</f>
        <v/>
      </c>
      <c r="AQ20">
        <v>17</v>
      </c>
      <c r="AR20" s="8" t="str">
        <f>'Character Sheet'!FB20</f>
        <v>Weapons &amp; Ammunition</v>
      </c>
      <c r="AS20" s="4" t="str">
        <f t="shared" si="17"/>
        <v/>
      </c>
      <c r="AT20" s="4" t="str">
        <f t="shared" si="18"/>
        <v/>
      </c>
      <c r="AU20" s="4" t="str">
        <f t="shared" si="50"/>
        <v/>
      </c>
      <c r="AV20" s="4" t="str">
        <f t="shared" si="51"/>
        <v/>
      </c>
      <c r="AW20" s="4" t="str">
        <f t="shared" si="52"/>
        <v/>
      </c>
      <c r="AX20" s="4" t="str">
        <f t="shared" si="22"/>
        <v/>
      </c>
      <c r="AY20" s="4" t="str">
        <f t="shared" si="53"/>
        <v/>
      </c>
      <c r="AZ20" s="4" t="str">
        <f t="shared" si="54"/>
        <v/>
      </c>
      <c r="BA20" s="4" t="str">
        <f>IFERROR('Character Sheet'!JK20,"")</f>
        <v>Primary Material</v>
      </c>
      <c r="BB20" s="4" t="str">
        <f t="shared" si="25"/>
        <v/>
      </c>
      <c r="BC20" s="4" t="str">
        <f t="shared" si="55"/>
        <v/>
      </c>
      <c r="BD20" s="4" t="str">
        <f t="shared" si="56"/>
        <v/>
      </c>
      <c r="BE20" s="4" t="str">
        <f t="shared" si="57"/>
        <v/>
      </c>
      <c r="BF20" s="4" t="str">
        <f t="shared" si="58"/>
        <v/>
      </c>
      <c r="BG20" s="4" t="str">
        <f t="shared" si="59"/>
        <v/>
      </c>
      <c r="BH20" s="4" t="str">
        <f>IFERROR('Character Sheet'!KC20,"")</f>
        <v>Secondary Material</v>
      </c>
      <c r="BI20" s="4" t="str">
        <f t="shared" si="29"/>
        <v/>
      </c>
      <c r="BJ20" s="4" t="str">
        <f t="shared" si="60"/>
        <v/>
      </c>
      <c r="BK20" s="4" t="str">
        <f t="shared" si="61"/>
        <v/>
      </c>
      <c r="BL20" s="4" t="str">
        <f t="shared" si="62"/>
        <v/>
      </c>
      <c r="BM20" s="4" t="str">
        <f t="shared" si="63"/>
        <v/>
      </c>
      <c r="BN20" s="4" t="str">
        <f t="shared" si="64"/>
        <v/>
      </c>
      <c r="BO20" s="4" t="str">
        <f t="shared" si="65"/>
        <v/>
      </c>
      <c r="BP20" s="4" t="str">
        <f t="shared" si="66"/>
        <v/>
      </c>
      <c r="BQ20" s="4" t="str">
        <f>IFERROR('Character Sheet'!IQ20+VLOOKUP(BA20,MaterialChart,5,FALSE),"")</f>
        <v/>
      </c>
      <c r="BR20" s="4" t="str">
        <f t="shared" si="67"/>
        <v/>
      </c>
      <c r="BS20" s="4">
        <f>IFERROR(VLOOKUP(BA20&amp;CU20,Armour!$B$4:$BP$99,4,FALSE)+(BG20)+(BN20)-((AV20)+(AZ20)),0)</f>
        <v>0</v>
      </c>
      <c r="BT20" s="4" t="str">
        <f t="shared" si="68"/>
        <v/>
      </c>
      <c r="BU20" s="4" t="str">
        <f t="shared" si="69"/>
        <v/>
      </c>
      <c r="BV20" s="4" t="str">
        <f t="shared" si="70"/>
        <v/>
      </c>
      <c r="BW20" s="4" t="str">
        <f>IFERROR(ROUNDUP((BE20*(BB20-AT20))+(BL20*(BI20-AX20))+(BT20*(((100+(BD20+IF(BE20=1,0,BK20))+(4*BR20))/100)))*'Character Sheet'!GT20,3),"")</f>
        <v/>
      </c>
      <c r="BX20" s="4" t="str">
        <f t="shared" si="38"/>
        <v/>
      </c>
      <c r="BY20" s="8"/>
      <c r="BZ20" s="4"/>
      <c r="CA20" s="4"/>
      <c r="CB20" s="4"/>
      <c r="CC20" s="4"/>
      <c r="CD20" s="4"/>
      <c r="CE20" s="4"/>
      <c r="CF20" s="4"/>
      <c r="CG20" s="4"/>
      <c r="CH20" s="4"/>
      <c r="CI20" s="4"/>
      <c r="CJ20" s="4"/>
      <c r="CK20" s="4"/>
      <c r="CL20" s="4"/>
      <c r="CM20" s="4"/>
      <c r="CN20" s="4"/>
      <c r="CO20" s="4"/>
      <c r="CP20" s="4"/>
      <c r="CQ20" s="4"/>
      <c r="CR20" s="4"/>
      <c r="CS20" s="4"/>
      <c r="CT20" s="4"/>
      <c r="CU20" s="4"/>
      <c r="CV20" s="4"/>
      <c r="CX20">
        <v>18</v>
      </c>
      <c r="CY20" s="3" t="str">
        <f>'Character Sheet'!B66</f>
        <v>L Lower Leg:</v>
      </c>
      <c r="CZ20" s="4">
        <f>MAX($CQ$4:$CQ$19)</f>
        <v>4</v>
      </c>
      <c r="DA20" t="str">
        <f>IFERROR(VLOOKUP(CZ20,Armour!$A$4:$B$99,2,FALSE),"No Armour")</f>
        <v>Heavy Cloth</v>
      </c>
      <c r="DC20">
        <v>18</v>
      </c>
      <c r="DD20" s="3" t="str">
        <f>'Character Sheet'!B145</f>
        <v>L Rear Lower Leg:</v>
      </c>
      <c r="DE20" s="4">
        <f>MAX($CQ$83:$CQ$116)</f>
        <v>0</v>
      </c>
      <c r="DF20" t="str">
        <f>IFERROR(VLOOKUP(DE20,Armour!$A$4:$B$99,2,FALSE),"No Armour")</f>
        <v>No Armour</v>
      </c>
      <c r="DH20" s="4" t="str">
        <f t="shared" si="41"/>
        <v/>
      </c>
      <c r="DI20">
        <v>18</v>
      </c>
      <c r="DJ20" s="3" t="s">
        <v>3071</v>
      </c>
      <c r="DK20" s="4" t="s">
        <v>214</v>
      </c>
      <c r="DL20" s="4" t="str">
        <f>IFERROR(IF(DK20=0,"",VLOOKUP(DK20,Skills!$N$72:$AF$107,19,FALSE)),"")</f>
        <v/>
      </c>
      <c r="DM20" s="4">
        <v>0</v>
      </c>
      <c r="DN20" s="4" t="str">
        <f t="shared" si="74"/>
        <v/>
      </c>
      <c r="DO20" s="4" t="str">
        <f>IFERROR(DN20+0.18,"")</f>
        <v/>
      </c>
      <c r="DP20" s="4">
        <f t="shared" si="43"/>
        <v>0</v>
      </c>
      <c r="DQ20" s="4"/>
      <c r="DT20" s="4" t="s">
        <v>3081</v>
      </c>
      <c r="DU20" s="4">
        <v>0</v>
      </c>
      <c r="DV20" s="4" t="str">
        <f>VLOOKUP((VLOOKUP((VLOOKUP('Character Creation'!$Z$11,RaceChart,20,FALSE)&amp;" "&amp;VLOOKUP('Character Creation'!$Z$11,RaceChart,21,FALSE)),Charts!$H$2:$J$14,3,FALSE)+DU20),Charts!$J$2:$N$14,5,FALSE)</f>
        <v>M</v>
      </c>
      <c r="DW20" s="4" t="str">
        <f>VLOOKUP(DV20,Charts!$N$2:$Q$14,4,FALSE)</f>
        <v>(5)</v>
      </c>
      <c r="DX20" s="4" t="str">
        <f t="shared" si="46"/>
        <v>M(5) Sweeps</v>
      </c>
      <c r="DY20" s="4">
        <v>1</v>
      </c>
      <c r="DZ20" s="4">
        <v>2</v>
      </c>
      <c r="EA20" s="4" t="e">
        <f>ROUNDDOWN(VLOOKUP(DK20,Skills!$N$72:$S$107,6,FALSE)/5,0)</f>
        <v>#N/A</v>
      </c>
      <c r="EB20" s="4">
        <v>0</v>
      </c>
      <c r="EC20" s="4" t="str">
        <f t="shared" si="47"/>
        <v>+0</v>
      </c>
      <c r="ED20" s="4" t="e">
        <f>VLOOKUP(DJ20,'Character Sheet'!$FB$21:$HQ$35,61,FALSE)</f>
        <v>#N/A</v>
      </c>
      <c r="EE20" s="6" t="s">
        <v>782</v>
      </c>
      <c r="EF20" s="6" t="s">
        <v>782</v>
      </c>
      <c r="EG20" s="6"/>
      <c r="EL20" s="4">
        <f ca="1">IFERROR(VLOOKUP(EO20,Skills!$N$402:$S$440,6,FALSE),0)</f>
        <v>0</v>
      </c>
      <c r="EM20" s="4">
        <v>19</v>
      </c>
      <c r="EN20" s="4" t="s">
        <v>824</v>
      </c>
      <c r="EO20" s="8" t="str">
        <f ca="1">IFERROR(VLOOKUP(EM20,Skills!$C$405:$M$440,11,FALSE),"")</f>
        <v/>
      </c>
      <c r="EP20" s="4" t="str">
        <f t="shared" ca="1" si="71"/>
        <v/>
      </c>
      <c r="EQ20" s="4">
        <v>1.7999999999999999E-2</v>
      </c>
      <c r="ER20" s="4" t="str">
        <f t="shared" ca="1" si="16"/>
        <v/>
      </c>
      <c r="ES20" t="str">
        <f t="shared" ca="1" si="2"/>
        <v/>
      </c>
      <c r="ET20" s="4" t="e">
        <f ca="1">VLOOKUP(ES20,Skills!$N$405:$AG$440,20,FALSE)</f>
        <v>#N/A</v>
      </c>
    </row>
    <row r="21" spans="2:150" x14ac:dyDescent="0.25">
      <c r="AC21" s="8" t="str">
        <f>IFERROR(VLOOKUP('Character Creation'!$CI34,Skills!$H$2:$N$620,6,FALSE),"")</f>
        <v/>
      </c>
      <c r="AD21" s="4">
        <f>'Character Creation'!EH34</f>
        <v>0</v>
      </c>
      <c r="AG21">
        <v>20</v>
      </c>
      <c r="AH21" s="4" t="str">
        <f t="shared" si="5"/>
        <v/>
      </c>
      <c r="AI21" t="str">
        <f>IFERROR(VLOOKUP(AG21,Skills!$B$2:$M$620,12,FALSE),"")</f>
        <v/>
      </c>
      <c r="AJ21" s="4" t="str">
        <f>IFERROR(VLOOKUP(AG21,Skills!$B$2:$AF$620,31,FALSE),"")</f>
        <v/>
      </c>
      <c r="AK21" s="4" t="str">
        <f t="shared" si="0"/>
        <v/>
      </c>
      <c r="AL21" s="4">
        <v>0.02</v>
      </c>
      <c r="AM21" s="62" t="str">
        <f t="shared" si="6"/>
        <v/>
      </c>
      <c r="AN21" t="str">
        <f t="shared" ca="1" si="7"/>
        <v/>
      </c>
      <c r="AO21" s="4" t="str">
        <f ca="1">IFERROR(VLOOKUP(AG21,$AH$2:$AJ$451,3,FALSE)&amp;IF(ISNUMBER(SEARCH(", Written",AN21))," -R"&amp;VLOOKUP(AN21,Skills!$M$2:$S$620,7,FALSE),IF(ISNUMBER(SEARCH(", Spoken",AN21))," -R"&amp;VLOOKUP(AN21,Skills!$M$2:$S$620,7,FALSE),"")),"")</f>
        <v/>
      </c>
      <c r="AQ21">
        <v>18</v>
      </c>
      <c r="AR21" s="8" t="str">
        <f>'Character Sheet'!FB21</f>
        <v>Light Dagger</v>
      </c>
      <c r="AS21" s="4" t="str">
        <f t="shared" si="17"/>
        <v>Low Steel</v>
      </c>
      <c r="AT21" s="4">
        <f t="shared" si="18"/>
        <v>0.1</v>
      </c>
      <c r="AU21" s="4">
        <f t="shared" si="50"/>
        <v>490</v>
      </c>
      <c r="AV21" s="4">
        <f t="shared" si="51"/>
        <v>5</v>
      </c>
      <c r="AW21" s="4" t="str">
        <f t="shared" si="52"/>
        <v>Low Steel</v>
      </c>
      <c r="AX21" s="4">
        <f t="shared" si="22"/>
        <v>0.1</v>
      </c>
      <c r="AY21" s="4">
        <f t="shared" si="53"/>
        <v>490</v>
      </c>
      <c r="AZ21" s="4">
        <f t="shared" si="54"/>
        <v>5</v>
      </c>
      <c r="BA21" s="4" t="str">
        <f>IFERROR('Character Sheet'!JK21,"")</f>
        <v>Low Steel</v>
      </c>
      <c r="BB21" s="4">
        <f t="shared" si="25"/>
        <v>0.1</v>
      </c>
      <c r="BC21" s="4">
        <f t="shared" si="55"/>
        <v>-5</v>
      </c>
      <c r="BD21" s="4">
        <f t="shared" si="56"/>
        <v>5</v>
      </c>
      <c r="BE21" s="4">
        <f t="shared" si="57"/>
        <v>0.81699999999999995</v>
      </c>
      <c r="BF21" s="4">
        <f t="shared" si="58"/>
        <v>490</v>
      </c>
      <c r="BG21" s="4">
        <f t="shared" si="59"/>
        <v>5</v>
      </c>
      <c r="BH21" s="4" t="str">
        <f>IFERROR('Character Sheet'!KC21,"")</f>
        <v>Low Steel</v>
      </c>
      <c r="BI21" s="4">
        <f t="shared" si="29"/>
        <v>0.1</v>
      </c>
      <c r="BJ21" s="4">
        <f t="shared" si="60"/>
        <v>-5</v>
      </c>
      <c r="BK21" s="4">
        <f t="shared" si="61"/>
        <v>5</v>
      </c>
      <c r="BL21" s="4">
        <f t="shared" si="62"/>
        <v>4.3000000000000038E-2</v>
      </c>
      <c r="BM21" s="4">
        <f t="shared" si="63"/>
        <v>490</v>
      </c>
      <c r="BN21" s="4">
        <f t="shared" si="64"/>
        <v>5</v>
      </c>
      <c r="BO21" s="4">
        <f t="shared" si="65"/>
        <v>0.95</v>
      </c>
      <c r="BP21" s="4">
        <f t="shared" si="66"/>
        <v>5</v>
      </c>
      <c r="BQ21" s="4">
        <f>IFERROR('Character Sheet'!IQ21+VLOOKUP(BA21,MaterialChart,5,FALSE),"")</f>
        <v>5</v>
      </c>
      <c r="BR21" s="4">
        <f t="shared" si="67"/>
        <v>0</v>
      </c>
      <c r="BS21" s="4">
        <f t="shared" ref="BS21:BS52" si="75">IFERROR(VLOOKUP(AR21,ItemChart,8,FALSE)+(BG21)+(BN21)-((AV21)+(AZ21)),0)</f>
        <v>80</v>
      </c>
      <c r="BT21" s="4">
        <f t="shared" si="68"/>
        <v>3.5</v>
      </c>
      <c r="BU21" s="4">
        <f t="shared" si="69"/>
        <v>0.86</v>
      </c>
      <c r="BV21" s="4">
        <f t="shared" si="70"/>
        <v>0.86</v>
      </c>
      <c r="BW21" s="4">
        <f>IFERROR(ROUNDUP((BE21*(BB21-AT21))+(BL21*(BI21-AX21))+(BT21*(((100+(BD21+IF(BE21=1,0,BK21))+(4*BR21))/100)))*'Character Sheet'!GT21,3),"")</f>
        <v>3.85</v>
      </c>
      <c r="BX21" s="4" t="str">
        <f t="shared" si="38"/>
        <v>$3.85</v>
      </c>
      <c r="BY21" s="8"/>
      <c r="BZ21" s="4"/>
      <c r="CA21" s="4"/>
      <c r="CB21" s="4"/>
      <c r="CC21" s="4"/>
      <c r="CD21" s="4"/>
      <c r="CE21" s="4"/>
      <c r="CF21" s="4"/>
      <c r="CG21" s="4"/>
      <c r="CH21" s="4"/>
      <c r="CI21" s="4"/>
      <c r="CJ21" s="4"/>
      <c r="CK21" s="4"/>
      <c r="CL21" s="4"/>
      <c r="CM21" s="4"/>
      <c r="CN21" s="4"/>
      <c r="CO21" s="4"/>
      <c r="CP21" s="4"/>
      <c r="CQ21" s="4"/>
      <c r="CR21" s="4"/>
      <c r="CS21" s="4"/>
      <c r="CT21" s="4"/>
      <c r="CU21" s="4"/>
      <c r="CV21" s="4"/>
      <c r="CX21">
        <v>19</v>
      </c>
      <c r="CY21" s="3" t="str">
        <f>'Character Sheet'!B67</f>
        <v>R Lower Leg:</v>
      </c>
      <c r="CZ21" s="4">
        <f>MAX($CR$4:$CR$19)</f>
        <v>4</v>
      </c>
      <c r="DA21" t="str">
        <f>IFERROR(VLOOKUP(CZ21,Armour!$A$4:$B$99,2,FALSE),"No Armour")</f>
        <v>Heavy Cloth</v>
      </c>
      <c r="DC21">
        <v>19</v>
      </c>
      <c r="DD21" s="3" t="str">
        <f>'Character Sheet'!B146</f>
        <v>R Rear Lower Leg:</v>
      </c>
      <c r="DE21" s="4">
        <f>MAX($CR$83:$CR$116)</f>
        <v>0</v>
      </c>
      <c r="DF21" t="str">
        <f>IFERROR(VLOOKUP(DE21,Armour!$A$4:$B$99,2,FALSE),"No Armour")</f>
        <v>No Armour</v>
      </c>
      <c r="DH21" s="4" t="str">
        <f t="shared" si="41"/>
        <v/>
      </c>
      <c r="DI21">
        <v>19</v>
      </c>
      <c r="DJ21" s="3" t="s">
        <v>215</v>
      </c>
      <c r="DK21" s="4" t="s">
        <v>215</v>
      </c>
      <c r="DL21" s="4" t="str">
        <f>IFERROR(IF(DK21=0,"",VLOOKUP(DK21,Skills!$N$72:$AF$107,19,FALSE)),"")</f>
        <v/>
      </c>
      <c r="DM21" s="4">
        <v>0</v>
      </c>
      <c r="DN21" s="4" t="str">
        <f t="shared" si="74"/>
        <v/>
      </c>
      <c r="DO21" s="4" t="str">
        <f>IFERROR(DN21+0.19,"")</f>
        <v/>
      </c>
      <c r="DP21" s="4">
        <f t="shared" si="43"/>
        <v>0</v>
      </c>
      <c r="DQ21" s="4"/>
      <c r="DT21" s="4" t="s">
        <v>3082</v>
      </c>
      <c r="DU21" s="4">
        <v>0</v>
      </c>
      <c r="DV21" s="4" t="str">
        <f>VLOOKUP((VLOOKUP((VLOOKUP('Character Creation'!$Z$11,RaceChart,20,FALSE)&amp;" "&amp;VLOOKUP('Character Creation'!$Z$11,RaceChart,21,FALSE)),Charts!$H$2:$J$14,3,FALSE)+DU21),Charts!$J$2:$N$14,5,FALSE)</f>
        <v>M</v>
      </c>
      <c r="DW21" s="4" t="str">
        <f>VLOOKUP(DV21,Charts!$N$2:$Q$14,4,FALSE)</f>
        <v>(5)</v>
      </c>
      <c r="DX21" s="4" t="str">
        <f t="shared" si="46"/>
        <v>M(5) Grappling</v>
      </c>
      <c r="DY21" s="4">
        <v>1</v>
      </c>
      <c r="DZ21" s="4">
        <v>2</v>
      </c>
      <c r="EA21" s="4" t="e">
        <f>ROUNDDOWN(VLOOKUP(DK21,Skills!$N$72:$S$107,6,FALSE)/5,0)</f>
        <v>#N/A</v>
      </c>
      <c r="EB21" s="4">
        <v>0</v>
      </c>
      <c r="EC21" s="4" t="str">
        <f t="shared" si="47"/>
        <v>+0</v>
      </c>
      <c r="ED21" s="4" t="e">
        <f>VLOOKUP(DJ21,'Character Sheet'!$FB$21:$HQ$35,61,FALSE)</f>
        <v>#N/A</v>
      </c>
      <c r="EE21" s="6" t="s">
        <v>782</v>
      </c>
      <c r="EF21" s="6" t="s">
        <v>782</v>
      </c>
      <c r="EG21" s="6"/>
      <c r="EL21" s="4">
        <f ca="1">IFERROR(VLOOKUP(EO21,Skills!$N$402:$S$440,6,FALSE),0)</f>
        <v>0</v>
      </c>
      <c r="EM21" s="4">
        <v>20</v>
      </c>
      <c r="EN21" s="4" t="s">
        <v>824</v>
      </c>
      <c r="EO21" s="8" t="str">
        <f ca="1">IFERROR(VLOOKUP(EM21,Skills!$C$405:$M$440,11,FALSE),"")</f>
        <v/>
      </c>
      <c r="EP21" s="4" t="str">
        <f t="shared" ca="1" si="71"/>
        <v/>
      </c>
      <c r="EQ21" s="4">
        <v>1.9E-2</v>
      </c>
      <c r="ER21" s="4" t="str">
        <f t="shared" ca="1" si="16"/>
        <v/>
      </c>
      <c r="ES21" t="str">
        <f t="shared" ca="1" si="2"/>
        <v/>
      </c>
      <c r="ET21" s="4" t="e">
        <f ca="1">VLOOKUP(ES21,Skills!$N$405:$AG$440,20,FALSE)</f>
        <v>#N/A</v>
      </c>
    </row>
    <row r="22" spans="2:150" x14ac:dyDescent="0.25">
      <c r="AC22" s="8" t="str">
        <f>IFERROR(VLOOKUP('Character Creation'!$CI35,Skills!$H$2:$N$620,6,FALSE),"")</f>
        <v/>
      </c>
      <c r="AD22" s="4">
        <f>'Character Creation'!EH35</f>
        <v>0</v>
      </c>
      <c r="AG22">
        <v>21</v>
      </c>
      <c r="AH22" s="4" t="str">
        <f t="shared" si="5"/>
        <v/>
      </c>
      <c r="AI22" t="str">
        <f>IFERROR(VLOOKUP(AG22,Skills!$B$2:$M$620,12,FALSE),"")</f>
        <v/>
      </c>
      <c r="AJ22" s="4" t="str">
        <f>IFERROR(VLOOKUP(AG22,Skills!$B$2:$AF$620,31,FALSE),"")</f>
        <v/>
      </c>
      <c r="AK22" s="4" t="str">
        <f t="shared" si="0"/>
        <v/>
      </c>
      <c r="AL22" s="4">
        <v>2.1000000000000001E-2</v>
      </c>
      <c r="AM22" s="62" t="str">
        <f t="shared" si="6"/>
        <v/>
      </c>
      <c r="AN22" t="str">
        <f t="shared" ca="1" si="7"/>
        <v/>
      </c>
      <c r="AO22" s="4" t="str">
        <f ca="1">IFERROR(VLOOKUP(AG22,$AH$2:$AJ$451,3,FALSE)&amp;IF(ISNUMBER(SEARCH(", Written",AN22))," -R"&amp;VLOOKUP(AN22,Skills!$M$2:$S$620,7,FALSE),IF(ISNUMBER(SEARCH(", Spoken",AN22))," -R"&amp;VLOOKUP(AN22,Skills!$M$2:$S$620,7,FALSE),"")),"")</f>
        <v/>
      </c>
      <c r="AQ22">
        <v>19</v>
      </c>
      <c r="AR22" s="8" t="str">
        <f>'Character Sheet'!FB22</f>
        <v>Colt Army Model 1860</v>
      </c>
      <c r="AS22" s="4" t="str">
        <f t="shared" si="17"/>
        <v>Low Steel</v>
      </c>
      <c r="AT22" s="4">
        <f t="shared" si="18"/>
        <v>0.1</v>
      </c>
      <c r="AU22" s="4">
        <f t="shared" si="50"/>
        <v>490</v>
      </c>
      <c r="AV22" s="4">
        <f t="shared" si="51"/>
        <v>5</v>
      </c>
      <c r="AW22" s="4" t="str">
        <f t="shared" si="52"/>
        <v>Brass</v>
      </c>
      <c r="AX22" s="4">
        <f t="shared" si="22"/>
        <v>0.75</v>
      </c>
      <c r="AY22" s="4">
        <f t="shared" si="53"/>
        <v>520</v>
      </c>
      <c r="AZ22" s="4">
        <f t="shared" si="54"/>
        <v>-5</v>
      </c>
      <c r="BA22" s="4" t="str">
        <f>IFERROR('Character Sheet'!JK22,"")</f>
        <v>Low Steel</v>
      </c>
      <c r="BB22" s="4">
        <f t="shared" si="25"/>
        <v>0.1</v>
      </c>
      <c r="BC22" s="4">
        <f t="shared" si="55"/>
        <v>-5</v>
      </c>
      <c r="BD22" s="4">
        <f t="shared" si="56"/>
        <v>5</v>
      </c>
      <c r="BE22" s="4">
        <f t="shared" si="57"/>
        <v>1.9</v>
      </c>
      <c r="BF22" s="4">
        <f t="shared" si="58"/>
        <v>490</v>
      </c>
      <c r="BG22" s="4">
        <f t="shared" si="59"/>
        <v>5</v>
      </c>
      <c r="BH22" s="4" t="str">
        <f>IFERROR('Character Sheet'!KC22,"")</f>
        <v>Brass</v>
      </c>
      <c r="BI22" s="4">
        <f t="shared" si="29"/>
        <v>0.75</v>
      </c>
      <c r="BJ22" s="4">
        <f t="shared" si="60"/>
        <v>-5</v>
      </c>
      <c r="BK22" s="4">
        <f t="shared" si="61"/>
        <v>5</v>
      </c>
      <c r="BL22" s="4">
        <f t="shared" si="62"/>
        <v>0.10000000000000009</v>
      </c>
      <c r="BM22" s="4">
        <f t="shared" si="63"/>
        <v>520</v>
      </c>
      <c r="BN22" s="4">
        <f t="shared" si="64"/>
        <v>-5</v>
      </c>
      <c r="BO22" s="4">
        <f t="shared" si="65"/>
        <v>0.95</v>
      </c>
      <c r="BP22" s="4">
        <f t="shared" si="66"/>
        <v>5</v>
      </c>
      <c r="BQ22" s="4">
        <f>IFERROR('Character Sheet'!IQ22+VLOOKUP(BA22,MaterialChart,5,FALSE),"")</f>
        <v>5</v>
      </c>
      <c r="BR22" s="4">
        <f t="shared" si="67"/>
        <v>0</v>
      </c>
      <c r="BS22" s="4">
        <f t="shared" si="75"/>
        <v>60</v>
      </c>
      <c r="BT22" s="4">
        <f t="shared" si="68"/>
        <v>16</v>
      </c>
      <c r="BU22" s="4">
        <f t="shared" si="69"/>
        <v>2</v>
      </c>
      <c r="BV22" s="4">
        <f t="shared" si="70"/>
        <v>2</v>
      </c>
      <c r="BW22" s="60">
        <f>IFERROR(ROUNDUP((BE22*(BB22-AT22))+(BL22*(BI22-AX22))+(BT22*(((100+(BD22+IF(BE22=1,0,BK22))+(4*BR22))/100)))*'Character Sheet'!GT22,3),"")</f>
        <v>17.600000000000001</v>
      </c>
      <c r="BX22" s="4" t="str">
        <f t="shared" si="38"/>
        <v>$17.6</v>
      </c>
      <c r="BY22" s="8"/>
      <c r="BZ22" s="4"/>
      <c r="CA22" s="4"/>
      <c r="CB22" s="4"/>
      <c r="CC22" s="4"/>
      <c r="CD22" s="4"/>
      <c r="CE22" s="4"/>
      <c r="CF22" s="4"/>
      <c r="CG22" s="4"/>
      <c r="CH22" s="4"/>
      <c r="CI22" s="4"/>
      <c r="CJ22" s="4"/>
      <c r="CK22" s="4"/>
      <c r="CL22" s="4"/>
      <c r="CM22" s="4"/>
      <c r="CN22" s="4"/>
      <c r="CO22" s="4"/>
      <c r="CP22" s="4"/>
      <c r="CQ22" s="4"/>
      <c r="CR22" s="4"/>
      <c r="CS22" s="4"/>
      <c r="CT22" s="4"/>
      <c r="CU22" s="4"/>
      <c r="CV22" s="4"/>
      <c r="CX22">
        <v>20</v>
      </c>
      <c r="CY22" s="3" t="str">
        <f>'Character Sheet'!B68</f>
        <v>L Foot:</v>
      </c>
      <c r="CZ22" s="4">
        <f>MAX($CS$4:$CS$19)</f>
        <v>4</v>
      </c>
      <c r="DA22" t="str">
        <f>IFERROR(VLOOKUP(CZ22,Armour!$A$4:$B$99,2,FALSE),"No Armour")</f>
        <v>Heavy Cloth</v>
      </c>
      <c r="DC22">
        <v>20</v>
      </c>
      <c r="DD22" s="3" t="str">
        <f>'Character Sheet'!B147</f>
        <v>L Rear Hoof:</v>
      </c>
      <c r="DE22" s="4">
        <f>MAX($CS$83:$CS$116)</f>
        <v>0</v>
      </c>
      <c r="DF22" t="str">
        <f>IFERROR(VLOOKUP(DE22,Armour!$A$4:$B$99,2,FALSE),"No Armour")</f>
        <v>No Armour</v>
      </c>
      <c r="DH22" s="4" t="str">
        <f t="shared" si="41"/>
        <v/>
      </c>
      <c r="DI22">
        <v>1</v>
      </c>
      <c r="DJ22" s="3" t="str">
        <f t="shared" ref="DJ22:DJ37" si="76">IFERROR(VLOOKUP(DI22,$DQ$3:$DR$18,2,FALSE),"")</f>
        <v>Light Dagger (Thrown)</v>
      </c>
      <c r="DK22" s="4" t="str">
        <f t="shared" ref="DK22:DK85" si="77">IFERROR(VLOOKUP($DJ22,ItemChart,13,FALSE),"")</f>
        <v>Thrown</v>
      </c>
      <c r="DL22" s="4" t="str">
        <f>IFERROR(IF(DK22=0,"",VLOOKUP(DK22,Skills!$N$72:$AF$107,19,FALSE)),"")</f>
        <v/>
      </c>
      <c r="DM22" s="4"/>
      <c r="DN22" s="4" t="str">
        <f t="shared" si="74"/>
        <v/>
      </c>
      <c r="DO22" s="4" t="str">
        <f>IFERROR(DN22+0.2,"")</f>
        <v/>
      </c>
      <c r="DP22" s="4">
        <f t="shared" si="43"/>
        <v>0</v>
      </c>
      <c r="DQ22" s="4">
        <f t="shared" ref="DQ22:DQ82" si="78">IFERROR(IF(DR22=0,DQ21,DQ21+1),DQ21)</f>
        <v>0</v>
      </c>
      <c r="DR22" s="4">
        <f t="shared" ref="DR22:DR82" si="79">VLOOKUP(DJ22,ItemChart,26,FALSE)</f>
        <v>0</v>
      </c>
      <c r="DS22" s="4">
        <f t="shared" ref="DS22:DS82" si="80">DI22</f>
        <v>1</v>
      </c>
      <c r="DT22" s="4" t="str">
        <f t="shared" ref="DT22:DT85" si="81">IFERROR(VLOOKUP($DJ22,ItemChart,14,FALSE),"")</f>
        <v>Dagger</v>
      </c>
      <c r="DU22" s="4">
        <f t="shared" ref="DU22:DU85" si="82">IFERROR(VLOOKUP($DJ22,ItemChart,15,FALSE),"")</f>
        <v>0</v>
      </c>
      <c r="DV22" s="4" t="str">
        <f>VLOOKUP((VLOOKUP((VLOOKUP('Character Creation'!$Z$11,RaceChart,20,FALSE)&amp;" "&amp;VLOOKUP('Character Creation'!$Z$11,RaceChart,21,FALSE)),Charts!$H$2:$J$14,3,FALSE)+DU22),Charts!$J$2:$N$14,5,FALSE)</f>
        <v>M</v>
      </c>
      <c r="DW22" s="4" t="str">
        <f>VLOOKUP(DV22,Charts!$N$2:$Q$14,4,FALSE)</f>
        <v>(5)</v>
      </c>
      <c r="DX22" s="4" t="str">
        <f t="shared" ref="DX22:DX82" si="83">IFERROR(DV22&amp;DW22&amp;" "&amp;DT22,"")</f>
        <v>M(5) Dagger</v>
      </c>
      <c r="DY22" s="4">
        <f t="shared" ref="DY22:DY85" si="84">IFERROR(VLOOKUP($DJ22,ItemChart,16,FALSE),"")</f>
        <v>1</v>
      </c>
      <c r="DZ22" s="4" t="str">
        <f t="shared" ref="DZ22:DZ82" si="85">IFERROR(MAX(2,VLOOKUP($DJ22,ItemChart,19,FALSE)-EA22),"")</f>
        <v/>
      </c>
      <c r="EA22" s="4" t="e">
        <f>ROUNDDOWN(VLOOKUP(DK22,Skills!$N$72:$S$107,6,FALSE)/5,0)</f>
        <v>#N/A</v>
      </c>
      <c r="EB22" s="4">
        <f t="shared" ref="EB22:EB85" si="86">IFERROR(VLOOKUP($DJ22,ItemChart,17,FALSE),"")</f>
        <v>0</v>
      </c>
      <c r="EC22" s="4" t="str">
        <f t="shared" ref="EC22:EC82" si="87">IF(EB22&lt;0,EB22,"+"&amp;EB22)</f>
        <v>+0</v>
      </c>
      <c r="ED22" s="4" t="e">
        <f>VLOOKUP(DJ22,'Character Sheet'!$FB$21:$HQ$35,61,FALSE)</f>
        <v>#N/A</v>
      </c>
      <c r="EE22" s="4" t="str">
        <f t="shared" ref="EE22:EE85" si="88">IFERROR(IF(VLOOKUP($DJ22,ItemChart,20,FALSE)=0,"- -",VLOOKUP($DJ22,ItemChart,20,FALSE)),"")</f>
        <v>- -</v>
      </c>
      <c r="EF22" s="4">
        <f t="shared" ref="EF22:EF85" si="89">IFERROR(IF(VLOOKUP($DJ22,ItemChart,21,FALSE)=0,"- -",VLOOKUP($DJ22,ItemChart,21,FALSE)),"")</f>
        <v>10</v>
      </c>
      <c r="EG22" s="4" t="e">
        <f>VLOOKUP(DR22,Items!$B$1156:$AA$1282,18,FALSE)</f>
        <v>#N/A</v>
      </c>
      <c r="EH22" s="4" t="e">
        <f>VLOOKUP(DJ22,'Character Sheet'!$E$26:$EZ$45,81,FALSE)</f>
        <v>#N/A</v>
      </c>
      <c r="EI22" s="4" t="e">
        <f>VLOOKUP(DJ22,'Character Sheet'!$E$26:$EZ$45,89,FALSE)</f>
        <v>#N/A</v>
      </c>
      <c r="EJ22" s="4" t="e">
        <f t="shared" ref="EJ22:EJ82" si="90">SUM(EG22:EI22)</f>
        <v>#N/A</v>
      </c>
      <c r="EL22" s="4">
        <f ca="1">IFERROR(VLOOKUP(EO22,Skills!$N$402:$S$440,6,FALSE),0)</f>
        <v>0</v>
      </c>
      <c r="EM22" s="4">
        <v>21</v>
      </c>
      <c r="EN22" s="4" t="s">
        <v>824</v>
      </c>
      <c r="EO22" s="8" t="str">
        <f ca="1">IFERROR(VLOOKUP(EM22,Skills!$C$405:$M$440,11,FALSE),"")</f>
        <v/>
      </c>
      <c r="EP22" s="4" t="str">
        <f t="shared" ca="1" si="71"/>
        <v/>
      </c>
      <c r="EQ22" s="4">
        <v>0.02</v>
      </c>
      <c r="ER22" s="4" t="str">
        <f t="shared" ca="1" si="16"/>
        <v/>
      </c>
      <c r="ES22" t="str">
        <f t="shared" ca="1" si="2"/>
        <v/>
      </c>
      <c r="ET22" s="4" t="e">
        <f ca="1">VLOOKUP(ES22,Skills!$N$405:$AG$440,20,FALSE)</f>
        <v>#N/A</v>
      </c>
    </row>
    <row r="23" spans="2:150" x14ac:dyDescent="0.25">
      <c r="AC23" s="8" t="str">
        <f>IFERROR(VLOOKUP('Character Creation'!$CI36,Skills!$H$2:$N$620,6,FALSE),"")</f>
        <v/>
      </c>
      <c r="AD23" s="4">
        <f>'Character Creation'!EH36</f>
        <v>1</v>
      </c>
      <c r="AG23">
        <v>22</v>
      </c>
      <c r="AH23" s="4" t="str">
        <f t="shared" si="5"/>
        <v/>
      </c>
      <c r="AI23" t="str">
        <f>IFERROR(VLOOKUP(AG23,Skills!$B$2:$M$620,12,FALSE),"")</f>
        <v/>
      </c>
      <c r="AJ23" s="4" t="str">
        <f>IFERROR(VLOOKUP(AG23,Skills!$B$2:$AF$620,31,FALSE),"")</f>
        <v/>
      </c>
      <c r="AK23" s="4" t="str">
        <f t="shared" si="0"/>
        <v/>
      </c>
      <c r="AL23" s="4">
        <v>2.1999999999999999E-2</v>
      </c>
      <c r="AM23" s="62" t="str">
        <f t="shared" si="6"/>
        <v/>
      </c>
      <c r="AN23" t="str">
        <f t="shared" ca="1" si="7"/>
        <v/>
      </c>
      <c r="AO23" s="4" t="str">
        <f ca="1">IFERROR(VLOOKUP(AG23,$AH$2:$AJ$451,3,FALSE)&amp;IF(ISNUMBER(SEARCH(", Written",AN23))," -R"&amp;VLOOKUP(AN23,Skills!$M$2:$S$620,7,FALSE),IF(ISNUMBER(SEARCH(", Spoken",AN23))," -R"&amp;VLOOKUP(AN23,Skills!$M$2:$S$620,7,FALSE),"")),"")</f>
        <v/>
      </c>
      <c r="AQ23">
        <v>20</v>
      </c>
      <c r="AR23" s="8" t="str">
        <f>'Character Sheet'!FB23</f>
        <v>.44 Colt Cartridge</v>
      </c>
      <c r="AS23" s="4" t="str">
        <f t="shared" si="17"/>
        <v/>
      </c>
      <c r="AT23" s="4" t="str">
        <f t="shared" si="18"/>
        <v/>
      </c>
      <c r="AU23" s="4" t="str">
        <f t="shared" si="50"/>
        <v/>
      </c>
      <c r="AV23" s="4" t="str">
        <f t="shared" si="51"/>
        <v/>
      </c>
      <c r="AW23" s="4" t="str">
        <f t="shared" si="52"/>
        <v/>
      </c>
      <c r="AX23" s="4" t="str">
        <f t="shared" si="22"/>
        <v/>
      </c>
      <c r="AY23" s="4" t="str">
        <f t="shared" si="53"/>
        <v/>
      </c>
      <c r="AZ23" s="4" t="str">
        <f t="shared" si="54"/>
        <v/>
      </c>
      <c r="BA23" s="4" t="str">
        <f>IFERROR('Character Sheet'!JK23,"")</f>
        <v/>
      </c>
      <c r="BB23" s="4" t="str">
        <f t="shared" si="25"/>
        <v/>
      </c>
      <c r="BC23" s="4" t="str">
        <f t="shared" si="55"/>
        <v/>
      </c>
      <c r="BD23" s="4" t="str">
        <f t="shared" si="56"/>
        <v/>
      </c>
      <c r="BE23" s="4" t="str">
        <f t="shared" si="57"/>
        <v/>
      </c>
      <c r="BF23" s="4" t="str">
        <f t="shared" si="58"/>
        <v/>
      </c>
      <c r="BG23" s="4" t="str">
        <f t="shared" si="59"/>
        <v/>
      </c>
      <c r="BH23" s="4" t="str">
        <f>IFERROR('Character Sheet'!KC23,"")</f>
        <v/>
      </c>
      <c r="BI23" s="4" t="str">
        <f t="shared" si="29"/>
        <v/>
      </c>
      <c r="BJ23" s="4" t="str">
        <f t="shared" si="60"/>
        <v/>
      </c>
      <c r="BK23" s="4" t="str">
        <f t="shared" si="61"/>
        <v/>
      </c>
      <c r="BL23" s="4" t="str">
        <f t="shared" si="62"/>
        <v/>
      </c>
      <c r="BM23" s="4" t="str">
        <f t="shared" si="63"/>
        <v/>
      </c>
      <c r="BN23" s="4" t="str">
        <f t="shared" si="64"/>
        <v/>
      </c>
      <c r="BO23" s="4" t="str">
        <f t="shared" si="65"/>
        <v/>
      </c>
      <c r="BP23" s="4" t="str">
        <f t="shared" si="66"/>
        <v/>
      </c>
      <c r="BQ23" s="4" t="str">
        <f>IFERROR('Character Sheet'!IQ23+VLOOKUP(BA23,MaterialChart,5,FALSE),"")</f>
        <v/>
      </c>
      <c r="BR23" s="4" t="str">
        <f t="shared" si="67"/>
        <v/>
      </c>
      <c r="BS23" s="4">
        <f t="shared" si="75"/>
        <v>0</v>
      </c>
      <c r="BT23" s="4" t="str">
        <f t="shared" si="68"/>
        <v/>
      </c>
      <c r="BU23" s="4" t="str">
        <f t="shared" si="69"/>
        <v/>
      </c>
      <c r="BV23" s="4" t="str">
        <f t="shared" si="70"/>
        <v/>
      </c>
      <c r="BW23" s="4" t="str">
        <f>IFERROR(ROUNDUP((BE23*(BB23-AT23))+(BL23*(BI23-AX23))+(BT23*(((100+(BD23+IF(BE23=1,0,BK23))+(4*BR23))/100)))*'Character Sheet'!GT23,3),"")</f>
        <v/>
      </c>
      <c r="BX23" s="4" t="str">
        <f t="shared" si="38"/>
        <v/>
      </c>
      <c r="BY23" s="8"/>
      <c r="BZ23" s="4"/>
      <c r="CA23" s="4"/>
      <c r="CB23" s="4"/>
      <c r="CC23" s="4"/>
      <c r="CD23" s="4"/>
      <c r="CE23" s="4"/>
      <c r="CF23" s="4"/>
      <c r="CG23" s="4"/>
      <c r="CH23" s="4"/>
      <c r="CI23" s="4"/>
      <c r="CJ23" s="4"/>
      <c r="CK23" s="4"/>
      <c r="CL23" s="4"/>
      <c r="CM23" s="4"/>
      <c r="CN23" s="4"/>
      <c r="CO23" s="4"/>
      <c r="CP23" s="4"/>
      <c r="CQ23" s="4"/>
      <c r="CR23" s="4"/>
      <c r="CS23" s="4"/>
      <c r="CT23" s="4"/>
      <c r="CU23" s="4"/>
      <c r="CV23" s="4"/>
      <c r="CX23">
        <v>21</v>
      </c>
      <c r="CY23" s="3" t="str">
        <f>'Character Sheet'!B69</f>
        <v>R Foot:</v>
      </c>
      <c r="CZ23" s="4">
        <f>MAX($CT$4:$CT$19)</f>
        <v>4</v>
      </c>
      <c r="DA23" t="str">
        <f>IFERROR(VLOOKUP(CZ23,Armour!$A$4:$B$99,2,FALSE),"No Armour")</f>
        <v>Heavy Cloth</v>
      </c>
      <c r="DD23" s="3" t="str">
        <f>'Character Sheet'!B148</f>
        <v>R Rear Hoof:</v>
      </c>
      <c r="DE23" s="4">
        <f>MAX($CT$83:$CT$116)</f>
        <v>0</v>
      </c>
      <c r="DF23" t="str">
        <f>IFERROR(VLOOKUP(DE23,Armour!$A$4:$B$99,2,FALSE),"No Armour")</f>
        <v>No Armour</v>
      </c>
      <c r="DH23" s="4" t="str">
        <f t="shared" si="41"/>
        <v/>
      </c>
      <c r="DI23">
        <v>2</v>
      </c>
      <c r="DJ23" s="3" t="str">
        <f t="shared" si="76"/>
        <v>Colt Army Model 1860 (club)</v>
      </c>
      <c r="DK23" s="4" t="str">
        <f t="shared" si="77"/>
        <v>Hafted</v>
      </c>
      <c r="DL23" s="4" t="str">
        <f>IFERROR(IF(DK23=0,"",VLOOKUP(DK23,Skills!$N$72:$AF$107,19,FALSE)),"")</f>
        <v/>
      </c>
      <c r="DM23" s="4"/>
      <c r="DN23" s="4" t="str">
        <f t="shared" si="74"/>
        <v/>
      </c>
      <c r="DO23" s="4" t="str">
        <f>IFERROR(DN23+0.21,"")</f>
        <v/>
      </c>
      <c r="DP23" s="4">
        <f t="shared" si="43"/>
        <v>0</v>
      </c>
      <c r="DQ23" s="4">
        <f t="shared" si="78"/>
        <v>0</v>
      </c>
      <c r="DR23" s="4">
        <f t="shared" si="79"/>
        <v>0</v>
      </c>
      <c r="DS23" s="4">
        <f t="shared" si="80"/>
        <v>2</v>
      </c>
      <c r="DT23" s="4" t="str">
        <f t="shared" si="81"/>
        <v>Club</v>
      </c>
      <c r="DU23" s="4">
        <f t="shared" si="82"/>
        <v>-1</v>
      </c>
      <c r="DV23" s="4" t="str">
        <f>VLOOKUP((VLOOKUP((VLOOKUP('Character Creation'!$Z$11,RaceChart,20,FALSE)&amp;" "&amp;VLOOKUP('Character Creation'!$Z$11,RaceChart,21,FALSE)),Charts!$H$2:$J$14,3,FALSE)+DU23),Charts!$J$2:$N$14,5,FALSE)</f>
        <v>S</v>
      </c>
      <c r="DW23" s="4" t="str">
        <f>VLOOKUP(DV23,Charts!$N$2:$Q$14,4,FALSE)</f>
        <v>(4)</v>
      </c>
      <c r="DX23" s="4" t="str">
        <f t="shared" si="83"/>
        <v>S(4) Club</v>
      </c>
      <c r="DY23" s="4">
        <f t="shared" si="84"/>
        <v>0.75</v>
      </c>
      <c r="DZ23" s="4" t="str">
        <f t="shared" si="85"/>
        <v/>
      </c>
      <c r="EA23" s="4" t="e">
        <f>ROUNDDOWN(VLOOKUP(DK23,Skills!$N$72:$S$107,6,FALSE)/5,0)</f>
        <v>#N/A</v>
      </c>
      <c r="EB23" s="4">
        <f t="shared" si="86"/>
        <v>-1</v>
      </c>
      <c r="EC23" s="4">
        <f t="shared" si="87"/>
        <v>-1</v>
      </c>
      <c r="ED23" s="4" t="e">
        <f>VLOOKUP(DJ23,'Character Sheet'!$FB$21:$HQ$35,61,FALSE)</f>
        <v>#N/A</v>
      </c>
      <c r="EE23" s="4" t="str">
        <f t="shared" si="88"/>
        <v>- -</v>
      </c>
      <c r="EF23" s="4" t="str">
        <f t="shared" si="89"/>
        <v>- -</v>
      </c>
      <c r="EG23" s="4" t="e">
        <f>VLOOKUP(DR23,Items!$B$1156:$AA$1282,18,FALSE)</f>
        <v>#N/A</v>
      </c>
      <c r="EH23" s="4" t="e">
        <f>VLOOKUP(DJ23,'Character Sheet'!$E$26:$EZ$45,81,FALSE)</f>
        <v>#N/A</v>
      </c>
      <c r="EI23" s="4" t="e">
        <f>VLOOKUP(DJ23,'Character Sheet'!$E$26:$EZ$45,89,FALSE)</f>
        <v>#N/A</v>
      </c>
      <c r="EJ23" s="4" t="e">
        <f t="shared" si="90"/>
        <v>#N/A</v>
      </c>
      <c r="EL23" s="4">
        <f ca="1">IFERROR(VLOOKUP(EO23,Skills!$N$402:$S$440,6,FALSE),0)</f>
        <v>0</v>
      </c>
      <c r="EM23" s="4">
        <v>22</v>
      </c>
      <c r="EN23" s="4" t="s">
        <v>824</v>
      </c>
      <c r="EO23" s="8" t="str">
        <f ca="1">IFERROR(VLOOKUP(EM23,Skills!$C$405:$M$440,11,FALSE),"")</f>
        <v/>
      </c>
      <c r="EP23" s="4" t="str">
        <f t="shared" ca="1" si="71"/>
        <v/>
      </c>
      <c r="EQ23" s="4">
        <v>2.1000000000000001E-2</v>
      </c>
      <c r="ER23" s="4" t="str">
        <f t="shared" ca="1" si="16"/>
        <v/>
      </c>
      <c r="ES23" t="str">
        <f t="shared" ca="1" si="2"/>
        <v/>
      </c>
      <c r="ET23" s="4" t="e">
        <f ca="1">VLOOKUP(ES23,Skills!$N$405:$AG$440,20,FALSE)</f>
        <v>#N/A</v>
      </c>
    </row>
    <row r="24" spans="2:150" x14ac:dyDescent="0.25">
      <c r="AC24" s="8" t="str">
        <f>IFERROR(VLOOKUP('Character Creation'!$CI37,Skills!$H$2:$N$620,6,FALSE),"")</f>
        <v/>
      </c>
      <c r="AD24" s="4">
        <f>'Character Creation'!EH37</f>
        <v>0</v>
      </c>
      <c r="AG24">
        <v>23</v>
      </c>
      <c r="AH24" s="4" t="str">
        <f t="shared" si="5"/>
        <v/>
      </c>
      <c r="AI24" t="str">
        <f>IFERROR(VLOOKUP(AG24,Skills!$B$2:$M$620,12,FALSE),"")</f>
        <v/>
      </c>
      <c r="AJ24" s="4" t="str">
        <f>IFERROR(VLOOKUP(AG24,Skills!$B$2:$AF$620,31,FALSE),"")</f>
        <v/>
      </c>
      <c r="AK24" s="4" t="str">
        <f t="shared" si="0"/>
        <v/>
      </c>
      <c r="AL24" s="4">
        <v>2.3E-2</v>
      </c>
      <c r="AM24" s="62" t="str">
        <f t="shared" si="6"/>
        <v/>
      </c>
      <c r="AN24" t="str">
        <f t="shared" ca="1" si="7"/>
        <v/>
      </c>
      <c r="AO24" s="4" t="str">
        <f ca="1">IFERROR(VLOOKUP(AG24,$AH$2:$AJ$451,3,FALSE)&amp;IF(ISNUMBER(SEARCH(", Written",AN24))," -R"&amp;VLOOKUP(AN24,Skills!$M$2:$S$620,7,FALSE),IF(ISNUMBER(SEARCH(", Spoken",AN24))," -R"&amp;VLOOKUP(AN24,Skills!$M$2:$S$620,7,FALSE),"")),"")</f>
        <v/>
      </c>
      <c r="AQ24">
        <v>21</v>
      </c>
      <c r="AR24" s="8">
        <f>'Character Sheet'!FB24</f>
        <v>0</v>
      </c>
      <c r="AS24" s="4" t="str">
        <f t="shared" si="17"/>
        <v/>
      </c>
      <c r="AT24" s="4" t="str">
        <f t="shared" si="18"/>
        <v/>
      </c>
      <c r="AU24" s="4" t="str">
        <f t="shared" si="50"/>
        <v/>
      </c>
      <c r="AV24" s="4" t="str">
        <f t="shared" si="51"/>
        <v/>
      </c>
      <c r="AW24" s="4" t="str">
        <f t="shared" si="52"/>
        <v/>
      </c>
      <c r="AX24" s="4" t="str">
        <f t="shared" si="22"/>
        <v/>
      </c>
      <c r="AY24" s="4" t="str">
        <f t="shared" si="53"/>
        <v/>
      </c>
      <c r="AZ24" s="4" t="str">
        <f t="shared" si="54"/>
        <v/>
      </c>
      <c r="BA24" s="4" t="str">
        <f>IFERROR('Character Sheet'!JK24,"")</f>
        <v/>
      </c>
      <c r="BB24" s="4" t="str">
        <f t="shared" si="25"/>
        <v/>
      </c>
      <c r="BC24" s="4" t="str">
        <f t="shared" si="55"/>
        <v/>
      </c>
      <c r="BD24" s="4" t="str">
        <f t="shared" si="56"/>
        <v/>
      </c>
      <c r="BE24" s="4" t="str">
        <f t="shared" si="57"/>
        <v/>
      </c>
      <c r="BF24" s="4" t="str">
        <f t="shared" si="58"/>
        <v/>
      </c>
      <c r="BG24" s="4" t="str">
        <f t="shared" si="59"/>
        <v/>
      </c>
      <c r="BH24" s="4" t="str">
        <f>IFERROR('Character Sheet'!KC24,"")</f>
        <v/>
      </c>
      <c r="BI24" s="4" t="str">
        <f t="shared" si="29"/>
        <v/>
      </c>
      <c r="BJ24" s="4" t="str">
        <f t="shared" si="60"/>
        <v/>
      </c>
      <c r="BK24" s="4" t="str">
        <f t="shared" si="61"/>
        <v/>
      </c>
      <c r="BL24" s="4" t="str">
        <f t="shared" si="62"/>
        <v/>
      </c>
      <c r="BM24" s="4" t="str">
        <f t="shared" si="63"/>
        <v/>
      </c>
      <c r="BN24" s="4" t="str">
        <f t="shared" si="64"/>
        <v/>
      </c>
      <c r="BO24" s="4" t="str">
        <f t="shared" si="65"/>
        <v/>
      </c>
      <c r="BP24" s="4" t="str">
        <f t="shared" si="66"/>
        <v/>
      </c>
      <c r="BQ24" s="4" t="str">
        <f>IFERROR('Character Sheet'!IQ24+VLOOKUP(BA24,MaterialChart,5,FALSE),"")</f>
        <v/>
      </c>
      <c r="BR24" s="4" t="str">
        <f t="shared" si="67"/>
        <v/>
      </c>
      <c r="BS24" s="4">
        <f t="shared" si="75"/>
        <v>0</v>
      </c>
      <c r="BT24" s="4" t="str">
        <f t="shared" si="68"/>
        <v/>
      </c>
      <c r="BU24" s="4" t="str">
        <f t="shared" si="69"/>
        <v/>
      </c>
      <c r="BV24" s="4" t="str">
        <f t="shared" si="70"/>
        <v/>
      </c>
      <c r="BW24" s="4" t="str">
        <f>IFERROR(ROUNDUP((BE24*(BB24-AT24))+(BL24*(BI24-AX24))+(BT24*(((100+(BD24+IF(BE24=1,0,BK24))+(4*BR24))/100)))*'Character Sheet'!GT24,3),"")</f>
        <v/>
      </c>
      <c r="BX24" s="4" t="str">
        <f t="shared" si="38"/>
        <v/>
      </c>
      <c r="BY24" s="8"/>
      <c r="BZ24" s="4"/>
      <c r="CA24" s="4"/>
      <c r="CB24" s="4"/>
      <c r="CC24" s="4"/>
      <c r="CD24" s="4"/>
      <c r="CE24" s="4"/>
      <c r="CF24" s="4"/>
      <c r="CG24" s="4"/>
      <c r="CH24" s="4"/>
      <c r="CI24" s="4"/>
      <c r="CJ24" s="4"/>
      <c r="CK24" s="4"/>
      <c r="CL24" s="4"/>
      <c r="CM24" s="4"/>
      <c r="CN24" s="4"/>
      <c r="CO24" s="4"/>
      <c r="CP24" s="4"/>
      <c r="CQ24" s="4"/>
      <c r="CR24" s="4"/>
      <c r="CS24" s="4"/>
      <c r="CT24" s="4"/>
      <c r="CU24" s="4"/>
      <c r="CV24" s="4"/>
      <c r="DD24" s="3"/>
      <c r="DE24" s="4"/>
      <c r="DH24" s="4" t="str">
        <f t="shared" si="41"/>
        <v/>
      </c>
      <c r="DI24">
        <v>3</v>
      </c>
      <c r="DJ24" s="3" t="str">
        <f t="shared" si="76"/>
        <v/>
      </c>
      <c r="DK24" s="4" t="str">
        <f t="shared" si="77"/>
        <v/>
      </c>
      <c r="DL24" s="4" t="str">
        <f>IFERROR(IF(DK24=0,"",VLOOKUP(DK24,Skills!$N$72:$AF$107,19,FALSE)),"")</f>
        <v/>
      </c>
      <c r="DM24" s="4"/>
      <c r="DN24" s="4" t="str">
        <f t="shared" si="74"/>
        <v/>
      </c>
      <c r="DO24" s="4" t="str">
        <f>IFERROR(DN24+0.22,"")</f>
        <v/>
      </c>
      <c r="DP24" s="4">
        <f t="shared" si="43"/>
        <v>0</v>
      </c>
      <c r="DQ24" s="4">
        <f t="shared" si="78"/>
        <v>0</v>
      </c>
      <c r="DR24" s="4" t="e">
        <f t="shared" si="79"/>
        <v>#N/A</v>
      </c>
      <c r="DS24" s="4">
        <f t="shared" si="80"/>
        <v>3</v>
      </c>
      <c r="DT24" s="4" t="str">
        <f t="shared" si="81"/>
        <v/>
      </c>
      <c r="DU24" s="4" t="str">
        <f t="shared" si="82"/>
        <v/>
      </c>
      <c r="DV24" s="4" t="e">
        <f>VLOOKUP((VLOOKUP((VLOOKUP('Character Creation'!$Z$11,RaceChart,20,FALSE)&amp;" "&amp;VLOOKUP('Character Creation'!$Z$11,RaceChart,21,FALSE)),Charts!$H$2:$J$14,3,FALSE)+DU24),Charts!$J$2:$N$14,5,FALSE)</f>
        <v>#VALUE!</v>
      </c>
      <c r="DW24" s="4" t="e">
        <f>VLOOKUP(DV24,Charts!$N$2:$Q$14,4,FALSE)</f>
        <v>#VALUE!</v>
      </c>
      <c r="DX24" s="4" t="str">
        <f t="shared" si="83"/>
        <v/>
      </c>
      <c r="DY24" s="4" t="str">
        <f t="shared" si="84"/>
        <v/>
      </c>
      <c r="DZ24" s="4" t="str">
        <f t="shared" si="85"/>
        <v/>
      </c>
      <c r="EA24" s="4" t="e">
        <f>ROUNDDOWN(VLOOKUP(DK24,Skills!$N$72:$S$107,6,FALSE)/5,0)</f>
        <v>#N/A</v>
      </c>
      <c r="EB24" s="4" t="str">
        <f t="shared" si="86"/>
        <v/>
      </c>
      <c r="EC24" s="4" t="str">
        <f t="shared" si="87"/>
        <v>+</v>
      </c>
      <c r="ED24" s="4" t="e">
        <f>VLOOKUP(DJ24,'Character Sheet'!$FB$21:$HQ$35,61,FALSE)</f>
        <v>#N/A</v>
      </c>
      <c r="EE24" s="4" t="str">
        <f t="shared" si="88"/>
        <v/>
      </c>
      <c r="EF24" s="4" t="str">
        <f t="shared" si="89"/>
        <v/>
      </c>
      <c r="EG24" s="4" t="e">
        <f>VLOOKUP(DR24,Items!$B$1156:$AA$1282,18,FALSE)</f>
        <v>#N/A</v>
      </c>
      <c r="EH24" s="4">
        <f>VLOOKUP(DJ24,'Character Sheet'!$E$26:$EZ$45,81,FALSE)</f>
        <v>0</v>
      </c>
      <c r="EI24" s="4">
        <f>VLOOKUP(DJ24,'Character Sheet'!$E$26:$EZ$45,89,FALSE)</f>
        <v>0</v>
      </c>
      <c r="EJ24" s="4" t="e">
        <f t="shared" si="90"/>
        <v>#N/A</v>
      </c>
      <c r="EL24" s="4">
        <f ca="1">IFERROR(VLOOKUP(EO24,Skills!$N$402:$S$440,6,FALSE),0)</f>
        <v>0</v>
      </c>
      <c r="EM24" s="4">
        <v>23</v>
      </c>
      <c r="EN24" s="4" t="s">
        <v>824</v>
      </c>
      <c r="EO24" s="8" t="str">
        <f ca="1">IFERROR(VLOOKUP(EM24,Skills!$C$405:$M$440,11,FALSE),"")</f>
        <v/>
      </c>
      <c r="EP24" s="4" t="str">
        <f t="shared" ca="1" si="71"/>
        <v/>
      </c>
      <c r="EQ24" s="4">
        <v>2.1999999999999999E-2</v>
      </c>
      <c r="ER24" s="4" t="str">
        <f t="shared" ca="1" si="16"/>
        <v/>
      </c>
      <c r="ES24" t="str">
        <f t="shared" ca="1" si="2"/>
        <v/>
      </c>
      <c r="ET24" s="4" t="e">
        <f ca="1">VLOOKUP(ES24,Skills!$N$405:$AG$440,20,FALSE)</f>
        <v>#N/A</v>
      </c>
    </row>
    <row r="25" spans="2:150" x14ac:dyDescent="0.25">
      <c r="AC25" s="8" t="str">
        <f>IFERROR(VLOOKUP('Character Creation'!$CI38,Skills!$H$2:$N$620,6,FALSE),"")</f>
        <v/>
      </c>
      <c r="AD25" s="4">
        <f>'Character Creation'!EH38</f>
        <v>0</v>
      </c>
      <c r="AG25">
        <v>24</v>
      </c>
      <c r="AH25" s="4" t="str">
        <f t="shared" si="5"/>
        <v/>
      </c>
      <c r="AI25" t="str">
        <f>IFERROR(VLOOKUP(AG25,Skills!$B$2:$M$620,12,FALSE),"")</f>
        <v/>
      </c>
      <c r="AJ25" s="4" t="str">
        <f>IFERROR(VLOOKUP(AG25,Skills!$B$2:$AF$620,31,FALSE),"")</f>
        <v/>
      </c>
      <c r="AK25" s="4" t="str">
        <f>IFERROR(LEFT(AJ25,FIND("/",AJ25)-1),AJ25)</f>
        <v/>
      </c>
      <c r="AL25" s="4">
        <v>2.4E-2</v>
      </c>
      <c r="AM25" s="62" t="str">
        <f t="shared" si="6"/>
        <v/>
      </c>
      <c r="AN25" t="str">
        <f t="shared" ca="1" si="7"/>
        <v/>
      </c>
      <c r="AO25" s="4" t="str">
        <f ca="1">IFERROR(VLOOKUP(AG25,$AH$2:$AJ$451,3,FALSE)&amp;IF(ISNUMBER(SEARCH(", Written",AN25))," -R"&amp;VLOOKUP(AN25,Skills!$M$2:$S$620,7,FALSE),IF(ISNUMBER(SEARCH(", Spoken",AN25))," -R"&amp;VLOOKUP(AN25,Skills!$M$2:$S$620,7,FALSE),"")),"")</f>
        <v/>
      </c>
      <c r="AQ25">
        <v>22</v>
      </c>
      <c r="AR25" s="8">
        <f>'Character Sheet'!FB25</f>
        <v>0</v>
      </c>
      <c r="AS25" s="4" t="str">
        <f t="shared" si="17"/>
        <v/>
      </c>
      <c r="AT25" s="4" t="str">
        <f t="shared" si="18"/>
        <v/>
      </c>
      <c r="AU25" s="4" t="str">
        <f t="shared" si="50"/>
        <v/>
      </c>
      <c r="AV25" s="4" t="str">
        <f t="shared" si="51"/>
        <v/>
      </c>
      <c r="AW25" s="4" t="str">
        <f t="shared" si="52"/>
        <v/>
      </c>
      <c r="AX25" s="4" t="str">
        <f t="shared" si="22"/>
        <v/>
      </c>
      <c r="AY25" s="4" t="str">
        <f t="shared" si="53"/>
        <v/>
      </c>
      <c r="AZ25" s="4" t="str">
        <f t="shared" si="54"/>
        <v/>
      </c>
      <c r="BA25" s="4" t="str">
        <f>IFERROR('Character Sheet'!JK25,"")</f>
        <v/>
      </c>
      <c r="BB25" s="4" t="str">
        <f t="shared" si="25"/>
        <v/>
      </c>
      <c r="BC25" s="4" t="str">
        <f t="shared" si="55"/>
        <v/>
      </c>
      <c r="BD25" s="4" t="str">
        <f t="shared" si="56"/>
        <v/>
      </c>
      <c r="BE25" s="4" t="str">
        <f t="shared" si="57"/>
        <v/>
      </c>
      <c r="BF25" s="4" t="str">
        <f t="shared" si="58"/>
        <v/>
      </c>
      <c r="BG25" s="4" t="str">
        <f t="shared" si="59"/>
        <v/>
      </c>
      <c r="BH25" s="4" t="str">
        <f>IFERROR('Character Sheet'!KC25,"")</f>
        <v/>
      </c>
      <c r="BI25" s="4" t="str">
        <f t="shared" si="29"/>
        <v/>
      </c>
      <c r="BJ25" s="4" t="str">
        <f t="shared" si="60"/>
        <v/>
      </c>
      <c r="BK25" s="4" t="str">
        <f t="shared" si="61"/>
        <v/>
      </c>
      <c r="BL25" s="4" t="str">
        <f t="shared" si="62"/>
        <v/>
      </c>
      <c r="BM25" s="4" t="str">
        <f t="shared" si="63"/>
        <v/>
      </c>
      <c r="BN25" s="4" t="str">
        <f t="shared" si="64"/>
        <v/>
      </c>
      <c r="BO25" s="4" t="str">
        <f t="shared" si="65"/>
        <v/>
      </c>
      <c r="BP25" s="4" t="str">
        <f t="shared" si="66"/>
        <v/>
      </c>
      <c r="BQ25" s="4" t="str">
        <f>IFERROR('Character Sheet'!IQ25+VLOOKUP(BA25,MaterialChart,5,FALSE),"")</f>
        <v/>
      </c>
      <c r="BR25" s="4" t="str">
        <f t="shared" si="67"/>
        <v/>
      </c>
      <c r="BS25" s="4">
        <f t="shared" si="75"/>
        <v>0</v>
      </c>
      <c r="BT25" s="4" t="str">
        <f t="shared" si="68"/>
        <v/>
      </c>
      <c r="BU25" s="4" t="str">
        <f t="shared" si="69"/>
        <v/>
      </c>
      <c r="BV25" s="4" t="str">
        <f t="shared" si="70"/>
        <v/>
      </c>
      <c r="BW25" s="4" t="str">
        <f>IFERROR(ROUNDUP((BE25*(BB25-AT25))+(BL25*(BI25-AX25))+(BT25*(((100+(BD25+IF(BE25=1,0,BK25))+(4*BR25))/100)))*'Character Sheet'!GT25,3),"")</f>
        <v/>
      </c>
      <c r="BX25" s="4" t="str">
        <f t="shared" si="38"/>
        <v/>
      </c>
      <c r="BY25" s="8"/>
      <c r="BZ25" s="4"/>
      <c r="CA25" s="4"/>
      <c r="CB25" s="4"/>
      <c r="CC25" s="4"/>
      <c r="CD25" s="4"/>
      <c r="CE25" s="4"/>
      <c r="CF25" s="4"/>
      <c r="CG25" s="4"/>
      <c r="CH25" s="4"/>
      <c r="CI25" s="4"/>
      <c r="CJ25" s="4"/>
      <c r="CK25" s="4"/>
      <c r="CL25" s="4"/>
      <c r="CM25" s="4"/>
      <c r="CN25" s="4"/>
      <c r="CO25" s="4"/>
      <c r="CP25" s="4"/>
      <c r="CQ25" s="4"/>
      <c r="CR25" s="4"/>
      <c r="CS25" s="4"/>
      <c r="CT25" s="4"/>
      <c r="CU25" s="4"/>
      <c r="CV25" s="4"/>
      <c r="DH25" s="4" t="str">
        <f t="shared" si="41"/>
        <v/>
      </c>
      <c r="DI25">
        <v>4</v>
      </c>
      <c r="DJ25" s="3" t="str">
        <f t="shared" si="76"/>
        <v/>
      </c>
      <c r="DK25" s="4" t="str">
        <f t="shared" si="77"/>
        <v/>
      </c>
      <c r="DL25" s="4" t="str">
        <f>IFERROR(IF(DK25=0,"",VLOOKUP(DK25,Skills!$N$72:$AF$107,19,FALSE)),"")</f>
        <v/>
      </c>
      <c r="DM25" s="4"/>
      <c r="DN25" s="4" t="str">
        <f t="shared" si="74"/>
        <v/>
      </c>
      <c r="DO25" s="4" t="str">
        <f>IFERROR(DN25+0.23,"")</f>
        <v/>
      </c>
      <c r="DP25" s="4">
        <f t="shared" si="43"/>
        <v>0</v>
      </c>
      <c r="DQ25" s="4">
        <f t="shared" si="78"/>
        <v>0</v>
      </c>
      <c r="DR25" s="4" t="e">
        <f t="shared" si="79"/>
        <v>#N/A</v>
      </c>
      <c r="DS25" s="4">
        <f t="shared" si="80"/>
        <v>4</v>
      </c>
      <c r="DT25" s="4" t="str">
        <f t="shared" si="81"/>
        <v/>
      </c>
      <c r="DU25" s="4" t="str">
        <f t="shared" si="82"/>
        <v/>
      </c>
      <c r="DV25" s="4" t="e">
        <f>VLOOKUP((VLOOKUP((VLOOKUP('Character Creation'!$Z$11,RaceChart,20,FALSE)&amp;" "&amp;VLOOKUP('Character Creation'!$Z$11,RaceChart,21,FALSE)),Charts!$H$2:$J$14,3,FALSE)+DU25),Charts!$J$2:$N$14,5,FALSE)</f>
        <v>#VALUE!</v>
      </c>
      <c r="DW25" s="4" t="e">
        <f>VLOOKUP(DV25,Charts!$N$2:$Q$14,4,FALSE)</f>
        <v>#VALUE!</v>
      </c>
      <c r="DX25" s="4" t="str">
        <f t="shared" si="83"/>
        <v/>
      </c>
      <c r="DY25" s="4" t="str">
        <f t="shared" si="84"/>
        <v/>
      </c>
      <c r="DZ25" s="4" t="str">
        <f t="shared" si="85"/>
        <v/>
      </c>
      <c r="EA25" s="4" t="e">
        <f>ROUNDDOWN(VLOOKUP(DK25,Skills!$N$72:$S$107,6,FALSE)/5,0)</f>
        <v>#N/A</v>
      </c>
      <c r="EB25" s="4" t="str">
        <f t="shared" si="86"/>
        <v/>
      </c>
      <c r="EC25" s="4" t="str">
        <f t="shared" si="87"/>
        <v>+</v>
      </c>
      <c r="ED25" s="4" t="e">
        <f>VLOOKUP(DJ25,'Character Sheet'!$FB$21:$HQ$35,61,FALSE)</f>
        <v>#N/A</v>
      </c>
      <c r="EE25" s="4" t="str">
        <f t="shared" si="88"/>
        <v/>
      </c>
      <c r="EF25" s="4" t="str">
        <f t="shared" si="89"/>
        <v/>
      </c>
      <c r="EG25" s="4" t="e">
        <f>VLOOKUP(DR25,Items!$B$1156:$AA$1282,18,FALSE)</f>
        <v>#N/A</v>
      </c>
      <c r="EH25" s="4">
        <f>VLOOKUP(DJ25,'Character Sheet'!$E$26:$EZ$45,81,FALSE)</f>
        <v>0</v>
      </c>
      <c r="EI25" s="4">
        <f>VLOOKUP(DJ25,'Character Sheet'!$E$26:$EZ$45,89,FALSE)</f>
        <v>0</v>
      </c>
      <c r="EJ25" s="4" t="e">
        <f t="shared" si="90"/>
        <v>#N/A</v>
      </c>
      <c r="EL25" s="4">
        <f ca="1">IFERROR(VLOOKUP(EO25,Skills!$N$402:$S$440,6,FALSE),0)</f>
        <v>0</v>
      </c>
      <c r="EM25" s="4">
        <v>24</v>
      </c>
      <c r="EN25" s="4" t="s">
        <v>824</v>
      </c>
      <c r="EO25" s="8" t="str">
        <f ca="1">IFERROR(VLOOKUP(EM25,Skills!$C$405:$M$440,11,FALSE),"")</f>
        <v/>
      </c>
      <c r="EP25" s="4" t="str">
        <f t="shared" ca="1" si="71"/>
        <v/>
      </c>
      <c r="EQ25" s="4">
        <v>2.3E-2</v>
      </c>
      <c r="ER25" s="4" t="str">
        <f t="shared" ca="1" si="16"/>
        <v/>
      </c>
      <c r="ES25" t="str">
        <f t="shared" ca="1" si="2"/>
        <v/>
      </c>
      <c r="ET25" s="4" t="e">
        <f ca="1">VLOOKUP(ES25,Skills!$N$405:$AG$440,20,FALSE)</f>
        <v>#N/A</v>
      </c>
    </row>
    <row r="26" spans="2:150" x14ac:dyDescent="0.25">
      <c r="AC26" s="8" t="str">
        <f>IFERROR(VLOOKUP('Character Creation'!$CI39,Skills!$H$2:$N$620,6,FALSE),"")</f>
        <v/>
      </c>
      <c r="AD26" s="4">
        <f>'Character Creation'!EH39</f>
        <v>1</v>
      </c>
      <c r="AG26">
        <v>25</v>
      </c>
      <c r="AH26" s="4" t="str">
        <f t="shared" si="5"/>
        <v/>
      </c>
      <c r="AI26" t="str">
        <f>IFERROR(VLOOKUP(AG26,Skills!$B$2:$M$620,12,FALSE),"")</f>
        <v/>
      </c>
      <c r="AJ26" s="4" t="str">
        <f>IFERROR(VLOOKUP(AG26,Skills!$B$2:$AF$620,31,FALSE),"")</f>
        <v/>
      </c>
      <c r="AK26" s="4" t="str">
        <f>IFERROR(LEFT(AJ26,FIND("/",AJ26)-1),AJ26)</f>
        <v/>
      </c>
      <c r="AL26" s="4">
        <v>2.5000000000000001E-2</v>
      </c>
      <c r="AM26" s="62" t="str">
        <f t="shared" si="6"/>
        <v/>
      </c>
      <c r="AN26" t="str">
        <f t="shared" ca="1" si="7"/>
        <v/>
      </c>
      <c r="AO26" s="4" t="str">
        <f ca="1">IFERROR(VLOOKUP(AG26,$AH$2:$AJ$451,3,FALSE)&amp;IF(ISNUMBER(SEARCH(", Written",AN26))," -R"&amp;VLOOKUP(AN26,Skills!$M$2:$S$620,7,FALSE),IF(ISNUMBER(SEARCH(", Spoken",AN26))," -R"&amp;VLOOKUP(AN26,Skills!$M$2:$S$620,7,FALSE),"")),"")</f>
        <v/>
      </c>
      <c r="AQ26">
        <v>23</v>
      </c>
      <c r="AR26" s="8">
        <f>'Character Sheet'!FB26</f>
        <v>0</v>
      </c>
      <c r="AS26" s="4" t="str">
        <f t="shared" si="17"/>
        <v/>
      </c>
      <c r="AT26" s="4" t="str">
        <f t="shared" si="18"/>
        <v/>
      </c>
      <c r="AU26" s="4" t="str">
        <f t="shared" si="50"/>
        <v/>
      </c>
      <c r="AV26" s="4" t="str">
        <f t="shared" si="51"/>
        <v/>
      </c>
      <c r="AW26" s="4" t="str">
        <f t="shared" si="52"/>
        <v/>
      </c>
      <c r="AX26" s="4" t="str">
        <f t="shared" si="22"/>
        <v/>
      </c>
      <c r="AY26" s="4" t="str">
        <f t="shared" si="53"/>
        <v/>
      </c>
      <c r="AZ26" s="4" t="str">
        <f t="shared" si="54"/>
        <v/>
      </c>
      <c r="BA26" s="4" t="str">
        <f>IFERROR('Character Sheet'!JK26,"")</f>
        <v/>
      </c>
      <c r="BB26" s="4" t="str">
        <f t="shared" si="25"/>
        <v/>
      </c>
      <c r="BC26" s="4" t="str">
        <f t="shared" si="55"/>
        <v/>
      </c>
      <c r="BD26" s="4" t="str">
        <f t="shared" si="56"/>
        <v/>
      </c>
      <c r="BE26" s="4" t="str">
        <f t="shared" si="57"/>
        <v/>
      </c>
      <c r="BF26" s="4" t="str">
        <f t="shared" si="58"/>
        <v/>
      </c>
      <c r="BG26" s="4" t="str">
        <f t="shared" si="59"/>
        <v/>
      </c>
      <c r="BH26" s="4" t="str">
        <f>IFERROR('Character Sheet'!KC26,"")</f>
        <v/>
      </c>
      <c r="BI26" s="4" t="str">
        <f t="shared" si="29"/>
        <v/>
      </c>
      <c r="BJ26" s="4" t="str">
        <f t="shared" si="60"/>
        <v/>
      </c>
      <c r="BK26" s="4" t="str">
        <f t="shared" si="61"/>
        <v/>
      </c>
      <c r="BL26" s="4" t="str">
        <f t="shared" si="62"/>
        <v/>
      </c>
      <c r="BM26" s="4" t="str">
        <f t="shared" si="63"/>
        <v/>
      </c>
      <c r="BN26" s="4" t="str">
        <f t="shared" si="64"/>
        <v/>
      </c>
      <c r="BO26" s="4" t="str">
        <f t="shared" si="65"/>
        <v/>
      </c>
      <c r="BP26" s="4" t="str">
        <f t="shared" si="66"/>
        <v/>
      </c>
      <c r="BQ26" s="4" t="str">
        <f>IFERROR('Character Sheet'!IQ26+VLOOKUP(BA26,MaterialChart,5,FALSE),"")</f>
        <v/>
      </c>
      <c r="BR26" s="4" t="str">
        <f t="shared" si="67"/>
        <v/>
      </c>
      <c r="BS26" s="4">
        <f t="shared" si="75"/>
        <v>0</v>
      </c>
      <c r="BT26" s="4" t="str">
        <f t="shared" si="68"/>
        <v/>
      </c>
      <c r="BU26" s="4" t="str">
        <f t="shared" si="69"/>
        <v/>
      </c>
      <c r="BV26" s="4" t="str">
        <f t="shared" si="70"/>
        <v/>
      </c>
      <c r="BW26" s="4" t="str">
        <f>IFERROR(ROUNDUP((BE26*(BB26-AT26))+(BL26*(BI26-AX26))+(BT26*(((100+(BD26+IF(BE26=1,0,BK26))+(4*BR26))/100)))*'Character Sheet'!GT26,3),"")</f>
        <v/>
      </c>
      <c r="BX26" s="4" t="str">
        <f t="shared" si="38"/>
        <v/>
      </c>
      <c r="BY26" s="8"/>
      <c r="BZ26" s="4"/>
      <c r="CA26" s="4"/>
      <c r="CB26" s="4"/>
      <c r="CC26" s="4"/>
      <c r="CD26" s="4"/>
      <c r="CE26" s="4"/>
      <c r="CF26" s="4"/>
      <c r="CG26" s="4"/>
      <c r="CH26" s="4"/>
      <c r="CI26" s="4"/>
      <c r="CJ26" s="4"/>
      <c r="CK26" s="4"/>
      <c r="CL26" s="4"/>
      <c r="CM26" s="4"/>
      <c r="CN26" s="4"/>
      <c r="CO26" s="4"/>
      <c r="CP26" s="4"/>
      <c r="CQ26" s="4"/>
      <c r="CR26" s="4"/>
      <c r="CS26" s="4"/>
      <c r="CT26" s="4"/>
      <c r="CU26" s="4"/>
      <c r="CV26" s="4"/>
      <c r="DH26" s="4" t="str">
        <f t="shared" si="41"/>
        <v/>
      </c>
      <c r="DI26">
        <v>5</v>
      </c>
      <c r="DJ26" s="3" t="str">
        <f t="shared" si="76"/>
        <v/>
      </c>
      <c r="DK26" s="4" t="str">
        <f t="shared" si="77"/>
        <v/>
      </c>
      <c r="DL26" s="4" t="str">
        <f>IFERROR(IF(DK26=0,"",VLOOKUP(DK26,Skills!$N$72:$AF$107,19,FALSE)),"")</f>
        <v/>
      </c>
      <c r="DM26" s="4"/>
      <c r="DN26" s="4" t="str">
        <f t="shared" si="74"/>
        <v/>
      </c>
      <c r="DO26" s="4" t="str">
        <f>IFERROR(DN26+0.24,"")</f>
        <v/>
      </c>
      <c r="DP26" s="4">
        <f t="shared" si="43"/>
        <v>0</v>
      </c>
      <c r="DQ26" s="4">
        <f t="shared" si="78"/>
        <v>0</v>
      </c>
      <c r="DR26" s="4" t="e">
        <f t="shared" si="79"/>
        <v>#N/A</v>
      </c>
      <c r="DS26" s="4">
        <f t="shared" si="80"/>
        <v>5</v>
      </c>
      <c r="DT26" s="4" t="str">
        <f t="shared" si="81"/>
        <v/>
      </c>
      <c r="DU26" s="4" t="str">
        <f t="shared" si="82"/>
        <v/>
      </c>
      <c r="DV26" s="4" t="e">
        <f>VLOOKUP((VLOOKUP((VLOOKUP('Character Creation'!$Z$11,RaceChart,20,FALSE)&amp;" "&amp;VLOOKUP('Character Creation'!$Z$11,RaceChart,21,FALSE)),Charts!$H$2:$J$14,3,FALSE)+DU26),Charts!$J$2:$N$14,5,FALSE)</f>
        <v>#VALUE!</v>
      </c>
      <c r="DW26" s="4" t="e">
        <f>VLOOKUP(DV26,Charts!$N$2:$Q$14,4,FALSE)</f>
        <v>#VALUE!</v>
      </c>
      <c r="DX26" s="4" t="str">
        <f t="shared" si="83"/>
        <v/>
      </c>
      <c r="DY26" s="4" t="str">
        <f t="shared" si="84"/>
        <v/>
      </c>
      <c r="DZ26" s="4" t="str">
        <f t="shared" si="85"/>
        <v/>
      </c>
      <c r="EA26" s="4" t="e">
        <f>ROUNDDOWN(VLOOKUP(DK26,Skills!$N$72:$S$107,6,FALSE)/5,0)</f>
        <v>#N/A</v>
      </c>
      <c r="EB26" s="4" t="str">
        <f t="shared" si="86"/>
        <v/>
      </c>
      <c r="EC26" s="4" t="str">
        <f t="shared" si="87"/>
        <v>+</v>
      </c>
      <c r="ED26" s="4" t="e">
        <f>VLOOKUP(DJ26,'Character Sheet'!$FB$21:$HQ$35,61,FALSE)</f>
        <v>#N/A</v>
      </c>
      <c r="EE26" s="4" t="str">
        <f t="shared" si="88"/>
        <v/>
      </c>
      <c r="EF26" s="4" t="str">
        <f t="shared" si="89"/>
        <v/>
      </c>
      <c r="EG26" s="4" t="e">
        <f>VLOOKUP(DR26,Items!$B$1156:$AA$1282,18,FALSE)</f>
        <v>#N/A</v>
      </c>
      <c r="EH26" s="4">
        <f>VLOOKUP(DJ26,'Character Sheet'!$E$26:$EZ$45,81,FALSE)</f>
        <v>0</v>
      </c>
      <c r="EI26" s="4">
        <f>VLOOKUP(DJ26,'Character Sheet'!$E$26:$EZ$45,89,FALSE)</f>
        <v>0</v>
      </c>
      <c r="EJ26" s="4" t="e">
        <f t="shared" si="90"/>
        <v>#N/A</v>
      </c>
      <c r="EL26" s="4">
        <f ca="1">IFERROR(VLOOKUP(EO26,Skills!$N$402:$S$440,6,FALSE),0)</f>
        <v>0</v>
      </c>
      <c r="EM26" s="4">
        <v>25</v>
      </c>
      <c r="EN26" s="4" t="s">
        <v>824</v>
      </c>
      <c r="EO26" s="8" t="str">
        <f ca="1">IFERROR(VLOOKUP(EM26,Skills!$C$405:$M$440,11,FALSE),"")</f>
        <v/>
      </c>
      <c r="EP26" s="4" t="str">
        <f t="shared" ca="1" si="71"/>
        <v/>
      </c>
      <c r="EQ26" s="4">
        <v>2.4E-2</v>
      </c>
      <c r="ER26" s="4" t="str">
        <f t="shared" ca="1" si="16"/>
        <v/>
      </c>
      <c r="ES26" t="str">
        <f t="shared" ca="1" si="2"/>
        <v/>
      </c>
      <c r="ET26" s="4" t="e">
        <f ca="1">VLOOKUP(ES26,Skills!$N$405:$AG$440,20,FALSE)</f>
        <v>#N/A</v>
      </c>
    </row>
    <row r="27" spans="2:150" x14ac:dyDescent="0.25">
      <c r="AC27" s="8" t="str">
        <f>IFERROR(VLOOKUP('Character Creation'!$CI40,Skills!$H$2:$N$620,6,FALSE),"")</f>
        <v/>
      </c>
      <c r="AD27" s="4">
        <f>'Character Creation'!EH40</f>
        <v>0</v>
      </c>
      <c r="AG27">
        <v>26</v>
      </c>
      <c r="AH27" s="4" t="str">
        <f t="shared" si="5"/>
        <v/>
      </c>
      <c r="AI27" t="str">
        <f>IFERROR(VLOOKUP(AG27,Skills!$B$2:$M$620,12,FALSE),"")</f>
        <v/>
      </c>
      <c r="AJ27" s="4" t="str">
        <f>IFERROR(VLOOKUP(AG27,Skills!$B$2:$AF$620,31,FALSE),"")</f>
        <v/>
      </c>
      <c r="AK27" s="4" t="str">
        <f t="shared" ref="AK27:AK90" si="91">IFERROR(LEFT(AJ27,FIND("/",AJ27)-1),AJ27)</f>
        <v/>
      </c>
      <c r="AL27" s="4">
        <v>2.5999999999999999E-2</v>
      </c>
      <c r="AM27" s="62" t="str">
        <f t="shared" si="6"/>
        <v/>
      </c>
      <c r="AN27" t="str">
        <f t="shared" ca="1" si="7"/>
        <v/>
      </c>
      <c r="AO27" s="4" t="str">
        <f ca="1">IFERROR(VLOOKUP(AG27,$AH$2:$AJ$451,3,FALSE)&amp;IF(ISNUMBER(SEARCH(", Written",AN27))," -R"&amp;VLOOKUP(AN27,Skills!$M$2:$S$620,7,FALSE),IF(ISNUMBER(SEARCH(", Spoken",AN27))," -R"&amp;VLOOKUP(AN27,Skills!$M$2:$S$620,7,FALSE),"")),"")</f>
        <v/>
      </c>
      <c r="AQ27">
        <v>24</v>
      </c>
      <c r="AR27" s="8">
        <f>'Character Sheet'!FB27</f>
        <v>0</v>
      </c>
      <c r="AS27" s="4" t="str">
        <f t="shared" si="17"/>
        <v/>
      </c>
      <c r="AT27" s="4" t="str">
        <f t="shared" si="18"/>
        <v/>
      </c>
      <c r="AU27" s="4" t="str">
        <f t="shared" si="50"/>
        <v/>
      </c>
      <c r="AV27" s="4" t="str">
        <f t="shared" si="51"/>
        <v/>
      </c>
      <c r="AW27" s="4" t="str">
        <f t="shared" si="52"/>
        <v/>
      </c>
      <c r="AX27" s="4" t="str">
        <f t="shared" si="22"/>
        <v/>
      </c>
      <c r="AY27" s="4" t="str">
        <f t="shared" si="53"/>
        <v/>
      </c>
      <c r="AZ27" s="4" t="str">
        <f t="shared" si="54"/>
        <v/>
      </c>
      <c r="BA27" s="4" t="str">
        <f>IFERROR('Character Sheet'!JK27,"")</f>
        <v/>
      </c>
      <c r="BB27" s="4" t="str">
        <f t="shared" si="25"/>
        <v/>
      </c>
      <c r="BC27" s="4" t="str">
        <f t="shared" si="55"/>
        <v/>
      </c>
      <c r="BD27" s="4" t="str">
        <f t="shared" si="56"/>
        <v/>
      </c>
      <c r="BE27" s="4" t="str">
        <f t="shared" si="57"/>
        <v/>
      </c>
      <c r="BF27" s="4" t="str">
        <f t="shared" si="58"/>
        <v/>
      </c>
      <c r="BG27" s="4" t="str">
        <f t="shared" si="59"/>
        <v/>
      </c>
      <c r="BH27" s="4" t="str">
        <f>IFERROR('Character Sheet'!KC27,"")</f>
        <v/>
      </c>
      <c r="BI27" s="4" t="str">
        <f t="shared" si="29"/>
        <v/>
      </c>
      <c r="BJ27" s="4" t="str">
        <f t="shared" si="60"/>
        <v/>
      </c>
      <c r="BK27" s="4" t="str">
        <f t="shared" si="61"/>
        <v/>
      </c>
      <c r="BL27" s="4" t="str">
        <f t="shared" si="62"/>
        <v/>
      </c>
      <c r="BM27" s="4" t="str">
        <f t="shared" si="63"/>
        <v/>
      </c>
      <c r="BN27" s="4" t="str">
        <f t="shared" si="64"/>
        <v/>
      </c>
      <c r="BO27" s="4" t="str">
        <f t="shared" si="65"/>
        <v/>
      </c>
      <c r="BP27" s="4" t="str">
        <f t="shared" si="66"/>
        <v/>
      </c>
      <c r="BQ27" s="4" t="str">
        <f>IFERROR('Character Sheet'!IQ27+VLOOKUP(BA27,MaterialChart,5,FALSE),"")</f>
        <v/>
      </c>
      <c r="BR27" s="4" t="str">
        <f t="shared" si="67"/>
        <v/>
      </c>
      <c r="BS27" s="4">
        <f t="shared" si="75"/>
        <v>0</v>
      </c>
      <c r="BT27" s="4" t="str">
        <f t="shared" si="68"/>
        <v/>
      </c>
      <c r="BU27" s="4" t="str">
        <f t="shared" si="69"/>
        <v/>
      </c>
      <c r="BV27" s="4" t="str">
        <f t="shared" si="70"/>
        <v/>
      </c>
      <c r="BW27" s="4" t="str">
        <f>IFERROR(ROUNDUP((BE27*(BB27-AT27))+(BL27*(BI27-AX27))+(BT27*(((100+(BD27+IF(BE27=1,0,BK27))+(4*BR27))/100)))*'Character Sheet'!GT27,3),"")</f>
        <v/>
      </c>
      <c r="BX27" s="4" t="str">
        <f t="shared" si="38"/>
        <v/>
      </c>
      <c r="BY27" s="8"/>
      <c r="BZ27" s="4"/>
      <c r="CA27" s="4"/>
      <c r="CB27" s="4"/>
      <c r="CC27" s="4"/>
      <c r="CD27" s="4"/>
      <c r="CE27" s="4"/>
      <c r="CF27" s="4"/>
      <c r="CG27" s="4"/>
      <c r="CH27" s="4"/>
      <c r="CI27" s="4"/>
      <c r="CJ27" s="4"/>
      <c r="CK27" s="4"/>
      <c r="CL27" s="4"/>
      <c r="CM27" s="4"/>
      <c r="CN27" s="4"/>
      <c r="CO27" s="4"/>
      <c r="CP27" s="4"/>
      <c r="CQ27" s="4"/>
      <c r="CR27" s="4"/>
      <c r="CS27" s="4"/>
      <c r="CT27" s="4"/>
      <c r="CU27" s="4"/>
      <c r="CV27" s="4"/>
      <c r="DH27" s="4" t="str">
        <f t="shared" si="41"/>
        <v/>
      </c>
      <c r="DI27">
        <v>6</v>
      </c>
      <c r="DJ27" s="3" t="str">
        <f t="shared" si="76"/>
        <v/>
      </c>
      <c r="DK27" s="4" t="str">
        <f t="shared" si="77"/>
        <v/>
      </c>
      <c r="DL27" s="4" t="str">
        <f>IFERROR(IF(DK27=0,"",VLOOKUP(DK27,Skills!$N$72:$AF$107,19,FALSE)),"")</f>
        <v/>
      </c>
      <c r="DM27" s="4"/>
      <c r="DN27" s="4" t="str">
        <f t="shared" si="74"/>
        <v/>
      </c>
      <c r="DO27" s="4" t="str">
        <f>IFERROR(DN27+0.25,"")</f>
        <v/>
      </c>
      <c r="DP27" s="4">
        <f t="shared" si="43"/>
        <v>0</v>
      </c>
      <c r="DQ27" s="4">
        <f t="shared" si="78"/>
        <v>0</v>
      </c>
      <c r="DR27" s="4" t="e">
        <f t="shared" si="79"/>
        <v>#N/A</v>
      </c>
      <c r="DS27" s="4">
        <f t="shared" si="80"/>
        <v>6</v>
      </c>
      <c r="DT27" s="4" t="str">
        <f t="shared" si="81"/>
        <v/>
      </c>
      <c r="DU27" s="4" t="str">
        <f t="shared" si="82"/>
        <v/>
      </c>
      <c r="DV27" s="4" t="e">
        <f>VLOOKUP((VLOOKUP((VLOOKUP('Character Creation'!$Z$11,RaceChart,20,FALSE)&amp;" "&amp;VLOOKUP('Character Creation'!$Z$11,RaceChart,21,FALSE)),Charts!$H$2:$J$14,3,FALSE)+DU27),Charts!$J$2:$N$14,5,FALSE)</f>
        <v>#VALUE!</v>
      </c>
      <c r="DW27" s="4" t="e">
        <f>VLOOKUP(DV27,Charts!$N$2:$Q$14,4,FALSE)</f>
        <v>#VALUE!</v>
      </c>
      <c r="DX27" s="4" t="str">
        <f t="shared" si="83"/>
        <v/>
      </c>
      <c r="DY27" s="4" t="str">
        <f t="shared" si="84"/>
        <v/>
      </c>
      <c r="DZ27" s="4" t="str">
        <f t="shared" si="85"/>
        <v/>
      </c>
      <c r="EA27" s="4" t="e">
        <f>ROUNDDOWN(VLOOKUP(DK27,Skills!$N$72:$S$107,6,FALSE)/5,0)</f>
        <v>#N/A</v>
      </c>
      <c r="EB27" s="4" t="str">
        <f t="shared" si="86"/>
        <v/>
      </c>
      <c r="EC27" s="4" t="str">
        <f t="shared" si="87"/>
        <v>+</v>
      </c>
      <c r="ED27" s="4" t="e">
        <f>VLOOKUP(DJ27,'Character Sheet'!$FB$21:$HQ$35,61,FALSE)</f>
        <v>#N/A</v>
      </c>
      <c r="EE27" s="4" t="str">
        <f t="shared" si="88"/>
        <v/>
      </c>
      <c r="EF27" s="4" t="str">
        <f t="shared" si="89"/>
        <v/>
      </c>
      <c r="EG27" s="4" t="e">
        <f>VLOOKUP(DR27,Items!$B$1156:$AA$1282,18,FALSE)</f>
        <v>#N/A</v>
      </c>
      <c r="EH27" s="4">
        <f>VLOOKUP(DJ27,'Character Sheet'!$E$26:$EZ$45,81,FALSE)</f>
        <v>0</v>
      </c>
      <c r="EI27" s="4">
        <f>VLOOKUP(DJ27,'Character Sheet'!$E$26:$EZ$45,89,FALSE)</f>
        <v>0</v>
      </c>
      <c r="EJ27" s="4" t="e">
        <f t="shared" si="90"/>
        <v>#N/A</v>
      </c>
      <c r="EL27" s="4">
        <f ca="1">IFERROR(VLOOKUP(EO27,Skills!$N$402:$S$440,6,FALSE),0)</f>
        <v>0</v>
      </c>
      <c r="EM27" s="4">
        <v>26</v>
      </c>
      <c r="EN27" s="4" t="s">
        <v>824</v>
      </c>
      <c r="EO27" s="8" t="str">
        <f ca="1">IFERROR(VLOOKUP(EM27,Skills!$C$405:$M$440,11,FALSE),"")</f>
        <v/>
      </c>
      <c r="EP27" s="4" t="str">
        <f t="shared" ca="1" si="71"/>
        <v/>
      </c>
      <c r="EQ27" s="4">
        <v>2.5000000000000001E-2</v>
      </c>
      <c r="ER27" s="4" t="str">
        <f t="shared" ca="1" si="16"/>
        <v/>
      </c>
      <c r="ES27" t="str">
        <f t="shared" ca="1" si="2"/>
        <v/>
      </c>
      <c r="ET27" s="4" t="e">
        <f ca="1">VLOOKUP(ES27,Skills!$N$405:$AG$440,20,FALSE)</f>
        <v>#N/A</v>
      </c>
    </row>
    <row r="28" spans="2:150" x14ac:dyDescent="0.25">
      <c r="AC28" s="8" t="str">
        <f>IFERROR(VLOOKUP('Character Creation'!$CI41,Skills!$H$2:$N$620,6,FALSE),"")</f>
        <v/>
      </c>
      <c r="AD28" s="4">
        <f>'Character Creation'!EH41</f>
        <v>0</v>
      </c>
      <c r="AG28">
        <v>27</v>
      </c>
      <c r="AH28" s="4" t="str">
        <f t="shared" si="5"/>
        <v/>
      </c>
      <c r="AI28" t="str">
        <f>IFERROR(VLOOKUP(AG28,Skills!$B$2:$M$620,12,FALSE),"")</f>
        <v/>
      </c>
      <c r="AJ28" s="4" t="str">
        <f>IFERROR(VLOOKUP(AG28,Skills!$B$2:$AF$620,31,FALSE),"")</f>
        <v/>
      </c>
      <c r="AK28" s="4" t="str">
        <f t="shared" si="91"/>
        <v/>
      </c>
      <c r="AL28" s="4">
        <v>2.7E-2</v>
      </c>
      <c r="AM28" s="62" t="str">
        <f t="shared" si="6"/>
        <v/>
      </c>
      <c r="AN28" t="str">
        <f t="shared" ca="1" si="7"/>
        <v/>
      </c>
      <c r="AO28" s="4" t="str">
        <f ca="1">IFERROR(VLOOKUP(AG28,$AH$2:$AJ$451,3,FALSE)&amp;IF(ISNUMBER(SEARCH(", Written",AN28))," -R"&amp;VLOOKUP(AN28,Skills!$M$2:$S$620,7,FALSE),IF(ISNUMBER(SEARCH(", Spoken",AN28))," -R"&amp;VLOOKUP(AN28,Skills!$M$2:$S$620,7,FALSE),"")),"")</f>
        <v/>
      </c>
      <c r="AQ28">
        <v>25</v>
      </c>
      <c r="AR28" s="8">
        <f>'Character Sheet'!FB28</f>
        <v>0</v>
      </c>
      <c r="AS28" s="4" t="str">
        <f t="shared" si="17"/>
        <v/>
      </c>
      <c r="AT28" s="4" t="str">
        <f t="shared" si="18"/>
        <v/>
      </c>
      <c r="AU28" s="4" t="str">
        <f t="shared" si="50"/>
        <v/>
      </c>
      <c r="AV28" s="4" t="str">
        <f t="shared" si="51"/>
        <v/>
      </c>
      <c r="AW28" s="4" t="str">
        <f t="shared" si="52"/>
        <v/>
      </c>
      <c r="AX28" s="4" t="str">
        <f t="shared" si="22"/>
        <v/>
      </c>
      <c r="AY28" s="4" t="str">
        <f t="shared" si="53"/>
        <v/>
      </c>
      <c r="AZ28" s="4" t="str">
        <f t="shared" si="54"/>
        <v/>
      </c>
      <c r="BA28" s="4" t="str">
        <f>IFERROR('Character Sheet'!JK28,"")</f>
        <v/>
      </c>
      <c r="BB28" s="4" t="str">
        <f t="shared" si="25"/>
        <v/>
      </c>
      <c r="BC28" s="4" t="str">
        <f t="shared" si="55"/>
        <v/>
      </c>
      <c r="BD28" s="4" t="str">
        <f t="shared" si="56"/>
        <v/>
      </c>
      <c r="BE28" s="4" t="str">
        <f t="shared" si="57"/>
        <v/>
      </c>
      <c r="BF28" s="4" t="str">
        <f t="shared" si="58"/>
        <v/>
      </c>
      <c r="BG28" s="4" t="str">
        <f t="shared" si="59"/>
        <v/>
      </c>
      <c r="BH28" s="4" t="str">
        <f>IFERROR('Character Sheet'!KC28,"")</f>
        <v/>
      </c>
      <c r="BI28" s="4" t="str">
        <f t="shared" si="29"/>
        <v/>
      </c>
      <c r="BJ28" s="4" t="str">
        <f t="shared" si="60"/>
        <v/>
      </c>
      <c r="BK28" s="4" t="str">
        <f t="shared" si="61"/>
        <v/>
      </c>
      <c r="BL28" s="4" t="str">
        <f t="shared" si="62"/>
        <v/>
      </c>
      <c r="BM28" s="4" t="str">
        <f t="shared" si="63"/>
        <v/>
      </c>
      <c r="BN28" s="4" t="str">
        <f t="shared" si="64"/>
        <v/>
      </c>
      <c r="BO28" s="4" t="str">
        <f t="shared" si="65"/>
        <v/>
      </c>
      <c r="BP28" s="4" t="str">
        <f t="shared" si="66"/>
        <v/>
      </c>
      <c r="BQ28" s="4" t="str">
        <f>IFERROR('Character Sheet'!IQ28+VLOOKUP(BA28,MaterialChart,5,FALSE),"")</f>
        <v/>
      </c>
      <c r="BR28" s="4" t="str">
        <f t="shared" si="67"/>
        <v/>
      </c>
      <c r="BS28" s="4">
        <f t="shared" si="75"/>
        <v>0</v>
      </c>
      <c r="BT28" s="4" t="str">
        <f t="shared" si="68"/>
        <v/>
      </c>
      <c r="BU28" s="4" t="str">
        <f t="shared" si="69"/>
        <v/>
      </c>
      <c r="BV28" s="4" t="str">
        <f t="shared" si="70"/>
        <v/>
      </c>
      <c r="BW28" s="4" t="str">
        <f>IFERROR(ROUNDUP((BE28*(BB28-AT28))+(BL28*(BI28-AX28))+(BT28*(((100+(BD28+IF(BE28=1,0,BK28))+(4*BR28))/100)))*'Character Sheet'!GT28,3),"")</f>
        <v/>
      </c>
      <c r="BX28" s="4" t="str">
        <f t="shared" si="38"/>
        <v/>
      </c>
      <c r="BY28" s="8"/>
      <c r="BZ28" s="4"/>
      <c r="CA28" s="4"/>
      <c r="CB28" s="4"/>
      <c r="CC28" s="4"/>
      <c r="CD28" s="4"/>
      <c r="CE28" s="4"/>
      <c r="CF28" s="4"/>
      <c r="CG28" s="4"/>
      <c r="CH28" s="4"/>
      <c r="CI28" s="4"/>
      <c r="CJ28" s="4"/>
      <c r="CK28" s="4"/>
      <c r="CL28" s="4"/>
      <c r="CM28" s="4"/>
      <c r="CN28" s="4"/>
      <c r="CO28" s="4"/>
      <c r="CP28" s="4"/>
      <c r="CQ28" s="4"/>
      <c r="CR28" s="4"/>
      <c r="CS28" s="4"/>
      <c r="CT28" s="4"/>
      <c r="CU28" s="4"/>
      <c r="CV28" s="4"/>
      <c r="DH28" s="4" t="str">
        <f t="shared" si="41"/>
        <v/>
      </c>
      <c r="DI28">
        <v>7</v>
      </c>
      <c r="DJ28" s="3" t="str">
        <f t="shared" si="76"/>
        <v/>
      </c>
      <c r="DK28" s="4" t="str">
        <f t="shared" si="77"/>
        <v/>
      </c>
      <c r="DL28" s="4" t="str">
        <f>IFERROR(IF(DK28=0,"",VLOOKUP(DK28,Skills!$N$72:$AF$107,19,FALSE)),"")</f>
        <v/>
      </c>
      <c r="DM28" s="4"/>
      <c r="DN28" s="4" t="str">
        <f t="shared" si="74"/>
        <v/>
      </c>
      <c r="DO28" s="4" t="str">
        <f>IFERROR(DN28+0.26,"")</f>
        <v/>
      </c>
      <c r="DP28" s="4">
        <f t="shared" si="43"/>
        <v>0</v>
      </c>
      <c r="DQ28" s="4">
        <f t="shared" si="78"/>
        <v>0</v>
      </c>
      <c r="DR28" s="4" t="e">
        <f t="shared" si="79"/>
        <v>#N/A</v>
      </c>
      <c r="DS28" s="4">
        <f t="shared" si="80"/>
        <v>7</v>
      </c>
      <c r="DT28" s="4" t="str">
        <f t="shared" si="81"/>
        <v/>
      </c>
      <c r="DU28" s="4" t="str">
        <f t="shared" si="82"/>
        <v/>
      </c>
      <c r="DV28" s="4" t="e">
        <f>VLOOKUP((VLOOKUP((VLOOKUP('Character Creation'!$Z$11,RaceChart,20,FALSE)&amp;" "&amp;VLOOKUP('Character Creation'!$Z$11,RaceChart,21,FALSE)),Charts!$H$2:$J$14,3,FALSE)+DU28),Charts!$J$2:$N$14,5,FALSE)</f>
        <v>#VALUE!</v>
      </c>
      <c r="DW28" s="4" t="e">
        <f>VLOOKUP(DV28,Charts!$N$2:$Q$14,4,FALSE)</f>
        <v>#VALUE!</v>
      </c>
      <c r="DX28" s="4" t="str">
        <f t="shared" si="83"/>
        <v/>
      </c>
      <c r="DY28" s="4" t="str">
        <f t="shared" si="84"/>
        <v/>
      </c>
      <c r="DZ28" s="4" t="str">
        <f t="shared" si="85"/>
        <v/>
      </c>
      <c r="EA28" s="4" t="e">
        <f>ROUNDDOWN(VLOOKUP(DK28,Skills!$N$72:$S$107,6,FALSE)/5,0)</f>
        <v>#N/A</v>
      </c>
      <c r="EB28" s="4" t="str">
        <f t="shared" si="86"/>
        <v/>
      </c>
      <c r="EC28" s="4" t="str">
        <f t="shared" si="87"/>
        <v>+</v>
      </c>
      <c r="ED28" s="4" t="e">
        <f>VLOOKUP(DJ28,'Character Sheet'!$FB$21:$HQ$35,61,FALSE)</f>
        <v>#N/A</v>
      </c>
      <c r="EE28" s="4" t="str">
        <f t="shared" si="88"/>
        <v/>
      </c>
      <c r="EF28" s="4" t="str">
        <f t="shared" si="89"/>
        <v/>
      </c>
      <c r="EG28" s="4" t="e">
        <f>VLOOKUP(DR28,Items!$B$1156:$AA$1282,18,FALSE)</f>
        <v>#N/A</v>
      </c>
      <c r="EH28" s="4">
        <f>VLOOKUP(DJ28,'Character Sheet'!$E$26:$EZ$45,81,FALSE)</f>
        <v>0</v>
      </c>
      <c r="EI28" s="4">
        <f>VLOOKUP(DJ28,'Character Sheet'!$E$26:$EZ$45,89,FALSE)</f>
        <v>0</v>
      </c>
      <c r="EJ28" s="4" t="e">
        <f t="shared" si="90"/>
        <v>#N/A</v>
      </c>
      <c r="EL28" s="4">
        <f ca="1">IFERROR(VLOOKUP(EO28,Skills!$N$402:$S$440,6,FALSE),0)</f>
        <v>0</v>
      </c>
      <c r="EM28" s="4">
        <v>27</v>
      </c>
      <c r="EN28" s="4" t="s">
        <v>824</v>
      </c>
      <c r="EO28" s="8" t="str">
        <f ca="1">IFERROR(VLOOKUP(EM28,Skills!$C$405:$M$440,11,FALSE),"")</f>
        <v/>
      </c>
      <c r="EP28" s="4" t="str">
        <f t="shared" ca="1" si="71"/>
        <v/>
      </c>
      <c r="EQ28" s="4">
        <v>2.5999999999999999E-2</v>
      </c>
      <c r="ER28" s="4" t="str">
        <f t="shared" ca="1" si="16"/>
        <v/>
      </c>
      <c r="ES28" t="str">
        <f t="shared" ca="1" si="2"/>
        <v/>
      </c>
      <c r="ET28" s="4" t="e">
        <f ca="1">VLOOKUP(ES28,Skills!$N$405:$AG$440,20,FALSE)</f>
        <v>#N/A</v>
      </c>
    </row>
    <row r="29" spans="2:150" x14ac:dyDescent="0.25">
      <c r="AC29" s="8" t="str">
        <f>IFERROR(VLOOKUP('Character Creation'!$CI42,Skills!$H$2:$N$620,6,FALSE),"")</f>
        <v/>
      </c>
      <c r="AD29" s="4">
        <f>'Character Creation'!EH42</f>
        <v>0</v>
      </c>
      <c r="AG29">
        <v>28</v>
      </c>
      <c r="AH29" s="4" t="str">
        <f t="shared" si="5"/>
        <v/>
      </c>
      <c r="AI29" t="str">
        <f>IFERROR(VLOOKUP(AG29,Skills!$B$2:$M$620,12,FALSE),"")</f>
        <v/>
      </c>
      <c r="AJ29" s="4" t="str">
        <f>IFERROR(VLOOKUP(AG29,Skills!$B$2:$AF$620,31,FALSE),"")</f>
        <v/>
      </c>
      <c r="AK29" s="4" t="str">
        <f t="shared" si="91"/>
        <v/>
      </c>
      <c r="AL29" s="4">
        <v>2.8000000000000001E-2</v>
      </c>
      <c r="AM29" s="62" t="str">
        <f t="shared" si="6"/>
        <v/>
      </c>
      <c r="AN29" t="str">
        <f t="shared" ca="1" si="7"/>
        <v/>
      </c>
      <c r="AO29" s="4" t="str">
        <f ca="1">IFERROR(VLOOKUP(AG29,$AH$2:$AJ$451,3,FALSE)&amp;IF(ISNUMBER(SEARCH(", Written",AN29))," -R"&amp;VLOOKUP(AN29,Skills!$M$2:$S$620,7,FALSE),IF(ISNUMBER(SEARCH(", Spoken",AN29))," -R"&amp;VLOOKUP(AN29,Skills!$M$2:$S$620,7,FALSE),"")),"")</f>
        <v/>
      </c>
      <c r="AQ29">
        <v>26</v>
      </c>
      <c r="AR29" s="8" t="e">
        <f>'Character Sheet'!#REF!</f>
        <v>#REF!</v>
      </c>
      <c r="AS29" s="4" t="str">
        <f t="shared" si="17"/>
        <v/>
      </c>
      <c r="AT29" s="4" t="str">
        <f t="shared" si="18"/>
        <v/>
      </c>
      <c r="AU29" s="4" t="str">
        <f t="shared" si="50"/>
        <v/>
      </c>
      <c r="AV29" s="4" t="str">
        <f t="shared" si="51"/>
        <v/>
      </c>
      <c r="AW29" s="4" t="str">
        <f t="shared" si="52"/>
        <v/>
      </c>
      <c r="AX29" s="4" t="str">
        <f t="shared" si="22"/>
        <v/>
      </c>
      <c r="AY29" s="4" t="str">
        <f t="shared" si="53"/>
        <v/>
      </c>
      <c r="AZ29" s="4" t="str">
        <f t="shared" si="54"/>
        <v/>
      </c>
      <c r="BA29" s="4" t="str">
        <f>IFERROR('Character Sheet'!#REF!,"")</f>
        <v/>
      </c>
      <c r="BB29" s="4" t="str">
        <f t="shared" si="25"/>
        <v/>
      </c>
      <c r="BC29" s="4" t="str">
        <f t="shared" si="55"/>
        <v/>
      </c>
      <c r="BD29" s="4" t="str">
        <f t="shared" si="56"/>
        <v/>
      </c>
      <c r="BE29" s="4" t="str">
        <f t="shared" si="57"/>
        <v/>
      </c>
      <c r="BF29" s="4" t="str">
        <f t="shared" si="58"/>
        <v/>
      </c>
      <c r="BG29" s="4" t="str">
        <f t="shared" si="59"/>
        <v/>
      </c>
      <c r="BH29" s="4" t="str">
        <f>IFERROR('Character Sheet'!#REF!,"")</f>
        <v/>
      </c>
      <c r="BI29" s="4" t="str">
        <f t="shared" si="29"/>
        <v/>
      </c>
      <c r="BJ29" s="4" t="str">
        <f t="shared" si="60"/>
        <v/>
      </c>
      <c r="BK29" s="4" t="str">
        <f t="shared" si="61"/>
        <v/>
      </c>
      <c r="BL29" s="4" t="str">
        <f t="shared" si="62"/>
        <v/>
      </c>
      <c r="BM29" s="4" t="str">
        <f t="shared" si="63"/>
        <v/>
      </c>
      <c r="BN29" s="4" t="str">
        <f t="shared" si="64"/>
        <v/>
      </c>
      <c r="BO29" s="4" t="str">
        <f t="shared" si="65"/>
        <v/>
      </c>
      <c r="BP29" s="4" t="str">
        <f t="shared" si="66"/>
        <v/>
      </c>
      <c r="BQ29" s="4" t="str">
        <f>IFERROR('Character Sheet'!#REF!+VLOOKUP(BA29,MaterialChart,5,FALSE),"")</f>
        <v/>
      </c>
      <c r="BR29" s="4" t="str">
        <f t="shared" si="67"/>
        <v/>
      </c>
      <c r="BS29" s="4">
        <f t="shared" si="75"/>
        <v>0</v>
      </c>
      <c r="BT29" s="4" t="str">
        <f t="shared" si="68"/>
        <v/>
      </c>
      <c r="BU29" s="4" t="str">
        <f t="shared" si="69"/>
        <v/>
      </c>
      <c r="BV29" s="4" t="str">
        <f t="shared" si="70"/>
        <v/>
      </c>
      <c r="BW29" s="4" t="str">
        <f>IFERROR(ROUNDUP((BE29*(BB29-AT29))+(BL29*(BI29-AX29))+(BT29*(((100+(BD29+IF(BE29=1,0,BK29))+(4*BR29))/100)))*'Character Sheet'!#REF!,3),"")</f>
        <v/>
      </c>
      <c r="BX29" s="4" t="str">
        <f t="shared" si="38"/>
        <v/>
      </c>
      <c r="BY29" s="8"/>
      <c r="BZ29" s="4"/>
      <c r="CA29" s="4"/>
      <c r="CB29" s="4"/>
      <c r="CC29" s="4"/>
      <c r="CD29" s="4"/>
      <c r="CE29" s="4"/>
      <c r="CF29" s="4"/>
      <c r="CG29" s="4"/>
      <c r="CH29" s="4"/>
      <c r="CI29" s="4"/>
      <c r="CJ29" s="4"/>
      <c r="CK29" s="4"/>
      <c r="CL29" s="4"/>
      <c r="CM29" s="4"/>
      <c r="CN29" s="4"/>
      <c r="CO29" s="4"/>
      <c r="CP29" s="4"/>
      <c r="CQ29" s="4"/>
      <c r="CR29" s="4"/>
      <c r="CS29" s="4"/>
      <c r="CT29" s="4"/>
      <c r="CU29" s="4"/>
      <c r="CV29" s="4"/>
      <c r="DH29" s="4" t="str">
        <f t="shared" si="41"/>
        <v/>
      </c>
      <c r="DI29">
        <v>8</v>
      </c>
      <c r="DJ29" s="3" t="str">
        <f t="shared" si="76"/>
        <v/>
      </c>
      <c r="DK29" s="4" t="str">
        <f t="shared" si="77"/>
        <v/>
      </c>
      <c r="DL29" s="4" t="str">
        <f>IFERROR(IF(DK29=0,"",VLOOKUP(DK29,Skills!$N$72:$AF$107,19,FALSE)),"")</f>
        <v/>
      </c>
      <c r="DM29" s="4"/>
      <c r="DN29" s="4" t="str">
        <f t="shared" si="74"/>
        <v/>
      </c>
      <c r="DO29" s="4" t="str">
        <f>IFERROR(DN29+0.27,"")</f>
        <v/>
      </c>
      <c r="DP29" s="4">
        <f t="shared" si="43"/>
        <v>0</v>
      </c>
      <c r="DQ29" s="4">
        <f t="shared" si="78"/>
        <v>0</v>
      </c>
      <c r="DR29" s="4" t="e">
        <f t="shared" si="79"/>
        <v>#N/A</v>
      </c>
      <c r="DS29" s="4">
        <f t="shared" si="80"/>
        <v>8</v>
      </c>
      <c r="DT29" s="4" t="str">
        <f t="shared" si="81"/>
        <v/>
      </c>
      <c r="DU29" s="4" t="str">
        <f t="shared" si="82"/>
        <v/>
      </c>
      <c r="DV29" s="4" t="e">
        <f>VLOOKUP((VLOOKUP((VLOOKUP('Character Creation'!$Z$11,RaceChart,20,FALSE)&amp;" "&amp;VLOOKUP('Character Creation'!$Z$11,RaceChart,21,FALSE)),Charts!$H$2:$J$14,3,FALSE)+DU29),Charts!$J$2:$N$14,5,FALSE)</f>
        <v>#VALUE!</v>
      </c>
      <c r="DW29" s="4" t="e">
        <f>VLOOKUP(DV29,Charts!$N$2:$Q$14,4,FALSE)</f>
        <v>#VALUE!</v>
      </c>
      <c r="DX29" s="4" t="str">
        <f t="shared" si="83"/>
        <v/>
      </c>
      <c r="DY29" s="4" t="str">
        <f t="shared" si="84"/>
        <v/>
      </c>
      <c r="DZ29" s="4" t="str">
        <f t="shared" si="85"/>
        <v/>
      </c>
      <c r="EA29" s="4" t="e">
        <f>ROUNDDOWN(VLOOKUP(DK29,Skills!$N$72:$S$107,6,FALSE)/5,0)</f>
        <v>#N/A</v>
      </c>
      <c r="EB29" s="4" t="str">
        <f t="shared" si="86"/>
        <v/>
      </c>
      <c r="EC29" s="4" t="str">
        <f t="shared" si="87"/>
        <v>+</v>
      </c>
      <c r="ED29" s="4" t="e">
        <f>VLOOKUP(DJ29,'Character Sheet'!$FB$21:$HQ$35,61,FALSE)</f>
        <v>#N/A</v>
      </c>
      <c r="EE29" s="4" t="str">
        <f t="shared" si="88"/>
        <v/>
      </c>
      <c r="EF29" s="4" t="str">
        <f t="shared" si="89"/>
        <v/>
      </c>
      <c r="EG29" s="4" t="e">
        <f>VLOOKUP(DR29,Items!$B$1156:$AA$1282,18,FALSE)</f>
        <v>#N/A</v>
      </c>
      <c r="EH29" s="4">
        <f>VLOOKUP(DJ29,'Character Sheet'!$E$26:$EZ$45,81,FALSE)</f>
        <v>0</v>
      </c>
      <c r="EI29" s="4">
        <f>VLOOKUP(DJ29,'Character Sheet'!$E$26:$EZ$45,89,FALSE)</f>
        <v>0</v>
      </c>
      <c r="EJ29" s="4" t="e">
        <f t="shared" si="90"/>
        <v>#N/A</v>
      </c>
      <c r="EL29" s="4">
        <f ca="1">IFERROR(VLOOKUP(EO29,Skills!$N$402:$S$440,6,FALSE),0)</f>
        <v>0</v>
      </c>
      <c r="EM29" s="4">
        <v>28</v>
      </c>
      <c r="EN29" s="4" t="s">
        <v>824</v>
      </c>
      <c r="EO29" s="8" t="str">
        <f ca="1">IFERROR(VLOOKUP(EM29,Skills!$C$405:$M$440,11,FALSE),"")</f>
        <v/>
      </c>
      <c r="EP29" s="4" t="str">
        <f t="shared" ca="1" si="71"/>
        <v/>
      </c>
      <c r="EQ29" s="4">
        <v>2.7E-2</v>
      </c>
      <c r="ER29" s="4" t="str">
        <f t="shared" ca="1" si="16"/>
        <v/>
      </c>
      <c r="ES29" t="str">
        <f t="shared" ca="1" si="2"/>
        <v/>
      </c>
      <c r="ET29" s="4" t="e">
        <f ca="1">VLOOKUP(ES29,Skills!$N$405:$AG$440,20,FALSE)</f>
        <v>#N/A</v>
      </c>
    </row>
    <row r="30" spans="2:150" x14ac:dyDescent="0.25">
      <c r="AC30" s="8" t="str">
        <f>IFERROR(VLOOKUP('Character Creation'!$CI43,Skills!$H$2:$N$620,6,FALSE),"")</f>
        <v/>
      </c>
      <c r="AD30" s="4">
        <f>'Character Creation'!EH43</f>
        <v>0</v>
      </c>
      <c r="AG30">
        <v>29</v>
      </c>
      <c r="AH30" s="4" t="str">
        <f t="shared" si="5"/>
        <v/>
      </c>
      <c r="AI30" t="str">
        <f>IFERROR(VLOOKUP(AG30,Skills!$B$2:$M$620,12,FALSE),"")</f>
        <v/>
      </c>
      <c r="AJ30" s="4" t="str">
        <f>IFERROR(VLOOKUP(AG30,Skills!$B$2:$AF$620,31,FALSE),"")</f>
        <v/>
      </c>
      <c r="AK30" s="4" t="str">
        <f t="shared" si="91"/>
        <v/>
      </c>
      <c r="AL30" s="4">
        <v>2.9000000000000001E-2</v>
      </c>
      <c r="AM30" s="62" t="str">
        <f t="shared" si="6"/>
        <v/>
      </c>
      <c r="AN30" t="str">
        <f t="shared" ca="1" si="7"/>
        <v/>
      </c>
      <c r="AO30" s="4" t="str">
        <f ca="1">IFERROR(VLOOKUP(AG30,$AH$2:$AJ$451,3,FALSE)&amp;IF(ISNUMBER(SEARCH(", Written",AN30))," -R"&amp;VLOOKUP(AN30,Skills!$M$2:$S$620,7,FALSE),IF(ISNUMBER(SEARCH(", Spoken",AN30))," -R"&amp;VLOOKUP(AN30,Skills!$M$2:$S$620,7,FALSE),"")),"")</f>
        <v/>
      </c>
      <c r="AQ30">
        <v>27</v>
      </c>
      <c r="AR30" s="8">
        <f>'Character Sheet'!FB29</f>
        <v>0</v>
      </c>
      <c r="AS30" s="4" t="str">
        <f t="shared" si="17"/>
        <v/>
      </c>
      <c r="AT30" s="4" t="str">
        <f t="shared" si="18"/>
        <v/>
      </c>
      <c r="AU30" s="4" t="str">
        <f t="shared" si="50"/>
        <v/>
      </c>
      <c r="AV30" s="4" t="str">
        <f t="shared" si="51"/>
        <v/>
      </c>
      <c r="AW30" s="4" t="str">
        <f t="shared" si="52"/>
        <v/>
      </c>
      <c r="AX30" s="4" t="str">
        <f t="shared" si="22"/>
        <v/>
      </c>
      <c r="AY30" s="4" t="str">
        <f t="shared" si="53"/>
        <v/>
      </c>
      <c r="AZ30" s="4" t="str">
        <f t="shared" si="54"/>
        <v/>
      </c>
      <c r="BA30" s="4" t="str">
        <f>IFERROR('Character Sheet'!JK29,"")</f>
        <v/>
      </c>
      <c r="BB30" s="4" t="str">
        <f t="shared" si="25"/>
        <v/>
      </c>
      <c r="BC30" s="4" t="str">
        <f t="shared" si="55"/>
        <v/>
      </c>
      <c r="BD30" s="4" t="str">
        <f t="shared" si="56"/>
        <v/>
      </c>
      <c r="BE30" s="4" t="str">
        <f t="shared" si="57"/>
        <v/>
      </c>
      <c r="BF30" s="4" t="str">
        <f t="shared" si="58"/>
        <v/>
      </c>
      <c r="BG30" s="4" t="str">
        <f t="shared" si="59"/>
        <v/>
      </c>
      <c r="BH30" s="4" t="str">
        <f>IFERROR('Character Sheet'!KC29,"")</f>
        <v/>
      </c>
      <c r="BI30" s="4" t="str">
        <f t="shared" si="29"/>
        <v/>
      </c>
      <c r="BJ30" s="4" t="str">
        <f t="shared" si="60"/>
        <v/>
      </c>
      <c r="BK30" s="4" t="str">
        <f t="shared" si="61"/>
        <v/>
      </c>
      <c r="BL30" s="4" t="str">
        <f t="shared" si="62"/>
        <v/>
      </c>
      <c r="BM30" s="4" t="str">
        <f t="shared" si="63"/>
        <v/>
      </c>
      <c r="BN30" s="4" t="str">
        <f t="shared" si="64"/>
        <v/>
      </c>
      <c r="BO30" s="4" t="str">
        <f t="shared" si="65"/>
        <v/>
      </c>
      <c r="BP30" s="4" t="str">
        <f t="shared" si="66"/>
        <v/>
      </c>
      <c r="BQ30" s="4" t="str">
        <f>IFERROR('Character Sheet'!IQ29+VLOOKUP(BA30,MaterialChart,5,FALSE),"")</f>
        <v/>
      </c>
      <c r="BR30" s="4" t="str">
        <f t="shared" si="67"/>
        <v/>
      </c>
      <c r="BS30" s="4">
        <f t="shared" si="75"/>
        <v>0</v>
      </c>
      <c r="BT30" s="4" t="str">
        <f t="shared" si="68"/>
        <v/>
      </c>
      <c r="BU30" s="4" t="str">
        <f t="shared" si="69"/>
        <v/>
      </c>
      <c r="BV30" s="4" t="str">
        <f t="shared" si="70"/>
        <v/>
      </c>
      <c r="BW30" s="4" t="str">
        <f>IFERROR(ROUNDUP((BE30*(BB30-AT30))+(BL30*(BI30-AX30))+(BT30*(((100+(BD30+IF(BE30=1,0,BK30))+(4*BR30))/100)))*'Character Sheet'!GT29,3),"")</f>
        <v/>
      </c>
      <c r="BX30" s="4" t="str">
        <f t="shared" si="38"/>
        <v/>
      </c>
      <c r="BY30" s="8"/>
      <c r="BZ30" s="4"/>
      <c r="CA30" s="4"/>
      <c r="CB30" s="4"/>
      <c r="CC30" s="4"/>
      <c r="CD30" s="4"/>
      <c r="CE30" s="4"/>
      <c r="CF30" s="4"/>
      <c r="CG30" s="4"/>
      <c r="CH30" s="4"/>
      <c r="CI30" s="4"/>
      <c r="CJ30" s="4"/>
      <c r="CK30" s="4"/>
      <c r="CL30" s="4"/>
      <c r="CM30" s="4"/>
      <c r="CN30" s="4"/>
      <c r="CO30" s="4"/>
      <c r="CP30" s="4"/>
      <c r="CQ30" s="4"/>
      <c r="CR30" s="4"/>
      <c r="CS30" s="4"/>
      <c r="CT30" s="4"/>
      <c r="CU30" s="4"/>
      <c r="CV30" s="4"/>
      <c r="DH30" s="4" t="str">
        <f t="shared" si="41"/>
        <v/>
      </c>
      <c r="DI30">
        <v>9</v>
      </c>
      <c r="DJ30" s="3" t="str">
        <f t="shared" si="76"/>
        <v/>
      </c>
      <c r="DK30" s="4" t="str">
        <f t="shared" si="77"/>
        <v/>
      </c>
      <c r="DL30" s="4" t="str">
        <f>IFERROR(IF(DK30=0,"",VLOOKUP(DK30,Skills!$N$72:$AF$107,19,FALSE)),"")</f>
        <v/>
      </c>
      <c r="DM30" s="4"/>
      <c r="DN30" s="4" t="str">
        <f t="shared" si="74"/>
        <v/>
      </c>
      <c r="DO30" s="4" t="str">
        <f>IFERROR(DN30+0.28,"")</f>
        <v/>
      </c>
      <c r="DP30" s="4">
        <f t="shared" si="43"/>
        <v>0</v>
      </c>
      <c r="DQ30" s="4">
        <f t="shared" si="78"/>
        <v>0</v>
      </c>
      <c r="DR30" s="4" t="e">
        <f t="shared" si="79"/>
        <v>#N/A</v>
      </c>
      <c r="DS30" s="4">
        <f t="shared" si="80"/>
        <v>9</v>
      </c>
      <c r="DT30" s="4" t="str">
        <f t="shared" si="81"/>
        <v/>
      </c>
      <c r="DU30" s="4" t="str">
        <f t="shared" si="82"/>
        <v/>
      </c>
      <c r="DV30" s="4" t="e">
        <f>VLOOKUP((VLOOKUP((VLOOKUP('Character Creation'!$Z$11,RaceChart,20,FALSE)&amp;" "&amp;VLOOKUP('Character Creation'!$Z$11,RaceChart,21,FALSE)),Charts!$H$2:$J$14,3,FALSE)+DU30),Charts!$J$2:$N$14,5,FALSE)</f>
        <v>#VALUE!</v>
      </c>
      <c r="DW30" s="4" t="e">
        <f>VLOOKUP(DV30,Charts!$N$2:$Q$14,4,FALSE)</f>
        <v>#VALUE!</v>
      </c>
      <c r="DX30" s="4" t="str">
        <f t="shared" si="83"/>
        <v/>
      </c>
      <c r="DY30" s="4" t="str">
        <f t="shared" si="84"/>
        <v/>
      </c>
      <c r="DZ30" s="4" t="str">
        <f t="shared" si="85"/>
        <v/>
      </c>
      <c r="EA30" s="4" t="e">
        <f>ROUNDDOWN(VLOOKUP(DK30,Skills!$N$72:$S$107,6,FALSE)/5,0)</f>
        <v>#N/A</v>
      </c>
      <c r="EB30" s="4" t="str">
        <f t="shared" si="86"/>
        <v/>
      </c>
      <c r="EC30" s="4" t="str">
        <f t="shared" si="87"/>
        <v>+</v>
      </c>
      <c r="ED30" s="4" t="e">
        <f>VLOOKUP(DJ30,'Character Sheet'!$FB$21:$HQ$35,61,FALSE)</f>
        <v>#N/A</v>
      </c>
      <c r="EE30" s="4" t="str">
        <f t="shared" si="88"/>
        <v/>
      </c>
      <c r="EF30" s="4" t="str">
        <f t="shared" si="89"/>
        <v/>
      </c>
      <c r="EG30" s="4" t="e">
        <f>VLOOKUP(DR30,Items!$B$1156:$AA$1282,18,FALSE)</f>
        <v>#N/A</v>
      </c>
      <c r="EH30" s="4">
        <f>VLOOKUP(DJ30,'Character Sheet'!$E$26:$EZ$45,81,FALSE)</f>
        <v>0</v>
      </c>
      <c r="EI30" s="4">
        <f>VLOOKUP(DJ30,'Character Sheet'!$E$26:$EZ$45,89,FALSE)</f>
        <v>0</v>
      </c>
      <c r="EJ30" s="4" t="e">
        <f t="shared" si="90"/>
        <v>#N/A</v>
      </c>
      <c r="EL30" s="4">
        <f ca="1">IFERROR(VLOOKUP(EO30,Skills!$N$402:$S$440,6,FALSE),0)</f>
        <v>0</v>
      </c>
      <c r="EM30" s="4">
        <v>29</v>
      </c>
      <c r="EN30" s="4" t="s">
        <v>824</v>
      </c>
      <c r="EO30" s="8" t="str">
        <f ca="1">IFERROR(VLOOKUP(EM30,Skills!$C$405:$M$440,11,FALSE),"")</f>
        <v/>
      </c>
      <c r="EP30" s="4" t="str">
        <f t="shared" ca="1" si="71"/>
        <v/>
      </c>
      <c r="EQ30" s="4">
        <v>2.8000000000000001E-2</v>
      </c>
      <c r="ER30" s="4" t="str">
        <f t="shared" ca="1" si="16"/>
        <v/>
      </c>
      <c r="ES30" t="str">
        <f t="shared" ca="1" si="2"/>
        <v/>
      </c>
      <c r="ET30" s="4" t="e">
        <f ca="1">VLOOKUP(ES30,Skills!$N$405:$AG$440,20,FALSE)</f>
        <v>#N/A</v>
      </c>
    </row>
    <row r="31" spans="2:150" x14ac:dyDescent="0.25">
      <c r="AC31" s="8" t="str">
        <f>IFERROR(VLOOKUP('Character Creation'!$CI44,Skills!$H$2:$N$620,6,FALSE),"")</f>
        <v/>
      </c>
      <c r="AD31" s="4">
        <f>'Character Creation'!EH44</f>
        <v>0</v>
      </c>
      <c r="AG31">
        <v>30</v>
      </c>
      <c r="AH31" s="4" t="str">
        <f t="shared" si="5"/>
        <v/>
      </c>
      <c r="AI31" t="str">
        <f>IFERROR(VLOOKUP(AG31,Skills!$B$2:$M$620,12,FALSE),"")</f>
        <v/>
      </c>
      <c r="AJ31" s="4" t="str">
        <f>IFERROR(VLOOKUP(AG31,Skills!$B$2:$AF$620,31,FALSE),"")</f>
        <v/>
      </c>
      <c r="AK31" s="4" t="str">
        <f t="shared" si="91"/>
        <v/>
      </c>
      <c r="AL31" s="4">
        <v>0.03</v>
      </c>
      <c r="AM31" s="62" t="str">
        <f t="shared" si="6"/>
        <v/>
      </c>
      <c r="AN31" t="str">
        <f t="shared" ca="1" si="7"/>
        <v/>
      </c>
      <c r="AO31" s="4" t="str">
        <f ca="1">IFERROR(VLOOKUP(AG31,$AH$2:$AJ$451,3,FALSE)&amp;IF(ISNUMBER(SEARCH(", Written",AN31))," -R"&amp;VLOOKUP(AN31,Skills!$M$2:$S$620,7,FALSE),IF(ISNUMBER(SEARCH(", Spoken",AN31))," -R"&amp;VLOOKUP(AN31,Skills!$M$2:$S$620,7,FALSE),"")),"")</f>
        <v/>
      </c>
      <c r="AQ31">
        <v>28</v>
      </c>
      <c r="AR31" s="8">
        <f>'Character Sheet'!FB30</f>
        <v>0</v>
      </c>
      <c r="AS31" s="4" t="str">
        <f t="shared" si="17"/>
        <v/>
      </c>
      <c r="AT31" s="4" t="str">
        <f t="shared" si="18"/>
        <v/>
      </c>
      <c r="AU31" s="4" t="str">
        <f t="shared" si="50"/>
        <v/>
      </c>
      <c r="AV31" s="4" t="str">
        <f t="shared" si="51"/>
        <v/>
      </c>
      <c r="AW31" s="4" t="str">
        <f t="shared" si="52"/>
        <v/>
      </c>
      <c r="AX31" s="4" t="str">
        <f t="shared" si="22"/>
        <v/>
      </c>
      <c r="AY31" s="4" t="str">
        <f t="shared" si="53"/>
        <v/>
      </c>
      <c r="AZ31" s="4" t="str">
        <f t="shared" si="54"/>
        <v/>
      </c>
      <c r="BA31" s="4" t="str">
        <f>IFERROR('Character Sheet'!JK30,"")</f>
        <v/>
      </c>
      <c r="BB31" s="4" t="str">
        <f t="shared" si="25"/>
        <v/>
      </c>
      <c r="BC31" s="4" t="str">
        <f t="shared" si="55"/>
        <v/>
      </c>
      <c r="BD31" s="4" t="str">
        <f t="shared" si="56"/>
        <v/>
      </c>
      <c r="BE31" s="4" t="str">
        <f t="shared" si="57"/>
        <v/>
      </c>
      <c r="BF31" s="4" t="str">
        <f t="shared" si="58"/>
        <v/>
      </c>
      <c r="BG31" s="4" t="str">
        <f t="shared" si="59"/>
        <v/>
      </c>
      <c r="BH31" s="4" t="str">
        <f>IFERROR('Character Sheet'!KC30,"")</f>
        <v/>
      </c>
      <c r="BI31" s="4" t="str">
        <f t="shared" si="29"/>
        <v/>
      </c>
      <c r="BJ31" s="4" t="str">
        <f t="shared" si="60"/>
        <v/>
      </c>
      <c r="BK31" s="4" t="str">
        <f t="shared" si="61"/>
        <v/>
      </c>
      <c r="BL31" s="4" t="str">
        <f t="shared" si="62"/>
        <v/>
      </c>
      <c r="BM31" s="4" t="str">
        <f t="shared" si="63"/>
        <v/>
      </c>
      <c r="BN31" s="4" t="str">
        <f t="shared" si="64"/>
        <v/>
      </c>
      <c r="BO31" s="4" t="str">
        <f t="shared" si="65"/>
        <v/>
      </c>
      <c r="BP31" s="4" t="str">
        <f t="shared" si="66"/>
        <v/>
      </c>
      <c r="BQ31" s="4" t="str">
        <f>IFERROR('Character Sheet'!IQ30+VLOOKUP(BA31,MaterialChart,5,FALSE),"")</f>
        <v/>
      </c>
      <c r="BR31" s="4" t="str">
        <f t="shared" si="67"/>
        <v/>
      </c>
      <c r="BS31" s="4">
        <f t="shared" si="75"/>
        <v>0</v>
      </c>
      <c r="BT31" s="4" t="str">
        <f t="shared" si="68"/>
        <v/>
      </c>
      <c r="BU31" s="4" t="str">
        <f t="shared" si="69"/>
        <v/>
      </c>
      <c r="BV31" s="4" t="str">
        <f t="shared" si="70"/>
        <v/>
      </c>
      <c r="BW31" s="4" t="str">
        <f>IFERROR(ROUNDUP((BE31*(BB31-AT31))+(BL31*(BI31-AX31))+(BT31*(((100+(BD31+IF(BE31=1,0,BK31))+(4*BR31))/100)))*'Character Sheet'!GT30,3),"")</f>
        <v/>
      </c>
      <c r="BX31" s="4" t="str">
        <f t="shared" si="38"/>
        <v/>
      </c>
      <c r="BY31" s="8"/>
      <c r="BZ31" s="4"/>
      <c r="CA31" s="4"/>
      <c r="CB31" s="4"/>
      <c r="CC31" s="4"/>
      <c r="CD31" s="4"/>
      <c r="CE31" s="4"/>
      <c r="CF31" s="4"/>
      <c r="CG31" s="4"/>
      <c r="CH31" s="4"/>
      <c r="CI31" s="4"/>
      <c r="CJ31" s="4"/>
      <c r="CK31" s="4"/>
      <c r="CL31" s="4"/>
      <c r="CM31" s="4"/>
      <c r="CN31" s="4"/>
      <c r="CO31" s="4"/>
      <c r="CP31" s="4"/>
      <c r="CQ31" s="4"/>
      <c r="CR31" s="4"/>
      <c r="CS31" s="4"/>
      <c r="CT31" s="4"/>
      <c r="CU31" s="4"/>
      <c r="CV31" s="4"/>
      <c r="DH31" s="4" t="str">
        <f t="shared" si="41"/>
        <v/>
      </c>
      <c r="DI31">
        <v>10</v>
      </c>
      <c r="DJ31" s="3" t="str">
        <f t="shared" si="76"/>
        <v/>
      </c>
      <c r="DK31" s="4" t="str">
        <f t="shared" si="77"/>
        <v/>
      </c>
      <c r="DL31" s="4" t="str">
        <f>IFERROR(IF(DK31=0,"",VLOOKUP(DK31,Skills!$N$72:$AF$107,19,FALSE)),"")</f>
        <v/>
      </c>
      <c r="DM31" s="4"/>
      <c r="DN31" s="4" t="str">
        <f t="shared" si="74"/>
        <v/>
      </c>
      <c r="DO31" s="4" t="str">
        <f>IFERROR(DN31+0.29,"")</f>
        <v/>
      </c>
      <c r="DP31" s="4">
        <f t="shared" si="43"/>
        <v>0</v>
      </c>
      <c r="DQ31" s="4">
        <f t="shared" si="78"/>
        <v>0</v>
      </c>
      <c r="DR31" s="4" t="e">
        <f t="shared" si="79"/>
        <v>#N/A</v>
      </c>
      <c r="DS31" s="4">
        <f t="shared" si="80"/>
        <v>10</v>
      </c>
      <c r="DT31" s="4" t="str">
        <f t="shared" si="81"/>
        <v/>
      </c>
      <c r="DU31" s="4" t="str">
        <f t="shared" si="82"/>
        <v/>
      </c>
      <c r="DV31" s="4" t="e">
        <f>VLOOKUP((VLOOKUP((VLOOKUP('Character Creation'!$Z$11,RaceChart,20,FALSE)&amp;" "&amp;VLOOKUP('Character Creation'!$Z$11,RaceChart,21,FALSE)),Charts!$H$2:$J$14,3,FALSE)+DU31),Charts!$J$2:$N$14,5,FALSE)</f>
        <v>#VALUE!</v>
      </c>
      <c r="DW31" s="4" t="e">
        <f>VLOOKUP(DV31,Charts!$N$2:$Q$14,4,FALSE)</f>
        <v>#VALUE!</v>
      </c>
      <c r="DX31" s="4" t="str">
        <f t="shared" si="83"/>
        <v/>
      </c>
      <c r="DY31" s="4" t="str">
        <f t="shared" si="84"/>
        <v/>
      </c>
      <c r="DZ31" s="4" t="str">
        <f t="shared" si="85"/>
        <v/>
      </c>
      <c r="EA31" s="4" t="e">
        <f>ROUNDDOWN(VLOOKUP(DK31,Skills!$N$72:$S$107,6,FALSE)/5,0)</f>
        <v>#N/A</v>
      </c>
      <c r="EB31" s="4" t="str">
        <f t="shared" si="86"/>
        <v/>
      </c>
      <c r="EC31" s="4" t="str">
        <f t="shared" si="87"/>
        <v>+</v>
      </c>
      <c r="ED31" s="4" t="e">
        <f>VLOOKUP(DJ31,'Character Sheet'!$FB$21:$HQ$35,61,FALSE)</f>
        <v>#N/A</v>
      </c>
      <c r="EE31" s="4" t="str">
        <f t="shared" si="88"/>
        <v/>
      </c>
      <c r="EF31" s="4" t="str">
        <f t="shared" si="89"/>
        <v/>
      </c>
      <c r="EG31" s="4" t="e">
        <f>VLOOKUP(DR31,Items!$B$1156:$AA$1282,18,FALSE)</f>
        <v>#N/A</v>
      </c>
      <c r="EH31" s="4">
        <f>VLOOKUP(DJ31,'Character Sheet'!$E$26:$EZ$45,81,FALSE)</f>
        <v>0</v>
      </c>
      <c r="EI31" s="4">
        <f>VLOOKUP(DJ31,'Character Sheet'!$E$26:$EZ$45,89,FALSE)</f>
        <v>0</v>
      </c>
      <c r="EJ31" s="4" t="e">
        <f t="shared" si="90"/>
        <v>#N/A</v>
      </c>
      <c r="EL31" s="4">
        <f ca="1">IFERROR(VLOOKUP(EO31,Skills!$N$402:$S$440,6,FALSE),0)</f>
        <v>0</v>
      </c>
      <c r="EM31" s="4">
        <v>30</v>
      </c>
      <c r="EN31" s="4" t="s">
        <v>824</v>
      </c>
      <c r="EO31" s="8" t="str">
        <f ca="1">IFERROR(VLOOKUP(EM31,Skills!$C$405:$M$440,11,FALSE),"")</f>
        <v/>
      </c>
      <c r="EP31" s="4" t="str">
        <f t="shared" ca="1" si="71"/>
        <v/>
      </c>
      <c r="EQ31" s="4">
        <v>2.9000000000000001E-2</v>
      </c>
      <c r="ER31" s="4" t="str">
        <f t="shared" ca="1" si="16"/>
        <v/>
      </c>
      <c r="ES31" t="str">
        <f t="shared" ca="1" si="2"/>
        <v/>
      </c>
      <c r="ET31" s="4" t="e">
        <f ca="1">VLOOKUP(ES31,Skills!$N$405:$AG$440,20,FALSE)</f>
        <v>#N/A</v>
      </c>
    </row>
    <row r="32" spans="2:150" x14ac:dyDescent="0.25">
      <c r="AC32" s="8" t="str">
        <f>IFERROR(VLOOKUP('Character Creation'!$CI45,Skills!$H$2:$N$620,6,FALSE),"")</f>
        <v/>
      </c>
      <c r="AD32" s="4">
        <f>'Character Creation'!EH45</f>
        <v>0</v>
      </c>
      <c r="AG32">
        <v>31</v>
      </c>
      <c r="AH32" s="4" t="str">
        <f t="shared" si="5"/>
        <v/>
      </c>
      <c r="AI32" t="str">
        <f>IFERROR(VLOOKUP(AG32,Skills!$B$2:$M$620,12,FALSE),"")</f>
        <v/>
      </c>
      <c r="AJ32" s="4" t="str">
        <f>IFERROR(VLOOKUP(AG32,Skills!$B$2:$AF$620,31,FALSE),"")</f>
        <v/>
      </c>
      <c r="AK32" s="4" t="str">
        <f t="shared" si="91"/>
        <v/>
      </c>
      <c r="AL32" s="4">
        <v>3.1E-2</v>
      </c>
      <c r="AM32" s="62" t="str">
        <f t="shared" si="6"/>
        <v/>
      </c>
      <c r="AN32" t="str">
        <f t="shared" ca="1" si="7"/>
        <v/>
      </c>
      <c r="AO32" s="4" t="str">
        <f ca="1">IFERROR(VLOOKUP(AG32,$AH$2:$AJ$451,3,FALSE)&amp;IF(ISNUMBER(SEARCH(", Written",AN32))," -R"&amp;VLOOKUP(AN32,Skills!$M$2:$S$620,7,FALSE),IF(ISNUMBER(SEARCH(", Spoken",AN32))," -R"&amp;VLOOKUP(AN32,Skills!$M$2:$S$620,7,FALSE),"")),"")</f>
        <v/>
      </c>
      <c r="AQ32">
        <v>29</v>
      </c>
      <c r="AR32" s="8">
        <f>'Character Sheet'!FB31</f>
        <v>0</v>
      </c>
      <c r="AS32" s="4" t="str">
        <f t="shared" si="17"/>
        <v/>
      </c>
      <c r="AT32" s="4" t="str">
        <f t="shared" si="18"/>
        <v/>
      </c>
      <c r="AU32" s="4" t="str">
        <f t="shared" si="50"/>
        <v/>
      </c>
      <c r="AV32" s="4" t="str">
        <f t="shared" si="51"/>
        <v/>
      </c>
      <c r="AW32" s="4" t="str">
        <f t="shared" si="52"/>
        <v/>
      </c>
      <c r="AX32" s="4" t="str">
        <f t="shared" si="22"/>
        <v/>
      </c>
      <c r="AY32" s="4" t="str">
        <f t="shared" si="53"/>
        <v/>
      </c>
      <c r="AZ32" s="4" t="str">
        <f t="shared" si="54"/>
        <v/>
      </c>
      <c r="BA32" s="4" t="str">
        <f>IFERROR('Character Sheet'!JK31,"")</f>
        <v/>
      </c>
      <c r="BB32" s="4" t="str">
        <f t="shared" si="25"/>
        <v/>
      </c>
      <c r="BC32" s="4" t="str">
        <f t="shared" si="55"/>
        <v/>
      </c>
      <c r="BD32" s="4" t="str">
        <f t="shared" si="56"/>
        <v/>
      </c>
      <c r="BE32" s="4" t="str">
        <f t="shared" si="57"/>
        <v/>
      </c>
      <c r="BF32" s="4" t="str">
        <f t="shared" si="58"/>
        <v/>
      </c>
      <c r="BG32" s="4" t="str">
        <f t="shared" si="59"/>
        <v/>
      </c>
      <c r="BH32" s="4" t="str">
        <f>IFERROR('Character Sheet'!KC31,"")</f>
        <v/>
      </c>
      <c r="BI32" s="4" t="str">
        <f t="shared" si="29"/>
        <v/>
      </c>
      <c r="BJ32" s="4" t="str">
        <f t="shared" si="60"/>
        <v/>
      </c>
      <c r="BK32" s="4" t="str">
        <f t="shared" si="61"/>
        <v/>
      </c>
      <c r="BL32" s="4" t="str">
        <f t="shared" si="62"/>
        <v/>
      </c>
      <c r="BM32" s="4" t="str">
        <f t="shared" si="63"/>
        <v/>
      </c>
      <c r="BN32" s="4" t="str">
        <f t="shared" si="64"/>
        <v/>
      </c>
      <c r="BO32" s="4" t="str">
        <f t="shared" si="65"/>
        <v/>
      </c>
      <c r="BP32" s="4" t="str">
        <f t="shared" si="66"/>
        <v/>
      </c>
      <c r="BQ32" s="4" t="str">
        <f>IFERROR('Character Sheet'!IQ31+VLOOKUP(BA32,MaterialChart,5,FALSE),"")</f>
        <v/>
      </c>
      <c r="BR32" s="4" t="str">
        <f t="shared" si="67"/>
        <v/>
      </c>
      <c r="BS32" s="4">
        <f t="shared" si="75"/>
        <v>0</v>
      </c>
      <c r="BT32" s="4" t="str">
        <f t="shared" si="68"/>
        <v/>
      </c>
      <c r="BU32" s="4" t="str">
        <f t="shared" si="69"/>
        <v/>
      </c>
      <c r="BV32" s="4" t="str">
        <f t="shared" si="70"/>
        <v/>
      </c>
      <c r="BW32" s="4" t="str">
        <f>IFERROR(ROUNDUP((BE32*(BB32-AT32))+(BL32*(BI32-AX32))+(BT32*(((100+(BD32+IF(BE32=1,0,BK32))+(4*BR32))/100)))*'Character Sheet'!GT31,3),"")</f>
        <v/>
      </c>
      <c r="BX32" s="4" t="str">
        <f t="shared" si="38"/>
        <v/>
      </c>
      <c r="BY32" s="8"/>
      <c r="BZ32" s="4"/>
      <c r="CA32" s="4"/>
      <c r="CB32" s="4"/>
      <c r="CC32" s="4"/>
      <c r="CD32" s="4"/>
      <c r="CE32" s="4"/>
      <c r="CF32" s="4"/>
      <c r="CG32" s="4"/>
      <c r="CH32" s="4"/>
      <c r="CI32" s="4"/>
      <c r="CJ32" s="4"/>
      <c r="CK32" s="4"/>
      <c r="CL32" s="4"/>
      <c r="CM32" s="4"/>
      <c r="CN32" s="4"/>
      <c r="CO32" s="4"/>
      <c r="CP32" s="4"/>
      <c r="CQ32" s="4"/>
      <c r="CR32" s="4"/>
      <c r="CS32" s="4"/>
      <c r="CT32" s="4"/>
      <c r="CU32" s="4"/>
      <c r="CV32" s="4"/>
      <c r="DH32" s="4" t="str">
        <f t="shared" si="41"/>
        <v/>
      </c>
      <c r="DI32">
        <v>11</v>
      </c>
      <c r="DJ32" s="3" t="str">
        <f t="shared" si="76"/>
        <v/>
      </c>
      <c r="DK32" s="4" t="str">
        <f t="shared" si="77"/>
        <v/>
      </c>
      <c r="DL32" s="4" t="str">
        <f>IFERROR(IF(DK32=0,"",VLOOKUP(DK32,Skills!$N$72:$AF$107,19,FALSE)),"")</f>
        <v/>
      </c>
      <c r="DM32" s="4"/>
      <c r="DN32" s="4" t="str">
        <f t="shared" si="74"/>
        <v/>
      </c>
      <c r="DO32" s="4" t="str">
        <f>IFERROR(DN32+0.3,"")</f>
        <v/>
      </c>
      <c r="DP32" s="4">
        <f t="shared" si="43"/>
        <v>0</v>
      </c>
      <c r="DQ32" s="4">
        <f t="shared" si="78"/>
        <v>0</v>
      </c>
      <c r="DR32" s="4" t="e">
        <f t="shared" si="79"/>
        <v>#N/A</v>
      </c>
      <c r="DS32" s="4">
        <f t="shared" si="80"/>
        <v>11</v>
      </c>
      <c r="DT32" s="4" t="str">
        <f t="shared" si="81"/>
        <v/>
      </c>
      <c r="DU32" s="4" t="str">
        <f t="shared" si="82"/>
        <v/>
      </c>
      <c r="DV32" s="4" t="e">
        <f>VLOOKUP((VLOOKUP((VLOOKUP('Character Creation'!$Z$11,RaceChart,20,FALSE)&amp;" "&amp;VLOOKUP('Character Creation'!$Z$11,RaceChart,21,FALSE)),Charts!$H$2:$J$14,3,FALSE)+DU32),Charts!$J$2:$N$14,5,FALSE)</f>
        <v>#VALUE!</v>
      </c>
      <c r="DW32" s="4" t="e">
        <f>VLOOKUP(DV32,Charts!$N$2:$Q$14,4,FALSE)</f>
        <v>#VALUE!</v>
      </c>
      <c r="DX32" s="4" t="str">
        <f t="shared" si="83"/>
        <v/>
      </c>
      <c r="DY32" s="4" t="str">
        <f t="shared" si="84"/>
        <v/>
      </c>
      <c r="DZ32" s="4" t="str">
        <f t="shared" si="85"/>
        <v/>
      </c>
      <c r="EA32" s="4" t="e">
        <f>ROUNDDOWN(VLOOKUP(DK32,Skills!$N$72:$S$107,6,FALSE)/5,0)</f>
        <v>#N/A</v>
      </c>
      <c r="EB32" s="4" t="str">
        <f t="shared" si="86"/>
        <v/>
      </c>
      <c r="EC32" s="4" t="str">
        <f t="shared" si="87"/>
        <v>+</v>
      </c>
      <c r="ED32" s="4" t="e">
        <f>VLOOKUP(DJ32,'Character Sheet'!$FB$21:$HQ$35,61,FALSE)</f>
        <v>#N/A</v>
      </c>
      <c r="EE32" s="4" t="str">
        <f t="shared" si="88"/>
        <v/>
      </c>
      <c r="EF32" s="4" t="str">
        <f t="shared" si="89"/>
        <v/>
      </c>
      <c r="EG32" s="4" t="e">
        <f>VLOOKUP(DR32,Items!$B$1156:$AA$1282,18,FALSE)</f>
        <v>#N/A</v>
      </c>
      <c r="EH32" s="4">
        <f>VLOOKUP(DJ32,'Character Sheet'!$E$26:$EZ$45,81,FALSE)</f>
        <v>0</v>
      </c>
      <c r="EI32" s="4">
        <f>VLOOKUP(DJ32,'Character Sheet'!$E$26:$EZ$45,89,FALSE)</f>
        <v>0</v>
      </c>
      <c r="EJ32" s="4" t="e">
        <f t="shared" si="90"/>
        <v>#N/A</v>
      </c>
    </row>
    <row r="33" spans="29:140" x14ac:dyDescent="0.25">
      <c r="AC33" s="8" t="str">
        <f>IFERROR(VLOOKUP('Character Creation'!$CI46,Skills!$H$2:$N$620,6,FALSE),"")</f>
        <v/>
      </c>
      <c r="AD33" s="4">
        <f>'Character Creation'!EH46</f>
        <v>0</v>
      </c>
      <c r="AG33">
        <v>32</v>
      </c>
      <c r="AH33" s="4" t="str">
        <f t="shared" ca="1" si="5"/>
        <v/>
      </c>
      <c r="AI33" t="str">
        <f>IFERROR(VLOOKUP(AG33,Skills!$B$2:$M$620,12,FALSE),"")</f>
        <v/>
      </c>
      <c r="AJ33" s="4" t="str">
        <f ca="1">IFERROR(VLOOKUP(AG33,Skills!$B$2:$AF$620,31,FALSE),"")</f>
        <v/>
      </c>
      <c r="AK33" s="4" t="str">
        <f t="shared" ca="1" si="91"/>
        <v/>
      </c>
      <c r="AL33" s="4">
        <v>3.2000000000000001E-2</v>
      </c>
      <c r="AM33" s="62" t="str">
        <f t="shared" ca="1" si="6"/>
        <v/>
      </c>
      <c r="AN33" t="str">
        <f t="shared" ca="1" si="7"/>
        <v/>
      </c>
      <c r="AO33" s="4" t="str">
        <f ca="1">IFERROR(VLOOKUP(AG33,$AH$2:$AJ$451,3,FALSE)&amp;IF(ISNUMBER(SEARCH(", Written",AN33))," -R"&amp;VLOOKUP(AN33,Skills!$M$2:$S$620,7,FALSE),IF(ISNUMBER(SEARCH(", Spoken",AN33))," -R"&amp;VLOOKUP(AN33,Skills!$M$2:$S$620,7,FALSE),"")),"")</f>
        <v/>
      </c>
      <c r="AQ33">
        <v>30</v>
      </c>
      <c r="AR33" s="8">
        <f>'Character Sheet'!FB32</f>
        <v>0</v>
      </c>
      <c r="AS33" s="4" t="str">
        <f t="shared" si="17"/>
        <v/>
      </c>
      <c r="AT33" s="4" t="str">
        <f t="shared" si="18"/>
        <v/>
      </c>
      <c r="AU33" s="4" t="str">
        <f t="shared" si="50"/>
        <v/>
      </c>
      <c r="AV33" s="4" t="str">
        <f t="shared" si="51"/>
        <v/>
      </c>
      <c r="AW33" s="4" t="str">
        <f t="shared" si="52"/>
        <v/>
      </c>
      <c r="AX33" s="4" t="str">
        <f t="shared" si="22"/>
        <v/>
      </c>
      <c r="AY33" s="4" t="str">
        <f t="shared" si="53"/>
        <v/>
      </c>
      <c r="AZ33" s="4" t="str">
        <f t="shared" si="54"/>
        <v/>
      </c>
      <c r="BA33" s="4" t="str">
        <f>IFERROR('Character Sheet'!JK32,"")</f>
        <v/>
      </c>
      <c r="BB33" s="4" t="str">
        <f t="shared" si="25"/>
        <v/>
      </c>
      <c r="BC33" s="4" t="str">
        <f t="shared" si="55"/>
        <v/>
      </c>
      <c r="BD33" s="4" t="str">
        <f t="shared" si="56"/>
        <v/>
      </c>
      <c r="BE33" s="4" t="str">
        <f t="shared" si="57"/>
        <v/>
      </c>
      <c r="BF33" s="4" t="str">
        <f t="shared" si="58"/>
        <v/>
      </c>
      <c r="BG33" s="4" t="str">
        <f t="shared" si="59"/>
        <v/>
      </c>
      <c r="BH33" s="4" t="str">
        <f>IFERROR('Character Sheet'!KC32,"")</f>
        <v/>
      </c>
      <c r="BI33" s="4" t="str">
        <f t="shared" si="29"/>
        <v/>
      </c>
      <c r="BJ33" s="4" t="str">
        <f t="shared" si="60"/>
        <v/>
      </c>
      <c r="BK33" s="4" t="str">
        <f t="shared" si="61"/>
        <v/>
      </c>
      <c r="BL33" s="4" t="str">
        <f t="shared" si="62"/>
        <v/>
      </c>
      <c r="BM33" s="4" t="str">
        <f t="shared" si="63"/>
        <v/>
      </c>
      <c r="BN33" s="4" t="str">
        <f t="shared" si="64"/>
        <v/>
      </c>
      <c r="BO33" s="4" t="str">
        <f t="shared" si="65"/>
        <v/>
      </c>
      <c r="BP33" s="4" t="str">
        <f t="shared" si="66"/>
        <v/>
      </c>
      <c r="BQ33" s="4" t="str">
        <f>IFERROR('Character Sheet'!IQ32+VLOOKUP(BA33,MaterialChart,5,FALSE),"")</f>
        <v/>
      </c>
      <c r="BR33" s="4" t="str">
        <f t="shared" si="67"/>
        <v/>
      </c>
      <c r="BS33" s="4">
        <f t="shared" si="75"/>
        <v>0</v>
      </c>
      <c r="BT33" s="4" t="str">
        <f t="shared" si="68"/>
        <v/>
      </c>
      <c r="BU33" s="4" t="str">
        <f t="shared" si="69"/>
        <v/>
      </c>
      <c r="BV33" s="4" t="str">
        <f t="shared" si="70"/>
        <v/>
      </c>
      <c r="BW33" s="4" t="str">
        <f>IFERROR(ROUNDUP((BE33*(BB33-AT33))+(BL33*(BI33-AX33))+(BT33*(((100+(BD33+IF(BE33=1,0,BK33))+(4*BR33))/100)))*'Character Sheet'!GT32,3),"")</f>
        <v/>
      </c>
      <c r="BX33" s="4" t="str">
        <f t="shared" si="38"/>
        <v/>
      </c>
      <c r="BY33" s="8"/>
      <c r="BZ33" s="4"/>
      <c r="CA33" s="4"/>
      <c r="CB33" s="4"/>
      <c r="CC33" s="4"/>
      <c r="CD33" s="4"/>
      <c r="CE33" s="4"/>
      <c r="CF33" s="4"/>
      <c r="CG33" s="4"/>
      <c r="CH33" s="4"/>
      <c r="CI33" s="4"/>
      <c r="CJ33" s="4"/>
      <c r="CK33" s="4"/>
      <c r="CL33" s="4"/>
      <c r="CM33" s="4"/>
      <c r="CN33" s="4"/>
      <c r="CO33" s="4"/>
      <c r="CP33" s="4"/>
      <c r="CQ33" s="4"/>
      <c r="CR33" s="4"/>
      <c r="CS33" s="4"/>
      <c r="CT33" s="4"/>
      <c r="CU33" s="4"/>
      <c r="CV33" s="4"/>
      <c r="DH33" s="4" t="str">
        <f t="shared" si="41"/>
        <v/>
      </c>
      <c r="DI33">
        <v>12</v>
      </c>
      <c r="DJ33" s="3" t="str">
        <f t="shared" si="76"/>
        <v/>
      </c>
      <c r="DK33" s="4" t="str">
        <f t="shared" si="77"/>
        <v/>
      </c>
      <c r="DL33" s="4" t="str">
        <f>IFERROR(IF(DK33=0,"",VLOOKUP(DK33,Skills!$N$72:$AF$107,19,FALSE)),"")</f>
        <v/>
      </c>
      <c r="DM33" s="4"/>
      <c r="DN33" s="4" t="str">
        <f t="shared" si="74"/>
        <v/>
      </c>
      <c r="DO33" s="4" t="str">
        <f>IFERROR(DN33+0.31,"")</f>
        <v/>
      </c>
      <c r="DP33" s="4">
        <f t="shared" si="43"/>
        <v>0</v>
      </c>
      <c r="DQ33" s="4">
        <f t="shared" si="78"/>
        <v>0</v>
      </c>
      <c r="DR33" s="4" t="e">
        <f t="shared" si="79"/>
        <v>#N/A</v>
      </c>
      <c r="DS33" s="4">
        <f t="shared" si="80"/>
        <v>12</v>
      </c>
      <c r="DT33" s="4" t="str">
        <f t="shared" si="81"/>
        <v/>
      </c>
      <c r="DU33" s="4" t="str">
        <f t="shared" si="82"/>
        <v/>
      </c>
      <c r="DV33" s="4" t="e">
        <f>VLOOKUP((VLOOKUP((VLOOKUP('Character Creation'!$Z$11,RaceChart,20,FALSE)&amp;" "&amp;VLOOKUP('Character Creation'!$Z$11,RaceChart,21,FALSE)),Charts!$H$2:$J$14,3,FALSE)+DU33),Charts!$J$2:$N$14,5,FALSE)</f>
        <v>#VALUE!</v>
      </c>
      <c r="DW33" s="4" t="e">
        <f>VLOOKUP(DV33,Charts!$N$2:$Q$14,4,FALSE)</f>
        <v>#VALUE!</v>
      </c>
      <c r="DX33" s="4" t="str">
        <f t="shared" si="83"/>
        <v/>
      </c>
      <c r="DY33" s="4" t="str">
        <f t="shared" si="84"/>
        <v/>
      </c>
      <c r="DZ33" s="4" t="str">
        <f t="shared" si="85"/>
        <v/>
      </c>
      <c r="EA33" s="4" t="e">
        <f>ROUNDDOWN(VLOOKUP(DK33,Skills!$N$72:$S$107,6,FALSE)/5,0)</f>
        <v>#N/A</v>
      </c>
      <c r="EB33" s="4" t="str">
        <f t="shared" si="86"/>
        <v/>
      </c>
      <c r="EC33" s="4" t="str">
        <f t="shared" si="87"/>
        <v>+</v>
      </c>
      <c r="ED33" s="4" t="e">
        <f>VLOOKUP(DJ33,'Character Sheet'!$FB$21:$HQ$35,61,FALSE)</f>
        <v>#N/A</v>
      </c>
      <c r="EE33" s="4" t="str">
        <f t="shared" si="88"/>
        <v/>
      </c>
      <c r="EF33" s="4" t="str">
        <f t="shared" si="89"/>
        <v/>
      </c>
      <c r="EG33" s="4" t="e">
        <f>VLOOKUP(DR33,Items!$B$1156:$AA$1282,18,FALSE)</f>
        <v>#N/A</v>
      </c>
      <c r="EH33" s="4">
        <f>VLOOKUP(DJ33,'Character Sheet'!$E$26:$EZ$45,81,FALSE)</f>
        <v>0</v>
      </c>
      <c r="EI33" s="4">
        <f>VLOOKUP(DJ33,'Character Sheet'!$E$26:$EZ$45,89,FALSE)</f>
        <v>0</v>
      </c>
      <c r="EJ33" s="4" t="e">
        <f t="shared" si="90"/>
        <v>#N/A</v>
      </c>
    </row>
    <row r="34" spans="29:140" x14ac:dyDescent="0.25">
      <c r="AC34" s="8" t="str">
        <f>IFERROR(VLOOKUP('Character Creation'!$CI47,Skills!$H$2:$N$620,6,FALSE),"")</f>
        <v/>
      </c>
      <c r="AD34" s="4">
        <f>'Character Creation'!EH47</f>
        <v>0</v>
      </c>
      <c r="AG34">
        <v>33</v>
      </c>
      <c r="AH34" s="4" t="str">
        <f t="shared" si="5"/>
        <v/>
      </c>
      <c r="AI34" t="str">
        <f>IFERROR(VLOOKUP(AG34,Skills!$B$2:$M$620,12,FALSE),"")</f>
        <v/>
      </c>
      <c r="AJ34" s="4" t="str">
        <f>IFERROR(VLOOKUP(AG34,Skills!$B$2:$AF$620,31,FALSE),"")</f>
        <v/>
      </c>
      <c r="AK34" s="4" t="str">
        <f t="shared" si="91"/>
        <v/>
      </c>
      <c r="AL34" s="4">
        <v>3.3000000000000002E-2</v>
      </c>
      <c r="AM34" s="62" t="str">
        <f t="shared" si="6"/>
        <v/>
      </c>
      <c r="AN34" t="str">
        <f t="shared" ca="1" si="7"/>
        <v/>
      </c>
      <c r="AO34" s="4" t="str">
        <f ca="1">IFERROR(VLOOKUP(AG34,$AH$2:$AJ$451,3,FALSE)&amp;IF(ISNUMBER(SEARCH(", Written",AN34))," -R"&amp;VLOOKUP(AN34,Skills!$M$2:$S$620,7,FALSE),IF(ISNUMBER(SEARCH(", Spoken",AN34))," -R"&amp;VLOOKUP(AN34,Skills!$M$2:$S$620,7,FALSE),"")),"")</f>
        <v/>
      </c>
      <c r="AQ34">
        <v>31</v>
      </c>
      <c r="AR34" s="8">
        <f>'Character Sheet'!FB33</f>
        <v>0</v>
      </c>
      <c r="AS34" s="4" t="str">
        <f t="shared" si="17"/>
        <v/>
      </c>
      <c r="AT34" s="4" t="str">
        <f t="shared" si="18"/>
        <v/>
      </c>
      <c r="AU34" s="4" t="str">
        <f t="shared" si="50"/>
        <v/>
      </c>
      <c r="AV34" s="4" t="str">
        <f t="shared" si="51"/>
        <v/>
      </c>
      <c r="AW34" s="4" t="str">
        <f t="shared" si="52"/>
        <v/>
      </c>
      <c r="AX34" s="4" t="str">
        <f t="shared" si="22"/>
        <v/>
      </c>
      <c r="AY34" s="4" t="str">
        <f t="shared" si="53"/>
        <v/>
      </c>
      <c r="AZ34" s="4" t="str">
        <f t="shared" si="54"/>
        <v/>
      </c>
      <c r="BA34" s="4" t="str">
        <f>IFERROR('Character Sheet'!JK33,"")</f>
        <v/>
      </c>
      <c r="BB34" s="4" t="str">
        <f t="shared" si="25"/>
        <v/>
      </c>
      <c r="BC34" s="4" t="str">
        <f t="shared" si="55"/>
        <v/>
      </c>
      <c r="BD34" s="4" t="str">
        <f t="shared" si="56"/>
        <v/>
      </c>
      <c r="BE34" s="4" t="str">
        <f t="shared" si="57"/>
        <v/>
      </c>
      <c r="BF34" s="4" t="str">
        <f t="shared" si="58"/>
        <v/>
      </c>
      <c r="BG34" s="4" t="str">
        <f t="shared" si="59"/>
        <v/>
      </c>
      <c r="BH34" s="4" t="str">
        <f>IFERROR('Character Sheet'!KC33,"")</f>
        <v/>
      </c>
      <c r="BI34" s="4" t="str">
        <f t="shared" si="29"/>
        <v/>
      </c>
      <c r="BJ34" s="4" t="str">
        <f t="shared" si="60"/>
        <v/>
      </c>
      <c r="BK34" s="4" t="str">
        <f t="shared" si="61"/>
        <v/>
      </c>
      <c r="BL34" s="4" t="str">
        <f t="shared" si="62"/>
        <v/>
      </c>
      <c r="BM34" s="4" t="str">
        <f t="shared" si="63"/>
        <v/>
      </c>
      <c r="BN34" s="4" t="str">
        <f t="shared" si="64"/>
        <v/>
      </c>
      <c r="BO34" s="4" t="str">
        <f t="shared" si="65"/>
        <v/>
      </c>
      <c r="BP34" s="4" t="str">
        <f t="shared" si="66"/>
        <v/>
      </c>
      <c r="BQ34" s="4" t="str">
        <f>IFERROR('Character Sheet'!IQ33+VLOOKUP(BA34,MaterialChart,5,FALSE),"")</f>
        <v/>
      </c>
      <c r="BR34" s="4" t="str">
        <f t="shared" si="67"/>
        <v/>
      </c>
      <c r="BS34" s="4">
        <f t="shared" si="75"/>
        <v>0</v>
      </c>
      <c r="BT34" s="4" t="str">
        <f t="shared" si="68"/>
        <v/>
      </c>
      <c r="BU34" s="4" t="str">
        <f t="shared" si="69"/>
        <v/>
      </c>
      <c r="BV34" s="4" t="str">
        <f t="shared" si="70"/>
        <v/>
      </c>
      <c r="BW34" s="4" t="str">
        <f>IFERROR(ROUNDUP((BE34*(BB34-AT34))+(BL34*(BI34-AX34))+(BT34*(((100+(BD34+IF(BE34=1,0,BK34))+(4*BR34))/100)))*'Character Sheet'!GT33,3),"")</f>
        <v/>
      </c>
      <c r="BX34" s="4" t="str">
        <f t="shared" si="38"/>
        <v/>
      </c>
      <c r="BY34" s="8"/>
      <c r="BZ34" s="4"/>
      <c r="CA34" s="4"/>
      <c r="CB34" s="4"/>
      <c r="CC34" s="4"/>
      <c r="CD34" s="4"/>
      <c r="CE34" s="4"/>
      <c r="CF34" s="4"/>
      <c r="CG34" s="4"/>
      <c r="CH34" s="4"/>
      <c r="CI34" s="4"/>
      <c r="CJ34" s="4"/>
      <c r="CK34" s="4"/>
      <c r="CL34" s="4"/>
      <c r="CM34" s="4"/>
      <c r="CN34" s="4"/>
      <c r="CO34" s="4"/>
      <c r="CP34" s="4"/>
      <c r="CQ34" s="4"/>
      <c r="CR34" s="4"/>
      <c r="CS34" s="4"/>
      <c r="CT34" s="4"/>
      <c r="CU34" s="4"/>
      <c r="CV34" s="4"/>
      <c r="DH34" s="4" t="str">
        <f t="shared" si="41"/>
        <v/>
      </c>
      <c r="DI34">
        <v>13</v>
      </c>
      <c r="DJ34" s="3" t="str">
        <f t="shared" si="76"/>
        <v/>
      </c>
      <c r="DK34" s="4" t="str">
        <f t="shared" si="77"/>
        <v/>
      </c>
      <c r="DL34" s="4" t="str">
        <f>IFERROR(IF(DK34=0,"",VLOOKUP(DK34,Skills!$N$72:$AF$107,19,FALSE)),"")</f>
        <v/>
      </c>
      <c r="DM34" s="4"/>
      <c r="DN34" s="4" t="str">
        <f t="shared" si="74"/>
        <v/>
      </c>
      <c r="DO34" s="4" t="str">
        <f>IFERROR(DN34+0.32,"")</f>
        <v/>
      </c>
      <c r="DP34" s="4">
        <f t="shared" si="43"/>
        <v>0</v>
      </c>
      <c r="DQ34" s="4">
        <f t="shared" si="78"/>
        <v>0</v>
      </c>
      <c r="DR34" s="4" t="e">
        <f t="shared" si="79"/>
        <v>#N/A</v>
      </c>
      <c r="DS34" s="4">
        <f t="shared" si="80"/>
        <v>13</v>
      </c>
      <c r="DT34" s="4" t="str">
        <f t="shared" si="81"/>
        <v/>
      </c>
      <c r="DU34" s="4" t="str">
        <f t="shared" si="82"/>
        <v/>
      </c>
      <c r="DV34" s="4" t="e">
        <f>VLOOKUP((VLOOKUP((VLOOKUP('Character Creation'!$Z$11,RaceChart,20,FALSE)&amp;" "&amp;VLOOKUP('Character Creation'!$Z$11,RaceChart,21,FALSE)),Charts!$H$2:$J$14,3,FALSE)+DU34),Charts!$J$2:$N$14,5,FALSE)</f>
        <v>#VALUE!</v>
      </c>
      <c r="DW34" s="4" t="e">
        <f>VLOOKUP(DV34,Charts!$N$2:$Q$14,4,FALSE)</f>
        <v>#VALUE!</v>
      </c>
      <c r="DX34" s="4" t="str">
        <f t="shared" si="83"/>
        <v/>
      </c>
      <c r="DY34" s="4" t="str">
        <f t="shared" si="84"/>
        <v/>
      </c>
      <c r="DZ34" s="4" t="str">
        <f t="shared" si="85"/>
        <v/>
      </c>
      <c r="EA34" s="4" t="e">
        <f>ROUNDDOWN(VLOOKUP(DK34,Skills!$N$72:$S$107,6,FALSE)/5,0)</f>
        <v>#N/A</v>
      </c>
      <c r="EB34" s="4" t="str">
        <f t="shared" si="86"/>
        <v/>
      </c>
      <c r="EC34" s="4" t="str">
        <f t="shared" si="87"/>
        <v>+</v>
      </c>
      <c r="ED34" s="4" t="e">
        <f>VLOOKUP(DJ34,'Character Sheet'!$FB$21:$HQ$35,61,FALSE)</f>
        <v>#N/A</v>
      </c>
      <c r="EE34" s="4" t="str">
        <f t="shared" si="88"/>
        <v/>
      </c>
      <c r="EF34" s="4" t="str">
        <f t="shared" si="89"/>
        <v/>
      </c>
      <c r="EG34" s="4" t="e">
        <f>VLOOKUP(DR34,Items!$B$1156:$AA$1282,18,FALSE)</f>
        <v>#N/A</v>
      </c>
      <c r="EH34" s="4">
        <f>VLOOKUP(DJ34,'Character Sheet'!$E$26:$EZ$45,81,FALSE)</f>
        <v>0</v>
      </c>
      <c r="EI34" s="4">
        <f>VLOOKUP(DJ34,'Character Sheet'!$E$26:$EZ$45,89,FALSE)</f>
        <v>0</v>
      </c>
      <c r="EJ34" s="4" t="e">
        <f t="shared" si="90"/>
        <v>#N/A</v>
      </c>
    </row>
    <row r="35" spans="29:140" x14ac:dyDescent="0.25">
      <c r="AC35" s="8" t="str">
        <f>IFERROR(VLOOKUP('Character Creation'!$CI48,Skills!$H$2:$N$620,6,FALSE),"")</f>
        <v/>
      </c>
      <c r="AD35" s="4">
        <f>'Character Creation'!EH48</f>
        <v>0</v>
      </c>
      <c r="AG35">
        <v>34</v>
      </c>
      <c r="AH35" s="4" t="str">
        <f t="shared" si="5"/>
        <v/>
      </c>
      <c r="AI35" t="str">
        <f>IFERROR(VLOOKUP(AG35,Skills!$B$2:$M$620,12,FALSE),"")</f>
        <v/>
      </c>
      <c r="AJ35" s="4" t="str">
        <f>IFERROR(VLOOKUP(AG35,Skills!$B$2:$AF$620,31,FALSE),"")</f>
        <v/>
      </c>
      <c r="AK35" s="4" t="str">
        <f t="shared" si="91"/>
        <v/>
      </c>
      <c r="AL35" s="4">
        <v>3.4000000000000002E-2</v>
      </c>
      <c r="AM35" s="62" t="str">
        <f t="shared" si="6"/>
        <v/>
      </c>
      <c r="AN35" t="str">
        <f t="shared" ca="1" si="7"/>
        <v/>
      </c>
      <c r="AO35" s="4" t="str">
        <f ca="1">IFERROR(VLOOKUP(AG35,$AH$2:$AJ$451,3,FALSE)&amp;IF(ISNUMBER(SEARCH(", Written",AN35))," -R"&amp;VLOOKUP(AN35,Skills!$M$2:$S$620,7,FALSE),IF(ISNUMBER(SEARCH(", Spoken",AN35))," -R"&amp;VLOOKUP(AN35,Skills!$M$2:$S$620,7,FALSE),"")),"")</f>
        <v/>
      </c>
      <c r="AQ35">
        <v>32</v>
      </c>
      <c r="AR35" s="8">
        <f>'Character Sheet'!FB34</f>
        <v>0</v>
      </c>
      <c r="AS35" s="4" t="str">
        <f t="shared" si="17"/>
        <v/>
      </c>
      <c r="AT35" s="4" t="str">
        <f t="shared" si="18"/>
        <v/>
      </c>
      <c r="AU35" s="4" t="str">
        <f t="shared" si="50"/>
        <v/>
      </c>
      <c r="AV35" s="4" t="str">
        <f t="shared" si="51"/>
        <v/>
      </c>
      <c r="AW35" s="4" t="str">
        <f t="shared" si="52"/>
        <v/>
      </c>
      <c r="AX35" s="4" t="str">
        <f t="shared" si="22"/>
        <v/>
      </c>
      <c r="AY35" s="4" t="str">
        <f t="shared" si="53"/>
        <v/>
      </c>
      <c r="AZ35" s="4" t="str">
        <f t="shared" si="54"/>
        <v/>
      </c>
      <c r="BA35" s="4" t="str">
        <f>IFERROR('Character Sheet'!JK34,"")</f>
        <v/>
      </c>
      <c r="BB35" s="4" t="str">
        <f t="shared" si="25"/>
        <v/>
      </c>
      <c r="BC35" s="4" t="str">
        <f t="shared" si="55"/>
        <v/>
      </c>
      <c r="BD35" s="4" t="str">
        <f t="shared" si="56"/>
        <v/>
      </c>
      <c r="BE35" s="4" t="str">
        <f t="shared" si="57"/>
        <v/>
      </c>
      <c r="BF35" s="4" t="str">
        <f t="shared" si="58"/>
        <v/>
      </c>
      <c r="BG35" s="4" t="str">
        <f t="shared" si="59"/>
        <v/>
      </c>
      <c r="BH35" s="4" t="str">
        <f>IFERROR('Character Sheet'!KC34,"")</f>
        <v/>
      </c>
      <c r="BI35" s="4" t="str">
        <f t="shared" si="29"/>
        <v/>
      </c>
      <c r="BJ35" s="4" t="str">
        <f t="shared" si="60"/>
        <v/>
      </c>
      <c r="BK35" s="4" t="str">
        <f t="shared" si="61"/>
        <v/>
      </c>
      <c r="BL35" s="4" t="str">
        <f t="shared" si="62"/>
        <v/>
      </c>
      <c r="BM35" s="4" t="str">
        <f t="shared" si="63"/>
        <v/>
      </c>
      <c r="BN35" s="4" t="str">
        <f t="shared" si="64"/>
        <v/>
      </c>
      <c r="BO35" s="4" t="str">
        <f t="shared" si="65"/>
        <v/>
      </c>
      <c r="BP35" s="4" t="str">
        <f t="shared" si="66"/>
        <v/>
      </c>
      <c r="BQ35" s="4" t="str">
        <f>IFERROR('Character Sheet'!IQ34+VLOOKUP(BA35,MaterialChart,5,FALSE),"")</f>
        <v/>
      </c>
      <c r="BR35" s="4" t="str">
        <f t="shared" si="67"/>
        <v/>
      </c>
      <c r="BS35" s="4">
        <f t="shared" si="75"/>
        <v>0</v>
      </c>
      <c r="BT35" s="4" t="str">
        <f t="shared" si="68"/>
        <v/>
      </c>
      <c r="BU35" s="4" t="str">
        <f t="shared" si="69"/>
        <v/>
      </c>
      <c r="BV35" s="4" t="str">
        <f t="shared" si="70"/>
        <v/>
      </c>
      <c r="BW35" s="4" t="str">
        <f>IFERROR(ROUNDUP((BE35*(BB35-AT35))+(BL35*(BI35-AX35))+(BT35*(((100+(BD35+IF(BE35=1,0,BK35))+(4*BR35))/100)))*'Character Sheet'!GT34,3),"")</f>
        <v/>
      </c>
      <c r="BX35" s="4" t="str">
        <f t="shared" si="38"/>
        <v/>
      </c>
      <c r="BY35" s="8"/>
      <c r="BZ35" s="4"/>
      <c r="CA35" s="4"/>
      <c r="CB35" s="4"/>
      <c r="CC35" s="4"/>
      <c r="CD35" s="4"/>
      <c r="CE35" s="4"/>
      <c r="CF35" s="4"/>
      <c r="CG35" s="4"/>
      <c r="CH35" s="4"/>
      <c r="CI35" s="4"/>
      <c r="CJ35" s="4"/>
      <c r="CK35" s="4"/>
      <c r="CL35" s="4"/>
      <c r="CM35" s="4"/>
      <c r="CN35" s="4"/>
      <c r="CO35" s="4"/>
      <c r="CP35" s="4"/>
      <c r="CQ35" s="4"/>
      <c r="CR35" s="4"/>
      <c r="CS35" s="4"/>
      <c r="CT35" s="4"/>
      <c r="CU35" s="4"/>
      <c r="CV35" s="4"/>
      <c r="DH35" s="4" t="str">
        <f t="shared" si="41"/>
        <v/>
      </c>
      <c r="DI35">
        <v>14</v>
      </c>
      <c r="DJ35" s="3" t="str">
        <f t="shared" si="76"/>
        <v/>
      </c>
      <c r="DK35" s="4" t="str">
        <f t="shared" si="77"/>
        <v/>
      </c>
      <c r="DL35" s="4" t="str">
        <f>IFERROR(IF(DK35=0,"",VLOOKUP(DK35,Skills!$N$72:$AF$107,19,FALSE)),"")</f>
        <v/>
      </c>
      <c r="DM35" s="4"/>
      <c r="DN35" s="4" t="str">
        <f t="shared" si="74"/>
        <v/>
      </c>
      <c r="DO35" s="4" t="str">
        <f>IFERROR(DN35+0.33,"")</f>
        <v/>
      </c>
      <c r="DP35" s="4">
        <f t="shared" si="43"/>
        <v>0</v>
      </c>
      <c r="DQ35" s="4">
        <f t="shared" si="78"/>
        <v>0</v>
      </c>
      <c r="DR35" s="4" t="e">
        <f t="shared" si="79"/>
        <v>#N/A</v>
      </c>
      <c r="DS35" s="4">
        <f t="shared" si="80"/>
        <v>14</v>
      </c>
      <c r="DT35" s="4" t="str">
        <f t="shared" si="81"/>
        <v/>
      </c>
      <c r="DU35" s="4" t="str">
        <f t="shared" si="82"/>
        <v/>
      </c>
      <c r="DV35" s="4" t="e">
        <f>VLOOKUP((VLOOKUP((VLOOKUP('Character Creation'!$Z$11,RaceChart,20,FALSE)&amp;" "&amp;VLOOKUP('Character Creation'!$Z$11,RaceChart,21,FALSE)),Charts!$H$2:$J$14,3,FALSE)+DU35),Charts!$J$2:$N$14,5,FALSE)</f>
        <v>#VALUE!</v>
      </c>
      <c r="DW35" s="4" t="e">
        <f>VLOOKUP(DV35,Charts!$N$2:$Q$14,4,FALSE)</f>
        <v>#VALUE!</v>
      </c>
      <c r="DX35" s="4" t="str">
        <f t="shared" si="83"/>
        <v/>
      </c>
      <c r="DY35" s="4" t="str">
        <f t="shared" si="84"/>
        <v/>
      </c>
      <c r="DZ35" s="4" t="str">
        <f t="shared" si="85"/>
        <v/>
      </c>
      <c r="EA35" s="4" t="e">
        <f>ROUNDDOWN(VLOOKUP(DK35,Skills!$N$72:$S$107,6,FALSE)/5,0)</f>
        <v>#N/A</v>
      </c>
      <c r="EB35" s="4" t="str">
        <f t="shared" si="86"/>
        <v/>
      </c>
      <c r="EC35" s="4" t="str">
        <f t="shared" si="87"/>
        <v>+</v>
      </c>
      <c r="ED35" s="4" t="e">
        <f>VLOOKUP(DJ35,'Character Sheet'!$FB$21:$HQ$35,61,FALSE)</f>
        <v>#N/A</v>
      </c>
      <c r="EE35" s="4" t="str">
        <f t="shared" si="88"/>
        <v/>
      </c>
      <c r="EF35" s="4" t="str">
        <f t="shared" si="89"/>
        <v/>
      </c>
      <c r="EG35" s="4" t="e">
        <f>VLOOKUP(DR35,Items!$B$1156:$AA$1282,18,FALSE)</f>
        <v>#N/A</v>
      </c>
      <c r="EH35" s="4">
        <f>VLOOKUP(DJ35,'Character Sheet'!$E$26:$EZ$45,81,FALSE)</f>
        <v>0</v>
      </c>
      <c r="EI35" s="4">
        <f>VLOOKUP(DJ35,'Character Sheet'!$E$26:$EZ$45,89,FALSE)</f>
        <v>0</v>
      </c>
      <c r="EJ35" s="4" t="e">
        <f t="shared" si="90"/>
        <v>#N/A</v>
      </c>
    </row>
    <row r="36" spans="29:140" x14ac:dyDescent="0.25">
      <c r="AC36" s="8" t="str">
        <f>IFERROR(VLOOKUP('Character Creation'!$CI49,Skills!$H$2:$N$620,6,FALSE),"")</f>
        <v/>
      </c>
      <c r="AD36" s="4">
        <f>'Character Creation'!EH49</f>
        <v>0</v>
      </c>
      <c r="AG36">
        <v>35</v>
      </c>
      <c r="AH36" s="4" t="str">
        <f t="shared" si="5"/>
        <v/>
      </c>
      <c r="AI36" t="str">
        <f>IFERROR(VLOOKUP(AG36,Skills!$B$2:$M$620,12,FALSE),"")</f>
        <v/>
      </c>
      <c r="AJ36" s="4" t="str">
        <f>IFERROR(VLOOKUP(AG36,Skills!$B$2:$AF$620,31,FALSE),"")</f>
        <v/>
      </c>
      <c r="AK36" s="4" t="str">
        <f t="shared" si="91"/>
        <v/>
      </c>
      <c r="AL36" s="4">
        <v>3.5000000000000003E-2</v>
      </c>
      <c r="AM36" s="62" t="str">
        <f t="shared" si="6"/>
        <v/>
      </c>
      <c r="AN36" t="str">
        <f t="shared" ca="1" si="7"/>
        <v/>
      </c>
      <c r="AO36" s="4" t="str">
        <f ca="1">IFERROR(VLOOKUP(AG36,$AH$2:$AJ$451,3,FALSE)&amp;IF(ISNUMBER(SEARCH(", Written",AN36))," -R"&amp;VLOOKUP(AN36,Skills!$M$2:$S$620,7,FALSE),IF(ISNUMBER(SEARCH(", Spoken",AN36))," -R"&amp;VLOOKUP(AN36,Skills!$M$2:$S$620,7,FALSE),"")),"")</f>
        <v/>
      </c>
      <c r="AQ36">
        <v>33</v>
      </c>
      <c r="AR36" s="8">
        <f>'Character Sheet'!FB35</f>
        <v>0</v>
      </c>
      <c r="AS36" s="4" t="str">
        <f t="shared" si="17"/>
        <v/>
      </c>
      <c r="AT36" s="4" t="str">
        <f t="shared" si="18"/>
        <v/>
      </c>
      <c r="AU36" s="4" t="str">
        <f t="shared" si="50"/>
        <v/>
      </c>
      <c r="AV36" s="4" t="str">
        <f t="shared" si="51"/>
        <v/>
      </c>
      <c r="AW36" s="4" t="str">
        <f t="shared" si="52"/>
        <v/>
      </c>
      <c r="AX36" s="4" t="str">
        <f t="shared" si="22"/>
        <v/>
      </c>
      <c r="AY36" s="4" t="str">
        <f t="shared" si="53"/>
        <v/>
      </c>
      <c r="AZ36" s="4" t="str">
        <f t="shared" si="54"/>
        <v/>
      </c>
      <c r="BA36" s="4" t="str">
        <f>IFERROR('Character Sheet'!JK35,"")</f>
        <v/>
      </c>
      <c r="BB36" s="4" t="str">
        <f t="shared" si="25"/>
        <v/>
      </c>
      <c r="BC36" s="4" t="str">
        <f t="shared" si="55"/>
        <v/>
      </c>
      <c r="BD36" s="4" t="str">
        <f t="shared" si="56"/>
        <v/>
      </c>
      <c r="BE36" s="4" t="str">
        <f t="shared" si="57"/>
        <v/>
      </c>
      <c r="BF36" s="4" t="str">
        <f t="shared" si="58"/>
        <v/>
      </c>
      <c r="BG36" s="4" t="str">
        <f t="shared" si="59"/>
        <v/>
      </c>
      <c r="BH36" s="4" t="str">
        <f>IFERROR('Character Sheet'!KC35,"")</f>
        <v/>
      </c>
      <c r="BI36" s="4" t="str">
        <f t="shared" si="29"/>
        <v/>
      </c>
      <c r="BJ36" s="4" t="str">
        <f t="shared" si="60"/>
        <v/>
      </c>
      <c r="BK36" s="4" t="str">
        <f t="shared" si="61"/>
        <v/>
      </c>
      <c r="BL36" s="4" t="str">
        <f t="shared" si="62"/>
        <v/>
      </c>
      <c r="BM36" s="4" t="str">
        <f t="shared" si="63"/>
        <v/>
      </c>
      <c r="BN36" s="4" t="str">
        <f t="shared" si="64"/>
        <v/>
      </c>
      <c r="BO36" s="4" t="str">
        <f t="shared" si="65"/>
        <v/>
      </c>
      <c r="BP36" s="4" t="str">
        <f t="shared" si="66"/>
        <v/>
      </c>
      <c r="BQ36" s="4" t="str">
        <f>IFERROR('Character Sheet'!IQ35+VLOOKUP(BA36,MaterialChart,5,FALSE),"")</f>
        <v/>
      </c>
      <c r="BR36" s="4" t="str">
        <f t="shared" si="67"/>
        <v/>
      </c>
      <c r="BS36" s="4">
        <f t="shared" si="75"/>
        <v>0</v>
      </c>
      <c r="BT36" s="4" t="str">
        <f t="shared" si="68"/>
        <v/>
      </c>
      <c r="BU36" s="4" t="str">
        <f t="shared" si="69"/>
        <v/>
      </c>
      <c r="BV36" s="4" t="str">
        <f t="shared" si="70"/>
        <v/>
      </c>
      <c r="BW36" s="4" t="str">
        <f>IFERROR(ROUNDUP((BE36*(BB36-AT36))+(BL36*(BI36-AX36))+(BT36*(((100+(BD36+IF(BE36=1,0,BK36))+(4*BR36))/100)))*'Character Sheet'!GT35,3),"")</f>
        <v/>
      </c>
      <c r="BX36" s="4" t="str">
        <f t="shared" si="38"/>
        <v/>
      </c>
      <c r="BY36" s="8"/>
      <c r="BZ36" s="4"/>
      <c r="CA36" s="4"/>
      <c r="CB36" s="4"/>
      <c r="CC36" s="4"/>
      <c r="CD36" s="4"/>
      <c r="CE36" s="4"/>
      <c r="CF36" s="4"/>
      <c r="CG36" s="4"/>
      <c r="CH36" s="4"/>
      <c r="CI36" s="4"/>
      <c r="CJ36" s="4"/>
      <c r="CK36" s="4"/>
      <c r="CL36" s="4"/>
      <c r="CM36" s="4"/>
      <c r="CN36" s="4"/>
      <c r="CO36" s="4"/>
      <c r="CP36" s="4"/>
      <c r="CQ36" s="4"/>
      <c r="CR36" s="4"/>
      <c r="CS36" s="4"/>
      <c r="CT36" s="4"/>
      <c r="CU36" s="4"/>
      <c r="CV36" s="4"/>
      <c r="DH36" s="4" t="str">
        <f t="shared" si="41"/>
        <v/>
      </c>
      <c r="DI36">
        <v>15</v>
      </c>
      <c r="DJ36" s="3" t="str">
        <f t="shared" si="76"/>
        <v/>
      </c>
      <c r="DK36" s="4" t="str">
        <f t="shared" si="77"/>
        <v/>
      </c>
      <c r="DL36" s="4" t="str">
        <f>IFERROR(IF(DK36=0,"",VLOOKUP(DK36,Skills!$N$72:$AF$107,19,FALSE)),"")</f>
        <v/>
      </c>
      <c r="DM36" s="4"/>
      <c r="DN36" s="4" t="str">
        <f t="shared" si="74"/>
        <v/>
      </c>
      <c r="DO36" s="4" t="str">
        <f>IFERROR(DN36+0.34,"")</f>
        <v/>
      </c>
      <c r="DP36" s="4">
        <f t="shared" si="43"/>
        <v>0</v>
      </c>
      <c r="DQ36" s="4">
        <f t="shared" si="78"/>
        <v>0</v>
      </c>
      <c r="DR36" s="4" t="e">
        <f t="shared" si="79"/>
        <v>#N/A</v>
      </c>
      <c r="DS36" s="4">
        <f t="shared" si="80"/>
        <v>15</v>
      </c>
      <c r="DT36" s="4" t="str">
        <f t="shared" si="81"/>
        <v/>
      </c>
      <c r="DU36" s="4" t="str">
        <f t="shared" si="82"/>
        <v/>
      </c>
      <c r="DV36" s="4" t="e">
        <f>VLOOKUP((VLOOKUP((VLOOKUP('Character Creation'!$Z$11,RaceChart,20,FALSE)&amp;" "&amp;VLOOKUP('Character Creation'!$Z$11,RaceChart,21,FALSE)),Charts!$H$2:$J$14,3,FALSE)+DU36),Charts!$J$2:$N$14,5,FALSE)</f>
        <v>#VALUE!</v>
      </c>
      <c r="DW36" s="4" t="e">
        <f>VLOOKUP(DV36,Charts!$N$2:$Q$14,4,FALSE)</f>
        <v>#VALUE!</v>
      </c>
      <c r="DX36" s="4" t="str">
        <f t="shared" si="83"/>
        <v/>
      </c>
      <c r="DY36" s="4" t="str">
        <f t="shared" si="84"/>
        <v/>
      </c>
      <c r="DZ36" s="4" t="str">
        <f t="shared" si="85"/>
        <v/>
      </c>
      <c r="EA36" s="4" t="e">
        <f>ROUNDDOWN(VLOOKUP(DK36,Skills!$N$72:$S$107,6,FALSE)/5,0)</f>
        <v>#N/A</v>
      </c>
      <c r="EB36" s="4" t="str">
        <f t="shared" si="86"/>
        <v/>
      </c>
      <c r="EC36" s="4" t="str">
        <f t="shared" si="87"/>
        <v>+</v>
      </c>
      <c r="ED36" s="4" t="e">
        <f>VLOOKUP(DJ36,'Character Sheet'!$FB$21:$HQ$35,61,FALSE)</f>
        <v>#N/A</v>
      </c>
      <c r="EE36" s="4" t="str">
        <f t="shared" si="88"/>
        <v/>
      </c>
      <c r="EF36" s="4" t="str">
        <f t="shared" si="89"/>
        <v/>
      </c>
      <c r="EG36" s="4" t="e">
        <f>VLOOKUP(DR36,Items!$B$1156:$AA$1282,18,FALSE)</f>
        <v>#N/A</v>
      </c>
      <c r="EH36" s="4">
        <f>VLOOKUP(DJ36,'Character Sheet'!$E$26:$EZ$45,81,FALSE)</f>
        <v>0</v>
      </c>
      <c r="EI36" s="4">
        <f>VLOOKUP(DJ36,'Character Sheet'!$E$26:$EZ$45,89,FALSE)</f>
        <v>0</v>
      </c>
      <c r="EJ36" s="4" t="e">
        <f t="shared" si="90"/>
        <v>#N/A</v>
      </c>
    </row>
    <row r="37" spans="29:140" x14ac:dyDescent="0.25">
      <c r="AC37" s="8" t="str">
        <f>IFERROR(VLOOKUP('Character Creation'!$CI50,Skills!$H$2:$N$620,6,FALSE),"")</f>
        <v/>
      </c>
      <c r="AD37" s="4">
        <f>'Character Creation'!EH50</f>
        <v>0</v>
      </c>
      <c r="AG37">
        <v>36</v>
      </c>
      <c r="AH37" s="4" t="str">
        <f t="shared" si="5"/>
        <v/>
      </c>
      <c r="AI37" t="str">
        <f>IFERROR(VLOOKUP(AG37,Skills!$B$2:$M$620,12,FALSE),"")</f>
        <v/>
      </c>
      <c r="AJ37" s="4" t="str">
        <f>IFERROR(VLOOKUP(AG37,Skills!$B$2:$AF$620,31,FALSE),"")</f>
        <v/>
      </c>
      <c r="AK37" s="4" t="str">
        <f t="shared" si="91"/>
        <v/>
      </c>
      <c r="AL37" s="4">
        <v>3.5999999999999997E-2</v>
      </c>
      <c r="AM37" s="62" t="str">
        <f t="shared" si="6"/>
        <v/>
      </c>
      <c r="AN37" t="str">
        <f t="shared" ca="1" si="7"/>
        <v/>
      </c>
      <c r="AO37" s="4" t="str">
        <f ca="1">IFERROR(VLOOKUP(AG37,$AH$2:$AJ$451,3,FALSE)&amp;IF(ISNUMBER(SEARCH(", Written",AN37))," -R"&amp;VLOOKUP(AN37,Skills!$M$2:$S$620,7,FALSE),IF(ISNUMBER(SEARCH(", Spoken",AN37))," -R"&amp;VLOOKUP(AN37,Skills!$M$2:$S$620,7,FALSE),"")),"")</f>
        <v/>
      </c>
      <c r="AQ37">
        <v>34</v>
      </c>
      <c r="AR37" s="8" t="str">
        <f>'Character Sheet'!FB36</f>
        <v>Carried Equipment</v>
      </c>
      <c r="AS37" s="4" t="str">
        <f t="shared" si="17"/>
        <v/>
      </c>
      <c r="AT37" s="4" t="str">
        <f t="shared" si="18"/>
        <v/>
      </c>
      <c r="AU37" s="4" t="str">
        <f t="shared" si="50"/>
        <v/>
      </c>
      <c r="AV37" s="4" t="str">
        <f t="shared" si="51"/>
        <v/>
      </c>
      <c r="AW37" s="4" t="str">
        <f t="shared" si="52"/>
        <v/>
      </c>
      <c r="AX37" s="4" t="str">
        <f t="shared" si="22"/>
        <v/>
      </c>
      <c r="AY37" s="4" t="str">
        <f t="shared" si="53"/>
        <v/>
      </c>
      <c r="AZ37" s="4" t="str">
        <f t="shared" si="54"/>
        <v/>
      </c>
      <c r="BA37" s="4" t="str">
        <f>IFERROR('Character Sheet'!JK36,"")</f>
        <v>Primary Material</v>
      </c>
      <c r="BB37" s="4" t="str">
        <f t="shared" si="25"/>
        <v/>
      </c>
      <c r="BC37" s="4" t="str">
        <f t="shared" si="55"/>
        <v/>
      </c>
      <c r="BD37" s="4" t="str">
        <f t="shared" si="56"/>
        <v/>
      </c>
      <c r="BE37" s="4" t="str">
        <f t="shared" si="57"/>
        <v/>
      </c>
      <c r="BF37" s="4" t="str">
        <f t="shared" si="58"/>
        <v/>
      </c>
      <c r="BG37" s="4" t="str">
        <f t="shared" si="59"/>
        <v/>
      </c>
      <c r="BH37" s="4" t="str">
        <f>IFERROR('Character Sheet'!KC36,"")</f>
        <v>Secondary Material</v>
      </c>
      <c r="BI37" s="4" t="str">
        <f t="shared" si="29"/>
        <v/>
      </c>
      <c r="BJ37" s="4" t="str">
        <f t="shared" si="60"/>
        <v/>
      </c>
      <c r="BK37" s="4" t="str">
        <f t="shared" si="61"/>
        <v/>
      </c>
      <c r="BL37" s="4" t="str">
        <f t="shared" si="62"/>
        <v/>
      </c>
      <c r="BM37" s="4" t="str">
        <f t="shared" si="63"/>
        <v/>
      </c>
      <c r="BN37" s="4" t="str">
        <f t="shared" si="64"/>
        <v/>
      </c>
      <c r="BO37" s="4" t="str">
        <f t="shared" si="65"/>
        <v/>
      </c>
      <c r="BP37" s="4" t="str">
        <f t="shared" si="66"/>
        <v/>
      </c>
      <c r="BQ37" s="4" t="str">
        <f>IFERROR('Character Sheet'!IQ36+VLOOKUP(BA37,MaterialChart,5,FALSE),"")</f>
        <v/>
      </c>
      <c r="BR37" s="4" t="str">
        <f t="shared" si="67"/>
        <v/>
      </c>
      <c r="BS37" s="4">
        <f t="shared" si="75"/>
        <v>0</v>
      </c>
      <c r="BT37" s="4" t="str">
        <f t="shared" si="68"/>
        <v/>
      </c>
      <c r="BU37" s="4" t="str">
        <f t="shared" si="69"/>
        <v/>
      </c>
      <c r="BV37" s="4" t="str">
        <f t="shared" si="70"/>
        <v/>
      </c>
      <c r="BW37" s="4" t="str">
        <f>IFERROR(ROUNDUP((BE37*(BB37-AT37))+(BL37*(BI37-AX37))+(BT37*(((100+(BD37+IF(BE37=1,0,BK37))+(4*BR37))/100)))*'Character Sheet'!GT36,3),"")</f>
        <v/>
      </c>
      <c r="BX37" s="4" t="str">
        <f t="shared" si="38"/>
        <v/>
      </c>
      <c r="BY37" s="8"/>
      <c r="BZ37" s="4"/>
      <c r="CA37" s="4"/>
      <c r="CB37" s="4"/>
      <c r="CC37" s="4"/>
      <c r="CD37" s="4"/>
      <c r="CE37" s="4"/>
      <c r="CF37" s="4"/>
      <c r="CG37" s="4"/>
      <c r="CH37" s="4"/>
      <c r="CI37" s="4"/>
      <c r="CJ37" s="4"/>
      <c r="CK37" s="4"/>
      <c r="CL37" s="4"/>
      <c r="CM37" s="4"/>
      <c r="CN37" s="4"/>
      <c r="CO37" s="4"/>
      <c r="CP37" s="4"/>
      <c r="CQ37" s="4"/>
      <c r="CR37" s="4"/>
      <c r="CS37" s="4"/>
      <c r="CT37" s="4"/>
      <c r="CU37" s="4"/>
      <c r="CV37" s="4"/>
      <c r="DH37" s="4" t="str">
        <f t="shared" si="41"/>
        <v/>
      </c>
      <c r="DI37">
        <v>16</v>
      </c>
      <c r="DJ37" s="3" t="str">
        <f t="shared" si="76"/>
        <v/>
      </c>
      <c r="DK37" s="4" t="str">
        <f t="shared" si="77"/>
        <v/>
      </c>
      <c r="DL37" s="4" t="str">
        <f>IFERROR(IF(DK37=0,"",VLOOKUP(DK37,Skills!$N$72:$AF$107,19,FALSE)),"")</f>
        <v/>
      </c>
      <c r="DM37" s="4"/>
      <c r="DN37" s="4" t="str">
        <f t="shared" si="74"/>
        <v/>
      </c>
      <c r="DO37" s="4" t="str">
        <f>IFERROR(DN37+0.35,"")</f>
        <v/>
      </c>
      <c r="DP37" s="4">
        <f t="shared" si="43"/>
        <v>0</v>
      </c>
      <c r="DQ37" s="4">
        <f t="shared" si="78"/>
        <v>0</v>
      </c>
      <c r="DR37" s="4" t="e">
        <f t="shared" si="79"/>
        <v>#N/A</v>
      </c>
      <c r="DS37" s="4">
        <f t="shared" si="80"/>
        <v>16</v>
      </c>
      <c r="DT37" s="4" t="str">
        <f t="shared" si="81"/>
        <v/>
      </c>
      <c r="DU37" s="4" t="str">
        <f t="shared" si="82"/>
        <v/>
      </c>
      <c r="DV37" s="4" t="e">
        <f>VLOOKUP((VLOOKUP((VLOOKUP('Character Creation'!$Z$11,RaceChart,20,FALSE)&amp;" "&amp;VLOOKUP('Character Creation'!$Z$11,RaceChart,21,FALSE)),Charts!$H$2:$J$14,3,FALSE)+DU37),Charts!$J$2:$N$14,5,FALSE)</f>
        <v>#VALUE!</v>
      </c>
      <c r="DW37" s="4" t="e">
        <f>VLOOKUP(DV37,Charts!$N$2:$Q$14,4,FALSE)</f>
        <v>#VALUE!</v>
      </c>
      <c r="DX37" s="4" t="str">
        <f t="shared" si="83"/>
        <v/>
      </c>
      <c r="DY37" s="4" t="str">
        <f t="shared" si="84"/>
        <v/>
      </c>
      <c r="DZ37" s="4" t="str">
        <f t="shared" si="85"/>
        <v/>
      </c>
      <c r="EA37" s="4" t="e">
        <f>ROUNDDOWN(VLOOKUP(DK37,Skills!$N$72:$S$107,6,FALSE)/5,0)</f>
        <v>#N/A</v>
      </c>
      <c r="EB37" s="4" t="str">
        <f t="shared" si="86"/>
        <v/>
      </c>
      <c r="EC37" s="4" t="str">
        <f t="shared" si="87"/>
        <v>+</v>
      </c>
      <c r="ED37" s="4" t="e">
        <f>VLOOKUP(DJ37,'Character Sheet'!$FB$21:$HQ$35,61,FALSE)</f>
        <v>#N/A</v>
      </c>
      <c r="EE37" s="4" t="str">
        <f t="shared" si="88"/>
        <v/>
      </c>
      <c r="EF37" s="4" t="str">
        <f t="shared" si="89"/>
        <v/>
      </c>
      <c r="EG37" s="4" t="e">
        <f>VLOOKUP(DR37,Items!$B$1156:$AA$1282,18,FALSE)</f>
        <v>#N/A</v>
      </c>
      <c r="EH37" s="4">
        <f>VLOOKUP(DJ37,'Character Sheet'!$E$26:$EZ$45,81,FALSE)</f>
        <v>0</v>
      </c>
      <c r="EI37" s="4">
        <f>VLOOKUP(DJ37,'Character Sheet'!$E$26:$EZ$45,89,FALSE)</f>
        <v>0</v>
      </c>
      <c r="EJ37" s="4" t="e">
        <f t="shared" si="90"/>
        <v>#N/A</v>
      </c>
    </row>
    <row r="38" spans="29:140" x14ac:dyDescent="0.25">
      <c r="AC38" s="8" t="str">
        <f>IFERROR(VLOOKUP('Character Creation'!$CI51,Skills!$H$2:$N$620,6,FALSE),"")</f>
        <v/>
      </c>
      <c r="AD38" s="4">
        <f>'Character Creation'!EH51</f>
        <v>0</v>
      </c>
      <c r="AG38">
        <v>37</v>
      </c>
      <c r="AH38" s="4" t="str">
        <f t="shared" si="5"/>
        <v/>
      </c>
      <c r="AI38" t="str">
        <f>IFERROR(VLOOKUP(AG38,Skills!$B$2:$M$620,12,FALSE),"")</f>
        <v/>
      </c>
      <c r="AJ38" s="4" t="str">
        <f>IFERROR(VLOOKUP(AG38,Skills!$B$2:$AF$620,31,FALSE),"")</f>
        <v/>
      </c>
      <c r="AK38" s="4" t="str">
        <f t="shared" si="91"/>
        <v/>
      </c>
      <c r="AL38" s="4">
        <v>3.6999999999999998E-2</v>
      </c>
      <c r="AM38" s="62" t="str">
        <f t="shared" si="6"/>
        <v/>
      </c>
      <c r="AN38" t="str">
        <f t="shared" ca="1" si="7"/>
        <v/>
      </c>
      <c r="AO38" s="4" t="str">
        <f ca="1">IFERROR(VLOOKUP(AG38,$AH$2:$AJ$451,3,FALSE)&amp;IF(ISNUMBER(SEARCH(", Written",AN38))," -R"&amp;VLOOKUP(AN38,Skills!$M$2:$S$620,7,FALSE),IF(ISNUMBER(SEARCH(", Spoken",AN38))," -R"&amp;VLOOKUP(AN38,Skills!$M$2:$S$620,7,FALSE),"")),"")</f>
        <v/>
      </c>
      <c r="AQ38">
        <v>35</v>
      </c>
      <c r="AR38" s="8" t="str">
        <f>'Character Sheet'!FB37</f>
        <v>Purse, Plain</v>
      </c>
      <c r="AS38" s="4" t="str">
        <f t="shared" si="17"/>
        <v>Light Cloth</v>
      </c>
      <c r="AT38" s="4">
        <f t="shared" si="18"/>
        <v>0.02</v>
      </c>
      <c r="AU38" s="4">
        <f t="shared" si="50"/>
        <v>10</v>
      </c>
      <c r="AV38" s="4">
        <f t="shared" si="51"/>
        <v>0</v>
      </c>
      <c r="AW38" s="4" t="str">
        <f t="shared" si="52"/>
        <v>Light Cloth</v>
      </c>
      <c r="AX38" s="4">
        <f t="shared" si="22"/>
        <v>0.02</v>
      </c>
      <c r="AY38" s="4">
        <f t="shared" si="53"/>
        <v>10</v>
      </c>
      <c r="AZ38" s="4">
        <f t="shared" si="54"/>
        <v>0</v>
      </c>
      <c r="BA38" s="4" t="str">
        <f>IFERROR('Character Sheet'!JK37,"")</f>
        <v>Light Cloth</v>
      </c>
      <c r="BB38" s="4">
        <f t="shared" si="25"/>
        <v>0.02</v>
      </c>
      <c r="BC38" s="4">
        <f t="shared" si="55"/>
        <v>0</v>
      </c>
      <c r="BD38" s="4">
        <f t="shared" si="56"/>
        <v>0</v>
      </c>
      <c r="BE38" s="4">
        <f t="shared" si="57"/>
        <v>0.95</v>
      </c>
      <c r="BF38" s="4">
        <f t="shared" si="58"/>
        <v>10</v>
      </c>
      <c r="BG38" s="4">
        <f t="shared" si="59"/>
        <v>0</v>
      </c>
      <c r="BH38" s="4" t="str">
        <f>IFERROR('Character Sheet'!KC37,"")</f>
        <v>Light Cloth</v>
      </c>
      <c r="BI38" s="4">
        <f t="shared" si="29"/>
        <v>0.02</v>
      </c>
      <c r="BJ38" s="4">
        <f t="shared" si="60"/>
        <v>0</v>
      </c>
      <c r="BK38" s="4">
        <f t="shared" si="61"/>
        <v>0</v>
      </c>
      <c r="BL38" s="4">
        <f t="shared" si="62"/>
        <v>5.0000000000000044E-2</v>
      </c>
      <c r="BM38" s="4">
        <f t="shared" si="63"/>
        <v>10</v>
      </c>
      <c r="BN38" s="4">
        <f t="shared" si="64"/>
        <v>0</v>
      </c>
      <c r="BO38" s="4">
        <f t="shared" si="65"/>
        <v>0.95</v>
      </c>
      <c r="BP38" s="4">
        <f t="shared" si="66"/>
        <v>0</v>
      </c>
      <c r="BQ38" s="4">
        <f>IFERROR('Character Sheet'!IQ37+VLOOKUP(BA38,MaterialChart,5,FALSE),"")</f>
        <v>0</v>
      </c>
      <c r="BR38" s="4">
        <f t="shared" si="67"/>
        <v>0</v>
      </c>
      <c r="BS38" s="4">
        <f t="shared" si="75"/>
        <v>30</v>
      </c>
      <c r="BT38" s="4">
        <f t="shared" si="68"/>
        <v>0.75</v>
      </c>
      <c r="BU38" s="4">
        <f t="shared" si="69"/>
        <v>1</v>
      </c>
      <c r="BV38" s="4">
        <f t="shared" si="70"/>
        <v>1</v>
      </c>
      <c r="BW38" s="4">
        <f>IFERROR(ROUNDUP((BE38*(BB38-AT38))+(BL38*(BI38-AX38))+(BT38*(((100+(BD38+IF(BE38=1,0,BK38))+(4*BR38))/100)))*'Character Sheet'!GT37,3),"")</f>
        <v>0.75</v>
      </c>
      <c r="BX38" s="4" t="str">
        <f t="shared" si="38"/>
        <v>$0.75</v>
      </c>
      <c r="BY38" s="8"/>
      <c r="BZ38" s="4"/>
      <c r="CA38" s="4"/>
      <c r="CB38" s="4"/>
      <c r="CC38" s="4"/>
      <c r="CD38" s="4"/>
      <c r="CE38" s="4"/>
      <c r="CF38" s="4"/>
      <c r="CG38" s="4"/>
      <c r="CH38" s="4"/>
      <c r="CI38" s="4"/>
      <c r="CJ38" s="4"/>
      <c r="CK38" s="4"/>
      <c r="CL38" s="4"/>
      <c r="CM38" s="4"/>
      <c r="CN38" s="4"/>
      <c r="CO38" s="4"/>
      <c r="CP38" s="4"/>
      <c r="CQ38" s="4"/>
      <c r="CR38" s="4"/>
      <c r="CS38" s="4"/>
      <c r="CT38" s="4"/>
      <c r="CU38" s="4"/>
      <c r="CV38" s="4"/>
      <c r="DH38" s="4" t="str">
        <f t="shared" si="41"/>
        <v/>
      </c>
      <c r="DI38">
        <v>1</v>
      </c>
      <c r="DJ38" s="3" t="str">
        <f>'Character Sheet'!FB37</f>
        <v>Purse, Plain</v>
      </c>
      <c r="DK38" s="4">
        <f t="shared" si="77"/>
        <v>0</v>
      </c>
      <c r="DL38" s="4" t="str">
        <f>IFERROR(IF(DK38=0,"",VLOOKUP(DK38,Skills!$N$72:$AF$107,19,FALSE)),"")</f>
        <v/>
      </c>
      <c r="DM38" s="4">
        <f>IFERROR(VLOOKUP($DJ38,ItemChart,18,FALSE)+'Character Sheet'!IJ37,0)</f>
        <v>0</v>
      </c>
      <c r="DN38" s="4" t="str">
        <f>IFERROR(IF(DK38=0,"",DL38+DM38),"")</f>
        <v/>
      </c>
      <c r="DO38" s="4" t="str">
        <f>IFERROR(DN38+0.36,"")</f>
        <v/>
      </c>
      <c r="DP38" s="4">
        <f t="shared" si="43"/>
        <v>0</v>
      </c>
      <c r="DQ38" s="4">
        <f t="shared" si="78"/>
        <v>0</v>
      </c>
      <c r="DR38" s="4">
        <f t="shared" si="79"/>
        <v>0</v>
      </c>
      <c r="DS38" s="4">
        <f t="shared" si="80"/>
        <v>1</v>
      </c>
      <c r="DT38" s="4">
        <f t="shared" si="81"/>
        <v>0</v>
      </c>
      <c r="DU38" s="4">
        <f t="shared" si="82"/>
        <v>0</v>
      </c>
      <c r="DV38" s="4" t="str">
        <f>VLOOKUP((VLOOKUP((VLOOKUP('Character Creation'!$Z$11,RaceChart,20,FALSE)&amp;" "&amp;VLOOKUP('Character Creation'!$Z$11,RaceChart,21,FALSE)),Charts!$H$2:$J$14,3,FALSE)+DU38),Charts!$J$2:$N$14,5,FALSE)</f>
        <v>M</v>
      </c>
      <c r="DW38" s="4" t="str">
        <f>VLOOKUP(DV38,Charts!$N$2:$Q$14,4,FALSE)</f>
        <v>(5)</v>
      </c>
      <c r="DX38" s="4" t="str">
        <f t="shared" si="83"/>
        <v>M(5) 0</v>
      </c>
      <c r="DY38" s="4">
        <f t="shared" si="84"/>
        <v>0</v>
      </c>
      <c r="DZ38" s="4" t="str">
        <f t="shared" si="85"/>
        <v/>
      </c>
      <c r="EA38" s="4" t="e">
        <f>ROUNDDOWN(VLOOKUP(DK38,Skills!$N$72:$S$107,6,FALSE)/5,0)</f>
        <v>#N/A</v>
      </c>
      <c r="EB38" s="4">
        <f t="shared" si="86"/>
        <v>0</v>
      </c>
      <c r="EC38" s="4" t="str">
        <f t="shared" si="87"/>
        <v>+0</v>
      </c>
      <c r="ED38" s="4" t="e">
        <f>VLOOKUP(DJ38,'Character Sheet'!$FB$21:$HQ$35,61,FALSE)</f>
        <v>#N/A</v>
      </c>
      <c r="EE38" s="4" t="str">
        <f t="shared" si="88"/>
        <v>- -</v>
      </c>
      <c r="EF38" s="4" t="str">
        <f t="shared" si="89"/>
        <v>- -</v>
      </c>
      <c r="EG38" s="4" t="e">
        <f>VLOOKUP(DR38,Items!$B$1156:$AA$1282,18,FALSE)</f>
        <v>#N/A</v>
      </c>
      <c r="EH38" s="4" t="e">
        <f>VLOOKUP(DJ38,'Character Sheet'!$E$26:$EZ$45,81,FALSE)</f>
        <v>#N/A</v>
      </c>
      <c r="EI38" s="4" t="e">
        <f>VLOOKUP(DJ38,'Character Sheet'!$E$26:$EZ$45,89,FALSE)</f>
        <v>#N/A</v>
      </c>
      <c r="EJ38" s="4" t="e">
        <f t="shared" si="90"/>
        <v>#N/A</v>
      </c>
    </row>
    <row r="39" spans="29:140" x14ac:dyDescent="0.25">
      <c r="AC39" s="8" t="str">
        <f>IFERROR(VLOOKUP('Character Creation'!$CI52,Skills!$H$2:$N$620,6,FALSE),"")</f>
        <v/>
      </c>
      <c r="AD39" s="4">
        <f>'Character Creation'!EH52</f>
        <v>0</v>
      </c>
      <c r="AG39">
        <v>38</v>
      </c>
      <c r="AH39" s="4" t="str">
        <f t="shared" si="5"/>
        <v/>
      </c>
      <c r="AI39" t="str">
        <f>IFERROR(VLOOKUP(AG39,Skills!$B$2:$M$620,12,FALSE),"")</f>
        <v/>
      </c>
      <c r="AJ39" s="4" t="str">
        <f>IFERROR(VLOOKUP(AG39,Skills!$B$2:$AF$620,31,FALSE),"")</f>
        <v/>
      </c>
      <c r="AK39" s="4" t="str">
        <f t="shared" si="91"/>
        <v/>
      </c>
      <c r="AL39" s="4">
        <v>3.7999999999999999E-2</v>
      </c>
      <c r="AM39" s="62" t="str">
        <f t="shared" si="6"/>
        <v/>
      </c>
      <c r="AN39" t="str">
        <f t="shared" ca="1" si="7"/>
        <v/>
      </c>
      <c r="AO39" s="4" t="str">
        <f ca="1">IFERROR(VLOOKUP(AG39,$AH$2:$AJ$451,3,FALSE)&amp;IF(ISNUMBER(SEARCH(", Written",AN39))," -R"&amp;VLOOKUP(AN39,Skills!$M$2:$S$620,7,FALSE),IF(ISNUMBER(SEARCH(", Spoken",AN39))," -R"&amp;VLOOKUP(AN39,Skills!$M$2:$S$620,7,FALSE),"")),"")</f>
        <v/>
      </c>
      <c r="AQ39">
        <v>36</v>
      </c>
      <c r="AR39" s="8" t="str">
        <f>'Character Sheet'!FB38</f>
        <v>Buckle, Brass</v>
      </c>
      <c r="AS39" s="4" t="str">
        <f t="shared" si="17"/>
        <v>Brass</v>
      </c>
      <c r="AT39" s="4">
        <f t="shared" si="18"/>
        <v>0.75</v>
      </c>
      <c r="AU39" s="4">
        <f t="shared" si="50"/>
        <v>520</v>
      </c>
      <c r="AV39" s="4">
        <f t="shared" si="51"/>
        <v>-5</v>
      </c>
      <c r="AW39" s="4" t="str">
        <f t="shared" si="52"/>
        <v>Brass</v>
      </c>
      <c r="AX39" s="4">
        <f t="shared" si="22"/>
        <v>0.75</v>
      </c>
      <c r="AY39" s="4">
        <f t="shared" si="53"/>
        <v>520</v>
      </c>
      <c r="AZ39" s="4">
        <f t="shared" si="54"/>
        <v>-5</v>
      </c>
      <c r="BA39" s="4" t="str">
        <f>IFERROR('Character Sheet'!JK38,"")</f>
        <v>Brass</v>
      </c>
      <c r="BB39" s="4">
        <f t="shared" si="25"/>
        <v>0.75</v>
      </c>
      <c r="BC39" s="4">
        <f t="shared" si="55"/>
        <v>-5</v>
      </c>
      <c r="BD39" s="4">
        <f t="shared" si="56"/>
        <v>5</v>
      </c>
      <c r="BE39" s="4">
        <f t="shared" si="57"/>
        <v>0.25</v>
      </c>
      <c r="BF39" s="4">
        <f t="shared" si="58"/>
        <v>520</v>
      </c>
      <c r="BG39" s="4">
        <f t="shared" si="59"/>
        <v>-5</v>
      </c>
      <c r="BH39" s="4" t="str">
        <f>IFERROR('Character Sheet'!KC38,"")</f>
        <v>Brass</v>
      </c>
      <c r="BI39" s="4">
        <f t="shared" si="29"/>
        <v>0.75</v>
      </c>
      <c r="BJ39" s="4">
        <f t="shared" si="60"/>
        <v>-5</v>
      </c>
      <c r="BK39" s="4">
        <f t="shared" si="61"/>
        <v>5</v>
      </c>
      <c r="BL39" s="4">
        <f t="shared" si="62"/>
        <v>0</v>
      </c>
      <c r="BM39" s="4">
        <f t="shared" si="63"/>
        <v>520</v>
      </c>
      <c r="BN39" s="4">
        <f t="shared" si="64"/>
        <v>-5</v>
      </c>
      <c r="BO39" s="4">
        <f t="shared" si="65"/>
        <v>1</v>
      </c>
      <c r="BP39" s="4">
        <f t="shared" si="66"/>
        <v>-5</v>
      </c>
      <c r="BQ39" s="4">
        <f>IFERROR('Character Sheet'!IQ38+VLOOKUP(BA39,MaterialChart,5,FALSE),"")</f>
        <v>-5</v>
      </c>
      <c r="BR39" s="4">
        <f t="shared" si="67"/>
        <v>0</v>
      </c>
      <c r="BS39" s="4">
        <f t="shared" si="75"/>
        <v>40</v>
      </c>
      <c r="BT39" s="4">
        <f t="shared" si="68"/>
        <v>0.65</v>
      </c>
      <c r="BU39" s="4">
        <f t="shared" si="69"/>
        <v>0.25</v>
      </c>
      <c r="BV39" s="4">
        <f t="shared" si="70"/>
        <v>0.25</v>
      </c>
      <c r="BW39" s="4">
        <f>IFERROR(ROUNDUP((BE39*(BB39-AT39))+(BL39*(BI39-AX39))+(BT39*(((100+(BD39+IF(BE39=1,0,BK39))+(4*BR39))/100)))*'Character Sheet'!GT38,3),"")</f>
        <v>0.71499999999999997</v>
      </c>
      <c r="BX39" s="4" t="str">
        <f t="shared" si="38"/>
        <v>$0.72</v>
      </c>
      <c r="BY39" s="8"/>
      <c r="BZ39" s="4"/>
      <c r="CA39" s="4"/>
      <c r="CB39" s="4"/>
      <c r="CC39" s="4"/>
      <c r="CD39" s="4"/>
      <c r="CE39" s="4"/>
      <c r="CF39" s="4"/>
      <c r="CG39" s="4"/>
      <c r="CH39" s="4"/>
      <c r="CI39" s="4"/>
      <c r="CJ39" s="4"/>
      <c r="CK39" s="4"/>
      <c r="CL39" s="4"/>
      <c r="CM39" s="4"/>
      <c r="CN39" s="4"/>
      <c r="CO39" s="4"/>
      <c r="CP39" s="4"/>
      <c r="CQ39" s="4"/>
      <c r="CR39" s="4"/>
      <c r="CS39" s="4"/>
      <c r="CT39" s="4"/>
      <c r="CU39" s="4"/>
      <c r="CV39" s="4"/>
      <c r="DH39" s="4" t="str">
        <f t="shared" si="41"/>
        <v/>
      </c>
      <c r="DI39">
        <v>2</v>
      </c>
      <c r="DJ39" s="3" t="str">
        <f>'Character Sheet'!FB38</f>
        <v>Buckle, Brass</v>
      </c>
      <c r="DK39" s="4">
        <f t="shared" si="77"/>
        <v>0</v>
      </c>
      <c r="DL39" s="4" t="str">
        <f>IFERROR(IF(DK39=0,"",VLOOKUP(DK39,Skills!$N$72:$AF$107,19,FALSE)),"")</f>
        <v/>
      </c>
      <c r="DM39" s="4">
        <f>IFERROR(VLOOKUP($DJ39,ItemChart,18,FALSE)+'Character Sheet'!IJ38,0)</f>
        <v>0</v>
      </c>
      <c r="DN39" s="4" t="str">
        <f t="shared" ref="DN39:DN83" si="92">IFERROR(IF(DK39=0,"",DL39+DM39),"")</f>
        <v/>
      </c>
      <c r="DO39" s="4" t="str">
        <f>IFERROR(DN39+0.37,"")</f>
        <v/>
      </c>
      <c r="DP39" s="4">
        <f t="shared" si="43"/>
        <v>0</v>
      </c>
      <c r="DQ39" s="4">
        <f t="shared" si="78"/>
        <v>0</v>
      </c>
      <c r="DR39" s="4">
        <f t="shared" si="79"/>
        <v>0</v>
      </c>
      <c r="DS39" s="4">
        <f t="shared" si="80"/>
        <v>2</v>
      </c>
      <c r="DT39" s="4">
        <f t="shared" si="81"/>
        <v>0</v>
      </c>
      <c r="DU39" s="4">
        <f t="shared" si="82"/>
        <v>0</v>
      </c>
      <c r="DV39" s="4" t="str">
        <f>VLOOKUP((VLOOKUP((VLOOKUP('Character Creation'!$Z$11,RaceChart,20,FALSE)&amp;" "&amp;VLOOKUP('Character Creation'!$Z$11,RaceChart,21,FALSE)),Charts!$H$2:$J$14,3,FALSE)+DU39),Charts!$J$2:$N$14,5,FALSE)</f>
        <v>M</v>
      </c>
      <c r="DW39" s="4" t="str">
        <f>VLOOKUP(DV39,Charts!$N$2:$Q$14,4,FALSE)</f>
        <v>(5)</v>
      </c>
      <c r="DX39" s="4" t="str">
        <f t="shared" si="83"/>
        <v>M(5) 0</v>
      </c>
      <c r="DY39" s="4">
        <f t="shared" si="84"/>
        <v>0</v>
      </c>
      <c r="DZ39" s="4" t="str">
        <f t="shared" si="85"/>
        <v/>
      </c>
      <c r="EA39" s="4" t="e">
        <f>ROUNDDOWN(VLOOKUP(DK39,Skills!$N$72:$S$107,6,FALSE)/5,0)</f>
        <v>#N/A</v>
      </c>
      <c r="EB39" s="4">
        <f t="shared" si="86"/>
        <v>0</v>
      </c>
      <c r="EC39" s="4" t="str">
        <f t="shared" si="87"/>
        <v>+0</v>
      </c>
      <c r="ED39" s="4" t="e">
        <f>VLOOKUP(DJ39,'Character Sheet'!$FB$21:$HQ$35,61,FALSE)</f>
        <v>#N/A</v>
      </c>
      <c r="EE39" s="4" t="str">
        <f t="shared" si="88"/>
        <v>- -</v>
      </c>
      <c r="EF39" s="4" t="str">
        <f t="shared" si="89"/>
        <v>- -</v>
      </c>
      <c r="EG39" s="4" t="e">
        <f>VLOOKUP(DR39,Items!$B$1156:$AA$1282,18,FALSE)</f>
        <v>#N/A</v>
      </c>
      <c r="EH39" s="4" t="e">
        <f>VLOOKUP(DJ39,'Character Sheet'!$E$26:$EZ$45,81,FALSE)</f>
        <v>#N/A</v>
      </c>
      <c r="EI39" s="4" t="e">
        <f>VLOOKUP(DJ39,'Character Sheet'!$E$26:$EZ$45,89,FALSE)</f>
        <v>#N/A</v>
      </c>
      <c r="EJ39" s="4" t="e">
        <f t="shared" si="90"/>
        <v>#N/A</v>
      </c>
    </row>
    <row r="40" spans="29:140" x14ac:dyDescent="0.25">
      <c r="AC40" s="8" t="str">
        <f>IFERROR(VLOOKUP('Character Creation'!$CI53,Skills!$H$2:$N$620,6,FALSE),"")</f>
        <v/>
      </c>
      <c r="AD40" s="4">
        <f>'Character Creation'!EH53</f>
        <v>0</v>
      </c>
      <c r="AG40">
        <v>39</v>
      </c>
      <c r="AH40" s="4" t="str">
        <f t="shared" si="5"/>
        <v/>
      </c>
      <c r="AI40" t="str">
        <f>IFERROR(VLOOKUP(AG40,Skills!$B$2:$M$620,12,FALSE),"")</f>
        <v/>
      </c>
      <c r="AJ40" s="4" t="str">
        <f>IFERROR(VLOOKUP(AG40,Skills!$B$2:$AF$620,31,FALSE),"")</f>
        <v/>
      </c>
      <c r="AK40" s="4" t="str">
        <f t="shared" si="91"/>
        <v/>
      </c>
      <c r="AL40" s="4">
        <v>3.9E-2</v>
      </c>
      <c r="AM40" s="62" t="str">
        <f t="shared" si="6"/>
        <v/>
      </c>
      <c r="AN40" t="str">
        <f t="shared" ca="1" si="7"/>
        <v/>
      </c>
      <c r="AO40" s="4" t="str">
        <f ca="1">IFERROR(VLOOKUP(AG40,$AH$2:$AJ$451,3,FALSE)&amp;IF(ISNUMBER(SEARCH(", Written",AN40))," -R"&amp;VLOOKUP(AN40,Skills!$M$2:$S$620,7,FALSE),IF(ISNUMBER(SEARCH(", Spoken",AN40))," -R"&amp;VLOOKUP(AN40,Skills!$M$2:$S$620,7,FALSE),"")),"")</f>
        <v/>
      </c>
      <c r="AQ40">
        <v>37</v>
      </c>
      <c r="AR40" s="8" t="str">
        <f>'Character Sheet'!FB39</f>
        <v>Canteen (small)</v>
      </c>
      <c r="AS40" s="4" t="str">
        <f t="shared" si="17"/>
        <v>Brass</v>
      </c>
      <c r="AT40" s="4">
        <f t="shared" si="18"/>
        <v>0.75</v>
      </c>
      <c r="AU40" s="4">
        <f t="shared" si="50"/>
        <v>520</v>
      </c>
      <c r="AV40" s="4">
        <f t="shared" si="51"/>
        <v>-5</v>
      </c>
      <c r="AW40" s="4" t="str">
        <f t="shared" si="52"/>
        <v>Brass</v>
      </c>
      <c r="AX40" s="4">
        <f t="shared" si="22"/>
        <v>0.75</v>
      </c>
      <c r="AY40" s="4">
        <f t="shared" si="53"/>
        <v>520</v>
      </c>
      <c r="AZ40" s="4">
        <f t="shared" si="54"/>
        <v>-5</v>
      </c>
      <c r="BA40" s="4" t="str">
        <f>IFERROR('Character Sheet'!JK39,"")</f>
        <v>Brass</v>
      </c>
      <c r="BB40" s="4">
        <f t="shared" si="25"/>
        <v>0.75</v>
      </c>
      <c r="BC40" s="4">
        <f t="shared" si="55"/>
        <v>-5</v>
      </c>
      <c r="BD40" s="4">
        <f t="shared" si="56"/>
        <v>5</v>
      </c>
      <c r="BE40" s="4">
        <f t="shared" si="57"/>
        <v>1.125</v>
      </c>
      <c r="BF40" s="4">
        <f t="shared" si="58"/>
        <v>520</v>
      </c>
      <c r="BG40" s="4">
        <f t="shared" si="59"/>
        <v>-5</v>
      </c>
      <c r="BH40" s="4" t="str">
        <f>IFERROR('Character Sheet'!KC39,"")</f>
        <v>Brass</v>
      </c>
      <c r="BI40" s="4">
        <f t="shared" si="29"/>
        <v>0.75</v>
      </c>
      <c r="BJ40" s="4">
        <f t="shared" si="60"/>
        <v>-5</v>
      </c>
      <c r="BK40" s="4">
        <f t="shared" si="61"/>
        <v>5</v>
      </c>
      <c r="BL40" s="4">
        <f t="shared" si="62"/>
        <v>0.125</v>
      </c>
      <c r="BM40" s="4">
        <f t="shared" si="63"/>
        <v>520</v>
      </c>
      <c r="BN40" s="4">
        <f t="shared" si="64"/>
        <v>-5</v>
      </c>
      <c r="BO40" s="4">
        <f t="shared" si="65"/>
        <v>0.9</v>
      </c>
      <c r="BP40" s="4">
        <f t="shared" si="66"/>
        <v>-5</v>
      </c>
      <c r="BQ40" s="4">
        <f>IFERROR('Character Sheet'!IQ39+VLOOKUP(BA40,MaterialChart,5,FALSE),"")</f>
        <v>-5</v>
      </c>
      <c r="BR40" s="4">
        <f t="shared" si="67"/>
        <v>0</v>
      </c>
      <c r="BS40" s="4">
        <f t="shared" si="75"/>
        <v>60</v>
      </c>
      <c r="BT40" s="4">
        <f t="shared" si="68"/>
        <v>0.35</v>
      </c>
      <c r="BU40" s="4">
        <f t="shared" si="69"/>
        <v>1.25</v>
      </c>
      <c r="BV40" s="4">
        <f t="shared" si="70"/>
        <v>1.25</v>
      </c>
      <c r="BW40" s="4">
        <f>IFERROR(ROUNDUP((BE40*(BB40-AT40))+(BL40*(BI40-AX40))+(BT40*(((100+(BD40+IF(BE40=1,0,BK40))+(4*BR40))/100)))*'Character Sheet'!GT39,3),"")</f>
        <v>0.38500000000000001</v>
      </c>
      <c r="BX40" s="4" t="str">
        <f>IF(BW40="","","$"&amp;ROUND(BW40,2))</f>
        <v>$0.39</v>
      </c>
      <c r="BY40" s="8"/>
      <c r="BZ40" s="4"/>
      <c r="CA40" s="4"/>
      <c r="CB40" s="4"/>
      <c r="CC40" s="4"/>
      <c r="CD40" s="4"/>
      <c r="CE40" s="4"/>
      <c r="CF40" s="4"/>
      <c r="CG40" s="4"/>
      <c r="CH40" s="4"/>
      <c r="CI40" s="4"/>
      <c r="CJ40" s="4"/>
      <c r="CK40" s="4"/>
      <c r="CL40" s="4"/>
      <c r="CM40" s="4"/>
      <c r="CN40" s="4"/>
      <c r="CO40" s="4"/>
      <c r="CP40" s="4"/>
      <c r="CQ40" s="4"/>
      <c r="CR40" s="4"/>
      <c r="CS40" s="4"/>
      <c r="CT40" s="4"/>
      <c r="CU40" s="4"/>
      <c r="CV40" s="4"/>
      <c r="DH40" s="4" t="str">
        <f t="shared" si="41"/>
        <v/>
      </c>
      <c r="DI40">
        <v>3</v>
      </c>
      <c r="DJ40" s="3" t="str">
        <f>'Character Sheet'!FB39</f>
        <v>Canteen (small)</v>
      </c>
      <c r="DK40" s="4" t="str">
        <f t="shared" si="77"/>
        <v>Hafted</v>
      </c>
      <c r="DL40" s="4" t="str">
        <f>IFERROR(IF(DK40=0,"",VLOOKUP(DK40,Skills!$N$72:$AF$107,19,FALSE)),"")</f>
        <v/>
      </c>
      <c r="DM40" s="4">
        <f>IFERROR(VLOOKUP($DJ40,ItemChart,18,FALSE)+'Character Sheet'!IJ39,0)</f>
        <v>-10</v>
      </c>
      <c r="DN40" s="4" t="str">
        <f t="shared" si="92"/>
        <v/>
      </c>
      <c r="DO40" s="4" t="str">
        <f>IFERROR(DN40+0.38,"")</f>
        <v/>
      </c>
      <c r="DP40" s="4">
        <f t="shared" si="43"/>
        <v>0</v>
      </c>
      <c r="DQ40" s="4">
        <f t="shared" si="78"/>
        <v>1</v>
      </c>
      <c r="DR40" s="4" t="str">
        <f t="shared" si="79"/>
        <v>Canteen (small) (Thrown)</v>
      </c>
      <c r="DS40" s="4">
        <f t="shared" si="80"/>
        <v>3</v>
      </c>
      <c r="DT40" s="4" t="str">
        <f t="shared" si="81"/>
        <v>Club</v>
      </c>
      <c r="DU40" s="4">
        <f t="shared" si="82"/>
        <v>-2</v>
      </c>
      <c r="DV40" s="4" t="str">
        <f>VLOOKUP((VLOOKUP((VLOOKUP('Character Creation'!$Z$11,RaceChart,20,FALSE)&amp;" "&amp;VLOOKUP('Character Creation'!$Z$11,RaceChart,21,FALSE)),Charts!$H$2:$J$14,3,FALSE)+DU40),Charts!$J$2:$N$14,5,FALSE)</f>
        <v>T</v>
      </c>
      <c r="DW40" s="4" t="str">
        <f>VLOOKUP(DV40,Charts!$N$2:$Q$14,4,FALSE)</f>
        <v>(3)</v>
      </c>
      <c r="DX40" s="4" t="str">
        <f t="shared" si="83"/>
        <v>T(3) Club</v>
      </c>
      <c r="DY40" s="4">
        <f t="shared" si="84"/>
        <v>0.67</v>
      </c>
      <c r="DZ40" s="4" t="str">
        <f t="shared" si="85"/>
        <v/>
      </c>
      <c r="EA40" s="4" t="e">
        <f>ROUNDDOWN(VLOOKUP(DK40,Skills!$N$72:$S$107,6,FALSE)/5,0)</f>
        <v>#N/A</v>
      </c>
      <c r="EB40" s="4">
        <f t="shared" si="86"/>
        <v>-2</v>
      </c>
      <c r="EC40" s="4">
        <f t="shared" si="87"/>
        <v>-2</v>
      </c>
      <c r="ED40" s="4" t="e">
        <f>VLOOKUP(DJ40,'Character Sheet'!$FB$21:$HQ$35,61,FALSE)</f>
        <v>#N/A</v>
      </c>
      <c r="EE40" s="4" t="str">
        <f t="shared" si="88"/>
        <v>- -</v>
      </c>
      <c r="EF40" s="4" t="str">
        <f t="shared" si="89"/>
        <v>- -</v>
      </c>
      <c r="EG40" s="4">
        <f>VLOOKUP(DR40,Items!$B$1156:$AA$1282,18,FALSE)</f>
        <v>-10</v>
      </c>
      <c r="EH40" s="4" t="e">
        <f>VLOOKUP(DJ40,'Character Sheet'!$E$26:$EZ$45,81,FALSE)</f>
        <v>#N/A</v>
      </c>
      <c r="EI40" s="4" t="e">
        <f>VLOOKUP(DJ40,'Character Sheet'!$E$26:$EZ$45,89,FALSE)</f>
        <v>#N/A</v>
      </c>
      <c r="EJ40" s="4" t="e">
        <f t="shared" si="90"/>
        <v>#N/A</v>
      </c>
    </row>
    <row r="41" spans="29:140" x14ac:dyDescent="0.25">
      <c r="AC41" s="8" t="str">
        <f>IFERROR(VLOOKUP('Character Creation'!$CI54,Skills!$H$2:$N$620,6,FALSE),"")</f>
        <v/>
      </c>
      <c r="AD41" s="4">
        <f>'Character Creation'!EH54</f>
        <v>0</v>
      </c>
      <c r="AG41">
        <v>40</v>
      </c>
      <c r="AH41" s="4" t="str">
        <f t="shared" si="5"/>
        <v/>
      </c>
      <c r="AI41" t="str">
        <f>IFERROR(VLOOKUP(AG41,Skills!$B$2:$M$620,12,FALSE),"")</f>
        <v/>
      </c>
      <c r="AJ41" s="4" t="str">
        <f>IFERROR(VLOOKUP(AG41,Skills!$B$2:$AF$620,31,FALSE),"")</f>
        <v/>
      </c>
      <c r="AK41" s="4" t="str">
        <f t="shared" si="91"/>
        <v/>
      </c>
      <c r="AL41" s="4">
        <v>0.04</v>
      </c>
      <c r="AM41" s="62" t="str">
        <f t="shared" si="6"/>
        <v/>
      </c>
      <c r="AN41" t="str">
        <f t="shared" ca="1" si="7"/>
        <v/>
      </c>
      <c r="AO41" s="4" t="str">
        <f ca="1">IFERROR(VLOOKUP(AG41,$AH$2:$AJ$451,3,FALSE)&amp;IF(ISNUMBER(SEARCH(", Written",AN41))," -R"&amp;VLOOKUP(AN41,Skills!$M$2:$S$620,7,FALSE),IF(ISNUMBER(SEARCH(", Spoken",AN41))," -R"&amp;VLOOKUP(AN41,Skills!$M$2:$S$620,7,FALSE),"")),"")</f>
        <v/>
      </c>
      <c r="AQ41">
        <v>38</v>
      </c>
      <c r="AR41" s="8" t="str">
        <f>'Character Sheet'!FB40</f>
        <v>Playing Cards</v>
      </c>
      <c r="AS41" s="4" t="str">
        <f t="shared" si="17"/>
        <v>Paper</v>
      </c>
      <c r="AT41" s="4">
        <f t="shared" si="18"/>
        <v>0.5</v>
      </c>
      <c r="AU41" s="4">
        <f t="shared" si="50"/>
        <v>58</v>
      </c>
      <c r="AV41" s="4">
        <f t="shared" si="51"/>
        <v>-50</v>
      </c>
      <c r="AW41" s="4" t="str">
        <f t="shared" si="52"/>
        <v>Paper</v>
      </c>
      <c r="AX41" s="4">
        <f t="shared" si="22"/>
        <v>0.5</v>
      </c>
      <c r="AY41" s="4">
        <f t="shared" si="53"/>
        <v>58</v>
      </c>
      <c r="AZ41" s="4">
        <f t="shared" si="54"/>
        <v>-50</v>
      </c>
      <c r="BA41" s="4" t="str">
        <f>IFERROR('Character Sheet'!JK40,"")</f>
        <v>Paper</v>
      </c>
      <c r="BB41" s="4">
        <f t="shared" si="25"/>
        <v>0.5</v>
      </c>
      <c r="BC41" s="4">
        <f t="shared" si="55"/>
        <v>0</v>
      </c>
      <c r="BD41" s="4">
        <f t="shared" si="56"/>
        <v>0</v>
      </c>
      <c r="BE41" s="4">
        <f t="shared" si="57"/>
        <v>4.0000000000000001E-3</v>
      </c>
      <c r="BF41" s="4">
        <f t="shared" si="58"/>
        <v>58</v>
      </c>
      <c r="BG41" s="4">
        <f t="shared" si="59"/>
        <v>-50</v>
      </c>
      <c r="BH41" s="4" t="str">
        <f>IFERROR('Character Sheet'!KC40,"")</f>
        <v>Paper</v>
      </c>
      <c r="BI41" s="4">
        <f t="shared" si="29"/>
        <v>0.5</v>
      </c>
      <c r="BJ41" s="4">
        <f t="shared" si="60"/>
        <v>0</v>
      </c>
      <c r="BK41" s="4">
        <f t="shared" si="61"/>
        <v>0</v>
      </c>
      <c r="BL41" s="4">
        <f t="shared" si="62"/>
        <v>0</v>
      </c>
      <c r="BM41" s="4">
        <f t="shared" si="63"/>
        <v>58</v>
      </c>
      <c r="BN41" s="4">
        <f t="shared" si="64"/>
        <v>-50</v>
      </c>
      <c r="BO41" s="4">
        <f t="shared" si="65"/>
        <v>1</v>
      </c>
      <c r="BP41" s="4">
        <f t="shared" si="66"/>
        <v>-50</v>
      </c>
      <c r="BQ41" s="4">
        <f>IFERROR('Character Sheet'!IQ40+VLOOKUP(BA41,MaterialChart,5,FALSE),"")</f>
        <v>-50</v>
      </c>
      <c r="BR41" s="4">
        <f t="shared" si="67"/>
        <v>0</v>
      </c>
      <c r="BS41" s="4">
        <f t="shared" si="75"/>
        <v>10</v>
      </c>
      <c r="BT41" s="4">
        <f t="shared" si="68"/>
        <v>2E-3</v>
      </c>
      <c r="BU41" s="4">
        <f t="shared" si="69"/>
        <v>4.0000000000000001E-3</v>
      </c>
      <c r="BV41" s="4">
        <f t="shared" si="70"/>
        <v>4.0000000000000001E-3</v>
      </c>
      <c r="BW41" s="4">
        <f>IFERROR(ROUNDUP((BE41*(BB41-AT41))+(BL41*(BI41-AX41))+(BT41*(((100+(BD41+IF(BE41=1,0,BK41))+(4*BR41))/100)))*'Character Sheet'!GT40,3),"")</f>
        <v>9.8000000000000004E-2</v>
      </c>
      <c r="BX41" s="4" t="str">
        <f t="shared" ref="BX41:BX104" si="93">IF(BW41="","","$"&amp;ROUND(BW41,2))</f>
        <v>$0.1</v>
      </c>
      <c r="BY41" s="8"/>
      <c r="BZ41" s="4"/>
      <c r="CA41" s="4"/>
      <c r="CB41" s="4"/>
      <c r="CC41" s="4"/>
      <c r="CD41" s="4"/>
      <c r="CE41" s="4"/>
      <c r="CF41" s="4"/>
      <c r="CG41" s="4"/>
      <c r="CH41" s="4"/>
      <c r="CI41" s="4"/>
      <c r="CJ41" s="4"/>
      <c r="CK41" s="4"/>
      <c r="CL41" s="4"/>
      <c r="CM41" s="4"/>
      <c r="CN41" s="4"/>
      <c r="CO41" s="4"/>
      <c r="CP41" s="4"/>
      <c r="CQ41" s="4"/>
      <c r="CR41" s="4"/>
      <c r="CS41" s="4"/>
      <c r="CT41" s="4"/>
      <c r="CU41" s="4"/>
      <c r="CV41" s="4"/>
      <c r="DH41" s="4" t="str">
        <f t="shared" si="41"/>
        <v/>
      </c>
      <c r="DI41">
        <v>4</v>
      </c>
      <c r="DJ41" s="3" t="str">
        <f>'Character Sheet'!FB40</f>
        <v>Playing Cards</v>
      </c>
      <c r="DK41" s="4">
        <f t="shared" si="77"/>
        <v>0</v>
      </c>
      <c r="DL41" s="4" t="str">
        <f>IFERROR(IF(DK41=0,"",VLOOKUP(DK41,Skills!$N$72:$AF$107,19,FALSE)),"")</f>
        <v/>
      </c>
      <c r="DM41" s="4">
        <f>IFERROR(VLOOKUP($DJ41,ItemChart,18,FALSE)+'Character Sheet'!IJ40,0)</f>
        <v>0</v>
      </c>
      <c r="DN41" s="4" t="str">
        <f t="shared" si="92"/>
        <v/>
      </c>
      <c r="DO41" s="4" t="str">
        <f>IFERROR(DN41+0.39,"")</f>
        <v/>
      </c>
      <c r="DP41" s="4">
        <f t="shared" si="43"/>
        <v>0</v>
      </c>
      <c r="DQ41" s="4">
        <f t="shared" si="78"/>
        <v>1</v>
      </c>
      <c r="DR41" s="4">
        <f t="shared" si="79"/>
        <v>0</v>
      </c>
      <c r="DS41" s="4">
        <f t="shared" si="80"/>
        <v>4</v>
      </c>
      <c r="DT41" s="4">
        <f t="shared" si="81"/>
        <v>0</v>
      </c>
      <c r="DU41" s="4">
        <f t="shared" si="82"/>
        <v>0</v>
      </c>
      <c r="DV41" s="4" t="str">
        <f>VLOOKUP((VLOOKUP((VLOOKUP('Character Creation'!$Z$11,RaceChart,20,FALSE)&amp;" "&amp;VLOOKUP('Character Creation'!$Z$11,RaceChart,21,FALSE)),Charts!$H$2:$J$14,3,FALSE)+DU41),Charts!$J$2:$N$14,5,FALSE)</f>
        <v>M</v>
      </c>
      <c r="DW41" s="4" t="str">
        <f>VLOOKUP(DV41,Charts!$N$2:$Q$14,4,FALSE)</f>
        <v>(5)</v>
      </c>
      <c r="DX41" s="4" t="str">
        <f t="shared" si="83"/>
        <v>M(5) 0</v>
      </c>
      <c r="DY41" s="4">
        <f t="shared" si="84"/>
        <v>0</v>
      </c>
      <c r="DZ41" s="4" t="str">
        <f t="shared" si="85"/>
        <v/>
      </c>
      <c r="EA41" s="4" t="e">
        <f>ROUNDDOWN(VLOOKUP(DK41,Skills!$N$72:$S$107,6,FALSE)/5,0)</f>
        <v>#N/A</v>
      </c>
      <c r="EB41" s="4">
        <f t="shared" si="86"/>
        <v>0</v>
      </c>
      <c r="EC41" s="4" t="str">
        <f t="shared" si="87"/>
        <v>+0</v>
      </c>
      <c r="ED41" s="4" t="e">
        <f>VLOOKUP(DJ41,'Character Sheet'!$FB$21:$HQ$35,61,FALSE)</f>
        <v>#N/A</v>
      </c>
      <c r="EE41" s="4" t="str">
        <f t="shared" si="88"/>
        <v>- -</v>
      </c>
      <c r="EF41" s="4" t="str">
        <f t="shared" si="89"/>
        <v>- -</v>
      </c>
      <c r="EG41" s="4" t="e">
        <f>VLOOKUP(DR41,Items!$B$1156:$AA$1282,18,FALSE)</f>
        <v>#N/A</v>
      </c>
      <c r="EH41" s="4" t="e">
        <f>VLOOKUP(DJ41,'Character Sheet'!$E$26:$EZ$45,81,FALSE)</f>
        <v>#N/A</v>
      </c>
      <c r="EI41" s="4" t="e">
        <f>VLOOKUP(DJ41,'Character Sheet'!$E$26:$EZ$45,89,FALSE)</f>
        <v>#N/A</v>
      </c>
      <c r="EJ41" s="4" t="e">
        <f t="shared" si="90"/>
        <v>#N/A</v>
      </c>
    </row>
    <row r="42" spans="29:140" x14ac:dyDescent="0.25">
      <c r="AC42" s="8" t="str">
        <f>IFERROR(VLOOKUP('Character Creation'!$CI55,Skills!$H$2:$N$620,6,FALSE),"")</f>
        <v/>
      </c>
      <c r="AD42" s="4">
        <f>'Character Creation'!EH55</f>
        <v>0</v>
      </c>
      <c r="AG42">
        <v>41</v>
      </c>
      <c r="AH42" s="4" t="str">
        <f t="shared" si="5"/>
        <v/>
      </c>
      <c r="AI42" t="str">
        <f>IFERROR(VLOOKUP(AG42,Skills!$B$2:$M$620,12,FALSE),"")</f>
        <v/>
      </c>
      <c r="AJ42" s="4" t="str">
        <f>IFERROR(VLOOKUP(AG42,Skills!$B$2:$AF$620,31,FALSE),"")</f>
        <v/>
      </c>
      <c r="AK42" s="4" t="str">
        <f t="shared" si="91"/>
        <v/>
      </c>
      <c r="AL42" s="4">
        <v>4.1000000000000002E-2</v>
      </c>
      <c r="AM42" s="62" t="str">
        <f t="shared" si="6"/>
        <v/>
      </c>
      <c r="AN42" t="str">
        <f t="shared" ca="1" si="7"/>
        <v/>
      </c>
      <c r="AO42" s="4" t="str">
        <f ca="1">IFERROR(VLOOKUP(AG42,$AH$2:$AJ$451,3,FALSE)&amp;IF(ISNUMBER(SEARCH(", Written",AN42))," -R"&amp;VLOOKUP(AN42,Skills!$M$2:$S$620,7,FALSE),IF(ISNUMBER(SEARCH(", Spoken",AN42))," -R"&amp;VLOOKUP(AN42,Skills!$M$2:$S$620,7,FALSE),"")),"")</f>
        <v/>
      </c>
      <c r="AQ42">
        <v>39</v>
      </c>
      <c r="AR42" s="8" t="str">
        <f>'Character Sheet'!FB41</f>
        <v>Playing Cards, Marked</v>
      </c>
      <c r="AS42" s="4" t="str">
        <f t="shared" si="17"/>
        <v>Paper</v>
      </c>
      <c r="AT42" s="4">
        <f t="shared" si="18"/>
        <v>0.5</v>
      </c>
      <c r="AU42" s="4">
        <f t="shared" si="50"/>
        <v>58</v>
      </c>
      <c r="AV42" s="4">
        <f t="shared" si="51"/>
        <v>-50</v>
      </c>
      <c r="AW42" s="4" t="str">
        <f t="shared" si="52"/>
        <v>Paper</v>
      </c>
      <c r="AX42" s="4">
        <f t="shared" si="22"/>
        <v>0.5</v>
      </c>
      <c r="AY42" s="4">
        <f t="shared" si="53"/>
        <v>58</v>
      </c>
      <c r="AZ42" s="4">
        <f t="shared" si="54"/>
        <v>-50</v>
      </c>
      <c r="BA42" s="4" t="str">
        <f>IFERROR('Character Sheet'!JK41,"")</f>
        <v>Paper</v>
      </c>
      <c r="BB42" s="4">
        <f t="shared" si="25"/>
        <v>0.5</v>
      </c>
      <c r="BC42" s="4">
        <f t="shared" si="55"/>
        <v>0</v>
      </c>
      <c r="BD42" s="4">
        <f t="shared" si="56"/>
        <v>0</v>
      </c>
      <c r="BE42" s="4">
        <f t="shared" si="57"/>
        <v>4.0000000000000001E-3</v>
      </c>
      <c r="BF42" s="4">
        <f t="shared" si="58"/>
        <v>58</v>
      </c>
      <c r="BG42" s="4">
        <f t="shared" si="59"/>
        <v>-50</v>
      </c>
      <c r="BH42" s="4" t="str">
        <f>IFERROR('Character Sheet'!KC41,"")</f>
        <v>Paper</v>
      </c>
      <c r="BI42" s="4">
        <f t="shared" si="29"/>
        <v>0.5</v>
      </c>
      <c r="BJ42" s="4">
        <f t="shared" si="60"/>
        <v>0</v>
      </c>
      <c r="BK42" s="4">
        <f t="shared" si="61"/>
        <v>0</v>
      </c>
      <c r="BL42" s="4">
        <f t="shared" si="62"/>
        <v>0</v>
      </c>
      <c r="BM42" s="4">
        <f t="shared" si="63"/>
        <v>58</v>
      </c>
      <c r="BN42" s="4">
        <f t="shared" si="64"/>
        <v>-50</v>
      </c>
      <c r="BO42" s="4">
        <f t="shared" si="65"/>
        <v>1</v>
      </c>
      <c r="BP42" s="4">
        <f t="shared" si="66"/>
        <v>-50</v>
      </c>
      <c r="BQ42" s="4">
        <f>IFERROR('Character Sheet'!IQ41+VLOOKUP(BA42,MaterialChart,5,FALSE),"")</f>
        <v>-50</v>
      </c>
      <c r="BR42" s="4">
        <f t="shared" si="67"/>
        <v>0</v>
      </c>
      <c r="BS42" s="4">
        <f t="shared" si="75"/>
        <v>10</v>
      </c>
      <c r="BT42" s="4">
        <f t="shared" si="68"/>
        <v>2.8000000000000001E-2</v>
      </c>
      <c r="BU42" s="4">
        <f t="shared" si="69"/>
        <v>4.0000000000000001E-3</v>
      </c>
      <c r="BV42" s="4">
        <f t="shared" si="70"/>
        <v>4.0000000000000001E-3</v>
      </c>
      <c r="BW42" s="4">
        <f>IFERROR(ROUNDUP((BE42*(BB42-AT42))+(BL42*(BI42-AX42))+(BT42*(((100+(BD42+IF(BE42=1,0,BK42))+(4*BR42))/100)))*'Character Sheet'!GT41,3),"")</f>
        <v>5.6000000000000001E-2</v>
      </c>
      <c r="BX42" s="4" t="str">
        <f t="shared" si="93"/>
        <v>$0.06</v>
      </c>
      <c r="BY42" s="8"/>
      <c r="BZ42" s="4"/>
      <c r="CA42" s="4"/>
      <c r="CB42" s="4"/>
      <c r="CC42" s="4"/>
      <c r="CD42" s="4"/>
      <c r="CE42" s="4"/>
      <c r="CF42" s="4"/>
      <c r="CG42" s="4"/>
      <c r="CH42" s="4"/>
      <c r="CI42" s="4"/>
      <c r="CJ42" s="4"/>
      <c r="CK42" s="4"/>
      <c r="CL42" s="4"/>
      <c r="CM42" s="4"/>
      <c r="CN42" s="4"/>
      <c r="CO42" s="4"/>
      <c r="CP42" s="4"/>
      <c r="CQ42" s="4"/>
      <c r="CR42" s="4"/>
      <c r="CS42" s="4"/>
      <c r="CT42" s="4"/>
      <c r="CU42" s="4"/>
      <c r="CV42" s="4"/>
      <c r="DH42" s="4" t="str">
        <f t="shared" si="41"/>
        <v/>
      </c>
      <c r="DI42">
        <v>5</v>
      </c>
      <c r="DJ42" s="3" t="str">
        <f>'Character Sheet'!FB41</f>
        <v>Playing Cards, Marked</v>
      </c>
      <c r="DK42" s="4">
        <f t="shared" si="77"/>
        <v>0</v>
      </c>
      <c r="DL42" s="4" t="str">
        <f>IFERROR(IF(DK42=0,"",VLOOKUP(DK42,Skills!$N$72:$AF$107,19,FALSE)),"")</f>
        <v/>
      </c>
      <c r="DM42" s="4">
        <f>IFERROR(VLOOKUP($DJ42,ItemChart,18,FALSE)+'Character Sheet'!IJ41,0)</f>
        <v>0</v>
      </c>
      <c r="DN42" s="4" t="str">
        <f t="shared" si="92"/>
        <v/>
      </c>
      <c r="DO42" s="4" t="str">
        <f>IFERROR(DN42+0.4,"")</f>
        <v/>
      </c>
      <c r="DP42" s="4">
        <f t="shared" si="43"/>
        <v>0</v>
      </c>
      <c r="DQ42" s="4">
        <f t="shared" si="78"/>
        <v>1</v>
      </c>
      <c r="DR42" s="4">
        <f t="shared" si="79"/>
        <v>0</v>
      </c>
      <c r="DS42" s="4">
        <f t="shared" si="80"/>
        <v>5</v>
      </c>
      <c r="DT42" s="4">
        <f t="shared" si="81"/>
        <v>0</v>
      </c>
      <c r="DU42" s="4">
        <f t="shared" si="82"/>
        <v>0</v>
      </c>
      <c r="DV42" s="4" t="str">
        <f>VLOOKUP((VLOOKUP((VLOOKUP('Character Creation'!$Z$11,RaceChart,20,FALSE)&amp;" "&amp;VLOOKUP('Character Creation'!$Z$11,RaceChart,21,FALSE)),Charts!$H$2:$J$14,3,FALSE)+DU42),Charts!$J$2:$N$14,5,FALSE)</f>
        <v>M</v>
      </c>
      <c r="DW42" s="4" t="str">
        <f>VLOOKUP(DV42,Charts!$N$2:$Q$14,4,FALSE)</f>
        <v>(5)</v>
      </c>
      <c r="DX42" s="4" t="str">
        <f t="shared" si="83"/>
        <v>M(5) 0</v>
      </c>
      <c r="DY42" s="4">
        <f t="shared" si="84"/>
        <v>0</v>
      </c>
      <c r="DZ42" s="4" t="str">
        <f t="shared" si="85"/>
        <v/>
      </c>
      <c r="EA42" s="4" t="e">
        <f>ROUNDDOWN(VLOOKUP(DK42,Skills!$N$72:$S$107,6,FALSE)/5,0)</f>
        <v>#N/A</v>
      </c>
      <c r="EB42" s="4">
        <f t="shared" si="86"/>
        <v>0</v>
      </c>
      <c r="EC42" s="4" t="str">
        <f t="shared" si="87"/>
        <v>+0</v>
      </c>
      <c r="ED42" s="4" t="e">
        <f>VLOOKUP(DJ42,'Character Sheet'!$FB$21:$HQ$35,61,FALSE)</f>
        <v>#N/A</v>
      </c>
      <c r="EE42" s="4" t="str">
        <f t="shared" si="88"/>
        <v>- -</v>
      </c>
      <c r="EF42" s="4" t="str">
        <f t="shared" si="89"/>
        <v>- -</v>
      </c>
      <c r="EG42" s="4" t="e">
        <f>VLOOKUP(DR42,Items!$B$1156:$AA$1282,18,FALSE)</f>
        <v>#N/A</v>
      </c>
      <c r="EH42" s="4" t="e">
        <f>VLOOKUP(DJ42,'Character Sheet'!$E$26:$EZ$45,81,FALSE)</f>
        <v>#N/A</v>
      </c>
      <c r="EI42" s="4" t="e">
        <f>VLOOKUP(DJ42,'Character Sheet'!$E$26:$EZ$45,89,FALSE)</f>
        <v>#N/A</v>
      </c>
      <c r="EJ42" s="4" t="e">
        <f t="shared" si="90"/>
        <v>#N/A</v>
      </c>
    </row>
    <row r="43" spans="29:140" x14ac:dyDescent="0.25">
      <c r="AC43" s="8" t="str">
        <f>IFERROR(VLOOKUP('Character Creation'!$CI56,Skills!$H$2:$N$620,6,FALSE),"")</f>
        <v/>
      </c>
      <c r="AD43" s="4">
        <f>'Character Creation'!EH56</f>
        <v>0</v>
      </c>
      <c r="AG43">
        <v>42</v>
      </c>
      <c r="AH43" s="4" t="str">
        <f t="shared" si="5"/>
        <v/>
      </c>
      <c r="AI43" t="str">
        <f>IFERROR(VLOOKUP(AG43,Skills!$B$2:$M$620,12,FALSE),"")</f>
        <v/>
      </c>
      <c r="AJ43" s="4" t="str">
        <f>IFERROR(VLOOKUP(AG43,Skills!$B$2:$AF$620,31,FALSE),"")</f>
        <v/>
      </c>
      <c r="AK43" s="4" t="str">
        <f t="shared" si="91"/>
        <v/>
      </c>
      <c r="AL43" s="4">
        <v>4.2000000000000003E-2</v>
      </c>
      <c r="AM43" s="62" t="str">
        <f t="shared" si="6"/>
        <v/>
      </c>
      <c r="AN43" t="str">
        <f t="shared" ca="1" si="7"/>
        <v/>
      </c>
      <c r="AO43" s="4" t="str">
        <f ca="1">IFERROR(VLOOKUP(AG43,$AH$2:$AJ$451,3,FALSE)&amp;IF(ISNUMBER(SEARCH(", Written",AN43))," -R"&amp;VLOOKUP(AN43,Skills!$M$2:$S$620,7,FALSE),IF(ISNUMBER(SEARCH(", Spoken",AN43))," -R"&amp;VLOOKUP(AN43,Skills!$M$2:$S$620,7,FALSE),"")),"")</f>
        <v/>
      </c>
      <c r="AQ43">
        <v>40</v>
      </c>
      <c r="AR43" s="8" t="str">
        <f>'Character Sheet'!FB42</f>
        <v>Ammunition Pouch</v>
      </c>
      <c r="AS43" s="4" t="str">
        <f t="shared" si="17"/>
        <v>Heavy Cloth</v>
      </c>
      <c r="AT43" s="4">
        <f t="shared" si="18"/>
        <v>0.04</v>
      </c>
      <c r="AU43" s="4">
        <f t="shared" si="50"/>
        <v>12</v>
      </c>
      <c r="AV43" s="4">
        <f t="shared" si="51"/>
        <v>0</v>
      </c>
      <c r="AW43" s="4" t="str">
        <f t="shared" si="52"/>
        <v>Light Cloth</v>
      </c>
      <c r="AX43" s="4">
        <f t="shared" si="22"/>
        <v>0.02</v>
      </c>
      <c r="AY43" s="4">
        <f t="shared" si="53"/>
        <v>10</v>
      </c>
      <c r="AZ43" s="4">
        <f t="shared" si="54"/>
        <v>0</v>
      </c>
      <c r="BA43" s="4" t="str">
        <f>IFERROR('Character Sheet'!JK42,"")</f>
        <v>Heavy Cloth</v>
      </c>
      <c r="BB43" s="4">
        <f t="shared" si="25"/>
        <v>0.04</v>
      </c>
      <c r="BC43" s="4">
        <f t="shared" si="55"/>
        <v>0</v>
      </c>
      <c r="BD43" s="4">
        <f t="shared" si="56"/>
        <v>0</v>
      </c>
      <c r="BE43" s="4">
        <f t="shared" si="57"/>
        <v>0.95</v>
      </c>
      <c r="BF43" s="4">
        <f t="shared" si="58"/>
        <v>12</v>
      </c>
      <c r="BG43" s="4">
        <f t="shared" si="59"/>
        <v>0</v>
      </c>
      <c r="BH43" s="4" t="str">
        <f>IFERROR('Character Sheet'!KC42,"")</f>
        <v>Light Cloth</v>
      </c>
      <c r="BI43" s="4">
        <f t="shared" si="29"/>
        <v>0.02</v>
      </c>
      <c r="BJ43" s="4">
        <f t="shared" si="60"/>
        <v>0</v>
      </c>
      <c r="BK43" s="4">
        <f t="shared" si="61"/>
        <v>0</v>
      </c>
      <c r="BL43" s="4">
        <f t="shared" si="62"/>
        <v>5.0000000000000044E-2</v>
      </c>
      <c r="BM43" s="4">
        <f t="shared" si="63"/>
        <v>10</v>
      </c>
      <c r="BN43" s="4">
        <f t="shared" si="64"/>
        <v>0</v>
      </c>
      <c r="BO43" s="4">
        <f t="shared" si="65"/>
        <v>0.95</v>
      </c>
      <c r="BP43" s="4">
        <f t="shared" si="66"/>
        <v>0</v>
      </c>
      <c r="BQ43" s="4">
        <f>IFERROR('Character Sheet'!IQ42+VLOOKUP(BA43,MaterialChart,5,FALSE),"")</f>
        <v>0</v>
      </c>
      <c r="BR43" s="4">
        <f t="shared" si="67"/>
        <v>0</v>
      </c>
      <c r="BS43" s="4">
        <f t="shared" si="75"/>
        <v>0</v>
      </c>
      <c r="BT43" s="4">
        <f t="shared" si="68"/>
        <v>1.2</v>
      </c>
      <c r="BU43" s="4">
        <f t="shared" si="69"/>
        <v>1</v>
      </c>
      <c r="BV43" s="4">
        <f t="shared" si="70"/>
        <v>1</v>
      </c>
      <c r="BW43" s="4">
        <f>IFERROR(ROUNDUP((BE43*(BB43-AT43))+(BL43*(BI43-AX43))+(BT43*(((100+(BD43+IF(BE43=1,0,BK43))+(4*BR43))/100)))*'Character Sheet'!GT42,3),"")</f>
        <v>1.2</v>
      </c>
      <c r="BX43" s="4" t="str">
        <f t="shared" si="93"/>
        <v>$1.2</v>
      </c>
      <c r="BY43" s="8"/>
      <c r="BZ43" s="4"/>
      <c r="CA43" s="4"/>
      <c r="CB43" s="4"/>
      <c r="CC43" s="4"/>
      <c r="CD43" s="4"/>
      <c r="CE43" s="4"/>
      <c r="CF43" s="4"/>
      <c r="CG43" s="4"/>
      <c r="CH43" s="4"/>
      <c r="CI43" s="4"/>
      <c r="CJ43" s="4"/>
      <c r="CK43" s="4"/>
      <c r="CL43" s="4"/>
      <c r="CM43" s="4"/>
      <c r="CN43" s="4"/>
      <c r="CO43" s="4"/>
      <c r="CP43" s="4"/>
      <c r="CQ43" s="4"/>
      <c r="CR43" s="4"/>
      <c r="CS43" s="4"/>
      <c r="CT43" s="4"/>
      <c r="CU43" s="4"/>
      <c r="CV43" s="4"/>
      <c r="DH43" s="4" t="str">
        <f t="shared" si="41"/>
        <v/>
      </c>
      <c r="DI43">
        <v>6</v>
      </c>
      <c r="DJ43" s="3" t="str">
        <f>'Character Sheet'!FB42</f>
        <v>Ammunition Pouch</v>
      </c>
      <c r="DK43" s="4">
        <f t="shared" si="77"/>
        <v>0</v>
      </c>
      <c r="DL43" s="4" t="str">
        <f>IFERROR(IF(DK43=0,"",VLOOKUP(DK43,Skills!$N$72:$AF$107,19,FALSE)),"")</f>
        <v/>
      </c>
      <c r="DM43" s="4">
        <f>IFERROR(VLOOKUP($DJ43,ItemChart,18,FALSE)+'Character Sheet'!IJ42,0)</f>
        <v>0</v>
      </c>
      <c r="DN43" s="4" t="str">
        <f t="shared" si="92"/>
        <v/>
      </c>
      <c r="DO43" s="4" t="str">
        <f>IFERROR(DN43+0.41,"")</f>
        <v/>
      </c>
      <c r="DP43" s="4">
        <f t="shared" si="43"/>
        <v>0</v>
      </c>
      <c r="DQ43" s="4">
        <f t="shared" si="78"/>
        <v>1</v>
      </c>
      <c r="DR43" s="4">
        <f t="shared" si="79"/>
        <v>0</v>
      </c>
      <c r="DS43" s="4">
        <f t="shared" si="80"/>
        <v>6</v>
      </c>
      <c r="DT43" s="4">
        <f t="shared" si="81"/>
        <v>0</v>
      </c>
      <c r="DU43" s="4">
        <f t="shared" si="82"/>
        <v>0</v>
      </c>
      <c r="DV43" s="4" t="str">
        <f>VLOOKUP((VLOOKUP((VLOOKUP('Character Creation'!$Z$11,RaceChart,20,FALSE)&amp;" "&amp;VLOOKUP('Character Creation'!$Z$11,RaceChart,21,FALSE)),Charts!$H$2:$J$14,3,FALSE)+DU43),Charts!$J$2:$N$14,5,FALSE)</f>
        <v>M</v>
      </c>
      <c r="DW43" s="4" t="str">
        <f>VLOOKUP(DV43,Charts!$N$2:$Q$14,4,FALSE)</f>
        <v>(5)</v>
      </c>
      <c r="DX43" s="4" t="str">
        <f t="shared" si="83"/>
        <v>M(5) 0</v>
      </c>
      <c r="DY43" s="4">
        <f t="shared" si="84"/>
        <v>0</v>
      </c>
      <c r="DZ43" s="4" t="str">
        <f t="shared" si="85"/>
        <v/>
      </c>
      <c r="EA43" s="4" t="e">
        <f>ROUNDDOWN(VLOOKUP(DK43,Skills!$N$72:$S$107,6,FALSE)/5,0)</f>
        <v>#N/A</v>
      </c>
      <c r="EB43" s="4">
        <f t="shared" si="86"/>
        <v>0</v>
      </c>
      <c r="EC43" s="4" t="str">
        <f t="shared" si="87"/>
        <v>+0</v>
      </c>
      <c r="ED43" s="4" t="e">
        <f>VLOOKUP(DJ43,'Character Sheet'!$FB$21:$HQ$35,61,FALSE)</f>
        <v>#N/A</v>
      </c>
      <c r="EE43" s="4" t="str">
        <f t="shared" si="88"/>
        <v>- -</v>
      </c>
      <c r="EF43" s="4" t="str">
        <f t="shared" si="89"/>
        <v>- -</v>
      </c>
      <c r="EG43" s="4" t="e">
        <f>VLOOKUP(DR43,Items!$B$1156:$AA$1282,18,FALSE)</f>
        <v>#N/A</v>
      </c>
      <c r="EH43" s="4" t="e">
        <f>VLOOKUP(DJ43,'Character Sheet'!$E$26:$EZ$45,81,FALSE)</f>
        <v>#N/A</v>
      </c>
      <c r="EI43" s="4" t="e">
        <f>VLOOKUP(DJ43,'Character Sheet'!$E$26:$EZ$45,89,FALSE)</f>
        <v>#N/A</v>
      </c>
      <c r="EJ43" s="4" t="e">
        <f t="shared" si="90"/>
        <v>#N/A</v>
      </c>
    </row>
    <row r="44" spans="29:140" x14ac:dyDescent="0.25">
      <c r="AC44" s="8" t="str">
        <f>IFERROR(VLOOKUP('Character Creation'!$CI57,Skills!$H$2:$N$620,6,FALSE),"")</f>
        <v/>
      </c>
      <c r="AD44" s="4">
        <f>'Character Creation'!EH57</f>
        <v>0</v>
      </c>
      <c r="AG44">
        <v>43</v>
      </c>
      <c r="AH44" s="4" t="str">
        <f t="shared" si="5"/>
        <v/>
      </c>
      <c r="AI44" t="str">
        <f>IFERROR(VLOOKUP(AG44,Skills!$B$2:$M$620,12,FALSE),"")</f>
        <v/>
      </c>
      <c r="AJ44" s="4" t="str">
        <f>IFERROR(VLOOKUP(AG44,Skills!$B$2:$AF$620,31,FALSE),"")</f>
        <v/>
      </c>
      <c r="AK44" s="4" t="str">
        <f t="shared" si="91"/>
        <v/>
      </c>
      <c r="AL44" s="4">
        <v>4.2999999999999997E-2</v>
      </c>
      <c r="AM44" s="62" t="str">
        <f t="shared" si="6"/>
        <v/>
      </c>
      <c r="AN44" t="str">
        <f t="shared" ca="1" si="7"/>
        <v/>
      </c>
      <c r="AO44" s="4" t="str">
        <f ca="1">IFERROR(VLOOKUP(AG44,$AH$2:$AJ$451,3,FALSE)&amp;IF(ISNUMBER(SEARCH(", Written",AN44))," -R"&amp;VLOOKUP(AN44,Skills!$M$2:$S$620,7,FALSE),IF(ISNUMBER(SEARCH(", Spoken",AN44))," -R"&amp;VLOOKUP(AN44,Skills!$M$2:$S$620,7,FALSE),"")),"")</f>
        <v/>
      </c>
      <c r="AQ44">
        <v>41</v>
      </c>
      <c r="AR44" s="8" t="str">
        <f>'Character Sheet'!FB43</f>
        <v>Gunbelt &amp; Holster, Sturdy</v>
      </c>
      <c r="AS44" s="4" t="str">
        <f t="shared" si="17"/>
        <v>Heavy Cloth</v>
      </c>
      <c r="AT44" s="4">
        <f t="shared" si="18"/>
        <v>0.04</v>
      </c>
      <c r="AU44" s="4">
        <f t="shared" si="50"/>
        <v>12</v>
      </c>
      <c r="AV44" s="4">
        <f t="shared" si="51"/>
        <v>0</v>
      </c>
      <c r="AW44" s="4" t="str">
        <f t="shared" si="52"/>
        <v>Light Cloth</v>
      </c>
      <c r="AX44" s="4">
        <f t="shared" si="22"/>
        <v>0.02</v>
      </c>
      <c r="AY44" s="4">
        <f t="shared" si="53"/>
        <v>10</v>
      </c>
      <c r="AZ44" s="4">
        <f t="shared" si="54"/>
        <v>0</v>
      </c>
      <c r="BA44" s="4" t="str">
        <f>IFERROR('Character Sheet'!JK43,"")</f>
        <v>Heavy Cloth</v>
      </c>
      <c r="BB44" s="4">
        <f t="shared" si="25"/>
        <v>0.04</v>
      </c>
      <c r="BC44" s="4">
        <f t="shared" si="55"/>
        <v>0</v>
      </c>
      <c r="BD44" s="4">
        <f t="shared" si="56"/>
        <v>0</v>
      </c>
      <c r="BE44" s="4">
        <f t="shared" si="57"/>
        <v>1.7575000000000001</v>
      </c>
      <c r="BF44" s="4">
        <f t="shared" si="58"/>
        <v>12</v>
      </c>
      <c r="BG44" s="4">
        <f t="shared" si="59"/>
        <v>0</v>
      </c>
      <c r="BH44" s="4" t="str">
        <f>IFERROR('Character Sheet'!KC43,"")</f>
        <v>Light Cloth</v>
      </c>
      <c r="BI44" s="4">
        <f t="shared" si="29"/>
        <v>0.02</v>
      </c>
      <c r="BJ44" s="4">
        <f t="shared" si="60"/>
        <v>0</v>
      </c>
      <c r="BK44" s="4">
        <f t="shared" si="61"/>
        <v>0</v>
      </c>
      <c r="BL44" s="4">
        <f t="shared" si="62"/>
        <v>9.2500000000000027E-2</v>
      </c>
      <c r="BM44" s="4">
        <f t="shared" si="63"/>
        <v>10</v>
      </c>
      <c r="BN44" s="4">
        <f t="shared" si="64"/>
        <v>0</v>
      </c>
      <c r="BO44" s="4">
        <f t="shared" si="65"/>
        <v>0.95</v>
      </c>
      <c r="BP44" s="4">
        <f t="shared" si="66"/>
        <v>0</v>
      </c>
      <c r="BQ44" s="4">
        <f>IFERROR('Character Sheet'!IQ43+VLOOKUP(BA44,MaterialChart,5,FALSE),"")</f>
        <v>0</v>
      </c>
      <c r="BR44" s="4">
        <f t="shared" si="67"/>
        <v>0</v>
      </c>
      <c r="BS44" s="4">
        <f t="shared" si="75"/>
        <v>0</v>
      </c>
      <c r="BT44" s="4">
        <f t="shared" si="68"/>
        <v>2</v>
      </c>
      <c r="BU44" s="4">
        <f t="shared" si="69"/>
        <v>1.85</v>
      </c>
      <c r="BV44" s="4">
        <f t="shared" si="70"/>
        <v>1.8499999999999999</v>
      </c>
      <c r="BW44" s="4">
        <f>IFERROR(ROUNDUP((BE44*(BB44-AT44))+(BL44*(BI44-AX44))+(BT44*(((100+(BD44+IF(BE44=1,0,BK44))+(4*BR44))/100)))*'Character Sheet'!GT43,3),"")</f>
        <v>2</v>
      </c>
      <c r="BX44" s="4" t="str">
        <f t="shared" si="93"/>
        <v>$2</v>
      </c>
      <c r="BY44" s="8"/>
      <c r="BZ44" s="4"/>
      <c r="CA44" s="4"/>
      <c r="CB44" s="4"/>
      <c r="CC44" s="4"/>
      <c r="CD44" s="4"/>
      <c r="CE44" s="4"/>
      <c r="CF44" s="4"/>
      <c r="CG44" s="4"/>
      <c r="CH44" s="4"/>
      <c r="CI44" s="4"/>
      <c r="CJ44" s="4"/>
      <c r="CK44" s="4"/>
      <c r="CL44" s="4"/>
      <c r="CM44" s="4"/>
      <c r="CN44" s="4"/>
      <c r="CO44" s="4"/>
      <c r="CP44" s="4"/>
      <c r="CQ44" s="4"/>
      <c r="CR44" s="4"/>
      <c r="CS44" s="4"/>
      <c r="CT44" s="4"/>
      <c r="CU44" s="4"/>
      <c r="CV44" s="4"/>
      <c r="DH44" s="4" t="str">
        <f t="shared" si="41"/>
        <v/>
      </c>
      <c r="DI44">
        <v>7</v>
      </c>
      <c r="DJ44" s="3" t="str">
        <f>'Character Sheet'!FB43</f>
        <v>Gunbelt &amp; Holster, Sturdy</v>
      </c>
      <c r="DK44" s="4">
        <f t="shared" si="77"/>
        <v>0</v>
      </c>
      <c r="DL44" s="4" t="str">
        <f>IFERROR(IF(DK44=0,"",VLOOKUP(DK44,Skills!$N$72:$AF$107,19,FALSE)),"")</f>
        <v/>
      </c>
      <c r="DM44" s="4">
        <f>IFERROR(VLOOKUP($DJ44,ItemChart,18,FALSE)+'Character Sheet'!IJ43,0)</f>
        <v>0</v>
      </c>
      <c r="DN44" s="4" t="str">
        <f t="shared" si="92"/>
        <v/>
      </c>
      <c r="DO44" s="4" t="str">
        <f>IFERROR(DN44+0.42,"")</f>
        <v/>
      </c>
      <c r="DP44" s="4">
        <f t="shared" si="43"/>
        <v>0</v>
      </c>
      <c r="DQ44" s="4">
        <f t="shared" si="78"/>
        <v>1</v>
      </c>
      <c r="DR44" s="4">
        <f t="shared" si="79"/>
        <v>0</v>
      </c>
      <c r="DS44" s="4">
        <f t="shared" si="80"/>
        <v>7</v>
      </c>
      <c r="DT44" s="4">
        <f t="shared" si="81"/>
        <v>0</v>
      </c>
      <c r="DU44" s="4">
        <f t="shared" si="82"/>
        <v>0</v>
      </c>
      <c r="DV44" s="4" t="str">
        <f>VLOOKUP((VLOOKUP((VLOOKUP('Character Creation'!$Z$11,RaceChart,20,FALSE)&amp;" "&amp;VLOOKUP('Character Creation'!$Z$11,RaceChart,21,FALSE)),Charts!$H$2:$J$14,3,FALSE)+DU44),Charts!$J$2:$N$14,5,FALSE)</f>
        <v>M</v>
      </c>
      <c r="DW44" s="4" t="str">
        <f>VLOOKUP(DV44,Charts!$N$2:$Q$14,4,FALSE)</f>
        <v>(5)</v>
      </c>
      <c r="DX44" s="4" t="str">
        <f t="shared" si="83"/>
        <v>M(5) 0</v>
      </c>
      <c r="DY44" s="4">
        <f t="shared" si="84"/>
        <v>0</v>
      </c>
      <c r="DZ44" s="4" t="str">
        <f t="shared" si="85"/>
        <v/>
      </c>
      <c r="EA44" s="4" t="e">
        <f>ROUNDDOWN(VLOOKUP(DK44,Skills!$N$72:$S$107,6,FALSE)/5,0)</f>
        <v>#N/A</v>
      </c>
      <c r="EB44" s="4">
        <f t="shared" si="86"/>
        <v>0</v>
      </c>
      <c r="EC44" s="4" t="str">
        <f t="shared" si="87"/>
        <v>+0</v>
      </c>
      <c r="ED44" s="4" t="e">
        <f>VLOOKUP(DJ44,'Character Sheet'!$FB$21:$HQ$35,61,FALSE)</f>
        <v>#N/A</v>
      </c>
      <c r="EE44" s="4" t="str">
        <f t="shared" si="88"/>
        <v>- -</v>
      </c>
      <c r="EF44" s="4" t="str">
        <f t="shared" si="89"/>
        <v>- -</v>
      </c>
      <c r="EG44" s="4" t="e">
        <f>VLOOKUP(DR44,Items!$B$1156:$AA$1282,18,FALSE)</f>
        <v>#N/A</v>
      </c>
      <c r="EH44" s="4" t="e">
        <f>VLOOKUP(DJ44,'Character Sheet'!$E$26:$EZ$45,81,FALSE)</f>
        <v>#N/A</v>
      </c>
      <c r="EI44" s="4" t="e">
        <f>VLOOKUP(DJ44,'Character Sheet'!$E$26:$EZ$45,89,FALSE)</f>
        <v>#N/A</v>
      </c>
      <c r="EJ44" s="4" t="e">
        <f t="shared" si="90"/>
        <v>#N/A</v>
      </c>
    </row>
    <row r="45" spans="29:140" x14ac:dyDescent="0.25">
      <c r="AC45" s="8" t="str">
        <f>IFERROR(VLOOKUP('Character Creation'!$CI58,Skills!$H$2:$N$620,6,FALSE),"")</f>
        <v/>
      </c>
      <c r="AD45" s="4">
        <f>'Character Creation'!EH58</f>
        <v>0</v>
      </c>
      <c r="AG45">
        <v>44</v>
      </c>
      <c r="AH45" s="4" t="str">
        <f t="shared" si="5"/>
        <v/>
      </c>
      <c r="AI45" t="str">
        <f>IFERROR(VLOOKUP(AG45,Skills!$B$2:$M$620,12,FALSE),"")</f>
        <v/>
      </c>
      <c r="AJ45" s="4" t="str">
        <f>IFERROR(VLOOKUP(AG45,Skills!$B$2:$AF$620,31,FALSE),"")</f>
        <v/>
      </c>
      <c r="AK45" s="4" t="str">
        <f t="shared" si="91"/>
        <v/>
      </c>
      <c r="AL45" s="4">
        <v>4.3999999999999997E-2</v>
      </c>
      <c r="AM45" s="62" t="str">
        <f t="shared" si="6"/>
        <v/>
      </c>
      <c r="AN45" t="str">
        <f t="shared" ca="1" si="7"/>
        <v/>
      </c>
      <c r="AO45" s="4" t="str">
        <f ca="1">IFERROR(VLOOKUP(AG45,$AH$2:$AJ$451,3,FALSE)&amp;IF(ISNUMBER(SEARCH(", Written",AN45))," -R"&amp;VLOOKUP(AN45,Skills!$M$2:$S$620,7,FALSE),IF(ISNUMBER(SEARCH(", Spoken",AN45))," -R"&amp;VLOOKUP(AN45,Skills!$M$2:$S$620,7,FALSE),"")),"")</f>
        <v/>
      </c>
      <c r="AQ45">
        <v>42</v>
      </c>
      <c r="AR45" s="8" t="str">
        <f>'Character Sheet'!FB44</f>
        <v>Belt Scabbard, Plain</v>
      </c>
      <c r="AS45" s="4" t="str">
        <f t="shared" si="17"/>
        <v>Heavy Cloth</v>
      </c>
      <c r="AT45" s="4">
        <f t="shared" si="18"/>
        <v>0.04</v>
      </c>
      <c r="AU45" s="4">
        <f t="shared" si="50"/>
        <v>12</v>
      </c>
      <c r="AV45" s="4">
        <f t="shared" si="51"/>
        <v>0</v>
      </c>
      <c r="AW45" s="4" t="str">
        <f t="shared" si="52"/>
        <v>Light Cloth</v>
      </c>
      <c r="AX45" s="4">
        <f t="shared" si="22"/>
        <v>0.02</v>
      </c>
      <c r="AY45" s="4">
        <f t="shared" si="53"/>
        <v>10</v>
      </c>
      <c r="AZ45" s="4">
        <f t="shared" si="54"/>
        <v>0</v>
      </c>
      <c r="BA45" s="4" t="str">
        <f>IFERROR('Character Sheet'!JK44,"")</f>
        <v>Heavy Cloth</v>
      </c>
      <c r="BB45" s="4">
        <f t="shared" si="25"/>
        <v>0.04</v>
      </c>
      <c r="BC45" s="4">
        <f t="shared" si="55"/>
        <v>0</v>
      </c>
      <c r="BD45" s="4">
        <f t="shared" si="56"/>
        <v>0</v>
      </c>
      <c r="BE45" s="4">
        <f t="shared" si="57"/>
        <v>1.4249999999999998</v>
      </c>
      <c r="BF45" s="4">
        <f t="shared" si="58"/>
        <v>12</v>
      </c>
      <c r="BG45" s="4">
        <f t="shared" si="59"/>
        <v>0</v>
      </c>
      <c r="BH45" s="4" t="str">
        <f>IFERROR('Character Sheet'!KC44,"")</f>
        <v>Light Cloth</v>
      </c>
      <c r="BI45" s="4">
        <f t="shared" si="29"/>
        <v>0.02</v>
      </c>
      <c r="BJ45" s="4">
        <f t="shared" si="60"/>
        <v>0</v>
      </c>
      <c r="BK45" s="4">
        <f t="shared" si="61"/>
        <v>0</v>
      </c>
      <c r="BL45" s="4">
        <f t="shared" si="62"/>
        <v>7.5000000000000178E-2</v>
      </c>
      <c r="BM45" s="4">
        <f t="shared" si="63"/>
        <v>10</v>
      </c>
      <c r="BN45" s="4">
        <f t="shared" si="64"/>
        <v>0</v>
      </c>
      <c r="BO45" s="4">
        <f t="shared" si="65"/>
        <v>0.95</v>
      </c>
      <c r="BP45" s="4">
        <f t="shared" si="66"/>
        <v>0</v>
      </c>
      <c r="BQ45" s="4">
        <f>IFERROR('Character Sheet'!IQ44+VLOOKUP(BA45,MaterialChart,5,FALSE),"")</f>
        <v>0</v>
      </c>
      <c r="BR45" s="4">
        <f t="shared" si="67"/>
        <v>0</v>
      </c>
      <c r="BS45" s="4">
        <f t="shared" si="75"/>
        <v>0</v>
      </c>
      <c r="BT45" s="4">
        <f t="shared" si="68"/>
        <v>1.25</v>
      </c>
      <c r="BU45" s="4">
        <f t="shared" si="69"/>
        <v>1.5</v>
      </c>
      <c r="BV45" s="4">
        <f t="shared" si="70"/>
        <v>1.5</v>
      </c>
      <c r="BW45" s="4">
        <f>IFERROR(ROUNDUP((BE45*(BB45-AT45))+(BL45*(BI45-AX45))+(BT45*(((100+(BD45+IF(BE45=1,0,BK45))+(4*BR45))/100)))*'Character Sheet'!GT44,3),"")</f>
        <v>1.25</v>
      </c>
      <c r="BX45" s="4" t="str">
        <f t="shared" si="93"/>
        <v>$1.25</v>
      </c>
      <c r="BY45" s="8"/>
      <c r="BZ45" s="4"/>
      <c r="CA45" s="4"/>
      <c r="CB45" s="4"/>
      <c r="CC45" s="4"/>
      <c r="CD45" s="4"/>
      <c r="CE45" s="4"/>
      <c r="CF45" s="4"/>
      <c r="CG45" s="4"/>
      <c r="CH45" s="4"/>
      <c r="CI45" s="4"/>
      <c r="CJ45" s="4"/>
      <c r="CK45" s="4"/>
      <c r="CL45" s="4"/>
      <c r="CM45" s="4"/>
      <c r="CN45" s="4"/>
      <c r="CO45" s="4"/>
      <c r="CP45" s="4"/>
      <c r="CQ45" s="4"/>
      <c r="CR45" s="4"/>
      <c r="CS45" s="4"/>
      <c r="CT45" s="4"/>
      <c r="CU45" s="4"/>
      <c r="CV45" s="4"/>
      <c r="DH45" s="4" t="str">
        <f t="shared" si="41"/>
        <v/>
      </c>
      <c r="DI45">
        <v>8</v>
      </c>
      <c r="DJ45" s="3" t="str">
        <f>'Character Sheet'!FB44</f>
        <v>Belt Scabbard, Plain</v>
      </c>
      <c r="DK45" s="4">
        <f t="shared" si="77"/>
        <v>0</v>
      </c>
      <c r="DL45" s="4" t="str">
        <f>IFERROR(IF(DK45=0,"",VLOOKUP(DK45,Skills!$N$72:$AF$107,19,FALSE)),"")</f>
        <v/>
      </c>
      <c r="DM45" s="4">
        <f>IFERROR(VLOOKUP($DJ45,ItemChart,18,FALSE)+'Character Sheet'!IJ44,0)</f>
        <v>0</v>
      </c>
      <c r="DN45" s="4" t="str">
        <f t="shared" si="92"/>
        <v/>
      </c>
      <c r="DO45" s="4" t="str">
        <f>IFERROR(DN45+0.43,"")</f>
        <v/>
      </c>
      <c r="DP45" s="4">
        <f t="shared" si="43"/>
        <v>0</v>
      </c>
      <c r="DQ45" s="4">
        <f t="shared" si="78"/>
        <v>1</v>
      </c>
      <c r="DR45" s="4">
        <f t="shared" si="79"/>
        <v>0</v>
      </c>
      <c r="DS45" s="4">
        <f t="shared" si="80"/>
        <v>8</v>
      </c>
      <c r="DT45" s="4">
        <f t="shared" si="81"/>
        <v>0</v>
      </c>
      <c r="DU45" s="4">
        <f t="shared" si="82"/>
        <v>0</v>
      </c>
      <c r="DV45" s="4" t="str">
        <f>VLOOKUP((VLOOKUP((VLOOKUP('Character Creation'!$Z$11,RaceChart,20,FALSE)&amp;" "&amp;VLOOKUP('Character Creation'!$Z$11,RaceChart,21,FALSE)),Charts!$H$2:$J$14,3,FALSE)+DU45),Charts!$J$2:$N$14,5,FALSE)</f>
        <v>M</v>
      </c>
      <c r="DW45" s="4" t="str">
        <f>VLOOKUP(DV45,Charts!$N$2:$Q$14,4,FALSE)</f>
        <v>(5)</v>
      </c>
      <c r="DX45" s="4" t="str">
        <f t="shared" si="83"/>
        <v>M(5) 0</v>
      </c>
      <c r="DY45" s="4">
        <f t="shared" si="84"/>
        <v>0</v>
      </c>
      <c r="DZ45" s="4" t="str">
        <f t="shared" si="85"/>
        <v/>
      </c>
      <c r="EA45" s="4" t="e">
        <f>ROUNDDOWN(VLOOKUP(DK45,Skills!$N$72:$S$107,6,FALSE)/5,0)</f>
        <v>#N/A</v>
      </c>
      <c r="EB45" s="4">
        <f t="shared" si="86"/>
        <v>0</v>
      </c>
      <c r="EC45" s="4" t="str">
        <f t="shared" si="87"/>
        <v>+0</v>
      </c>
      <c r="ED45" s="4" t="e">
        <f>VLOOKUP(DJ45,'Character Sheet'!$FB$21:$HQ$35,61,FALSE)</f>
        <v>#N/A</v>
      </c>
      <c r="EE45" s="4" t="str">
        <f t="shared" si="88"/>
        <v>- -</v>
      </c>
      <c r="EF45" s="4" t="str">
        <f t="shared" si="89"/>
        <v>- -</v>
      </c>
      <c r="EG45" s="4" t="e">
        <f>VLOOKUP(DR45,Items!$B$1156:$AA$1282,18,FALSE)</f>
        <v>#N/A</v>
      </c>
      <c r="EH45" s="4" t="e">
        <f>VLOOKUP(DJ45,'Character Sheet'!$E$26:$EZ$45,81,FALSE)</f>
        <v>#N/A</v>
      </c>
      <c r="EI45" s="4" t="e">
        <f>VLOOKUP(DJ45,'Character Sheet'!$E$26:$EZ$45,89,FALSE)</f>
        <v>#N/A</v>
      </c>
      <c r="EJ45" s="4" t="e">
        <f t="shared" si="90"/>
        <v>#N/A</v>
      </c>
    </row>
    <row r="46" spans="29:140" x14ac:dyDescent="0.25">
      <c r="AC46" s="8" t="str">
        <f>IFERROR(VLOOKUP('Character Creation'!$CI59,Skills!$H$2:$N$620,6,FALSE),"")</f>
        <v/>
      </c>
      <c r="AD46" s="4">
        <f>'Character Creation'!EH59</f>
        <v>0</v>
      </c>
      <c r="AG46">
        <v>45</v>
      </c>
      <c r="AH46" s="4" t="str">
        <f t="shared" si="5"/>
        <v/>
      </c>
      <c r="AI46" t="str">
        <f>IFERROR(VLOOKUP(AG46,Skills!$B$2:$M$620,12,FALSE),"")</f>
        <v/>
      </c>
      <c r="AJ46" s="4" t="str">
        <f>IFERROR(VLOOKUP(AG46,Skills!$B$2:$AF$620,31,FALSE),"")</f>
        <v/>
      </c>
      <c r="AK46" s="4" t="str">
        <f t="shared" si="91"/>
        <v/>
      </c>
      <c r="AL46" s="4">
        <v>4.4999999999999998E-2</v>
      </c>
      <c r="AM46" s="62" t="str">
        <f t="shared" si="6"/>
        <v/>
      </c>
      <c r="AN46" t="str">
        <f t="shared" ca="1" si="7"/>
        <v/>
      </c>
      <c r="AO46" s="4" t="str">
        <f ca="1">IFERROR(VLOOKUP(AG46,$AH$2:$AJ$451,3,FALSE)&amp;IF(ISNUMBER(SEARCH(", Written",AN46))," -R"&amp;VLOOKUP(AN46,Skills!$M$2:$S$620,7,FALSE),IF(ISNUMBER(SEARCH(", Spoken",AN46))," -R"&amp;VLOOKUP(AN46,Skills!$M$2:$S$620,7,FALSE),"")),"")</f>
        <v/>
      </c>
      <c r="AQ46">
        <v>43</v>
      </c>
      <c r="AR46" s="8">
        <f>'Character Sheet'!FB45</f>
        <v>0</v>
      </c>
      <c r="AS46" s="4" t="str">
        <f t="shared" si="17"/>
        <v/>
      </c>
      <c r="AT46" s="4" t="str">
        <f t="shared" si="18"/>
        <v/>
      </c>
      <c r="AU46" s="4" t="str">
        <f t="shared" si="50"/>
        <v/>
      </c>
      <c r="AV46" s="4" t="str">
        <f t="shared" si="51"/>
        <v/>
      </c>
      <c r="AW46" s="4" t="str">
        <f t="shared" si="52"/>
        <v/>
      </c>
      <c r="AX46" s="4" t="str">
        <f t="shared" si="22"/>
        <v/>
      </c>
      <c r="AY46" s="4" t="str">
        <f t="shared" si="53"/>
        <v/>
      </c>
      <c r="AZ46" s="4" t="str">
        <f t="shared" si="54"/>
        <v/>
      </c>
      <c r="BA46" s="4" t="str">
        <f>IFERROR('Character Sheet'!JK45,"")</f>
        <v/>
      </c>
      <c r="BB46" s="4" t="str">
        <f t="shared" si="25"/>
        <v/>
      </c>
      <c r="BC46" s="4" t="str">
        <f t="shared" si="55"/>
        <v/>
      </c>
      <c r="BD46" s="4" t="str">
        <f t="shared" si="56"/>
        <v/>
      </c>
      <c r="BE46" s="4" t="str">
        <f t="shared" si="57"/>
        <v/>
      </c>
      <c r="BF46" s="4" t="str">
        <f t="shared" si="58"/>
        <v/>
      </c>
      <c r="BG46" s="4" t="str">
        <f t="shared" si="59"/>
        <v/>
      </c>
      <c r="BH46" s="4" t="str">
        <f>IFERROR('Character Sheet'!KC45,"")</f>
        <v/>
      </c>
      <c r="BI46" s="4" t="str">
        <f t="shared" si="29"/>
        <v/>
      </c>
      <c r="BJ46" s="4" t="str">
        <f t="shared" si="60"/>
        <v/>
      </c>
      <c r="BK46" s="4" t="str">
        <f t="shared" si="61"/>
        <v/>
      </c>
      <c r="BL46" s="4" t="str">
        <f t="shared" si="62"/>
        <v/>
      </c>
      <c r="BM46" s="4" t="str">
        <f t="shared" si="63"/>
        <v/>
      </c>
      <c r="BN46" s="4" t="str">
        <f t="shared" si="64"/>
        <v/>
      </c>
      <c r="BO46" s="4" t="str">
        <f t="shared" si="65"/>
        <v/>
      </c>
      <c r="BP46" s="4" t="str">
        <f t="shared" si="66"/>
        <v/>
      </c>
      <c r="BQ46" s="4" t="str">
        <f>IFERROR('Character Sheet'!IQ45+VLOOKUP(BA46,MaterialChart,5,FALSE),"")</f>
        <v/>
      </c>
      <c r="BR46" s="4" t="str">
        <f t="shared" si="67"/>
        <v/>
      </c>
      <c r="BS46" s="4">
        <f t="shared" si="75"/>
        <v>0</v>
      </c>
      <c r="BT46" s="4" t="str">
        <f t="shared" si="68"/>
        <v/>
      </c>
      <c r="BU46" s="4" t="str">
        <f t="shared" si="69"/>
        <v/>
      </c>
      <c r="BV46" s="4" t="str">
        <f t="shared" si="70"/>
        <v/>
      </c>
      <c r="BW46" s="4" t="str">
        <f>IFERROR(ROUNDUP((BE46*(BB46-AT46))+(BL46*(BI46-AX46))+(BT46*(((100+(BD46+IF(BE46=1,0,BK46))+(4*BR46))/100)))*'Character Sheet'!GT45,3),"")</f>
        <v/>
      </c>
      <c r="BX46" s="4" t="str">
        <f t="shared" si="93"/>
        <v/>
      </c>
      <c r="BY46" s="8"/>
      <c r="BZ46" s="4"/>
      <c r="CA46" s="4"/>
      <c r="CB46" s="4"/>
      <c r="CC46" s="4"/>
      <c r="CD46" s="4"/>
      <c r="CE46" s="4"/>
      <c r="CF46" s="4"/>
      <c r="CG46" s="4"/>
      <c r="CH46" s="4"/>
      <c r="CI46" s="4"/>
      <c r="CJ46" s="4"/>
      <c r="CK46" s="4"/>
      <c r="CL46" s="4"/>
      <c r="CM46" s="4"/>
      <c r="CN46" s="4"/>
      <c r="CO46" s="4"/>
      <c r="CP46" s="4"/>
      <c r="CQ46" s="4"/>
      <c r="CR46" s="4"/>
      <c r="CS46" s="4"/>
      <c r="CT46" s="4"/>
      <c r="CU46" s="4"/>
      <c r="CV46" s="4"/>
      <c r="DH46" s="4" t="str">
        <f t="shared" si="41"/>
        <v/>
      </c>
      <c r="DI46">
        <v>9</v>
      </c>
      <c r="DJ46" s="3">
        <f>'Character Sheet'!FB45</f>
        <v>0</v>
      </c>
      <c r="DK46" s="4" t="str">
        <f t="shared" si="77"/>
        <v/>
      </c>
      <c r="DL46" s="4" t="str">
        <f>IFERROR(IF(DK46=0,"",VLOOKUP(DK46,Skills!$N$72:$AF$107,19,FALSE)),"")</f>
        <v/>
      </c>
      <c r="DM46" s="4">
        <f>IFERROR(VLOOKUP($DJ46,ItemChart,18,FALSE)+'Character Sheet'!IJ45,0)</f>
        <v>0</v>
      </c>
      <c r="DN46" s="4" t="str">
        <f t="shared" si="92"/>
        <v/>
      </c>
      <c r="DO46" s="4" t="str">
        <f>IFERROR(DN46+0.44,"")</f>
        <v/>
      </c>
      <c r="DP46" s="4">
        <f t="shared" si="43"/>
        <v>0</v>
      </c>
      <c r="DQ46" s="4">
        <f t="shared" si="78"/>
        <v>1</v>
      </c>
      <c r="DR46" s="4" t="e">
        <f t="shared" si="79"/>
        <v>#N/A</v>
      </c>
      <c r="DS46" s="4">
        <f t="shared" si="80"/>
        <v>9</v>
      </c>
      <c r="DT46" s="4" t="str">
        <f t="shared" si="81"/>
        <v/>
      </c>
      <c r="DU46" s="4" t="str">
        <f t="shared" si="82"/>
        <v/>
      </c>
      <c r="DV46" s="4" t="e">
        <f>VLOOKUP((VLOOKUP((VLOOKUP('Character Creation'!$Z$11,RaceChart,20,FALSE)&amp;" "&amp;VLOOKUP('Character Creation'!$Z$11,RaceChart,21,FALSE)),Charts!$H$2:$J$14,3,FALSE)+DU46),Charts!$J$2:$N$14,5,FALSE)</f>
        <v>#VALUE!</v>
      </c>
      <c r="DW46" s="4" t="e">
        <f>VLOOKUP(DV46,Charts!$N$2:$Q$14,4,FALSE)</f>
        <v>#VALUE!</v>
      </c>
      <c r="DX46" s="4" t="str">
        <f t="shared" si="83"/>
        <v/>
      </c>
      <c r="DY46" s="4" t="str">
        <f t="shared" si="84"/>
        <v/>
      </c>
      <c r="DZ46" s="4" t="str">
        <f t="shared" si="85"/>
        <v/>
      </c>
      <c r="EA46" s="4" t="e">
        <f>ROUNDDOWN(VLOOKUP(DK46,Skills!$N$72:$S$107,6,FALSE)/5,0)</f>
        <v>#N/A</v>
      </c>
      <c r="EB46" s="4" t="str">
        <f t="shared" si="86"/>
        <v/>
      </c>
      <c r="EC46" s="4" t="str">
        <f t="shared" si="87"/>
        <v>+</v>
      </c>
      <c r="ED46" s="4" t="e">
        <f>VLOOKUP(DJ46,'Character Sheet'!$FB$21:$HQ$35,61,FALSE)</f>
        <v>#N/A</v>
      </c>
      <c r="EE46" s="4" t="str">
        <f t="shared" si="88"/>
        <v/>
      </c>
      <c r="EF46" s="4" t="str">
        <f t="shared" si="89"/>
        <v/>
      </c>
      <c r="EG46" s="4" t="e">
        <f>VLOOKUP(DR46,Items!$B$1156:$AA$1282,18,FALSE)</f>
        <v>#N/A</v>
      </c>
      <c r="EH46" s="4" t="e">
        <f>VLOOKUP(DJ46,'Character Sheet'!$E$26:$EZ$45,81,FALSE)</f>
        <v>#N/A</v>
      </c>
      <c r="EI46" s="4" t="e">
        <f>VLOOKUP(DJ46,'Character Sheet'!$E$26:$EZ$45,89,FALSE)</f>
        <v>#N/A</v>
      </c>
      <c r="EJ46" s="4" t="e">
        <f t="shared" si="90"/>
        <v>#N/A</v>
      </c>
    </row>
    <row r="47" spans="29:140" x14ac:dyDescent="0.25">
      <c r="AC47" s="8" t="str">
        <f>IFERROR(VLOOKUP('Character Creation'!$CI60,Skills!$H$2:$N$620,6,FALSE),"")</f>
        <v/>
      </c>
      <c r="AD47" s="4">
        <f>'Character Creation'!EH60</f>
        <v>0</v>
      </c>
      <c r="AG47">
        <v>46</v>
      </c>
      <c r="AH47" s="4" t="str">
        <f t="shared" si="5"/>
        <v/>
      </c>
      <c r="AI47" t="str">
        <f>IFERROR(VLOOKUP(AG47,Skills!$B$2:$M$620,12,FALSE),"")</f>
        <v/>
      </c>
      <c r="AJ47" s="4" t="str">
        <f>IFERROR(VLOOKUP(AG47,Skills!$B$2:$AF$620,31,FALSE),"")</f>
        <v/>
      </c>
      <c r="AK47" s="4" t="str">
        <f t="shared" si="91"/>
        <v/>
      </c>
      <c r="AL47" s="4">
        <v>4.5999999999999999E-2</v>
      </c>
      <c r="AM47" s="62" t="str">
        <f t="shared" si="6"/>
        <v/>
      </c>
      <c r="AN47" t="str">
        <f t="shared" ca="1" si="7"/>
        <v/>
      </c>
      <c r="AO47" s="4" t="str">
        <f ca="1">IFERROR(VLOOKUP(AG47,$AH$2:$AJ$451,3,FALSE)&amp;IF(ISNUMBER(SEARCH(", Written",AN47))," -R"&amp;VLOOKUP(AN47,Skills!$M$2:$S$620,7,FALSE),IF(ISNUMBER(SEARCH(", Spoken",AN47))," -R"&amp;VLOOKUP(AN47,Skills!$M$2:$S$620,7,FALSE),"")),"")</f>
        <v/>
      </c>
      <c r="AQ47">
        <v>44</v>
      </c>
      <c r="AR47" s="8">
        <f>'Character Sheet'!FB46</f>
        <v>0</v>
      </c>
      <c r="AS47" s="4" t="str">
        <f t="shared" si="17"/>
        <v/>
      </c>
      <c r="AT47" s="4" t="str">
        <f t="shared" si="18"/>
        <v/>
      </c>
      <c r="AU47" s="4" t="str">
        <f t="shared" si="50"/>
        <v/>
      </c>
      <c r="AV47" s="4" t="str">
        <f t="shared" si="51"/>
        <v/>
      </c>
      <c r="AW47" s="4" t="str">
        <f t="shared" si="52"/>
        <v/>
      </c>
      <c r="AX47" s="4" t="str">
        <f t="shared" si="22"/>
        <v/>
      </c>
      <c r="AY47" s="4" t="str">
        <f t="shared" si="53"/>
        <v/>
      </c>
      <c r="AZ47" s="4" t="str">
        <f t="shared" si="54"/>
        <v/>
      </c>
      <c r="BA47" s="4" t="str">
        <f>IFERROR('Character Sheet'!JK46,"")</f>
        <v/>
      </c>
      <c r="BB47" s="4" t="str">
        <f t="shared" si="25"/>
        <v/>
      </c>
      <c r="BC47" s="4" t="str">
        <f t="shared" si="55"/>
        <v/>
      </c>
      <c r="BD47" s="4" t="str">
        <f t="shared" si="56"/>
        <v/>
      </c>
      <c r="BE47" s="4" t="str">
        <f t="shared" si="57"/>
        <v/>
      </c>
      <c r="BF47" s="4" t="str">
        <f t="shared" si="58"/>
        <v/>
      </c>
      <c r="BG47" s="4" t="str">
        <f t="shared" si="59"/>
        <v/>
      </c>
      <c r="BH47" s="4" t="str">
        <f>IFERROR('Character Sheet'!KC46,"")</f>
        <v/>
      </c>
      <c r="BI47" s="4" t="str">
        <f t="shared" si="29"/>
        <v/>
      </c>
      <c r="BJ47" s="4" t="str">
        <f t="shared" si="60"/>
        <v/>
      </c>
      <c r="BK47" s="4" t="str">
        <f t="shared" si="61"/>
        <v/>
      </c>
      <c r="BL47" s="4" t="str">
        <f t="shared" si="62"/>
        <v/>
      </c>
      <c r="BM47" s="4" t="str">
        <f t="shared" si="63"/>
        <v/>
      </c>
      <c r="BN47" s="4" t="str">
        <f t="shared" si="64"/>
        <v/>
      </c>
      <c r="BO47" s="4" t="str">
        <f t="shared" si="65"/>
        <v/>
      </c>
      <c r="BP47" s="4" t="str">
        <f t="shared" si="66"/>
        <v/>
      </c>
      <c r="BQ47" s="4" t="str">
        <f>IFERROR('Character Sheet'!IQ46+VLOOKUP(BA47,MaterialChart,5,FALSE),"")</f>
        <v/>
      </c>
      <c r="BR47" s="4" t="str">
        <f t="shared" si="67"/>
        <v/>
      </c>
      <c r="BS47" s="4">
        <f t="shared" si="75"/>
        <v>0</v>
      </c>
      <c r="BT47" s="4" t="str">
        <f t="shared" si="68"/>
        <v/>
      </c>
      <c r="BU47" s="4" t="str">
        <f t="shared" si="69"/>
        <v/>
      </c>
      <c r="BV47" s="4" t="str">
        <f t="shared" si="70"/>
        <v/>
      </c>
      <c r="BW47" s="4" t="str">
        <f>IFERROR(ROUNDUP((BE47*(BB47-AT47))+(BL47*(BI47-AX47))+(BT47*(((100+(BD47+IF(BE47=1,0,BK47))+(4*BR47))/100)))*'Character Sheet'!GT46,3),"")</f>
        <v/>
      </c>
      <c r="BX47" s="4" t="str">
        <f t="shared" si="93"/>
        <v/>
      </c>
      <c r="BY47" s="8"/>
      <c r="BZ47" s="4"/>
      <c r="CA47" s="4"/>
      <c r="CB47" s="4"/>
      <c r="CC47" s="4"/>
      <c r="CD47" s="4"/>
      <c r="CE47" s="4"/>
      <c r="CF47" s="4"/>
      <c r="CG47" s="4"/>
      <c r="CH47" s="4"/>
      <c r="CI47" s="4"/>
      <c r="CJ47" s="4"/>
      <c r="CK47" s="4"/>
      <c r="CL47" s="4"/>
      <c r="CM47" s="4"/>
      <c r="CN47" s="4"/>
      <c r="CO47" s="4"/>
      <c r="CP47" s="4"/>
      <c r="CQ47" s="4"/>
      <c r="CR47" s="4"/>
      <c r="CS47" s="4"/>
      <c r="CT47" s="4"/>
      <c r="CU47" s="4"/>
      <c r="CV47" s="4"/>
      <c r="DH47" s="4" t="str">
        <f t="shared" si="41"/>
        <v/>
      </c>
      <c r="DI47">
        <v>10</v>
      </c>
      <c r="DJ47" s="3">
        <f>'Character Sheet'!FB46</f>
        <v>0</v>
      </c>
      <c r="DK47" s="4" t="str">
        <f t="shared" si="77"/>
        <v/>
      </c>
      <c r="DL47" s="4" t="str">
        <f>IFERROR(IF(DK47=0,"",VLOOKUP(DK47,Skills!$N$72:$AF$107,19,FALSE)),"")</f>
        <v/>
      </c>
      <c r="DM47" s="4">
        <f>IFERROR(VLOOKUP($DJ47,ItemChart,18,FALSE)+'Character Sheet'!IJ46,0)</f>
        <v>0</v>
      </c>
      <c r="DN47" s="4" t="str">
        <f t="shared" si="92"/>
        <v/>
      </c>
      <c r="DO47" s="4" t="str">
        <f>IFERROR(DN47+0.45,"")</f>
        <v/>
      </c>
      <c r="DP47" s="4">
        <f t="shared" si="43"/>
        <v>0</v>
      </c>
      <c r="DQ47" s="4">
        <f t="shared" si="78"/>
        <v>1</v>
      </c>
      <c r="DR47" s="4" t="e">
        <f t="shared" si="79"/>
        <v>#N/A</v>
      </c>
      <c r="DS47" s="4">
        <f t="shared" si="80"/>
        <v>10</v>
      </c>
      <c r="DT47" s="4" t="str">
        <f t="shared" si="81"/>
        <v/>
      </c>
      <c r="DU47" s="4" t="str">
        <f t="shared" si="82"/>
        <v/>
      </c>
      <c r="DV47" s="4" t="e">
        <f>VLOOKUP((VLOOKUP((VLOOKUP('Character Creation'!$Z$11,RaceChart,20,FALSE)&amp;" "&amp;VLOOKUP('Character Creation'!$Z$11,RaceChart,21,FALSE)),Charts!$H$2:$J$14,3,FALSE)+DU47),Charts!$J$2:$N$14,5,FALSE)</f>
        <v>#VALUE!</v>
      </c>
      <c r="DW47" s="4" t="e">
        <f>VLOOKUP(DV47,Charts!$N$2:$Q$14,4,FALSE)</f>
        <v>#VALUE!</v>
      </c>
      <c r="DX47" s="4" t="str">
        <f t="shared" si="83"/>
        <v/>
      </c>
      <c r="DY47" s="4" t="str">
        <f t="shared" si="84"/>
        <v/>
      </c>
      <c r="DZ47" s="4" t="str">
        <f t="shared" si="85"/>
        <v/>
      </c>
      <c r="EA47" s="4" t="e">
        <f>ROUNDDOWN(VLOOKUP(DK47,Skills!$N$72:$S$107,6,FALSE)/5,0)</f>
        <v>#N/A</v>
      </c>
      <c r="EB47" s="4" t="str">
        <f t="shared" si="86"/>
        <v/>
      </c>
      <c r="EC47" s="4" t="str">
        <f t="shared" si="87"/>
        <v>+</v>
      </c>
      <c r="ED47" s="4" t="e">
        <f>VLOOKUP(DJ47,'Character Sheet'!$FB$21:$HQ$35,61,FALSE)</f>
        <v>#N/A</v>
      </c>
      <c r="EE47" s="4" t="str">
        <f t="shared" si="88"/>
        <v/>
      </c>
      <c r="EF47" s="4" t="str">
        <f t="shared" si="89"/>
        <v/>
      </c>
      <c r="EG47" s="4" t="e">
        <f>VLOOKUP(DR47,Items!$B$1156:$AA$1282,18,FALSE)</f>
        <v>#N/A</v>
      </c>
      <c r="EH47" s="4" t="e">
        <f>VLOOKUP(DJ47,'Character Sheet'!$E$26:$EZ$45,81,FALSE)</f>
        <v>#N/A</v>
      </c>
      <c r="EI47" s="4" t="e">
        <f>VLOOKUP(DJ47,'Character Sheet'!$E$26:$EZ$45,89,FALSE)</f>
        <v>#N/A</v>
      </c>
      <c r="EJ47" s="4" t="e">
        <f t="shared" si="90"/>
        <v>#N/A</v>
      </c>
    </row>
    <row r="48" spans="29:140" x14ac:dyDescent="0.25">
      <c r="AC48" s="8" t="str">
        <f>IFERROR(VLOOKUP('Character Creation'!$CI61,Skills!$H$2:$N$620,6,FALSE),"")</f>
        <v/>
      </c>
      <c r="AD48" s="4">
        <f>'Character Creation'!EH61</f>
        <v>0</v>
      </c>
      <c r="AG48">
        <v>47</v>
      </c>
      <c r="AH48" s="4" t="str">
        <f t="shared" si="5"/>
        <v/>
      </c>
      <c r="AI48" t="str">
        <f>IFERROR(VLOOKUP(AG48,Skills!$B$2:$M$620,12,FALSE),"")</f>
        <v/>
      </c>
      <c r="AJ48" s="4" t="str">
        <f>IFERROR(VLOOKUP(AG48,Skills!$B$2:$AF$620,31,FALSE),"")</f>
        <v/>
      </c>
      <c r="AK48" s="4" t="str">
        <f t="shared" si="91"/>
        <v/>
      </c>
      <c r="AL48" s="4">
        <v>4.7E-2</v>
      </c>
      <c r="AM48" s="62" t="str">
        <f t="shared" si="6"/>
        <v/>
      </c>
      <c r="AN48" t="str">
        <f t="shared" ca="1" si="7"/>
        <v/>
      </c>
      <c r="AO48" s="4" t="str">
        <f ca="1">IFERROR(VLOOKUP(AG48,$AH$2:$AJ$451,3,FALSE)&amp;IF(ISNUMBER(SEARCH(", Written",AN48))," -R"&amp;VLOOKUP(AN48,Skills!$M$2:$S$620,7,FALSE),IF(ISNUMBER(SEARCH(", Spoken",AN48))," -R"&amp;VLOOKUP(AN48,Skills!$M$2:$S$620,7,FALSE),"")),"")</f>
        <v/>
      </c>
      <c r="AQ48">
        <v>45</v>
      </c>
      <c r="AR48" s="8">
        <f>'Character Sheet'!FB47</f>
        <v>0</v>
      </c>
      <c r="AS48" s="4" t="str">
        <f t="shared" si="17"/>
        <v/>
      </c>
      <c r="AT48" s="4" t="str">
        <f t="shared" si="18"/>
        <v/>
      </c>
      <c r="AU48" s="4" t="str">
        <f t="shared" si="50"/>
        <v/>
      </c>
      <c r="AV48" s="4" t="str">
        <f t="shared" si="51"/>
        <v/>
      </c>
      <c r="AW48" s="4" t="str">
        <f t="shared" si="52"/>
        <v/>
      </c>
      <c r="AX48" s="4" t="str">
        <f t="shared" si="22"/>
        <v/>
      </c>
      <c r="AY48" s="4" t="str">
        <f t="shared" si="53"/>
        <v/>
      </c>
      <c r="AZ48" s="4" t="str">
        <f t="shared" si="54"/>
        <v/>
      </c>
      <c r="BA48" s="4" t="str">
        <f>IFERROR('Character Sheet'!JK47,"")</f>
        <v/>
      </c>
      <c r="BB48" s="4" t="str">
        <f t="shared" si="25"/>
        <v/>
      </c>
      <c r="BC48" s="4" t="str">
        <f t="shared" si="55"/>
        <v/>
      </c>
      <c r="BD48" s="4" t="str">
        <f t="shared" si="56"/>
        <v/>
      </c>
      <c r="BE48" s="4" t="str">
        <f t="shared" si="57"/>
        <v/>
      </c>
      <c r="BF48" s="4" t="str">
        <f t="shared" si="58"/>
        <v/>
      </c>
      <c r="BG48" s="4" t="str">
        <f t="shared" si="59"/>
        <v/>
      </c>
      <c r="BH48" s="4" t="str">
        <f>IFERROR('Character Sheet'!KC47,"")</f>
        <v/>
      </c>
      <c r="BI48" s="4" t="str">
        <f t="shared" si="29"/>
        <v/>
      </c>
      <c r="BJ48" s="4" t="str">
        <f t="shared" si="60"/>
        <v/>
      </c>
      <c r="BK48" s="4" t="str">
        <f t="shared" si="61"/>
        <v/>
      </c>
      <c r="BL48" s="4" t="str">
        <f t="shared" si="62"/>
        <v/>
      </c>
      <c r="BM48" s="4" t="str">
        <f t="shared" si="63"/>
        <v/>
      </c>
      <c r="BN48" s="4" t="str">
        <f t="shared" si="64"/>
        <v/>
      </c>
      <c r="BO48" s="4" t="str">
        <f t="shared" si="65"/>
        <v/>
      </c>
      <c r="BP48" s="4" t="str">
        <f t="shared" si="66"/>
        <v/>
      </c>
      <c r="BQ48" s="4" t="str">
        <f>IFERROR('Character Sheet'!IQ47+VLOOKUP(BA48,MaterialChart,5,FALSE),"")</f>
        <v/>
      </c>
      <c r="BR48" s="4" t="str">
        <f t="shared" si="67"/>
        <v/>
      </c>
      <c r="BS48" s="4">
        <f t="shared" si="75"/>
        <v>0</v>
      </c>
      <c r="BT48" s="4" t="str">
        <f t="shared" si="68"/>
        <v/>
      </c>
      <c r="BU48" s="4" t="str">
        <f t="shared" si="69"/>
        <v/>
      </c>
      <c r="BV48" s="4" t="str">
        <f t="shared" si="70"/>
        <v/>
      </c>
      <c r="BW48" s="4" t="str">
        <f>IFERROR(ROUNDUP((BE48*(BB48-AT48))+(BL48*(BI48-AX48))+(BT48*(((100+(BD48+IF(BE48=1,0,BK48))+(4*BR48))/100)))*'Character Sheet'!GT47,3),"")</f>
        <v/>
      </c>
      <c r="BX48" s="4" t="str">
        <f t="shared" si="93"/>
        <v/>
      </c>
      <c r="BY48" s="8"/>
      <c r="DH48" s="4" t="str">
        <f t="shared" si="41"/>
        <v/>
      </c>
      <c r="DI48">
        <v>11</v>
      </c>
      <c r="DJ48" s="3">
        <f>'Character Sheet'!FB47</f>
        <v>0</v>
      </c>
      <c r="DK48" s="4" t="str">
        <f t="shared" si="77"/>
        <v/>
      </c>
      <c r="DL48" s="4" t="str">
        <f>IFERROR(IF(DK48=0,"",VLOOKUP(DK48,Skills!$N$72:$AF$107,19,FALSE)),"")</f>
        <v/>
      </c>
      <c r="DM48" s="4">
        <f>IFERROR(VLOOKUP($DJ48,ItemChart,18,FALSE)+'Character Sheet'!IJ47,0)</f>
        <v>0</v>
      </c>
      <c r="DN48" s="4" t="str">
        <f t="shared" si="92"/>
        <v/>
      </c>
      <c r="DO48" s="4" t="str">
        <f>IFERROR(DN48+0.46,"")</f>
        <v/>
      </c>
      <c r="DP48" s="4">
        <f t="shared" si="43"/>
        <v>0</v>
      </c>
      <c r="DQ48" s="4">
        <f t="shared" si="78"/>
        <v>1</v>
      </c>
      <c r="DR48" s="4" t="e">
        <f t="shared" si="79"/>
        <v>#N/A</v>
      </c>
      <c r="DS48" s="4">
        <f t="shared" si="80"/>
        <v>11</v>
      </c>
      <c r="DT48" s="4" t="str">
        <f t="shared" si="81"/>
        <v/>
      </c>
      <c r="DU48" s="4" t="str">
        <f t="shared" si="82"/>
        <v/>
      </c>
      <c r="DV48" s="4" t="e">
        <f>VLOOKUP((VLOOKUP((VLOOKUP('Character Creation'!$Z$11,RaceChart,20,FALSE)&amp;" "&amp;VLOOKUP('Character Creation'!$Z$11,RaceChart,21,FALSE)),Charts!$H$2:$J$14,3,FALSE)+DU48),Charts!$J$2:$N$14,5,FALSE)</f>
        <v>#VALUE!</v>
      </c>
      <c r="DW48" s="4" t="e">
        <f>VLOOKUP(DV48,Charts!$N$2:$Q$14,4,FALSE)</f>
        <v>#VALUE!</v>
      </c>
      <c r="DX48" s="4" t="str">
        <f t="shared" si="83"/>
        <v/>
      </c>
      <c r="DY48" s="4" t="str">
        <f t="shared" si="84"/>
        <v/>
      </c>
      <c r="DZ48" s="4" t="str">
        <f t="shared" si="85"/>
        <v/>
      </c>
      <c r="EA48" s="4" t="e">
        <f>ROUNDDOWN(VLOOKUP(DK48,Skills!$N$72:$S$107,6,FALSE)/5,0)</f>
        <v>#N/A</v>
      </c>
      <c r="EB48" s="4" t="str">
        <f t="shared" si="86"/>
        <v/>
      </c>
      <c r="EC48" s="4" t="str">
        <f t="shared" si="87"/>
        <v>+</v>
      </c>
      <c r="ED48" s="4" t="e">
        <f>VLOOKUP(DJ48,'Character Sheet'!$FB$21:$HQ$35,61,FALSE)</f>
        <v>#N/A</v>
      </c>
      <c r="EE48" s="4" t="str">
        <f t="shared" si="88"/>
        <v/>
      </c>
      <c r="EF48" s="4" t="str">
        <f t="shared" si="89"/>
        <v/>
      </c>
      <c r="EG48" s="4" t="e">
        <f>VLOOKUP(DR48,Items!$B$1156:$AA$1282,18,FALSE)</f>
        <v>#N/A</v>
      </c>
      <c r="EH48" s="4" t="e">
        <f>VLOOKUP(DJ48,'Character Sheet'!$E$26:$EZ$45,81,FALSE)</f>
        <v>#N/A</v>
      </c>
      <c r="EI48" s="4" t="e">
        <f>VLOOKUP(DJ48,'Character Sheet'!$E$26:$EZ$45,89,FALSE)</f>
        <v>#N/A</v>
      </c>
      <c r="EJ48" s="4" t="e">
        <f t="shared" si="90"/>
        <v>#N/A</v>
      </c>
    </row>
    <row r="49" spans="29:140" x14ac:dyDescent="0.25">
      <c r="AC49" s="8" t="str">
        <f>IFERROR(VLOOKUP('Character Creation'!$CI62,Skills!$H$2:$N$620,6,FALSE),"")</f>
        <v/>
      </c>
      <c r="AD49" s="4">
        <f>'Character Creation'!EH62</f>
        <v>0</v>
      </c>
      <c r="AG49">
        <v>48</v>
      </c>
      <c r="AH49" s="4" t="str">
        <f t="shared" si="5"/>
        <v/>
      </c>
      <c r="AI49" t="str">
        <f>IFERROR(VLOOKUP(AG49,Skills!$B$2:$M$620,12,FALSE),"")</f>
        <v/>
      </c>
      <c r="AJ49" s="4" t="str">
        <f>IFERROR(VLOOKUP(AG49,Skills!$B$2:$AF$620,31,FALSE),"")</f>
        <v/>
      </c>
      <c r="AK49" s="4" t="str">
        <f t="shared" si="91"/>
        <v/>
      </c>
      <c r="AL49" s="4">
        <v>4.8000000000000001E-2</v>
      </c>
      <c r="AM49" s="62" t="str">
        <f t="shared" si="6"/>
        <v/>
      </c>
      <c r="AN49" t="str">
        <f t="shared" ca="1" si="7"/>
        <v/>
      </c>
      <c r="AO49" s="4" t="str">
        <f ca="1">IFERROR(VLOOKUP(AG49,$AH$2:$AJ$451,3,FALSE)&amp;IF(ISNUMBER(SEARCH(", Written",AN49))," -R"&amp;VLOOKUP(AN49,Skills!$M$2:$S$620,7,FALSE),IF(ISNUMBER(SEARCH(", Spoken",AN49))," -R"&amp;VLOOKUP(AN49,Skills!$M$2:$S$620,7,FALSE),"")),"")</f>
        <v/>
      </c>
      <c r="AQ49">
        <v>46</v>
      </c>
      <c r="AR49" s="8">
        <f>'Character Sheet'!FB48</f>
        <v>0</v>
      </c>
      <c r="AS49" s="4" t="str">
        <f t="shared" si="17"/>
        <v/>
      </c>
      <c r="AT49" s="4" t="str">
        <f t="shared" si="18"/>
        <v/>
      </c>
      <c r="AU49" s="4" t="str">
        <f t="shared" si="50"/>
        <v/>
      </c>
      <c r="AV49" s="4" t="str">
        <f t="shared" si="51"/>
        <v/>
      </c>
      <c r="AW49" s="4" t="str">
        <f t="shared" si="52"/>
        <v/>
      </c>
      <c r="AX49" s="4" t="str">
        <f t="shared" si="22"/>
        <v/>
      </c>
      <c r="AY49" s="4" t="str">
        <f t="shared" si="53"/>
        <v/>
      </c>
      <c r="AZ49" s="4" t="str">
        <f t="shared" si="54"/>
        <v/>
      </c>
      <c r="BA49" s="4" t="str">
        <f>IFERROR('Character Sheet'!JK48,"")</f>
        <v/>
      </c>
      <c r="BB49" s="4" t="str">
        <f t="shared" si="25"/>
        <v/>
      </c>
      <c r="BC49" s="4" t="str">
        <f t="shared" si="55"/>
        <v/>
      </c>
      <c r="BD49" s="4" t="str">
        <f t="shared" si="56"/>
        <v/>
      </c>
      <c r="BE49" s="4" t="str">
        <f t="shared" si="57"/>
        <v/>
      </c>
      <c r="BF49" s="4" t="str">
        <f t="shared" si="58"/>
        <v/>
      </c>
      <c r="BG49" s="4" t="str">
        <f t="shared" si="59"/>
        <v/>
      </c>
      <c r="BH49" s="4" t="str">
        <f>IFERROR('Character Sheet'!KC48,"")</f>
        <v/>
      </c>
      <c r="BI49" s="4" t="str">
        <f t="shared" si="29"/>
        <v/>
      </c>
      <c r="BJ49" s="4" t="str">
        <f t="shared" si="60"/>
        <v/>
      </c>
      <c r="BK49" s="4" t="str">
        <f t="shared" si="61"/>
        <v/>
      </c>
      <c r="BL49" s="4" t="str">
        <f t="shared" si="62"/>
        <v/>
      </c>
      <c r="BM49" s="4" t="str">
        <f t="shared" si="63"/>
        <v/>
      </c>
      <c r="BN49" s="4" t="str">
        <f t="shared" si="64"/>
        <v/>
      </c>
      <c r="BO49" s="4" t="str">
        <f t="shared" si="65"/>
        <v/>
      </c>
      <c r="BP49" s="4" t="str">
        <f t="shared" si="66"/>
        <v/>
      </c>
      <c r="BQ49" s="4" t="str">
        <f>IFERROR('Character Sheet'!IQ48+VLOOKUP(BA49,MaterialChart,5,FALSE),"")</f>
        <v/>
      </c>
      <c r="BR49" s="4" t="str">
        <f t="shared" si="67"/>
        <v/>
      </c>
      <c r="BS49" s="4">
        <f t="shared" si="75"/>
        <v>0</v>
      </c>
      <c r="BT49" s="4" t="str">
        <f t="shared" si="68"/>
        <v/>
      </c>
      <c r="BU49" s="4" t="str">
        <f t="shared" si="69"/>
        <v/>
      </c>
      <c r="BV49" s="4" t="str">
        <f t="shared" si="70"/>
        <v/>
      </c>
      <c r="BW49" s="4" t="str">
        <f>IFERROR(ROUNDUP((BE49*(BB49-AT49))+(BL49*(BI49-AX49))+(BT49*(((100+(BD49+IF(BE49=1,0,BK49))+(4*BR49))/100)))*'Character Sheet'!GT48,3),"")</f>
        <v/>
      </c>
      <c r="BX49" s="4" t="str">
        <f t="shared" si="93"/>
        <v/>
      </c>
      <c r="BY49" s="8"/>
      <c r="DH49" s="4" t="str">
        <f t="shared" si="41"/>
        <v/>
      </c>
      <c r="DI49">
        <v>12</v>
      </c>
      <c r="DJ49" s="3">
        <f>'Character Sheet'!FB48</f>
        <v>0</v>
      </c>
      <c r="DK49" s="4" t="str">
        <f t="shared" si="77"/>
        <v/>
      </c>
      <c r="DL49" s="4" t="str">
        <f>IFERROR(IF(DK49=0,"",VLOOKUP(DK49,Skills!$N$72:$AF$107,19,FALSE)),"")</f>
        <v/>
      </c>
      <c r="DM49" s="4">
        <f>IFERROR(VLOOKUP($DJ49,ItemChart,18,FALSE)+'Character Sheet'!IJ48,0)</f>
        <v>0</v>
      </c>
      <c r="DN49" s="4" t="str">
        <f t="shared" si="92"/>
        <v/>
      </c>
      <c r="DO49" s="4" t="str">
        <f>IFERROR(DN49+0.47,"")</f>
        <v/>
      </c>
      <c r="DP49" s="4">
        <f t="shared" si="43"/>
        <v>0</v>
      </c>
      <c r="DQ49" s="4">
        <f t="shared" si="78"/>
        <v>1</v>
      </c>
      <c r="DR49" s="4" t="e">
        <f t="shared" si="79"/>
        <v>#N/A</v>
      </c>
      <c r="DS49" s="4">
        <f t="shared" si="80"/>
        <v>12</v>
      </c>
      <c r="DT49" s="4" t="str">
        <f t="shared" si="81"/>
        <v/>
      </c>
      <c r="DU49" s="4" t="str">
        <f t="shared" si="82"/>
        <v/>
      </c>
      <c r="DV49" s="4" t="e">
        <f>VLOOKUP((VLOOKUP((VLOOKUP('Character Creation'!$Z$11,RaceChart,20,FALSE)&amp;" "&amp;VLOOKUP('Character Creation'!$Z$11,RaceChart,21,FALSE)),Charts!$H$2:$J$14,3,FALSE)+DU49),Charts!$J$2:$N$14,5,FALSE)</f>
        <v>#VALUE!</v>
      </c>
      <c r="DW49" s="4" t="e">
        <f>VLOOKUP(DV49,Charts!$N$2:$Q$14,4,FALSE)</f>
        <v>#VALUE!</v>
      </c>
      <c r="DX49" s="4" t="str">
        <f t="shared" si="83"/>
        <v/>
      </c>
      <c r="DY49" s="4" t="str">
        <f t="shared" si="84"/>
        <v/>
      </c>
      <c r="DZ49" s="4" t="str">
        <f t="shared" si="85"/>
        <v/>
      </c>
      <c r="EA49" s="4" t="e">
        <f>ROUNDDOWN(VLOOKUP(DK49,Skills!$N$72:$S$107,6,FALSE)/5,0)</f>
        <v>#N/A</v>
      </c>
      <c r="EB49" s="4" t="str">
        <f t="shared" si="86"/>
        <v/>
      </c>
      <c r="EC49" s="4" t="str">
        <f t="shared" si="87"/>
        <v>+</v>
      </c>
      <c r="ED49" s="4" t="e">
        <f>VLOOKUP(DJ49,'Character Sheet'!$FB$21:$HQ$35,61,FALSE)</f>
        <v>#N/A</v>
      </c>
      <c r="EE49" s="4" t="str">
        <f t="shared" si="88"/>
        <v/>
      </c>
      <c r="EF49" s="4" t="str">
        <f t="shared" si="89"/>
        <v/>
      </c>
      <c r="EG49" s="4" t="e">
        <f>VLOOKUP(DR49,Items!$B$1156:$AA$1282,18,FALSE)</f>
        <v>#N/A</v>
      </c>
      <c r="EH49" s="4" t="e">
        <f>VLOOKUP(DJ49,'Character Sheet'!$E$26:$EZ$45,81,FALSE)</f>
        <v>#N/A</v>
      </c>
      <c r="EI49" s="4" t="e">
        <f>VLOOKUP(DJ49,'Character Sheet'!$E$26:$EZ$45,89,FALSE)</f>
        <v>#N/A</v>
      </c>
      <c r="EJ49" s="4" t="e">
        <f t="shared" si="90"/>
        <v>#N/A</v>
      </c>
    </row>
    <row r="50" spans="29:140" x14ac:dyDescent="0.25">
      <c r="AC50" s="8" t="str">
        <f>IFERROR(VLOOKUP('Character Creation'!$CI63,Skills!$H$2:$N$620,6,FALSE),"")</f>
        <v/>
      </c>
      <c r="AD50" s="4">
        <f>'Character Creation'!EH63</f>
        <v>0</v>
      </c>
      <c r="AG50">
        <v>49</v>
      </c>
      <c r="AH50" s="4" t="str">
        <f t="shared" si="5"/>
        <v/>
      </c>
      <c r="AI50" t="str">
        <f>IFERROR(VLOOKUP(AG50,Skills!$B$2:$M$620,12,FALSE),"")</f>
        <v/>
      </c>
      <c r="AJ50" s="4" t="str">
        <f>IFERROR(VLOOKUP(AG50,Skills!$B$2:$AF$620,31,FALSE),"")</f>
        <v/>
      </c>
      <c r="AK50" s="4" t="str">
        <f t="shared" si="91"/>
        <v/>
      </c>
      <c r="AL50" s="4">
        <v>4.9000000000000002E-2</v>
      </c>
      <c r="AM50" s="62" t="str">
        <f t="shared" si="6"/>
        <v/>
      </c>
      <c r="AN50" t="str">
        <f t="shared" ca="1" si="7"/>
        <v/>
      </c>
      <c r="AO50" s="4" t="str">
        <f ca="1">IFERROR(VLOOKUP(AG50,$AH$2:$AJ$451,3,FALSE)&amp;IF(ISNUMBER(SEARCH(", Written",AN50))," -R"&amp;VLOOKUP(AN50,Skills!$M$2:$S$620,7,FALSE),IF(ISNUMBER(SEARCH(", Spoken",AN50))," -R"&amp;VLOOKUP(AN50,Skills!$M$2:$S$620,7,FALSE),"")),"")</f>
        <v/>
      </c>
      <c r="AQ50">
        <v>47</v>
      </c>
      <c r="AR50" s="8">
        <f>'Character Sheet'!FB49</f>
        <v>0</v>
      </c>
      <c r="AS50" s="4" t="str">
        <f t="shared" si="17"/>
        <v/>
      </c>
      <c r="AT50" s="4" t="str">
        <f t="shared" si="18"/>
        <v/>
      </c>
      <c r="AU50" s="4" t="str">
        <f t="shared" si="50"/>
        <v/>
      </c>
      <c r="AV50" s="4" t="str">
        <f t="shared" si="51"/>
        <v/>
      </c>
      <c r="AW50" s="4" t="str">
        <f t="shared" si="52"/>
        <v/>
      </c>
      <c r="AX50" s="4" t="str">
        <f t="shared" si="22"/>
        <v/>
      </c>
      <c r="AY50" s="4" t="str">
        <f t="shared" si="53"/>
        <v/>
      </c>
      <c r="AZ50" s="4" t="str">
        <f t="shared" si="54"/>
        <v/>
      </c>
      <c r="BA50" s="4" t="str">
        <f>IFERROR('Character Sheet'!JK49,"")</f>
        <v/>
      </c>
      <c r="BB50" s="4" t="str">
        <f t="shared" si="25"/>
        <v/>
      </c>
      <c r="BC50" s="4" t="str">
        <f t="shared" si="55"/>
        <v/>
      </c>
      <c r="BD50" s="4" t="str">
        <f t="shared" si="56"/>
        <v/>
      </c>
      <c r="BE50" s="4" t="str">
        <f t="shared" si="57"/>
        <v/>
      </c>
      <c r="BF50" s="4" t="str">
        <f t="shared" si="58"/>
        <v/>
      </c>
      <c r="BG50" s="4" t="str">
        <f t="shared" si="59"/>
        <v/>
      </c>
      <c r="BH50" s="4" t="str">
        <f>IFERROR('Character Sheet'!KC49,"")</f>
        <v/>
      </c>
      <c r="BI50" s="4" t="str">
        <f t="shared" si="29"/>
        <v/>
      </c>
      <c r="BJ50" s="4" t="str">
        <f t="shared" si="60"/>
        <v/>
      </c>
      <c r="BK50" s="4" t="str">
        <f t="shared" si="61"/>
        <v/>
      </c>
      <c r="BL50" s="4" t="str">
        <f t="shared" si="62"/>
        <v/>
      </c>
      <c r="BM50" s="4" t="str">
        <f t="shared" si="63"/>
        <v/>
      </c>
      <c r="BN50" s="4" t="str">
        <f t="shared" si="64"/>
        <v/>
      </c>
      <c r="BO50" s="4" t="str">
        <f t="shared" si="65"/>
        <v/>
      </c>
      <c r="BP50" s="4" t="str">
        <f t="shared" si="66"/>
        <v/>
      </c>
      <c r="BQ50" s="4" t="str">
        <f>IFERROR('Character Sheet'!IQ49+VLOOKUP(BA50,MaterialChart,5,FALSE),"")</f>
        <v/>
      </c>
      <c r="BR50" s="4" t="str">
        <f t="shared" si="67"/>
        <v/>
      </c>
      <c r="BS50" s="4">
        <f t="shared" si="75"/>
        <v>0</v>
      </c>
      <c r="BT50" s="4" t="str">
        <f t="shared" si="68"/>
        <v/>
      </c>
      <c r="BU50" s="4" t="str">
        <f t="shared" si="69"/>
        <v/>
      </c>
      <c r="BV50" s="4" t="str">
        <f t="shared" si="70"/>
        <v/>
      </c>
      <c r="BW50" s="4" t="str">
        <f>IFERROR(ROUNDUP((BE50*(BB50-AT50))+(BL50*(BI50-AX50))+(BT50*(((100+(BD50+IF(BE50=1,0,BK50))+(4*BR50))/100)))*'Character Sheet'!GT49,3),"")</f>
        <v/>
      </c>
      <c r="BX50" s="4" t="str">
        <f t="shared" si="93"/>
        <v/>
      </c>
      <c r="BY50" s="8"/>
      <c r="DH50" s="4" t="str">
        <f t="shared" si="41"/>
        <v/>
      </c>
      <c r="DI50">
        <v>13</v>
      </c>
      <c r="DJ50" s="3">
        <f>'Character Sheet'!FB49</f>
        <v>0</v>
      </c>
      <c r="DK50" s="4" t="str">
        <f t="shared" si="77"/>
        <v/>
      </c>
      <c r="DL50" s="4" t="str">
        <f>IFERROR(IF(DK50=0,"",VLOOKUP(DK50,Skills!$N$72:$AF$107,19,FALSE)),"")</f>
        <v/>
      </c>
      <c r="DM50" s="4">
        <f>IFERROR(VLOOKUP($DJ50,ItemChart,18,FALSE)+'Character Sheet'!IJ49,0)</f>
        <v>0</v>
      </c>
      <c r="DN50" s="4" t="str">
        <f t="shared" si="92"/>
        <v/>
      </c>
      <c r="DO50" s="4" t="str">
        <f>IFERROR(DN50+0.48,"")</f>
        <v/>
      </c>
      <c r="DP50" s="4">
        <f t="shared" si="43"/>
        <v>0</v>
      </c>
      <c r="DQ50" s="4">
        <f t="shared" si="78"/>
        <v>1</v>
      </c>
      <c r="DR50" s="4" t="e">
        <f t="shared" si="79"/>
        <v>#N/A</v>
      </c>
      <c r="DS50" s="4">
        <f t="shared" si="80"/>
        <v>13</v>
      </c>
      <c r="DT50" s="4" t="str">
        <f t="shared" si="81"/>
        <v/>
      </c>
      <c r="DU50" s="4" t="str">
        <f t="shared" si="82"/>
        <v/>
      </c>
      <c r="DV50" s="4" t="e">
        <f>VLOOKUP((VLOOKUP((VLOOKUP('Character Creation'!$Z$11,RaceChart,20,FALSE)&amp;" "&amp;VLOOKUP('Character Creation'!$Z$11,RaceChart,21,FALSE)),Charts!$H$2:$J$14,3,FALSE)+DU50),Charts!$J$2:$N$14,5,FALSE)</f>
        <v>#VALUE!</v>
      </c>
      <c r="DW50" s="4" t="e">
        <f>VLOOKUP(DV50,Charts!$N$2:$Q$14,4,FALSE)</f>
        <v>#VALUE!</v>
      </c>
      <c r="DX50" s="4" t="str">
        <f t="shared" si="83"/>
        <v/>
      </c>
      <c r="DY50" s="4" t="str">
        <f t="shared" si="84"/>
        <v/>
      </c>
      <c r="DZ50" s="4" t="str">
        <f t="shared" si="85"/>
        <v/>
      </c>
      <c r="EA50" s="4" t="e">
        <f>ROUNDDOWN(VLOOKUP(DK50,Skills!$N$72:$S$107,6,FALSE)/5,0)</f>
        <v>#N/A</v>
      </c>
      <c r="EB50" s="4" t="str">
        <f t="shared" si="86"/>
        <v/>
      </c>
      <c r="EC50" s="4" t="str">
        <f t="shared" si="87"/>
        <v>+</v>
      </c>
      <c r="ED50" s="4" t="e">
        <f>VLOOKUP(DJ50,'Character Sheet'!$FB$21:$HQ$35,61,FALSE)</f>
        <v>#N/A</v>
      </c>
      <c r="EE50" s="4" t="str">
        <f t="shared" si="88"/>
        <v/>
      </c>
      <c r="EF50" s="4" t="str">
        <f t="shared" si="89"/>
        <v/>
      </c>
      <c r="EG50" s="4" t="e">
        <f>VLOOKUP(DR50,Items!$B$1156:$AA$1282,18,FALSE)</f>
        <v>#N/A</v>
      </c>
      <c r="EH50" s="4" t="e">
        <f>VLOOKUP(DJ50,'Character Sheet'!$E$26:$EZ$45,81,FALSE)</f>
        <v>#N/A</v>
      </c>
      <c r="EI50" s="4" t="e">
        <f>VLOOKUP(DJ50,'Character Sheet'!$E$26:$EZ$45,89,FALSE)</f>
        <v>#N/A</v>
      </c>
      <c r="EJ50" s="4" t="e">
        <f t="shared" si="90"/>
        <v>#N/A</v>
      </c>
    </row>
    <row r="51" spans="29:140" x14ac:dyDescent="0.25">
      <c r="AC51" s="8" t="str">
        <f>IFERROR(VLOOKUP('Character Creation'!$CI64,Skills!$H$2:$N$620,6,FALSE),"")</f>
        <v/>
      </c>
      <c r="AD51" s="4">
        <f>'Character Creation'!EH64</f>
        <v>0</v>
      </c>
      <c r="AG51">
        <v>50</v>
      </c>
      <c r="AH51" s="4" t="str">
        <f t="shared" si="5"/>
        <v/>
      </c>
      <c r="AI51" t="str">
        <f>IFERROR(VLOOKUP(AG51,Skills!$B$2:$M$620,12,FALSE),"")</f>
        <v/>
      </c>
      <c r="AJ51" s="4" t="str">
        <f>IFERROR(VLOOKUP(AG51,Skills!$B$2:$AF$620,31,FALSE),"")</f>
        <v/>
      </c>
      <c r="AK51" s="4" t="str">
        <f t="shared" si="91"/>
        <v/>
      </c>
      <c r="AL51" s="4">
        <v>0.05</v>
      </c>
      <c r="AM51" s="62" t="str">
        <f t="shared" si="6"/>
        <v/>
      </c>
      <c r="AN51" t="str">
        <f t="shared" ca="1" si="7"/>
        <v/>
      </c>
      <c r="AO51" s="4" t="str">
        <f ca="1">IFERROR(VLOOKUP(AG51,$AH$2:$AJ$451,3,FALSE)&amp;IF(ISNUMBER(SEARCH(", Written",AN51))," -R"&amp;VLOOKUP(AN51,Skills!$M$2:$S$620,7,FALSE),IF(ISNUMBER(SEARCH(", Spoken",AN51))," -R"&amp;VLOOKUP(AN51,Skills!$M$2:$S$620,7,FALSE),"")),"")</f>
        <v/>
      </c>
      <c r="AQ51">
        <v>48</v>
      </c>
      <c r="AR51" s="8">
        <f>'Character Sheet'!FB50</f>
        <v>0</v>
      </c>
      <c r="AS51" s="4" t="str">
        <f t="shared" si="17"/>
        <v/>
      </c>
      <c r="AT51" s="4" t="str">
        <f t="shared" si="18"/>
        <v/>
      </c>
      <c r="AU51" s="4" t="str">
        <f t="shared" si="50"/>
        <v/>
      </c>
      <c r="AV51" s="4" t="str">
        <f t="shared" si="51"/>
        <v/>
      </c>
      <c r="AW51" s="4" t="str">
        <f t="shared" si="52"/>
        <v/>
      </c>
      <c r="AX51" s="4" t="str">
        <f t="shared" si="22"/>
        <v/>
      </c>
      <c r="AY51" s="4" t="str">
        <f t="shared" si="53"/>
        <v/>
      </c>
      <c r="AZ51" s="4" t="str">
        <f t="shared" si="54"/>
        <v/>
      </c>
      <c r="BA51" s="4" t="str">
        <f>IFERROR('Character Sheet'!JK50,"")</f>
        <v/>
      </c>
      <c r="BB51" s="4" t="str">
        <f t="shared" si="25"/>
        <v/>
      </c>
      <c r="BC51" s="4" t="str">
        <f t="shared" si="55"/>
        <v/>
      </c>
      <c r="BD51" s="4" t="str">
        <f t="shared" si="56"/>
        <v/>
      </c>
      <c r="BE51" s="4" t="str">
        <f t="shared" si="57"/>
        <v/>
      </c>
      <c r="BF51" s="4" t="str">
        <f t="shared" si="58"/>
        <v/>
      </c>
      <c r="BG51" s="4" t="str">
        <f t="shared" si="59"/>
        <v/>
      </c>
      <c r="BH51" s="4" t="str">
        <f>IFERROR('Character Sheet'!KC50,"")</f>
        <v/>
      </c>
      <c r="BI51" s="4" t="str">
        <f t="shared" si="29"/>
        <v/>
      </c>
      <c r="BJ51" s="4" t="str">
        <f t="shared" si="60"/>
        <v/>
      </c>
      <c r="BK51" s="4" t="str">
        <f t="shared" si="61"/>
        <v/>
      </c>
      <c r="BL51" s="4" t="str">
        <f t="shared" si="62"/>
        <v/>
      </c>
      <c r="BM51" s="4" t="str">
        <f t="shared" si="63"/>
        <v/>
      </c>
      <c r="BN51" s="4" t="str">
        <f t="shared" si="64"/>
        <v/>
      </c>
      <c r="BO51" s="4" t="str">
        <f t="shared" si="65"/>
        <v/>
      </c>
      <c r="BP51" s="4" t="str">
        <f t="shared" si="66"/>
        <v/>
      </c>
      <c r="BQ51" s="4" t="str">
        <f>IFERROR('Character Sheet'!IQ50+VLOOKUP(BA51,MaterialChart,5,FALSE),"")</f>
        <v/>
      </c>
      <c r="BR51" s="4" t="str">
        <f t="shared" si="67"/>
        <v/>
      </c>
      <c r="BS51" s="4">
        <f t="shared" si="75"/>
        <v>0</v>
      </c>
      <c r="BT51" s="4" t="str">
        <f t="shared" si="68"/>
        <v/>
      </c>
      <c r="BU51" s="4" t="str">
        <f t="shared" si="69"/>
        <v/>
      </c>
      <c r="BV51" s="4" t="str">
        <f t="shared" si="70"/>
        <v/>
      </c>
      <c r="BW51" s="4" t="str">
        <f>IFERROR(ROUNDUP((BE51*(BB51-AT51))+(BL51*(BI51-AX51))+(BT51*(((100+(BD51+IF(BE51=1,0,BK51))+(4*BR51))/100)))*'Character Sheet'!GT50,3),"")</f>
        <v/>
      </c>
      <c r="BX51" s="4" t="str">
        <f t="shared" si="93"/>
        <v/>
      </c>
      <c r="BY51" s="8"/>
      <c r="DH51" s="4" t="str">
        <f t="shared" si="41"/>
        <v/>
      </c>
      <c r="DI51">
        <v>14</v>
      </c>
      <c r="DJ51" s="3">
        <f>'Character Sheet'!FB50</f>
        <v>0</v>
      </c>
      <c r="DK51" s="4" t="str">
        <f t="shared" si="77"/>
        <v/>
      </c>
      <c r="DL51" s="4" t="str">
        <f>IFERROR(IF(DK51=0,"",VLOOKUP(DK51,Skills!$N$72:$AF$107,19,FALSE)),"")</f>
        <v/>
      </c>
      <c r="DM51" s="4">
        <f>IFERROR(VLOOKUP($DJ51,ItemChart,18,FALSE)+'Character Sheet'!IJ50,0)</f>
        <v>0</v>
      </c>
      <c r="DN51" s="4" t="str">
        <f t="shared" si="92"/>
        <v/>
      </c>
      <c r="DO51" s="4" t="str">
        <f>IFERROR(DN51+0.49,"")</f>
        <v/>
      </c>
      <c r="DP51" s="4">
        <f t="shared" si="43"/>
        <v>0</v>
      </c>
      <c r="DQ51" s="4">
        <f t="shared" si="78"/>
        <v>1</v>
      </c>
      <c r="DR51" s="4" t="e">
        <f t="shared" si="79"/>
        <v>#N/A</v>
      </c>
      <c r="DS51" s="4">
        <f t="shared" si="80"/>
        <v>14</v>
      </c>
      <c r="DT51" s="4" t="str">
        <f t="shared" si="81"/>
        <v/>
      </c>
      <c r="DU51" s="4" t="str">
        <f t="shared" si="82"/>
        <v/>
      </c>
      <c r="DV51" s="4" t="e">
        <f>VLOOKUP((VLOOKUP((VLOOKUP('Character Creation'!$Z$11,RaceChart,20,FALSE)&amp;" "&amp;VLOOKUP('Character Creation'!$Z$11,RaceChart,21,FALSE)),Charts!$H$2:$J$14,3,FALSE)+DU51),Charts!$J$2:$N$14,5,FALSE)</f>
        <v>#VALUE!</v>
      </c>
      <c r="DW51" s="4" t="e">
        <f>VLOOKUP(DV51,Charts!$N$2:$Q$14,4,FALSE)</f>
        <v>#VALUE!</v>
      </c>
      <c r="DX51" s="4" t="str">
        <f t="shared" si="83"/>
        <v/>
      </c>
      <c r="DY51" s="4" t="str">
        <f t="shared" si="84"/>
        <v/>
      </c>
      <c r="DZ51" s="4" t="str">
        <f t="shared" si="85"/>
        <v/>
      </c>
      <c r="EA51" s="4" t="e">
        <f>ROUNDDOWN(VLOOKUP(DK51,Skills!$N$72:$S$107,6,FALSE)/5,0)</f>
        <v>#N/A</v>
      </c>
      <c r="EB51" s="4" t="str">
        <f t="shared" si="86"/>
        <v/>
      </c>
      <c r="EC51" s="4" t="str">
        <f t="shared" si="87"/>
        <v>+</v>
      </c>
      <c r="ED51" s="4" t="e">
        <f>VLOOKUP(DJ51,'Character Sheet'!$FB$21:$HQ$35,61,FALSE)</f>
        <v>#N/A</v>
      </c>
      <c r="EE51" s="4" t="str">
        <f t="shared" si="88"/>
        <v/>
      </c>
      <c r="EF51" s="4" t="str">
        <f t="shared" si="89"/>
        <v/>
      </c>
      <c r="EG51" s="4" t="e">
        <f>VLOOKUP(DR51,Items!$B$1156:$AA$1282,18,FALSE)</f>
        <v>#N/A</v>
      </c>
      <c r="EH51" s="4" t="e">
        <f>VLOOKUP(DJ51,'Character Sheet'!$E$26:$EZ$45,81,FALSE)</f>
        <v>#N/A</v>
      </c>
      <c r="EI51" s="4" t="e">
        <f>VLOOKUP(DJ51,'Character Sheet'!$E$26:$EZ$45,89,FALSE)</f>
        <v>#N/A</v>
      </c>
      <c r="EJ51" s="4" t="e">
        <f t="shared" si="90"/>
        <v>#N/A</v>
      </c>
    </row>
    <row r="52" spans="29:140" x14ac:dyDescent="0.25">
      <c r="AC52" s="8" t="str">
        <f>IFERROR(VLOOKUP('Character Creation'!$CI65,Skills!$H$2:$N$620,6,FALSE),"")</f>
        <v/>
      </c>
      <c r="AD52" s="4">
        <f>'Character Creation'!EH65</f>
        <v>0</v>
      </c>
      <c r="AG52">
        <v>51</v>
      </c>
      <c r="AH52" s="4" t="str">
        <f t="shared" si="5"/>
        <v/>
      </c>
      <c r="AI52" t="str">
        <f>IFERROR(VLOOKUP(AG52,Skills!$B$2:$M$620,12,FALSE),"")</f>
        <v/>
      </c>
      <c r="AJ52" s="4" t="str">
        <f>IFERROR(VLOOKUP(AG52,Skills!$B$2:$AF$620,31,FALSE),"")</f>
        <v/>
      </c>
      <c r="AK52" s="4" t="str">
        <f t="shared" si="91"/>
        <v/>
      </c>
      <c r="AL52" s="4">
        <v>5.0999999999999997E-2</v>
      </c>
      <c r="AM52" s="62" t="str">
        <f t="shared" si="6"/>
        <v/>
      </c>
      <c r="AN52" t="str">
        <f t="shared" ca="1" si="7"/>
        <v/>
      </c>
      <c r="AO52" s="4" t="str">
        <f ca="1">IFERROR(VLOOKUP(AG52,$AH$2:$AJ$451,3,FALSE)&amp;IF(ISNUMBER(SEARCH(", Written",AN52))," -R"&amp;VLOOKUP(AN52,Skills!$M$2:$S$620,7,FALSE),IF(ISNUMBER(SEARCH(", Spoken",AN52))," -R"&amp;VLOOKUP(AN52,Skills!$M$2:$S$620,7,FALSE),"")),"")</f>
        <v/>
      </c>
      <c r="AQ52">
        <v>49</v>
      </c>
      <c r="AR52" s="8">
        <f>'Character Sheet'!FB51</f>
        <v>0</v>
      </c>
      <c r="AS52" s="4" t="str">
        <f t="shared" si="17"/>
        <v/>
      </c>
      <c r="AT52" s="4" t="str">
        <f t="shared" si="18"/>
        <v/>
      </c>
      <c r="AU52" s="4" t="str">
        <f t="shared" si="50"/>
        <v/>
      </c>
      <c r="AV52" s="4" t="str">
        <f t="shared" si="51"/>
        <v/>
      </c>
      <c r="AW52" s="4" t="str">
        <f t="shared" si="52"/>
        <v/>
      </c>
      <c r="AX52" s="4" t="str">
        <f t="shared" si="22"/>
        <v/>
      </c>
      <c r="AY52" s="4" t="str">
        <f t="shared" si="53"/>
        <v/>
      </c>
      <c r="AZ52" s="4" t="str">
        <f t="shared" si="54"/>
        <v/>
      </c>
      <c r="BA52" s="4" t="str">
        <f>IFERROR('Character Sheet'!JK51,"")</f>
        <v/>
      </c>
      <c r="BB52" s="4" t="str">
        <f t="shared" si="25"/>
        <v/>
      </c>
      <c r="BC52" s="4" t="str">
        <f t="shared" si="55"/>
        <v/>
      </c>
      <c r="BD52" s="4" t="str">
        <f t="shared" si="56"/>
        <v/>
      </c>
      <c r="BE52" s="4" t="str">
        <f t="shared" si="57"/>
        <v/>
      </c>
      <c r="BF52" s="4" t="str">
        <f t="shared" si="58"/>
        <v/>
      </c>
      <c r="BG52" s="4" t="str">
        <f t="shared" si="59"/>
        <v/>
      </c>
      <c r="BH52" s="4" t="str">
        <f>IFERROR('Character Sheet'!KC51,"")</f>
        <v/>
      </c>
      <c r="BI52" s="4" t="str">
        <f t="shared" si="29"/>
        <v/>
      </c>
      <c r="BJ52" s="4" t="str">
        <f t="shared" si="60"/>
        <v/>
      </c>
      <c r="BK52" s="4" t="str">
        <f t="shared" si="61"/>
        <v/>
      </c>
      <c r="BL52" s="4" t="str">
        <f t="shared" si="62"/>
        <v/>
      </c>
      <c r="BM52" s="4" t="str">
        <f t="shared" si="63"/>
        <v/>
      </c>
      <c r="BN52" s="4" t="str">
        <f t="shared" si="64"/>
        <v/>
      </c>
      <c r="BO52" s="4" t="str">
        <f t="shared" si="65"/>
        <v/>
      </c>
      <c r="BP52" s="4" t="str">
        <f t="shared" si="66"/>
        <v/>
      </c>
      <c r="BQ52" s="4" t="str">
        <f>IFERROR('Character Sheet'!IQ51+VLOOKUP(BA52,MaterialChart,5,FALSE),"")</f>
        <v/>
      </c>
      <c r="BR52" s="4" t="str">
        <f t="shared" si="67"/>
        <v/>
      </c>
      <c r="BS52" s="4">
        <f t="shared" si="75"/>
        <v>0</v>
      </c>
      <c r="BT52" s="4" t="str">
        <f t="shared" si="68"/>
        <v/>
      </c>
      <c r="BU52" s="4" t="str">
        <f t="shared" si="69"/>
        <v/>
      </c>
      <c r="BV52" s="4" t="str">
        <f t="shared" si="70"/>
        <v/>
      </c>
      <c r="BW52" s="4" t="str">
        <f>IFERROR(ROUNDUP((BE52*(BB52-AT52))+(BL52*(BI52-AX52))+(BT52*(((100+(BD52+IF(BE52=1,0,BK52))+(4*BR52))/100)))*'Character Sheet'!GT51,3),"")</f>
        <v/>
      </c>
      <c r="BX52" s="4" t="str">
        <f t="shared" si="93"/>
        <v/>
      </c>
      <c r="BY52" s="8"/>
      <c r="DH52" s="4" t="str">
        <f t="shared" si="41"/>
        <v/>
      </c>
      <c r="DI52">
        <v>15</v>
      </c>
      <c r="DJ52" s="3">
        <f>'Character Sheet'!FB51</f>
        <v>0</v>
      </c>
      <c r="DK52" s="4" t="str">
        <f t="shared" si="77"/>
        <v/>
      </c>
      <c r="DL52" s="4" t="str">
        <f>IFERROR(IF(DK52=0,"",VLOOKUP(DK52,Skills!$N$72:$AF$107,19,FALSE)),"")</f>
        <v/>
      </c>
      <c r="DM52" s="4">
        <f>IFERROR(VLOOKUP($DJ52,ItemChart,18,FALSE)+'Character Sheet'!IJ51,0)</f>
        <v>0</v>
      </c>
      <c r="DN52" s="4" t="str">
        <f t="shared" si="92"/>
        <v/>
      </c>
      <c r="DO52" s="4" t="str">
        <f>IFERROR(DN52+0.5,"")</f>
        <v/>
      </c>
      <c r="DP52" s="4">
        <f t="shared" si="43"/>
        <v>0</v>
      </c>
      <c r="DQ52" s="4">
        <f t="shared" si="78"/>
        <v>1</v>
      </c>
      <c r="DR52" s="4" t="e">
        <f t="shared" si="79"/>
        <v>#N/A</v>
      </c>
      <c r="DS52" s="4">
        <f t="shared" si="80"/>
        <v>15</v>
      </c>
      <c r="DT52" s="4" t="str">
        <f t="shared" si="81"/>
        <v/>
      </c>
      <c r="DU52" s="4" t="str">
        <f t="shared" si="82"/>
        <v/>
      </c>
      <c r="DV52" s="4" t="e">
        <f>VLOOKUP((VLOOKUP((VLOOKUP('Character Creation'!$Z$11,RaceChart,20,FALSE)&amp;" "&amp;VLOOKUP('Character Creation'!$Z$11,RaceChart,21,FALSE)),Charts!$H$2:$J$14,3,FALSE)+DU52),Charts!$J$2:$N$14,5,FALSE)</f>
        <v>#VALUE!</v>
      </c>
      <c r="DW52" s="4" t="e">
        <f>VLOOKUP(DV52,Charts!$N$2:$Q$14,4,FALSE)</f>
        <v>#VALUE!</v>
      </c>
      <c r="DX52" s="4" t="str">
        <f t="shared" si="83"/>
        <v/>
      </c>
      <c r="DY52" s="4" t="str">
        <f t="shared" si="84"/>
        <v/>
      </c>
      <c r="DZ52" s="4" t="str">
        <f t="shared" si="85"/>
        <v/>
      </c>
      <c r="EA52" s="4" t="e">
        <f>ROUNDDOWN(VLOOKUP(DK52,Skills!$N$72:$S$107,6,FALSE)/5,0)</f>
        <v>#N/A</v>
      </c>
      <c r="EB52" s="4" t="str">
        <f t="shared" si="86"/>
        <v/>
      </c>
      <c r="EC52" s="4" t="str">
        <f t="shared" si="87"/>
        <v>+</v>
      </c>
      <c r="ED52" s="4" t="e">
        <f>VLOOKUP(DJ52,'Character Sheet'!$FB$21:$HQ$35,61,FALSE)</f>
        <v>#N/A</v>
      </c>
      <c r="EE52" s="4" t="str">
        <f t="shared" si="88"/>
        <v/>
      </c>
      <c r="EF52" s="4" t="str">
        <f t="shared" si="89"/>
        <v/>
      </c>
      <c r="EG52" s="4" t="e">
        <f>VLOOKUP(DR52,Items!$B$1156:$AA$1282,18,FALSE)</f>
        <v>#N/A</v>
      </c>
      <c r="EH52" s="4" t="e">
        <f>VLOOKUP(DJ52,'Character Sheet'!$E$26:$EZ$45,81,FALSE)</f>
        <v>#N/A</v>
      </c>
      <c r="EI52" s="4" t="e">
        <f>VLOOKUP(DJ52,'Character Sheet'!$E$26:$EZ$45,89,FALSE)</f>
        <v>#N/A</v>
      </c>
      <c r="EJ52" s="4" t="e">
        <f t="shared" si="90"/>
        <v>#N/A</v>
      </c>
    </row>
    <row r="53" spans="29:140" x14ac:dyDescent="0.25">
      <c r="AC53" s="8" t="str">
        <f>IFERROR(VLOOKUP('Character Creation'!$CI66,Skills!$H$2:$N$620,6,FALSE),"")</f>
        <v/>
      </c>
      <c r="AD53" s="4">
        <f>'Character Creation'!EH66</f>
        <v>0</v>
      </c>
      <c r="AG53">
        <v>52</v>
      </c>
      <c r="AH53" s="4" t="str">
        <f t="shared" si="5"/>
        <v/>
      </c>
      <c r="AI53" t="str">
        <f>IFERROR(VLOOKUP(AG53,Skills!$B$2:$M$620,12,FALSE),"")</f>
        <v/>
      </c>
      <c r="AJ53" s="4" t="str">
        <f>IFERROR(VLOOKUP(AG53,Skills!$B$2:$AF$620,31,FALSE),"")</f>
        <v/>
      </c>
      <c r="AK53" s="4" t="str">
        <f t="shared" si="91"/>
        <v/>
      </c>
      <c r="AL53" s="4">
        <v>5.1999999999999998E-2</v>
      </c>
      <c r="AM53" s="62" t="str">
        <f t="shared" si="6"/>
        <v/>
      </c>
      <c r="AN53" t="str">
        <f t="shared" ca="1" si="7"/>
        <v/>
      </c>
      <c r="AO53" s="4" t="str">
        <f ca="1">IFERROR(VLOOKUP(AG53,$AH$2:$AJ$451,3,FALSE)&amp;IF(ISNUMBER(SEARCH(", Written",AN53))," -R"&amp;VLOOKUP(AN53,Skills!$M$2:$S$620,7,FALSE),IF(ISNUMBER(SEARCH(", Spoken",AN53))," -R"&amp;VLOOKUP(AN53,Skills!$M$2:$S$620,7,FALSE),"")),"")</f>
        <v/>
      </c>
      <c r="AQ53">
        <v>50</v>
      </c>
      <c r="AR53" s="8">
        <f>'Character Sheet'!FB52</f>
        <v>0</v>
      </c>
      <c r="AS53" s="4" t="str">
        <f t="shared" si="17"/>
        <v/>
      </c>
      <c r="AT53" s="4" t="str">
        <f t="shared" si="18"/>
        <v/>
      </c>
      <c r="AU53" s="4" t="str">
        <f t="shared" si="50"/>
        <v/>
      </c>
      <c r="AV53" s="4" t="str">
        <f t="shared" si="51"/>
        <v/>
      </c>
      <c r="AW53" s="4" t="str">
        <f t="shared" si="52"/>
        <v/>
      </c>
      <c r="AX53" s="4" t="str">
        <f t="shared" si="22"/>
        <v/>
      </c>
      <c r="AY53" s="4" t="str">
        <f t="shared" si="53"/>
        <v/>
      </c>
      <c r="AZ53" s="4" t="str">
        <f t="shared" si="54"/>
        <v/>
      </c>
      <c r="BA53" s="4" t="str">
        <f>IFERROR('Character Sheet'!JK52,"")</f>
        <v/>
      </c>
      <c r="BB53" s="4" t="str">
        <f t="shared" si="25"/>
        <v/>
      </c>
      <c r="BC53" s="4" t="str">
        <f t="shared" si="55"/>
        <v/>
      </c>
      <c r="BD53" s="4" t="str">
        <f t="shared" si="56"/>
        <v/>
      </c>
      <c r="BE53" s="4" t="str">
        <f t="shared" si="57"/>
        <v/>
      </c>
      <c r="BF53" s="4" t="str">
        <f t="shared" si="58"/>
        <v/>
      </c>
      <c r="BG53" s="4" t="str">
        <f t="shared" si="59"/>
        <v/>
      </c>
      <c r="BH53" s="4" t="str">
        <f>IFERROR('Character Sheet'!KC52,"")</f>
        <v/>
      </c>
      <c r="BI53" s="4" t="str">
        <f t="shared" si="29"/>
        <v/>
      </c>
      <c r="BJ53" s="4" t="str">
        <f t="shared" si="60"/>
        <v/>
      </c>
      <c r="BK53" s="4" t="str">
        <f t="shared" si="61"/>
        <v/>
      </c>
      <c r="BL53" s="4" t="str">
        <f t="shared" si="62"/>
        <v/>
      </c>
      <c r="BM53" s="4" t="str">
        <f t="shared" si="63"/>
        <v/>
      </c>
      <c r="BN53" s="4" t="str">
        <f t="shared" si="64"/>
        <v/>
      </c>
      <c r="BO53" s="4" t="str">
        <f t="shared" si="65"/>
        <v/>
      </c>
      <c r="BP53" s="4" t="str">
        <f t="shared" si="66"/>
        <v/>
      </c>
      <c r="BQ53" s="4" t="str">
        <f>IFERROR('Character Sheet'!IQ52+VLOOKUP(BA53,MaterialChart,5,FALSE),"")</f>
        <v/>
      </c>
      <c r="BR53" s="4" t="str">
        <f t="shared" si="67"/>
        <v/>
      </c>
      <c r="BS53" s="4">
        <f t="shared" ref="BS53:BS84" si="94">IFERROR(VLOOKUP(AR53,ItemChart,8,FALSE)+(BG53)+(BN53)-((AV53)+(AZ53)),0)</f>
        <v>0</v>
      </c>
      <c r="BT53" s="4" t="str">
        <f t="shared" si="68"/>
        <v/>
      </c>
      <c r="BU53" s="4" t="str">
        <f t="shared" si="69"/>
        <v/>
      </c>
      <c r="BV53" s="4" t="str">
        <f t="shared" si="70"/>
        <v/>
      </c>
      <c r="BW53" s="4" t="str">
        <f>IFERROR(ROUNDUP((BE53*(BB53-AT53))+(BL53*(BI53-AX53))+(BT53*(((100+(BD53+IF(BE53=1,0,BK53))+(4*BR53))/100)))*'Character Sheet'!GT52,3),"")</f>
        <v/>
      </c>
      <c r="BX53" s="4" t="str">
        <f t="shared" si="93"/>
        <v/>
      </c>
      <c r="BY53" s="8"/>
      <c r="DH53" s="4" t="str">
        <f t="shared" si="41"/>
        <v/>
      </c>
      <c r="DI53">
        <v>16</v>
      </c>
      <c r="DJ53" s="3">
        <f>'Character Sheet'!FB52</f>
        <v>0</v>
      </c>
      <c r="DK53" s="4" t="str">
        <f t="shared" si="77"/>
        <v/>
      </c>
      <c r="DL53" s="4" t="str">
        <f>IFERROR(IF(DK53=0,"",VLOOKUP(DK53,Skills!$N$72:$AF$107,19,FALSE)),"")</f>
        <v/>
      </c>
      <c r="DM53" s="4">
        <f>IFERROR(VLOOKUP($DJ53,ItemChart,18,FALSE)+'Character Sheet'!IJ52,0)</f>
        <v>0</v>
      </c>
      <c r="DN53" s="4" t="str">
        <f t="shared" si="92"/>
        <v/>
      </c>
      <c r="DO53" s="4" t="str">
        <f>IFERROR(DN53+0.51,"")</f>
        <v/>
      </c>
      <c r="DP53" s="4">
        <f t="shared" si="43"/>
        <v>0</v>
      </c>
      <c r="DQ53" s="4">
        <f t="shared" si="78"/>
        <v>1</v>
      </c>
      <c r="DR53" s="4" t="e">
        <f t="shared" si="79"/>
        <v>#N/A</v>
      </c>
      <c r="DS53" s="4">
        <f t="shared" si="80"/>
        <v>16</v>
      </c>
      <c r="DT53" s="4" t="str">
        <f t="shared" si="81"/>
        <v/>
      </c>
      <c r="DU53" s="4" t="str">
        <f t="shared" si="82"/>
        <v/>
      </c>
      <c r="DV53" s="4" t="e">
        <f>VLOOKUP((VLOOKUP((VLOOKUP('Character Creation'!$Z$11,RaceChart,20,FALSE)&amp;" "&amp;VLOOKUP('Character Creation'!$Z$11,RaceChart,21,FALSE)),Charts!$H$2:$J$14,3,FALSE)+DU53),Charts!$J$2:$N$14,5,FALSE)</f>
        <v>#VALUE!</v>
      </c>
      <c r="DW53" s="4" t="e">
        <f>VLOOKUP(DV53,Charts!$N$2:$Q$14,4,FALSE)</f>
        <v>#VALUE!</v>
      </c>
      <c r="DX53" s="4" t="str">
        <f t="shared" si="83"/>
        <v/>
      </c>
      <c r="DY53" s="4" t="str">
        <f t="shared" si="84"/>
        <v/>
      </c>
      <c r="DZ53" s="4" t="str">
        <f t="shared" si="85"/>
        <v/>
      </c>
      <c r="EA53" s="4" t="e">
        <f>ROUNDDOWN(VLOOKUP(DK53,Skills!$N$72:$S$107,6,FALSE)/5,0)</f>
        <v>#N/A</v>
      </c>
      <c r="EB53" s="4" t="str">
        <f t="shared" si="86"/>
        <v/>
      </c>
      <c r="EC53" s="4" t="str">
        <f t="shared" si="87"/>
        <v>+</v>
      </c>
      <c r="ED53" s="4" t="e">
        <f>VLOOKUP(DJ53,'Character Sheet'!$FB$21:$HQ$35,61,FALSE)</f>
        <v>#N/A</v>
      </c>
      <c r="EE53" s="4" t="str">
        <f t="shared" si="88"/>
        <v/>
      </c>
      <c r="EF53" s="4" t="str">
        <f t="shared" si="89"/>
        <v/>
      </c>
      <c r="EG53" s="4" t="e">
        <f>VLOOKUP(DR53,Items!$B$1156:$AA$1282,18,FALSE)</f>
        <v>#N/A</v>
      </c>
      <c r="EH53" s="4" t="e">
        <f>VLOOKUP(DJ53,'Character Sheet'!$E$26:$EZ$45,81,FALSE)</f>
        <v>#N/A</v>
      </c>
      <c r="EI53" s="4" t="e">
        <f>VLOOKUP(DJ53,'Character Sheet'!$E$26:$EZ$45,89,FALSE)</f>
        <v>#N/A</v>
      </c>
      <c r="EJ53" s="4" t="e">
        <f t="shared" si="90"/>
        <v>#N/A</v>
      </c>
    </row>
    <row r="54" spans="29:140" x14ac:dyDescent="0.25">
      <c r="AC54" s="8" t="str">
        <f>IFERROR(VLOOKUP('Character Creation'!$CI67,Skills!$H$2:$N$620,6,FALSE),"")</f>
        <v/>
      </c>
      <c r="AD54" s="4">
        <f>'Character Creation'!EH67</f>
        <v>0</v>
      </c>
      <c r="AG54">
        <v>53</v>
      </c>
      <c r="AH54" s="4" t="str">
        <f t="shared" si="5"/>
        <v/>
      </c>
      <c r="AI54" t="str">
        <f>IFERROR(VLOOKUP(AG54,Skills!$B$2:$M$620,12,FALSE),"")</f>
        <v/>
      </c>
      <c r="AJ54" s="4" t="str">
        <f>IFERROR(VLOOKUP(AG54,Skills!$B$2:$AF$620,31,FALSE),"")</f>
        <v/>
      </c>
      <c r="AK54" s="4" t="str">
        <f t="shared" si="91"/>
        <v/>
      </c>
      <c r="AL54" s="4">
        <v>5.2999999999999999E-2</v>
      </c>
      <c r="AM54" s="62" t="str">
        <f t="shared" si="6"/>
        <v/>
      </c>
      <c r="AN54" t="str">
        <f t="shared" ca="1" si="7"/>
        <v/>
      </c>
      <c r="AO54" s="4" t="str">
        <f ca="1">IFERROR(VLOOKUP(AG54,$AH$2:$AJ$451,3,FALSE)&amp;IF(ISNUMBER(SEARCH(", Written",AN54))," -R"&amp;VLOOKUP(AN54,Skills!$M$2:$S$620,7,FALSE),IF(ISNUMBER(SEARCH(", Spoken",AN54))," -R"&amp;VLOOKUP(AN54,Skills!$M$2:$S$620,7,FALSE),"")),"")</f>
        <v/>
      </c>
      <c r="AQ54">
        <v>51</v>
      </c>
      <c r="AR54" s="8">
        <f>'Character Sheet'!FB53</f>
        <v>0</v>
      </c>
      <c r="AS54" s="4" t="str">
        <f t="shared" si="17"/>
        <v/>
      </c>
      <c r="AT54" s="4" t="str">
        <f t="shared" si="18"/>
        <v/>
      </c>
      <c r="AU54" s="4" t="str">
        <f t="shared" si="50"/>
        <v/>
      </c>
      <c r="AV54" s="4" t="str">
        <f t="shared" si="51"/>
        <v/>
      </c>
      <c r="AW54" s="4" t="str">
        <f t="shared" si="52"/>
        <v/>
      </c>
      <c r="AX54" s="4" t="str">
        <f t="shared" si="22"/>
        <v/>
      </c>
      <c r="AY54" s="4" t="str">
        <f t="shared" si="53"/>
        <v/>
      </c>
      <c r="AZ54" s="4" t="str">
        <f t="shared" si="54"/>
        <v/>
      </c>
      <c r="BA54" s="4" t="str">
        <f>IFERROR('Character Sheet'!JK53,"")</f>
        <v/>
      </c>
      <c r="BB54" s="4" t="str">
        <f t="shared" si="25"/>
        <v/>
      </c>
      <c r="BC54" s="4" t="str">
        <f t="shared" si="55"/>
        <v/>
      </c>
      <c r="BD54" s="4" t="str">
        <f t="shared" si="56"/>
        <v/>
      </c>
      <c r="BE54" s="4" t="str">
        <f t="shared" si="57"/>
        <v/>
      </c>
      <c r="BF54" s="4" t="str">
        <f t="shared" si="58"/>
        <v/>
      </c>
      <c r="BG54" s="4" t="str">
        <f t="shared" si="59"/>
        <v/>
      </c>
      <c r="BH54" s="4" t="str">
        <f>IFERROR('Character Sheet'!KC53,"")</f>
        <v/>
      </c>
      <c r="BI54" s="4" t="str">
        <f t="shared" si="29"/>
        <v/>
      </c>
      <c r="BJ54" s="4" t="str">
        <f t="shared" si="60"/>
        <v/>
      </c>
      <c r="BK54" s="4" t="str">
        <f t="shared" si="61"/>
        <v/>
      </c>
      <c r="BL54" s="4" t="str">
        <f t="shared" si="62"/>
        <v/>
      </c>
      <c r="BM54" s="4" t="str">
        <f t="shared" si="63"/>
        <v/>
      </c>
      <c r="BN54" s="4" t="str">
        <f t="shared" si="64"/>
        <v/>
      </c>
      <c r="BO54" s="4" t="str">
        <f t="shared" si="65"/>
        <v/>
      </c>
      <c r="BP54" s="4" t="str">
        <f t="shared" si="66"/>
        <v/>
      </c>
      <c r="BQ54" s="4" t="str">
        <f>IFERROR('Character Sheet'!IQ53+VLOOKUP(BA54,MaterialChart,5,FALSE),"")</f>
        <v/>
      </c>
      <c r="BR54" s="4" t="str">
        <f t="shared" si="67"/>
        <v/>
      </c>
      <c r="BS54" s="4">
        <f t="shared" si="94"/>
        <v>0</v>
      </c>
      <c r="BT54" s="4" t="str">
        <f t="shared" si="68"/>
        <v/>
      </c>
      <c r="BU54" s="4" t="str">
        <f t="shared" si="69"/>
        <v/>
      </c>
      <c r="BV54" s="4" t="str">
        <f t="shared" si="70"/>
        <v/>
      </c>
      <c r="BW54" s="4" t="str">
        <f>IFERROR(ROUNDUP((BE54*(BB54-AT54))+(BL54*(BI54-AX54))+(BT54*(((100+(BD54+IF(BE54=1,0,BK54))+(4*BR54))/100)))*'Character Sheet'!GT53,3),"")</f>
        <v/>
      </c>
      <c r="BX54" s="4" t="str">
        <f t="shared" si="93"/>
        <v/>
      </c>
      <c r="BY54" s="8"/>
      <c r="DH54" s="4" t="str">
        <f t="shared" si="41"/>
        <v/>
      </c>
      <c r="DI54">
        <v>17</v>
      </c>
      <c r="DJ54" s="3">
        <f>'Character Sheet'!FB53</f>
        <v>0</v>
      </c>
      <c r="DK54" s="4" t="str">
        <f t="shared" si="77"/>
        <v/>
      </c>
      <c r="DL54" s="4" t="str">
        <f>IFERROR(IF(DK54=0,"",VLOOKUP(DK54,Skills!$N$72:$AF$107,19,FALSE)),"")</f>
        <v/>
      </c>
      <c r="DM54" s="4">
        <f>IFERROR(VLOOKUP($DJ54,ItemChart,18,FALSE)+'Character Sheet'!IJ53,0)</f>
        <v>0</v>
      </c>
      <c r="DN54" s="4" t="str">
        <f t="shared" si="92"/>
        <v/>
      </c>
      <c r="DO54" s="4" t="str">
        <f>IFERROR(DN54+0.52,"")</f>
        <v/>
      </c>
      <c r="DP54" s="4">
        <f t="shared" si="43"/>
        <v>0</v>
      </c>
      <c r="DQ54" s="4">
        <f t="shared" si="78"/>
        <v>1</v>
      </c>
      <c r="DR54" s="4" t="e">
        <f t="shared" si="79"/>
        <v>#N/A</v>
      </c>
      <c r="DS54" s="4">
        <f t="shared" si="80"/>
        <v>17</v>
      </c>
      <c r="DT54" s="4" t="str">
        <f t="shared" si="81"/>
        <v/>
      </c>
      <c r="DU54" s="4" t="str">
        <f t="shared" si="82"/>
        <v/>
      </c>
      <c r="DV54" s="4" t="e">
        <f>VLOOKUP((VLOOKUP((VLOOKUP('Character Creation'!$Z$11,RaceChart,20,FALSE)&amp;" "&amp;VLOOKUP('Character Creation'!$Z$11,RaceChart,21,FALSE)),Charts!$H$2:$J$14,3,FALSE)+DU54),Charts!$J$2:$N$14,5,FALSE)</f>
        <v>#VALUE!</v>
      </c>
      <c r="DW54" s="4" t="e">
        <f>VLOOKUP(DV54,Charts!$N$2:$Q$14,4,FALSE)</f>
        <v>#VALUE!</v>
      </c>
      <c r="DX54" s="4" t="str">
        <f t="shared" si="83"/>
        <v/>
      </c>
      <c r="DY54" s="4" t="str">
        <f t="shared" si="84"/>
        <v/>
      </c>
      <c r="DZ54" s="4" t="str">
        <f t="shared" si="85"/>
        <v/>
      </c>
      <c r="EA54" s="4" t="e">
        <f>ROUNDDOWN(VLOOKUP(DK54,Skills!$N$72:$S$107,6,FALSE)/5,0)</f>
        <v>#N/A</v>
      </c>
      <c r="EB54" s="4" t="str">
        <f t="shared" si="86"/>
        <v/>
      </c>
      <c r="EC54" s="4" t="str">
        <f t="shared" si="87"/>
        <v>+</v>
      </c>
      <c r="ED54" s="4" t="e">
        <f>VLOOKUP(DJ54,'Character Sheet'!$FB$21:$HQ$35,61,FALSE)</f>
        <v>#N/A</v>
      </c>
      <c r="EE54" s="4" t="str">
        <f t="shared" si="88"/>
        <v/>
      </c>
      <c r="EF54" s="4" t="str">
        <f t="shared" si="89"/>
        <v/>
      </c>
      <c r="EG54" s="4" t="e">
        <f>VLOOKUP(DR54,Items!$B$1156:$AA$1282,18,FALSE)</f>
        <v>#N/A</v>
      </c>
      <c r="EH54" s="4" t="e">
        <f>VLOOKUP(DJ54,'Character Sheet'!$E$26:$EZ$45,81,FALSE)</f>
        <v>#N/A</v>
      </c>
      <c r="EI54" s="4" t="e">
        <f>VLOOKUP(DJ54,'Character Sheet'!$E$26:$EZ$45,89,FALSE)</f>
        <v>#N/A</v>
      </c>
      <c r="EJ54" s="4" t="e">
        <f t="shared" si="90"/>
        <v>#N/A</v>
      </c>
    </row>
    <row r="55" spans="29:140" x14ac:dyDescent="0.25">
      <c r="AC55" s="8" t="str">
        <f>IFERROR(VLOOKUP('Character Creation'!$CI68,Skills!$H$2:$N$620,6,FALSE),"")</f>
        <v/>
      </c>
      <c r="AD55" s="4">
        <f>'Character Creation'!EH68</f>
        <v>0</v>
      </c>
      <c r="AG55">
        <v>54</v>
      </c>
      <c r="AH55" s="4" t="str">
        <f t="shared" si="5"/>
        <v/>
      </c>
      <c r="AI55" t="str">
        <f>IFERROR(VLOOKUP(AG55,Skills!$B$2:$M$620,12,FALSE),"")</f>
        <v/>
      </c>
      <c r="AJ55" s="4" t="str">
        <f>IFERROR(VLOOKUP(AG55,Skills!$B$2:$AF$620,31,FALSE),"")</f>
        <v/>
      </c>
      <c r="AK55" s="4" t="str">
        <f t="shared" si="91"/>
        <v/>
      </c>
      <c r="AL55" s="4">
        <v>5.3999999999999999E-2</v>
      </c>
      <c r="AM55" s="62" t="str">
        <f t="shared" si="6"/>
        <v/>
      </c>
      <c r="AN55" t="str">
        <f t="shared" ca="1" si="7"/>
        <v/>
      </c>
      <c r="AO55" s="4" t="str">
        <f ca="1">IFERROR(VLOOKUP(AG55,$AH$2:$AJ$451,3,FALSE)&amp;IF(ISNUMBER(SEARCH(", Written",AN55))," -R"&amp;VLOOKUP(AN55,Skills!$M$2:$S$620,7,FALSE),IF(ISNUMBER(SEARCH(", Spoken",AN55))," -R"&amp;VLOOKUP(AN55,Skills!$M$2:$S$620,7,FALSE),"")),"")</f>
        <v/>
      </c>
      <c r="AQ55">
        <v>52</v>
      </c>
      <c r="AR55" s="8">
        <f>'Character Sheet'!FB54</f>
        <v>0</v>
      </c>
      <c r="AS55" s="4" t="str">
        <f t="shared" si="17"/>
        <v/>
      </c>
      <c r="AT55" s="4" t="str">
        <f t="shared" si="18"/>
        <v/>
      </c>
      <c r="AU55" s="4" t="str">
        <f t="shared" si="50"/>
        <v/>
      </c>
      <c r="AV55" s="4" t="str">
        <f t="shared" si="51"/>
        <v/>
      </c>
      <c r="AW55" s="4" t="str">
        <f t="shared" si="52"/>
        <v/>
      </c>
      <c r="AX55" s="4" t="str">
        <f t="shared" si="22"/>
        <v/>
      </c>
      <c r="AY55" s="4" t="str">
        <f t="shared" si="53"/>
        <v/>
      </c>
      <c r="AZ55" s="4" t="str">
        <f t="shared" si="54"/>
        <v/>
      </c>
      <c r="BA55" s="4" t="str">
        <f>IFERROR('Character Sheet'!JK54,"")</f>
        <v/>
      </c>
      <c r="BB55" s="4" t="str">
        <f t="shared" si="25"/>
        <v/>
      </c>
      <c r="BC55" s="4" t="str">
        <f t="shared" si="55"/>
        <v/>
      </c>
      <c r="BD55" s="4" t="str">
        <f t="shared" si="56"/>
        <v/>
      </c>
      <c r="BE55" s="4" t="str">
        <f t="shared" si="57"/>
        <v/>
      </c>
      <c r="BF55" s="4" t="str">
        <f t="shared" si="58"/>
        <v/>
      </c>
      <c r="BG55" s="4" t="str">
        <f t="shared" si="59"/>
        <v/>
      </c>
      <c r="BH55" s="4" t="str">
        <f>IFERROR('Character Sheet'!KC54,"")</f>
        <v/>
      </c>
      <c r="BI55" s="4" t="str">
        <f t="shared" si="29"/>
        <v/>
      </c>
      <c r="BJ55" s="4" t="str">
        <f t="shared" si="60"/>
        <v/>
      </c>
      <c r="BK55" s="4" t="str">
        <f t="shared" si="61"/>
        <v/>
      </c>
      <c r="BL55" s="4" t="str">
        <f t="shared" si="62"/>
        <v/>
      </c>
      <c r="BM55" s="4" t="str">
        <f t="shared" si="63"/>
        <v/>
      </c>
      <c r="BN55" s="4" t="str">
        <f t="shared" si="64"/>
        <v/>
      </c>
      <c r="BO55" s="4" t="str">
        <f t="shared" si="65"/>
        <v/>
      </c>
      <c r="BP55" s="4" t="str">
        <f t="shared" si="66"/>
        <v/>
      </c>
      <c r="BQ55" s="4" t="str">
        <f>IFERROR('Character Sheet'!IQ54+VLOOKUP(BA55,MaterialChart,5,FALSE),"")</f>
        <v/>
      </c>
      <c r="BR55" s="4" t="str">
        <f t="shared" si="67"/>
        <v/>
      </c>
      <c r="BS55" s="4">
        <f t="shared" si="94"/>
        <v>0</v>
      </c>
      <c r="BT55" s="4" t="str">
        <f t="shared" si="68"/>
        <v/>
      </c>
      <c r="BU55" s="4" t="str">
        <f t="shared" si="69"/>
        <v/>
      </c>
      <c r="BV55" s="4" t="str">
        <f t="shared" si="70"/>
        <v/>
      </c>
      <c r="BW55" s="4" t="str">
        <f>IFERROR(ROUNDUP((BE55*(BB55-AT55))+(BL55*(BI55-AX55))+(BT55*(((100+(BD55+IF(BE55=1,0,BK55))+(4*BR55))/100)))*'Character Sheet'!GT54,3),"")</f>
        <v/>
      </c>
      <c r="BX55" s="4" t="str">
        <f t="shared" si="93"/>
        <v/>
      </c>
      <c r="BY55" s="8"/>
      <c r="DH55" s="4" t="str">
        <f t="shared" si="41"/>
        <v/>
      </c>
      <c r="DI55">
        <v>18</v>
      </c>
      <c r="DJ55" s="3">
        <f>'Character Sheet'!FB54</f>
        <v>0</v>
      </c>
      <c r="DK55" s="4" t="str">
        <f t="shared" si="77"/>
        <v/>
      </c>
      <c r="DL55" s="4" t="str">
        <f>IFERROR(IF(DK55=0,"",VLOOKUP(DK55,Skills!$N$72:$AF$107,19,FALSE)),"")</f>
        <v/>
      </c>
      <c r="DM55" s="4">
        <f>IFERROR(VLOOKUP($DJ55,ItemChart,18,FALSE)+'Character Sheet'!IJ54,0)</f>
        <v>0</v>
      </c>
      <c r="DN55" s="4" t="str">
        <f t="shared" si="92"/>
        <v/>
      </c>
      <c r="DO55" s="4" t="str">
        <f>IFERROR(DN55+0.53,"")</f>
        <v/>
      </c>
      <c r="DP55" s="4">
        <f t="shared" si="43"/>
        <v>0</v>
      </c>
      <c r="DQ55" s="4">
        <f t="shared" si="78"/>
        <v>1</v>
      </c>
      <c r="DR55" s="4" t="e">
        <f t="shared" si="79"/>
        <v>#N/A</v>
      </c>
      <c r="DS55" s="4">
        <f t="shared" si="80"/>
        <v>18</v>
      </c>
      <c r="DT55" s="4" t="str">
        <f t="shared" si="81"/>
        <v/>
      </c>
      <c r="DU55" s="4" t="str">
        <f t="shared" si="82"/>
        <v/>
      </c>
      <c r="DV55" s="4" t="e">
        <f>VLOOKUP((VLOOKUP((VLOOKUP('Character Creation'!$Z$11,RaceChart,20,FALSE)&amp;" "&amp;VLOOKUP('Character Creation'!$Z$11,RaceChart,21,FALSE)),Charts!$H$2:$J$14,3,FALSE)+DU55),Charts!$J$2:$N$14,5,FALSE)</f>
        <v>#VALUE!</v>
      </c>
      <c r="DW55" s="4" t="e">
        <f>VLOOKUP(DV55,Charts!$N$2:$Q$14,4,FALSE)</f>
        <v>#VALUE!</v>
      </c>
      <c r="DX55" s="4" t="str">
        <f t="shared" si="83"/>
        <v/>
      </c>
      <c r="DY55" s="4" t="str">
        <f t="shared" si="84"/>
        <v/>
      </c>
      <c r="DZ55" s="4" t="str">
        <f t="shared" si="85"/>
        <v/>
      </c>
      <c r="EA55" s="4" t="e">
        <f>ROUNDDOWN(VLOOKUP(DK55,Skills!$N$72:$S$107,6,FALSE)/5,0)</f>
        <v>#N/A</v>
      </c>
      <c r="EB55" s="4" t="str">
        <f t="shared" si="86"/>
        <v/>
      </c>
      <c r="EC55" s="4" t="str">
        <f t="shared" si="87"/>
        <v>+</v>
      </c>
      <c r="ED55" s="4" t="e">
        <f>VLOOKUP(DJ55,'Character Sheet'!$FB$21:$HQ$35,61,FALSE)</f>
        <v>#N/A</v>
      </c>
      <c r="EE55" s="4" t="str">
        <f t="shared" si="88"/>
        <v/>
      </c>
      <c r="EF55" s="4" t="str">
        <f t="shared" si="89"/>
        <v/>
      </c>
      <c r="EG55" s="4" t="e">
        <f>VLOOKUP(DR55,Items!$B$1156:$AA$1282,18,FALSE)</f>
        <v>#N/A</v>
      </c>
      <c r="EH55" s="4" t="e">
        <f>VLOOKUP(DJ55,'Character Sheet'!$E$26:$EZ$45,81,FALSE)</f>
        <v>#N/A</v>
      </c>
      <c r="EI55" s="4" t="e">
        <f>VLOOKUP(DJ55,'Character Sheet'!$E$26:$EZ$45,89,FALSE)</f>
        <v>#N/A</v>
      </c>
      <c r="EJ55" s="4" t="e">
        <f t="shared" si="90"/>
        <v>#N/A</v>
      </c>
    </row>
    <row r="56" spans="29:140" x14ac:dyDescent="0.25">
      <c r="AC56" s="8" t="str">
        <f>IFERROR(VLOOKUP('Character Creation'!$CI69,Skills!$H$2:$N$620,6,FALSE),"")</f>
        <v/>
      </c>
      <c r="AD56" s="4">
        <f>'Character Creation'!EH69</f>
        <v>0</v>
      </c>
      <c r="AG56">
        <v>55</v>
      </c>
      <c r="AH56" s="4" t="str">
        <f t="shared" si="5"/>
        <v/>
      </c>
      <c r="AI56" t="str">
        <f>IFERROR(VLOOKUP(AG56,Skills!$B$2:$M$620,12,FALSE),"")</f>
        <v/>
      </c>
      <c r="AJ56" s="4" t="str">
        <f>IFERROR(VLOOKUP(AG56,Skills!$B$2:$AF$620,31,FALSE),"")</f>
        <v/>
      </c>
      <c r="AK56" s="4" t="str">
        <f t="shared" si="91"/>
        <v/>
      </c>
      <c r="AL56" s="4">
        <v>5.5E-2</v>
      </c>
      <c r="AM56" s="62" t="str">
        <f t="shared" si="6"/>
        <v/>
      </c>
      <c r="AN56" t="str">
        <f t="shared" ca="1" si="7"/>
        <v/>
      </c>
      <c r="AO56" s="4" t="str">
        <f ca="1">IFERROR(VLOOKUP(AG56,$AH$2:$AJ$451,3,FALSE)&amp;IF(ISNUMBER(SEARCH(", Written",AN56))," -R"&amp;VLOOKUP(AN56,Skills!$M$2:$S$620,7,FALSE),IF(ISNUMBER(SEARCH(", Spoken",AN56))," -R"&amp;VLOOKUP(AN56,Skills!$M$2:$S$620,7,FALSE),"")),"")</f>
        <v/>
      </c>
      <c r="AQ56">
        <v>53</v>
      </c>
      <c r="AR56" s="8" t="str">
        <f>'Character Sheet'!FB55</f>
        <v>Backpack</v>
      </c>
      <c r="AS56" s="4" t="str">
        <f t="shared" si="17"/>
        <v/>
      </c>
      <c r="AT56" s="4" t="str">
        <f t="shared" si="18"/>
        <v/>
      </c>
      <c r="AU56" s="4" t="str">
        <f t="shared" si="50"/>
        <v/>
      </c>
      <c r="AV56" s="4" t="str">
        <f t="shared" si="51"/>
        <v/>
      </c>
      <c r="AW56" s="4" t="str">
        <f t="shared" si="52"/>
        <v/>
      </c>
      <c r="AX56" s="4" t="str">
        <f t="shared" si="22"/>
        <v/>
      </c>
      <c r="AY56" s="4" t="str">
        <f t="shared" si="53"/>
        <v/>
      </c>
      <c r="AZ56" s="4" t="str">
        <f t="shared" si="54"/>
        <v/>
      </c>
      <c r="BA56" s="4" t="str">
        <f>IFERROR('Character Sheet'!JK55,"")</f>
        <v>Primary Material</v>
      </c>
      <c r="BB56" s="4" t="str">
        <f t="shared" si="25"/>
        <v/>
      </c>
      <c r="BC56" s="4" t="str">
        <f t="shared" si="55"/>
        <v/>
      </c>
      <c r="BD56" s="4" t="str">
        <f t="shared" si="56"/>
        <v/>
      </c>
      <c r="BE56" s="4" t="str">
        <f t="shared" si="57"/>
        <v/>
      </c>
      <c r="BF56" s="4" t="str">
        <f t="shared" si="58"/>
        <v/>
      </c>
      <c r="BG56" s="4" t="str">
        <f t="shared" si="59"/>
        <v/>
      </c>
      <c r="BH56" s="4" t="str">
        <f>IFERROR('Character Sheet'!KC55,"")</f>
        <v>Secondary Material</v>
      </c>
      <c r="BI56" s="4" t="str">
        <f t="shared" si="29"/>
        <v/>
      </c>
      <c r="BJ56" s="4" t="str">
        <f t="shared" si="60"/>
        <v/>
      </c>
      <c r="BK56" s="4" t="str">
        <f t="shared" si="61"/>
        <v/>
      </c>
      <c r="BL56" s="4" t="str">
        <f t="shared" si="62"/>
        <v/>
      </c>
      <c r="BM56" s="4" t="str">
        <f t="shared" si="63"/>
        <v/>
      </c>
      <c r="BN56" s="4" t="str">
        <f t="shared" si="64"/>
        <v/>
      </c>
      <c r="BO56" s="4" t="str">
        <f t="shared" si="65"/>
        <v/>
      </c>
      <c r="BP56" s="4" t="str">
        <f t="shared" si="66"/>
        <v/>
      </c>
      <c r="BQ56" s="4" t="str">
        <f>IFERROR('Character Sheet'!IQ55+VLOOKUP(BA56,MaterialChart,5,FALSE),"")</f>
        <v/>
      </c>
      <c r="BR56" s="4" t="str">
        <f t="shared" si="67"/>
        <v/>
      </c>
      <c r="BS56" s="4">
        <f t="shared" si="94"/>
        <v>0</v>
      </c>
      <c r="BT56" s="4" t="str">
        <f t="shared" si="68"/>
        <v/>
      </c>
      <c r="BU56" s="4" t="str">
        <f t="shared" si="69"/>
        <v/>
      </c>
      <c r="BV56" s="4" t="str">
        <f t="shared" si="70"/>
        <v/>
      </c>
      <c r="BW56" s="4" t="str">
        <f>IFERROR(ROUNDUP((BE56*(BB56-AT56))+(BL56*(BI56-AX56))+(BT56*(((100+(BD56+IF(BE56=1,0,BK56))+(4*BR56))/100)))*'Character Sheet'!GT55,3),"")</f>
        <v/>
      </c>
      <c r="BX56" s="4" t="str">
        <f t="shared" si="93"/>
        <v/>
      </c>
      <c r="BY56" s="8"/>
      <c r="DH56" s="4" t="str">
        <f t="shared" si="41"/>
        <v/>
      </c>
      <c r="DI56">
        <v>19</v>
      </c>
      <c r="DJ56" s="3" t="str">
        <f>'Character Sheet'!FB55</f>
        <v>Backpack</v>
      </c>
      <c r="DK56" s="4" t="str">
        <f t="shared" si="77"/>
        <v/>
      </c>
      <c r="DL56" s="4" t="str">
        <f>IFERROR(IF(DK56=0,"",VLOOKUP(DK56,Skills!$N$72:$AF$107,19,FALSE)),"")</f>
        <v/>
      </c>
      <c r="DM56" s="4">
        <f>IFERROR(VLOOKUP($DJ56,ItemChart,18,FALSE)+'Character Sheet'!IJ55,0)</f>
        <v>0</v>
      </c>
      <c r="DN56" s="4" t="str">
        <f t="shared" si="92"/>
        <v/>
      </c>
      <c r="DO56" s="4" t="str">
        <f>IFERROR(DN56+0.54,"")</f>
        <v/>
      </c>
      <c r="DP56" s="4">
        <f t="shared" si="43"/>
        <v>0</v>
      </c>
      <c r="DQ56" s="4">
        <f t="shared" si="78"/>
        <v>1</v>
      </c>
      <c r="DR56" s="4" t="e">
        <f t="shared" si="79"/>
        <v>#N/A</v>
      </c>
      <c r="DS56" s="4">
        <f t="shared" si="80"/>
        <v>19</v>
      </c>
      <c r="DT56" s="4" t="str">
        <f t="shared" si="81"/>
        <v/>
      </c>
      <c r="DU56" s="4" t="str">
        <f t="shared" si="82"/>
        <v/>
      </c>
      <c r="DV56" s="4" t="e">
        <f>VLOOKUP((VLOOKUP((VLOOKUP('Character Creation'!$Z$11,RaceChart,20,FALSE)&amp;" "&amp;VLOOKUP('Character Creation'!$Z$11,RaceChart,21,FALSE)),Charts!$H$2:$J$14,3,FALSE)+DU56),Charts!$J$2:$N$14,5,FALSE)</f>
        <v>#VALUE!</v>
      </c>
      <c r="DW56" s="4" t="e">
        <f>VLOOKUP(DV56,Charts!$N$2:$Q$14,4,FALSE)</f>
        <v>#VALUE!</v>
      </c>
      <c r="DX56" s="4" t="str">
        <f t="shared" si="83"/>
        <v/>
      </c>
      <c r="DY56" s="4" t="str">
        <f t="shared" si="84"/>
        <v/>
      </c>
      <c r="DZ56" s="4" t="str">
        <f t="shared" si="85"/>
        <v/>
      </c>
      <c r="EA56" s="4" t="e">
        <f>ROUNDDOWN(VLOOKUP(DK56,Skills!$N$72:$S$107,6,FALSE)/5,0)</f>
        <v>#N/A</v>
      </c>
      <c r="EB56" s="4" t="str">
        <f t="shared" si="86"/>
        <v/>
      </c>
      <c r="EC56" s="4" t="str">
        <f t="shared" si="87"/>
        <v>+</v>
      </c>
      <c r="ED56" s="4" t="e">
        <f>VLOOKUP(DJ56,'Character Sheet'!$FB$21:$HQ$35,61,FALSE)</f>
        <v>#N/A</v>
      </c>
      <c r="EE56" s="4" t="str">
        <f t="shared" si="88"/>
        <v/>
      </c>
      <c r="EF56" s="4" t="str">
        <f t="shared" si="89"/>
        <v/>
      </c>
      <c r="EG56" s="4" t="e">
        <f>VLOOKUP(DR56,Items!$B$1156:$AA$1282,18,FALSE)</f>
        <v>#N/A</v>
      </c>
      <c r="EH56" s="4" t="e">
        <f>VLOOKUP(DJ56,'Character Sheet'!$E$26:$EZ$45,81,FALSE)</f>
        <v>#N/A</v>
      </c>
      <c r="EI56" s="4" t="e">
        <f>VLOOKUP(DJ56,'Character Sheet'!$E$26:$EZ$45,89,FALSE)</f>
        <v>#N/A</v>
      </c>
      <c r="EJ56" s="4" t="e">
        <f t="shared" si="90"/>
        <v>#N/A</v>
      </c>
    </row>
    <row r="57" spans="29:140" x14ac:dyDescent="0.25">
      <c r="AC57" s="8" t="str">
        <f>IFERROR(VLOOKUP('Character Creation'!$CI70,Skills!$H$2:$N$620,6,FALSE),"")</f>
        <v/>
      </c>
      <c r="AD57" s="4">
        <f>'Character Creation'!EH70</f>
        <v>0</v>
      </c>
      <c r="AG57">
        <v>56</v>
      </c>
      <c r="AH57" s="4" t="str">
        <f t="shared" si="5"/>
        <v/>
      </c>
      <c r="AI57" t="str">
        <f>IFERROR(VLOOKUP(AG57,Skills!$B$2:$M$620,12,FALSE),"")</f>
        <v/>
      </c>
      <c r="AJ57" s="4" t="str">
        <f>IFERROR(VLOOKUP(AG57,Skills!$B$2:$AF$620,31,FALSE),"")</f>
        <v/>
      </c>
      <c r="AK57" s="4" t="str">
        <f t="shared" si="91"/>
        <v/>
      </c>
      <c r="AL57" s="4">
        <v>5.6000000000000001E-2</v>
      </c>
      <c r="AM57" s="62" t="str">
        <f t="shared" si="6"/>
        <v/>
      </c>
      <c r="AN57" t="str">
        <f t="shared" ca="1" si="7"/>
        <v/>
      </c>
      <c r="AO57" s="4" t="str">
        <f ca="1">IFERROR(VLOOKUP(AG57,$AH$2:$AJ$451,3,FALSE)&amp;IF(ISNUMBER(SEARCH(", Written",AN57))," -R"&amp;VLOOKUP(AN57,Skills!$M$2:$S$620,7,FALSE),IF(ISNUMBER(SEARCH(", Spoken",AN57))," -R"&amp;VLOOKUP(AN57,Skills!$M$2:$S$620,7,FALSE),"")),"")</f>
        <v/>
      </c>
      <c r="AQ57">
        <v>54</v>
      </c>
      <c r="AR57" s="8" t="str">
        <f>'Character Sheet'!FB56</f>
        <v>Backpack, Leather (medium)</v>
      </c>
      <c r="AS57" s="4" t="str">
        <f t="shared" si="17"/>
        <v>Soft Leather</v>
      </c>
      <c r="AT57" s="4">
        <f t="shared" si="18"/>
        <v>0.05</v>
      </c>
      <c r="AU57" s="4">
        <f t="shared" si="50"/>
        <v>30</v>
      </c>
      <c r="AV57" s="4">
        <f t="shared" si="51"/>
        <v>0</v>
      </c>
      <c r="AW57" s="4" t="str">
        <f t="shared" si="52"/>
        <v>Heavy Cloth</v>
      </c>
      <c r="AX57" s="4">
        <f t="shared" si="22"/>
        <v>0.04</v>
      </c>
      <c r="AY57" s="4">
        <f t="shared" si="53"/>
        <v>12</v>
      </c>
      <c r="AZ57" s="4">
        <f t="shared" si="54"/>
        <v>0</v>
      </c>
      <c r="BA57" s="4" t="str">
        <f>IFERROR('Character Sheet'!JK56,"")</f>
        <v>Soft Leather</v>
      </c>
      <c r="BB57" s="4">
        <f t="shared" si="25"/>
        <v>0.05</v>
      </c>
      <c r="BC57" s="4">
        <f t="shared" si="55"/>
        <v>0</v>
      </c>
      <c r="BD57" s="4">
        <f t="shared" si="56"/>
        <v>0</v>
      </c>
      <c r="BE57" s="4">
        <f t="shared" si="57"/>
        <v>0.89999999999999991</v>
      </c>
      <c r="BF57" s="4">
        <f t="shared" si="58"/>
        <v>30</v>
      </c>
      <c r="BG57" s="4">
        <f t="shared" si="59"/>
        <v>0</v>
      </c>
      <c r="BH57" s="4" t="str">
        <f>IFERROR('Character Sheet'!KC56,"")</f>
        <v>Heavy Cloth</v>
      </c>
      <c r="BI57" s="4">
        <f t="shared" si="29"/>
        <v>0.04</v>
      </c>
      <c r="BJ57" s="4">
        <f t="shared" si="60"/>
        <v>0</v>
      </c>
      <c r="BK57" s="4">
        <f t="shared" si="61"/>
        <v>0</v>
      </c>
      <c r="BL57" s="4">
        <f t="shared" si="62"/>
        <v>0.60000000000000009</v>
      </c>
      <c r="BM57" s="4">
        <f t="shared" si="63"/>
        <v>12</v>
      </c>
      <c r="BN57" s="4">
        <f t="shared" si="64"/>
        <v>0</v>
      </c>
      <c r="BO57" s="4">
        <f t="shared" si="65"/>
        <v>0.6</v>
      </c>
      <c r="BP57" s="4">
        <f t="shared" si="66"/>
        <v>0</v>
      </c>
      <c r="BQ57" s="4">
        <f>IFERROR('Character Sheet'!IQ56+VLOOKUP(BA57,MaterialChart,5,FALSE),"")</f>
        <v>0</v>
      </c>
      <c r="BR57" s="4">
        <f t="shared" si="67"/>
        <v>0</v>
      </c>
      <c r="BS57" s="4">
        <f t="shared" si="94"/>
        <v>45</v>
      </c>
      <c r="BT57" s="4">
        <f t="shared" si="68"/>
        <v>0.75</v>
      </c>
      <c r="BU57" s="4">
        <f t="shared" si="69"/>
        <v>1.5</v>
      </c>
      <c r="BV57" s="4">
        <f t="shared" si="70"/>
        <v>1.5</v>
      </c>
      <c r="BW57" s="4">
        <f>IFERROR(ROUNDUP((BE57*(BB57-AT57))+(BL57*(BI57-AX57))+(BT57*(((100+(BD57+IF(BE57=1,0,BK57))+(4*BR57))/100)))*'Character Sheet'!GT56,3),"")</f>
        <v>0.75</v>
      </c>
      <c r="BX57" s="4" t="str">
        <f t="shared" si="93"/>
        <v>$0.75</v>
      </c>
      <c r="BY57" s="8"/>
      <c r="DH57" s="4" t="str">
        <f t="shared" si="41"/>
        <v/>
      </c>
      <c r="DI57">
        <v>20</v>
      </c>
      <c r="DJ57" s="3" t="str">
        <f>'Character Sheet'!FB56</f>
        <v>Backpack, Leather (medium)</v>
      </c>
      <c r="DK57" s="4">
        <f t="shared" si="77"/>
        <v>0</v>
      </c>
      <c r="DL57" s="4" t="str">
        <f>IFERROR(IF(DK57=0,"",VLOOKUP(DK57,Skills!$N$72:$AF$107,19,FALSE)),"")</f>
        <v/>
      </c>
      <c r="DM57" s="4">
        <f>IFERROR(VLOOKUP($DJ57,ItemChart,18,FALSE)+'Character Sheet'!IJ56,0)</f>
        <v>0</v>
      </c>
      <c r="DN57" s="4" t="str">
        <f t="shared" si="92"/>
        <v/>
      </c>
      <c r="DO57" s="4" t="str">
        <f>IFERROR(DN57+0.55,"")</f>
        <v/>
      </c>
      <c r="DP57" s="4">
        <f t="shared" si="43"/>
        <v>0</v>
      </c>
      <c r="DQ57" s="4">
        <f t="shared" si="78"/>
        <v>1</v>
      </c>
      <c r="DR57" s="4">
        <f t="shared" si="79"/>
        <v>0</v>
      </c>
      <c r="DS57" s="4">
        <f t="shared" si="80"/>
        <v>20</v>
      </c>
      <c r="DT57" s="4">
        <f t="shared" si="81"/>
        <v>0</v>
      </c>
      <c r="DU57" s="4">
        <f t="shared" si="82"/>
        <v>0</v>
      </c>
      <c r="DV57" s="4" t="str">
        <f>VLOOKUP((VLOOKUP((VLOOKUP('Character Creation'!$Z$11,RaceChart,20,FALSE)&amp;" "&amp;VLOOKUP('Character Creation'!$Z$11,RaceChart,21,FALSE)),Charts!$H$2:$J$14,3,FALSE)+DU57),Charts!$J$2:$N$14,5,FALSE)</f>
        <v>M</v>
      </c>
      <c r="DW57" s="4" t="str">
        <f>VLOOKUP(DV57,Charts!$N$2:$Q$14,4,FALSE)</f>
        <v>(5)</v>
      </c>
      <c r="DX57" s="4" t="str">
        <f t="shared" si="83"/>
        <v>M(5) 0</v>
      </c>
      <c r="DY57" s="4">
        <f t="shared" si="84"/>
        <v>0</v>
      </c>
      <c r="DZ57" s="4" t="str">
        <f t="shared" si="85"/>
        <v/>
      </c>
      <c r="EA57" s="4" t="e">
        <f>ROUNDDOWN(VLOOKUP(DK57,Skills!$N$72:$S$107,6,FALSE)/5,0)</f>
        <v>#N/A</v>
      </c>
      <c r="EB57" s="4">
        <f t="shared" si="86"/>
        <v>0</v>
      </c>
      <c r="EC57" s="4" t="str">
        <f t="shared" si="87"/>
        <v>+0</v>
      </c>
      <c r="ED57" s="4" t="e">
        <f>VLOOKUP(DJ57,'Character Sheet'!$FB$21:$HQ$35,61,FALSE)</f>
        <v>#N/A</v>
      </c>
      <c r="EE57" s="4" t="str">
        <f t="shared" si="88"/>
        <v>- -</v>
      </c>
      <c r="EF57" s="4" t="str">
        <f t="shared" si="89"/>
        <v>- -</v>
      </c>
      <c r="EG57" s="4" t="e">
        <f>VLOOKUP(DR57,Items!$B$1156:$AA$1282,18,FALSE)</f>
        <v>#N/A</v>
      </c>
      <c r="EH57" s="4" t="e">
        <f>VLOOKUP(DJ57,'Character Sheet'!$E$26:$EZ$45,81,FALSE)</f>
        <v>#N/A</v>
      </c>
      <c r="EI57" s="4" t="e">
        <f>VLOOKUP(DJ57,'Character Sheet'!$E$26:$EZ$45,89,FALSE)</f>
        <v>#N/A</v>
      </c>
      <c r="EJ57" s="4" t="e">
        <f t="shared" si="90"/>
        <v>#N/A</v>
      </c>
    </row>
    <row r="58" spans="29:140" x14ac:dyDescent="0.25">
      <c r="AC58" s="8" t="str">
        <f>IFERROR(VLOOKUP('Character Creation'!$CI71,Skills!$H$2:$N$620,6,FALSE),"")</f>
        <v/>
      </c>
      <c r="AD58" s="4">
        <f>'Character Creation'!EH71</f>
        <v>0</v>
      </c>
      <c r="AG58">
        <v>57</v>
      </c>
      <c r="AH58" s="4" t="str">
        <f t="shared" si="5"/>
        <v/>
      </c>
      <c r="AI58" t="str">
        <f>IFERROR(VLOOKUP(AG58,Skills!$B$2:$M$620,12,FALSE),"")</f>
        <v/>
      </c>
      <c r="AJ58" s="4" t="str">
        <f>IFERROR(VLOOKUP(AG58,Skills!$B$2:$AF$620,31,FALSE),"")</f>
        <v/>
      </c>
      <c r="AK58" s="4" t="str">
        <f t="shared" si="91"/>
        <v/>
      </c>
      <c r="AL58" s="4">
        <v>5.7000000000000002E-2</v>
      </c>
      <c r="AM58" s="62" t="str">
        <f t="shared" si="6"/>
        <v/>
      </c>
      <c r="AN58" t="str">
        <f t="shared" ca="1" si="7"/>
        <v/>
      </c>
      <c r="AO58" s="4" t="str">
        <f ca="1">IFERROR(VLOOKUP(AG58,$AH$2:$AJ$451,3,FALSE)&amp;IF(ISNUMBER(SEARCH(", Written",AN58))," -R"&amp;VLOOKUP(AN58,Skills!$M$2:$S$620,7,FALSE),IF(ISNUMBER(SEARCH(", Spoken",AN58))," -R"&amp;VLOOKUP(AN58,Skills!$M$2:$S$620,7,FALSE),"")),"")</f>
        <v/>
      </c>
      <c r="AQ58">
        <v>55</v>
      </c>
      <c r="AR58" s="8" t="str">
        <f>'Character Sheet'!FB57</f>
        <v>Compass</v>
      </c>
      <c r="AS58" s="4" t="str">
        <f t="shared" si="17"/>
        <v>Brass</v>
      </c>
      <c r="AT58" s="4">
        <f t="shared" si="18"/>
        <v>0.75</v>
      </c>
      <c r="AU58" s="4">
        <f t="shared" si="50"/>
        <v>520</v>
      </c>
      <c r="AV58" s="4">
        <f t="shared" si="51"/>
        <v>-5</v>
      </c>
      <c r="AW58" s="4" t="str">
        <f t="shared" si="52"/>
        <v>Brass</v>
      </c>
      <c r="AX58" s="4">
        <f t="shared" si="22"/>
        <v>0.75</v>
      </c>
      <c r="AY58" s="4">
        <f t="shared" si="53"/>
        <v>520</v>
      </c>
      <c r="AZ58" s="4">
        <f t="shared" si="54"/>
        <v>-5</v>
      </c>
      <c r="BA58" s="4" t="str">
        <f>IFERROR('Character Sheet'!JK57,"")</f>
        <v>Brass</v>
      </c>
      <c r="BB58" s="4">
        <f t="shared" si="25"/>
        <v>0.75</v>
      </c>
      <c r="BC58" s="4">
        <f t="shared" si="55"/>
        <v>-5</v>
      </c>
      <c r="BD58" s="4">
        <f t="shared" si="56"/>
        <v>5</v>
      </c>
      <c r="BE58" s="4">
        <f t="shared" si="57"/>
        <v>0.8</v>
      </c>
      <c r="BF58" s="4">
        <f t="shared" si="58"/>
        <v>520</v>
      </c>
      <c r="BG58" s="4">
        <f t="shared" si="59"/>
        <v>-5</v>
      </c>
      <c r="BH58" s="4" t="str">
        <f>IFERROR('Character Sheet'!KC57,"")</f>
        <v>Brass</v>
      </c>
      <c r="BI58" s="4">
        <f t="shared" si="29"/>
        <v>0.75</v>
      </c>
      <c r="BJ58" s="4">
        <f t="shared" si="60"/>
        <v>-5</v>
      </c>
      <c r="BK58" s="4">
        <f t="shared" si="61"/>
        <v>5</v>
      </c>
      <c r="BL58" s="4">
        <f t="shared" si="62"/>
        <v>0.19999999999999996</v>
      </c>
      <c r="BM58" s="4">
        <f t="shared" si="63"/>
        <v>520</v>
      </c>
      <c r="BN58" s="4">
        <f t="shared" si="64"/>
        <v>-5</v>
      </c>
      <c r="BO58" s="4">
        <f t="shared" si="65"/>
        <v>0.8</v>
      </c>
      <c r="BP58" s="4">
        <f t="shared" si="66"/>
        <v>-5</v>
      </c>
      <c r="BQ58" s="4">
        <f>IFERROR('Character Sheet'!IQ57+VLOOKUP(BA58,MaterialChart,5,FALSE),"")</f>
        <v>-5</v>
      </c>
      <c r="BR58" s="4">
        <f t="shared" si="67"/>
        <v>0</v>
      </c>
      <c r="BS58" s="4">
        <f t="shared" si="94"/>
        <v>40</v>
      </c>
      <c r="BT58" s="4">
        <f t="shared" si="68"/>
        <v>2.5</v>
      </c>
      <c r="BU58" s="4">
        <f t="shared" si="69"/>
        <v>1</v>
      </c>
      <c r="BV58" s="4">
        <f t="shared" si="70"/>
        <v>1</v>
      </c>
      <c r="BW58" s="4">
        <f>IFERROR(ROUNDUP((BE58*(BB58-AT58))+(BL58*(BI58-AX58))+(BT58*(((100+(BD58+IF(BE58=1,0,BK58))+(4*BR58))/100)))*'Character Sheet'!GT57,3),"")</f>
        <v>2.75</v>
      </c>
      <c r="BX58" s="4" t="str">
        <f t="shared" si="93"/>
        <v>$2.75</v>
      </c>
      <c r="BY58" s="8"/>
      <c r="DH58" s="4" t="str">
        <f t="shared" si="41"/>
        <v/>
      </c>
      <c r="DI58">
        <v>21</v>
      </c>
      <c r="DJ58" s="3" t="str">
        <f>'Character Sheet'!FB57</f>
        <v>Compass</v>
      </c>
      <c r="DK58" s="4">
        <f t="shared" si="77"/>
        <v>0</v>
      </c>
      <c r="DL58" s="4" t="str">
        <f>IFERROR(IF(DK58=0,"",VLOOKUP(DK58,Skills!$N$72:$AF$107,19,FALSE)),"")</f>
        <v/>
      </c>
      <c r="DM58" s="4">
        <f>IFERROR(VLOOKUP($DJ58,ItemChart,18,FALSE)+'Character Sheet'!IJ57,0)</f>
        <v>0</v>
      </c>
      <c r="DN58" s="4" t="str">
        <f t="shared" si="92"/>
        <v/>
      </c>
      <c r="DO58" s="4" t="str">
        <f>IFERROR(DN58+0.56,"")</f>
        <v/>
      </c>
      <c r="DP58" s="4">
        <f t="shared" si="43"/>
        <v>0</v>
      </c>
      <c r="DQ58" s="4">
        <f t="shared" si="78"/>
        <v>1</v>
      </c>
      <c r="DR58" s="4">
        <f t="shared" si="79"/>
        <v>0</v>
      </c>
      <c r="DS58" s="4">
        <f t="shared" si="80"/>
        <v>21</v>
      </c>
      <c r="DT58" s="4">
        <f t="shared" si="81"/>
        <v>0</v>
      </c>
      <c r="DU58" s="4">
        <f t="shared" si="82"/>
        <v>0</v>
      </c>
      <c r="DV58" s="4" t="str">
        <f>VLOOKUP((VLOOKUP((VLOOKUP('Character Creation'!$Z$11,RaceChart,20,FALSE)&amp;" "&amp;VLOOKUP('Character Creation'!$Z$11,RaceChart,21,FALSE)),Charts!$H$2:$J$14,3,FALSE)+DU58),Charts!$J$2:$N$14,5,FALSE)</f>
        <v>M</v>
      </c>
      <c r="DW58" s="4" t="str">
        <f>VLOOKUP(DV58,Charts!$N$2:$Q$14,4,FALSE)</f>
        <v>(5)</v>
      </c>
      <c r="DX58" s="4" t="str">
        <f t="shared" si="83"/>
        <v>M(5) 0</v>
      </c>
      <c r="DY58" s="4">
        <f t="shared" si="84"/>
        <v>0</v>
      </c>
      <c r="DZ58" s="4" t="str">
        <f t="shared" si="85"/>
        <v/>
      </c>
      <c r="EA58" s="4" t="e">
        <f>ROUNDDOWN(VLOOKUP(DK58,Skills!$N$72:$S$107,6,FALSE)/5,0)</f>
        <v>#N/A</v>
      </c>
      <c r="EB58" s="4">
        <f t="shared" si="86"/>
        <v>0</v>
      </c>
      <c r="EC58" s="4" t="str">
        <f t="shared" si="87"/>
        <v>+0</v>
      </c>
      <c r="ED58" s="4" t="e">
        <f>VLOOKUP(DJ58,'Character Sheet'!$FB$21:$HQ$35,61,FALSE)</f>
        <v>#N/A</v>
      </c>
      <c r="EE58" s="4" t="str">
        <f t="shared" si="88"/>
        <v>- -</v>
      </c>
      <c r="EF58" s="4" t="str">
        <f t="shared" si="89"/>
        <v>- -</v>
      </c>
      <c r="EG58" s="4" t="e">
        <f>VLOOKUP(DR58,Items!$B$1156:$AA$1282,18,FALSE)</f>
        <v>#N/A</v>
      </c>
      <c r="EH58" s="4" t="e">
        <f>VLOOKUP(DJ58,'Character Sheet'!$E$26:$EZ$45,81,FALSE)</f>
        <v>#N/A</v>
      </c>
      <c r="EI58" s="4" t="e">
        <f>VLOOKUP(DJ58,'Character Sheet'!$E$26:$EZ$45,89,FALSE)</f>
        <v>#N/A</v>
      </c>
      <c r="EJ58" s="4" t="e">
        <f t="shared" si="90"/>
        <v>#N/A</v>
      </c>
    </row>
    <row r="59" spans="29:140" x14ac:dyDescent="0.25">
      <c r="AC59" s="8" t="str">
        <f>IFERROR(VLOOKUP('Character Creation'!$CI72,Skills!$H$2:$N$620,6,FALSE),"")</f>
        <v/>
      </c>
      <c r="AD59" s="4">
        <f>'Character Creation'!EH72</f>
        <v>0</v>
      </c>
      <c r="AG59">
        <v>58</v>
      </c>
      <c r="AH59" s="4" t="str">
        <f t="shared" si="5"/>
        <v/>
      </c>
      <c r="AI59" t="str">
        <f>IFERROR(VLOOKUP(AG59,Skills!$B$2:$M$620,12,FALSE),"")</f>
        <v/>
      </c>
      <c r="AJ59" s="4" t="str">
        <f>IFERROR(VLOOKUP(AG59,Skills!$B$2:$AF$620,31,FALSE),"")</f>
        <v/>
      </c>
      <c r="AK59" s="4" t="str">
        <f t="shared" si="91"/>
        <v/>
      </c>
      <c r="AL59" s="4">
        <v>5.8000000000000003E-2</v>
      </c>
      <c r="AM59" s="62" t="str">
        <f t="shared" si="6"/>
        <v/>
      </c>
      <c r="AN59" t="str">
        <f t="shared" ca="1" si="7"/>
        <v/>
      </c>
      <c r="AO59" s="4" t="str">
        <f ca="1">IFERROR(VLOOKUP(AG59,$AH$2:$AJ$451,3,FALSE)&amp;IF(ISNUMBER(SEARCH(", Written",AN59))," -R"&amp;VLOOKUP(AN59,Skills!$M$2:$S$620,7,FALSE),IF(ISNUMBER(SEARCH(", Spoken",AN59))," -R"&amp;VLOOKUP(AN59,Skills!$M$2:$S$620,7,FALSE),"")),"")</f>
        <v/>
      </c>
      <c r="AQ59">
        <v>56</v>
      </c>
      <c r="AR59" s="8" t="str">
        <f>'Character Sheet'!FB58</f>
        <v>Flint &amp; Steel</v>
      </c>
      <c r="AS59" s="4" t="str">
        <f t="shared" si="17"/>
        <v>Flint</v>
      </c>
      <c r="AT59" s="4">
        <f t="shared" si="18"/>
        <v>0.01</v>
      </c>
      <c r="AU59" s="4">
        <f t="shared" si="50"/>
        <v>87</v>
      </c>
      <c r="AV59" s="4">
        <f t="shared" si="51"/>
        <v>0</v>
      </c>
      <c r="AW59" s="4" t="str">
        <f t="shared" si="52"/>
        <v>Low Steel</v>
      </c>
      <c r="AX59" s="4">
        <f t="shared" si="22"/>
        <v>0.1</v>
      </c>
      <c r="AY59" s="4">
        <f t="shared" si="53"/>
        <v>490</v>
      </c>
      <c r="AZ59" s="4">
        <f t="shared" si="54"/>
        <v>5</v>
      </c>
      <c r="BA59" s="4" t="str">
        <f>IFERROR('Character Sheet'!JK58,"")</f>
        <v>Flint</v>
      </c>
      <c r="BB59" s="4">
        <f t="shared" si="25"/>
        <v>0.01</v>
      </c>
      <c r="BC59" s="4">
        <f t="shared" si="55"/>
        <v>0</v>
      </c>
      <c r="BD59" s="4">
        <f t="shared" si="56"/>
        <v>0</v>
      </c>
      <c r="BE59" s="4">
        <f t="shared" si="57"/>
        <v>0.2</v>
      </c>
      <c r="BF59" s="4">
        <f t="shared" si="58"/>
        <v>87</v>
      </c>
      <c r="BG59" s="4">
        <f t="shared" si="59"/>
        <v>0</v>
      </c>
      <c r="BH59" s="4" t="str">
        <f>IFERROR('Character Sheet'!KC58,"")</f>
        <v>Low Steel</v>
      </c>
      <c r="BI59" s="4">
        <f t="shared" si="29"/>
        <v>0.1</v>
      </c>
      <c r="BJ59" s="4">
        <f t="shared" si="60"/>
        <v>-5</v>
      </c>
      <c r="BK59" s="4">
        <f t="shared" si="61"/>
        <v>5</v>
      </c>
      <c r="BL59" s="4">
        <f t="shared" si="62"/>
        <v>0.3</v>
      </c>
      <c r="BM59" s="4">
        <f t="shared" si="63"/>
        <v>490</v>
      </c>
      <c r="BN59" s="4">
        <f t="shared" si="64"/>
        <v>5</v>
      </c>
      <c r="BO59" s="4">
        <f t="shared" si="65"/>
        <v>0.4</v>
      </c>
      <c r="BP59" s="4">
        <f t="shared" si="66"/>
        <v>-15</v>
      </c>
      <c r="BQ59" s="4">
        <f>IFERROR('Character Sheet'!IQ58+VLOOKUP(BA59,MaterialChart,5,FALSE),"")</f>
        <v>-15</v>
      </c>
      <c r="BR59" s="4">
        <f t="shared" si="67"/>
        <v>0</v>
      </c>
      <c r="BS59" s="4">
        <f t="shared" si="94"/>
        <v>100</v>
      </c>
      <c r="BT59" s="4">
        <f t="shared" si="68"/>
        <v>0.5</v>
      </c>
      <c r="BU59" s="4">
        <f t="shared" si="69"/>
        <v>0.5</v>
      </c>
      <c r="BV59" s="4">
        <f t="shared" si="70"/>
        <v>0.5</v>
      </c>
      <c r="BW59" s="4">
        <f>IFERROR(ROUNDUP((BE59*(BB59-AT59))+(BL59*(BI59-AX59))+(BT59*(((100+(BD59+IF(BE59=1,0,BK59))+(4*BR59))/100)))*'Character Sheet'!GT58,3),"")</f>
        <v>0.52500000000000002</v>
      </c>
      <c r="BX59" s="4" t="str">
        <f t="shared" si="93"/>
        <v>$0.53</v>
      </c>
      <c r="BY59" s="8"/>
      <c r="DH59" s="4" t="str">
        <f t="shared" si="41"/>
        <v/>
      </c>
      <c r="DI59">
        <v>22</v>
      </c>
      <c r="DJ59" s="3" t="str">
        <f>'Character Sheet'!FB58</f>
        <v>Flint &amp; Steel</v>
      </c>
      <c r="DK59" s="4">
        <f t="shared" si="77"/>
        <v>0</v>
      </c>
      <c r="DL59" s="4" t="str">
        <f>IFERROR(IF(DK59=0,"",VLOOKUP(DK59,Skills!$N$72:$AF$107,19,FALSE)),"")</f>
        <v/>
      </c>
      <c r="DM59" s="4">
        <f>IFERROR(VLOOKUP($DJ59,ItemChart,18,FALSE)+'Character Sheet'!IJ58,0)</f>
        <v>0</v>
      </c>
      <c r="DN59" s="4" t="str">
        <f t="shared" si="92"/>
        <v/>
      </c>
      <c r="DO59" s="4" t="str">
        <f>IFERROR(DN59+0.57,"")</f>
        <v/>
      </c>
      <c r="DP59" s="4">
        <f t="shared" si="43"/>
        <v>0</v>
      </c>
      <c r="DQ59" s="4">
        <f t="shared" si="78"/>
        <v>1</v>
      </c>
      <c r="DR59" s="4">
        <f t="shared" si="79"/>
        <v>0</v>
      </c>
      <c r="DS59" s="4">
        <f t="shared" si="80"/>
        <v>22</v>
      </c>
      <c r="DT59" s="4">
        <f t="shared" si="81"/>
        <v>0</v>
      </c>
      <c r="DU59" s="4">
        <f t="shared" si="82"/>
        <v>0</v>
      </c>
      <c r="DV59" s="4" t="str">
        <f>VLOOKUP((VLOOKUP((VLOOKUP('Character Creation'!$Z$11,RaceChart,20,FALSE)&amp;" "&amp;VLOOKUP('Character Creation'!$Z$11,RaceChart,21,FALSE)),Charts!$H$2:$J$14,3,FALSE)+DU59),Charts!$J$2:$N$14,5,FALSE)</f>
        <v>M</v>
      </c>
      <c r="DW59" s="4" t="str">
        <f>VLOOKUP(DV59,Charts!$N$2:$Q$14,4,FALSE)</f>
        <v>(5)</v>
      </c>
      <c r="DX59" s="4" t="str">
        <f t="shared" si="83"/>
        <v>M(5) 0</v>
      </c>
      <c r="DY59" s="4">
        <f t="shared" si="84"/>
        <v>0</v>
      </c>
      <c r="DZ59" s="4" t="str">
        <f t="shared" si="85"/>
        <v/>
      </c>
      <c r="EA59" s="4" t="e">
        <f>ROUNDDOWN(VLOOKUP(DK59,Skills!$N$72:$S$107,6,FALSE)/5,0)</f>
        <v>#N/A</v>
      </c>
      <c r="EB59" s="4">
        <f t="shared" si="86"/>
        <v>0</v>
      </c>
      <c r="EC59" s="4" t="str">
        <f t="shared" si="87"/>
        <v>+0</v>
      </c>
      <c r="ED59" s="4" t="e">
        <f>VLOOKUP(DJ59,'Character Sheet'!$FB$21:$HQ$35,61,FALSE)</f>
        <v>#N/A</v>
      </c>
      <c r="EE59" s="4" t="str">
        <f t="shared" si="88"/>
        <v>- -</v>
      </c>
      <c r="EF59" s="4" t="str">
        <f t="shared" si="89"/>
        <v>- -</v>
      </c>
      <c r="EG59" s="4" t="e">
        <f>VLOOKUP(DR59,Items!$B$1156:$AA$1282,18,FALSE)</f>
        <v>#N/A</v>
      </c>
      <c r="EH59" s="4" t="e">
        <f>VLOOKUP(DJ59,'Character Sheet'!$E$26:$EZ$45,81,FALSE)</f>
        <v>#N/A</v>
      </c>
      <c r="EI59" s="4" t="e">
        <f>VLOOKUP(DJ59,'Character Sheet'!$E$26:$EZ$45,89,FALSE)</f>
        <v>#N/A</v>
      </c>
      <c r="EJ59" s="4" t="e">
        <f t="shared" si="90"/>
        <v>#N/A</v>
      </c>
    </row>
    <row r="60" spans="29:140" x14ac:dyDescent="0.25">
      <c r="AC60" s="8" t="str">
        <f>IFERROR(VLOOKUP('Character Creation'!$CI73,Skills!$H$2:$N$620,6,FALSE),"")</f>
        <v/>
      </c>
      <c r="AD60" s="4">
        <f>'Character Creation'!EH73</f>
        <v>0</v>
      </c>
      <c r="AG60">
        <v>59</v>
      </c>
      <c r="AH60" s="4" t="str">
        <f t="shared" si="5"/>
        <v/>
      </c>
      <c r="AI60" t="str">
        <f>IFERROR(VLOOKUP(AG60,Skills!$B$2:$M$620,12,FALSE),"")</f>
        <v/>
      </c>
      <c r="AJ60" s="4" t="str">
        <f>IFERROR(VLOOKUP(AG60,Skills!$B$2:$AF$620,31,FALSE),"")</f>
        <v/>
      </c>
      <c r="AK60" s="4" t="str">
        <f t="shared" si="91"/>
        <v/>
      </c>
      <c r="AL60" s="4">
        <v>5.8999999999999997E-2</v>
      </c>
      <c r="AM60" s="62" t="str">
        <f t="shared" si="6"/>
        <v/>
      </c>
      <c r="AN60" t="str">
        <f t="shared" ca="1" si="7"/>
        <v/>
      </c>
      <c r="AO60" s="4" t="str">
        <f ca="1">IFERROR(VLOOKUP(AG60,$AH$2:$AJ$451,3,FALSE)&amp;IF(ISNUMBER(SEARCH(", Written",AN60))," -R"&amp;VLOOKUP(AN60,Skills!$M$2:$S$620,7,FALSE),IF(ISNUMBER(SEARCH(", Spoken",AN60))," -R"&amp;VLOOKUP(AN60,Skills!$M$2:$S$620,7,FALSE),"")),"")</f>
        <v/>
      </c>
      <c r="AQ60">
        <v>57</v>
      </c>
      <c r="AR60" s="8" t="str">
        <f>'Character Sheet'!FB59</f>
        <v>Tinderbox</v>
      </c>
      <c r="AS60" s="4" t="str">
        <f t="shared" si="17"/>
        <v>Ash</v>
      </c>
      <c r="AT60" s="4">
        <f t="shared" si="18"/>
        <v>7.0000000000000001E-3</v>
      </c>
      <c r="AU60" s="4">
        <f t="shared" si="50"/>
        <v>47</v>
      </c>
      <c r="AV60" s="4">
        <f t="shared" si="51"/>
        <v>0</v>
      </c>
      <c r="AW60" s="4" t="str">
        <f t="shared" si="52"/>
        <v>Ash</v>
      </c>
      <c r="AX60" s="4">
        <f t="shared" si="22"/>
        <v>7.0000000000000001E-3</v>
      </c>
      <c r="AY60" s="4">
        <f t="shared" si="53"/>
        <v>47</v>
      </c>
      <c r="AZ60" s="4">
        <f t="shared" si="54"/>
        <v>0</v>
      </c>
      <c r="BA60" s="4" t="str">
        <f>IFERROR('Character Sheet'!JK59,"")</f>
        <v>Ash</v>
      </c>
      <c r="BB60" s="4">
        <f t="shared" si="25"/>
        <v>7.0000000000000001E-3</v>
      </c>
      <c r="BC60" s="4">
        <f t="shared" si="55"/>
        <v>0</v>
      </c>
      <c r="BD60" s="4">
        <f t="shared" si="56"/>
        <v>0</v>
      </c>
      <c r="BE60" s="4">
        <f t="shared" si="57"/>
        <v>0.25</v>
      </c>
      <c r="BF60" s="4">
        <f t="shared" si="58"/>
        <v>47</v>
      </c>
      <c r="BG60" s="4">
        <f t="shared" si="59"/>
        <v>0</v>
      </c>
      <c r="BH60" s="4" t="str">
        <f>IFERROR('Character Sheet'!KC59,"")</f>
        <v>Ash</v>
      </c>
      <c r="BI60" s="4">
        <f t="shared" si="29"/>
        <v>7.0000000000000001E-3</v>
      </c>
      <c r="BJ60" s="4">
        <f t="shared" si="60"/>
        <v>0</v>
      </c>
      <c r="BK60" s="4">
        <f t="shared" si="61"/>
        <v>0</v>
      </c>
      <c r="BL60" s="4">
        <f t="shared" si="62"/>
        <v>0</v>
      </c>
      <c r="BM60" s="4">
        <f t="shared" si="63"/>
        <v>47</v>
      </c>
      <c r="BN60" s="4">
        <f t="shared" si="64"/>
        <v>0</v>
      </c>
      <c r="BO60" s="4">
        <f t="shared" si="65"/>
        <v>1</v>
      </c>
      <c r="BP60" s="4">
        <f t="shared" si="66"/>
        <v>0</v>
      </c>
      <c r="BQ60" s="4">
        <f>IFERROR('Character Sheet'!IQ59+VLOOKUP(BA60,MaterialChart,5,FALSE),"")</f>
        <v>0</v>
      </c>
      <c r="BR60" s="4">
        <f t="shared" si="67"/>
        <v>0</v>
      </c>
      <c r="BS60" s="4">
        <f t="shared" si="94"/>
        <v>60</v>
      </c>
      <c r="BT60" s="4">
        <f t="shared" si="68"/>
        <v>0.2</v>
      </c>
      <c r="BU60" s="4">
        <f t="shared" si="69"/>
        <v>0.25</v>
      </c>
      <c r="BV60" s="4">
        <f t="shared" si="70"/>
        <v>0.25</v>
      </c>
      <c r="BW60" s="4">
        <f>IFERROR(ROUNDUP((BE60*(BB60-AT60))+(BL60*(BI60-AX60))+(BT60*(((100+(BD60+IF(BE60=1,0,BK60))+(4*BR60))/100)))*'Character Sheet'!GT59,3),"")</f>
        <v>0.2</v>
      </c>
      <c r="BX60" s="4" t="str">
        <f t="shared" si="93"/>
        <v>$0.2</v>
      </c>
      <c r="BY60" s="8"/>
      <c r="DH60" s="4" t="str">
        <f t="shared" si="41"/>
        <v/>
      </c>
      <c r="DI60">
        <v>23</v>
      </c>
      <c r="DJ60" s="3" t="str">
        <f>'Character Sheet'!FB59</f>
        <v>Tinderbox</v>
      </c>
      <c r="DK60" s="4">
        <f t="shared" si="77"/>
        <v>0</v>
      </c>
      <c r="DL60" s="4" t="str">
        <f>IFERROR(IF(DK60=0,"",VLOOKUP(DK60,Skills!$N$72:$AF$107,19,FALSE)),"")</f>
        <v/>
      </c>
      <c r="DM60" s="4">
        <f>IFERROR(VLOOKUP($DJ60,ItemChart,18,FALSE)+'Character Sheet'!IJ59,0)</f>
        <v>0</v>
      </c>
      <c r="DN60" s="4" t="str">
        <f t="shared" si="92"/>
        <v/>
      </c>
      <c r="DO60" s="4" t="str">
        <f>IFERROR(DN60+0.58,"")</f>
        <v/>
      </c>
      <c r="DP60" s="4">
        <f t="shared" si="43"/>
        <v>0</v>
      </c>
      <c r="DQ60" s="4">
        <f t="shared" si="78"/>
        <v>1</v>
      </c>
      <c r="DR60" s="4">
        <f t="shared" si="79"/>
        <v>0</v>
      </c>
      <c r="DS60" s="4">
        <f t="shared" si="80"/>
        <v>23</v>
      </c>
      <c r="DT60" s="4">
        <f t="shared" si="81"/>
        <v>0</v>
      </c>
      <c r="DU60" s="4">
        <f t="shared" si="82"/>
        <v>0</v>
      </c>
      <c r="DV60" s="4" t="str">
        <f>VLOOKUP((VLOOKUP((VLOOKUP('Character Creation'!$Z$11,RaceChart,20,FALSE)&amp;" "&amp;VLOOKUP('Character Creation'!$Z$11,RaceChart,21,FALSE)),Charts!$H$2:$J$14,3,FALSE)+DU60),Charts!$J$2:$N$14,5,FALSE)</f>
        <v>M</v>
      </c>
      <c r="DW60" s="4" t="str">
        <f>VLOOKUP(DV60,Charts!$N$2:$Q$14,4,FALSE)</f>
        <v>(5)</v>
      </c>
      <c r="DX60" s="4" t="str">
        <f t="shared" si="83"/>
        <v>M(5) 0</v>
      </c>
      <c r="DY60" s="4">
        <f t="shared" si="84"/>
        <v>0</v>
      </c>
      <c r="DZ60" s="4" t="str">
        <f t="shared" si="85"/>
        <v/>
      </c>
      <c r="EA60" s="4" t="e">
        <f>ROUNDDOWN(VLOOKUP(DK60,Skills!$N$72:$S$107,6,FALSE)/5,0)</f>
        <v>#N/A</v>
      </c>
      <c r="EB60" s="4">
        <f t="shared" si="86"/>
        <v>0</v>
      </c>
      <c r="EC60" s="4" t="str">
        <f t="shared" si="87"/>
        <v>+0</v>
      </c>
      <c r="ED60" s="4" t="e">
        <f>VLOOKUP(DJ60,'Character Sheet'!$FB$21:$HQ$35,61,FALSE)</f>
        <v>#N/A</v>
      </c>
      <c r="EE60" s="4" t="str">
        <f t="shared" si="88"/>
        <v>- -</v>
      </c>
      <c r="EF60" s="4" t="str">
        <f t="shared" si="89"/>
        <v>- -</v>
      </c>
      <c r="EG60" s="4" t="e">
        <f>VLOOKUP(DR60,Items!$B$1156:$AA$1282,18,FALSE)</f>
        <v>#N/A</v>
      </c>
      <c r="EH60" s="4" t="e">
        <f>VLOOKUP(DJ60,'Character Sheet'!$E$26:$EZ$45,81,FALSE)</f>
        <v>#N/A</v>
      </c>
      <c r="EI60" s="4" t="e">
        <f>VLOOKUP(DJ60,'Character Sheet'!$E$26:$EZ$45,89,FALSE)</f>
        <v>#N/A</v>
      </c>
      <c r="EJ60" s="4" t="e">
        <f t="shared" si="90"/>
        <v>#N/A</v>
      </c>
    </row>
    <row r="61" spans="29:140" x14ac:dyDescent="0.25">
      <c r="AC61" s="8" t="str">
        <f>IFERROR(VLOOKUP('Character Creation'!$CI74,Skills!$H$2:$N$620,6,FALSE),"")</f>
        <v/>
      </c>
      <c r="AD61" s="4">
        <f>'Character Creation'!EH74</f>
        <v>0</v>
      </c>
      <c r="AG61">
        <v>60</v>
      </c>
      <c r="AH61" s="4" t="str">
        <f t="shared" si="5"/>
        <v/>
      </c>
      <c r="AI61" t="str">
        <f>IFERROR(VLOOKUP(AG61,Skills!$B$2:$M$620,12,FALSE),"")</f>
        <v/>
      </c>
      <c r="AJ61" s="4" t="str">
        <f>IFERROR(VLOOKUP(AG61,Skills!$B$2:$AF$620,31,FALSE),"")</f>
        <v/>
      </c>
      <c r="AK61" s="4" t="str">
        <f t="shared" si="91"/>
        <v/>
      </c>
      <c r="AL61" s="4">
        <v>0.06</v>
      </c>
      <c r="AM61" s="62" t="str">
        <f t="shared" si="6"/>
        <v/>
      </c>
      <c r="AN61" t="str">
        <f t="shared" ca="1" si="7"/>
        <v/>
      </c>
      <c r="AO61" s="4" t="str">
        <f ca="1">IFERROR(VLOOKUP(AG61,$AH$2:$AJ$451,3,FALSE)&amp;IF(ISNUMBER(SEARCH(", Written",AN61))," -R"&amp;VLOOKUP(AN61,Skills!$M$2:$S$620,7,FALSE),IF(ISNUMBER(SEARCH(", Spoken",AN61))," -R"&amp;VLOOKUP(AN61,Skills!$M$2:$S$620,7,FALSE),"")),"")</f>
        <v/>
      </c>
      <c r="AQ61">
        <v>58</v>
      </c>
      <c r="AR61" s="8" t="str">
        <f>'Character Sheet'!FB60</f>
        <v>Harmonica, Standard</v>
      </c>
      <c r="AS61" s="4" t="str">
        <f t="shared" si="17"/>
        <v>Brass</v>
      </c>
      <c r="AT61" s="4">
        <f t="shared" si="18"/>
        <v>0.75</v>
      </c>
      <c r="AU61" s="4">
        <f t="shared" si="50"/>
        <v>520</v>
      </c>
      <c r="AV61" s="4">
        <f t="shared" si="51"/>
        <v>-5</v>
      </c>
      <c r="AW61" s="4" t="str">
        <f t="shared" si="52"/>
        <v>Brass</v>
      </c>
      <c r="AX61" s="4">
        <f t="shared" si="22"/>
        <v>0.75</v>
      </c>
      <c r="AY61" s="4">
        <f t="shared" si="53"/>
        <v>520</v>
      </c>
      <c r="AZ61" s="4">
        <f t="shared" si="54"/>
        <v>-5</v>
      </c>
      <c r="BA61" s="4" t="str">
        <f>IFERROR('Character Sheet'!JK60,"")</f>
        <v>Brass</v>
      </c>
      <c r="BB61" s="4">
        <f t="shared" si="25"/>
        <v>0.75</v>
      </c>
      <c r="BC61" s="4">
        <f t="shared" si="55"/>
        <v>-5</v>
      </c>
      <c r="BD61" s="4">
        <f t="shared" si="56"/>
        <v>5</v>
      </c>
      <c r="BE61" s="4">
        <f t="shared" si="57"/>
        <v>0.49</v>
      </c>
      <c r="BF61" s="4">
        <f t="shared" si="58"/>
        <v>520</v>
      </c>
      <c r="BG61" s="4">
        <f t="shared" si="59"/>
        <v>-5</v>
      </c>
      <c r="BH61" s="4" t="str">
        <f>IFERROR('Character Sheet'!KC60,"")</f>
        <v>Brass</v>
      </c>
      <c r="BI61" s="4">
        <f t="shared" si="29"/>
        <v>0.75</v>
      </c>
      <c r="BJ61" s="4">
        <f t="shared" si="60"/>
        <v>-5</v>
      </c>
      <c r="BK61" s="4">
        <f t="shared" si="61"/>
        <v>5</v>
      </c>
      <c r="BL61" s="4">
        <f t="shared" si="62"/>
        <v>1.0000000000000009E-2</v>
      </c>
      <c r="BM61" s="4">
        <f t="shared" si="63"/>
        <v>520</v>
      </c>
      <c r="BN61" s="4">
        <f t="shared" si="64"/>
        <v>-5</v>
      </c>
      <c r="BO61" s="4">
        <f t="shared" si="65"/>
        <v>0.98</v>
      </c>
      <c r="BP61" s="4">
        <f t="shared" si="66"/>
        <v>-5</v>
      </c>
      <c r="BQ61" s="4">
        <f>IFERROR('Character Sheet'!IQ60+VLOOKUP(BA61,MaterialChart,5,FALSE),"")</f>
        <v>-5</v>
      </c>
      <c r="BR61" s="4">
        <f t="shared" si="67"/>
        <v>0</v>
      </c>
      <c r="BS61" s="4">
        <f t="shared" si="94"/>
        <v>55</v>
      </c>
      <c r="BT61" s="4">
        <f t="shared" si="68"/>
        <v>0.52</v>
      </c>
      <c r="BU61" s="4">
        <f t="shared" si="69"/>
        <v>0.5</v>
      </c>
      <c r="BV61" s="4">
        <f t="shared" si="70"/>
        <v>0.5</v>
      </c>
      <c r="BW61" s="4">
        <f>IFERROR(ROUNDUP((BE61*(BB61-AT61))+(BL61*(BI61-AX61))+(BT61*(((100+(BD61+IF(BE61=1,0,BK61))+(4*BR61))/100)))*'Character Sheet'!GT60,3),"")</f>
        <v>0.57199999999999995</v>
      </c>
      <c r="BX61" s="4" t="str">
        <f t="shared" si="93"/>
        <v>$0.57</v>
      </c>
      <c r="BY61" s="8"/>
      <c r="DH61" s="4" t="str">
        <f t="shared" si="41"/>
        <v/>
      </c>
      <c r="DI61">
        <v>24</v>
      </c>
      <c r="DJ61" s="3" t="str">
        <f>'Character Sheet'!FB60</f>
        <v>Harmonica, Standard</v>
      </c>
      <c r="DK61" s="4">
        <f t="shared" si="77"/>
        <v>0</v>
      </c>
      <c r="DL61" s="4" t="str">
        <f>IFERROR(IF(DK61=0,"",VLOOKUP(DK61,Skills!$N$72:$AF$107,19,FALSE)),"")</f>
        <v/>
      </c>
      <c r="DM61" s="4">
        <f>IFERROR(VLOOKUP($DJ61,ItemChart,18,FALSE)+'Character Sheet'!IJ60,0)</f>
        <v>0</v>
      </c>
      <c r="DN61" s="4" t="str">
        <f t="shared" si="92"/>
        <v/>
      </c>
      <c r="DO61" s="4" t="str">
        <f>IFERROR(DN61+0.59,"")</f>
        <v/>
      </c>
      <c r="DP61" s="4">
        <f t="shared" si="43"/>
        <v>0</v>
      </c>
      <c r="DQ61" s="4">
        <f t="shared" si="78"/>
        <v>1</v>
      </c>
      <c r="DR61" s="4">
        <f t="shared" si="79"/>
        <v>0</v>
      </c>
      <c r="DS61" s="4">
        <f t="shared" si="80"/>
        <v>24</v>
      </c>
      <c r="DT61" s="4">
        <f t="shared" si="81"/>
        <v>0</v>
      </c>
      <c r="DU61" s="4">
        <f t="shared" si="82"/>
        <v>0</v>
      </c>
      <c r="DV61" s="4" t="str">
        <f>VLOOKUP((VLOOKUP((VLOOKUP('Character Creation'!$Z$11,RaceChart,20,FALSE)&amp;" "&amp;VLOOKUP('Character Creation'!$Z$11,RaceChart,21,FALSE)),Charts!$H$2:$J$14,3,FALSE)+DU61),Charts!$J$2:$N$14,5,FALSE)</f>
        <v>M</v>
      </c>
      <c r="DW61" s="4" t="str">
        <f>VLOOKUP(DV61,Charts!$N$2:$Q$14,4,FALSE)</f>
        <v>(5)</v>
      </c>
      <c r="DX61" s="4" t="str">
        <f t="shared" si="83"/>
        <v>M(5) 0</v>
      </c>
      <c r="DY61" s="4">
        <f t="shared" si="84"/>
        <v>0</v>
      </c>
      <c r="DZ61" s="4" t="str">
        <f t="shared" si="85"/>
        <v/>
      </c>
      <c r="EA61" s="4" t="e">
        <f>ROUNDDOWN(VLOOKUP(DK61,Skills!$N$72:$S$107,6,FALSE)/5,0)</f>
        <v>#N/A</v>
      </c>
      <c r="EB61" s="4">
        <f t="shared" si="86"/>
        <v>0</v>
      </c>
      <c r="EC61" s="4" t="str">
        <f t="shared" si="87"/>
        <v>+0</v>
      </c>
      <c r="ED61" s="4" t="e">
        <f>VLOOKUP(DJ61,'Character Sheet'!$FB$21:$HQ$35,61,FALSE)</f>
        <v>#N/A</v>
      </c>
      <c r="EE61" s="4" t="str">
        <f t="shared" si="88"/>
        <v>- -</v>
      </c>
      <c r="EF61" s="4" t="str">
        <f t="shared" si="89"/>
        <v>- -</v>
      </c>
      <c r="EG61" s="4" t="e">
        <f>VLOOKUP(DR61,Items!$B$1156:$AA$1282,18,FALSE)</f>
        <v>#N/A</v>
      </c>
      <c r="EH61" s="4" t="e">
        <f>VLOOKUP(DJ61,'Character Sheet'!$E$26:$EZ$45,81,FALSE)</f>
        <v>#N/A</v>
      </c>
      <c r="EI61" s="4" t="e">
        <f>VLOOKUP(DJ61,'Character Sheet'!$E$26:$EZ$45,89,FALSE)</f>
        <v>#N/A</v>
      </c>
      <c r="EJ61" s="4" t="e">
        <f t="shared" si="90"/>
        <v>#N/A</v>
      </c>
    </row>
    <row r="62" spans="29:140" x14ac:dyDescent="0.25">
      <c r="AC62" s="8" t="str">
        <f>IFERROR(VLOOKUP('Character Creation'!$CI75,Skills!$H$2:$N$620,6,FALSE),"")</f>
        <v/>
      </c>
      <c r="AD62" s="4">
        <f>'Character Creation'!EH75</f>
        <v>0</v>
      </c>
      <c r="AG62">
        <v>61</v>
      </c>
      <c r="AH62" s="4" t="str">
        <f t="shared" si="5"/>
        <v/>
      </c>
      <c r="AI62" t="str">
        <f>IFERROR(VLOOKUP(AG62,Skills!$B$2:$M$620,12,FALSE),"")</f>
        <v/>
      </c>
      <c r="AJ62" s="4" t="str">
        <f>IFERROR(VLOOKUP(AG62,Skills!$B$2:$AF$620,31,FALSE),"")</f>
        <v/>
      </c>
      <c r="AK62" s="4" t="str">
        <f t="shared" si="91"/>
        <v/>
      </c>
      <c r="AL62" s="4">
        <v>6.0999999999999999E-2</v>
      </c>
      <c r="AM62" s="62" t="str">
        <f t="shared" si="6"/>
        <v/>
      </c>
      <c r="AN62" t="str">
        <f t="shared" ca="1" si="7"/>
        <v/>
      </c>
      <c r="AO62" s="4" t="str">
        <f ca="1">IFERROR(VLOOKUP(AG62,$AH$2:$AJ$451,3,FALSE)&amp;IF(ISNUMBER(SEARCH(", Written",AN62))," -R"&amp;VLOOKUP(AN62,Skills!$M$2:$S$620,7,FALSE),IF(ISNUMBER(SEARCH(", Spoken",AN62))," -R"&amp;VLOOKUP(AN62,Skills!$M$2:$S$620,7,FALSE),"")),"")</f>
        <v/>
      </c>
      <c r="AQ62">
        <v>59</v>
      </c>
      <c r="AR62" s="8" t="str">
        <f>'Character Sheet'!FB61</f>
        <v>Jar, Glass (tiny)</v>
      </c>
      <c r="AS62" s="4" t="str">
        <f t="shared" si="17"/>
        <v>Glass</v>
      </c>
      <c r="AT62" s="4">
        <f t="shared" si="18"/>
        <v>0.1</v>
      </c>
      <c r="AU62" s="4">
        <f t="shared" si="50"/>
        <v>160</v>
      </c>
      <c r="AV62" s="4">
        <f t="shared" si="51"/>
        <v>-100</v>
      </c>
      <c r="AW62" s="4" t="str">
        <f t="shared" si="52"/>
        <v>Glass</v>
      </c>
      <c r="AX62" s="4">
        <f t="shared" si="22"/>
        <v>0.1</v>
      </c>
      <c r="AY62" s="4">
        <f t="shared" si="53"/>
        <v>160</v>
      </c>
      <c r="AZ62" s="4">
        <f t="shared" si="54"/>
        <v>-100</v>
      </c>
      <c r="BA62" s="4" t="str">
        <f>IFERROR('Character Sheet'!JK61,"")</f>
        <v>Glass</v>
      </c>
      <c r="BB62" s="4">
        <f t="shared" si="25"/>
        <v>0.1</v>
      </c>
      <c r="BC62" s="4">
        <f t="shared" si="55"/>
        <v>-25</v>
      </c>
      <c r="BD62" s="4">
        <f t="shared" si="56"/>
        <v>25</v>
      </c>
      <c r="BE62" s="4">
        <f t="shared" si="57"/>
        <v>0.13500000000000001</v>
      </c>
      <c r="BF62" s="4">
        <f t="shared" si="58"/>
        <v>160</v>
      </c>
      <c r="BG62" s="4">
        <f t="shared" si="59"/>
        <v>-100</v>
      </c>
      <c r="BH62" s="4" t="str">
        <f>IFERROR('Character Sheet'!KC61,"")</f>
        <v>Glass</v>
      </c>
      <c r="BI62" s="4">
        <f t="shared" si="29"/>
        <v>0.1</v>
      </c>
      <c r="BJ62" s="4">
        <f t="shared" si="60"/>
        <v>-25</v>
      </c>
      <c r="BK62" s="4">
        <f t="shared" si="61"/>
        <v>25</v>
      </c>
      <c r="BL62" s="4">
        <f t="shared" si="62"/>
        <v>1.4999999999999986E-2</v>
      </c>
      <c r="BM62" s="4">
        <f t="shared" si="63"/>
        <v>160</v>
      </c>
      <c r="BN62" s="4">
        <f t="shared" si="64"/>
        <v>-100</v>
      </c>
      <c r="BO62" s="4">
        <f t="shared" si="65"/>
        <v>0.9</v>
      </c>
      <c r="BP62" s="4">
        <f t="shared" si="66"/>
        <v>-50</v>
      </c>
      <c r="BQ62" s="4">
        <f>IFERROR('Character Sheet'!IQ61+VLOOKUP(BA62,MaterialChart,5,FALSE),"")</f>
        <v>-50</v>
      </c>
      <c r="BR62" s="4">
        <f t="shared" si="67"/>
        <v>0</v>
      </c>
      <c r="BS62" s="4">
        <f t="shared" si="94"/>
        <v>15</v>
      </c>
      <c r="BT62" s="4">
        <f t="shared" si="68"/>
        <v>0.1</v>
      </c>
      <c r="BU62" s="4">
        <f t="shared" si="69"/>
        <v>0.15</v>
      </c>
      <c r="BV62" s="4">
        <f t="shared" si="70"/>
        <v>0.15</v>
      </c>
      <c r="BW62" s="4">
        <f>IFERROR(ROUNDUP((BE62*(BB62-AT62))+(BL62*(BI62-AX62))+(BT62*(((100+(BD62+IF(BE62=1,0,BK62))+(4*BR62))/100)))*'Character Sheet'!GT61,3),"")</f>
        <v>0.15</v>
      </c>
      <c r="BX62" s="4" t="str">
        <f t="shared" si="93"/>
        <v>$0.15</v>
      </c>
      <c r="BY62" s="8"/>
      <c r="DH62" s="4" t="str">
        <f t="shared" si="41"/>
        <v/>
      </c>
      <c r="DI62">
        <v>25</v>
      </c>
      <c r="DJ62" s="3" t="str">
        <f>'Character Sheet'!FB61</f>
        <v>Jar, Glass (tiny)</v>
      </c>
      <c r="DK62" s="4" t="str">
        <f t="shared" si="77"/>
        <v>Hafted</v>
      </c>
      <c r="DL62" s="4" t="str">
        <f>IFERROR(IF(DK62=0,"",VLOOKUP(DK62,Skills!$N$72:$AF$107,19,FALSE)),"")</f>
        <v/>
      </c>
      <c r="DM62" s="4">
        <f>IFERROR(VLOOKUP($DJ62,ItemChart,18,FALSE)+'Character Sheet'!IJ61,0)</f>
        <v>-5</v>
      </c>
      <c r="DN62" s="4" t="str">
        <f t="shared" si="92"/>
        <v/>
      </c>
      <c r="DO62" s="4" t="str">
        <f>IFERROR(DN62+0.6,"")</f>
        <v/>
      </c>
      <c r="DP62" s="4">
        <f t="shared" si="43"/>
        <v>0</v>
      </c>
      <c r="DQ62" s="4">
        <f t="shared" si="78"/>
        <v>2</v>
      </c>
      <c r="DR62" s="4" t="str">
        <f t="shared" si="79"/>
        <v>Jar, Glass (tiny) (Thrown)</v>
      </c>
      <c r="DS62" s="4">
        <f t="shared" si="80"/>
        <v>25</v>
      </c>
      <c r="DT62" s="4" t="str">
        <f t="shared" si="81"/>
        <v>Club</v>
      </c>
      <c r="DU62" s="4">
        <f t="shared" si="82"/>
        <v>-3</v>
      </c>
      <c r="DV62" s="4" t="str">
        <f>VLOOKUP((VLOOKUP((VLOOKUP('Character Creation'!$Z$11,RaceChart,20,FALSE)&amp;" "&amp;VLOOKUP('Character Creation'!$Z$11,RaceChart,21,FALSE)),Charts!$H$2:$J$14,3,FALSE)+DU62),Charts!$J$2:$N$14,5,FALSE)</f>
        <v>D</v>
      </c>
      <c r="DW62" s="4" t="str">
        <f>VLOOKUP(DV62,Charts!$N$2:$Q$14,4,FALSE)</f>
        <v>(2)</v>
      </c>
      <c r="DX62" s="4" t="str">
        <f t="shared" si="83"/>
        <v>D(2) Club</v>
      </c>
      <c r="DY62" s="4">
        <f t="shared" si="84"/>
        <v>0.5</v>
      </c>
      <c r="DZ62" s="4" t="str">
        <f t="shared" si="85"/>
        <v/>
      </c>
      <c r="EA62" s="4" t="e">
        <f>ROUNDDOWN(VLOOKUP(DK62,Skills!$N$72:$S$107,6,FALSE)/5,0)</f>
        <v>#N/A</v>
      </c>
      <c r="EB62" s="4">
        <f t="shared" si="86"/>
        <v>-3</v>
      </c>
      <c r="EC62" s="4">
        <f t="shared" si="87"/>
        <v>-3</v>
      </c>
      <c r="ED62" s="4" t="e">
        <f>VLOOKUP(DJ62,'Character Sheet'!$FB$21:$HQ$35,61,FALSE)</f>
        <v>#N/A</v>
      </c>
      <c r="EE62" s="4" t="str">
        <f t="shared" si="88"/>
        <v>- -</v>
      </c>
      <c r="EF62" s="4" t="str">
        <f t="shared" si="89"/>
        <v>- -</v>
      </c>
      <c r="EG62" s="4">
        <f>VLOOKUP(DR62,Items!$B$1156:$AA$1282,18,FALSE)</f>
        <v>-5</v>
      </c>
      <c r="EH62" s="4" t="e">
        <f>VLOOKUP(DJ62,'Character Sheet'!$E$26:$EZ$45,81,FALSE)</f>
        <v>#N/A</v>
      </c>
      <c r="EI62" s="4" t="e">
        <f>VLOOKUP(DJ62,'Character Sheet'!$E$26:$EZ$45,89,FALSE)</f>
        <v>#N/A</v>
      </c>
      <c r="EJ62" s="4" t="e">
        <f t="shared" si="90"/>
        <v>#N/A</v>
      </c>
    </row>
    <row r="63" spans="29:140" x14ac:dyDescent="0.25">
      <c r="AC63" s="8" t="str">
        <f>IFERROR(VLOOKUP('Character Creation'!$CI76,Skills!$H$2:$N$620,6,FALSE),"")</f>
        <v/>
      </c>
      <c r="AD63" s="4">
        <f>'Character Creation'!EH76</f>
        <v>0</v>
      </c>
      <c r="AG63">
        <v>62</v>
      </c>
      <c r="AH63" s="4" t="str">
        <f t="shared" si="5"/>
        <v/>
      </c>
      <c r="AI63" t="str">
        <f>IFERROR(VLOOKUP(AG63,Skills!$B$2:$M$620,12,FALSE),"")</f>
        <v/>
      </c>
      <c r="AJ63" s="4" t="str">
        <f>IFERROR(VLOOKUP(AG63,Skills!$B$2:$AF$620,31,FALSE),"")</f>
        <v/>
      </c>
      <c r="AK63" s="4" t="str">
        <f t="shared" si="91"/>
        <v/>
      </c>
      <c r="AL63" s="4">
        <v>6.2E-2</v>
      </c>
      <c r="AM63" s="62" t="str">
        <f t="shared" si="6"/>
        <v/>
      </c>
      <c r="AN63" t="str">
        <f t="shared" ca="1" si="7"/>
        <v/>
      </c>
      <c r="AO63" s="4" t="str">
        <f ca="1">IFERROR(VLOOKUP(AG63,$AH$2:$AJ$451,3,FALSE)&amp;IF(ISNUMBER(SEARCH(", Written",AN63))," -R"&amp;VLOOKUP(AN63,Skills!$M$2:$S$620,7,FALSE),IF(ISNUMBER(SEARCH(", Spoken",AN63))," -R"&amp;VLOOKUP(AN63,Skills!$M$2:$S$620,7,FALSE),"")),"")</f>
        <v/>
      </c>
      <c r="AQ63">
        <v>60</v>
      </c>
      <c r="AR63" s="8" t="str">
        <f>'Character Sheet'!FB62</f>
        <v>Aspirin</v>
      </c>
      <c r="AS63" s="4" t="str">
        <f t="shared" si="17"/>
        <v>Acid</v>
      </c>
      <c r="AT63" s="4">
        <f t="shared" si="18"/>
        <v>0.08</v>
      </c>
      <c r="AU63" s="4">
        <f t="shared" si="50"/>
        <v>62</v>
      </c>
      <c r="AV63" s="4">
        <f t="shared" si="51"/>
        <v>0</v>
      </c>
      <c r="AW63" s="4" t="str">
        <f t="shared" si="52"/>
        <v>Acid</v>
      </c>
      <c r="AX63" s="4">
        <f t="shared" si="22"/>
        <v>0.08</v>
      </c>
      <c r="AY63" s="4">
        <f t="shared" si="53"/>
        <v>62</v>
      </c>
      <c r="AZ63" s="4">
        <f t="shared" si="54"/>
        <v>0</v>
      </c>
      <c r="BA63" s="4" t="str">
        <f>IFERROR('Character Sheet'!JK62,"")</f>
        <v>Acid</v>
      </c>
      <c r="BB63" s="4">
        <f t="shared" si="25"/>
        <v>0.08</v>
      </c>
      <c r="BC63" s="4">
        <f t="shared" si="55"/>
        <v>0</v>
      </c>
      <c r="BD63" s="4">
        <f t="shared" si="56"/>
        <v>0</v>
      </c>
      <c r="BE63" s="4">
        <f t="shared" si="57"/>
        <v>1E-4</v>
      </c>
      <c r="BF63" s="4">
        <f t="shared" si="58"/>
        <v>62</v>
      </c>
      <c r="BG63" s="4">
        <f t="shared" si="59"/>
        <v>0</v>
      </c>
      <c r="BH63" s="4" t="str">
        <f>IFERROR('Character Sheet'!KC62,"")</f>
        <v>Acid</v>
      </c>
      <c r="BI63" s="4">
        <f t="shared" si="29"/>
        <v>0.08</v>
      </c>
      <c r="BJ63" s="4">
        <f t="shared" si="60"/>
        <v>0</v>
      </c>
      <c r="BK63" s="4">
        <f t="shared" si="61"/>
        <v>0</v>
      </c>
      <c r="BL63" s="4">
        <f t="shared" si="62"/>
        <v>0</v>
      </c>
      <c r="BM63" s="4">
        <f t="shared" si="63"/>
        <v>62</v>
      </c>
      <c r="BN63" s="4">
        <f t="shared" si="64"/>
        <v>0</v>
      </c>
      <c r="BO63" s="4">
        <f t="shared" si="65"/>
        <v>1</v>
      </c>
      <c r="BP63" s="4">
        <f t="shared" si="66"/>
        <v>0</v>
      </c>
      <c r="BQ63" s="4">
        <f>IFERROR('Character Sheet'!IQ62+VLOOKUP(BA63,MaterialChart,5,FALSE),"")</f>
        <v>0</v>
      </c>
      <c r="BR63" s="4">
        <f t="shared" si="67"/>
        <v>0</v>
      </c>
      <c r="BS63" s="4">
        <f t="shared" si="94"/>
        <v>5</v>
      </c>
      <c r="BT63" s="4">
        <f t="shared" si="68"/>
        <v>0.25</v>
      </c>
      <c r="BU63" s="4">
        <f t="shared" si="69"/>
        <v>1E-4</v>
      </c>
      <c r="BV63" s="4">
        <f t="shared" si="70"/>
        <v>1E-4</v>
      </c>
      <c r="BW63" s="4">
        <f>IFERROR(ROUNDUP((BE63*(BB63-AT63))+(BL63*(BI63-AX63))+(BT63*(((100+(BD63+IF(BE63=1,0,BK63))+(4*BR63))/100)))*'Character Sheet'!GT62,3),"")</f>
        <v>1.75</v>
      </c>
      <c r="BX63" s="4" t="str">
        <f t="shared" si="93"/>
        <v>$1.75</v>
      </c>
      <c r="BY63" s="8"/>
      <c r="DH63" s="4" t="str">
        <f t="shared" si="41"/>
        <v/>
      </c>
      <c r="DI63">
        <v>26</v>
      </c>
      <c r="DJ63" s="3" t="str">
        <f>'Character Sheet'!FB62</f>
        <v>Aspirin</v>
      </c>
      <c r="DK63" s="4">
        <f t="shared" si="77"/>
        <v>0</v>
      </c>
      <c r="DL63" s="4" t="str">
        <f>IFERROR(IF(DK63=0,"",VLOOKUP(DK63,Skills!$N$72:$AF$107,19,FALSE)),"")</f>
        <v/>
      </c>
      <c r="DM63" s="4">
        <f>IFERROR(VLOOKUP($DJ63,ItemChart,18,FALSE)+'Character Sheet'!IJ62,0)</f>
        <v>0</v>
      </c>
      <c r="DN63" s="4" t="str">
        <f t="shared" si="92"/>
        <v/>
      </c>
      <c r="DO63" s="4" t="str">
        <f>IFERROR(DN63+0.61,"")</f>
        <v/>
      </c>
      <c r="DP63" s="4">
        <f t="shared" si="43"/>
        <v>0</v>
      </c>
      <c r="DQ63" s="4">
        <f t="shared" si="78"/>
        <v>2</v>
      </c>
      <c r="DR63" s="4">
        <f t="shared" si="79"/>
        <v>0</v>
      </c>
      <c r="DS63" s="4">
        <f t="shared" si="80"/>
        <v>26</v>
      </c>
      <c r="DT63" s="4">
        <f t="shared" si="81"/>
        <v>0</v>
      </c>
      <c r="DU63" s="4">
        <f t="shared" si="82"/>
        <v>0</v>
      </c>
      <c r="DV63" s="4" t="str">
        <f>VLOOKUP((VLOOKUP((VLOOKUP('Character Creation'!$Z$11,RaceChart,20,FALSE)&amp;" "&amp;VLOOKUP('Character Creation'!$Z$11,RaceChart,21,FALSE)),Charts!$H$2:$J$14,3,FALSE)+DU63),Charts!$J$2:$N$14,5,FALSE)</f>
        <v>M</v>
      </c>
      <c r="DW63" s="4" t="str">
        <f>VLOOKUP(DV63,Charts!$N$2:$Q$14,4,FALSE)</f>
        <v>(5)</v>
      </c>
      <c r="DX63" s="4" t="str">
        <f t="shared" si="83"/>
        <v>M(5) 0</v>
      </c>
      <c r="DY63" s="4">
        <f t="shared" si="84"/>
        <v>0</v>
      </c>
      <c r="DZ63" s="4" t="str">
        <f t="shared" si="85"/>
        <v/>
      </c>
      <c r="EA63" s="4" t="e">
        <f>ROUNDDOWN(VLOOKUP(DK63,Skills!$N$72:$S$107,6,FALSE)/5,0)</f>
        <v>#N/A</v>
      </c>
      <c r="EB63" s="4">
        <f t="shared" si="86"/>
        <v>0</v>
      </c>
      <c r="EC63" s="4" t="str">
        <f t="shared" si="87"/>
        <v>+0</v>
      </c>
      <c r="ED63" s="4" t="e">
        <f>VLOOKUP(DJ63,'Character Sheet'!$FB$21:$HQ$35,61,FALSE)</f>
        <v>#N/A</v>
      </c>
      <c r="EE63" s="4" t="str">
        <f t="shared" si="88"/>
        <v>- -</v>
      </c>
      <c r="EF63" s="4" t="str">
        <f t="shared" si="89"/>
        <v>- -</v>
      </c>
      <c r="EG63" s="4" t="e">
        <f>VLOOKUP(DR63,Items!$B$1156:$AA$1282,18,FALSE)</f>
        <v>#N/A</v>
      </c>
      <c r="EH63" s="4" t="e">
        <f>VLOOKUP(DJ63,'Character Sheet'!$E$26:$EZ$45,81,FALSE)</f>
        <v>#N/A</v>
      </c>
      <c r="EI63" s="4" t="e">
        <f>VLOOKUP(DJ63,'Character Sheet'!$E$26:$EZ$45,89,FALSE)</f>
        <v>#N/A</v>
      </c>
      <c r="EJ63" s="4" t="e">
        <f t="shared" si="90"/>
        <v>#N/A</v>
      </c>
    </row>
    <row r="64" spans="29:140" x14ac:dyDescent="0.25">
      <c r="AC64" s="8" t="str">
        <f>IFERROR(VLOOKUP('Character Creation'!$CI77,Skills!$H$2:$N$620,6,FALSE),"")</f>
        <v/>
      </c>
      <c r="AD64" s="4">
        <f>'Character Creation'!EH77</f>
        <v>0</v>
      </c>
      <c r="AG64">
        <v>63</v>
      </c>
      <c r="AH64" s="4" t="str">
        <f t="shared" si="5"/>
        <v/>
      </c>
      <c r="AI64" t="str">
        <f ca="1">IFERROR(VLOOKUP(AG64,Skills!$B$2:$M$620,12,FALSE),"")</f>
        <v/>
      </c>
      <c r="AJ64" s="4" t="str">
        <f>IFERROR(VLOOKUP(AG64,Skills!$B$2:$AF$620,31,FALSE),"")</f>
        <v/>
      </c>
      <c r="AK64" s="4" t="str">
        <f t="shared" si="91"/>
        <v/>
      </c>
      <c r="AL64" s="4">
        <v>6.3E-2</v>
      </c>
      <c r="AM64" s="62" t="str">
        <f t="shared" si="6"/>
        <v/>
      </c>
      <c r="AN64" t="str">
        <f t="shared" ca="1" si="7"/>
        <v/>
      </c>
      <c r="AO64" s="4" t="str">
        <f ca="1">IFERROR(VLOOKUP(AG64,$AH$2:$AJ$451,3,FALSE)&amp;IF(ISNUMBER(SEARCH(", Written",AN64))," -R"&amp;VLOOKUP(AN64,Skills!$M$2:$S$620,7,FALSE),IF(ISNUMBER(SEARCH(", Spoken",AN64))," -R"&amp;VLOOKUP(AN64,Skills!$M$2:$S$620,7,FALSE),"")),"")</f>
        <v/>
      </c>
      <c r="AQ64">
        <v>61</v>
      </c>
      <c r="AR64" s="8" t="str">
        <f>'Character Sheet'!FB63</f>
        <v>Bandages, Linen</v>
      </c>
      <c r="AS64" s="4" t="str">
        <f t="shared" si="17"/>
        <v>Light Cloth</v>
      </c>
      <c r="AT64" s="4">
        <f t="shared" si="18"/>
        <v>0.02</v>
      </c>
      <c r="AU64" s="4">
        <f t="shared" si="50"/>
        <v>10</v>
      </c>
      <c r="AV64" s="4">
        <f t="shared" si="51"/>
        <v>0</v>
      </c>
      <c r="AW64" s="4" t="str">
        <f t="shared" si="52"/>
        <v>Light Cloth</v>
      </c>
      <c r="AX64" s="4">
        <f t="shared" si="22"/>
        <v>0.02</v>
      </c>
      <c r="AY64" s="4">
        <f t="shared" si="53"/>
        <v>10</v>
      </c>
      <c r="AZ64" s="4">
        <f t="shared" si="54"/>
        <v>0</v>
      </c>
      <c r="BA64" s="4" t="str">
        <f>IFERROR('Character Sheet'!JK63,"")</f>
        <v>Light Cloth</v>
      </c>
      <c r="BB64" s="4">
        <f t="shared" si="25"/>
        <v>0.02</v>
      </c>
      <c r="BC64" s="4">
        <f t="shared" si="55"/>
        <v>0</v>
      </c>
      <c r="BD64" s="4">
        <f t="shared" si="56"/>
        <v>0</v>
      </c>
      <c r="BE64" s="4">
        <f t="shared" si="57"/>
        <v>3.3000000000000002E-2</v>
      </c>
      <c r="BF64" s="4">
        <f t="shared" si="58"/>
        <v>10</v>
      </c>
      <c r="BG64" s="4">
        <f t="shared" si="59"/>
        <v>0</v>
      </c>
      <c r="BH64" s="4" t="str">
        <f>IFERROR('Character Sheet'!KC63,"")</f>
        <v>Light Cloth</v>
      </c>
      <c r="BI64" s="4">
        <f t="shared" si="29"/>
        <v>0.02</v>
      </c>
      <c r="BJ64" s="4">
        <f t="shared" si="60"/>
        <v>0</v>
      </c>
      <c r="BK64" s="4">
        <f t="shared" si="61"/>
        <v>0</v>
      </c>
      <c r="BL64" s="4">
        <f t="shared" si="62"/>
        <v>0</v>
      </c>
      <c r="BM64" s="4">
        <f t="shared" si="63"/>
        <v>10</v>
      </c>
      <c r="BN64" s="4">
        <f t="shared" si="64"/>
        <v>0</v>
      </c>
      <c r="BO64" s="4">
        <f t="shared" si="65"/>
        <v>1</v>
      </c>
      <c r="BP64" s="4">
        <f t="shared" si="66"/>
        <v>0</v>
      </c>
      <c r="BQ64" s="4">
        <f>IFERROR('Character Sheet'!IQ63+VLOOKUP(BA64,MaterialChart,5,FALSE),"")</f>
        <v>0</v>
      </c>
      <c r="BR64" s="4">
        <f t="shared" si="67"/>
        <v>0</v>
      </c>
      <c r="BS64" s="4">
        <f t="shared" si="94"/>
        <v>30</v>
      </c>
      <c r="BT64" s="4">
        <f t="shared" si="68"/>
        <v>3.0000000000000001E-3</v>
      </c>
      <c r="BU64" s="4">
        <f t="shared" si="69"/>
        <v>3.3000000000000002E-2</v>
      </c>
      <c r="BV64" s="4">
        <f t="shared" si="70"/>
        <v>3.3000000000000002E-2</v>
      </c>
      <c r="BW64" s="4">
        <f>IFERROR(ROUNDUP((BE64*(BB64-AT64))+(BL64*(BI64-AX64))+(BT64*(((100+(BD64+IF(BE64=1,0,BK64))+(4*BR64))/100)))*'Character Sheet'!GT63,3),"")</f>
        <v>1.2E-2</v>
      </c>
      <c r="BX64" s="4" t="str">
        <f t="shared" si="93"/>
        <v>$0.01</v>
      </c>
      <c r="BY64" s="8"/>
      <c r="DH64" s="4" t="str">
        <f t="shared" si="41"/>
        <v/>
      </c>
      <c r="DI64">
        <v>27</v>
      </c>
      <c r="DJ64" s="3" t="str">
        <f>'Character Sheet'!FB63</f>
        <v>Bandages, Linen</v>
      </c>
      <c r="DK64" s="4">
        <f t="shared" si="77"/>
        <v>0</v>
      </c>
      <c r="DL64" s="4" t="str">
        <f>IFERROR(IF(DK64=0,"",VLOOKUP(DK64,Skills!$N$72:$AF$107,19,FALSE)),"")</f>
        <v/>
      </c>
      <c r="DM64" s="4">
        <f>IFERROR(VLOOKUP($DJ64,ItemChart,18,FALSE)+'Character Sheet'!IJ63,0)</f>
        <v>0</v>
      </c>
      <c r="DN64" s="4" t="str">
        <f t="shared" si="92"/>
        <v/>
      </c>
      <c r="DO64" s="4" t="str">
        <f>IFERROR(DN64+0.62,"")</f>
        <v/>
      </c>
      <c r="DP64" s="4">
        <f t="shared" si="43"/>
        <v>0</v>
      </c>
      <c r="DQ64" s="4">
        <f t="shared" si="78"/>
        <v>2</v>
      </c>
      <c r="DR64" s="4">
        <f t="shared" si="79"/>
        <v>0</v>
      </c>
      <c r="DS64" s="4">
        <f t="shared" si="80"/>
        <v>27</v>
      </c>
      <c r="DT64" s="4">
        <f t="shared" si="81"/>
        <v>0</v>
      </c>
      <c r="DU64" s="4">
        <f t="shared" si="82"/>
        <v>0</v>
      </c>
      <c r="DV64" s="4" t="str">
        <f>VLOOKUP((VLOOKUP((VLOOKUP('Character Creation'!$Z$11,RaceChart,20,FALSE)&amp;" "&amp;VLOOKUP('Character Creation'!$Z$11,RaceChart,21,FALSE)),Charts!$H$2:$J$14,3,FALSE)+DU64),Charts!$J$2:$N$14,5,FALSE)</f>
        <v>M</v>
      </c>
      <c r="DW64" s="4" t="str">
        <f>VLOOKUP(DV64,Charts!$N$2:$Q$14,4,FALSE)</f>
        <v>(5)</v>
      </c>
      <c r="DX64" s="4" t="str">
        <f t="shared" si="83"/>
        <v>M(5) 0</v>
      </c>
      <c r="DY64" s="4">
        <f t="shared" si="84"/>
        <v>0</v>
      </c>
      <c r="DZ64" s="4" t="str">
        <f t="shared" si="85"/>
        <v/>
      </c>
      <c r="EA64" s="4" t="e">
        <f>ROUNDDOWN(VLOOKUP(DK64,Skills!$N$72:$S$107,6,FALSE)/5,0)</f>
        <v>#N/A</v>
      </c>
      <c r="EB64" s="4">
        <f t="shared" si="86"/>
        <v>0</v>
      </c>
      <c r="EC64" s="4" t="str">
        <f t="shared" si="87"/>
        <v>+0</v>
      </c>
      <c r="ED64" s="4" t="e">
        <f>VLOOKUP(DJ64,'Character Sheet'!$FB$21:$HQ$35,61,FALSE)</f>
        <v>#N/A</v>
      </c>
      <c r="EE64" s="4" t="str">
        <f t="shared" si="88"/>
        <v>- -</v>
      </c>
      <c r="EF64" s="4" t="str">
        <f t="shared" si="89"/>
        <v>- -</v>
      </c>
      <c r="EG64" s="4" t="e">
        <f>VLOOKUP(DR64,Items!$B$1156:$AA$1282,18,FALSE)</f>
        <v>#N/A</v>
      </c>
      <c r="EH64" s="4" t="e">
        <f>VLOOKUP(DJ64,'Character Sheet'!$E$26:$EZ$45,81,FALSE)</f>
        <v>#N/A</v>
      </c>
      <c r="EI64" s="4" t="e">
        <f>VLOOKUP(DJ64,'Character Sheet'!$E$26:$EZ$45,89,FALSE)</f>
        <v>#N/A</v>
      </c>
      <c r="EJ64" s="4" t="e">
        <f t="shared" si="90"/>
        <v>#N/A</v>
      </c>
    </row>
    <row r="65" spans="29:140" x14ac:dyDescent="0.25">
      <c r="AC65" s="8" t="str">
        <f>IFERROR(VLOOKUP('Character Creation'!$CI78,Skills!$H$2:$N$620,6,FALSE),"")</f>
        <v/>
      </c>
      <c r="AD65" s="4">
        <f>'Character Creation'!EH78</f>
        <v>0</v>
      </c>
      <c r="AG65">
        <v>64</v>
      </c>
      <c r="AH65" s="4" t="str">
        <f t="shared" si="5"/>
        <v/>
      </c>
      <c r="AI65" t="str">
        <f>IFERROR(VLOOKUP(AG65,Skills!$B$2:$M$620,12,FALSE),"")</f>
        <v/>
      </c>
      <c r="AJ65" s="4" t="str">
        <f>IFERROR(VLOOKUP(AG65,Skills!$B$2:$AF$620,31,FALSE),"")</f>
        <v/>
      </c>
      <c r="AK65" s="4" t="str">
        <f t="shared" si="91"/>
        <v/>
      </c>
      <c r="AL65" s="4">
        <v>6.4000000000000001E-2</v>
      </c>
      <c r="AM65" s="62" t="str">
        <f t="shared" si="6"/>
        <v/>
      </c>
      <c r="AN65" t="str">
        <f t="shared" ca="1" si="7"/>
        <v/>
      </c>
      <c r="AO65" s="4" t="str">
        <f ca="1">IFERROR(VLOOKUP(AG65,$AH$2:$AJ$451,3,FALSE)&amp;IF(ISNUMBER(SEARCH(", Written",AN65))," -R"&amp;VLOOKUP(AN65,Skills!$M$2:$S$620,7,FALSE),IF(ISNUMBER(SEARCH(", Spoken",AN65))," -R"&amp;VLOOKUP(AN65,Skills!$M$2:$S$620,7,FALSE),"")),"")</f>
        <v/>
      </c>
      <c r="AQ65">
        <v>62</v>
      </c>
      <c r="AR65" s="8" t="str">
        <f>'Character Sheet'!FB64</f>
        <v>Brush, Grooming</v>
      </c>
      <c r="AS65" s="4" t="str">
        <f t="shared" si="17"/>
        <v>Tin</v>
      </c>
      <c r="AT65" s="4">
        <f t="shared" si="18"/>
        <v>0.52</v>
      </c>
      <c r="AU65" s="4">
        <f t="shared" si="50"/>
        <v>454</v>
      </c>
      <c r="AV65" s="4">
        <f t="shared" si="51"/>
        <v>-30</v>
      </c>
      <c r="AW65" s="4" t="str">
        <f t="shared" si="52"/>
        <v>Heavy Cloth</v>
      </c>
      <c r="AX65" s="4">
        <f t="shared" si="22"/>
        <v>0.04</v>
      </c>
      <c r="AY65" s="4">
        <f t="shared" si="53"/>
        <v>12</v>
      </c>
      <c r="AZ65" s="4">
        <f t="shared" si="54"/>
        <v>0</v>
      </c>
      <c r="BA65" s="4" t="str">
        <f>IFERROR('Character Sheet'!JK64,"")</f>
        <v>Tin</v>
      </c>
      <c r="BB65" s="4">
        <f t="shared" si="25"/>
        <v>0.52</v>
      </c>
      <c r="BC65" s="4">
        <f t="shared" si="55"/>
        <v>0</v>
      </c>
      <c r="BD65" s="4">
        <f t="shared" si="56"/>
        <v>0</v>
      </c>
      <c r="BE65" s="4">
        <f t="shared" si="57"/>
        <v>0.45</v>
      </c>
      <c r="BF65" s="4">
        <f t="shared" si="58"/>
        <v>454</v>
      </c>
      <c r="BG65" s="4">
        <f t="shared" si="59"/>
        <v>-30</v>
      </c>
      <c r="BH65" s="4" t="str">
        <f>IFERROR('Character Sheet'!KC64,"")</f>
        <v>Heavy Cloth</v>
      </c>
      <c r="BI65" s="4">
        <f t="shared" si="29"/>
        <v>0.04</v>
      </c>
      <c r="BJ65" s="4">
        <f t="shared" si="60"/>
        <v>0</v>
      </c>
      <c r="BK65" s="4">
        <f t="shared" si="61"/>
        <v>0</v>
      </c>
      <c r="BL65" s="4">
        <f t="shared" si="62"/>
        <v>4.9999999999999989E-2</v>
      </c>
      <c r="BM65" s="4">
        <f t="shared" si="63"/>
        <v>12</v>
      </c>
      <c r="BN65" s="4">
        <f t="shared" si="64"/>
        <v>0</v>
      </c>
      <c r="BO65" s="4">
        <f t="shared" si="65"/>
        <v>0.9</v>
      </c>
      <c r="BP65" s="4">
        <f t="shared" si="66"/>
        <v>-35</v>
      </c>
      <c r="BQ65" s="4">
        <f>IFERROR('Character Sheet'!IQ64+VLOOKUP(BA65,MaterialChart,5,FALSE),"")</f>
        <v>-35</v>
      </c>
      <c r="BR65" s="4">
        <f t="shared" si="67"/>
        <v>0</v>
      </c>
      <c r="BS65" s="4">
        <f t="shared" si="94"/>
        <v>30</v>
      </c>
      <c r="BT65" s="4">
        <f t="shared" si="68"/>
        <v>0.1</v>
      </c>
      <c r="BU65" s="4">
        <f t="shared" si="69"/>
        <v>0.5</v>
      </c>
      <c r="BV65" s="4">
        <f t="shared" si="70"/>
        <v>0.5</v>
      </c>
      <c r="BW65" s="4">
        <f>IFERROR(ROUNDUP((BE65*(BB65-AT65))+(BL65*(BI65-AX65))+(BT65*(((100+(BD65+IF(BE65=1,0,BK65))+(4*BR65))/100)))*'Character Sheet'!GT64,3),"")</f>
        <v>0.1</v>
      </c>
      <c r="BX65" s="4" t="str">
        <f t="shared" si="93"/>
        <v>$0.1</v>
      </c>
      <c r="BY65" s="8"/>
      <c r="DH65" s="4" t="str">
        <f t="shared" si="41"/>
        <v/>
      </c>
      <c r="DI65">
        <v>28</v>
      </c>
      <c r="DJ65" s="3" t="str">
        <f>'Character Sheet'!FB64</f>
        <v>Brush, Grooming</v>
      </c>
      <c r="DK65" s="4">
        <f t="shared" si="77"/>
        <v>0</v>
      </c>
      <c r="DL65" s="4" t="str">
        <f>IFERROR(IF(DK65=0,"",VLOOKUP(DK65,Skills!$N$72:$AF$107,19,FALSE)),"")</f>
        <v/>
      </c>
      <c r="DM65" s="4">
        <f>IFERROR(VLOOKUP($DJ65,ItemChart,18,FALSE)+'Character Sheet'!IJ64,0)</f>
        <v>0</v>
      </c>
      <c r="DN65" s="4" t="str">
        <f t="shared" si="92"/>
        <v/>
      </c>
      <c r="DO65" s="4" t="str">
        <f>IFERROR(DN65+0.63,"")</f>
        <v/>
      </c>
      <c r="DP65" s="4">
        <f t="shared" si="43"/>
        <v>0</v>
      </c>
      <c r="DQ65" s="4">
        <f t="shared" si="78"/>
        <v>2</v>
      </c>
      <c r="DR65" s="4">
        <f t="shared" si="79"/>
        <v>0</v>
      </c>
      <c r="DS65" s="4">
        <f t="shared" si="80"/>
        <v>28</v>
      </c>
      <c r="DT65" s="4">
        <f t="shared" si="81"/>
        <v>0</v>
      </c>
      <c r="DU65" s="4">
        <f t="shared" si="82"/>
        <v>0</v>
      </c>
      <c r="DV65" s="4" t="str">
        <f>VLOOKUP((VLOOKUP((VLOOKUP('Character Creation'!$Z$11,RaceChart,20,FALSE)&amp;" "&amp;VLOOKUP('Character Creation'!$Z$11,RaceChart,21,FALSE)),Charts!$H$2:$J$14,3,FALSE)+DU65),Charts!$J$2:$N$14,5,FALSE)</f>
        <v>M</v>
      </c>
      <c r="DW65" s="4" t="str">
        <f>VLOOKUP(DV65,Charts!$N$2:$Q$14,4,FALSE)</f>
        <v>(5)</v>
      </c>
      <c r="DX65" s="4" t="str">
        <f t="shared" si="83"/>
        <v>M(5) 0</v>
      </c>
      <c r="DY65" s="4">
        <f t="shared" si="84"/>
        <v>0</v>
      </c>
      <c r="DZ65" s="4" t="str">
        <f t="shared" si="85"/>
        <v/>
      </c>
      <c r="EA65" s="4" t="e">
        <f>ROUNDDOWN(VLOOKUP(DK65,Skills!$N$72:$S$107,6,FALSE)/5,0)</f>
        <v>#N/A</v>
      </c>
      <c r="EB65" s="4">
        <f t="shared" si="86"/>
        <v>0</v>
      </c>
      <c r="EC65" s="4" t="str">
        <f t="shared" si="87"/>
        <v>+0</v>
      </c>
      <c r="ED65" s="4" t="e">
        <f>VLOOKUP(DJ65,'Character Sheet'!$FB$21:$HQ$35,61,FALSE)</f>
        <v>#N/A</v>
      </c>
      <c r="EE65" s="4" t="str">
        <f t="shared" si="88"/>
        <v>- -</v>
      </c>
      <c r="EF65" s="4" t="str">
        <f t="shared" si="89"/>
        <v>- -</v>
      </c>
      <c r="EG65" s="4" t="e">
        <f>VLOOKUP(DR65,Items!$B$1156:$AA$1282,18,FALSE)</f>
        <v>#N/A</v>
      </c>
      <c r="EH65" s="4" t="e">
        <f>VLOOKUP(DJ65,'Character Sheet'!$E$26:$EZ$45,81,FALSE)</f>
        <v>#N/A</v>
      </c>
      <c r="EI65" s="4" t="e">
        <f>VLOOKUP(DJ65,'Character Sheet'!$E$26:$EZ$45,89,FALSE)</f>
        <v>#N/A</v>
      </c>
      <c r="EJ65" s="4" t="e">
        <f t="shared" si="90"/>
        <v>#N/A</v>
      </c>
    </row>
    <row r="66" spans="29:140" x14ac:dyDescent="0.25">
      <c r="AC66" s="8" t="str">
        <f>IFERROR(VLOOKUP('Character Creation'!$CI79,Skills!$H$2:$N$620,6,FALSE),"")</f>
        <v/>
      </c>
      <c r="AD66" s="4">
        <f>'Character Creation'!EH79</f>
        <v>0</v>
      </c>
      <c r="AG66">
        <v>65</v>
      </c>
      <c r="AH66" s="4" t="str">
        <f t="shared" si="5"/>
        <v/>
      </c>
      <c r="AI66" t="str">
        <f>IFERROR(VLOOKUP(AG66,Skills!$B$2:$M$620,12,FALSE),"")</f>
        <v/>
      </c>
      <c r="AJ66" s="4" t="str">
        <f>IFERROR(VLOOKUP(AG66,Skills!$B$2:$AF$620,31,FALSE),"")</f>
        <v/>
      </c>
      <c r="AK66" s="4" t="str">
        <f t="shared" si="91"/>
        <v/>
      </c>
      <c r="AL66" s="4">
        <v>6.5000000000000002E-2</v>
      </c>
      <c r="AM66" s="62" t="str">
        <f t="shared" si="6"/>
        <v/>
      </c>
      <c r="AN66" t="str">
        <f t="shared" ca="1" si="7"/>
        <v/>
      </c>
      <c r="AO66" s="4" t="str">
        <f ca="1">IFERROR(VLOOKUP(AG66,$AH$2:$AJ$451,3,FALSE)&amp;IF(ISNUMBER(SEARCH(", Written",AN66))," -R"&amp;VLOOKUP(AN66,Skills!$M$2:$S$620,7,FALSE),IF(ISNUMBER(SEARCH(", Spoken",AN66))," -R"&amp;VLOOKUP(AN66,Skills!$M$2:$S$620,7,FALSE),"")),"")</f>
        <v/>
      </c>
      <c r="AQ66">
        <v>63</v>
      </c>
      <c r="AR66" s="8" t="str">
        <f>'Character Sheet'!FB65</f>
        <v>Hairbrush</v>
      </c>
      <c r="AS66" s="4" t="str">
        <f t="shared" si="17"/>
        <v>Tin</v>
      </c>
      <c r="AT66" s="4">
        <f t="shared" si="18"/>
        <v>0.52</v>
      </c>
      <c r="AU66" s="4">
        <f t="shared" si="50"/>
        <v>454</v>
      </c>
      <c r="AV66" s="4">
        <f t="shared" si="51"/>
        <v>-30</v>
      </c>
      <c r="AW66" s="4" t="str">
        <f t="shared" si="52"/>
        <v>Heavy Cloth</v>
      </c>
      <c r="AX66" s="4">
        <f t="shared" si="22"/>
        <v>0.04</v>
      </c>
      <c r="AY66" s="4">
        <f t="shared" si="53"/>
        <v>12</v>
      </c>
      <c r="AZ66" s="4">
        <f t="shared" si="54"/>
        <v>0</v>
      </c>
      <c r="BA66" s="4" t="str">
        <f>IFERROR('Character Sheet'!JK65,"")</f>
        <v>Tin</v>
      </c>
      <c r="BB66" s="4">
        <f t="shared" si="25"/>
        <v>0.52</v>
      </c>
      <c r="BC66" s="4">
        <f t="shared" si="55"/>
        <v>0</v>
      </c>
      <c r="BD66" s="4">
        <f t="shared" si="56"/>
        <v>0</v>
      </c>
      <c r="BE66" s="4">
        <f t="shared" si="57"/>
        <v>0.45</v>
      </c>
      <c r="BF66" s="4">
        <f t="shared" si="58"/>
        <v>454</v>
      </c>
      <c r="BG66" s="4">
        <f t="shared" si="59"/>
        <v>-30</v>
      </c>
      <c r="BH66" s="4" t="str">
        <f>IFERROR('Character Sheet'!KC65,"")</f>
        <v>Heavy Cloth</v>
      </c>
      <c r="BI66" s="4">
        <f t="shared" si="29"/>
        <v>0.04</v>
      </c>
      <c r="BJ66" s="4">
        <f t="shared" si="60"/>
        <v>0</v>
      </c>
      <c r="BK66" s="4">
        <f t="shared" si="61"/>
        <v>0</v>
      </c>
      <c r="BL66" s="4">
        <f t="shared" si="62"/>
        <v>4.9999999999999989E-2</v>
      </c>
      <c r="BM66" s="4">
        <f t="shared" si="63"/>
        <v>12</v>
      </c>
      <c r="BN66" s="4">
        <f t="shared" si="64"/>
        <v>0</v>
      </c>
      <c r="BO66" s="4">
        <f t="shared" si="65"/>
        <v>0.9</v>
      </c>
      <c r="BP66" s="4">
        <f t="shared" si="66"/>
        <v>-35</v>
      </c>
      <c r="BQ66" s="4">
        <f>IFERROR('Character Sheet'!IQ65+VLOOKUP(BA66,MaterialChart,5,FALSE),"")</f>
        <v>-35</v>
      </c>
      <c r="BR66" s="4">
        <f t="shared" si="67"/>
        <v>0</v>
      </c>
      <c r="BS66" s="4">
        <f t="shared" si="94"/>
        <v>30</v>
      </c>
      <c r="BT66" s="4">
        <f t="shared" si="68"/>
        <v>0.18</v>
      </c>
      <c r="BU66" s="4">
        <f t="shared" si="69"/>
        <v>0.5</v>
      </c>
      <c r="BV66" s="4">
        <f t="shared" si="70"/>
        <v>0.5</v>
      </c>
      <c r="BW66" s="4">
        <f>IFERROR(ROUNDUP((BE66*(BB66-AT66))+(BL66*(BI66-AX66))+(BT66*(((100+(BD66+IF(BE66=1,0,BK66))+(4*BR66))/100)))*'Character Sheet'!GT65,3),"")</f>
        <v>0.18</v>
      </c>
      <c r="BX66" s="4" t="str">
        <f t="shared" si="93"/>
        <v>$0.18</v>
      </c>
      <c r="BY66" s="8"/>
      <c r="DH66" s="4" t="str">
        <f t="shared" si="41"/>
        <v/>
      </c>
      <c r="DI66">
        <v>29</v>
      </c>
      <c r="DJ66" s="3" t="str">
        <f>'Character Sheet'!FB65</f>
        <v>Hairbrush</v>
      </c>
      <c r="DK66" s="4">
        <f t="shared" si="77"/>
        <v>0</v>
      </c>
      <c r="DL66" s="4" t="str">
        <f>IFERROR(IF(DK66=0,"",VLOOKUP(DK66,Skills!$N$72:$AF$107,19,FALSE)),"")</f>
        <v/>
      </c>
      <c r="DM66" s="4">
        <f>IFERROR(VLOOKUP($DJ66,ItemChart,18,FALSE)+'Character Sheet'!IJ65,0)</f>
        <v>0</v>
      </c>
      <c r="DN66" s="4" t="str">
        <f t="shared" si="92"/>
        <v/>
      </c>
      <c r="DO66" s="4" t="str">
        <f>IFERROR(DN66+0.64,"")</f>
        <v/>
      </c>
      <c r="DP66" s="4">
        <f t="shared" si="43"/>
        <v>0</v>
      </c>
      <c r="DQ66" s="4">
        <f t="shared" si="78"/>
        <v>2</v>
      </c>
      <c r="DR66" s="4">
        <f t="shared" si="79"/>
        <v>0</v>
      </c>
      <c r="DS66" s="4">
        <f t="shared" si="80"/>
        <v>29</v>
      </c>
      <c r="DT66" s="4">
        <f t="shared" si="81"/>
        <v>0</v>
      </c>
      <c r="DU66" s="4">
        <f t="shared" si="82"/>
        <v>0</v>
      </c>
      <c r="DV66" s="4" t="str">
        <f>VLOOKUP((VLOOKUP((VLOOKUP('Character Creation'!$Z$11,RaceChart,20,FALSE)&amp;" "&amp;VLOOKUP('Character Creation'!$Z$11,RaceChart,21,FALSE)),Charts!$H$2:$J$14,3,FALSE)+DU66),Charts!$J$2:$N$14,5,FALSE)</f>
        <v>M</v>
      </c>
      <c r="DW66" s="4" t="str">
        <f>VLOOKUP(DV66,Charts!$N$2:$Q$14,4,FALSE)</f>
        <v>(5)</v>
      </c>
      <c r="DX66" s="4" t="str">
        <f t="shared" si="83"/>
        <v>M(5) 0</v>
      </c>
      <c r="DY66" s="4">
        <f t="shared" si="84"/>
        <v>0</v>
      </c>
      <c r="DZ66" s="4" t="str">
        <f t="shared" si="85"/>
        <v/>
      </c>
      <c r="EA66" s="4" t="e">
        <f>ROUNDDOWN(VLOOKUP(DK66,Skills!$N$72:$S$107,6,FALSE)/5,0)</f>
        <v>#N/A</v>
      </c>
      <c r="EB66" s="4">
        <f t="shared" si="86"/>
        <v>0</v>
      </c>
      <c r="EC66" s="4" t="str">
        <f t="shared" si="87"/>
        <v>+0</v>
      </c>
      <c r="ED66" s="4" t="e">
        <f>VLOOKUP(DJ66,'Character Sheet'!$FB$21:$HQ$35,61,FALSE)</f>
        <v>#N/A</v>
      </c>
      <c r="EE66" s="4" t="str">
        <f t="shared" si="88"/>
        <v>- -</v>
      </c>
      <c r="EF66" s="4" t="str">
        <f t="shared" si="89"/>
        <v>- -</v>
      </c>
      <c r="EG66" s="4" t="e">
        <f>VLOOKUP(DR66,Items!$B$1156:$AA$1282,18,FALSE)</f>
        <v>#N/A</v>
      </c>
      <c r="EH66" s="4" t="e">
        <f>VLOOKUP(DJ66,'Character Sheet'!$E$26:$EZ$45,81,FALSE)</f>
        <v>#N/A</v>
      </c>
      <c r="EI66" s="4" t="e">
        <f>VLOOKUP(DJ66,'Character Sheet'!$E$26:$EZ$45,89,FALSE)</f>
        <v>#N/A</v>
      </c>
      <c r="EJ66" s="4" t="e">
        <f t="shared" si="90"/>
        <v>#N/A</v>
      </c>
    </row>
    <row r="67" spans="29:140" x14ac:dyDescent="0.25">
      <c r="AC67" s="8" t="str">
        <f>IFERROR(VLOOKUP('Character Creation'!$CI80,Skills!$H$2:$N$620,6,FALSE),"")</f>
        <v/>
      </c>
      <c r="AD67" s="4">
        <f>'Character Creation'!EH80</f>
        <v>0</v>
      </c>
      <c r="AG67">
        <v>66</v>
      </c>
      <c r="AH67" s="4" t="str">
        <f t="shared" ref="AH67:AH130" si="95">IFERROR(_xlfn.RANK.EQ(AM67,$AM$2:$AM$451),"")</f>
        <v/>
      </c>
      <c r="AI67" t="str">
        <f>IFERROR(VLOOKUP(AG67,Skills!$B$2:$M$620,12,FALSE),"")</f>
        <v/>
      </c>
      <c r="AJ67" s="4" t="str">
        <f>IFERROR(VLOOKUP(AG67,Skills!$B$2:$AF$620,31,FALSE),"")</f>
        <v/>
      </c>
      <c r="AK67" s="4" t="str">
        <f t="shared" si="91"/>
        <v/>
      </c>
      <c r="AL67" s="4">
        <v>6.6000000000000003E-2</v>
      </c>
      <c r="AM67" s="62" t="str">
        <f t="shared" ref="AM67:AM130" si="96">IFERROR(AK67+AL67,"")</f>
        <v/>
      </c>
      <c r="AN67" t="str">
        <f t="shared" ref="AN67:AN130" ca="1" si="97">IFERROR(VLOOKUP(AG67,$AH$2:$AJ$451,2,FALSE),"")</f>
        <v/>
      </c>
      <c r="AO67" s="4" t="str">
        <f ca="1">IFERROR(VLOOKUP(AG67,$AH$2:$AJ$451,3,FALSE)&amp;IF(ISNUMBER(SEARCH(", Written",AN67))," -R"&amp;VLOOKUP(AN67,Skills!$M$2:$S$620,7,FALSE),IF(ISNUMBER(SEARCH(", Spoken",AN67))," -R"&amp;VLOOKUP(AN67,Skills!$M$2:$S$620,7,FALSE),"")),"")</f>
        <v/>
      </c>
      <c r="AQ67">
        <v>64</v>
      </c>
      <c r="AR67" s="8" t="str">
        <f>'Character Sheet'!FB66</f>
        <v>Hand Mirror, Silvered Glass</v>
      </c>
      <c r="AS67" s="4" t="str">
        <f t="shared" si="17"/>
        <v>Tin</v>
      </c>
      <c r="AT67" s="4">
        <f t="shared" si="18"/>
        <v>0.52</v>
      </c>
      <c r="AU67" s="4">
        <f t="shared" si="50"/>
        <v>454</v>
      </c>
      <c r="AV67" s="4">
        <f t="shared" si="51"/>
        <v>-30</v>
      </c>
      <c r="AW67" s="4" t="str">
        <f t="shared" si="52"/>
        <v>Glass</v>
      </c>
      <c r="AX67" s="4">
        <f t="shared" si="22"/>
        <v>0.1</v>
      </c>
      <c r="AY67" s="4">
        <f t="shared" si="53"/>
        <v>160</v>
      </c>
      <c r="AZ67" s="4">
        <f t="shared" si="54"/>
        <v>-100</v>
      </c>
      <c r="BA67" s="4" t="str">
        <f>IFERROR('Character Sheet'!JK66,"")</f>
        <v>Tin</v>
      </c>
      <c r="BB67" s="4">
        <f t="shared" si="25"/>
        <v>0.52</v>
      </c>
      <c r="BC67" s="4">
        <f t="shared" si="55"/>
        <v>0</v>
      </c>
      <c r="BD67" s="4">
        <f t="shared" si="56"/>
        <v>0</v>
      </c>
      <c r="BE67" s="4">
        <f t="shared" si="57"/>
        <v>4.25</v>
      </c>
      <c r="BF67" s="4">
        <f t="shared" si="58"/>
        <v>454</v>
      </c>
      <c r="BG67" s="4">
        <f t="shared" si="59"/>
        <v>-30</v>
      </c>
      <c r="BH67" s="4" t="str">
        <f>IFERROR('Character Sheet'!KC66,"")</f>
        <v>Glass</v>
      </c>
      <c r="BI67" s="4">
        <f t="shared" si="29"/>
        <v>0.1</v>
      </c>
      <c r="BJ67" s="4">
        <f t="shared" si="60"/>
        <v>-25</v>
      </c>
      <c r="BK67" s="4">
        <f t="shared" si="61"/>
        <v>25</v>
      </c>
      <c r="BL67" s="4">
        <f t="shared" si="62"/>
        <v>0.75</v>
      </c>
      <c r="BM67" s="4">
        <f t="shared" si="63"/>
        <v>160</v>
      </c>
      <c r="BN67" s="4">
        <f t="shared" si="64"/>
        <v>-100</v>
      </c>
      <c r="BO67" s="4">
        <f t="shared" si="65"/>
        <v>0.85</v>
      </c>
      <c r="BP67" s="4">
        <f t="shared" si="66"/>
        <v>-35</v>
      </c>
      <c r="BQ67" s="4">
        <f>IFERROR('Character Sheet'!IQ66+VLOOKUP(BA67,MaterialChart,5,FALSE),"")</f>
        <v>-35</v>
      </c>
      <c r="BR67" s="4">
        <f t="shared" si="67"/>
        <v>0</v>
      </c>
      <c r="BS67" s="4">
        <f t="shared" si="94"/>
        <v>30</v>
      </c>
      <c r="BT67" s="4">
        <f t="shared" si="68"/>
        <v>2.5</v>
      </c>
      <c r="BU67" s="4">
        <f t="shared" si="69"/>
        <v>5</v>
      </c>
      <c r="BV67" s="4">
        <f t="shared" si="70"/>
        <v>5</v>
      </c>
      <c r="BW67" s="4">
        <f>IFERROR(ROUNDUP((BE67*(BB67-AT67))+(BL67*(BI67-AX67))+(BT67*(((100+(BD67+IF(BE67=1,0,BK67))+(4*BR67))/100)))*'Character Sheet'!GT66,3),"")</f>
        <v>3.125</v>
      </c>
      <c r="BX67" s="4" t="str">
        <f t="shared" si="93"/>
        <v>$3.13</v>
      </c>
      <c r="BY67" s="8"/>
      <c r="DH67" s="4" t="str">
        <f t="shared" si="41"/>
        <v/>
      </c>
      <c r="DI67">
        <v>30</v>
      </c>
      <c r="DJ67" s="3" t="str">
        <f>'Character Sheet'!FB66</f>
        <v>Hand Mirror, Silvered Glass</v>
      </c>
      <c r="DK67" s="4">
        <f t="shared" si="77"/>
        <v>0</v>
      </c>
      <c r="DL67" s="4" t="str">
        <f>IFERROR(IF(DK67=0,"",VLOOKUP(DK67,Skills!$N$72:$AF$107,19,FALSE)),"")</f>
        <v/>
      </c>
      <c r="DM67" s="4">
        <f>IFERROR(VLOOKUP($DJ67,ItemChart,18,FALSE)+'Character Sheet'!IJ66,0)</f>
        <v>0</v>
      </c>
      <c r="DN67" s="4" t="str">
        <f t="shared" si="92"/>
        <v/>
      </c>
      <c r="DO67" s="4" t="str">
        <f>IFERROR(DN67+0.65,"")</f>
        <v/>
      </c>
      <c r="DP67" s="4">
        <f t="shared" si="43"/>
        <v>0</v>
      </c>
      <c r="DQ67" s="4">
        <f t="shared" si="78"/>
        <v>2</v>
      </c>
      <c r="DR67" s="4">
        <f t="shared" si="79"/>
        <v>0</v>
      </c>
      <c r="DS67" s="4">
        <f t="shared" si="80"/>
        <v>30</v>
      </c>
      <c r="DT67" s="4">
        <f t="shared" si="81"/>
        <v>0</v>
      </c>
      <c r="DU67" s="4">
        <f t="shared" si="82"/>
        <v>0</v>
      </c>
      <c r="DV67" s="4" t="str">
        <f>VLOOKUP((VLOOKUP((VLOOKUP('Character Creation'!$Z$11,RaceChart,20,FALSE)&amp;" "&amp;VLOOKUP('Character Creation'!$Z$11,RaceChart,21,FALSE)),Charts!$H$2:$J$14,3,FALSE)+DU67),Charts!$J$2:$N$14,5,FALSE)</f>
        <v>M</v>
      </c>
      <c r="DW67" s="4" t="str">
        <f>VLOOKUP(DV67,Charts!$N$2:$Q$14,4,FALSE)</f>
        <v>(5)</v>
      </c>
      <c r="DX67" s="4" t="str">
        <f t="shared" si="83"/>
        <v>M(5) 0</v>
      </c>
      <c r="DY67" s="4">
        <f t="shared" si="84"/>
        <v>0</v>
      </c>
      <c r="DZ67" s="4" t="str">
        <f t="shared" si="85"/>
        <v/>
      </c>
      <c r="EA67" s="4" t="e">
        <f>ROUNDDOWN(VLOOKUP(DK67,Skills!$N$72:$S$107,6,FALSE)/5,0)</f>
        <v>#N/A</v>
      </c>
      <c r="EB67" s="4">
        <f t="shared" si="86"/>
        <v>0</v>
      </c>
      <c r="EC67" s="4" t="str">
        <f t="shared" si="87"/>
        <v>+0</v>
      </c>
      <c r="ED67" s="4" t="e">
        <f>VLOOKUP(DJ67,'Character Sheet'!$FB$21:$HQ$35,61,FALSE)</f>
        <v>#N/A</v>
      </c>
      <c r="EE67" s="4" t="str">
        <f t="shared" si="88"/>
        <v>- -</v>
      </c>
      <c r="EF67" s="4" t="str">
        <f t="shared" si="89"/>
        <v>- -</v>
      </c>
      <c r="EG67" s="4" t="e">
        <f>VLOOKUP(DR67,Items!$B$1156:$AA$1282,18,FALSE)</f>
        <v>#N/A</v>
      </c>
      <c r="EH67" s="4" t="e">
        <f>VLOOKUP(DJ67,'Character Sheet'!$E$26:$EZ$45,81,FALSE)</f>
        <v>#N/A</v>
      </c>
      <c r="EI67" s="4" t="e">
        <f>VLOOKUP(DJ67,'Character Sheet'!$E$26:$EZ$45,89,FALSE)</f>
        <v>#N/A</v>
      </c>
      <c r="EJ67" s="4" t="e">
        <f t="shared" si="90"/>
        <v>#N/A</v>
      </c>
    </row>
    <row r="68" spans="29:140" x14ac:dyDescent="0.25">
      <c r="AC68" s="8" t="str">
        <f>IFERROR(VLOOKUP('Character Creation'!$CI81,Skills!$H$2:$N$620,6,FALSE),"")</f>
        <v/>
      </c>
      <c r="AD68" s="4">
        <f>'Character Creation'!EH81</f>
        <v>0</v>
      </c>
      <c r="AG68">
        <v>67</v>
      </c>
      <c r="AH68" s="4" t="str">
        <f t="shared" si="95"/>
        <v/>
      </c>
      <c r="AI68" t="str">
        <f>IFERROR(VLOOKUP(AG68,Skills!$B$2:$M$620,12,FALSE),"")</f>
        <v/>
      </c>
      <c r="AJ68" s="4" t="str">
        <f>IFERROR(VLOOKUP(AG68,Skills!$B$2:$AF$620,31,FALSE),"")</f>
        <v/>
      </c>
      <c r="AK68" s="4" t="str">
        <f t="shared" si="91"/>
        <v/>
      </c>
      <c r="AL68" s="4">
        <v>6.7000000000000004E-2</v>
      </c>
      <c r="AM68" s="62" t="str">
        <f t="shared" si="96"/>
        <v/>
      </c>
      <c r="AN68" t="str">
        <f t="shared" ca="1" si="97"/>
        <v/>
      </c>
      <c r="AO68" s="4" t="str">
        <f ca="1">IFERROR(VLOOKUP(AG68,$AH$2:$AJ$451,3,FALSE)&amp;IF(ISNUMBER(SEARCH(", Written",AN68))," -R"&amp;VLOOKUP(AN68,Skills!$M$2:$S$620,7,FALSE),IF(ISNUMBER(SEARCH(", Spoken",AN68))," -R"&amp;VLOOKUP(AN68,Skills!$M$2:$S$620,7,FALSE),"")),"")</f>
        <v/>
      </c>
      <c r="AQ68">
        <v>65</v>
      </c>
      <c r="AR68" s="8" t="str">
        <f>'Character Sheet'!FB67</f>
        <v>Snuff Box, Plain</v>
      </c>
      <c r="AS68" s="4" t="str">
        <f t="shared" ref="AS68:AS116" si="98">IFERROR(VLOOKUP(AR68,ItemChart,5,FALSE),"")</f>
        <v>Tin</v>
      </c>
      <c r="AT68" s="4">
        <f t="shared" ref="AT68:AT116" si="99">IFERROR(VLOOKUP(AS68,MaterialChart,6,FALSE),"")</f>
        <v>0.52</v>
      </c>
      <c r="AU68" s="4">
        <f t="shared" si="50"/>
        <v>454</v>
      </c>
      <c r="AV68" s="4">
        <f t="shared" si="51"/>
        <v>-30</v>
      </c>
      <c r="AW68" s="4" t="str">
        <f t="shared" si="52"/>
        <v>Tin</v>
      </c>
      <c r="AX68" s="4">
        <f t="shared" ref="AX68:AX116" si="100">IFERROR(VLOOKUP(AW68,MaterialChart,6,FALSE),"")</f>
        <v>0.52</v>
      </c>
      <c r="AY68" s="4">
        <f t="shared" si="53"/>
        <v>454</v>
      </c>
      <c r="AZ68" s="4">
        <f t="shared" si="54"/>
        <v>-30</v>
      </c>
      <c r="BA68" s="4" t="str">
        <f>IFERROR('Character Sheet'!JK67,"")</f>
        <v>Tin</v>
      </c>
      <c r="BB68" s="4">
        <f t="shared" ref="BB68:BB116" si="101">IFERROR(VLOOKUP(BA68,MaterialChart,6,FALSE),"")</f>
        <v>0.52</v>
      </c>
      <c r="BC68" s="4">
        <f t="shared" si="55"/>
        <v>0</v>
      </c>
      <c r="BD68" s="4">
        <f t="shared" si="56"/>
        <v>0</v>
      </c>
      <c r="BE68" s="4">
        <f t="shared" si="57"/>
        <v>0.5</v>
      </c>
      <c r="BF68" s="4">
        <f t="shared" si="58"/>
        <v>454</v>
      </c>
      <c r="BG68" s="4">
        <f t="shared" si="59"/>
        <v>-30</v>
      </c>
      <c r="BH68" s="4" t="str">
        <f>IFERROR('Character Sheet'!KC67,"")</f>
        <v>Tin</v>
      </c>
      <c r="BI68" s="4">
        <f t="shared" ref="BI68:BI116" si="102">IFERROR(VLOOKUP(BH68,MaterialChart,6,FALSE),"")</f>
        <v>0.52</v>
      </c>
      <c r="BJ68" s="4">
        <f t="shared" si="60"/>
        <v>0</v>
      </c>
      <c r="BK68" s="4">
        <f t="shared" si="61"/>
        <v>0</v>
      </c>
      <c r="BL68" s="4">
        <f t="shared" si="62"/>
        <v>0</v>
      </c>
      <c r="BM68" s="4">
        <f t="shared" si="63"/>
        <v>454</v>
      </c>
      <c r="BN68" s="4">
        <f t="shared" si="64"/>
        <v>-30</v>
      </c>
      <c r="BO68" s="4">
        <f t="shared" si="65"/>
        <v>1</v>
      </c>
      <c r="BP68" s="4">
        <f t="shared" si="66"/>
        <v>-35</v>
      </c>
      <c r="BQ68" s="4">
        <f>IFERROR('Character Sheet'!IQ67+VLOOKUP(BA68,MaterialChart,5,FALSE),"")</f>
        <v>-35</v>
      </c>
      <c r="BR68" s="4">
        <f t="shared" si="67"/>
        <v>0</v>
      </c>
      <c r="BS68" s="4">
        <f t="shared" si="94"/>
        <v>40</v>
      </c>
      <c r="BT68" s="4">
        <f t="shared" si="68"/>
        <v>0.25</v>
      </c>
      <c r="BU68" s="4">
        <f t="shared" si="69"/>
        <v>0.5</v>
      </c>
      <c r="BV68" s="4">
        <f t="shared" si="70"/>
        <v>0.5</v>
      </c>
      <c r="BW68" s="4">
        <f>IFERROR(ROUNDUP((BE68*(BB68-AT68))+(BL68*(BI68-AX68))+(BT68*(((100+(BD68+IF(BE68=1,0,BK68))+(4*BR68))/100)))*'Character Sheet'!GT67,3),"")</f>
        <v>0.25</v>
      </c>
      <c r="BX68" s="4" t="str">
        <f t="shared" si="93"/>
        <v>$0.25</v>
      </c>
      <c r="BY68" s="8"/>
      <c r="DH68" s="4" t="str">
        <f t="shared" ref="DH68:DH127" si="103">IF(DP68=0,"",DP68)</f>
        <v/>
      </c>
      <c r="DI68">
        <v>31</v>
      </c>
      <c r="DJ68" s="3" t="str">
        <f>'Character Sheet'!FB67</f>
        <v>Snuff Box, Plain</v>
      </c>
      <c r="DK68" s="4">
        <f t="shared" si="77"/>
        <v>0</v>
      </c>
      <c r="DL68" s="4" t="str">
        <f>IFERROR(IF(DK68=0,"",VLOOKUP(DK68,Skills!$N$72:$AF$107,19,FALSE)),"")</f>
        <v/>
      </c>
      <c r="DM68" s="4">
        <f>IFERROR(VLOOKUP($DJ68,ItemChart,18,FALSE)+'Character Sheet'!IJ67,0)</f>
        <v>0</v>
      </c>
      <c r="DN68" s="4" t="str">
        <f t="shared" si="92"/>
        <v/>
      </c>
      <c r="DO68" s="4" t="str">
        <f>IFERROR(DN68+0.66,"")</f>
        <v/>
      </c>
      <c r="DP68" s="4">
        <f t="shared" ref="DP68:DP127" si="104">IFERROR(_xlfn.RANK.EQ(DO68,$DO$3:$DO$127),0)</f>
        <v>0</v>
      </c>
      <c r="DQ68" s="4">
        <f t="shared" si="78"/>
        <v>2</v>
      </c>
      <c r="DR68" s="4">
        <f t="shared" si="79"/>
        <v>0</v>
      </c>
      <c r="DS68" s="4">
        <f t="shared" si="80"/>
        <v>31</v>
      </c>
      <c r="DT68" s="4">
        <f t="shared" si="81"/>
        <v>0</v>
      </c>
      <c r="DU68" s="4">
        <f t="shared" si="82"/>
        <v>0</v>
      </c>
      <c r="DV68" s="4" t="str">
        <f>VLOOKUP((VLOOKUP((VLOOKUP('Character Creation'!$Z$11,RaceChart,20,FALSE)&amp;" "&amp;VLOOKUP('Character Creation'!$Z$11,RaceChart,21,FALSE)),Charts!$H$2:$J$14,3,FALSE)+DU68),Charts!$J$2:$N$14,5,FALSE)</f>
        <v>M</v>
      </c>
      <c r="DW68" s="4" t="str">
        <f>VLOOKUP(DV68,Charts!$N$2:$Q$14,4,FALSE)</f>
        <v>(5)</v>
      </c>
      <c r="DX68" s="4" t="str">
        <f t="shared" si="83"/>
        <v>M(5) 0</v>
      </c>
      <c r="DY68" s="4">
        <f t="shared" si="84"/>
        <v>0</v>
      </c>
      <c r="DZ68" s="4" t="str">
        <f t="shared" si="85"/>
        <v/>
      </c>
      <c r="EA68" s="4" t="e">
        <f>ROUNDDOWN(VLOOKUP(DK68,Skills!$N$72:$S$107,6,FALSE)/5,0)</f>
        <v>#N/A</v>
      </c>
      <c r="EB68" s="4">
        <f t="shared" si="86"/>
        <v>0</v>
      </c>
      <c r="EC68" s="4" t="str">
        <f t="shared" si="87"/>
        <v>+0</v>
      </c>
      <c r="ED68" s="4" t="e">
        <f>VLOOKUP(DJ68,'Character Sheet'!$FB$21:$HQ$35,61,FALSE)</f>
        <v>#N/A</v>
      </c>
      <c r="EE68" s="4" t="str">
        <f t="shared" si="88"/>
        <v>- -</v>
      </c>
      <c r="EF68" s="4" t="str">
        <f t="shared" si="89"/>
        <v>- -</v>
      </c>
      <c r="EG68" s="4" t="e">
        <f>VLOOKUP(DR68,Items!$B$1156:$AA$1282,18,FALSE)</f>
        <v>#N/A</v>
      </c>
      <c r="EH68" s="4" t="e">
        <f>VLOOKUP(DJ68,'Character Sheet'!$E$26:$EZ$45,81,FALSE)</f>
        <v>#N/A</v>
      </c>
      <c r="EI68" s="4" t="e">
        <f>VLOOKUP(DJ68,'Character Sheet'!$E$26:$EZ$45,89,FALSE)</f>
        <v>#N/A</v>
      </c>
      <c r="EJ68" s="4" t="e">
        <f t="shared" si="90"/>
        <v>#N/A</v>
      </c>
    </row>
    <row r="69" spans="29:140" x14ac:dyDescent="0.25">
      <c r="AC69" s="8" t="str">
        <f>IFERROR(VLOOKUP('Character Creation'!$CI82,Skills!$H$2:$N$620,6,FALSE),"")</f>
        <v/>
      </c>
      <c r="AD69" s="4">
        <f>'Character Creation'!EH82</f>
        <v>0</v>
      </c>
      <c r="AG69">
        <v>68</v>
      </c>
      <c r="AH69" s="4" t="str">
        <f t="shared" si="95"/>
        <v/>
      </c>
      <c r="AI69" t="str">
        <f>IFERROR(VLOOKUP(AG69,Skills!$B$2:$M$620,12,FALSE),"")</f>
        <v/>
      </c>
      <c r="AJ69" s="4" t="str">
        <f>IFERROR(VLOOKUP(AG69,Skills!$B$2:$AF$620,31,FALSE),"")</f>
        <v/>
      </c>
      <c r="AK69" s="4" t="str">
        <f t="shared" si="91"/>
        <v/>
      </c>
      <c r="AL69" s="4">
        <v>6.8000000000000005E-2</v>
      </c>
      <c r="AM69" s="62" t="str">
        <f t="shared" si="96"/>
        <v/>
      </c>
      <c r="AN69" t="str">
        <f t="shared" ca="1" si="97"/>
        <v/>
      </c>
      <c r="AO69" s="4" t="str">
        <f ca="1">IFERROR(VLOOKUP(AG69,$AH$2:$AJ$451,3,FALSE)&amp;IF(ISNUMBER(SEARCH(", Written",AN69))," -R"&amp;VLOOKUP(AN69,Skills!$M$2:$S$620,7,FALSE),IF(ISNUMBER(SEARCH(", Spoken",AN69))," -R"&amp;VLOOKUP(AN69,Skills!$M$2:$S$620,7,FALSE),"")),"")</f>
        <v/>
      </c>
      <c r="AQ69">
        <v>66</v>
      </c>
      <c r="AR69" s="8" t="str">
        <f>'Character Sheet'!FB68</f>
        <v>Snuff</v>
      </c>
      <c r="AS69" s="4" t="str">
        <f t="shared" si="98"/>
        <v>Acid</v>
      </c>
      <c r="AT69" s="4">
        <f t="shared" si="99"/>
        <v>0.08</v>
      </c>
      <c r="AU69" s="4">
        <f t="shared" ref="AU69:AU109" si="105">IFERROR(VLOOKUP(AS69,MaterialChart,2,FALSE),"")</f>
        <v>62</v>
      </c>
      <c r="AV69" s="4">
        <f t="shared" ref="AV69:AV109" si="106">IFERROR(VLOOKUP(AS69,MaterialChart,3,FALSE),"")</f>
        <v>0</v>
      </c>
      <c r="AW69" s="4" t="str">
        <f t="shared" ref="AW69:AW109" si="107">IFERROR(VLOOKUP(AR69,ItemChart,7,FALSE),"")</f>
        <v>Acid</v>
      </c>
      <c r="AX69" s="4">
        <f t="shared" si="100"/>
        <v>0.08</v>
      </c>
      <c r="AY69" s="4">
        <f t="shared" ref="AY69:AY109" si="108">IFERROR(VLOOKUP(AW69,MaterialChart,2,FALSE),"")</f>
        <v>62</v>
      </c>
      <c r="AZ69" s="4">
        <f t="shared" ref="AZ69:AZ109" si="109">IFERROR(VLOOKUP(AW69,MaterialChart,3,FALSE),"")</f>
        <v>0</v>
      </c>
      <c r="BA69" s="4" t="str">
        <f>IFERROR('Character Sheet'!JK68,"")</f>
        <v>Acid</v>
      </c>
      <c r="BB69" s="4">
        <f t="shared" si="101"/>
        <v>0.08</v>
      </c>
      <c r="BC69" s="4">
        <f t="shared" ref="BC69:BC109" si="110">IFERROR(VLOOKUP(BA69,MaterialChart,4,FALSE),"")</f>
        <v>0</v>
      </c>
      <c r="BD69" s="4">
        <f t="shared" ref="BD69:BD116" si="111">IFERROR(MAX(0,0-BC69),"")</f>
        <v>0</v>
      </c>
      <c r="BE69" s="4">
        <f t="shared" ref="BE69:BE109" si="112">IFERROR(BU69*BO69,"")</f>
        <v>0.25</v>
      </c>
      <c r="BF69" s="4">
        <f t="shared" ref="BF69:BF109" si="113">IFERROR(VLOOKUP(BA69,MaterialChart,2,FALSE),"")</f>
        <v>62</v>
      </c>
      <c r="BG69" s="4">
        <f t="shared" ref="BG69:BG109" si="114">IFERROR(VLOOKUP(BA69,MaterialChart,3,FALSE),"")</f>
        <v>0</v>
      </c>
      <c r="BH69" s="4" t="str">
        <f>IFERROR('Character Sheet'!KC68,"")</f>
        <v>Acid</v>
      </c>
      <c r="BI69" s="4">
        <f t="shared" si="102"/>
        <v>0.08</v>
      </c>
      <c r="BJ69" s="4">
        <f t="shared" ref="BJ69:BJ109" si="115">IFERROR(VLOOKUP(BH69,MaterialChart,4,FALSE),"")</f>
        <v>0</v>
      </c>
      <c r="BK69" s="4">
        <f t="shared" ref="BK69:BK116" si="116">IFERROR(MAX(0,0-BJ69),"")</f>
        <v>0</v>
      </c>
      <c r="BL69" s="4">
        <f t="shared" ref="BL69:BL109" si="117">IFERROR(BU69-BE69,"")</f>
        <v>0</v>
      </c>
      <c r="BM69" s="4">
        <f t="shared" ref="BM69:BM109" si="118">IFERROR(VLOOKUP(BH69,MaterialChart,2,FALSE),"")</f>
        <v>62</v>
      </c>
      <c r="BN69" s="4">
        <f t="shared" ref="BN69:BN109" si="119">IFERROR(VLOOKUP(BH69,MaterialChart,3,FALSE),"")</f>
        <v>0</v>
      </c>
      <c r="BO69" s="4">
        <f t="shared" ref="BO69:BO109" si="120">IFERROR(VLOOKUP(AR69,ItemChart,6,FALSE),"")</f>
        <v>1</v>
      </c>
      <c r="BP69" s="4">
        <f t="shared" ref="BP69:BP109" si="121">IFERROR((VLOOKUP(AS69,MaterialChart,5,FALSE)),"")</f>
        <v>0</v>
      </c>
      <c r="BQ69" s="4">
        <f>IFERROR('Character Sheet'!IQ68+VLOOKUP(BA69,MaterialChart,5,FALSE),"")</f>
        <v>0</v>
      </c>
      <c r="BR69" s="4">
        <f t="shared" ref="BR69:BR109" si="122">IFERROR(BQ69-BP69,"")</f>
        <v>0</v>
      </c>
      <c r="BS69" s="4">
        <f t="shared" si="94"/>
        <v>5</v>
      </c>
      <c r="BT69" s="4">
        <f t="shared" ref="BT69:BT109" si="123">IFERROR(VLOOKUP(AR69,ItemChart,2,FALSE),"")</f>
        <v>0.45</v>
      </c>
      <c r="BU69" s="4">
        <f t="shared" ref="BU69:BU109" si="124">IFERROR(VLOOKUP(AR69,ItemChart,3,FALSE),"")</f>
        <v>0.25</v>
      </c>
      <c r="BV69" s="4">
        <f t="shared" ref="BV69:BV109" si="125">IFERROR((((BU69*BO69)/AU69)*BF69)+(((BU69-(BU69*BO69))/AY69)*BM69),"")</f>
        <v>0.25</v>
      </c>
      <c r="BW69" s="4">
        <f>IFERROR(ROUNDUP((BE69*(BB69-AT69))+(BL69*(BI69-AX69))+(BT69*(((100+(BD69+IF(BE69=1,0,BK69))+(4*BR69))/100)))*'Character Sheet'!GT68,3),"")</f>
        <v>0.45</v>
      </c>
      <c r="BX69" s="4" t="str">
        <f t="shared" si="93"/>
        <v>$0.45</v>
      </c>
      <c r="BY69" s="8"/>
      <c r="DH69" s="4" t="str">
        <f t="shared" si="103"/>
        <v/>
      </c>
      <c r="DI69">
        <v>32</v>
      </c>
      <c r="DJ69" s="3" t="str">
        <f>'Character Sheet'!FB68</f>
        <v>Snuff</v>
      </c>
      <c r="DK69" s="4">
        <f t="shared" si="77"/>
        <v>0</v>
      </c>
      <c r="DL69" s="4" t="str">
        <f>IFERROR(IF(DK69=0,"",VLOOKUP(DK69,Skills!$N$72:$AF$107,19,FALSE)),"")</f>
        <v/>
      </c>
      <c r="DM69" s="4">
        <f>IFERROR(VLOOKUP($DJ69,ItemChart,18,FALSE)+'Character Sheet'!IJ68,0)</f>
        <v>0</v>
      </c>
      <c r="DN69" s="4" t="str">
        <f t="shared" si="92"/>
        <v/>
      </c>
      <c r="DO69" s="4" t="str">
        <f>IFERROR(DN69+0.67,"")</f>
        <v/>
      </c>
      <c r="DP69" s="4">
        <f t="shared" si="104"/>
        <v>0</v>
      </c>
      <c r="DQ69" s="4">
        <f t="shared" si="78"/>
        <v>2</v>
      </c>
      <c r="DR69" s="4">
        <f t="shared" si="79"/>
        <v>0</v>
      </c>
      <c r="DS69" s="4">
        <f t="shared" si="80"/>
        <v>32</v>
      </c>
      <c r="DT69" s="4">
        <f t="shared" si="81"/>
        <v>0</v>
      </c>
      <c r="DU69" s="4">
        <f t="shared" si="82"/>
        <v>0</v>
      </c>
      <c r="DV69" s="4" t="str">
        <f>VLOOKUP((VLOOKUP((VLOOKUP('Character Creation'!$Z$11,RaceChart,20,FALSE)&amp;" "&amp;VLOOKUP('Character Creation'!$Z$11,RaceChart,21,FALSE)),Charts!$H$2:$J$14,3,FALSE)+DU69),Charts!$J$2:$N$14,5,FALSE)</f>
        <v>M</v>
      </c>
      <c r="DW69" s="4" t="str">
        <f>VLOOKUP(DV69,Charts!$N$2:$Q$14,4,FALSE)</f>
        <v>(5)</v>
      </c>
      <c r="DX69" s="4" t="str">
        <f t="shared" si="83"/>
        <v>M(5) 0</v>
      </c>
      <c r="DY69" s="4">
        <f t="shared" si="84"/>
        <v>0</v>
      </c>
      <c r="DZ69" s="4" t="str">
        <f t="shared" si="85"/>
        <v/>
      </c>
      <c r="EA69" s="4" t="e">
        <f>ROUNDDOWN(VLOOKUP(DK69,Skills!$N$72:$S$107,6,FALSE)/5,0)</f>
        <v>#N/A</v>
      </c>
      <c r="EB69" s="4">
        <f t="shared" si="86"/>
        <v>0</v>
      </c>
      <c r="EC69" s="4" t="str">
        <f t="shared" si="87"/>
        <v>+0</v>
      </c>
      <c r="ED69" s="4" t="e">
        <f>VLOOKUP(DJ69,'Character Sheet'!$FB$21:$HQ$35,61,FALSE)</f>
        <v>#N/A</v>
      </c>
      <c r="EE69" s="4" t="str">
        <f t="shared" si="88"/>
        <v>- -</v>
      </c>
      <c r="EF69" s="4" t="str">
        <f t="shared" si="89"/>
        <v>- -</v>
      </c>
      <c r="EG69" s="4" t="e">
        <f>VLOOKUP(DR69,Items!$B$1156:$AA$1282,18,FALSE)</f>
        <v>#N/A</v>
      </c>
      <c r="EH69" s="4" t="e">
        <f>VLOOKUP(DJ69,'Character Sheet'!$E$26:$EZ$45,81,FALSE)</f>
        <v>#N/A</v>
      </c>
      <c r="EI69" s="4" t="e">
        <f>VLOOKUP(DJ69,'Character Sheet'!$E$26:$EZ$45,89,FALSE)</f>
        <v>#N/A</v>
      </c>
      <c r="EJ69" s="4" t="e">
        <f t="shared" si="90"/>
        <v>#N/A</v>
      </c>
    </row>
    <row r="70" spans="29:140" x14ac:dyDescent="0.25">
      <c r="AC70" s="8" t="str">
        <f>IFERROR(VLOOKUP('Character Creation'!$CI83,Skills!$H$2:$N$620,6,FALSE),"")</f>
        <v/>
      </c>
      <c r="AD70" s="4">
        <f>'Character Creation'!EH83</f>
        <v>0</v>
      </c>
      <c r="AG70">
        <v>69</v>
      </c>
      <c r="AH70" s="4" t="str">
        <f t="shared" si="95"/>
        <v/>
      </c>
      <c r="AI70" t="str">
        <f>IFERROR(VLOOKUP(AG70,Skills!$B$2:$M$620,12,FALSE),"")</f>
        <v/>
      </c>
      <c r="AJ70" s="4" t="str">
        <f>IFERROR(VLOOKUP(AG70,Skills!$B$2:$AF$620,31,FALSE),"")</f>
        <v/>
      </c>
      <c r="AK70" s="4" t="str">
        <f t="shared" si="91"/>
        <v/>
      </c>
      <c r="AL70" s="4">
        <v>6.9000000000000006E-2</v>
      </c>
      <c r="AM70" s="62" t="str">
        <f t="shared" si="96"/>
        <v/>
      </c>
      <c r="AN70" t="str">
        <f t="shared" ca="1" si="97"/>
        <v/>
      </c>
      <c r="AO70" s="4" t="str">
        <f ca="1">IFERROR(VLOOKUP(AG70,$AH$2:$AJ$451,3,FALSE)&amp;IF(ISNUMBER(SEARCH(", Written",AN70))," -R"&amp;VLOOKUP(AN70,Skills!$M$2:$S$620,7,FALSE),IF(ISNUMBER(SEARCH(", Spoken",AN70))," -R"&amp;VLOOKUP(AN70,Skills!$M$2:$S$620,7,FALSE),"")),"")</f>
        <v/>
      </c>
      <c r="AQ70">
        <v>67</v>
      </c>
      <c r="AR70" s="8">
        <f>'Character Sheet'!FB69</f>
        <v>0</v>
      </c>
      <c r="AS70" s="4" t="str">
        <f t="shared" si="98"/>
        <v/>
      </c>
      <c r="AT70" s="4" t="str">
        <f t="shared" si="99"/>
        <v/>
      </c>
      <c r="AU70" s="4" t="str">
        <f t="shared" si="105"/>
        <v/>
      </c>
      <c r="AV70" s="4" t="str">
        <f t="shared" si="106"/>
        <v/>
      </c>
      <c r="AW70" s="4" t="str">
        <f t="shared" si="107"/>
        <v/>
      </c>
      <c r="AX70" s="4" t="str">
        <f t="shared" si="100"/>
        <v/>
      </c>
      <c r="AY70" s="4" t="str">
        <f t="shared" si="108"/>
        <v/>
      </c>
      <c r="AZ70" s="4" t="str">
        <f t="shared" si="109"/>
        <v/>
      </c>
      <c r="BA70" s="4" t="str">
        <f>IFERROR('Character Sheet'!JK69,"")</f>
        <v/>
      </c>
      <c r="BB70" s="4" t="str">
        <f t="shared" si="101"/>
        <v/>
      </c>
      <c r="BC70" s="4" t="str">
        <f t="shared" si="110"/>
        <v/>
      </c>
      <c r="BD70" s="4" t="str">
        <f t="shared" si="111"/>
        <v/>
      </c>
      <c r="BE70" s="4" t="str">
        <f t="shared" si="112"/>
        <v/>
      </c>
      <c r="BF70" s="4" t="str">
        <f t="shared" si="113"/>
        <v/>
      </c>
      <c r="BG70" s="4" t="str">
        <f t="shared" si="114"/>
        <v/>
      </c>
      <c r="BH70" s="4" t="str">
        <f>IFERROR('Character Sheet'!KC69,"")</f>
        <v/>
      </c>
      <c r="BI70" s="4" t="str">
        <f t="shared" si="102"/>
        <v/>
      </c>
      <c r="BJ70" s="4" t="str">
        <f t="shared" si="115"/>
        <v/>
      </c>
      <c r="BK70" s="4" t="str">
        <f t="shared" si="116"/>
        <v/>
      </c>
      <c r="BL70" s="4" t="str">
        <f t="shared" si="117"/>
        <v/>
      </c>
      <c r="BM70" s="4" t="str">
        <f t="shared" si="118"/>
        <v/>
      </c>
      <c r="BN70" s="4" t="str">
        <f t="shared" si="119"/>
        <v/>
      </c>
      <c r="BO70" s="4" t="str">
        <f t="shared" si="120"/>
        <v/>
      </c>
      <c r="BP70" s="4" t="str">
        <f t="shared" si="121"/>
        <v/>
      </c>
      <c r="BQ70" s="4" t="str">
        <f>IFERROR('Character Sheet'!IQ69+VLOOKUP(BA70,MaterialChart,5,FALSE),"")</f>
        <v/>
      </c>
      <c r="BR70" s="4" t="str">
        <f t="shared" si="122"/>
        <v/>
      </c>
      <c r="BS70" s="4">
        <f t="shared" si="94"/>
        <v>0</v>
      </c>
      <c r="BT70" s="4" t="str">
        <f t="shared" si="123"/>
        <v/>
      </c>
      <c r="BU70" s="4" t="str">
        <f t="shared" si="124"/>
        <v/>
      </c>
      <c r="BV70" s="4" t="str">
        <f t="shared" si="125"/>
        <v/>
      </c>
      <c r="BW70" s="4" t="str">
        <f>IFERROR(ROUNDUP((BE70*(BB70-AT70))+(BL70*(BI70-AX70))+(BT70*(((100+(BD70+IF(BE70=1,0,BK70))+(4*BR70))/100)))*'Character Sheet'!GT69,3),"")</f>
        <v/>
      </c>
      <c r="BX70" s="4" t="str">
        <f t="shared" si="93"/>
        <v/>
      </c>
      <c r="BY70" s="8"/>
      <c r="DH70" s="4" t="str">
        <f t="shared" si="103"/>
        <v/>
      </c>
      <c r="DI70">
        <v>33</v>
      </c>
      <c r="DJ70" s="3">
        <f>'Character Sheet'!FB69</f>
        <v>0</v>
      </c>
      <c r="DK70" s="4" t="str">
        <f t="shared" si="77"/>
        <v/>
      </c>
      <c r="DL70" s="4" t="str">
        <f>IFERROR(IF(DK70=0,"",VLOOKUP(DK70,Skills!$N$72:$AF$107,19,FALSE)),"")</f>
        <v/>
      </c>
      <c r="DM70" s="4">
        <f>IFERROR(VLOOKUP($DJ70,ItemChart,18,FALSE)+'Character Sheet'!IJ69,0)</f>
        <v>0</v>
      </c>
      <c r="DN70" s="4" t="str">
        <f t="shared" si="92"/>
        <v/>
      </c>
      <c r="DO70" s="4" t="str">
        <f>IFERROR(DN70+0.68,"")</f>
        <v/>
      </c>
      <c r="DP70" s="4">
        <f t="shared" si="104"/>
        <v>0</v>
      </c>
      <c r="DQ70" s="4">
        <f t="shared" si="78"/>
        <v>2</v>
      </c>
      <c r="DR70" s="4" t="e">
        <f t="shared" si="79"/>
        <v>#N/A</v>
      </c>
      <c r="DS70" s="4">
        <f t="shared" si="80"/>
        <v>33</v>
      </c>
      <c r="DT70" s="4" t="str">
        <f t="shared" si="81"/>
        <v/>
      </c>
      <c r="DU70" s="4" t="str">
        <f t="shared" si="82"/>
        <v/>
      </c>
      <c r="DV70" s="4" t="e">
        <f>VLOOKUP((VLOOKUP((VLOOKUP('Character Creation'!$Z$11,RaceChart,20,FALSE)&amp;" "&amp;VLOOKUP('Character Creation'!$Z$11,RaceChart,21,FALSE)),Charts!$H$2:$J$14,3,FALSE)+DU70),Charts!$J$2:$N$14,5,FALSE)</f>
        <v>#VALUE!</v>
      </c>
      <c r="DW70" s="4" t="e">
        <f>VLOOKUP(DV70,Charts!$N$2:$Q$14,4,FALSE)</f>
        <v>#VALUE!</v>
      </c>
      <c r="DX70" s="4" t="str">
        <f t="shared" si="83"/>
        <v/>
      </c>
      <c r="DY70" s="4" t="str">
        <f t="shared" si="84"/>
        <v/>
      </c>
      <c r="DZ70" s="4" t="str">
        <f t="shared" si="85"/>
        <v/>
      </c>
      <c r="EA70" s="4" t="e">
        <f>ROUNDDOWN(VLOOKUP(DK70,Skills!$N$72:$S$107,6,FALSE)/5,0)</f>
        <v>#N/A</v>
      </c>
      <c r="EB70" s="4" t="str">
        <f t="shared" si="86"/>
        <v/>
      </c>
      <c r="EC70" s="4" t="str">
        <f t="shared" si="87"/>
        <v>+</v>
      </c>
      <c r="ED70" s="4" t="e">
        <f>VLOOKUP(DJ70,'Character Sheet'!$FB$21:$HQ$35,61,FALSE)</f>
        <v>#N/A</v>
      </c>
      <c r="EE70" s="4" t="str">
        <f t="shared" si="88"/>
        <v/>
      </c>
      <c r="EF70" s="4" t="str">
        <f t="shared" si="89"/>
        <v/>
      </c>
      <c r="EG70" s="4" t="e">
        <f>VLOOKUP(DR70,Items!$B$1156:$AA$1282,18,FALSE)</f>
        <v>#N/A</v>
      </c>
      <c r="EH70" s="4" t="e">
        <f>VLOOKUP(DJ70,'Character Sheet'!$E$26:$EZ$45,81,FALSE)</f>
        <v>#N/A</v>
      </c>
      <c r="EI70" s="4" t="e">
        <f>VLOOKUP(DJ70,'Character Sheet'!$E$26:$EZ$45,89,FALSE)</f>
        <v>#N/A</v>
      </c>
      <c r="EJ70" s="4" t="e">
        <f t="shared" si="90"/>
        <v>#N/A</v>
      </c>
    </row>
    <row r="71" spans="29:140" x14ac:dyDescent="0.25">
      <c r="AC71" s="8" t="str">
        <f>IFERROR(VLOOKUP('Character Creation'!$CI84,Skills!$H$2:$N$620,6,FALSE),"")</f>
        <v/>
      </c>
      <c r="AD71" s="4">
        <f>'Character Creation'!EH84</f>
        <v>0</v>
      </c>
      <c r="AG71">
        <v>70</v>
      </c>
      <c r="AH71" s="4" t="str">
        <f t="shared" si="95"/>
        <v/>
      </c>
      <c r="AI71" t="str">
        <f>IFERROR(VLOOKUP(AG71,Skills!$B$2:$M$620,12,FALSE),"")</f>
        <v/>
      </c>
      <c r="AJ71" s="4" t="str">
        <f>IFERROR(VLOOKUP(AG71,Skills!$B$2:$AF$620,31,FALSE),"")</f>
        <v/>
      </c>
      <c r="AK71" s="4" t="str">
        <f t="shared" si="91"/>
        <v/>
      </c>
      <c r="AL71" s="4">
        <v>7.0000000000000007E-2</v>
      </c>
      <c r="AM71" s="62" t="str">
        <f t="shared" si="96"/>
        <v/>
      </c>
      <c r="AN71" t="str">
        <f t="shared" ca="1" si="97"/>
        <v/>
      </c>
      <c r="AO71" s="4" t="str">
        <f ca="1">IFERROR(VLOOKUP(AG71,$AH$2:$AJ$451,3,FALSE)&amp;IF(ISNUMBER(SEARCH(", Written",AN71))," -R"&amp;VLOOKUP(AN71,Skills!$M$2:$S$620,7,FALSE),IF(ISNUMBER(SEARCH(", Spoken",AN71))," -R"&amp;VLOOKUP(AN71,Skills!$M$2:$S$620,7,FALSE),"")),"")</f>
        <v/>
      </c>
      <c r="AQ71">
        <v>68</v>
      </c>
      <c r="AR71" s="8">
        <f>'Character Sheet'!FB70</f>
        <v>0</v>
      </c>
      <c r="AS71" s="4" t="str">
        <f t="shared" si="98"/>
        <v/>
      </c>
      <c r="AT71" s="4" t="str">
        <f t="shared" si="99"/>
        <v/>
      </c>
      <c r="AU71" s="4" t="str">
        <f t="shared" si="105"/>
        <v/>
      </c>
      <c r="AV71" s="4" t="str">
        <f t="shared" si="106"/>
        <v/>
      </c>
      <c r="AW71" s="4" t="str">
        <f t="shared" si="107"/>
        <v/>
      </c>
      <c r="AX71" s="4" t="str">
        <f t="shared" si="100"/>
        <v/>
      </c>
      <c r="AY71" s="4" t="str">
        <f t="shared" si="108"/>
        <v/>
      </c>
      <c r="AZ71" s="4" t="str">
        <f t="shared" si="109"/>
        <v/>
      </c>
      <c r="BA71" s="4" t="str">
        <f>IFERROR('Character Sheet'!JK70,"")</f>
        <v/>
      </c>
      <c r="BB71" s="4" t="str">
        <f t="shared" si="101"/>
        <v/>
      </c>
      <c r="BC71" s="4" t="str">
        <f t="shared" si="110"/>
        <v/>
      </c>
      <c r="BD71" s="4" t="str">
        <f t="shared" si="111"/>
        <v/>
      </c>
      <c r="BE71" s="4" t="str">
        <f t="shared" si="112"/>
        <v/>
      </c>
      <c r="BF71" s="4" t="str">
        <f t="shared" si="113"/>
        <v/>
      </c>
      <c r="BG71" s="4" t="str">
        <f t="shared" si="114"/>
        <v/>
      </c>
      <c r="BH71" s="4" t="str">
        <f>IFERROR('Character Sheet'!KC70,"")</f>
        <v/>
      </c>
      <c r="BI71" s="4" t="str">
        <f t="shared" si="102"/>
        <v/>
      </c>
      <c r="BJ71" s="4" t="str">
        <f t="shared" si="115"/>
        <v/>
      </c>
      <c r="BK71" s="4" t="str">
        <f t="shared" si="116"/>
        <v/>
      </c>
      <c r="BL71" s="4" t="str">
        <f t="shared" si="117"/>
        <v/>
      </c>
      <c r="BM71" s="4" t="str">
        <f t="shared" si="118"/>
        <v/>
      </c>
      <c r="BN71" s="4" t="str">
        <f t="shared" si="119"/>
        <v/>
      </c>
      <c r="BO71" s="4" t="str">
        <f t="shared" si="120"/>
        <v/>
      </c>
      <c r="BP71" s="4" t="str">
        <f t="shared" si="121"/>
        <v/>
      </c>
      <c r="BQ71" s="4" t="str">
        <f>IFERROR('Character Sheet'!IQ70+VLOOKUP(BA71,MaterialChart,5,FALSE),"")</f>
        <v/>
      </c>
      <c r="BR71" s="4" t="str">
        <f t="shared" si="122"/>
        <v/>
      </c>
      <c r="BS71" s="4">
        <f t="shared" si="94"/>
        <v>0</v>
      </c>
      <c r="BT71" s="4" t="str">
        <f t="shared" si="123"/>
        <v/>
      </c>
      <c r="BU71" s="4" t="str">
        <f t="shared" si="124"/>
        <v/>
      </c>
      <c r="BV71" s="4" t="str">
        <f t="shared" si="125"/>
        <v/>
      </c>
      <c r="BW71" s="4" t="str">
        <f>IFERROR(ROUNDUP((BE71*(BB71-AT71))+(BL71*(BI71-AX71))+(BT71*(((100+(BD71+IF(BE71=1,0,BK71))+(4*BR71))/100)))*'Character Sheet'!GT70,3),"")</f>
        <v/>
      </c>
      <c r="BX71" s="4" t="str">
        <f t="shared" si="93"/>
        <v/>
      </c>
      <c r="BY71" s="8"/>
      <c r="DH71" s="4" t="str">
        <f t="shared" si="103"/>
        <v/>
      </c>
      <c r="DI71">
        <v>34</v>
      </c>
      <c r="DJ71" s="3">
        <f>'Character Sheet'!FB70</f>
        <v>0</v>
      </c>
      <c r="DK71" s="4" t="str">
        <f t="shared" si="77"/>
        <v/>
      </c>
      <c r="DL71" s="4" t="str">
        <f>IFERROR(IF(DK71=0,"",VLOOKUP(DK71,Skills!$N$72:$AF$107,19,FALSE)),"")</f>
        <v/>
      </c>
      <c r="DM71" s="4">
        <f>IFERROR(VLOOKUP($DJ71,ItemChart,18,FALSE)+'Character Sheet'!IJ70,0)</f>
        <v>0</v>
      </c>
      <c r="DN71" s="4" t="str">
        <f t="shared" si="92"/>
        <v/>
      </c>
      <c r="DO71" s="4" t="str">
        <f>IFERROR(DN71+0.69,"")</f>
        <v/>
      </c>
      <c r="DP71" s="4">
        <f t="shared" si="104"/>
        <v>0</v>
      </c>
      <c r="DQ71" s="4">
        <f t="shared" si="78"/>
        <v>2</v>
      </c>
      <c r="DR71" s="4" t="e">
        <f t="shared" si="79"/>
        <v>#N/A</v>
      </c>
      <c r="DS71" s="4">
        <f t="shared" si="80"/>
        <v>34</v>
      </c>
      <c r="DT71" s="4" t="str">
        <f t="shared" si="81"/>
        <v/>
      </c>
      <c r="DU71" s="4" t="str">
        <f t="shared" si="82"/>
        <v/>
      </c>
      <c r="DV71" s="4" t="e">
        <f>VLOOKUP((VLOOKUP((VLOOKUP('Character Creation'!$Z$11,RaceChart,20,FALSE)&amp;" "&amp;VLOOKUP('Character Creation'!$Z$11,RaceChart,21,FALSE)),Charts!$H$2:$J$14,3,FALSE)+DU71),Charts!$J$2:$N$14,5,FALSE)</f>
        <v>#VALUE!</v>
      </c>
      <c r="DW71" s="4" t="e">
        <f>VLOOKUP(DV71,Charts!$N$2:$Q$14,4,FALSE)</f>
        <v>#VALUE!</v>
      </c>
      <c r="DX71" s="4" t="str">
        <f t="shared" si="83"/>
        <v/>
      </c>
      <c r="DY71" s="4" t="str">
        <f t="shared" si="84"/>
        <v/>
      </c>
      <c r="DZ71" s="4" t="str">
        <f t="shared" si="85"/>
        <v/>
      </c>
      <c r="EA71" s="4" t="e">
        <f>ROUNDDOWN(VLOOKUP(DK71,Skills!$N$72:$S$107,6,FALSE)/5,0)</f>
        <v>#N/A</v>
      </c>
      <c r="EB71" s="4" t="str">
        <f t="shared" si="86"/>
        <v/>
      </c>
      <c r="EC71" s="4" t="str">
        <f t="shared" si="87"/>
        <v>+</v>
      </c>
      <c r="ED71" s="4" t="e">
        <f>VLOOKUP(DJ71,'Character Sheet'!$FB$21:$HQ$35,61,FALSE)</f>
        <v>#N/A</v>
      </c>
      <c r="EE71" s="4" t="str">
        <f t="shared" si="88"/>
        <v/>
      </c>
      <c r="EF71" s="4" t="str">
        <f t="shared" si="89"/>
        <v/>
      </c>
      <c r="EG71" s="4" t="e">
        <f>VLOOKUP(DR71,Items!$B$1156:$AA$1282,18,FALSE)</f>
        <v>#N/A</v>
      </c>
      <c r="EH71" s="4" t="e">
        <f>VLOOKUP(DJ71,'Character Sheet'!$E$26:$EZ$45,81,FALSE)</f>
        <v>#N/A</v>
      </c>
      <c r="EI71" s="4" t="e">
        <f>VLOOKUP(DJ71,'Character Sheet'!$E$26:$EZ$45,89,FALSE)</f>
        <v>#N/A</v>
      </c>
      <c r="EJ71" s="4" t="e">
        <f t="shared" si="90"/>
        <v>#N/A</v>
      </c>
    </row>
    <row r="72" spans="29:140" x14ac:dyDescent="0.25">
      <c r="AC72" s="8" t="str">
        <f>IFERROR(VLOOKUP('Character Creation'!$CI85,Skills!$H$2:$N$620,6,FALSE),"")</f>
        <v/>
      </c>
      <c r="AD72" s="4">
        <f>'Character Creation'!EH85</f>
        <v>0</v>
      </c>
      <c r="AG72">
        <v>71</v>
      </c>
      <c r="AH72" s="4" t="str">
        <f t="shared" si="95"/>
        <v/>
      </c>
      <c r="AI72" t="str">
        <f>IFERROR(VLOOKUP(AG72,Skills!$B$2:$M$620,12,FALSE),"")</f>
        <v/>
      </c>
      <c r="AJ72" s="4" t="str">
        <f>IFERROR(VLOOKUP(AG72,Skills!$B$2:$AF$620,31,FALSE),"")</f>
        <v/>
      </c>
      <c r="AK72" s="4" t="str">
        <f t="shared" si="91"/>
        <v/>
      </c>
      <c r="AL72" s="4">
        <v>7.0999999999999994E-2</v>
      </c>
      <c r="AM72" s="62" t="str">
        <f t="shared" si="96"/>
        <v/>
      </c>
      <c r="AN72" t="str">
        <f t="shared" ca="1" si="97"/>
        <v/>
      </c>
      <c r="AO72" s="4" t="str">
        <f ca="1">IFERROR(VLOOKUP(AG72,$AH$2:$AJ$451,3,FALSE)&amp;IF(ISNUMBER(SEARCH(", Written",AN72))," -R"&amp;VLOOKUP(AN72,Skills!$M$2:$S$620,7,FALSE),IF(ISNUMBER(SEARCH(", Spoken",AN72))," -R"&amp;VLOOKUP(AN72,Skills!$M$2:$S$620,7,FALSE),"")),"")</f>
        <v/>
      </c>
      <c r="AQ72">
        <v>69</v>
      </c>
      <c r="AR72" s="8">
        <f>'Character Sheet'!FB71</f>
        <v>0</v>
      </c>
      <c r="AS72" s="4" t="str">
        <f t="shared" si="98"/>
        <v/>
      </c>
      <c r="AT72" s="4" t="str">
        <f t="shared" si="99"/>
        <v/>
      </c>
      <c r="AU72" s="4" t="str">
        <f t="shared" si="105"/>
        <v/>
      </c>
      <c r="AV72" s="4" t="str">
        <f t="shared" si="106"/>
        <v/>
      </c>
      <c r="AW72" s="4" t="str">
        <f t="shared" si="107"/>
        <v/>
      </c>
      <c r="AX72" s="4" t="str">
        <f t="shared" si="100"/>
        <v/>
      </c>
      <c r="AY72" s="4" t="str">
        <f t="shared" si="108"/>
        <v/>
      </c>
      <c r="AZ72" s="4" t="str">
        <f t="shared" si="109"/>
        <v/>
      </c>
      <c r="BA72" s="4" t="str">
        <f>IFERROR('Character Sheet'!JK71,"")</f>
        <v/>
      </c>
      <c r="BB72" s="4" t="str">
        <f t="shared" si="101"/>
        <v/>
      </c>
      <c r="BC72" s="4" t="str">
        <f t="shared" si="110"/>
        <v/>
      </c>
      <c r="BD72" s="4" t="str">
        <f t="shared" si="111"/>
        <v/>
      </c>
      <c r="BE72" s="4" t="str">
        <f t="shared" si="112"/>
        <v/>
      </c>
      <c r="BF72" s="4" t="str">
        <f t="shared" si="113"/>
        <v/>
      </c>
      <c r="BG72" s="4" t="str">
        <f t="shared" si="114"/>
        <v/>
      </c>
      <c r="BH72" s="4" t="str">
        <f>IFERROR('Character Sheet'!KC71,"")</f>
        <v/>
      </c>
      <c r="BI72" s="4" t="str">
        <f t="shared" si="102"/>
        <v/>
      </c>
      <c r="BJ72" s="4" t="str">
        <f t="shared" si="115"/>
        <v/>
      </c>
      <c r="BK72" s="4" t="str">
        <f t="shared" si="116"/>
        <v/>
      </c>
      <c r="BL72" s="4" t="str">
        <f t="shared" si="117"/>
        <v/>
      </c>
      <c r="BM72" s="4" t="str">
        <f t="shared" si="118"/>
        <v/>
      </c>
      <c r="BN72" s="4" t="str">
        <f t="shared" si="119"/>
        <v/>
      </c>
      <c r="BO72" s="4" t="str">
        <f t="shared" si="120"/>
        <v/>
      </c>
      <c r="BP72" s="4" t="str">
        <f t="shared" si="121"/>
        <v/>
      </c>
      <c r="BQ72" s="4" t="str">
        <f>IFERROR('Character Sheet'!IQ71+VLOOKUP(BA72,MaterialChart,5,FALSE),"")</f>
        <v/>
      </c>
      <c r="BR72" s="4" t="str">
        <f t="shared" si="122"/>
        <v/>
      </c>
      <c r="BS72" s="4">
        <f t="shared" si="94"/>
        <v>0</v>
      </c>
      <c r="BT72" s="4" t="str">
        <f t="shared" si="123"/>
        <v/>
      </c>
      <c r="BU72" s="4" t="str">
        <f t="shared" si="124"/>
        <v/>
      </c>
      <c r="BV72" s="4" t="str">
        <f t="shared" si="125"/>
        <v/>
      </c>
      <c r="BW72" s="4" t="str">
        <f>IFERROR(ROUNDUP((BE72*(BB72-AT72))+(BL72*(BI72-AX72))+(BT72*(((100+(BD72+IF(BE72=1,0,BK72))+(4*BR72))/100)))*'Character Sheet'!GT71,3),"")</f>
        <v/>
      </c>
      <c r="BX72" s="4" t="str">
        <f t="shared" si="93"/>
        <v/>
      </c>
      <c r="BY72" s="8"/>
      <c r="DH72" s="4" t="str">
        <f t="shared" si="103"/>
        <v/>
      </c>
      <c r="DI72">
        <v>35</v>
      </c>
      <c r="DJ72" s="3">
        <f>'Character Sheet'!FB71</f>
        <v>0</v>
      </c>
      <c r="DK72" s="4" t="str">
        <f t="shared" si="77"/>
        <v/>
      </c>
      <c r="DL72" s="4" t="str">
        <f>IFERROR(IF(DK72=0,"",VLOOKUP(DK72,Skills!$N$72:$AF$107,19,FALSE)),"")</f>
        <v/>
      </c>
      <c r="DM72" s="4">
        <f>IFERROR(VLOOKUP($DJ72,ItemChart,18,FALSE)+'Character Sheet'!IJ71,0)</f>
        <v>0</v>
      </c>
      <c r="DN72" s="4" t="str">
        <f t="shared" si="92"/>
        <v/>
      </c>
      <c r="DO72" s="4" t="str">
        <f>IFERROR(DN72+0.7,"")</f>
        <v/>
      </c>
      <c r="DP72" s="4">
        <f t="shared" si="104"/>
        <v>0</v>
      </c>
      <c r="DQ72" s="4">
        <f t="shared" si="78"/>
        <v>2</v>
      </c>
      <c r="DR72" s="4" t="e">
        <f t="shared" si="79"/>
        <v>#N/A</v>
      </c>
      <c r="DS72" s="4">
        <f t="shared" si="80"/>
        <v>35</v>
      </c>
      <c r="DT72" s="4" t="str">
        <f t="shared" si="81"/>
        <v/>
      </c>
      <c r="DU72" s="4" t="str">
        <f t="shared" si="82"/>
        <v/>
      </c>
      <c r="DV72" s="4" t="e">
        <f>VLOOKUP((VLOOKUP((VLOOKUP('Character Creation'!$Z$11,RaceChart,20,FALSE)&amp;" "&amp;VLOOKUP('Character Creation'!$Z$11,RaceChart,21,FALSE)),Charts!$H$2:$J$14,3,FALSE)+DU72),Charts!$J$2:$N$14,5,FALSE)</f>
        <v>#VALUE!</v>
      </c>
      <c r="DW72" s="4" t="e">
        <f>VLOOKUP(DV72,Charts!$N$2:$Q$14,4,FALSE)</f>
        <v>#VALUE!</v>
      </c>
      <c r="DX72" s="4" t="str">
        <f t="shared" si="83"/>
        <v/>
      </c>
      <c r="DY72" s="4" t="str">
        <f t="shared" si="84"/>
        <v/>
      </c>
      <c r="DZ72" s="4" t="str">
        <f t="shared" si="85"/>
        <v/>
      </c>
      <c r="EA72" s="4" t="e">
        <f>ROUNDDOWN(VLOOKUP(DK72,Skills!$N$72:$S$107,6,FALSE)/5,0)</f>
        <v>#N/A</v>
      </c>
      <c r="EB72" s="4" t="str">
        <f t="shared" si="86"/>
        <v/>
      </c>
      <c r="EC72" s="4" t="str">
        <f t="shared" si="87"/>
        <v>+</v>
      </c>
      <c r="ED72" s="4" t="e">
        <f>VLOOKUP(DJ72,'Character Sheet'!$FB$21:$HQ$35,61,FALSE)</f>
        <v>#N/A</v>
      </c>
      <c r="EE72" s="4" t="str">
        <f t="shared" si="88"/>
        <v/>
      </c>
      <c r="EF72" s="4" t="str">
        <f t="shared" si="89"/>
        <v/>
      </c>
      <c r="EG72" s="4" t="e">
        <f>VLOOKUP(DR72,Items!$B$1156:$AA$1282,18,FALSE)</f>
        <v>#N/A</v>
      </c>
      <c r="EH72" s="4" t="e">
        <f>VLOOKUP(DJ72,'Character Sheet'!$E$26:$EZ$45,81,FALSE)</f>
        <v>#N/A</v>
      </c>
      <c r="EI72" s="4" t="e">
        <f>VLOOKUP(DJ72,'Character Sheet'!$E$26:$EZ$45,89,FALSE)</f>
        <v>#N/A</v>
      </c>
      <c r="EJ72" s="4" t="e">
        <f t="shared" si="90"/>
        <v>#N/A</v>
      </c>
    </row>
    <row r="73" spans="29:140" x14ac:dyDescent="0.25">
      <c r="AC73" s="8" t="str">
        <f>IFERROR(VLOOKUP('Character Creation'!$CI86,Skills!$H$2:$N$620,6,FALSE),"")</f>
        <v/>
      </c>
      <c r="AD73" s="4">
        <f>'Character Creation'!EH86</f>
        <v>0</v>
      </c>
      <c r="AG73">
        <v>72</v>
      </c>
      <c r="AH73" s="4" t="str">
        <f t="shared" si="95"/>
        <v/>
      </c>
      <c r="AI73" t="str">
        <f>IFERROR(VLOOKUP(AG73,Skills!$B$2:$M$620,12,FALSE),"")</f>
        <v/>
      </c>
      <c r="AJ73" s="4" t="str">
        <f>IFERROR(VLOOKUP(AG73,Skills!$B$2:$AF$620,31,FALSE),"")</f>
        <v/>
      </c>
      <c r="AK73" s="4" t="str">
        <f t="shared" si="91"/>
        <v/>
      </c>
      <c r="AL73" s="4">
        <v>7.1999999999999995E-2</v>
      </c>
      <c r="AM73" s="62" t="str">
        <f t="shared" si="96"/>
        <v/>
      </c>
      <c r="AN73" t="str">
        <f t="shared" ca="1" si="97"/>
        <v/>
      </c>
      <c r="AO73" s="4" t="str">
        <f ca="1">IFERROR(VLOOKUP(AG73,$AH$2:$AJ$451,3,FALSE)&amp;IF(ISNUMBER(SEARCH(", Written",AN73))," -R"&amp;VLOOKUP(AN73,Skills!$M$2:$S$620,7,FALSE),IF(ISNUMBER(SEARCH(", Spoken",AN73))," -R"&amp;VLOOKUP(AN73,Skills!$M$2:$S$620,7,FALSE),"")),"")</f>
        <v/>
      </c>
      <c r="AQ73">
        <v>70</v>
      </c>
      <c r="AR73" s="8">
        <f>'Character Sheet'!FB72</f>
        <v>0</v>
      </c>
      <c r="AS73" s="4" t="str">
        <f t="shared" si="98"/>
        <v/>
      </c>
      <c r="AT73" s="4" t="str">
        <f t="shared" si="99"/>
        <v/>
      </c>
      <c r="AU73" s="4" t="str">
        <f t="shared" si="105"/>
        <v/>
      </c>
      <c r="AV73" s="4" t="str">
        <f t="shared" si="106"/>
        <v/>
      </c>
      <c r="AW73" s="4" t="str">
        <f t="shared" si="107"/>
        <v/>
      </c>
      <c r="AX73" s="4" t="str">
        <f t="shared" si="100"/>
        <v/>
      </c>
      <c r="AY73" s="4" t="str">
        <f t="shared" si="108"/>
        <v/>
      </c>
      <c r="AZ73" s="4" t="str">
        <f t="shared" si="109"/>
        <v/>
      </c>
      <c r="BA73" s="4" t="str">
        <f>IFERROR('Character Sheet'!JK72,"")</f>
        <v/>
      </c>
      <c r="BB73" s="4" t="str">
        <f t="shared" si="101"/>
        <v/>
      </c>
      <c r="BC73" s="4" t="str">
        <f t="shared" si="110"/>
        <v/>
      </c>
      <c r="BD73" s="4" t="str">
        <f t="shared" si="111"/>
        <v/>
      </c>
      <c r="BE73" s="4" t="str">
        <f t="shared" si="112"/>
        <v/>
      </c>
      <c r="BF73" s="4" t="str">
        <f t="shared" si="113"/>
        <v/>
      </c>
      <c r="BG73" s="4" t="str">
        <f t="shared" si="114"/>
        <v/>
      </c>
      <c r="BH73" s="4" t="str">
        <f>IFERROR('Character Sheet'!KC72,"")</f>
        <v/>
      </c>
      <c r="BI73" s="4" t="str">
        <f t="shared" si="102"/>
        <v/>
      </c>
      <c r="BJ73" s="4" t="str">
        <f t="shared" si="115"/>
        <v/>
      </c>
      <c r="BK73" s="4" t="str">
        <f t="shared" si="116"/>
        <v/>
      </c>
      <c r="BL73" s="4" t="str">
        <f t="shared" si="117"/>
        <v/>
      </c>
      <c r="BM73" s="4" t="str">
        <f t="shared" si="118"/>
        <v/>
      </c>
      <c r="BN73" s="4" t="str">
        <f t="shared" si="119"/>
        <v/>
      </c>
      <c r="BO73" s="4" t="str">
        <f t="shared" si="120"/>
        <v/>
      </c>
      <c r="BP73" s="4" t="str">
        <f t="shared" si="121"/>
        <v/>
      </c>
      <c r="BQ73" s="4" t="str">
        <f>IFERROR('Character Sheet'!IQ72+VLOOKUP(BA73,MaterialChart,5,FALSE),"")</f>
        <v/>
      </c>
      <c r="BR73" s="4" t="str">
        <f t="shared" si="122"/>
        <v/>
      </c>
      <c r="BS73" s="4">
        <f t="shared" si="94"/>
        <v>0</v>
      </c>
      <c r="BT73" s="4" t="str">
        <f t="shared" si="123"/>
        <v/>
      </c>
      <c r="BU73" s="4" t="str">
        <f t="shared" si="124"/>
        <v/>
      </c>
      <c r="BV73" s="4" t="str">
        <f t="shared" si="125"/>
        <v/>
      </c>
      <c r="BW73" s="4" t="str">
        <f>IFERROR(ROUNDUP((BE73*(BB73-AT73))+(BL73*(BI73-AX73))+(BT73*(((100+(BD73+IF(BE73=1,0,BK73))+(4*BR73))/100)))*'Character Sheet'!GT72,3),"")</f>
        <v/>
      </c>
      <c r="BX73" s="4" t="str">
        <f t="shared" si="93"/>
        <v/>
      </c>
      <c r="BY73" s="8"/>
      <c r="DH73" s="4" t="str">
        <f t="shared" si="103"/>
        <v/>
      </c>
      <c r="DI73">
        <v>36</v>
      </c>
      <c r="DJ73" s="3">
        <f>'Character Sheet'!FB72</f>
        <v>0</v>
      </c>
      <c r="DK73" s="4" t="str">
        <f t="shared" si="77"/>
        <v/>
      </c>
      <c r="DL73" s="4" t="str">
        <f>IFERROR(IF(DK73=0,"",VLOOKUP(DK73,Skills!$N$72:$AF$107,19,FALSE)),"")</f>
        <v/>
      </c>
      <c r="DM73" s="4">
        <f>IFERROR(VLOOKUP($DJ73,ItemChart,18,FALSE)+'Character Sheet'!IJ72,0)</f>
        <v>0</v>
      </c>
      <c r="DN73" s="4" t="str">
        <f t="shared" si="92"/>
        <v/>
      </c>
      <c r="DO73" s="4" t="str">
        <f>IFERROR(DN73+0.71,"")</f>
        <v/>
      </c>
      <c r="DP73" s="4">
        <f t="shared" si="104"/>
        <v>0</v>
      </c>
      <c r="DQ73" s="4">
        <f t="shared" si="78"/>
        <v>2</v>
      </c>
      <c r="DR73" s="4" t="e">
        <f t="shared" si="79"/>
        <v>#N/A</v>
      </c>
      <c r="DS73" s="4">
        <f t="shared" si="80"/>
        <v>36</v>
      </c>
      <c r="DT73" s="4" t="str">
        <f t="shared" si="81"/>
        <v/>
      </c>
      <c r="DU73" s="4" t="str">
        <f t="shared" si="82"/>
        <v/>
      </c>
      <c r="DV73" s="4" t="e">
        <f>VLOOKUP((VLOOKUP((VLOOKUP('Character Creation'!$Z$11,RaceChart,20,FALSE)&amp;" "&amp;VLOOKUP('Character Creation'!$Z$11,RaceChart,21,FALSE)),Charts!$H$2:$J$14,3,FALSE)+DU73),Charts!$J$2:$N$14,5,FALSE)</f>
        <v>#VALUE!</v>
      </c>
      <c r="DW73" s="4" t="e">
        <f>VLOOKUP(DV73,Charts!$N$2:$Q$14,4,FALSE)</f>
        <v>#VALUE!</v>
      </c>
      <c r="DX73" s="4" t="str">
        <f t="shared" si="83"/>
        <v/>
      </c>
      <c r="DY73" s="4" t="str">
        <f t="shared" si="84"/>
        <v/>
      </c>
      <c r="DZ73" s="4" t="str">
        <f t="shared" si="85"/>
        <v/>
      </c>
      <c r="EA73" s="4" t="e">
        <f>ROUNDDOWN(VLOOKUP(DK73,Skills!$N$72:$S$107,6,FALSE)/5,0)</f>
        <v>#N/A</v>
      </c>
      <c r="EB73" s="4" t="str">
        <f t="shared" si="86"/>
        <v/>
      </c>
      <c r="EC73" s="4" t="str">
        <f t="shared" si="87"/>
        <v>+</v>
      </c>
      <c r="ED73" s="4" t="e">
        <f>VLOOKUP(DJ73,'Character Sheet'!$FB$21:$HQ$35,61,FALSE)</f>
        <v>#N/A</v>
      </c>
      <c r="EE73" s="4" t="str">
        <f t="shared" si="88"/>
        <v/>
      </c>
      <c r="EF73" s="4" t="str">
        <f t="shared" si="89"/>
        <v/>
      </c>
      <c r="EG73" s="4" t="e">
        <f>VLOOKUP(DR73,Items!$B$1156:$AA$1282,18,FALSE)</f>
        <v>#N/A</v>
      </c>
      <c r="EH73" s="4" t="e">
        <f>VLOOKUP(DJ73,'Character Sheet'!$E$26:$EZ$45,81,FALSE)</f>
        <v>#N/A</v>
      </c>
      <c r="EI73" s="4" t="e">
        <f>VLOOKUP(DJ73,'Character Sheet'!$E$26:$EZ$45,89,FALSE)</f>
        <v>#N/A</v>
      </c>
      <c r="EJ73" s="4" t="e">
        <f t="shared" si="90"/>
        <v>#N/A</v>
      </c>
    </row>
    <row r="74" spans="29:140" x14ac:dyDescent="0.25">
      <c r="AC74" s="8" t="str">
        <f>IFERROR(VLOOKUP('Character Creation'!$CI87,Skills!$H$2:$N$620,6,FALSE),"")</f>
        <v/>
      </c>
      <c r="AD74" s="4">
        <f>'Character Creation'!EH87</f>
        <v>0</v>
      </c>
      <c r="AG74">
        <v>73</v>
      </c>
      <c r="AH74" s="4" t="str">
        <f t="shared" si="95"/>
        <v/>
      </c>
      <c r="AI74" t="str">
        <f>IFERROR(VLOOKUP(AG74,Skills!$B$2:$M$620,12,FALSE),"")</f>
        <v/>
      </c>
      <c r="AJ74" s="4" t="str">
        <f>IFERROR(VLOOKUP(AG74,Skills!$B$2:$AF$620,31,FALSE),"")</f>
        <v/>
      </c>
      <c r="AK74" s="4" t="str">
        <f t="shared" si="91"/>
        <v/>
      </c>
      <c r="AL74" s="4">
        <v>7.2999999999999995E-2</v>
      </c>
      <c r="AM74" s="62" t="str">
        <f t="shared" si="96"/>
        <v/>
      </c>
      <c r="AN74" t="str">
        <f t="shared" ca="1" si="97"/>
        <v/>
      </c>
      <c r="AO74" s="4" t="str">
        <f ca="1">IFERROR(VLOOKUP(AG74,$AH$2:$AJ$451,3,FALSE)&amp;IF(ISNUMBER(SEARCH(", Written",AN74))," -R"&amp;VLOOKUP(AN74,Skills!$M$2:$S$620,7,FALSE),IF(ISNUMBER(SEARCH(", Spoken",AN74))," -R"&amp;VLOOKUP(AN74,Skills!$M$2:$S$620,7,FALSE),"")),"")</f>
        <v/>
      </c>
      <c r="AQ74">
        <v>71</v>
      </c>
      <c r="AR74" s="8">
        <f>'Character Sheet'!FB73</f>
        <v>0</v>
      </c>
      <c r="AS74" s="4" t="str">
        <f t="shared" si="98"/>
        <v/>
      </c>
      <c r="AT74" s="4" t="str">
        <f t="shared" si="99"/>
        <v/>
      </c>
      <c r="AU74" s="4" t="str">
        <f t="shared" si="105"/>
        <v/>
      </c>
      <c r="AV74" s="4" t="str">
        <f t="shared" si="106"/>
        <v/>
      </c>
      <c r="AW74" s="4" t="str">
        <f t="shared" si="107"/>
        <v/>
      </c>
      <c r="AX74" s="4" t="str">
        <f t="shared" si="100"/>
        <v/>
      </c>
      <c r="AY74" s="4" t="str">
        <f t="shared" si="108"/>
        <v/>
      </c>
      <c r="AZ74" s="4" t="str">
        <f t="shared" si="109"/>
        <v/>
      </c>
      <c r="BA74" s="4" t="str">
        <f>IFERROR('Character Sheet'!JK73,"")</f>
        <v/>
      </c>
      <c r="BB74" s="4" t="str">
        <f t="shared" si="101"/>
        <v/>
      </c>
      <c r="BC74" s="4" t="str">
        <f t="shared" si="110"/>
        <v/>
      </c>
      <c r="BD74" s="4" t="str">
        <f t="shared" si="111"/>
        <v/>
      </c>
      <c r="BE74" s="4" t="str">
        <f t="shared" si="112"/>
        <v/>
      </c>
      <c r="BF74" s="4" t="str">
        <f t="shared" si="113"/>
        <v/>
      </c>
      <c r="BG74" s="4" t="str">
        <f t="shared" si="114"/>
        <v/>
      </c>
      <c r="BH74" s="4" t="str">
        <f>IFERROR('Character Sheet'!KC73,"")</f>
        <v/>
      </c>
      <c r="BI74" s="4" t="str">
        <f t="shared" si="102"/>
        <v/>
      </c>
      <c r="BJ74" s="4" t="str">
        <f t="shared" si="115"/>
        <v/>
      </c>
      <c r="BK74" s="4" t="str">
        <f t="shared" si="116"/>
        <v/>
      </c>
      <c r="BL74" s="4" t="str">
        <f t="shared" si="117"/>
        <v/>
      </c>
      <c r="BM74" s="4" t="str">
        <f t="shared" si="118"/>
        <v/>
      </c>
      <c r="BN74" s="4" t="str">
        <f t="shared" si="119"/>
        <v/>
      </c>
      <c r="BO74" s="4" t="str">
        <f t="shared" si="120"/>
        <v/>
      </c>
      <c r="BP74" s="4" t="str">
        <f t="shared" si="121"/>
        <v/>
      </c>
      <c r="BQ74" s="4" t="str">
        <f>IFERROR('Character Sheet'!IQ73+VLOOKUP(BA74,MaterialChart,5,FALSE),"")</f>
        <v/>
      </c>
      <c r="BR74" s="4" t="str">
        <f t="shared" si="122"/>
        <v/>
      </c>
      <c r="BS74" s="4">
        <f t="shared" si="94"/>
        <v>0</v>
      </c>
      <c r="BT74" s="4" t="str">
        <f t="shared" si="123"/>
        <v/>
      </c>
      <c r="BU74" s="4" t="str">
        <f t="shared" si="124"/>
        <v/>
      </c>
      <c r="BV74" s="4" t="str">
        <f t="shared" si="125"/>
        <v/>
      </c>
      <c r="BW74" s="4" t="str">
        <f>IFERROR(ROUNDUP((BE74*(BB74-AT74))+(BL74*(BI74-AX74))+(BT74*(((100+(BD74+IF(BE74=1,0,BK74))+(4*BR74))/100)))*'Character Sheet'!GT73,3),"")</f>
        <v/>
      </c>
      <c r="BX74" s="4" t="str">
        <f t="shared" si="93"/>
        <v/>
      </c>
      <c r="BY74" s="8"/>
      <c r="DH74" s="4" t="str">
        <f t="shared" si="103"/>
        <v/>
      </c>
      <c r="DI74">
        <v>37</v>
      </c>
      <c r="DJ74" s="3">
        <f>'Character Sheet'!FB73</f>
        <v>0</v>
      </c>
      <c r="DK74" s="4" t="str">
        <f t="shared" si="77"/>
        <v/>
      </c>
      <c r="DL74" s="4" t="str">
        <f>IFERROR(IF(DK74=0,"",VLOOKUP(DK74,Skills!$N$72:$AF$107,19,FALSE)),"")</f>
        <v/>
      </c>
      <c r="DM74" s="4">
        <f>IFERROR(VLOOKUP($DJ74,ItemChart,18,FALSE)+'Character Sheet'!IJ73,0)</f>
        <v>0</v>
      </c>
      <c r="DN74" s="4" t="str">
        <f t="shared" si="92"/>
        <v/>
      </c>
      <c r="DO74" s="4" t="str">
        <f>IFERROR(DN74+0.72,"")</f>
        <v/>
      </c>
      <c r="DP74" s="4">
        <f t="shared" si="104"/>
        <v>0</v>
      </c>
      <c r="DQ74" s="4">
        <f t="shared" si="78"/>
        <v>2</v>
      </c>
      <c r="DR74" s="4" t="e">
        <f t="shared" si="79"/>
        <v>#N/A</v>
      </c>
      <c r="DS74" s="4">
        <f t="shared" si="80"/>
        <v>37</v>
      </c>
      <c r="DT74" s="4" t="str">
        <f t="shared" si="81"/>
        <v/>
      </c>
      <c r="DU74" s="4" t="str">
        <f t="shared" si="82"/>
        <v/>
      </c>
      <c r="DV74" s="4" t="e">
        <f>VLOOKUP((VLOOKUP((VLOOKUP('Character Creation'!$Z$11,RaceChart,20,FALSE)&amp;" "&amp;VLOOKUP('Character Creation'!$Z$11,RaceChart,21,FALSE)),Charts!$H$2:$J$14,3,FALSE)+DU74),Charts!$J$2:$N$14,5,FALSE)</f>
        <v>#VALUE!</v>
      </c>
      <c r="DW74" s="4" t="e">
        <f>VLOOKUP(DV74,Charts!$N$2:$Q$14,4,FALSE)</f>
        <v>#VALUE!</v>
      </c>
      <c r="DX74" s="4" t="str">
        <f t="shared" si="83"/>
        <v/>
      </c>
      <c r="DY74" s="4" t="str">
        <f t="shared" si="84"/>
        <v/>
      </c>
      <c r="DZ74" s="4" t="str">
        <f t="shared" si="85"/>
        <v/>
      </c>
      <c r="EA74" s="4" t="e">
        <f>ROUNDDOWN(VLOOKUP(DK74,Skills!$N$72:$S$107,6,FALSE)/5,0)</f>
        <v>#N/A</v>
      </c>
      <c r="EB74" s="4" t="str">
        <f t="shared" si="86"/>
        <v/>
      </c>
      <c r="EC74" s="4" t="str">
        <f t="shared" si="87"/>
        <v>+</v>
      </c>
      <c r="ED74" s="4" t="e">
        <f>VLOOKUP(DJ74,'Character Sheet'!$FB$21:$HQ$35,61,FALSE)</f>
        <v>#N/A</v>
      </c>
      <c r="EE74" s="4" t="str">
        <f t="shared" si="88"/>
        <v/>
      </c>
      <c r="EF74" s="4" t="str">
        <f t="shared" si="89"/>
        <v/>
      </c>
      <c r="EG74" s="4" t="e">
        <f>VLOOKUP(DR74,Items!$B$1156:$AA$1282,18,FALSE)</f>
        <v>#N/A</v>
      </c>
      <c r="EH74" s="4" t="e">
        <f>VLOOKUP(DJ74,'Character Sheet'!$E$26:$EZ$45,81,FALSE)</f>
        <v>#N/A</v>
      </c>
      <c r="EI74" s="4" t="e">
        <f>VLOOKUP(DJ74,'Character Sheet'!$E$26:$EZ$45,89,FALSE)</f>
        <v>#N/A</v>
      </c>
      <c r="EJ74" s="4" t="e">
        <f t="shared" si="90"/>
        <v>#N/A</v>
      </c>
    </row>
    <row r="75" spans="29:140" x14ac:dyDescent="0.25">
      <c r="AC75" s="8" t="str">
        <f>IFERROR(VLOOKUP('Character Creation'!$CI88,Skills!$H$2:$N$620,6,FALSE),"")</f>
        <v/>
      </c>
      <c r="AD75" s="4">
        <f>'Character Creation'!EH88</f>
        <v>0</v>
      </c>
      <c r="AG75">
        <v>74</v>
      </c>
      <c r="AH75" s="4" t="str">
        <f t="shared" si="95"/>
        <v/>
      </c>
      <c r="AI75" t="str">
        <f>IFERROR(VLOOKUP(AG75,Skills!$B$2:$M$620,12,FALSE),"")</f>
        <v/>
      </c>
      <c r="AJ75" s="4" t="str">
        <f>IFERROR(VLOOKUP(AG75,Skills!$B$2:$AF$620,31,FALSE),"")</f>
        <v/>
      </c>
      <c r="AK75" s="4" t="str">
        <f t="shared" si="91"/>
        <v/>
      </c>
      <c r="AL75" s="4">
        <v>7.3999999999999996E-2</v>
      </c>
      <c r="AM75" s="62" t="str">
        <f t="shared" si="96"/>
        <v/>
      </c>
      <c r="AN75" t="str">
        <f t="shared" ca="1" si="97"/>
        <v/>
      </c>
      <c r="AO75" s="4" t="str">
        <f ca="1">IFERROR(VLOOKUP(AG75,$AH$2:$AJ$451,3,FALSE)&amp;IF(ISNUMBER(SEARCH(", Written",AN75))," -R"&amp;VLOOKUP(AN75,Skills!$M$2:$S$620,7,FALSE),IF(ISNUMBER(SEARCH(", Spoken",AN75))," -R"&amp;VLOOKUP(AN75,Skills!$M$2:$S$620,7,FALSE),"")),"")</f>
        <v/>
      </c>
      <c r="AQ75">
        <v>72</v>
      </c>
      <c r="AR75" s="8">
        <f>'Character Sheet'!FB74</f>
        <v>0</v>
      </c>
      <c r="AS75" s="4" t="str">
        <f t="shared" si="98"/>
        <v/>
      </c>
      <c r="AT75" s="4" t="str">
        <f t="shared" si="99"/>
        <v/>
      </c>
      <c r="AU75" s="4" t="str">
        <f t="shared" si="105"/>
        <v/>
      </c>
      <c r="AV75" s="4" t="str">
        <f t="shared" si="106"/>
        <v/>
      </c>
      <c r="AW75" s="4" t="str">
        <f t="shared" si="107"/>
        <v/>
      </c>
      <c r="AX75" s="4" t="str">
        <f t="shared" si="100"/>
        <v/>
      </c>
      <c r="AY75" s="4" t="str">
        <f t="shared" si="108"/>
        <v/>
      </c>
      <c r="AZ75" s="4" t="str">
        <f t="shared" si="109"/>
        <v/>
      </c>
      <c r="BA75" s="4" t="str">
        <f>IFERROR('Character Sheet'!JK74,"")</f>
        <v/>
      </c>
      <c r="BB75" s="4" t="str">
        <f t="shared" si="101"/>
        <v/>
      </c>
      <c r="BC75" s="4" t="str">
        <f t="shared" si="110"/>
        <v/>
      </c>
      <c r="BD75" s="4" t="str">
        <f t="shared" si="111"/>
        <v/>
      </c>
      <c r="BE75" s="4" t="str">
        <f t="shared" si="112"/>
        <v/>
      </c>
      <c r="BF75" s="4" t="str">
        <f t="shared" si="113"/>
        <v/>
      </c>
      <c r="BG75" s="4" t="str">
        <f t="shared" si="114"/>
        <v/>
      </c>
      <c r="BH75" s="4" t="str">
        <f>IFERROR('Character Sheet'!KC74,"")</f>
        <v/>
      </c>
      <c r="BI75" s="4" t="str">
        <f t="shared" si="102"/>
        <v/>
      </c>
      <c r="BJ75" s="4" t="str">
        <f t="shared" si="115"/>
        <v/>
      </c>
      <c r="BK75" s="4" t="str">
        <f t="shared" si="116"/>
        <v/>
      </c>
      <c r="BL75" s="4" t="str">
        <f t="shared" si="117"/>
        <v/>
      </c>
      <c r="BM75" s="4" t="str">
        <f t="shared" si="118"/>
        <v/>
      </c>
      <c r="BN75" s="4" t="str">
        <f t="shared" si="119"/>
        <v/>
      </c>
      <c r="BO75" s="4" t="str">
        <f t="shared" si="120"/>
        <v/>
      </c>
      <c r="BP75" s="4" t="str">
        <f t="shared" si="121"/>
        <v/>
      </c>
      <c r="BQ75" s="4" t="str">
        <f>IFERROR('Character Sheet'!IQ74+VLOOKUP(BA75,MaterialChart,5,FALSE),"")</f>
        <v/>
      </c>
      <c r="BR75" s="4" t="str">
        <f t="shared" si="122"/>
        <v/>
      </c>
      <c r="BS75" s="4">
        <f t="shared" si="94"/>
        <v>0</v>
      </c>
      <c r="BT75" s="4" t="str">
        <f t="shared" si="123"/>
        <v/>
      </c>
      <c r="BU75" s="4" t="str">
        <f t="shared" si="124"/>
        <v/>
      </c>
      <c r="BV75" s="4" t="str">
        <f t="shared" si="125"/>
        <v/>
      </c>
      <c r="BW75" s="4" t="str">
        <f>IFERROR(ROUNDUP((BE75*(BB75-AT75))+(BL75*(BI75-AX75))+(BT75*(((100+(BD75+IF(BE75=1,0,BK75))+(4*BR75))/100)))*'Character Sheet'!GT74,3),"")</f>
        <v/>
      </c>
      <c r="BX75" s="4" t="str">
        <f t="shared" si="93"/>
        <v/>
      </c>
      <c r="BY75" s="8"/>
      <c r="DH75" s="4" t="str">
        <f t="shared" si="103"/>
        <v/>
      </c>
      <c r="DI75">
        <v>38</v>
      </c>
      <c r="DJ75" s="3">
        <f>'Character Sheet'!FB74</f>
        <v>0</v>
      </c>
      <c r="DK75" s="4" t="str">
        <f t="shared" si="77"/>
        <v/>
      </c>
      <c r="DL75" s="4" t="str">
        <f>IFERROR(IF(DK75=0,"",VLOOKUP(DK75,Skills!$N$72:$AF$107,19,FALSE)),"")</f>
        <v/>
      </c>
      <c r="DM75" s="4">
        <f>IFERROR(VLOOKUP($DJ75,ItemChart,18,FALSE)+'Character Sheet'!IJ74,0)</f>
        <v>0</v>
      </c>
      <c r="DN75" s="4" t="str">
        <f t="shared" si="92"/>
        <v/>
      </c>
      <c r="DO75" s="4" t="str">
        <f>IFERROR(DN75+0.73,"")</f>
        <v/>
      </c>
      <c r="DP75" s="4">
        <f t="shared" si="104"/>
        <v>0</v>
      </c>
      <c r="DQ75" s="4">
        <f t="shared" si="78"/>
        <v>2</v>
      </c>
      <c r="DR75" s="4" t="e">
        <f t="shared" si="79"/>
        <v>#N/A</v>
      </c>
      <c r="DS75" s="4">
        <f t="shared" si="80"/>
        <v>38</v>
      </c>
      <c r="DT75" s="4" t="str">
        <f t="shared" si="81"/>
        <v/>
      </c>
      <c r="DU75" s="4" t="str">
        <f t="shared" si="82"/>
        <v/>
      </c>
      <c r="DV75" s="4" t="e">
        <f>VLOOKUP((VLOOKUP((VLOOKUP('Character Creation'!$Z$11,RaceChart,20,FALSE)&amp;" "&amp;VLOOKUP('Character Creation'!$Z$11,RaceChart,21,FALSE)),Charts!$H$2:$J$14,3,FALSE)+DU75),Charts!$J$2:$N$14,5,FALSE)</f>
        <v>#VALUE!</v>
      </c>
      <c r="DW75" s="4" t="e">
        <f>VLOOKUP(DV75,Charts!$N$2:$Q$14,4,FALSE)</f>
        <v>#VALUE!</v>
      </c>
      <c r="DX75" s="4" t="str">
        <f t="shared" si="83"/>
        <v/>
      </c>
      <c r="DY75" s="4" t="str">
        <f t="shared" si="84"/>
        <v/>
      </c>
      <c r="DZ75" s="4" t="str">
        <f t="shared" si="85"/>
        <v/>
      </c>
      <c r="EA75" s="4" t="e">
        <f>ROUNDDOWN(VLOOKUP(DK75,Skills!$N$72:$S$107,6,FALSE)/5,0)</f>
        <v>#N/A</v>
      </c>
      <c r="EB75" s="4" t="str">
        <f t="shared" si="86"/>
        <v/>
      </c>
      <c r="EC75" s="4" t="str">
        <f t="shared" si="87"/>
        <v>+</v>
      </c>
      <c r="ED75" s="4" t="e">
        <f>VLOOKUP(DJ75,'Character Sheet'!$FB$21:$HQ$35,61,FALSE)</f>
        <v>#N/A</v>
      </c>
      <c r="EE75" s="4" t="str">
        <f t="shared" si="88"/>
        <v/>
      </c>
      <c r="EF75" s="4" t="str">
        <f t="shared" si="89"/>
        <v/>
      </c>
      <c r="EG75" s="4" t="e">
        <f>VLOOKUP(DR75,Items!$B$1156:$AA$1282,18,FALSE)</f>
        <v>#N/A</v>
      </c>
      <c r="EH75" s="4" t="e">
        <f>VLOOKUP(DJ75,'Character Sheet'!$E$26:$EZ$45,81,FALSE)</f>
        <v>#N/A</v>
      </c>
      <c r="EI75" s="4" t="e">
        <f>VLOOKUP(DJ75,'Character Sheet'!$E$26:$EZ$45,89,FALSE)</f>
        <v>#N/A</v>
      </c>
      <c r="EJ75" s="4" t="e">
        <f t="shared" si="90"/>
        <v>#N/A</v>
      </c>
    </row>
    <row r="76" spans="29:140" x14ac:dyDescent="0.25">
      <c r="AC76" s="8" t="str">
        <f>IFERROR(VLOOKUP('Character Creation'!$CI89,Skills!$H$2:$N$620,6,FALSE),"")</f>
        <v/>
      </c>
      <c r="AD76" s="4">
        <f>'Character Creation'!EH89</f>
        <v>2</v>
      </c>
      <c r="AG76">
        <v>75</v>
      </c>
      <c r="AH76" s="4" t="str">
        <f t="shared" si="95"/>
        <v/>
      </c>
      <c r="AI76" t="str">
        <f>IFERROR(VLOOKUP(AG76,Skills!$B$2:$M$620,12,FALSE),"")</f>
        <v/>
      </c>
      <c r="AJ76" s="4" t="str">
        <f>IFERROR(VLOOKUP(AG76,Skills!$B$2:$AF$620,31,FALSE),"")</f>
        <v/>
      </c>
      <c r="AK76" s="4" t="str">
        <f t="shared" si="91"/>
        <v/>
      </c>
      <c r="AL76" s="4">
        <v>7.4999999999999997E-2</v>
      </c>
      <c r="AM76" s="62" t="str">
        <f t="shared" si="96"/>
        <v/>
      </c>
      <c r="AN76" t="str">
        <f t="shared" ca="1" si="97"/>
        <v/>
      </c>
      <c r="AO76" s="4" t="str">
        <f ca="1">IFERROR(VLOOKUP(AG76,$AH$2:$AJ$451,3,FALSE)&amp;IF(ISNUMBER(SEARCH(", Written",AN76))," -R"&amp;VLOOKUP(AN76,Skills!$M$2:$S$620,7,FALSE),IF(ISNUMBER(SEARCH(", Spoken",AN76))," -R"&amp;VLOOKUP(AN76,Skills!$M$2:$S$620,7,FALSE),"")),"")</f>
        <v/>
      </c>
      <c r="AQ76">
        <v>73</v>
      </c>
      <c r="AR76" s="8">
        <f>'Character Sheet'!FB75</f>
        <v>0</v>
      </c>
      <c r="AS76" s="4" t="str">
        <f t="shared" si="98"/>
        <v/>
      </c>
      <c r="AT76" s="4" t="str">
        <f t="shared" si="99"/>
        <v/>
      </c>
      <c r="AU76" s="4" t="str">
        <f t="shared" si="105"/>
        <v/>
      </c>
      <c r="AV76" s="4" t="str">
        <f t="shared" si="106"/>
        <v/>
      </c>
      <c r="AW76" s="4" t="str">
        <f t="shared" si="107"/>
        <v/>
      </c>
      <c r="AX76" s="4" t="str">
        <f t="shared" si="100"/>
        <v/>
      </c>
      <c r="AY76" s="4" t="str">
        <f t="shared" si="108"/>
        <v/>
      </c>
      <c r="AZ76" s="4" t="str">
        <f t="shared" si="109"/>
        <v/>
      </c>
      <c r="BA76" s="4" t="str">
        <f>IFERROR('Character Sheet'!JK75,"")</f>
        <v/>
      </c>
      <c r="BB76" s="4" t="str">
        <f t="shared" si="101"/>
        <v/>
      </c>
      <c r="BC76" s="4" t="str">
        <f t="shared" si="110"/>
        <v/>
      </c>
      <c r="BD76" s="4" t="str">
        <f t="shared" si="111"/>
        <v/>
      </c>
      <c r="BE76" s="4" t="str">
        <f t="shared" si="112"/>
        <v/>
      </c>
      <c r="BF76" s="4" t="str">
        <f t="shared" si="113"/>
        <v/>
      </c>
      <c r="BG76" s="4" t="str">
        <f t="shared" si="114"/>
        <v/>
      </c>
      <c r="BH76" s="4" t="str">
        <f>IFERROR('Character Sheet'!KC75,"")</f>
        <v/>
      </c>
      <c r="BI76" s="4" t="str">
        <f t="shared" si="102"/>
        <v/>
      </c>
      <c r="BJ76" s="4" t="str">
        <f t="shared" si="115"/>
        <v/>
      </c>
      <c r="BK76" s="4" t="str">
        <f t="shared" si="116"/>
        <v/>
      </c>
      <c r="BL76" s="4" t="str">
        <f t="shared" si="117"/>
        <v/>
      </c>
      <c r="BM76" s="4" t="str">
        <f t="shared" si="118"/>
        <v/>
      </c>
      <c r="BN76" s="4" t="str">
        <f t="shared" si="119"/>
        <v/>
      </c>
      <c r="BO76" s="4" t="str">
        <f t="shared" si="120"/>
        <v/>
      </c>
      <c r="BP76" s="4" t="str">
        <f t="shared" si="121"/>
        <v/>
      </c>
      <c r="BQ76" s="4" t="str">
        <f>IFERROR('Character Sheet'!IQ75+VLOOKUP(BA76,MaterialChart,5,FALSE),"")</f>
        <v/>
      </c>
      <c r="BR76" s="4" t="str">
        <f t="shared" si="122"/>
        <v/>
      </c>
      <c r="BS76" s="4">
        <f t="shared" si="94"/>
        <v>0</v>
      </c>
      <c r="BT76" s="4" t="str">
        <f t="shared" si="123"/>
        <v/>
      </c>
      <c r="BU76" s="4" t="str">
        <f t="shared" si="124"/>
        <v/>
      </c>
      <c r="BV76" s="4" t="str">
        <f t="shared" si="125"/>
        <v/>
      </c>
      <c r="BW76" s="4" t="str">
        <f>IFERROR(ROUNDUP((BE76*(BB76-AT76))+(BL76*(BI76-AX76))+(BT76*(((100+(BD76+IF(BE76=1,0,BK76))+(4*BR76))/100)))*'Character Sheet'!GT75,3),"")</f>
        <v/>
      </c>
      <c r="BX76" s="4" t="str">
        <f t="shared" si="93"/>
        <v/>
      </c>
      <c r="BY76" s="8"/>
      <c r="DH76" s="4" t="str">
        <f t="shared" si="103"/>
        <v/>
      </c>
      <c r="DI76">
        <v>39</v>
      </c>
      <c r="DJ76" s="3">
        <f>'Character Sheet'!FB75</f>
        <v>0</v>
      </c>
      <c r="DK76" s="4" t="str">
        <f t="shared" si="77"/>
        <v/>
      </c>
      <c r="DL76" s="4" t="str">
        <f>IFERROR(IF(DK76=0,"",VLOOKUP(DK76,Skills!$N$72:$AF$107,19,FALSE)),"")</f>
        <v/>
      </c>
      <c r="DM76" s="4">
        <f>IFERROR(VLOOKUP($DJ76,ItemChart,18,FALSE)+'Character Sheet'!IJ75,0)</f>
        <v>0</v>
      </c>
      <c r="DN76" s="4" t="str">
        <f t="shared" si="92"/>
        <v/>
      </c>
      <c r="DO76" s="4" t="str">
        <f>IFERROR(DN76+0.74,"")</f>
        <v/>
      </c>
      <c r="DP76" s="4">
        <f t="shared" si="104"/>
        <v>0</v>
      </c>
      <c r="DQ76" s="4">
        <f t="shared" si="78"/>
        <v>2</v>
      </c>
      <c r="DR76" s="4" t="e">
        <f t="shared" si="79"/>
        <v>#N/A</v>
      </c>
      <c r="DS76" s="4">
        <f t="shared" si="80"/>
        <v>39</v>
      </c>
      <c r="DT76" s="4" t="str">
        <f t="shared" si="81"/>
        <v/>
      </c>
      <c r="DU76" s="4" t="str">
        <f t="shared" si="82"/>
        <v/>
      </c>
      <c r="DV76" s="4" t="e">
        <f>VLOOKUP((VLOOKUP((VLOOKUP('Character Creation'!$Z$11,RaceChart,20,FALSE)&amp;" "&amp;VLOOKUP('Character Creation'!$Z$11,RaceChart,21,FALSE)),Charts!$H$2:$J$14,3,FALSE)+DU76),Charts!$J$2:$N$14,5,FALSE)</f>
        <v>#VALUE!</v>
      </c>
      <c r="DW76" s="4" t="e">
        <f>VLOOKUP(DV76,Charts!$N$2:$Q$14,4,FALSE)</f>
        <v>#VALUE!</v>
      </c>
      <c r="DX76" s="4" t="str">
        <f t="shared" si="83"/>
        <v/>
      </c>
      <c r="DY76" s="4" t="str">
        <f t="shared" si="84"/>
        <v/>
      </c>
      <c r="DZ76" s="4" t="str">
        <f t="shared" si="85"/>
        <v/>
      </c>
      <c r="EA76" s="4" t="e">
        <f>ROUNDDOWN(VLOOKUP(DK76,Skills!$N$72:$S$107,6,FALSE)/5,0)</f>
        <v>#N/A</v>
      </c>
      <c r="EB76" s="4" t="str">
        <f t="shared" si="86"/>
        <v/>
      </c>
      <c r="EC76" s="4" t="str">
        <f t="shared" si="87"/>
        <v>+</v>
      </c>
      <c r="ED76" s="4" t="e">
        <f>VLOOKUP(DJ76,'Character Sheet'!$FB$21:$HQ$35,61,FALSE)</f>
        <v>#N/A</v>
      </c>
      <c r="EE76" s="4" t="str">
        <f t="shared" si="88"/>
        <v/>
      </c>
      <c r="EF76" s="4" t="str">
        <f t="shared" si="89"/>
        <v/>
      </c>
      <c r="EG76" s="4" t="e">
        <f>VLOOKUP(DR76,Items!$B$1156:$AA$1282,18,FALSE)</f>
        <v>#N/A</v>
      </c>
      <c r="EH76" s="4" t="e">
        <f>VLOOKUP(DJ76,'Character Sheet'!$E$26:$EZ$45,81,FALSE)</f>
        <v>#N/A</v>
      </c>
      <c r="EI76" s="4" t="e">
        <f>VLOOKUP(DJ76,'Character Sheet'!$E$26:$EZ$45,89,FALSE)</f>
        <v>#N/A</v>
      </c>
      <c r="EJ76" s="4" t="e">
        <f t="shared" si="90"/>
        <v>#N/A</v>
      </c>
    </row>
    <row r="77" spans="29:140" x14ac:dyDescent="0.25">
      <c r="AC77" s="8" t="str">
        <f>IFERROR(VLOOKUP('Character Creation'!$CI90,Skills!$H$2:$N$620,6,FALSE),"")</f>
        <v/>
      </c>
      <c r="AD77" s="4">
        <f>'Character Creation'!EH90</f>
        <v>0</v>
      </c>
      <c r="AG77">
        <v>76</v>
      </c>
      <c r="AH77" s="4" t="str">
        <f t="shared" si="95"/>
        <v/>
      </c>
      <c r="AI77" t="str">
        <f>IFERROR(VLOOKUP(AG77,Skills!$B$2:$M$620,12,FALSE),"")</f>
        <v/>
      </c>
      <c r="AJ77" s="4" t="str">
        <f>IFERROR(VLOOKUP(AG77,Skills!$B$2:$AF$620,31,FALSE),"")</f>
        <v/>
      </c>
      <c r="AK77" s="4" t="str">
        <f t="shared" si="91"/>
        <v/>
      </c>
      <c r="AL77" s="4">
        <v>7.5999999999999998E-2</v>
      </c>
      <c r="AM77" s="62" t="str">
        <f t="shared" si="96"/>
        <v/>
      </c>
      <c r="AN77" t="str">
        <f t="shared" ca="1" si="97"/>
        <v/>
      </c>
      <c r="AO77" s="4" t="str">
        <f ca="1">IFERROR(VLOOKUP(AG77,$AH$2:$AJ$451,3,FALSE)&amp;IF(ISNUMBER(SEARCH(", Written",AN77))," -R"&amp;VLOOKUP(AN77,Skills!$M$2:$S$620,7,FALSE),IF(ISNUMBER(SEARCH(", Spoken",AN77))," -R"&amp;VLOOKUP(AN77,Skills!$M$2:$S$620,7,FALSE),"")),"")</f>
        <v/>
      </c>
      <c r="AQ77">
        <v>74</v>
      </c>
      <c r="AR77" s="8">
        <f>'Character Sheet'!FB76</f>
        <v>0</v>
      </c>
      <c r="AS77" s="4" t="str">
        <f t="shared" si="98"/>
        <v/>
      </c>
      <c r="AT77" s="4" t="str">
        <f t="shared" si="99"/>
        <v/>
      </c>
      <c r="AU77" s="4" t="str">
        <f t="shared" si="105"/>
        <v/>
      </c>
      <c r="AV77" s="4" t="str">
        <f t="shared" si="106"/>
        <v/>
      </c>
      <c r="AW77" s="4" t="str">
        <f t="shared" si="107"/>
        <v/>
      </c>
      <c r="AX77" s="4" t="str">
        <f t="shared" si="100"/>
        <v/>
      </c>
      <c r="AY77" s="4" t="str">
        <f t="shared" si="108"/>
        <v/>
      </c>
      <c r="AZ77" s="4" t="str">
        <f t="shared" si="109"/>
        <v/>
      </c>
      <c r="BA77" s="4" t="str">
        <f>IFERROR('Character Sheet'!JK76,"")</f>
        <v/>
      </c>
      <c r="BB77" s="4" t="str">
        <f t="shared" si="101"/>
        <v/>
      </c>
      <c r="BC77" s="4" t="str">
        <f t="shared" si="110"/>
        <v/>
      </c>
      <c r="BD77" s="4" t="str">
        <f t="shared" si="111"/>
        <v/>
      </c>
      <c r="BE77" s="4" t="str">
        <f t="shared" si="112"/>
        <v/>
      </c>
      <c r="BF77" s="4" t="str">
        <f t="shared" si="113"/>
        <v/>
      </c>
      <c r="BG77" s="4" t="str">
        <f t="shared" si="114"/>
        <v/>
      </c>
      <c r="BH77" s="4" t="str">
        <f>IFERROR('Character Sheet'!KC76,"")</f>
        <v/>
      </c>
      <c r="BI77" s="4" t="str">
        <f t="shared" si="102"/>
        <v/>
      </c>
      <c r="BJ77" s="4" t="str">
        <f t="shared" si="115"/>
        <v/>
      </c>
      <c r="BK77" s="4" t="str">
        <f t="shared" si="116"/>
        <v/>
      </c>
      <c r="BL77" s="4" t="str">
        <f t="shared" si="117"/>
        <v/>
      </c>
      <c r="BM77" s="4" t="str">
        <f t="shared" si="118"/>
        <v/>
      </c>
      <c r="BN77" s="4" t="str">
        <f t="shared" si="119"/>
        <v/>
      </c>
      <c r="BO77" s="4" t="str">
        <f t="shared" si="120"/>
        <v/>
      </c>
      <c r="BP77" s="4" t="str">
        <f t="shared" si="121"/>
        <v/>
      </c>
      <c r="BQ77" s="4" t="str">
        <f>IFERROR('Character Sheet'!IQ76+VLOOKUP(BA77,MaterialChart,5,FALSE),"")</f>
        <v/>
      </c>
      <c r="BR77" s="4" t="str">
        <f t="shared" si="122"/>
        <v/>
      </c>
      <c r="BS77" s="4">
        <f t="shared" si="94"/>
        <v>0</v>
      </c>
      <c r="BT77" s="4" t="str">
        <f t="shared" si="123"/>
        <v/>
      </c>
      <c r="BU77" s="4" t="str">
        <f t="shared" si="124"/>
        <v/>
      </c>
      <c r="BV77" s="4" t="str">
        <f t="shared" si="125"/>
        <v/>
      </c>
      <c r="BW77" s="4" t="str">
        <f>IFERROR(ROUNDUP((BE77*(BB77-AT77))+(BL77*(BI77-AX77))+(BT77*(((100+(BD77+IF(BE77=1,0,BK77))+(4*BR77))/100)))*'Character Sheet'!GT76,3),"")</f>
        <v/>
      </c>
      <c r="BX77" s="4" t="str">
        <f t="shared" si="93"/>
        <v/>
      </c>
      <c r="BY77" s="8"/>
      <c r="DH77" s="4" t="str">
        <f t="shared" si="103"/>
        <v/>
      </c>
      <c r="DI77">
        <v>40</v>
      </c>
      <c r="DJ77" s="3">
        <f>'Character Sheet'!FB76</f>
        <v>0</v>
      </c>
      <c r="DK77" s="4" t="str">
        <f t="shared" si="77"/>
        <v/>
      </c>
      <c r="DL77" s="4" t="str">
        <f>IFERROR(IF(DK77=0,"",VLOOKUP(DK77,Skills!$N$72:$AF$107,19,FALSE)),"")</f>
        <v/>
      </c>
      <c r="DM77" s="4">
        <f>IFERROR(VLOOKUP($DJ77,ItemChart,18,FALSE)+'Character Sheet'!IJ76,0)</f>
        <v>0</v>
      </c>
      <c r="DN77" s="4" t="str">
        <f t="shared" si="92"/>
        <v/>
      </c>
      <c r="DO77" s="4" t="str">
        <f>IFERROR(DN77+0.75,"")</f>
        <v/>
      </c>
      <c r="DP77" s="4">
        <f t="shared" si="104"/>
        <v>0</v>
      </c>
      <c r="DQ77" s="4">
        <f t="shared" si="78"/>
        <v>2</v>
      </c>
      <c r="DR77" s="4" t="e">
        <f t="shared" si="79"/>
        <v>#N/A</v>
      </c>
      <c r="DS77" s="4">
        <f t="shared" si="80"/>
        <v>40</v>
      </c>
      <c r="DT77" s="4" t="str">
        <f t="shared" si="81"/>
        <v/>
      </c>
      <c r="DU77" s="4" t="str">
        <f t="shared" si="82"/>
        <v/>
      </c>
      <c r="DV77" s="4" t="e">
        <f>VLOOKUP((VLOOKUP((VLOOKUP('Character Creation'!$Z$11,RaceChart,20,FALSE)&amp;" "&amp;VLOOKUP('Character Creation'!$Z$11,RaceChart,21,FALSE)),Charts!$H$2:$J$14,3,FALSE)+DU77),Charts!$J$2:$N$14,5,FALSE)</f>
        <v>#VALUE!</v>
      </c>
      <c r="DW77" s="4" t="e">
        <f>VLOOKUP(DV77,Charts!$N$2:$Q$14,4,FALSE)</f>
        <v>#VALUE!</v>
      </c>
      <c r="DX77" s="4" t="str">
        <f t="shared" si="83"/>
        <v/>
      </c>
      <c r="DY77" s="4" t="str">
        <f t="shared" si="84"/>
        <v/>
      </c>
      <c r="DZ77" s="4" t="str">
        <f t="shared" si="85"/>
        <v/>
      </c>
      <c r="EA77" s="4" t="e">
        <f>ROUNDDOWN(VLOOKUP(DK77,Skills!$N$72:$S$107,6,FALSE)/5,0)</f>
        <v>#N/A</v>
      </c>
      <c r="EB77" s="4" t="str">
        <f t="shared" si="86"/>
        <v/>
      </c>
      <c r="EC77" s="4" t="str">
        <f t="shared" si="87"/>
        <v>+</v>
      </c>
      <c r="ED77" s="4" t="e">
        <f>VLOOKUP(DJ77,'Character Sheet'!$FB$21:$HQ$35,61,FALSE)</f>
        <v>#N/A</v>
      </c>
      <c r="EE77" s="4" t="str">
        <f t="shared" si="88"/>
        <v/>
      </c>
      <c r="EF77" s="4" t="str">
        <f t="shared" si="89"/>
        <v/>
      </c>
      <c r="EG77" s="4" t="e">
        <f>VLOOKUP(DR77,Items!$B$1156:$AA$1282,18,FALSE)</f>
        <v>#N/A</v>
      </c>
      <c r="EH77" s="4" t="e">
        <f>VLOOKUP(DJ77,'Character Sheet'!$E$26:$EZ$45,81,FALSE)</f>
        <v>#N/A</v>
      </c>
      <c r="EI77" s="4" t="e">
        <f>VLOOKUP(DJ77,'Character Sheet'!$E$26:$EZ$45,89,FALSE)</f>
        <v>#N/A</v>
      </c>
      <c r="EJ77" s="4" t="e">
        <f t="shared" si="90"/>
        <v>#N/A</v>
      </c>
    </row>
    <row r="78" spans="29:140" x14ac:dyDescent="0.25">
      <c r="AC78" s="8" t="str">
        <f>IFERROR(VLOOKUP('Character Creation'!$CI91,Skills!$H$2:$N$620,6,FALSE),"")</f>
        <v/>
      </c>
      <c r="AD78" s="4">
        <f>'Character Creation'!EH91</f>
        <v>0</v>
      </c>
      <c r="AG78">
        <v>77</v>
      </c>
      <c r="AH78" s="4" t="str">
        <f t="shared" si="95"/>
        <v/>
      </c>
      <c r="AI78" t="str">
        <f ca="1">IFERROR(VLOOKUP(AG78,Skills!$B$2:$M$620,12,FALSE),"")</f>
        <v/>
      </c>
      <c r="AJ78" s="4" t="str">
        <f>IFERROR(VLOOKUP(AG78,Skills!$B$2:$AF$620,31,FALSE),"")</f>
        <v/>
      </c>
      <c r="AK78" s="4" t="str">
        <f t="shared" si="91"/>
        <v/>
      </c>
      <c r="AL78" s="4">
        <v>7.6999999999999999E-2</v>
      </c>
      <c r="AM78" s="62" t="str">
        <f t="shared" si="96"/>
        <v/>
      </c>
      <c r="AN78" t="str">
        <f t="shared" ca="1" si="97"/>
        <v/>
      </c>
      <c r="AO78" s="4" t="str">
        <f ca="1">IFERROR(VLOOKUP(AG78,$AH$2:$AJ$451,3,FALSE)&amp;IF(ISNUMBER(SEARCH(", Written",AN78))," -R"&amp;VLOOKUP(AN78,Skills!$M$2:$S$620,7,FALSE),IF(ISNUMBER(SEARCH(", Spoken",AN78))," -R"&amp;VLOOKUP(AN78,Skills!$M$2:$S$620,7,FALSE),"")),"")</f>
        <v/>
      </c>
      <c r="AQ78">
        <v>75</v>
      </c>
      <c r="AR78" s="8">
        <f>'Character Sheet'!FB77</f>
        <v>0</v>
      </c>
      <c r="AS78" s="4" t="str">
        <f t="shared" si="98"/>
        <v/>
      </c>
      <c r="AT78" s="4" t="str">
        <f t="shared" si="99"/>
        <v/>
      </c>
      <c r="AU78" s="4" t="str">
        <f t="shared" si="105"/>
        <v/>
      </c>
      <c r="AV78" s="4" t="str">
        <f t="shared" si="106"/>
        <v/>
      </c>
      <c r="AW78" s="4" t="str">
        <f t="shared" si="107"/>
        <v/>
      </c>
      <c r="AX78" s="4" t="str">
        <f t="shared" si="100"/>
        <v/>
      </c>
      <c r="AY78" s="4" t="str">
        <f t="shared" si="108"/>
        <v/>
      </c>
      <c r="AZ78" s="4" t="str">
        <f t="shared" si="109"/>
        <v/>
      </c>
      <c r="BA78" s="4" t="str">
        <f>IFERROR('Character Sheet'!JK77,"")</f>
        <v/>
      </c>
      <c r="BB78" s="4" t="str">
        <f t="shared" si="101"/>
        <v/>
      </c>
      <c r="BC78" s="4" t="str">
        <f t="shared" si="110"/>
        <v/>
      </c>
      <c r="BD78" s="4" t="str">
        <f t="shared" si="111"/>
        <v/>
      </c>
      <c r="BE78" s="4" t="str">
        <f t="shared" si="112"/>
        <v/>
      </c>
      <c r="BF78" s="4" t="str">
        <f t="shared" si="113"/>
        <v/>
      </c>
      <c r="BG78" s="4" t="str">
        <f t="shared" si="114"/>
        <v/>
      </c>
      <c r="BH78" s="4" t="str">
        <f>IFERROR('Character Sheet'!KC77,"")</f>
        <v/>
      </c>
      <c r="BI78" s="4" t="str">
        <f t="shared" si="102"/>
        <v/>
      </c>
      <c r="BJ78" s="4" t="str">
        <f t="shared" si="115"/>
        <v/>
      </c>
      <c r="BK78" s="4" t="str">
        <f t="shared" si="116"/>
        <v/>
      </c>
      <c r="BL78" s="4" t="str">
        <f t="shared" si="117"/>
        <v/>
      </c>
      <c r="BM78" s="4" t="str">
        <f t="shared" si="118"/>
        <v/>
      </c>
      <c r="BN78" s="4" t="str">
        <f t="shared" si="119"/>
        <v/>
      </c>
      <c r="BO78" s="4" t="str">
        <f t="shared" si="120"/>
        <v/>
      </c>
      <c r="BP78" s="4" t="str">
        <f t="shared" si="121"/>
        <v/>
      </c>
      <c r="BQ78" s="4" t="str">
        <f>IFERROR('Character Sheet'!IQ77+VLOOKUP(BA78,MaterialChart,5,FALSE),"")</f>
        <v/>
      </c>
      <c r="BR78" s="4" t="str">
        <f t="shared" si="122"/>
        <v/>
      </c>
      <c r="BS78" s="4">
        <f t="shared" si="94"/>
        <v>0</v>
      </c>
      <c r="BT78" s="4" t="str">
        <f t="shared" si="123"/>
        <v/>
      </c>
      <c r="BU78" s="4" t="str">
        <f t="shared" si="124"/>
        <v/>
      </c>
      <c r="BV78" s="4" t="str">
        <f t="shared" si="125"/>
        <v/>
      </c>
      <c r="BW78" s="4" t="str">
        <f>IFERROR(ROUNDUP((BE78*(BB78-AT78))+(BL78*(BI78-AX78))+(BT78*(((100+(BD78+IF(BE78=1,0,BK78))+(4*BR78))/100)))*'Character Sheet'!GT77,3),"")</f>
        <v/>
      </c>
      <c r="BX78" s="4" t="str">
        <f t="shared" si="93"/>
        <v/>
      </c>
      <c r="BY78" s="8"/>
      <c r="DH78" s="4" t="str">
        <f t="shared" si="103"/>
        <v/>
      </c>
      <c r="DI78">
        <v>41</v>
      </c>
      <c r="DJ78" s="3">
        <f>'Character Sheet'!FB77</f>
        <v>0</v>
      </c>
      <c r="DK78" s="4" t="str">
        <f t="shared" si="77"/>
        <v/>
      </c>
      <c r="DL78" s="4" t="str">
        <f>IFERROR(IF(DK78=0,"",VLOOKUP(DK78,Skills!$N$72:$AF$107,19,FALSE)),"")</f>
        <v/>
      </c>
      <c r="DM78" s="4">
        <f>IFERROR(VLOOKUP($DJ78,ItemChart,18,FALSE)+'Character Sheet'!IJ77,0)</f>
        <v>0</v>
      </c>
      <c r="DN78" s="4" t="str">
        <f t="shared" si="92"/>
        <v/>
      </c>
      <c r="DO78" s="4" t="str">
        <f>IFERROR(DN78+0.76,"")</f>
        <v/>
      </c>
      <c r="DP78" s="4">
        <f t="shared" si="104"/>
        <v>0</v>
      </c>
      <c r="DQ78" s="4">
        <f t="shared" si="78"/>
        <v>2</v>
      </c>
      <c r="DR78" s="4" t="e">
        <f t="shared" si="79"/>
        <v>#N/A</v>
      </c>
      <c r="DS78" s="4">
        <f t="shared" si="80"/>
        <v>41</v>
      </c>
      <c r="DT78" s="4" t="str">
        <f t="shared" si="81"/>
        <v/>
      </c>
      <c r="DU78" s="4" t="str">
        <f t="shared" si="82"/>
        <v/>
      </c>
      <c r="DV78" s="4" t="e">
        <f>VLOOKUP((VLOOKUP((VLOOKUP('Character Creation'!$Z$11,RaceChart,20,FALSE)&amp;" "&amp;VLOOKUP('Character Creation'!$Z$11,RaceChart,21,FALSE)),Charts!$H$2:$J$14,3,FALSE)+DU78),Charts!$J$2:$N$14,5,FALSE)</f>
        <v>#VALUE!</v>
      </c>
      <c r="DW78" s="4" t="e">
        <f>VLOOKUP(DV78,Charts!$N$2:$Q$14,4,FALSE)</f>
        <v>#VALUE!</v>
      </c>
      <c r="DX78" s="4" t="str">
        <f t="shared" si="83"/>
        <v/>
      </c>
      <c r="DY78" s="4" t="str">
        <f t="shared" si="84"/>
        <v/>
      </c>
      <c r="DZ78" s="4" t="str">
        <f t="shared" si="85"/>
        <v/>
      </c>
      <c r="EA78" s="4" t="e">
        <f>ROUNDDOWN(VLOOKUP(DK78,Skills!$N$72:$S$107,6,FALSE)/5,0)</f>
        <v>#N/A</v>
      </c>
      <c r="EB78" s="4" t="str">
        <f t="shared" si="86"/>
        <v/>
      </c>
      <c r="EC78" s="4" t="str">
        <f t="shared" si="87"/>
        <v>+</v>
      </c>
      <c r="ED78" s="4" t="e">
        <f>VLOOKUP(DJ78,'Character Sheet'!$FB$21:$HQ$35,61,FALSE)</f>
        <v>#N/A</v>
      </c>
      <c r="EE78" s="4" t="str">
        <f t="shared" si="88"/>
        <v/>
      </c>
      <c r="EF78" s="4" t="str">
        <f t="shared" si="89"/>
        <v/>
      </c>
      <c r="EG78" s="4" t="e">
        <f>VLOOKUP(DR78,Items!$B$1156:$AA$1282,18,FALSE)</f>
        <v>#N/A</v>
      </c>
      <c r="EH78" s="4" t="e">
        <f>VLOOKUP(DJ78,'Character Sheet'!$E$26:$EZ$45,81,FALSE)</f>
        <v>#N/A</v>
      </c>
      <c r="EI78" s="4" t="e">
        <f>VLOOKUP(DJ78,'Character Sheet'!$E$26:$EZ$45,89,FALSE)</f>
        <v>#N/A</v>
      </c>
      <c r="EJ78" s="4" t="e">
        <f t="shared" si="90"/>
        <v>#N/A</v>
      </c>
    </row>
    <row r="79" spans="29:140" x14ac:dyDescent="0.25">
      <c r="AC79" s="8" t="str">
        <f>IFERROR(VLOOKUP('Character Creation'!$CI92,Skills!$H$2:$N$620,6,FALSE),"")</f>
        <v/>
      </c>
      <c r="AD79" s="4">
        <f>'Character Creation'!EH92</f>
        <v>0</v>
      </c>
      <c r="AG79">
        <v>78</v>
      </c>
      <c r="AH79" s="4" t="str">
        <f t="shared" si="95"/>
        <v/>
      </c>
      <c r="AI79" t="str">
        <f>IFERROR(VLOOKUP(AG79,Skills!$B$2:$M$620,12,FALSE),"")</f>
        <v/>
      </c>
      <c r="AJ79" s="4" t="str">
        <f>IFERROR(VLOOKUP(AG79,Skills!$B$2:$AF$620,31,FALSE),"")</f>
        <v/>
      </c>
      <c r="AK79" s="4" t="str">
        <f t="shared" si="91"/>
        <v/>
      </c>
      <c r="AL79" s="4">
        <v>7.8E-2</v>
      </c>
      <c r="AM79" s="62" t="str">
        <f t="shared" si="96"/>
        <v/>
      </c>
      <c r="AN79" t="str">
        <f t="shared" ca="1" si="97"/>
        <v/>
      </c>
      <c r="AO79" s="4" t="str">
        <f ca="1">IFERROR(VLOOKUP(AG79,$AH$2:$AJ$451,3,FALSE)&amp;IF(ISNUMBER(SEARCH(", Written",AN79))," -R"&amp;VLOOKUP(AN79,Skills!$M$2:$S$620,7,FALSE),IF(ISNUMBER(SEARCH(", Spoken",AN79))," -R"&amp;VLOOKUP(AN79,Skills!$M$2:$S$620,7,FALSE),"")),"")</f>
        <v/>
      </c>
      <c r="AQ79">
        <v>76</v>
      </c>
      <c r="AR79" s="8">
        <f>'Character Sheet'!FB78</f>
        <v>0</v>
      </c>
      <c r="AS79" s="4" t="str">
        <f t="shared" si="98"/>
        <v/>
      </c>
      <c r="AT79" s="4" t="str">
        <f t="shared" si="99"/>
        <v/>
      </c>
      <c r="AU79" s="4" t="str">
        <f t="shared" si="105"/>
        <v/>
      </c>
      <c r="AV79" s="4" t="str">
        <f t="shared" si="106"/>
        <v/>
      </c>
      <c r="AW79" s="4" t="str">
        <f t="shared" si="107"/>
        <v/>
      </c>
      <c r="AX79" s="4" t="str">
        <f t="shared" si="100"/>
        <v/>
      </c>
      <c r="AY79" s="4" t="str">
        <f t="shared" si="108"/>
        <v/>
      </c>
      <c r="AZ79" s="4" t="str">
        <f t="shared" si="109"/>
        <v/>
      </c>
      <c r="BA79" s="4" t="str">
        <f>IFERROR('Character Sheet'!JK78,"")</f>
        <v/>
      </c>
      <c r="BB79" s="4" t="str">
        <f t="shared" si="101"/>
        <v/>
      </c>
      <c r="BC79" s="4" t="str">
        <f t="shared" si="110"/>
        <v/>
      </c>
      <c r="BD79" s="4" t="str">
        <f t="shared" si="111"/>
        <v/>
      </c>
      <c r="BE79" s="4" t="str">
        <f t="shared" si="112"/>
        <v/>
      </c>
      <c r="BF79" s="4" t="str">
        <f t="shared" si="113"/>
        <v/>
      </c>
      <c r="BG79" s="4" t="str">
        <f t="shared" si="114"/>
        <v/>
      </c>
      <c r="BH79" s="4" t="str">
        <f>IFERROR('Character Sheet'!KC78,"")</f>
        <v/>
      </c>
      <c r="BI79" s="4" t="str">
        <f t="shared" si="102"/>
        <v/>
      </c>
      <c r="BJ79" s="4" t="str">
        <f t="shared" si="115"/>
        <v/>
      </c>
      <c r="BK79" s="4" t="str">
        <f t="shared" si="116"/>
        <v/>
      </c>
      <c r="BL79" s="4" t="str">
        <f t="shared" si="117"/>
        <v/>
      </c>
      <c r="BM79" s="4" t="str">
        <f t="shared" si="118"/>
        <v/>
      </c>
      <c r="BN79" s="4" t="str">
        <f t="shared" si="119"/>
        <v/>
      </c>
      <c r="BO79" s="4" t="str">
        <f t="shared" si="120"/>
        <v/>
      </c>
      <c r="BP79" s="4" t="str">
        <f t="shared" si="121"/>
        <v/>
      </c>
      <c r="BQ79" s="4" t="str">
        <f>IFERROR('Character Sheet'!IQ78+VLOOKUP(BA79,MaterialChart,5,FALSE),"")</f>
        <v/>
      </c>
      <c r="BR79" s="4" t="str">
        <f t="shared" si="122"/>
        <v/>
      </c>
      <c r="BS79" s="4">
        <f t="shared" si="94"/>
        <v>0</v>
      </c>
      <c r="BT79" s="4" t="str">
        <f t="shared" si="123"/>
        <v/>
      </c>
      <c r="BU79" s="4" t="str">
        <f t="shared" si="124"/>
        <v/>
      </c>
      <c r="BV79" s="4" t="str">
        <f t="shared" si="125"/>
        <v/>
      </c>
      <c r="BW79" s="4" t="str">
        <f>IFERROR(ROUNDUP((BE79*(BB79-AT79))+(BL79*(BI79-AX79))+(BT79*(((100+(BD79+IF(BE79=1,0,BK79))+(4*BR79))/100)))*'Character Sheet'!GT78,3),"")</f>
        <v/>
      </c>
      <c r="BX79" s="4" t="str">
        <f t="shared" si="93"/>
        <v/>
      </c>
      <c r="BY79" s="8"/>
      <c r="DH79" s="4" t="str">
        <f t="shared" si="103"/>
        <v/>
      </c>
      <c r="DI79">
        <v>42</v>
      </c>
      <c r="DJ79" s="3">
        <f>'Character Sheet'!FB78</f>
        <v>0</v>
      </c>
      <c r="DK79" s="4" t="str">
        <f t="shared" si="77"/>
        <v/>
      </c>
      <c r="DL79" s="4" t="str">
        <f>IFERROR(IF(DK79=0,"",VLOOKUP(DK79,Skills!$N$72:$AF$107,19,FALSE)),"")</f>
        <v/>
      </c>
      <c r="DM79" s="4">
        <f>IFERROR(VLOOKUP($DJ79,ItemChart,18,FALSE)+'Character Sheet'!IJ78,0)</f>
        <v>0</v>
      </c>
      <c r="DN79" s="4" t="str">
        <f t="shared" si="92"/>
        <v/>
      </c>
      <c r="DO79" s="4" t="str">
        <f>IFERROR(DN79+0.77,"")</f>
        <v/>
      </c>
      <c r="DP79" s="4">
        <f t="shared" si="104"/>
        <v>0</v>
      </c>
      <c r="DQ79" s="4">
        <f t="shared" si="78"/>
        <v>2</v>
      </c>
      <c r="DR79" s="4" t="e">
        <f t="shared" si="79"/>
        <v>#N/A</v>
      </c>
      <c r="DS79" s="4">
        <f t="shared" si="80"/>
        <v>42</v>
      </c>
      <c r="DT79" s="4" t="str">
        <f t="shared" si="81"/>
        <v/>
      </c>
      <c r="DU79" s="4" t="str">
        <f t="shared" si="82"/>
        <v/>
      </c>
      <c r="DV79" s="4" t="e">
        <f>VLOOKUP((VLOOKUP((VLOOKUP('Character Creation'!$Z$11,RaceChart,20,FALSE)&amp;" "&amp;VLOOKUP('Character Creation'!$Z$11,RaceChart,21,FALSE)),Charts!$H$2:$J$14,3,FALSE)+DU79),Charts!$J$2:$N$14,5,FALSE)</f>
        <v>#VALUE!</v>
      </c>
      <c r="DW79" s="4" t="e">
        <f>VLOOKUP(DV79,Charts!$N$2:$Q$14,4,FALSE)</f>
        <v>#VALUE!</v>
      </c>
      <c r="DX79" s="4" t="str">
        <f t="shared" si="83"/>
        <v/>
      </c>
      <c r="DY79" s="4" t="str">
        <f t="shared" si="84"/>
        <v/>
      </c>
      <c r="DZ79" s="4" t="str">
        <f t="shared" si="85"/>
        <v/>
      </c>
      <c r="EA79" s="4" t="e">
        <f>ROUNDDOWN(VLOOKUP(DK79,Skills!$N$72:$S$107,6,FALSE)/5,0)</f>
        <v>#N/A</v>
      </c>
      <c r="EB79" s="4" t="str">
        <f t="shared" si="86"/>
        <v/>
      </c>
      <c r="EC79" s="4" t="str">
        <f t="shared" si="87"/>
        <v>+</v>
      </c>
      <c r="ED79" s="4" t="e">
        <f>VLOOKUP(DJ79,'Character Sheet'!$FB$21:$HQ$35,61,FALSE)</f>
        <v>#N/A</v>
      </c>
      <c r="EE79" s="4" t="str">
        <f t="shared" si="88"/>
        <v/>
      </c>
      <c r="EF79" s="4" t="str">
        <f t="shared" si="89"/>
        <v/>
      </c>
      <c r="EG79" s="4" t="e">
        <f>VLOOKUP(DR79,Items!$B$1156:$AA$1282,18,FALSE)</f>
        <v>#N/A</v>
      </c>
      <c r="EH79" s="4" t="e">
        <f>VLOOKUP(DJ79,'Character Sheet'!$E$26:$EZ$45,81,FALSE)</f>
        <v>#N/A</v>
      </c>
      <c r="EI79" s="4" t="e">
        <f>VLOOKUP(DJ79,'Character Sheet'!$E$26:$EZ$45,89,FALSE)</f>
        <v>#N/A</v>
      </c>
      <c r="EJ79" s="4" t="e">
        <f t="shared" si="90"/>
        <v>#N/A</v>
      </c>
    </row>
    <row r="80" spans="29:140" x14ac:dyDescent="0.25">
      <c r="AC80" s="8" t="str">
        <f>IFERROR(VLOOKUP('Character Creation'!$CI93,Skills!$H$2:$N$620,6,FALSE),"")</f>
        <v/>
      </c>
      <c r="AD80" s="4">
        <f>'Character Creation'!EH93</f>
        <v>0</v>
      </c>
      <c r="AG80">
        <v>79</v>
      </c>
      <c r="AH80" s="4" t="str">
        <f t="shared" si="95"/>
        <v/>
      </c>
      <c r="AI80" t="str">
        <f>IFERROR(VLOOKUP(AG80,Skills!$B$2:$M$620,12,FALSE),"")</f>
        <v/>
      </c>
      <c r="AJ80" s="4" t="str">
        <f>IFERROR(VLOOKUP(AG80,Skills!$B$2:$AF$620,31,FALSE),"")</f>
        <v/>
      </c>
      <c r="AK80" s="4" t="str">
        <f t="shared" si="91"/>
        <v/>
      </c>
      <c r="AL80" s="4">
        <v>7.9000000000000001E-2</v>
      </c>
      <c r="AM80" s="62" t="str">
        <f t="shared" si="96"/>
        <v/>
      </c>
      <c r="AN80" t="str">
        <f t="shared" ca="1" si="97"/>
        <v/>
      </c>
      <c r="AO80" s="4" t="str">
        <f ca="1">IFERROR(VLOOKUP(AG80,$AH$2:$AJ$451,3,FALSE)&amp;IF(ISNUMBER(SEARCH(", Written",AN80))," -R"&amp;VLOOKUP(AN80,Skills!$M$2:$S$620,7,FALSE),IF(ISNUMBER(SEARCH(", Spoken",AN80))," -R"&amp;VLOOKUP(AN80,Skills!$M$2:$S$620,7,FALSE),"")),"")</f>
        <v/>
      </c>
      <c r="AQ80">
        <v>77</v>
      </c>
      <c r="AR80" s="8">
        <f>'Character Sheet'!FB79</f>
        <v>0</v>
      </c>
      <c r="AS80" s="4" t="str">
        <f t="shared" si="98"/>
        <v/>
      </c>
      <c r="AT80" s="4" t="str">
        <f t="shared" si="99"/>
        <v/>
      </c>
      <c r="AU80" s="4" t="str">
        <f t="shared" si="105"/>
        <v/>
      </c>
      <c r="AV80" s="4" t="str">
        <f t="shared" si="106"/>
        <v/>
      </c>
      <c r="AW80" s="4" t="str">
        <f t="shared" si="107"/>
        <v/>
      </c>
      <c r="AX80" s="4" t="str">
        <f t="shared" si="100"/>
        <v/>
      </c>
      <c r="AY80" s="4" t="str">
        <f t="shared" si="108"/>
        <v/>
      </c>
      <c r="AZ80" s="4" t="str">
        <f t="shared" si="109"/>
        <v/>
      </c>
      <c r="BA80" s="4" t="str">
        <f>IFERROR('Character Sheet'!JK79,"")</f>
        <v/>
      </c>
      <c r="BB80" s="4" t="str">
        <f t="shared" si="101"/>
        <v/>
      </c>
      <c r="BC80" s="4" t="str">
        <f t="shared" si="110"/>
        <v/>
      </c>
      <c r="BD80" s="4" t="str">
        <f t="shared" si="111"/>
        <v/>
      </c>
      <c r="BE80" s="4" t="str">
        <f t="shared" si="112"/>
        <v/>
      </c>
      <c r="BF80" s="4" t="str">
        <f t="shared" si="113"/>
        <v/>
      </c>
      <c r="BG80" s="4" t="str">
        <f t="shared" si="114"/>
        <v/>
      </c>
      <c r="BH80" s="4" t="str">
        <f>IFERROR('Character Sheet'!KC79,"")</f>
        <v/>
      </c>
      <c r="BI80" s="4" t="str">
        <f t="shared" si="102"/>
        <v/>
      </c>
      <c r="BJ80" s="4" t="str">
        <f t="shared" si="115"/>
        <v/>
      </c>
      <c r="BK80" s="4" t="str">
        <f t="shared" si="116"/>
        <v/>
      </c>
      <c r="BL80" s="4" t="str">
        <f t="shared" si="117"/>
        <v/>
      </c>
      <c r="BM80" s="4" t="str">
        <f t="shared" si="118"/>
        <v/>
      </c>
      <c r="BN80" s="4" t="str">
        <f t="shared" si="119"/>
        <v/>
      </c>
      <c r="BO80" s="4" t="str">
        <f t="shared" si="120"/>
        <v/>
      </c>
      <c r="BP80" s="4" t="str">
        <f t="shared" si="121"/>
        <v/>
      </c>
      <c r="BQ80" s="4" t="str">
        <f>IFERROR('Character Sheet'!IQ79+VLOOKUP(BA80,MaterialChart,5,FALSE),"")</f>
        <v/>
      </c>
      <c r="BR80" s="4" t="str">
        <f t="shared" si="122"/>
        <v/>
      </c>
      <c r="BS80" s="4">
        <f t="shared" si="94"/>
        <v>0</v>
      </c>
      <c r="BT80" s="4" t="str">
        <f t="shared" si="123"/>
        <v/>
      </c>
      <c r="BU80" s="4" t="str">
        <f t="shared" si="124"/>
        <v/>
      </c>
      <c r="BV80" s="4" t="str">
        <f t="shared" si="125"/>
        <v/>
      </c>
      <c r="BW80" s="4" t="str">
        <f>IFERROR(ROUNDUP((BE80*(BB80-AT80))+(BL80*(BI80-AX80))+(BT80*(((100+(BD80+IF(BE80=1,0,BK80))+(4*BR80))/100)))*'Character Sheet'!GT79,3),"")</f>
        <v/>
      </c>
      <c r="BX80" s="4" t="str">
        <f t="shared" si="93"/>
        <v/>
      </c>
      <c r="BY80" s="8"/>
      <c r="DH80" s="4" t="str">
        <f t="shared" si="103"/>
        <v/>
      </c>
      <c r="DI80">
        <v>43</v>
      </c>
      <c r="DJ80" s="3">
        <f>'Character Sheet'!FB79</f>
        <v>0</v>
      </c>
      <c r="DK80" s="4" t="str">
        <f t="shared" si="77"/>
        <v/>
      </c>
      <c r="DL80" s="4" t="str">
        <f>IFERROR(IF(DK80=0,"",VLOOKUP(DK80,Skills!$N$72:$AF$107,19,FALSE)),"")</f>
        <v/>
      </c>
      <c r="DM80" s="4">
        <f>IFERROR(VLOOKUP($DJ80,ItemChart,18,FALSE)+'Character Sheet'!IJ79,0)</f>
        <v>0</v>
      </c>
      <c r="DN80" s="4" t="str">
        <f t="shared" si="92"/>
        <v/>
      </c>
      <c r="DO80" s="4" t="str">
        <f>IFERROR(DN80+0.78,"")</f>
        <v/>
      </c>
      <c r="DP80" s="4">
        <f t="shared" si="104"/>
        <v>0</v>
      </c>
      <c r="DQ80" s="4">
        <f t="shared" si="78"/>
        <v>2</v>
      </c>
      <c r="DR80" s="4" t="e">
        <f t="shared" si="79"/>
        <v>#N/A</v>
      </c>
      <c r="DS80" s="4">
        <f t="shared" si="80"/>
        <v>43</v>
      </c>
      <c r="DT80" s="4" t="str">
        <f t="shared" si="81"/>
        <v/>
      </c>
      <c r="DU80" s="4" t="str">
        <f t="shared" si="82"/>
        <v/>
      </c>
      <c r="DV80" s="4" t="e">
        <f>VLOOKUP((VLOOKUP((VLOOKUP('Character Creation'!$Z$11,RaceChart,20,FALSE)&amp;" "&amp;VLOOKUP('Character Creation'!$Z$11,RaceChart,21,FALSE)),Charts!$H$2:$J$14,3,FALSE)+DU80),Charts!$J$2:$N$14,5,FALSE)</f>
        <v>#VALUE!</v>
      </c>
      <c r="DW80" s="4" t="e">
        <f>VLOOKUP(DV80,Charts!$N$2:$Q$14,4,FALSE)</f>
        <v>#VALUE!</v>
      </c>
      <c r="DX80" s="4" t="str">
        <f t="shared" si="83"/>
        <v/>
      </c>
      <c r="DY80" s="4" t="str">
        <f t="shared" si="84"/>
        <v/>
      </c>
      <c r="DZ80" s="4" t="str">
        <f t="shared" si="85"/>
        <v/>
      </c>
      <c r="EA80" s="4" t="e">
        <f>ROUNDDOWN(VLOOKUP(DK80,Skills!$N$72:$S$107,6,FALSE)/5,0)</f>
        <v>#N/A</v>
      </c>
      <c r="EB80" s="4" t="str">
        <f t="shared" si="86"/>
        <v/>
      </c>
      <c r="EC80" s="4" t="str">
        <f t="shared" si="87"/>
        <v>+</v>
      </c>
      <c r="ED80" s="4" t="e">
        <f>VLOOKUP(DJ80,'Character Sheet'!$FB$21:$HQ$35,61,FALSE)</f>
        <v>#N/A</v>
      </c>
      <c r="EE80" s="4" t="str">
        <f t="shared" si="88"/>
        <v/>
      </c>
      <c r="EF80" s="4" t="str">
        <f t="shared" si="89"/>
        <v/>
      </c>
      <c r="EG80" s="4" t="e">
        <f>VLOOKUP(DR80,Items!$B$1156:$AA$1282,18,FALSE)</f>
        <v>#N/A</v>
      </c>
      <c r="EH80" s="4" t="e">
        <f>VLOOKUP(DJ80,'Character Sheet'!$E$26:$EZ$45,81,FALSE)</f>
        <v>#N/A</v>
      </c>
      <c r="EI80" s="4" t="e">
        <f>VLOOKUP(DJ80,'Character Sheet'!$E$26:$EZ$45,89,FALSE)</f>
        <v>#N/A</v>
      </c>
      <c r="EJ80" s="4" t="e">
        <f t="shared" si="90"/>
        <v>#N/A</v>
      </c>
    </row>
    <row r="81" spans="29:140" x14ac:dyDescent="0.25">
      <c r="AC81" s="8" t="str">
        <f>IFERROR(VLOOKUP('Character Creation'!$CI94,Skills!$H$2:$N$620,6,FALSE),"")</f>
        <v/>
      </c>
      <c r="AD81" s="4">
        <f>'Character Creation'!EH94</f>
        <v>0</v>
      </c>
      <c r="AG81">
        <v>80</v>
      </c>
      <c r="AH81" s="4" t="str">
        <f t="shared" si="95"/>
        <v/>
      </c>
      <c r="AI81" t="str">
        <f>IFERROR(VLOOKUP(AG81,Skills!$B$2:$M$620,12,FALSE),"")</f>
        <v/>
      </c>
      <c r="AJ81" s="4" t="str">
        <f>IFERROR(VLOOKUP(AG81,Skills!$B$2:$AF$620,31,FALSE),"")</f>
        <v/>
      </c>
      <c r="AK81" s="4" t="str">
        <f t="shared" si="91"/>
        <v/>
      </c>
      <c r="AL81" s="4">
        <v>0.08</v>
      </c>
      <c r="AM81" s="62" t="str">
        <f t="shared" si="96"/>
        <v/>
      </c>
      <c r="AN81" t="str">
        <f t="shared" ca="1" si="97"/>
        <v/>
      </c>
      <c r="AO81" s="4" t="str">
        <f ca="1">IFERROR(VLOOKUP(AG81,$AH$2:$AJ$451,3,FALSE)&amp;IF(ISNUMBER(SEARCH(", Written",AN81))," -R"&amp;VLOOKUP(AN81,Skills!$M$2:$S$620,7,FALSE),IF(ISNUMBER(SEARCH(", Spoken",AN81))," -R"&amp;VLOOKUP(AN81,Skills!$M$2:$S$620,7,FALSE),"")),"")</f>
        <v/>
      </c>
      <c r="AQ81">
        <v>78</v>
      </c>
      <c r="AR81" s="8">
        <f>'Character Sheet'!FB80</f>
        <v>0</v>
      </c>
      <c r="AS81" s="4" t="str">
        <f t="shared" si="98"/>
        <v/>
      </c>
      <c r="AT81" s="4" t="str">
        <f t="shared" si="99"/>
        <v/>
      </c>
      <c r="AU81" s="4" t="str">
        <f t="shared" si="105"/>
        <v/>
      </c>
      <c r="AV81" s="4" t="str">
        <f t="shared" si="106"/>
        <v/>
      </c>
      <c r="AW81" s="4" t="str">
        <f t="shared" si="107"/>
        <v/>
      </c>
      <c r="AX81" s="4" t="str">
        <f t="shared" si="100"/>
        <v/>
      </c>
      <c r="AY81" s="4" t="str">
        <f t="shared" si="108"/>
        <v/>
      </c>
      <c r="AZ81" s="4" t="str">
        <f t="shared" si="109"/>
        <v/>
      </c>
      <c r="BA81" s="4" t="str">
        <f>IFERROR('Character Sheet'!JK80,"")</f>
        <v/>
      </c>
      <c r="BB81" s="4" t="str">
        <f t="shared" si="101"/>
        <v/>
      </c>
      <c r="BC81" s="4" t="str">
        <f t="shared" si="110"/>
        <v/>
      </c>
      <c r="BD81" s="4" t="str">
        <f t="shared" si="111"/>
        <v/>
      </c>
      <c r="BE81" s="4" t="str">
        <f t="shared" si="112"/>
        <v/>
      </c>
      <c r="BF81" s="4" t="str">
        <f t="shared" si="113"/>
        <v/>
      </c>
      <c r="BG81" s="4" t="str">
        <f t="shared" si="114"/>
        <v/>
      </c>
      <c r="BH81" s="4" t="str">
        <f>IFERROR('Character Sheet'!KC80,"")</f>
        <v/>
      </c>
      <c r="BI81" s="4" t="str">
        <f t="shared" si="102"/>
        <v/>
      </c>
      <c r="BJ81" s="4" t="str">
        <f t="shared" si="115"/>
        <v/>
      </c>
      <c r="BK81" s="4" t="str">
        <f t="shared" si="116"/>
        <v/>
      </c>
      <c r="BL81" s="4" t="str">
        <f t="shared" si="117"/>
        <v/>
      </c>
      <c r="BM81" s="4" t="str">
        <f t="shared" si="118"/>
        <v/>
      </c>
      <c r="BN81" s="4" t="str">
        <f t="shared" si="119"/>
        <v/>
      </c>
      <c r="BO81" s="4" t="str">
        <f t="shared" si="120"/>
        <v/>
      </c>
      <c r="BP81" s="4" t="str">
        <f t="shared" si="121"/>
        <v/>
      </c>
      <c r="BQ81" s="4" t="str">
        <f>IFERROR('Character Sheet'!IQ80+VLOOKUP(BA81,MaterialChart,5,FALSE),"")</f>
        <v/>
      </c>
      <c r="BR81" s="4" t="str">
        <f t="shared" si="122"/>
        <v/>
      </c>
      <c r="BS81" s="4">
        <f t="shared" si="94"/>
        <v>0</v>
      </c>
      <c r="BT81" s="4" t="str">
        <f t="shared" si="123"/>
        <v/>
      </c>
      <c r="BU81" s="4" t="str">
        <f t="shared" si="124"/>
        <v/>
      </c>
      <c r="BV81" s="4" t="str">
        <f t="shared" si="125"/>
        <v/>
      </c>
      <c r="BW81" s="4" t="str">
        <f>IFERROR(ROUNDUP((BE81*(BB81-AT81))+(BL81*(BI81-AX81))+(BT81*(((100+(BD81+IF(BE81=1,0,BK81))+(4*BR81))/100)))*'Character Sheet'!GT80,3),"")</f>
        <v/>
      </c>
      <c r="BX81" s="4" t="str">
        <f t="shared" si="93"/>
        <v/>
      </c>
      <c r="BY81" s="8"/>
      <c r="DH81" s="4" t="str">
        <f t="shared" si="103"/>
        <v/>
      </c>
      <c r="DI81">
        <v>44</v>
      </c>
      <c r="DJ81" s="3">
        <f>'Character Sheet'!FB80</f>
        <v>0</v>
      </c>
      <c r="DK81" s="4" t="str">
        <f t="shared" si="77"/>
        <v/>
      </c>
      <c r="DL81" s="4" t="str">
        <f>IFERROR(IF(DK81=0,"",VLOOKUP(DK81,Skills!$N$72:$AF$107,19,FALSE)),"")</f>
        <v/>
      </c>
      <c r="DM81" s="4">
        <f>IFERROR(VLOOKUP($DJ81,ItemChart,18,FALSE)+'Character Sheet'!IJ80,0)</f>
        <v>0</v>
      </c>
      <c r="DN81" s="4" t="str">
        <f t="shared" si="92"/>
        <v/>
      </c>
      <c r="DO81" s="4" t="str">
        <f>IFERROR(DN81+0.79,"")</f>
        <v/>
      </c>
      <c r="DP81" s="4">
        <f t="shared" si="104"/>
        <v>0</v>
      </c>
      <c r="DQ81" s="4">
        <f t="shared" si="78"/>
        <v>2</v>
      </c>
      <c r="DR81" s="4" t="e">
        <f t="shared" si="79"/>
        <v>#N/A</v>
      </c>
      <c r="DS81" s="4">
        <f t="shared" si="80"/>
        <v>44</v>
      </c>
      <c r="DT81" s="4" t="str">
        <f t="shared" si="81"/>
        <v/>
      </c>
      <c r="DU81" s="4" t="str">
        <f t="shared" si="82"/>
        <v/>
      </c>
      <c r="DV81" s="4" t="e">
        <f>VLOOKUP((VLOOKUP((VLOOKUP('Character Creation'!$Z$11,RaceChart,20,FALSE)&amp;" "&amp;VLOOKUP('Character Creation'!$Z$11,RaceChart,21,FALSE)),Charts!$H$2:$J$14,3,FALSE)+DU81),Charts!$J$2:$N$14,5,FALSE)</f>
        <v>#VALUE!</v>
      </c>
      <c r="DW81" s="4" t="e">
        <f>VLOOKUP(DV81,Charts!$N$2:$Q$14,4,FALSE)</f>
        <v>#VALUE!</v>
      </c>
      <c r="DX81" s="4" t="str">
        <f t="shared" si="83"/>
        <v/>
      </c>
      <c r="DY81" s="4" t="str">
        <f t="shared" si="84"/>
        <v/>
      </c>
      <c r="DZ81" s="4" t="str">
        <f t="shared" si="85"/>
        <v/>
      </c>
      <c r="EA81" s="4" t="e">
        <f>ROUNDDOWN(VLOOKUP(DK81,Skills!$N$72:$S$107,6,FALSE)/5,0)</f>
        <v>#N/A</v>
      </c>
      <c r="EB81" s="4" t="str">
        <f t="shared" si="86"/>
        <v/>
      </c>
      <c r="EC81" s="4" t="str">
        <f t="shared" si="87"/>
        <v>+</v>
      </c>
      <c r="ED81" s="4" t="e">
        <f>VLOOKUP(DJ81,'Character Sheet'!$FB$21:$HQ$35,61,FALSE)</f>
        <v>#N/A</v>
      </c>
      <c r="EE81" s="4" t="str">
        <f t="shared" si="88"/>
        <v/>
      </c>
      <c r="EF81" s="4" t="str">
        <f t="shared" si="89"/>
        <v/>
      </c>
      <c r="EG81" s="4" t="e">
        <f>VLOOKUP(DR81,Items!$B$1156:$AA$1282,18,FALSE)</f>
        <v>#N/A</v>
      </c>
      <c r="EH81" s="4" t="e">
        <f>VLOOKUP(DJ81,'Character Sheet'!$E$26:$EZ$45,81,FALSE)</f>
        <v>#N/A</v>
      </c>
      <c r="EI81" s="4" t="e">
        <f>VLOOKUP(DJ81,'Character Sheet'!$E$26:$EZ$45,89,FALSE)</f>
        <v>#N/A</v>
      </c>
      <c r="EJ81" s="4" t="e">
        <f t="shared" si="90"/>
        <v>#N/A</v>
      </c>
    </row>
    <row r="82" spans="29:140" x14ac:dyDescent="0.25">
      <c r="AC82" s="8" t="str">
        <f>IFERROR(VLOOKUP('Character Creation'!$CI95,Skills!$H$2:$N$620,6,FALSE),"")</f>
        <v/>
      </c>
      <c r="AD82" s="4">
        <f>'Character Creation'!EH95</f>
        <v>0</v>
      </c>
      <c r="AG82">
        <v>81</v>
      </c>
      <c r="AH82" s="4" t="str">
        <f t="shared" si="95"/>
        <v/>
      </c>
      <c r="AI82" t="str">
        <f>IFERROR(VLOOKUP(AG82,Skills!$B$2:$M$620,12,FALSE),"")</f>
        <v/>
      </c>
      <c r="AJ82" s="4" t="str">
        <f>IFERROR(VLOOKUP(AG82,Skills!$B$2:$AF$620,31,FALSE),"")</f>
        <v/>
      </c>
      <c r="AK82" s="4" t="str">
        <f t="shared" si="91"/>
        <v/>
      </c>
      <c r="AL82" s="4">
        <v>8.1000000000000003E-2</v>
      </c>
      <c r="AM82" s="62" t="str">
        <f t="shared" si="96"/>
        <v/>
      </c>
      <c r="AN82" t="str">
        <f t="shared" ca="1" si="97"/>
        <v/>
      </c>
      <c r="AO82" s="4" t="str">
        <f ca="1">IFERROR(VLOOKUP(AG82,$AH$2:$AJ$451,3,FALSE)&amp;IF(ISNUMBER(SEARCH(", Written",AN82))," -R"&amp;VLOOKUP(AN82,Skills!$M$2:$S$620,7,FALSE),IF(ISNUMBER(SEARCH(", Spoken",AN82))," -R"&amp;VLOOKUP(AN82,Skills!$M$2:$S$620,7,FALSE),"")),"")</f>
        <v/>
      </c>
      <c r="AQ82">
        <v>79</v>
      </c>
      <c r="AR82" s="8">
        <f>'Character Sheet'!FB81</f>
        <v>0</v>
      </c>
      <c r="AS82" s="4" t="str">
        <f t="shared" si="98"/>
        <v/>
      </c>
      <c r="AT82" s="4" t="str">
        <f t="shared" si="99"/>
        <v/>
      </c>
      <c r="AU82" s="4" t="str">
        <f t="shared" si="105"/>
        <v/>
      </c>
      <c r="AV82" s="4" t="str">
        <f t="shared" si="106"/>
        <v/>
      </c>
      <c r="AW82" s="4" t="str">
        <f t="shared" si="107"/>
        <v/>
      </c>
      <c r="AX82" s="4" t="str">
        <f t="shared" si="100"/>
        <v/>
      </c>
      <c r="AY82" s="4" t="str">
        <f t="shared" si="108"/>
        <v/>
      </c>
      <c r="AZ82" s="4" t="str">
        <f t="shared" si="109"/>
        <v/>
      </c>
      <c r="BA82" s="4" t="str">
        <f>IFERROR('Character Sheet'!JK81,"")</f>
        <v/>
      </c>
      <c r="BB82" s="4" t="str">
        <f t="shared" si="101"/>
        <v/>
      </c>
      <c r="BC82" s="4" t="str">
        <f t="shared" si="110"/>
        <v/>
      </c>
      <c r="BD82" s="4" t="str">
        <f t="shared" si="111"/>
        <v/>
      </c>
      <c r="BE82" s="4" t="str">
        <f t="shared" si="112"/>
        <v/>
      </c>
      <c r="BF82" s="4" t="str">
        <f t="shared" si="113"/>
        <v/>
      </c>
      <c r="BG82" s="4" t="str">
        <f t="shared" si="114"/>
        <v/>
      </c>
      <c r="BH82" s="4" t="str">
        <f>IFERROR('Character Sheet'!KC81,"")</f>
        <v/>
      </c>
      <c r="BI82" s="4" t="str">
        <f t="shared" si="102"/>
        <v/>
      </c>
      <c r="BJ82" s="4" t="str">
        <f t="shared" si="115"/>
        <v/>
      </c>
      <c r="BK82" s="4" t="str">
        <f t="shared" si="116"/>
        <v/>
      </c>
      <c r="BL82" s="4" t="str">
        <f t="shared" si="117"/>
        <v/>
      </c>
      <c r="BM82" s="4" t="str">
        <f t="shared" si="118"/>
        <v/>
      </c>
      <c r="BN82" s="4" t="str">
        <f t="shared" si="119"/>
        <v/>
      </c>
      <c r="BO82" s="4" t="str">
        <f t="shared" si="120"/>
        <v/>
      </c>
      <c r="BP82" s="4" t="str">
        <f t="shared" si="121"/>
        <v/>
      </c>
      <c r="BQ82" s="4" t="str">
        <f>IFERROR('Character Sheet'!IQ81+VLOOKUP(BA82,MaterialChart,5,FALSE),"")</f>
        <v/>
      </c>
      <c r="BR82" s="4" t="str">
        <f t="shared" si="122"/>
        <v/>
      </c>
      <c r="BS82" s="4">
        <f t="shared" si="94"/>
        <v>0</v>
      </c>
      <c r="BT82" s="4" t="str">
        <f t="shared" si="123"/>
        <v/>
      </c>
      <c r="BU82" s="4" t="str">
        <f t="shared" si="124"/>
        <v/>
      </c>
      <c r="BV82" s="4" t="str">
        <f t="shared" si="125"/>
        <v/>
      </c>
      <c r="BW82" s="4" t="str">
        <f>IFERROR(ROUNDUP((BE82*(BB82-AT82))+(BL82*(BI82-AX82))+(BT82*(((100+(BD82+IF(BE82=1,0,BK82))+(4*BR82))/100)))*'Character Sheet'!GT81,3),"")</f>
        <v/>
      </c>
      <c r="BX82" s="4" t="str">
        <f t="shared" si="93"/>
        <v/>
      </c>
      <c r="BY82" s="8"/>
      <c r="DH82" s="4" t="str">
        <f t="shared" si="103"/>
        <v/>
      </c>
      <c r="DI82">
        <v>45</v>
      </c>
      <c r="DJ82" s="3">
        <f>'Character Sheet'!FB81</f>
        <v>0</v>
      </c>
      <c r="DK82" s="4" t="str">
        <f t="shared" si="77"/>
        <v/>
      </c>
      <c r="DL82" s="4" t="str">
        <f>IFERROR(IF(DK82=0,"",VLOOKUP(DK82,Skills!$N$72:$AF$107,19,FALSE)),"")</f>
        <v/>
      </c>
      <c r="DM82" s="4">
        <f>IFERROR(VLOOKUP($DJ82,ItemChart,18,FALSE)+'Character Sheet'!IJ81,0)</f>
        <v>0</v>
      </c>
      <c r="DN82" s="4" t="str">
        <f t="shared" si="92"/>
        <v/>
      </c>
      <c r="DO82" s="4" t="str">
        <f>IFERROR(DN82+0.8,"")</f>
        <v/>
      </c>
      <c r="DP82" s="4">
        <f t="shared" si="104"/>
        <v>0</v>
      </c>
      <c r="DQ82" s="4">
        <f t="shared" si="78"/>
        <v>2</v>
      </c>
      <c r="DR82" s="4" t="e">
        <f t="shared" si="79"/>
        <v>#N/A</v>
      </c>
      <c r="DS82" s="4">
        <f t="shared" si="80"/>
        <v>45</v>
      </c>
      <c r="DT82" s="4" t="str">
        <f t="shared" si="81"/>
        <v/>
      </c>
      <c r="DU82" s="4" t="str">
        <f t="shared" si="82"/>
        <v/>
      </c>
      <c r="DV82" s="4" t="e">
        <f>VLOOKUP((VLOOKUP((VLOOKUP('Character Creation'!$Z$11,RaceChart,20,FALSE)&amp;" "&amp;VLOOKUP('Character Creation'!$Z$11,RaceChart,21,FALSE)),Charts!$H$2:$J$14,3,FALSE)+DU82),Charts!$J$2:$N$14,5,FALSE)</f>
        <v>#VALUE!</v>
      </c>
      <c r="DW82" s="4" t="e">
        <f>VLOOKUP(DV82,Charts!$N$2:$Q$14,4,FALSE)</f>
        <v>#VALUE!</v>
      </c>
      <c r="DX82" s="4" t="str">
        <f t="shared" si="83"/>
        <v/>
      </c>
      <c r="DY82" s="4" t="str">
        <f t="shared" si="84"/>
        <v/>
      </c>
      <c r="DZ82" s="4" t="str">
        <f t="shared" si="85"/>
        <v/>
      </c>
      <c r="EA82" s="4" t="e">
        <f>ROUNDDOWN(VLOOKUP(DK82,Skills!$N$72:$S$107,6,FALSE)/5,0)</f>
        <v>#N/A</v>
      </c>
      <c r="EB82" s="4" t="str">
        <f t="shared" si="86"/>
        <v/>
      </c>
      <c r="EC82" s="4" t="str">
        <f t="shared" si="87"/>
        <v>+</v>
      </c>
      <c r="ED82" s="4" t="e">
        <f>VLOOKUP(DJ82,'Character Sheet'!$FB$21:$HQ$35,61,FALSE)</f>
        <v>#N/A</v>
      </c>
      <c r="EE82" s="4" t="str">
        <f t="shared" si="88"/>
        <v/>
      </c>
      <c r="EF82" s="4" t="str">
        <f t="shared" si="89"/>
        <v/>
      </c>
      <c r="EG82" s="4" t="e">
        <f>VLOOKUP(DR82,Items!$B$1156:$AA$1282,18,FALSE)</f>
        <v>#N/A</v>
      </c>
      <c r="EH82" s="4" t="e">
        <f>VLOOKUP(DJ82,'Character Sheet'!$E$26:$EZ$45,81,FALSE)</f>
        <v>#N/A</v>
      </c>
      <c r="EI82" s="4" t="e">
        <f>VLOOKUP(DJ82,'Character Sheet'!$E$26:$EZ$45,89,FALSE)</f>
        <v>#N/A</v>
      </c>
      <c r="EJ82" s="4" t="e">
        <f t="shared" si="90"/>
        <v>#N/A</v>
      </c>
    </row>
    <row r="83" spans="29:140" x14ac:dyDescent="0.25">
      <c r="AC83" s="8" t="str">
        <f>IFERROR(VLOOKUP('Character Creation'!$CI96,Skills!$H$2:$N$620,6,FALSE),"")</f>
        <v/>
      </c>
      <c r="AD83" s="4">
        <f>'Character Creation'!EH96</f>
        <v>2</v>
      </c>
      <c r="AG83">
        <v>82</v>
      </c>
      <c r="AH83" s="4" t="str">
        <f t="shared" si="95"/>
        <v/>
      </c>
      <c r="AI83" t="str">
        <f>IFERROR(VLOOKUP(AG83,Skills!$B$2:$M$620,12,FALSE),"")</f>
        <v/>
      </c>
      <c r="AJ83" s="4" t="str">
        <f>IFERROR(VLOOKUP(AG83,Skills!$B$2:$AF$620,31,FALSE),"")</f>
        <v/>
      </c>
      <c r="AK83" s="4" t="str">
        <f t="shared" si="91"/>
        <v/>
      </c>
      <c r="AL83" s="4">
        <v>8.2000000000000003E-2</v>
      </c>
      <c r="AM83" s="62" t="str">
        <f t="shared" si="96"/>
        <v/>
      </c>
      <c r="AN83" t="str">
        <f t="shared" ca="1" si="97"/>
        <v/>
      </c>
      <c r="AO83" s="4" t="str">
        <f ca="1">IFERROR(VLOOKUP(AG83,$AH$2:$AJ$451,3,FALSE)&amp;IF(ISNUMBER(SEARCH(", Written",AN83))," -R"&amp;VLOOKUP(AN83,Skills!$M$2:$S$620,7,FALSE),IF(ISNUMBER(SEARCH(", Spoken",AN83))," -R"&amp;VLOOKUP(AN83,Skills!$M$2:$S$620,7,FALSE),"")),"")</f>
        <v/>
      </c>
      <c r="AQ83">
        <v>80</v>
      </c>
      <c r="AR83" s="8" t="str">
        <f>'Character Sheet'!FB82</f>
        <v>Horse</v>
      </c>
      <c r="AS83" s="4" t="str">
        <f t="shared" si="98"/>
        <v/>
      </c>
      <c r="AT83" s="4" t="str">
        <f t="shared" si="99"/>
        <v/>
      </c>
      <c r="AU83" s="4" t="str">
        <f t="shared" si="105"/>
        <v/>
      </c>
      <c r="AV83" s="4" t="str">
        <f t="shared" si="106"/>
        <v/>
      </c>
      <c r="AW83" s="4" t="str">
        <f t="shared" si="107"/>
        <v/>
      </c>
      <c r="AX83" s="4" t="str">
        <f t="shared" si="100"/>
        <v/>
      </c>
      <c r="AY83" s="4" t="str">
        <f t="shared" si="108"/>
        <v/>
      </c>
      <c r="AZ83" s="4" t="str">
        <f t="shared" si="109"/>
        <v/>
      </c>
      <c r="BA83" s="4" t="str">
        <f>IFERROR('Character Sheet'!JK82,"")</f>
        <v>Primary Material</v>
      </c>
      <c r="BB83" s="4" t="str">
        <f t="shared" si="101"/>
        <v/>
      </c>
      <c r="BC83" s="4" t="str">
        <f t="shared" si="110"/>
        <v/>
      </c>
      <c r="BD83" s="4" t="str">
        <f t="shared" si="111"/>
        <v/>
      </c>
      <c r="BE83" s="4" t="str">
        <f t="shared" si="112"/>
        <v/>
      </c>
      <c r="BF83" s="4" t="str">
        <f t="shared" si="113"/>
        <v/>
      </c>
      <c r="BG83" s="4" t="str">
        <f t="shared" si="114"/>
        <v/>
      </c>
      <c r="BH83" s="4" t="str">
        <f>IFERROR('Character Sheet'!KC82,"")</f>
        <v>Secondary Material</v>
      </c>
      <c r="BI83" s="4" t="str">
        <f t="shared" si="102"/>
        <v/>
      </c>
      <c r="BJ83" s="4" t="str">
        <f t="shared" si="115"/>
        <v/>
      </c>
      <c r="BK83" s="4" t="str">
        <f t="shared" si="116"/>
        <v/>
      </c>
      <c r="BL83" s="4" t="str">
        <f t="shared" si="117"/>
        <v/>
      </c>
      <c r="BM83" s="4" t="str">
        <f t="shared" si="118"/>
        <v/>
      </c>
      <c r="BN83" s="4" t="str">
        <f t="shared" si="119"/>
        <v/>
      </c>
      <c r="BO83" s="4" t="str">
        <f t="shared" si="120"/>
        <v/>
      </c>
      <c r="BP83" s="4" t="str">
        <f t="shared" si="121"/>
        <v/>
      </c>
      <c r="BQ83" s="4" t="str">
        <f>IFERROR('Character Sheet'!IQ82+VLOOKUP(BA83,MaterialChart,5,FALSE),"")</f>
        <v/>
      </c>
      <c r="BR83" s="4" t="str">
        <f t="shared" si="122"/>
        <v/>
      </c>
      <c r="BS83" s="4">
        <f t="shared" si="94"/>
        <v>0</v>
      </c>
      <c r="BT83" s="4" t="str">
        <f t="shared" si="123"/>
        <v/>
      </c>
      <c r="BU83" s="4" t="str">
        <f t="shared" si="124"/>
        <v/>
      </c>
      <c r="BV83" s="4" t="str">
        <f t="shared" si="125"/>
        <v/>
      </c>
      <c r="BW83" s="4" t="str">
        <f>IFERROR(ROUNDUP((BE83*(BB83-AT83))+(BL83*(BI83-AX83))+(BT83*(((100+(BD83+IF(BE83=1,0,BK83))+(4*BR83))/100)))*'Character Sheet'!GT82,3),"")</f>
        <v/>
      </c>
      <c r="BX83" s="4" t="str">
        <f t="shared" si="93"/>
        <v/>
      </c>
      <c r="BY83" s="8" t="str">
        <f t="shared" ref="BY83:BY116" si="126">IFERROR(VLOOKUP(AR83,ItemChart,11,FALSE),"")</f>
        <v/>
      </c>
      <c r="BZ83" t="s">
        <v>2124</v>
      </c>
      <c r="CA83" t="s">
        <v>2125</v>
      </c>
      <c r="CB83" t="s">
        <v>3145</v>
      </c>
      <c r="CC83" t="s">
        <v>3146</v>
      </c>
      <c r="CD83" t="s">
        <v>2128</v>
      </c>
      <c r="CE83" t="s">
        <v>3129</v>
      </c>
      <c r="CF83" t="s">
        <v>3130</v>
      </c>
      <c r="CG83" t="s">
        <v>3033</v>
      </c>
      <c r="CH83" t="s">
        <v>3034</v>
      </c>
      <c r="CI83" t="s">
        <v>3131</v>
      </c>
      <c r="CJ83" t="s">
        <v>3132</v>
      </c>
      <c r="CK83" t="s">
        <v>3133</v>
      </c>
      <c r="CL83" t="s">
        <v>3134</v>
      </c>
      <c r="CM83" t="s">
        <v>3135</v>
      </c>
      <c r="CN83" t="s">
        <v>3136</v>
      </c>
      <c r="CO83" t="s">
        <v>3137</v>
      </c>
      <c r="CP83" t="s">
        <v>3138</v>
      </c>
      <c r="CQ83" t="s">
        <v>3139</v>
      </c>
      <c r="CR83" t="s">
        <v>3140</v>
      </c>
      <c r="CS83" t="s">
        <v>3141</v>
      </c>
      <c r="CT83" t="s">
        <v>3142</v>
      </c>
      <c r="CU83" s="4" t="e">
        <f t="shared" ref="CU83:CU116" si="127">SUBSTITUTE(IF(VLOOKUP(AR83,ItemChart,12,FALSE)="",""," "&amp;VLOOKUP(AR83,ItemChart,12,FALSE)),"0","")</f>
        <v>#N/A</v>
      </c>
      <c r="DH83" s="4" t="str">
        <f t="shared" si="103"/>
        <v/>
      </c>
      <c r="DI83">
        <v>1</v>
      </c>
      <c r="DJ83" s="3" t="str">
        <f>IFERROR(VLOOKUP(DI83,$DQ$38:$EJ$82,2,FALSE),"")</f>
        <v>Canteen (small) (Thrown)</v>
      </c>
      <c r="DK83" s="4" t="str">
        <f t="shared" si="77"/>
        <v>Thrown</v>
      </c>
      <c r="DL83" s="4" t="str">
        <f>IFERROR(IF(DK83=0,"",VLOOKUP(DK83,Skills!$N$72:$AF$107,19,FALSE)),"")</f>
        <v/>
      </c>
      <c r="DM83" s="4"/>
      <c r="DN83" s="4" t="str">
        <f t="shared" si="92"/>
        <v/>
      </c>
      <c r="DO83" s="4" t="str">
        <f>IFERROR(DN83+0.81,"")</f>
        <v/>
      </c>
      <c r="DP83" s="4">
        <f t="shared" si="104"/>
        <v>0</v>
      </c>
      <c r="DQ83" s="4">
        <f t="shared" ref="DQ83" si="128">IFERROR(IF(DR83=0,DQ82,DQ82+1),DQ82)</f>
        <v>2</v>
      </c>
      <c r="DR83" s="4">
        <f t="shared" ref="DR83" si="129">VLOOKUP(DJ83,ItemChart,26,FALSE)</f>
        <v>0</v>
      </c>
      <c r="DS83" s="4">
        <f t="shared" ref="DS83" si="130">DI83</f>
        <v>1</v>
      </c>
      <c r="DT83" s="4" t="str">
        <f t="shared" si="81"/>
        <v>Club</v>
      </c>
      <c r="DU83" s="4">
        <f t="shared" si="82"/>
        <v>-2</v>
      </c>
      <c r="DV83" s="4" t="str">
        <f>VLOOKUP((VLOOKUP((VLOOKUP('Character Creation'!$Z$11,RaceChart,20,FALSE)&amp;" "&amp;VLOOKUP('Character Creation'!$Z$11,RaceChart,21,FALSE)),Charts!$H$2:$J$14,3,FALSE)+DU83),Charts!$J$2:$N$14,5,FALSE)</f>
        <v>T</v>
      </c>
      <c r="DW83" s="4" t="str">
        <f>VLOOKUP(DV83,Charts!$N$2:$Q$14,4,FALSE)</f>
        <v>(3)</v>
      </c>
      <c r="DX83" s="4" t="str">
        <f t="shared" ref="DX83" si="131">IFERROR(DV83&amp;DW83&amp;" "&amp;DT83,"")</f>
        <v>T(3) Club</v>
      </c>
      <c r="DY83" s="4">
        <f t="shared" si="84"/>
        <v>0.67</v>
      </c>
      <c r="DZ83" s="4" t="str">
        <f t="shared" ref="DZ83" si="132">IFERROR(MAX(2,VLOOKUP($DJ83,ItemChart,19,FALSE)-EA83),"")</f>
        <v/>
      </c>
      <c r="EA83" s="4" t="e">
        <f>ROUNDDOWN(VLOOKUP(DK83,Skills!$N$72:$S$107,6,FALSE)/5,0)</f>
        <v>#N/A</v>
      </c>
      <c r="EB83" s="4">
        <f t="shared" si="86"/>
        <v>-2</v>
      </c>
      <c r="EC83" s="4">
        <f t="shared" ref="EC83" si="133">IF(EB83&lt;0,EB83,"+"&amp;EB83)</f>
        <v>-2</v>
      </c>
      <c r="ED83" s="4" t="e">
        <f>VLOOKUP(DJ83,'Character Sheet'!$FB$21:$HQ$35,61,FALSE)</f>
        <v>#N/A</v>
      </c>
      <c r="EE83" s="4" t="str">
        <f t="shared" si="88"/>
        <v>- -</v>
      </c>
      <c r="EF83" s="4">
        <f t="shared" si="89"/>
        <v>5</v>
      </c>
      <c r="EG83" s="4" t="e">
        <f>VLOOKUP(DR83,Items!$B$1156:$AA$1282,18,FALSE)</f>
        <v>#N/A</v>
      </c>
      <c r="EH83" s="4" t="e">
        <f>VLOOKUP(DJ83,'Character Sheet'!$E$26:$EZ$45,81,FALSE)</f>
        <v>#N/A</v>
      </c>
      <c r="EI83" s="4" t="e">
        <f>VLOOKUP(DJ83,'Character Sheet'!$E$26:$EZ$45,89,FALSE)</f>
        <v>#N/A</v>
      </c>
      <c r="EJ83" s="4" t="e">
        <f t="shared" ref="EJ83" si="134">SUM(EG83:EI83)</f>
        <v>#N/A</v>
      </c>
    </row>
    <row r="84" spans="29:140" x14ac:dyDescent="0.25">
      <c r="AC84" s="8" t="str">
        <f>IFERROR(VLOOKUP('Character Creation'!$CI97,Skills!$H$2:$N$620,6,FALSE),"")</f>
        <v/>
      </c>
      <c r="AD84" s="4">
        <f>'Character Creation'!EH97</f>
        <v>1</v>
      </c>
      <c r="AG84">
        <v>83</v>
      </c>
      <c r="AH84" s="4" t="str">
        <f t="shared" si="95"/>
        <v/>
      </c>
      <c r="AI84" t="str">
        <f>IFERROR(VLOOKUP(AG84,Skills!$B$2:$M$620,12,FALSE),"")</f>
        <v/>
      </c>
      <c r="AJ84" s="4" t="str">
        <f>IFERROR(VLOOKUP(AG84,Skills!$B$2:$AF$620,31,FALSE),"")</f>
        <v/>
      </c>
      <c r="AK84" s="4" t="str">
        <f t="shared" si="91"/>
        <v/>
      </c>
      <c r="AL84" s="4">
        <v>8.3000000000000004E-2</v>
      </c>
      <c r="AM84" s="62" t="str">
        <f t="shared" si="96"/>
        <v/>
      </c>
      <c r="AN84" t="str">
        <f t="shared" ca="1" si="97"/>
        <v/>
      </c>
      <c r="AO84" s="4" t="str">
        <f ca="1">IFERROR(VLOOKUP(AG84,$AH$2:$AJ$451,3,FALSE)&amp;IF(ISNUMBER(SEARCH(", Written",AN84))," -R"&amp;VLOOKUP(AN84,Skills!$M$2:$S$620,7,FALSE),IF(ISNUMBER(SEARCH(", Spoken",AN84))," -R"&amp;VLOOKUP(AN84,Skills!$M$2:$S$620,7,FALSE),"")),"")</f>
        <v/>
      </c>
      <c r="AQ84">
        <v>81</v>
      </c>
      <c r="AR84" s="8" t="str">
        <f>'Character Sheet'!FB83</f>
        <v>Bit &amp; Bridle</v>
      </c>
      <c r="AS84" s="4" t="str">
        <f t="shared" si="98"/>
        <v>Soft Leather</v>
      </c>
      <c r="AT84" s="4">
        <f t="shared" si="99"/>
        <v>0.05</v>
      </c>
      <c r="AU84" s="4">
        <f t="shared" si="105"/>
        <v>30</v>
      </c>
      <c r="AV84" s="4">
        <f t="shared" si="106"/>
        <v>0</v>
      </c>
      <c r="AW84" s="4" t="str">
        <f t="shared" si="107"/>
        <v>Low Steel</v>
      </c>
      <c r="AX84" s="4">
        <f t="shared" si="100"/>
        <v>0.1</v>
      </c>
      <c r="AY84" s="4">
        <f t="shared" si="108"/>
        <v>490</v>
      </c>
      <c r="AZ84" s="4">
        <f t="shared" si="109"/>
        <v>5</v>
      </c>
      <c r="BA84" s="4" t="str">
        <f>IFERROR('Character Sheet'!JK83,"")</f>
        <v>Soft Leather</v>
      </c>
      <c r="BB84" s="4">
        <f t="shared" si="101"/>
        <v>0.05</v>
      </c>
      <c r="BC84" s="4">
        <f t="shared" si="110"/>
        <v>0</v>
      </c>
      <c r="BD84" s="4">
        <f t="shared" si="111"/>
        <v>0</v>
      </c>
      <c r="BE84" s="4">
        <f t="shared" si="112"/>
        <v>1.9</v>
      </c>
      <c r="BF84" s="4">
        <f t="shared" si="113"/>
        <v>30</v>
      </c>
      <c r="BG84" s="4">
        <f t="shared" si="114"/>
        <v>0</v>
      </c>
      <c r="BH84" s="4" t="str">
        <f>IFERROR('Character Sheet'!KC83,"")</f>
        <v>Low Steel</v>
      </c>
      <c r="BI84" s="4">
        <f t="shared" si="102"/>
        <v>0.1</v>
      </c>
      <c r="BJ84" s="4">
        <f t="shared" si="115"/>
        <v>-5</v>
      </c>
      <c r="BK84" s="4">
        <f t="shared" si="116"/>
        <v>5</v>
      </c>
      <c r="BL84" s="4">
        <f t="shared" si="117"/>
        <v>0.10000000000000009</v>
      </c>
      <c r="BM84" s="4">
        <f t="shared" si="118"/>
        <v>490</v>
      </c>
      <c r="BN84" s="4">
        <f t="shared" si="119"/>
        <v>5</v>
      </c>
      <c r="BO84" s="4">
        <f t="shared" si="120"/>
        <v>0.95</v>
      </c>
      <c r="BP84" s="4">
        <f t="shared" si="121"/>
        <v>0</v>
      </c>
      <c r="BQ84" s="4">
        <f>IFERROR('Character Sheet'!IQ83+VLOOKUP(BA84,MaterialChart,5,FALSE),"")</f>
        <v>0</v>
      </c>
      <c r="BR84" s="4">
        <f t="shared" si="122"/>
        <v>0</v>
      </c>
      <c r="BS84" s="4">
        <f t="shared" si="94"/>
        <v>40</v>
      </c>
      <c r="BT84" s="4">
        <f t="shared" si="123"/>
        <v>2.25</v>
      </c>
      <c r="BU84" s="4">
        <f t="shared" si="124"/>
        <v>2</v>
      </c>
      <c r="BV84" s="4">
        <f t="shared" si="125"/>
        <v>1.9999999999999998</v>
      </c>
      <c r="BW84" s="4">
        <f>IFERROR(ROUNDUP((BE84*(BB84-AT84))+(BL84*(BI84-AX84))+(BT84*(((100+(BD84+IF(BE84=1,0,BK84))+(4*BR84))/100)))*'Character Sheet'!GT83,3),"")</f>
        <v>2.363</v>
      </c>
      <c r="BX84" s="4" t="str">
        <f t="shared" si="93"/>
        <v>$2.36</v>
      </c>
      <c r="BY84" s="8">
        <f t="shared" si="126"/>
        <v>0</v>
      </c>
      <c r="BZ84" s="4">
        <f>IF(ISNUMBER(SEARCH(BZ$83,$BY84)),VLOOKUP($BA84&amp;$CU84,Armour!$B$4:$BP$99,67,FALSE),0)</f>
        <v>0</v>
      </c>
      <c r="CA84" s="4">
        <f>IF(ISNUMBER(SEARCH(CA$83,$BY84)),VLOOKUP($BA84&amp;$CU84,Armour!$B$4:$BP$99,67,FALSE),0)</f>
        <v>0</v>
      </c>
      <c r="CB84" s="4">
        <f>IF(ISNUMBER(SEARCH(CB$83,$BY84)),VLOOKUP($BA84&amp;$CU84,Armour!$B$4:$BP$99,67,FALSE),0)</f>
        <v>0</v>
      </c>
      <c r="CC84" s="4">
        <f>IF(ISNUMBER(SEARCH(CC$83,$BY84)),VLOOKUP($BA84&amp;$CU84,Armour!$B$4:$BP$99,67,FALSE),0)</f>
        <v>0</v>
      </c>
      <c r="CD84" s="4">
        <f>IF(ISNUMBER(SEARCH(CD$83,$BY84)),VLOOKUP($BA84&amp;$CU84,Armour!$B$4:$BP$99,67,FALSE),0)</f>
        <v>0</v>
      </c>
      <c r="CE84" s="4">
        <f>IF(ISNUMBER(SEARCH(CE$83,$BY84)),VLOOKUP($BA84&amp;$CU84,Armour!$B$4:$BP$99,67,FALSE),0)</f>
        <v>0</v>
      </c>
      <c r="CF84" s="4">
        <f>IF(ISNUMBER(SEARCH(CF$83,$BY84)),VLOOKUP($BA84&amp;$CU84,Armour!$B$4:$BP$99,67,FALSE),0)</f>
        <v>0</v>
      </c>
      <c r="CG84" s="4">
        <f>IF(ISNUMBER(SEARCH(CG$83,$BY84)),VLOOKUP($BA84&amp;$CU84,Armour!$B$4:$BP$99,67,FALSE),0)</f>
        <v>0</v>
      </c>
      <c r="CH84" s="4">
        <f>IF(ISNUMBER(SEARCH(CH$83,$BY84)),VLOOKUP($BA84&amp;$CU84,Armour!$B$4:$BP$99,67,FALSE),0)</f>
        <v>0</v>
      </c>
      <c r="CI84" s="4">
        <f>IF(ISNUMBER(SEARCH(CI$83,$BY84)),VLOOKUP($BA84&amp;$CU84,Armour!$B$4:$BP$99,67,FALSE),0)</f>
        <v>0</v>
      </c>
      <c r="CJ84" s="4">
        <f>IF(ISNUMBER(SEARCH(CJ$83,$BY84)),VLOOKUP($BA84&amp;$CU84,Armour!$B$4:$BP$99,67,FALSE),0)</f>
        <v>0</v>
      </c>
      <c r="CK84" s="4">
        <f>IF(ISNUMBER(SEARCH(CK$83,$BY84)),VLOOKUP($BA84&amp;$CU84,Armour!$B$4:$BP$99,67,FALSE),0)</f>
        <v>0</v>
      </c>
      <c r="CL84" s="4">
        <f>IF(ISNUMBER(SEARCH(CL$83,$BY84)),VLOOKUP($BA84&amp;$CU84,Armour!$B$4:$BP$99,67,FALSE),0)</f>
        <v>0</v>
      </c>
      <c r="CM84" s="4">
        <f>IF(ISNUMBER(SEARCH(CM$83,$BY84)),VLOOKUP($BA84&amp;$CU84,Armour!$B$4:$BP$99,67,FALSE),0)</f>
        <v>0</v>
      </c>
      <c r="CN84" s="4">
        <f>IF(ISNUMBER(SEARCH(CN$83,$BY84)),VLOOKUP($BA84&amp;$CU84,Armour!$B$4:$BP$99,67,FALSE),0)</f>
        <v>0</v>
      </c>
      <c r="CO84" s="4">
        <f>IF(ISNUMBER(SEARCH(CO$83,$BY84)),VLOOKUP($BA84&amp;$CU84,Armour!$B$4:$BP$99,67,FALSE),0)</f>
        <v>0</v>
      </c>
      <c r="CP84" s="4">
        <f>IF(ISNUMBER(SEARCH(CP$83,$BY84)),VLOOKUP($BA84&amp;$CU84,Armour!$B$4:$BP$99,67,FALSE),0)</f>
        <v>0</v>
      </c>
      <c r="CQ84" s="4">
        <f>IF(ISNUMBER(SEARCH(CQ$83,$BY84)),VLOOKUP($BA84&amp;$CU84,Armour!$B$4:$BP$99,67,FALSE),0)</f>
        <v>0</v>
      </c>
      <c r="CR84" s="4">
        <f>IF(ISNUMBER(SEARCH(CR$83,$BY84)),VLOOKUP($BA84&amp;$CU84,Armour!$B$4:$BP$99,67,FALSE),0)</f>
        <v>0</v>
      </c>
      <c r="CS84" s="4">
        <f>IF(ISNUMBER(SEARCH(CS$83,$BY84)),VLOOKUP($BA84&amp;$CU84,Armour!$B$4:$BP$99,67,FALSE),0)</f>
        <v>0</v>
      </c>
      <c r="CT84" s="4">
        <f>IF(ISNUMBER(SEARCH(CT$83,$BY84)),VLOOKUP($BA84&amp;$CU84,Armour!$B$4:$BP$99,67,FALSE),0)</f>
        <v>0</v>
      </c>
      <c r="CU84" s="4" t="str">
        <f t="shared" si="127"/>
        <v/>
      </c>
      <c r="DH84" s="4" t="str">
        <f t="shared" si="103"/>
        <v/>
      </c>
      <c r="DI84">
        <v>2</v>
      </c>
      <c r="DJ84" s="3" t="str">
        <f t="shared" ref="DJ84:DJ127" si="135">IFERROR(VLOOKUP(DI84,$DQ$38:$EJ$82,2,FALSE),"")</f>
        <v>Jar, Glass (tiny) (Thrown)</v>
      </c>
      <c r="DK84" s="4" t="str">
        <f t="shared" si="77"/>
        <v>Thrown</v>
      </c>
      <c r="DL84" s="4" t="str">
        <f>IFERROR(IF(DK84=0,"",VLOOKUP(DK84,Skills!$N$72:$AF$107,19,FALSE)),"")</f>
        <v/>
      </c>
      <c r="DM84" s="4"/>
      <c r="DN84" s="4" t="str">
        <f t="shared" ref="DN84:DN127" si="136">IFERROR(IF(DK84=0,"",DL84+DM84),"")</f>
        <v/>
      </c>
      <c r="DO84" s="4" t="str">
        <f>IFERROR(DN84+0.82,"")</f>
        <v/>
      </c>
      <c r="DP84" s="4">
        <f t="shared" si="104"/>
        <v>0</v>
      </c>
      <c r="DQ84" s="4">
        <f t="shared" ref="DQ84:DQ127" si="137">IFERROR(IF(DR84=0,DQ83,DQ83+1),DQ83)</f>
        <v>2</v>
      </c>
      <c r="DR84" s="4">
        <f t="shared" ref="DR84:DR127" si="138">VLOOKUP(DJ84,ItemChart,26,FALSE)</f>
        <v>0</v>
      </c>
      <c r="DS84" s="4">
        <f t="shared" ref="DS84:DS127" si="139">DI84</f>
        <v>2</v>
      </c>
      <c r="DT84" s="4" t="str">
        <f t="shared" si="81"/>
        <v>Club</v>
      </c>
      <c r="DU84" s="4">
        <f t="shared" si="82"/>
        <v>-3</v>
      </c>
      <c r="DV84" s="4" t="str">
        <f>VLOOKUP((VLOOKUP((VLOOKUP('Character Creation'!$Z$11,RaceChart,20,FALSE)&amp;" "&amp;VLOOKUP('Character Creation'!$Z$11,RaceChart,21,FALSE)),Charts!$H$2:$J$14,3,FALSE)+DU84),Charts!$J$2:$N$14,5,FALSE)</f>
        <v>D</v>
      </c>
      <c r="DW84" s="4" t="str">
        <f>VLOOKUP(DV84,Charts!$N$2:$Q$14,4,FALSE)</f>
        <v>(2)</v>
      </c>
      <c r="DX84" s="4" t="str">
        <f t="shared" ref="DX84:DX127" si="140">IFERROR(DV84&amp;DW84&amp;" "&amp;DT84,"")</f>
        <v>D(2) Club</v>
      </c>
      <c r="DY84" s="4">
        <f t="shared" si="84"/>
        <v>0.5</v>
      </c>
      <c r="DZ84" s="4" t="str">
        <f t="shared" ref="DZ84:DZ127" si="141">IFERROR(MAX(2,VLOOKUP($DJ84,ItemChart,19,FALSE)-EA84),"")</f>
        <v/>
      </c>
      <c r="EA84" s="4" t="e">
        <f>ROUNDDOWN(VLOOKUP(DK84,Skills!$N$72:$S$107,6,FALSE)/5,0)</f>
        <v>#N/A</v>
      </c>
      <c r="EB84" s="4">
        <f t="shared" si="86"/>
        <v>-3</v>
      </c>
      <c r="EC84" s="4">
        <f t="shared" ref="EC84:EC127" si="142">IF(EB84&lt;0,EB84,"+"&amp;EB84)</f>
        <v>-3</v>
      </c>
      <c r="ED84" s="4" t="e">
        <f>VLOOKUP(DJ84,'Character Sheet'!$FB$21:$HQ$35,61,FALSE)</f>
        <v>#N/A</v>
      </c>
      <c r="EE84" s="4" t="str">
        <f t="shared" si="88"/>
        <v>- -</v>
      </c>
      <c r="EF84" s="4">
        <f t="shared" si="89"/>
        <v>7</v>
      </c>
      <c r="EG84" s="4" t="e">
        <f>VLOOKUP(DR84,Items!$B$1156:$AA$1282,18,FALSE)</f>
        <v>#N/A</v>
      </c>
      <c r="EH84" s="4" t="e">
        <f>VLOOKUP(DJ84,'Character Sheet'!$E$26:$EZ$45,81,FALSE)</f>
        <v>#N/A</v>
      </c>
      <c r="EI84" s="4" t="e">
        <f>VLOOKUP(DJ84,'Character Sheet'!$E$26:$EZ$45,89,FALSE)</f>
        <v>#N/A</v>
      </c>
      <c r="EJ84" s="4" t="e">
        <f t="shared" ref="EJ84:EJ127" si="143">SUM(EG84:EI84)</f>
        <v>#N/A</v>
      </c>
    </row>
    <row r="85" spans="29:140" x14ac:dyDescent="0.25">
      <c r="AC85" s="8" t="str">
        <f>IFERROR(VLOOKUP('Character Creation'!$CI98,Skills!$H$2:$N$620,6,FALSE),"")</f>
        <v/>
      </c>
      <c r="AD85" s="4">
        <f>'Character Creation'!EH98</f>
        <v>0</v>
      </c>
      <c r="AG85">
        <v>84</v>
      </c>
      <c r="AH85" s="4" t="str">
        <f t="shared" si="95"/>
        <v/>
      </c>
      <c r="AI85" t="str">
        <f>IFERROR(VLOOKUP(AG85,Skills!$B$2:$M$620,12,FALSE),"")</f>
        <v/>
      </c>
      <c r="AJ85" s="4" t="str">
        <f>IFERROR(VLOOKUP(AG85,Skills!$B$2:$AF$620,31,FALSE),"")</f>
        <v/>
      </c>
      <c r="AK85" s="4" t="str">
        <f t="shared" si="91"/>
        <v/>
      </c>
      <c r="AL85" s="4">
        <v>8.4000000000000005E-2</v>
      </c>
      <c r="AM85" s="62" t="str">
        <f t="shared" si="96"/>
        <v/>
      </c>
      <c r="AN85" t="str">
        <f t="shared" ca="1" si="97"/>
        <v/>
      </c>
      <c r="AO85" s="4" t="str">
        <f ca="1">IFERROR(VLOOKUP(AG85,$AH$2:$AJ$451,3,FALSE)&amp;IF(ISNUMBER(SEARCH(", Written",AN85))," -R"&amp;VLOOKUP(AN85,Skills!$M$2:$S$620,7,FALSE),IF(ISNUMBER(SEARCH(", Spoken",AN85))," -R"&amp;VLOOKUP(AN85,Skills!$M$2:$S$620,7,FALSE),"")),"")</f>
        <v/>
      </c>
      <c r="AQ85">
        <v>82</v>
      </c>
      <c r="AR85" s="8" t="str">
        <f>'Character Sheet'!FB84</f>
        <v>Riding Saddle, Ladies</v>
      </c>
      <c r="AS85" s="4" t="str">
        <f t="shared" si="98"/>
        <v>Soft Leather</v>
      </c>
      <c r="AT85" s="4">
        <f t="shared" si="99"/>
        <v>0.05</v>
      </c>
      <c r="AU85" s="4">
        <f t="shared" si="105"/>
        <v>30</v>
      </c>
      <c r="AV85" s="4">
        <f t="shared" si="106"/>
        <v>0</v>
      </c>
      <c r="AW85" s="4" t="str">
        <f t="shared" si="107"/>
        <v>Heavy Cloth</v>
      </c>
      <c r="AX85" s="4">
        <f t="shared" si="100"/>
        <v>0.04</v>
      </c>
      <c r="AY85" s="4">
        <f t="shared" si="108"/>
        <v>12</v>
      </c>
      <c r="AZ85" s="4">
        <f t="shared" si="109"/>
        <v>0</v>
      </c>
      <c r="BA85" s="4" t="str">
        <f>IFERROR('Character Sheet'!JK84,"")</f>
        <v>Soft Leather</v>
      </c>
      <c r="BB85" s="4">
        <f t="shared" si="101"/>
        <v>0.05</v>
      </c>
      <c r="BC85" s="4">
        <f t="shared" si="110"/>
        <v>0</v>
      </c>
      <c r="BD85" s="4">
        <f t="shared" si="111"/>
        <v>0</v>
      </c>
      <c r="BE85" s="4">
        <f t="shared" si="112"/>
        <v>9.75</v>
      </c>
      <c r="BF85" s="4">
        <f t="shared" si="113"/>
        <v>30</v>
      </c>
      <c r="BG85" s="4">
        <f t="shared" si="114"/>
        <v>0</v>
      </c>
      <c r="BH85" s="4" t="str">
        <f>IFERROR('Character Sheet'!KC84,"")</f>
        <v>Heavy Cloth</v>
      </c>
      <c r="BI85" s="4">
        <f t="shared" si="102"/>
        <v>0.04</v>
      </c>
      <c r="BJ85" s="4">
        <f t="shared" si="115"/>
        <v>0</v>
      </c>
      <c r="BK85" s="4">
        <f t="shared" si="116"/>
        <v>0</v>
      </c>
      <c r="BL85" s="4">
        <f t="shared" si="117"/>
        <v>5.25</v>
      </c>
      <c r="BM85" s="4">
        <f t="shared" si="118"/>
        <v>12</v>
      </c>
      <c r="BN85" s="4">
        <f t="shared" si="119"/>
        <v>0</v>
      </c>
      <c r="BO85" s="4">
        <f t="shared" si="120"/>
        <v>0.65</v>
      </c>
      <c r="BP85" s="4">
        <f t="shared" si="121"/>
        <v>0</v>
      </c>
      <c r="BQ85" s="4">
        <f>IFERROR('Character Sheet'!IQ84+VLOOKUP(BA85,MaterialChart,5,FALSE),"")</f>
        <v>0</v>
      </c>
      <c r="BR85" s="4">
        <f t="shared" si="122"/>
        <v>0</v>
      </c>
      <c r="BS85" s="4">
        <f t="shared" ref="BS85:BS116" si="144">IFERROR(VLOOKUP(AR85,ItemChart,8,FALSE)+(BG85)+(BN85)-((AV85)+(AZ85)),0)</f>
        <v>40</v>
      </c>
      <c r="BT85" s="4">
        <f t="shared" si="123"/>
        <v>8.65</v>
      </c>
      <c r="BU85" s="4">
        <f t="shared" si="124"/>
        <v>15</v>
      </c>
      <c r="BV85" s="4">
        <f t="shared" si="125"/>
        <v>15</v>
      </c>
      <c r="BW85" s="4">
        <f>IFERROR(ROUNDUP((BE85*(BB85-AT85))+(BL85*(BI85-AX85))+(BT85*(((100+(BD85+IF(BE85=1,0,BK85))+(4*BR85))/100)))*'Character Sheet'!GT84,3),"")</f>
        <v>8.65</v>
      </c>
      <c r="BX85" s="4" t="str">
        <f t="shared" si="93"/>
        <v>$8.65</v>
      </c>
      <c r="BY85" s="8">
        <f t="shared" si="126"/>
        <v>0</v>
      </c>
      <c r="BZ85" s="4">
        <f>IF(ISNUMBER(SEARCH(BZ$83,$BY85)),VLOOKUP($BA85&amp;$CU85,Armour!$B$4:$BP$99,67,FALSE),0)</f>
        <v>0</v>
      </c>
      <c r="CA85" s="4">
        <f>IF(ISNUMBER(SEARCH(CA$83,$BY85)),VLOOKUP($BA85&amp;$CU85,Armour!$B$4:$BP$99,67,FALSE),0)</f>
        <v>0</v>
      </c>
      <c r="CB85" s="4">
        <f>IF(ISNUMBER(SEARCH(CB$83,$BY85)),VLOOKUP($BA85&amp;$CU85,Armour!$B$4:$BP$99,67,FALSE),0)</f>
        <v>0</v>
      </c>
      <c r="CC85" s="4">
        <f>IF(ISNUMBER(SEARCH(CC$83,$BY85)),VLOOKUP($BA85&amp;$CU85,Armour!$B$4:$BP$99,67,FALSE),0)</f>
        <v>0</v>
      </c>
      <c r="CD85" s="4">
        <f>IF(ISNUMBER(SEARCH(CD$83,$BY85)),VLOOKUP($BA85&amp;$CU85,Armour!$B$4:$BP$99,67,FALSE),0)</f>
        <v>0</v>
      </c>
      <c r="CE85" s="4">
        <f>IF(ISNUMBER(SEARCH(CE$83,$BY85)),VLOOKUP($BA85&amp;$CU85,Armour!$B$4:$BP$99,67,FALSE),0)</f>
        <v>0</v>
      </c>
      <c r="CF85" s="4">
        <f>IF(ISNUMBER(SEARCH(CF$83,$BY85)),VLOOKUP($BA85&amp;$CU85,Armour!$B$4:$BP$99,67,FALSE),0)</f>
        <v>0</v>
      </c>
      <c r="CG85" s="4">
        <f>IF(ISNUMBER(SEARCH(CG$83,$BY85)),VLOOKUP($BA85&amp;$CU85,Armour!$B$4:$BP$99,67,FALSE),0)</f>
        <v>0</v>
      </c>
      <c r="CH85" s="4">
        <f>IF(ISNUMBER(SEARCH(CH$83,$BY85)),VLOOKUP($BA85&amp;$CU85,Armour!$B$4:$BP$99,67,FALSE),0)</f>
        <v>0</v>
      </c>
      <c r="CI85" s="4">
        <f>IF(ISNUMBER(SEARCH(CI$83,$BY85)),VLOOKUP($BA85&amp;$CU85,Armour!$B$4:$BP$99,67,FALSE),0)</f>
        <v>0</v>
      </c>
      <c r="CJ85" s="4">
        <f>IF(ISNUMBER(SEARCH(CJ$83,$BY85)),VLOOKUP($BA85&amp;$CU85,Armour!$B$4:$BP$99,67,FALSE),0)</f>
        <v>0</v>
      </c>
      <c r="CK85" s="4">
        <f>IF(ISNUMBER(SEARCH(CK$83,$BY85)),VLOOKUP($BA85&amp;$CU85,Armour!$B$4:$BP$99,67,FALSE),0)</f>
        <v>0</v>
      </c>
      <c r="CL85" s="4">
        <f>IF(ISNUMBER(SEARCH(CL$83,$BY85)),VLOOKUP($BA85&amp;$CU85,Armour!$B$4:$BP$99,67,FALSE),0)</f>
        <v>0</v>
      </c>
      <c r="CM85" s="4">
        <f>IF(ISNUMBER(SEARCH(CM$83,$BY85)),VLOOKUP($BA85&amp;$CU85,Armour!$B$4:$BP$99,67,FALSE),0)</f>
        <v>0</v>
      </c>
      <c r="CN85" s="4">
        <f>IF(ISNUMBER(SEARCH(CN$83,$BY85)),VLOOKUP($BA85&amp;$CU85,Armour!$B$4:$BP$99,67,FALSE),0)</f>
        <v>0</v>
      </c>
      <c r="CO85" s="4">
        <f>IF(ISNUMBER(SEARCH(CO$83,$BY85)),VLOOKUP($BA85&amp;$CU85,Armour!$B$4:$BP$99,67,FALSE),0)</f>
        <v>0</v>
      </c>
      <c r="CP85" s="4">
        <f>IF(ISNUMBER(SEARCH(CP$83,$BY85)),VLOOKUP($BA85&amp;$CU85,Armour!$B$4:$BP$99,67,FALSE),0)</f>
        <v>0</v>
      </c>
      <c r="CQ85" s="4">
        <f>IF(ISNUMBER(SEARCH(CQ$83,$BY85)),VLOOKUP($BA85&amp;$CU85,Armour!$B$4:$BP$99,67,FALSE),0)</f>
        <v>0</v>
      </c>
      <c r="CR85" s="4">
        <f>IF(ISNUMBER(SEARCH(CR$83,$BY85)),VLOOKUP($BA85&amp;$CU85,Armour!$B$4:$BP$99,67,FALSE),0)</f>
        <v>0</v>
      </c>
      <c r="CS85" s="4">
        <f>IF(ISNUMBER(SEARCH(CS$83,$BY85)),VLOOKUP($BA85&amp;$CU85,Armour!$B$4:$BP$99,67,FALSE),0)</f>
        <v>0</v>
      </c>
      <c r="CT85" s="4">
        <f>IF(ISNUMBER(SEARCH(CT$83,$BY85)),VLOOKUP($BA85&amp;$CU85,Armour!$B$4:$BP$99,67,FALSE),0)</f>
        <v>0</v>
      </c>
      <c r="CU85" s="4" t="str">
        <f t="shared" si="127"/>
        <v/>
      </c>
      <c r="DH85" s="4" t="str">
        <f t="shared" si="103"/>
        <v/>
      </c>
      <c r="DI85">
        <v>3</v>
      </c>
      <c r="DJ85" s="3" t="str">
        <f t="shared" si="135"/>
        <v/>
      </c>
      <c r="DK85" s="4" t="str">
        <f t="shared" si="77"/>
        <v/>
      </c>
      <c r="DL85" s="4" t="str">
        <f>IFERROR(IF(DK85=0,"",VLOOKUP(DK85,Skills!$N$72:$AF$107,19,FALSE)),"")</f>
        <v/>
      </c>
      <c r="DM85" s="4"/>
      <c r="DN85" s="4" t="str">
        <f t="shared" si="136"/>
        <v/>
      </c>
      <c r="DO85" s="4" t="str">
        <f>IFERROR(DN85+0.83,"")</f>
        <v/>
      </c>
      <c r="DP85" s="4">
        <f t="shared" si="104"/>
        <v>0</v>
      </c>
      <c r="DQ85" s="4">
        <f t="shared" si="137"/>
        <v>2</v>
      </c>
      <c r="DR85" s="4" t="e">
        <f t="shared" si="138"/>
        <v>#N/A</v>
      </c>
      <c r="DS85" s="4">
        <f t="shared" si="139"/>
        <v>3</v>
      </c>
      <c r="DT85" s="4" t="str">
        <f t="shared" si="81"/>
        <v/>
      </c>
      <c r="DU85" s="4" t="str">
        <f t="shared" si="82"/>
        <v/>
      </c>
      <c r="DV85" s="4" t="e">
        <f>VLOOKUP((VLOOKUP((VLOOKUP('Character Creation'!$Z$11,RaceChart,20,FALSE)&amp;" "&amp;VLOOKUP('Character Creation'!$Z$11,RaceChart,21,FALSE)),Charts!$H$2:$J$14,3,FALSE)+DU85),Charts!$J$2:$N$14,5,FALSE)</f>
        <v>#VALUE!</v>
      </c>
      <c r="DW85" s="4" t="e">
        <f>VLOOKUP(DV85,Charts!$N$2:$Q$14,4,FALSE)</f>
        <v>#VALUE!</v>
      </c>
      <c r="DX85" s="4" t="str">
        <f t="shared" si="140"/>
        <v/>
      </c>
      <c r="DY85" s="4" t="str">
        <f t="shared" si="84"/>
        <v/>
      </c>
      <c r="DZ85" s="4" t="str">
        <f t="shared" si="141"/>
        <v/>
      </c>
      <c r="EA85" s="4" t="e">
        <f>ROUNDDOWN(VLOOKUP(DK85,Skills!$N$72:$S$107,6,FALSE)/5,0)</f>
        <v>#N/A</v>
      </c>
      <c r="EB85" s="4" t="str">
        <f t="shared" si="86"/>
        <v/>
      </c>
      <c r="EC85" s="4" t="str">
        <f t="shared" si="142"/>
        <v>+</v>
      </c>
      <c r="ED85" s="4" t="e">
        <f>VLOOKUP(DJ85,'Character Sheet'!$FB$21:$HQ$35,61,FALSE)</f>
        <v>#N/A</v>
      </c>
      <c r="EE85" s="4" t="str">
        <f t="shared" si="88"/>
        <v/>
      </c>
      <c r="EF85" s="4" t="str">
        <f t="shared" si="89"/>
        <v/>
      </c>
      <c r="EG85" s="4" t="e">
        <f>VLOOKUP(DR85,Items!$B$1156:$AA$1282,18,FALSE)</f>
        <v>#N/A</v>
      </c>
      <c r="EH85" s="4">
        <f>VLOOKUP(DJ85,'Character Sheet'!$E$26:$EZ$45,81,FALSE)</f>
        <v>0</v>
      </c>
      <c r="EI85" s="4">
        <f>VLOOKUP(DJ85,'Character Sheet'!$E$26:$EZ$45,89,FALSE)</f>
        <v>0</v>
      </c>
      <c r="EJ85" s="4" t="e">
        <f t="shared" si="143"/>
        <v>#N/A</v>
      </c>
    </row>
    <row r="86" spans="29:140" x14ac:dyDescent="0.25">
      <c r="AC86" s="8" t="str">
        <f>IFERROR(VLOOKUP('Character Creation'!$CI99,Skills!$H$2:$N$620,6,FALSE),"")</f>
        <v/>
      </c>
      <c r="AD86" s="4">
        <f>'Character Creation'!EH99</f>
        <v>0</v>
      </c>
      <c r="AG86">
        <v>85</v>
      </c>
      <c r="AH86" s="4" t="str">
        <f t="shared" si="95"/>
        <v/>
      </c>
      <c r="AI86" t="str">
        <f>IFERROR(VLOOKUP(AG86,Skills!$B$2:$M$620,12,FALSE),"")</f>
        <v/>
      </c>
      <c r="AJ86" s="4" t="str">
        <f>IFERROR(VLOOKUP(AG86,Skills!$B$2:$AF$620,31,FALSE),"")</f>
        <v/>
      </c>
      <c r="AK86" s="4" t="str">
        <f t="shared" si="91"/>
        <v/>
      </c>
      <c r="AL86" s="4">
        <v>8.5000000000000006E-2</v>
      </c>
      <c r="AM86" s="62" t="str">
        <f t="shared" si="96"/>
        <v/>
      </c>
      <c r="AN86" t="str">
        <f t="shared" ca="1" si="97"/>
        <v/>
      </c>
      <c r="AO86" s="4" t="str">
        <f ca="1">IFERROR(VLOOKUP(AG86,$AH$2:$AJ$451,3,FALSE)&amp;IF(ISNUMBER(SEARCH(", Written",AN86))," -R"&amp;VLOOKUP(AN86,Skills!$M$2:$S$620,7,FALSE),IF(ISNUMBER(SEARCH(", Spoken",AN86))," -R"&amp;VLOOKUP(AN86,Skills!$M$2:$S$620,7,FALSE),"")),"")</f>
        <v/>
      </c>
      <c r="AQ86">
        <v>83</v>
      </c>
      <c r="AR86" s="8" t="str">
        <f>'Character Sheet'!FB85</f>
        <v>Packsaddle</v>
      </c>
      <c r="AS86" s="4" t="str">
        <f t="shared" si="98"/>
        <v>Heavy Cloth</v>
      </c>
      <c r="AT86" s="4">
        <f t="shared" si="99"/>
        <v>0.04</v>
      </c>
      <c r="AU86" s="4">
        <f t="shared" si="105"/>
        <v>12</v>
      </c>
      <c r="AV86" s="4">
        <f t="shared" si="106"/>
        <v>0</v>
      </c>
      <c r="AW86" s="4" t="str">
        <f t="shared" si="107"/>
        <v>Soft Leather</v>
      </c>
      <c r="AX86" s="4">
        <f t="shared" si="100"/>
        <v>0.05</v>
      </c>
      <c r="AY86" s="4">
        <f t="shared" si="108"/>
        <v>30</v>
      </c>
      <c r="AZ86" s="4">
        <f t="shared" si="109"/>
        <v>0</v>
      </c>
      <c r="BA86" s="4" t="str">
        <f>IFERROR('Character Sheet'!JK85,"")</f>
        <v>Heavy Cloth</v>
      </c>
      <c r="BB86" s="4">
        <f t="shared" si="101"/>
        <v>0.04</v>
      </c>
      <c r="BC86" s="4">
        <f t="shared" si="110"/>
        <v>0</v>
      </c>
      <c r="BD86" s="4">
        <f t="shared" si="111"/>
        <v>0</v>
      </c>
      <c r="BE86" s="4">
        <f t="shared" si="112"/>
        <v>4.8999999999999995</v>
      </c>
      <c r="BF86" s="4">
        <f t="shared" si="113"/>
        <v>12</v>
      </c>
      <c r="BG86" s="4">
        <f t="shared" si="114"/>
        <v>0</v>
      </c>
      <c r="BH86" s="4" t="str">
        <f>IFERROR('Character Sheet'!KC85,"")</f>
        <v>Soft Leather</v>
      </c>
      <c r="BI86" s="4">
        <f t="shared" si="102"/>
        <v>0.05</v>
      </c>
      <c r="BJ86" s="4">
        <f t="shared" si="115"/>
        <v>0</v>
      </c>
      <c r="BK86" s="4">
        <f t="shared" si="116"/>
        <v>0</v>
      </c>
      <c r="BL86" s="4">
        <f t="shared" si="117"/>
        <v>2.1000000000000005</v>
      </c>
      <c r="BM86" s="4">
        <f t="shared" si="118"/>
        <v>30</v>
      </c>
      <c r="BN86" s="4">
        <f t="shared" si="119"/>
        <v>0</v>
      </c>
      <c r="BO86" s="4">
        <f t="shared" si="120"/>
        <v>0.7</v>
      </c>
      <c r="BP86" s="4">
        <f t="shared" si="121"/>
        <v>0</v>
      </c>
      <c r="BQ86" s="4">
        <f>IFERROR('Character Sheet'!IQ85+VLOOKUP(BA86,MaterialChart,5,FALSE),"")</f>
        <v>0</v>
      </c>
      <c r="BR86" s="4">
        <f t="shared" si="122"/>
        <v>0</v>
      </c>
      <c r="BS86" s="4">
        <f t="shared" si="144"/>
        <v>30</v>
      </c>
      <c r="BT86" s="4">
        <f t="shared" si="123"/>
        <v>5</v>
      </c>
      <c r="BU86" s="4">
        <f t="shared" si="124"/>
        <v>7</v>
      </c>
      <c r="BV86" s="4">
        <f t="shared" si="125"/>
        <v>7</v>
      </c>
      <c r="BW86" s="4">
        <f>IFERROR(ROUNDUP((BE86*(BB86-AT86))+(BL86*(BI86-AX86))+(BT86*(((100+(BD86+IF(BE86=1,0,BK86))+(4*BR86))/100)))*'Character Sheet'!GT85,3),"")</f>
        <v>5</v>
      </c>
      <c r="BX86" s="4" t="str">
        <f t="shared" si="93"/>
        <v>$5</v>
      </c>
      <c r="BY86" s="8">
        <f t="shared" si="126"/>
        <v>0</v>
      </c>
      <c r="BZ86" s="4">
        <f>IF(ISNUMBER(SEARCH(BZ$83,$BY86)),VLOOKUP($BA86&amp;$CU86,Armour!$B$4:$BP$99,67,FALSE),0)</f>
        <v>0</v>
      </c>
      <c r="CA86" s="4">
        <f>IF(ISNUMBER(SEARCH(CA$83,$BY86)),VLOOKUP($BA86&amp;$CU86,Armour!$B$4:$BP$99,67,FALSE),0)</f>
        <v>0</v>
      </c>
      <c r="CB86" s="4">
        <f>IF(ISNUMBER(SEARCH(CB$83,$BY86)),VLOOKUP($BA86&amp;$CU86,Armour!$B$4:$BP$99,67,FALSE),0)</f>
        <v>0</v>
      </c>
      <c r="CC86" s="4">
        <f>IF(ISNUMBER(SEARCH(CC$83,$BY86)),VLOOKUP($BA86&amp;$CU86,Armour!$B$4:$BP$99,67,FALSE),0)</f>
        <v>0</v>
      </c>
      <c r="CD86" s="4">
        <f>IF(ISNUMBER(SEARCH(CD$83,$BY86)),VLOOKUP($BA86&amp;$CU86,Armour!$B$4:$BP$99,67,FALSE),0)</f>
        <v>0</v>
      </c>
      <c r="CE86" s="4">
        <f>IF(ISNUMBER(SEARCH(CE$83,$BY86)),VLOOKUP($BA86&amp;$CU86,Armour!$B$4:$BP$99,67,FALSE),0)</f>
        <v>0</v>
      </c>
      <c r="CF86" s="4">
        <f>IF(ISNUMBER(SEARCH(CF$83,$BY86)),VLOOKUP($BA86&amp;$CU86,Armour!$B$4:$BP$99,67,FALSE),0)</f>
        <v>0</v>
      </c>
      <c r="CG86" s="4">
        <f>IF(ISNUMBER(SEARCH(CG$83,$BY86)),VLOOKUP($BA86&amp;$CU86,Armour!$B$4:$BP$99,67,FALSE),0)</f>
        <v>0</v>
      </c>
      <c r="CH86" s="4">
        <f>IF(ISNUMBER(SEARCH(CH$83,$BY86)),VLOOKUP($BA86&amp;$CU86,Armour!$B$4:$BP$99,67,FALSE),0)</f>
        <v>0</v>
      </c>
      <c r="CI86" s="4">
        <f>IF(ISNUMBER(SEARCH(CI$83,$BY86)),VLOOKUP($BA86&amp;$CU86,Armour!$B$4:$BP$99,67,FALSE),0)</f>
        <v>0</v>
      </c>
      <c r="CJ86" s="4">
        <f>IF(ISNUMBER(SEARCH(CJ$83,$BY86)),VLOOKUP($BA86&amp;$CU86,Armour!$B$4:$BP$99,67,FALSE),0)</f>
        <v>0</v>
      </c>
      <c r="CK86" s="4">
        <f>IF(ISNUMBER(SEARCH(CK$83,$BY86)),VLOOKUP($BA86&amp;$CU86,Armour!$B$4:$BP$99,67,FALSE),0)</f>
        <v>0</v>
      </c>
      <c r="CL86" s="4">
        <f>IF(ISNUMBER(SEARCH(CL$83,$BY86)),VLOOKUP($BA86&amp;$CU86,Armour!$B$4:$BP$99,67,FALSE),0)</f>
        <v>0</v>
      </c>
      <c r="CM86" s="4">
        <f>IF(ISNUMBER(SEARCH(CM$83,$BY86)),VLOOKUP($BA86&amp;$CU86,Armour!$B$4:$BP$99,67,FALSE),0)</f>
        <v>0</v>
      </c>
      <c r="CN86" s="4">
        <f>IF(ISNUMBER(SEARCH(CN$83,$BY86)),VLOOKUP($BA86&amp;$CU86,Armour!$B$4:$BP$99,67,FALSE),0)</f>
        <v>0</v>
      </c>
      <c r="CO86" s="4">
        <f>IF(ISNUMBER(SEARCH(CO$83,$BY86)),VLOOKUP($BA86&amp;$CU86,Armour!$B$4:$BP$99,67,FALSE),0)</f>
        <v>0</v>
      </c>
      <c r="CP86" s="4">
        <f>IF(ISNUMBER(SEARCH(CP$83,$BY86)),VLOOKUP($BA86&amp;$CU86,Armour!$B$4:$BP$99,67,FALSE),0)</f>
        <v>0</v>
      </c>
      <c r="CQ86" s="4">
        <f>IF(ISNUMBER(SEARCH(CQ$83,$BY86)),VLOOKUP($BA86&amp;$CU86,Armour!$B$4:$BP$99,67,FALSE),0)</f>
        <v>0</v>
      </c>
      <c r="CR86" s="4">
        <f>IF(ISNUMBER(SEARCH(CR$83,$BY86)),VLOOKUP($BA86&amp;$CU86,Armour!$B$4:$BP$99,67,FALSE),0)</f>
        <v>0</v>
      </c>
      <c r="CS86" s="4">
        <f>IF(ISNUMBER(SEARCH(CS$83,$BY86)),VLOOKUP($BA86&amp;$CU86,Armour!$B$4:$BP$99,67,FALSE),0)</f>
        <v>0</v>
      </c>
      <c r="CT86" s="4">
        <f>IF(ISNUMBER(SEARCH(CT$83,$BY86)),VLOOKUP($BA86&amp;$CU86,Armour!$B$4:$BP$99,67,FALSE),0)</f>
        <v>0</v>
      </c>
      <c r="CU86" s="4" t="str">
        <f t="shared" si="127"/>
        <v/>
      </c>
      <c r="DH86" s="4" t="str">
        <f t="shared" si="103"/>
        <v/>
      </c>
      <c r="DI86">
        <v>4</v>
      </c>
      <c r="DJ86" s="3" t="str">
        <f t="shared" si="135"/>
        <v/>
      </c>
      <c r="DK86" s="4" t="str">
        <f t="shared" ref="DK86:DK127" si="145">IFERROR(VLOOKUP($DJ86,ItemChart,13,FALSE),"")</f>
        <v/>
      </c>
      <c r="DL86" s="4" t="str">
        <f>IFERROR(IF(DK86=0,"",VLOOKUP(DK86,Skills!$N$72:$AF$107,19,FALSE)),"")</f>
        <v/>
      </c>
      <c r="DM86" s="4"/>
      <c r="DN86" s="4" t="str">
        <f t="shared" si="136"/>
        <v/>
      </c>
      <c r="DO86" s="4" t="str">
        <f>IFERROR(DN86+0.84,"")</f>
        <v/>
      </c>
      <c r="DP86" s="4">
        <f t="shared" si="104"/>
        <v>0</v>
      </c>
      <c r="DQ86" s="4">
        <f t="shared" si="137"/>
        <v>2</v>
      </c>
      <c r="DR86" s="4" t="e">
        <f t="shared" si="138"/>
        <v>#N/A</v>
      </c>
      <c r="DS86" s="4">
        <f t="shared" si="139"/>
        <v>4</v>
      </c>
      <c r="DT86" s="4" t="str">
        <f t="shared" ref="DT86:DT127" si="146">IFERROR(VLOOKUP($DJ86,ItemChart,14,FALSE),"")</f>
        <v/>
      </c>
      <c r="DU86" s="4" t="str">
        <f t="shared" ref="DU86:DU127" si="147">IFERROR(VLOOKUP($DJ86,ItemChart,15,FALSE),"")</f>
        <v/>
      </c>
      <c r="DV86" s="4" t="e">
        <f>VLOOKUP((VLOOKUP((VLOOKUP('Character Creation'!$Z$11,RaceChart,20,FALSE)&amp;" "&amp;VLOOKUP('Character Creation'!$Z$11,RaceChart,21,FALSE)),Charts!$H$2:$J$14,3,FALSE)+DU86),Charts!$J$2:$N$14,5,FALSE)</f>
        <v>#VALUE!</v>
      </c>
      <c r="DW86" s="4" t="e">
        <f>VLOOKUP(DV86,Charts!$N$2:$Q$14,4,FALSE)</f>
        <v>#VALUE!</v>
      </c>
      <c r="DX86" s="4" t="str">
        <f t="shared" si="140"/>
        <v/>
      </c>
      <c r="DY86" s="4" t="str">
        <f t="shared" ref="DY86:DY127" si="148">IFERROR(VLOOKUP($DJ86,ItemChart,16,FALSE),"")</f>
        <v/>
      </c>
      <c r="DZ86" s="4" t="str">
        <f t="shared" si="141"/>
        <v/>
      </c>
      <c r="EA86" s="4" t="e">
        <f>ROUNDDOWN(VLOOKUP(DK86,Skills!$N$72:$S$107,6,FALSE)/5,0)</f>
        <v>#N/A</v>
      </c>
      <c r="EB86" s="4" t="str">
        <f t="shared" ref="EB86:EB127" si="149">IFERROR(VLOOKUP($DJ86,ItemChart,17,FALSE),"")</f>
        <v/>
      </c>
      <c r="EC86" s="4" t="str">
        <f t="shared" si="142"/>
        <v>+</v>
      </c>
      <c r="ED86" s="4" t="e">
        <f>VLOOKUP(DJ86,'Character Sheet'!$FB$21:$HQ$35,61,FALSE)</f>
        <v>#N/A</v>
      </c>
      <c r="EE86" s="4" t="str">
        <f t="shared" ref="EE86:EE127" si="150">IFERROR(IF(VLOOKUP($DJ86,ItemChart,20,FALSE)=0,"- -",VLOOKUP($DJ86,ItemChart,20,FALSE)),"")</f>
        <v/>
      </c>
      <c r="EF86" s="4" t="str">
        <f t="shared" ref="EF86:EF127" si="151">IFERROR(IF(VLOOKUP($DJ86,ItemChart,21,FALSE)=0,"- -",VLOOKUP($DJ86,ItemChart,21,FALSE)),"")</f>
        <v/>
      </c>
      <c r="EG86" s="4" t="e">
        <f>VLOOKUP(DR86,Items!$B$1156:$AA$1282,18,FALSE)</f>
        <v>#N/A</v>
      </c>
      <c r="EH86" s="4">
        <f>VLOOKUP(DJ86,'Character Sheet'!$E$26:$EZ$45,81,FALSE)</f>
        <v>0</v>
      </c>
      <c r="EI86" s="4">
        <f>VLOOKUP(DJ86,'Character Sheet'!$E$26:$EZ$45,89,FALSE)</f>
        <v>0</v>
      </c>
      <c r="EJ86" s="4" t="e">
        <f t="shared" si="143"/>
        <v>#N/A</v>
      </c>
    </row>
    <row r="87" spans="29:140" x14ac:dyDescent="0.25">
      <c r="AC87" s="8" t="str">
        <f>IFERROR(VLOOKUP('Character Creation'!$CI100,Skills!$H$2:$N$620,6,FALSE),"")</f>
        <v/>
      </c>
      <c r="AD87" s="4">
        <f>'Character Creation'!EH100</f>
        <v>0</v>
      </c>
      <c r="AG87">
        <v>86</v>
      </c>
      <c r="AH87" s="4" t="str">
        <f t="shared" si="95"/>
        <v/>
      </c>
      <c r="AI87" t="str">
        <f>IFERROR(VLOOKUP(AG87,Skills!$B$2:$M$620,12,FALSE),"")</f>
        <v/>
      </c>
      <c r="AJ87" s="4" t="str">
        <f>IFERROR(VLOOKUP(AG87,Skills!$B$2:$AF$620,31,FALSE),"")</f>
        <v/>
      </c>
      <c r="AK87" s="4" t="str">
        <f t="shared" si="91"/>
        <v/>
      </c>
      <c r="AL87" s="4">
        <v>8.5999999999999993E-2</v>
      </c>
      <c r="AM87" s="62" t="str">
        <f t="shared" si="96"/>
        <v/>
      </c>
      <c r="AN87" t="str">
        <f t="shared" ca="1" si="97"/>
        <v/>
      </c>
      <c r="AO87" s="4" t="str">
        <f ca="1">IFERROR(VLOOKUP(AG87,$AH$2:$AJ$451,3,FALSE)&amp;IF(ISNUMBER(SEARCH(", Written",AN87))," -R"&amp;VLOOKUP(AN87,Skills!$M$2:$S$620,7,FALSE),IF(ISNUMBER(SEARCH(", Spoken",AN87))," -R"&amp;VLOOKUP(AN87,Skills!$M$2:$S$620,7,FALSE),"")),"")</f>
        <v/>
      </c>
      <c r="AQ87">
        <v>84</v>
      </c>
      <c r="AR87" s="8" t="str">
        <f>'Character Sheet'!FB86</f>
        <v>Saddle Blanket</v>
      </c>
      <c r="AS87" s="4" t="str">
        <f t="shared" si="98"/>
        <v>Heavy Cloth</v>
      </c>
      <c r="AT87" s="4">
        <f t="shared" si="99"/>
        <v>0.04</v>
      </c>
      <c r="AU87" s="4">
        <f t="shared" si="105"/>
        <v>12</v>
      </c>
      <c r="AV87" s="4">
        <f t="shared" si="106"/>
        <v>0</v>
      </c>
      <c r="AW87" s="4" t="str">
        <f t="shared" si="107"/>
        <v>Heavy Cloth</v>
      </c>
      <c r="AX87" s="4">
        <f t="shared" si="100"/>
        <v>0.04</v>
      </c>
      <c r="AY87" s="4">
        <f t="shared" si="108"/>
        <v>12</v>
      </c>
      <c r="AZ87" s="4">
        <f t="shared" si="109"/>
        <v>0</v>
      </c>
      <c r="BA87" s="4" t="str">
        <f>IFERROR('Character Sheet'!JK86,"")</f>
        <v>Heavy Cloth</v>
      </c>
      <c r="BB87" s="4">
        <f t="shared" si="101"/>
        <v>0.04</v>
      </c>
      <c r="BC87" s="4">
        <f t="shared" si="110"/>
        <v>0</v>
      </c>
      <c r="BD87" s="4">
        <f t="shared" si="111"/>
        <v>0</v>
      </c>
      <c r="BE87" s="4">
        <f t="shared" si="112"/>
        <v>1</v>
      </c>
      <c r="BF87" s="4">
        <f t="shared" si="113"/>
        <v>12</v>
      </c>
      <c r="BG87" s="4">
        <f t="shared" si="114"/>
        <v>0</v>
      </c>
      <c r="BH87" s="4" t="str">
        <f>IFERROR('Character Sheet'!KC86,"")</f>
        <v>Heavy Cloth</v>
      </c>
      <c r="BI87" s="4">
        <f t="shared" si="102"/>
        <v>0.04</v>
      </c>
      <c r="BJ87" s="4">
        <f t="shared" si="115"/>
        <v>0</v>
      </c>
      <c r="BK87" s="4">
        <f t="shared" si="116"/>
        <v>0</v>
      </c>
      <c r="BL87" s="4">
        <f t="shared" si="117"/>
        <v>0</v>
      </c>
      <c r="BM87" s="4">
        <f t="shared" si="118"/>
        <v>12</v>
      </c>
      <c r="BN87" s="4">
        <f t="shared" si="119"/>
        <v>0</v>
      </c>
      <c r="BO87" s="4">
        <f t="shared" si="120"/>
        <v>1</v>
      </c>
      <c r="BP87" s="4">
        <f t="shared" si="121"/>
        <v>0</v>
      </c>
      <c r="BQ87" s="4">
        <f>IFERROR('Character Sheet'!IQ86+VLOOKUP(BA87,MaterialChart,5,FALSE),"")</f>
        <v>0</v>
      </c>
      <c r="BR87" s="4">
        <f t="shared" si="122"/>
        <v>0</v>
      </c>
      <c r="BS87" s="4">
        <f t="shared" si="144"/>
        <v>30</v>
      </c>
      <c r="BT87" s="4">
        <f t="shared" si="123"/>
        <v>0.5</v>
      </c>
      <c r="BU87" s="4">
        <f t="shared" si="124"/>
        <v>1</v>
      </c>
      <c r="BV87" s="4">
        <f t="shared" si="125"/>
        <v>1</v>
      </c>
      <c r="BW87" s="4">
        <f>IFERROR(ROUNDUP((BE87*(BB87-AT87))+(BL87*(BI87-AX87))+(BT87*(((100+(BD87+IF(BE87=1,0,BK87))+(4*BR87))/100)))*'Character Sheet'!GT86,3),"")</f>
        <v>0.5</v>
      </c>
      <c r="BX87" s="4" t="str">
        <f t="shared" si="93"/>
        <v>$0.5</v>
      </c>
      <c r="BY87" s="8">
        <f t="shared" si="126"/>
        <v>0</v>
      </c>
      <c r="BZ87" s="4">
        <f>IF(ISNUMBER(SEARCH(BZ$83,$BY87)),VLOOKUP($BA87&amp;$CU87,Armour!$B$4:$BP$99,67,FALSE),0)</f>
        <v>0</v>
      </c>
      <c r="CA87" s="4">
        <f>IF(ISNUMBER(SEARCH(CA$83,$BY87)),VLOOKUP($BA87&amp;$CU87,Armour!$B$4:$BP$99,67,FALSE),0)</f>
        <v>0</v>
      </c>
      <c r="CB87" s="4">
        <f>IF(ISNUMBER(SEARCH(CB$83,$BY87)),VLOOKUP($BA87&amp;$CU87,Armour!$B$4:$BP$99,67,FALSE),0)</f>
        <v>0</v>
      </c>
      <c r="CC87" s="4">
        <f>IF(ISNUMBER(SEARCH(CC$83,$BY87)),VLOOKUP($BA87&amp;$CU87,Armour!$B$4:$BP$99,67,FALSE),0)</f>
        <v>0</v>
      </c>
      <c r="CD87" s="4">
        <f>IF(ISNUMBER(SEARCH(CD$83,$BY87)),VLOOKUP($BA87&amp;$CU87,Armour!$B$4:$BP$99,67,FALSE),0)</f>
        <v>0</v>
      </c>
      <c r="CE87" s="4">
        <f>IF(ISNUMBER(SEARCH(CE$83,$BY87)),VLOOKUP($BA87&amp;$CU87,Armour!$B$4:$BP$99,67,FALSE),0)</f>
        <v>0</v>
      </c>
      <c r="CF87" s="4">
        <f>IF(ISNUMBER(SEARCH(CF$83,$BY87)),VLOOKUP($BA87&amp;$CU87,Armour!$B$4:$BP$99,67,FALSE),0)</f>
        <v>0</v>
      </c>
      <c r="CG87" s="4">
        <f>IF(ISNUMBER(SEARCH(CG$83,$BY87)),VLOOKUP($BA87&amp;$CU87,Armour!$B$4:$BP$99,67,FALSE),0)</f>
        <v>0</v>
      </c>
      <c r="CH87" s="4">
        <f>IF(ISNUMBER(SEARCH(CH$83,$BY87)),VLOOKUP($BA87&amp;$CU87,Armour!$B$4:$BP$99,67,FALSE),0)</f>
        <v>0</v>
      </c>
      <c r="CI87" s="4">
        <f>IF(ISNUMBER(SEARCH(CI$83,$BY87)),VLOOKUP($BA87&amp;$CU87,Armour!$B$4:$BP$99,67,FALSE),0)</f>
        <v>0</v>
      </c>
      <c r="CJ87" s="4">
        <f>IF(ISNUMBER(SEARCH(CJ$83,$BY87)),VLOOKUP($BA87&amp;$CU87,Armour!$B$4:$BP$99,67,FALSE),0)</f>
        <v>0</v>
      </c>
      <c r="CK87" s="4">
        <f>IF(ISNUMBER(SEARCH(CK$83,$BY87)),VLOOKUP($BA87&amp;$CU87,Armour!$B$4:$BP$99,67,FALSE),0)</f>
        <v>0</v>
      </c>
      <c r="CL87" s="4">
        <f>IF(ISNUMBER(SEARCH(CL$83,$BY87)),VLOOKUP($BA87&amp;$CU87,Armour!$B$4:$BP$99,67,FALSE),0)</f>
        <v>0</v>
      </c>
      <c r="CM87" s="4">
        <f>IF(ISNUMBER(SEARCH(CM$83,$BY87)),VLOOKUP($BA87&amp;$CU87,Armour!$B$4:$BP$99,67,FALSE),0)</f>
        <v>0</v>
      </c>
      <c r="CN87" s="4">
        <f>IF(ISNUMBER(SEARCH(CN$83,$BY87)),VLOOKUP($BA87&amp;$CU87,Armour!$B$4:$BP$99,67,FALSE),0)</f>
        <v>0</v>
      </c>
      <c r="CO87" s="4">
        <f>IF(ISNUMBER(SEARCH(CO$83,$BY87)),VLOOKUP($BA87&amp;$CU87,Armour!$B$4:$BP$99,67,FALSE),0)</f>
        <v>0</v>
      </c>
      <c r="CP87" s="4">
        <f>IF(ISNUMBER(SEARCH(CP$83,$BY87)),VLOOKUP($BA87&amp;$CU87,Armour!$B$4:$BP$99,67,FALSE),0)</f>
        <v>0</v>
      </c>
      <c r="CQ87" s="4">
        <f>IF(ISNUMBER(SEARCH(CQ$83,$BY87)),VLOOKUP($BA87&amp;$CU87,Armour!$B$4:$BP$99,67,FALSE),0)</f>
        <v>0</v>
      </c>
      <c r="CR87" s="4">
        <f>IF(ISNUMBER(SEARCH(CR$83,$BY87)),VLOOKUP($BA87&amp;$CU87,Armour!$B$4:$BP$99,67,FALSE),0)</f>
        <v>0</v>
      </c>
      <c r="CS87" s="4">
        <f>IF(ISNUMBER(SEARCH(CS$83,$BY87)),VLOOKUP($BA87&amp;$CU87,Armour!$B$4:$BP$99,67,FALSE),0)</f>
        <v>0</v>
      </c>
      <c r="CT87" s="4">
        <f>IF(ISNUMBER(SEARCH(CT$83,$BY87)),VLOOKUP($BA87&amp;$CU87,Armour!$B$4:$BP$99,67,FALSE),0)</f>
        <v>0</v>
      </c>
      <c r="CU87" s="4" t="str">
        <f t="shared" si="127"/>
        <v/>
      </c>
      <c r="DH87" s="4" t="str">
        <f t="shared" si="103"/>
        <v/>
      </c>
      <c r="DI87">
        <v>5</v>
      </c>
      <c r="DJ87" s="3" t="str">
        <f t="shared" si="135"/>
        <v/>
      </c>
      <c r="DK87" s="4" t="str">
        <f t="shared" si="145"/>
        <v/>
      </c>
      <c r="DL87" s="4" t="str">
        <f>IFERROR(IF(DK87=0,"",VLOOKUP(DK87,Skills!$N$72:$AF$107,19,FALSE)),"")</f>
        <v/>
      </c>
      <c r="DM87" s="4"/>
      <c r="DN87" s="4" t="str">
        <f t="shared" si="136"/>
        <v/>
      </c>
      <c r="DO87" s="4" t="str">
        <f>IFERROR(DN87+0.85,"")</f>
        <v/>
      </c>
      <c r="DP87" s="4">
        <f t="shared" si="104"/>
        <v>0</v>
      </c>
      <c r="DQ87" s="4">
        <f t="shared" si="137"/>
        <v>2</v>
      </c>
      <c r="DR87" s="4" t="e">
        <f t="shared" si="138"/>
        <v>#N/A</v>
      </c>
      <c r="DS87" s="4">
        <f t="shared" si="139"/>
        <v>5</v>
      </c>
      <c r="DT87" s="4" t="str">
        <f t="shared" si="146"/>
        <v/>
      </c>
      <c r="DU87" s="4" t="str">
        <f t="shared" si="147"/>
        <v/>
      </c>
      <c r="DV87" s="4" t="e">
        <f>VLOOKUP((VLOOKUP((VLOOKUP('Character Creation'!$Z$11,RaceChart,20,FALSE)&amp;" "&amp;VLOOKUP('Character Creation'!$Z$11,RaceChart,21,FALSE)),Charts!$H$2:$J$14,3,FALSE)+DU87),Charts!$J$2:$N$14,5,FALSE)</f>
        <v>#VALUE!</v>
      </c>
      <c r="DW87" s="4" t="e">
        <f>VLOOKUP(DV87,Charts!$N$2:$Q$14,4,FALSE)</f>
        <v>#VALUE!</v>
      </c>
      <c r="DX87" s="4" t="str">
        <f t="shared" si="140"/>
        <v/>
      </c>
      <c r="DY87" s="4" t="str">
        <f t="shared" si="148"/>
        <v/>
      </c>
      <c r="DZ87" s="4" t="str">
        <f t="shared" si="141"/>
        <v/>
      </c>
      <c r="EA87" s="4" t="e">
        <f>ROUNDDOWN(VLOOKUP(DK87,Skills!$N$72:$S$107,6,FALSE)/5,0)</f>
        <v>#N/A</v>
      </c>
      <c r="EB87" s="4" t="str">
        <f t="shared" si="149"/>
        <v/>
      </c>
      <c r="EC87" s="4" t="str">
        <f t="shared" si="142"/>
        <v>+</v>
      </c>
      <c r="ED87" s="4" t="e">
        <f>VLOOKUP(DJ87,'Character Sheet'!$FB$21:$HQ$35,61,FALSE)</f>
        <v>#N/A</v>
      </c>
      <c r="EE87" s="4" t="str">
        <f t="shared" si="150"/>
        <v/>
      </c>
      <c r="EF87" s="4" t="str">
        <f t="shared" si="151"/>
        <v/>
      </c>
      <c r="EG87" s="4" t="e">
        <f>VLOOKUP(DR87,Items!$B$1156:$AA$1282,18,FALSE)</f>
        <v>#N/A</v>
      </c>
      <c r="EH87" s="4">
        <f>VLOOKUP(DJ87,'Character Sheet'!$E$26:$EZ$45,81,FALSE)</f>
        <v>0</v>
      </c>
      <c r="EI87" s="4">
        <f>VLOOKUP(DJ87,'Character Sheet'!$E$26:$EZ$45,89,FALSE)</f>
        <v>0</v>
      </c>
      <c r="EJ87" s="4" t="e">
        <f t="shared" si="143"/>
        <v>#N/A</v>
      </c>
    </row>
    <row r="88" spans="29:140" x14ac:dyDescent="0.25">
      <c r="AC88" s="8" t="str">
        <f>IFERROR(VLOOKUP('Character Creation'!$CI101,Skills!$H$2:$N$620,6,FALSE),"")</f>
        <v/>
      </c>
      <c r="AD88" s="4">
        <f>'Character Creation'!EH101</f>
        <v>0</v>
      </c>
      <c r="AG88">
        <v>87</v>
      </c>
      <c r="AH88" s="4" t="str">
        <f t="shared" si="95"/>
        <v/>
      </c>
      <c r="AI88" t="str">
        <f>IFERROR(VLOOKUP(AG88,Skills!$B$2:$M$620,12,FALSE),"")</f>
        <v/>
      </c>
      <c r="AJ88" s="4" t="str">
        <f>IFERROR(VLOOKUP(AG88,Skills!$B$2:$AF$620,31,FALSE),"")</f>
        <v/>
      </c>
      <c r="AK88" s="4" t="str">
        <f t="shared" si="91"/>
        <v/>
      </c>
      <c r="AL88" s="4">
        <v>8.6999999999999994E-2</v>
      </c>
      <c r="AM88" s="62" t="str">
        <f t="shared" si="96"/>
        <v/>
      </c>
      <c r="AN88" t="str">
        <f t="shared" ca="1" si="97"/>
        <v/>
      </c>
      <c r="AO88" s="4" t="str">
        <f ca="1">IFERROR(VLOOKUP(AG88,$AH$2:$AJ$451,3,FALSE)&amp;IF(ISNUMBER(SEARCH(", Written",AN88))," -R"&amp;VLOOKUP(AN88,Skills!$M$2:$S$620,7,FALSE),IF(ISNUMBER(SEARCH(", Spoken",AN88))," -R"&amp;VLOOKUP(AN88,Skills!$M$2:$S$620,7,FALSE),"")),"")</f>
        <v/>
      </c>
      <c r="AQ88">
        <v>85</v>
      </c>
      <c r="AR88" s="8" t="str">
        <f>'Character Sheet'!FB87</f>
        <v>Saddle Bags (small)</v>
      </c>
      <c r="AS88" s="4" t="str">
        <f t="shared" si="98"/>
        <v>Heavy Cloth</v>
      </c>
      <c r="AT88" s="4">
        <f t="shared" si="99"/>
        <v>0.04</v>
      </c>
      <c r="AU88" s="4">
        <f t="shared" si="105"/>
        <v>12</v>
      </c>
      <c r="AV88" s="4">
        <f t="shared" si="106"/>
        <v>0</v>
      </c>
      <c r="AW88" s="4" t="str">
        <f t="shared" si="107"/>
        <v>Low Steel</v>
      </c>
      <c r="AX88" s="4">
        <f t="shared" si="100"/>
        <v>0.1</v>
      </c>
      <c r="AY88" s="4">
        <f t="shared" si="108"/>
        <v>490</v>
      </c>
      <c r="AZ88" s="4">
        <f t="shared" si="109"/>
        <v>5</v>
      </c>
      <c r="BA88" s="4" t="str">
        <f>IFERROR('Character Sheet'!JK87,"")</f>
        <v>Heavy Cloth</v>
      </c>
      <c r="BB88" s="4">
        <f t="shared" si="101"/>
        <v>0.04</v>
      </c>
      <c r="BC88" s="4">
        <f t="shared" si="110"/>
        <v>0</v>
      </c>
      <c r="BD88" s="4">
        <f t="shared" si="111"/>
        <v>0</v>
      </c>
      <c r="BE88" s="4">
        <f t="shared" si="112"/>
        <v>2.375</v>
      </c>
      <c r="BF88" s="4">
        <f t="shared" si="113"/>
        <v>12</v>
      </c>
      <c r="BG88" s="4">
        <f t="shared" si="114"/>
        <v>0</v>
      </c>
      <c r="BH88" s="4" t="str">
        <f>IFERROR('Character Sheet'!KC87,"")</f>
        <v>Low Steel</v>
      </c>
      <c r="BI88" s="4">
        <f t="shared" si="102"/>
        <v>0.1</v>
      </c>
      <c r="BJ88" s="4">
        <f t="shared" si="115"/>
        <v>-5</v>
      </c>
      <c r="BK88" s="4">
        <f t="shared" si="116"/>
        <v>5</v>
      </c>
      <c r="BL88" s="4">
        <f t="shared" si="117"/>
        <v>0.125</v>
      </c>
      <c r="BM88" s="4">
        <f t="shared" si="118"/>
        <v>490</v>
      </c>
      <c r="BN88" s="4">
        <f t="shared" si="119"/>
        <v>5</v>
      </c>
      <c r="BO88" s="4">
        <f t="shared" si="120"/>
        <v>0.95</v>
      </c>
      <c r="BP88" s="4">
        <f t="shared" si="121"/>
        <v>0</v>
      </c>
      <c r="BQ88" s="4">
        <f>IFERROR('Character Sheet'!IQ87+VLOOKUP(BA88,MaterialChart,5,FALSE),"")</f>
        <v>0</v>
      </c>
      <c r="BR88" s="4">
        <f t="shared" si="122"/>
        <v>0</v>
      </c>
      <c r="BS88" s="4">
        <f t="shared" si="144"/>
        <v>40</v>
      </c>
      <c r="BT88" s="4">
        <f t="shared" si="123"/>
        <v>1.5</v>
      </c>
      <c r="BU88" s="4">
        <f t="shared" si="124"/>
        <v>2.5</v>
      </c>
      <c r="BV88" s="4">
        <f t="shared" si="125"/>
        <v>2.5</v>
      </c>
      <c r="BW88" s="4">
        <f>IFERROR(ROUNDUP((BE88*(BB88-AT88))+(BL88*(BI88-AX88))+(BT88*(((100+(BD88+IF(BE88=1,0,BK88))+(4*BR88))/100)))*'Character Sheet'!GT87,3),"")</f>
        <v>3.15</v>
      </c>
      <c r="BX88" s="4" t="str">
        <f t="shared" si="93"/>
        <v>$3.15</v>
      </c>
      <c r="BY88" s="8">
        <f t="shared" si="126"/>
        <v>0</v>
      </c>
      <c r="BZ88" s="4">
        <f>IF(ISNUMBER(SEARCH(BZ$83,$BY88)),VLOOKUP($BA88&amp;$CU88,Armour!$B$4:$BP$99,67,FALSE),0)</f>
        <v>0</v>
      </c>
      <c r="CA88" s="4">
        <f>IF(ISNUMBER(SEARCH(CA$83,$BY88)),VLOOKUP($BA88&amp;$CU88,Armour!$B$4:$BP$99,67,FALSE),0)</f>
        <v>0</v>
      </c>
      <c r="CB88" s="4">
        <f>IF(ISNUMBER(SEARCH(CB$83,$BY88)),VLOOKUP($BA88&amp;$CU88,Armour!$B$4:$BP$99,67,FALSE),0)</f>
        <v>0</v>
      </c>
      <c r="CC88" s="4">
        <f>IF(ISNUMBER(SEARCH(CC$83,$BY88)),VLOOKUP($BA88&amp;$CU88,Armour!$B$4:$BP$99,67,FALSE),0)</f>
        <v>0</v>
      </c>
      <c r="CD88" s="4">
        <f>IF(ISNUMBER(SEARCH(CD$83,$BY88)),VLOOKUP($BA88&amp;$CU88,Armour!$B$4:$BP$99,67,FALSE),0)</f>
        <v>0</v>
      </c>
      <c r="CE88" s="4">
        <f>IF(ISNUMBER(SEARCH(CE$83,$BY88)),VLOOKUP($BA88&amp;$CU88,Armour!$B$4:$BP$99,67,FALSE),0)</f>
        <v>0</v>
      </c>
      <c r="CF88" s="4">
        <f>IF(ISNUMBER(SEARCH(CF$83,$BY88)),VLOOKUP($BA88&amp;$CU88,Armour!$B$4:$BP$99,67,FALSE),0)</f>
        <v>0</v>
      </c>
      <c r="CG88" s="4">
        <f>IF(ISNUMBER(SEARCH(CG$83,$BY88)),VLOOKUP($BA88&amp;$CU88,Armour!$B$4:$BP$99,67,FALSE),0)</f>
        <v>0</v>
      </c>
      <c r="CH88" s="4">
        <f>IF(ISNUMBER(SEARCH(CH$83,$BY88)),VLOOKUP($BA88&amp;$CU88,Armour!$B$4:$BP$99,67,FALSE),0)</f>
        <v>0</v>
      </c>
      <c r="CI88" s="4">
        <f>IF(ISNUMBER(SEARCH(CI$83,$BY88)),VLOOKUP($BA88&amp;$CU88,Armour!$B$4:$BP$99,67,FALSE),0)</f>
        <v>0</v>
      </c>
      <c r="CJ88" s="4">
        <f>IF(ISNUMBER(SEARCH(CJ$83,$BY88)),VLOOKUP($BA88&amp;$CU88,Armour!$B$4:$BP$99,67,FALSE),0)</f>
        <v>0</v>
      </c>
      <c r="CK88" s="4">
        <f>IF(ISNUMBER(SEARCH(CK$83,$BY88)),VLOOKUP($BA88&amp;$CU88,Armour!$B$4:$BP$99,67,FALSE),0)</f>
        <v>0</v>
      </c>
      <c r="CL88" s="4">
        <f>IF(ISNUMBER(SEARCH(CL$83,$BY88)),VLOOKUP($BA88&amp;$CU88,Armour!$B$4:$BP$99,67,FALSE),0)</f>
        <v>0</v>
      </c>
      <c r="CM88" s="4">
        <f>IF(ISNUMBER(SEARCH(CM$83,$BY88)),VLOOKUP($BA88&amp;$CU88,Armour!$B$4:$BP$99,67,FALSE),0)</f>
        <v>0</v>
      </c>
      <c r="CN88" s="4">
        <f>IF(ISNUMBER(SEARCH(CN$83,$BY88)),VLOOKUP($BA88&amp;$CU88,Armour!$B$4:$BP$99,67,FALSE),0)</f>
        <v>0</v>
      </c>
      <c r="CO88" s="4">
        <f>IF(ISNUMBER(SEARCH(CO$83,$BY88)),VLOOKUP($BA88&amp;$CU88,Armour!$B$4:$BP$99,67,FALSE),0)</f>
        <v>0</v>
      </c>
      <c r="CP88" s="4">
        <f>IF(ISNUMBER(SEARCH(CP$83,$BY88)),VLOOKUP($BA88&amp;$CU88,Armour!$B$4:$BP$99,67,FALSE),0)</f>
        <v>0</v>
      </c>
      <c r="CQ88" s="4">
        <f>IF(ISNUMBER(SEARCH(CQ$83,$BY88)),VLOOKUP($BA88&amp;$CU88,Armour!$B$4:$BP$99,67,FALSE),0)</f>
        <v>0</v>
      </c>
      <c r="CR88" s="4">
        <f>IF(ISNUMBER(SEARCH(CR$83,$BY88)),VLOOKUP($BA88&amp;$CU88,Armour!$B$4:$BP$99,67,FALSE),0)</f>
        <v>0</v>
      </c>
      <c r="CS88" s="4">
        <f>IF(ISNUMBER(SEARCH(CS$83,$BY88)),VLOOKUP($BA88&amp;$CU88,Armour!$B$4:$BP$99,67,FALSE),0)</f>
        <v>0</v>
      </c>
      <c r="CT88" s="4">
        <f>IF(ISNUMBER(SEARCH(CT$83,$BY88)),VLOOKUP($BA88&amp;$CU88,Armour!$B$4:$BP$99,67,FALSE),0)</f>
        <v>0</v>
      </c>
      <c r="CU88" s="4" t="str">
        <f t="shared" si="127"/>
        <v/>
      </c>
      <c r="DH88" s="4" t="str">
        <f t="shared" si="103"/>
        <v/>
      </c>
      <c r="DI88">
        <v>6</v>
      </c>
      <c r="DJ88" s="3" t="str">
        <f t="shared" si="135"/>
        <v/>
      </c>
      <c r="DK88" s="4" t="str">
        <f t="shared" si="145"/>
        <v/>
      </c>
      <c r="DL88" s="4" t="str">
        <f>IFERROR(IF(DK88=0,"",VLOOKUP(DK88,Skills!$N$72:$AF$107,19,FALSE)),"")</f>
        <v/>
      </c>
      <c r="DM88" s="4"/>
      <c r="DN88" s="4" t="str">
        <f t="shared" si="136"/>
        <v/>
      </c>
      <c r="DO88" s="4" t="str">
        <f t="shared" ref="DO88:DO127" si="152">IFERROR(DN88+0.2,"")</f>
        <v/>
      </c>
      <c r="DP88" s="4">
        <f t="shared" si="104"/>
        <v>0</v>
      </c>
      <c r="DQ88" s="4">
        <f t="shared" si="137"/>
        <v>2</v>
      </c>
      <c r="DR88" s="4" t="e">
        <f t="shared" si="138"/>
        <v>#N/A</v>
      </c>
      <c r="DS88" s="4">
        <f t="shared" si="139"/>
        <v>6</v>
      </c>
      <c r="DT88" s="4" t="str">
        <f t="shared" si="146"/>
        <v/>
      </c>
      <c r="DU88" s="4" t="str">
        <f t="shared" si="147"/>
        <v/>
      </c>
      <c r="DV88" s="4" t="e">
        <f>VLOOKUP((VLOOKUP((VLOOKUP('Character Creation'!$Z$11,RaceChart,20,FALSE)&amp;" "&amp;VLOOKUP('Character Creation'!$Z$11,RaceChart,21,FALSE)),Charts!$H$2:$J$14,3,FALSE)+DU88),Charts!$J$2:$N$14,5,FALSE)</f>
        <v>#VALUE!</v>
      </c>
      <c r="DW88" s="4" t="e">
        <f>VLOOKUP(DV88,Charts!$N$2:$Q$14,4,FALSE)</f>
        <v>#VALUE!</v>
      </c>
      <c r="DX88" s="4" t="str">
        <f t="shared" si="140"/>
        <v/>
      </c>
      <c r="DY88" s="4" t="str">
        <f t="shared" si="148"/>
        <v/>
      </c>
      <c r="DZ88" s="4" t="str">
        <f t="shared" si="141"/>
        <v/>
      </c>
      <c r="EA88" s="4" t="e">
        <f>ROUNDDOWN(VLOOKUP(DK88,Skills!$N$72:$S$107,6,FALSE)/5,0)</f>
        <v>#N/A</v>
      </c>
      <c r="EB88" s="4" t="str">
        <f t="shared" si="149"/>
        <v/>
      </c>
      <c r="EC88" s="4" t="str">
        <f t="shared" si="142"/>
        <v>+</v>
      </c>
      <c r="ED88" s="4" t="e">
        <f>VLOOKUP(DJ88,'Character Sheet'!$FB$21:$HQ$35,61,FALSE)</f>
        <v>#N/A</v>
      </c>
      <c r="EE88" s="4" t="str">
        <f t="shared" si="150"/>
        <v/>
      </c>
      <c r="EF88" s="4" t="str">
        <f t="shared" si="151"/>
        <v/>
      </c>
      <c r="EG88" s="4" t="e">
        <f>VLOOKUP(DR88,Items!$B$1156:$AA$1282,18,FALSE)</f>
        <v>#N/A</v>
      </c>
      <c r="EH88" s="4">
        <f>VLOOKUP(DJ88,'Character Sheet'!$E$26:$EZ$45,81,FALSE)</f>
        <v>0</v>
      </c>
      <c r="EI88" s="4">
        <f>VLOOKUP(DJ88,'Character Sheet'!$E$26:$EZ$45,89,FALSE)</f>
        <v>0</v>
      </c>
      <c r="EJ88" s="4" t="e">
        <f t="shared" si="143"/>
        <v>#N/A</v>
      </c>
    </row>
    <row r="89" spans="29:140" x14ac:dyDescent="0.25">
      <c r="AC89" s="8" t="str">
        <f>IFERROR(VLOOKUP('Character Creation'!$CI102,Skills!$H$2:$N$620,6,FALSE),"")</f>
        <v/>
      </c>
      <c r="AD89" s="4">
        <f>'Character Creation'!EH102</f>
        <v>0</v>
      </c>
      <c r="AG89">
        <v>88</v>
      </c>
      <c r="AH89" s="4" t="str">
        <f t="shared" si="95"/>
        <v/>
      </c>
      <c r="AI89" t="str">
        <f>IFERROR(VLOOKUP(AG89,Skills!$B$2:$M$620,12,FALSE),"")</f>
        <v/>
      </c>
      <c r="AJ89" s="4" t="str">
        <f>IFERROR(VLOOKUP(AG89,Skills!$B$2:$AF$620,31,FALSE),"")</f>
        <v/>
      </c>
      <c r="AK89" s="4" t="str">
        <f t="shared" si="91"/>
        <v/>
      </c>
      <c r="AL89" s="4">
        <v>8.7999999999999995E-2</v>
      </c>
      <c r="AM89" s="62" t="str">
        <f t="shared" si="96"/>
        <v/>
      </c>
      <c r="AN89" t="str">
        <f t="shared" ca="1" si="97"/>
        <v/>
      </c>
      <c r="AO89" s="4" t="str">
        <f ca="1">IFERROR(VLOOKUP(AG89,$AH$2:$AJ$451,3,FALSE)&amp;IF(ISNUMBER(SEARCH(", Written",AN89))," -R"&amp;VLOOKUP(AN89,Skills!$M$2:$S$620,7,FALSE),IF(ISNUMBER(SEARCH(", Spoken",AN89))," -R"&amp;VLOOKUP(AN89,Skills!$M$2:$S$620,7,FALSE),"")),"")</f>
        <v/>
      </c>
      <c r="AQ89">
        <v>86</v>
      </c>
      <c r="AR89" s="8" t="str">
        <f>'Character Sheet'!FB88</f>
        <v>Horse Collar</v>
      </c>
      <c r="AS89" s="4" t="str">
        <f t="shared" si="98"/>
        <v>Soft Leather</v>
      </c>
      <c r="AT89" s="4">
        <f t="shared" si="99"/>
        <v>0.05</v>
      </c>
      <c r="AU89" s="4">
        <f t="shared" si="105"/>
        <v>30</v>
      </c>
      <c r="AV89" s="4">
        <f t="shared" si="106"/>
        <v>0</v>
      </c>
      <c r="AW89" s="4" t="str">
        <f t="shared" si="107"/>
        <v>Low Steel</v>
      </c>
      <c r="AX89" s="4">
        <f t="shared" si="100"/>
        <v>0.1</v>
      </c>
      <c r="AY89" s="4">
        <f t="shared" si="108"/>
        <v>490</v>
      </c>
      <c r="AZ89" s="4">
        <f t="shared" si="109"/>
        <v>5</v>
      </c>
      <c r="BA89" s="4" t="str">
        <f>IFERROR('Character Sheet'!JK88,"")</f>
        <v>Soft Leather</v>
      </c>
      <c r="BB89" s="4">
        <f t="shared" si="101"/>
        <v>0.05</v>
      </c>
      <c r="BC89" s="4">
        <f t="shared" si="110"/>
        <v>0</v>
      </c>
      <c r="BD89" s="4">
        <f t="shared" si="111"/>
        <v>0</v>
      </c>
      <c r="BE89" s="4">
        <f t="shared" si="112"/>
        <v>9.5</v>
      </c>
      <c r="BF89" s="4">
        <f t="shared" si="113"/>
        <v>30</v>
      </c>
      <c r="BG89" s="4">
        <f t="shared" si="114"/>
        <v>0</v>
      </c>
      <c r="BH89" s="4" t="str">
        <f>IFERROR('Character Sheet'!KC88,"")</f>
        <v>Low Steel</v>
      </c>
      <c r="BI89" s="4">
        <f t="shared" si="102"/>
        <v>0.1</v>
      </c>
      <c r="BJ89" s="4">
        <f t="shared" si="115"/>
        <v>-5</v>
      </c>
      <c r="BK89" s="4">
        <f t="shared" si="116"/>
        <v>5</v>
      </c>
      <c r="BL89" s="4">
        <f t="shared" si="117"/>
        <v>0.5</v>
      </c>
      <c r="BM89" s="4">
        <f t="shared" si="118"/>
        <v>490</v>
      </c>
      <c r="BN89" s="4">
        <f t="shared" si="119"/>
        <v>5</v>
      </c>
      <c r="BO89" s="4">
        <f t="shared" si="120"/>
        <v>0.95</v>
      </c>
      <c r="BP89" s="4">
        <f t="shared" si="121"/>
        <v>0</v>
      </c>
      <c r="BQ89" s="4">
        <f>IFERROR('Character Sheet'!IQ88+VLOOKUP(BA89,MaterialChart,5,FALSE),"")</f>
        <v>0</v>
      </c>
      <c r="BR89" s="4">
        <f t="shared" si="122"/>
        <v>0</v>
      </c>
      <c r="BS89" s="4">
        <f t="shared" si="144"/>
        <v>40</v>
      </c>
      <c r="BT89" s="4">
        <f t="shared" si="123"/>
        <v>1.75</v>
      </c>
      <c r="BU89" s="4">
        <f t="shared" si="124"/>
        <v>10</v>
      </c>
      <c r="BV89" s="4">
        <f t="shared" si="125"/>
        <v>10</v>
      </c>
      <c r="BW89" s="4">
        <f>IFERROR(ROUNDUP((BE89*(BB89-AT89))+(BL89*(BI89-AX89))+(BT89*(((100+(BD89+IF(BE89=1,0,BK89))+(4*BR89))/100)))*'Character Sheet'!GT88,3),"")</f>
        <v>1.8379999999999999</v>
      </c>
      <c r="BX89" s="4" t="str">
        <f t="shared" si="93"/>
        <v>$1.84</v>
      </c>
      <c r="BY89" s="8">
        <f t="shared" si="126"/>
        <v>0</v>
      </c>
      <c r="BZ89" s="4">
        <f>IF(ISNUMBER(SEARCH(BZ$83,$BY89)),VLOOKUP($BA89&amp;$CU89,Armour!$B$4:$BP$99,67,FALSE),0)</f>
        <v>0</v>
      </c>
      <c r="CA89" s="4">
        <f>IF(ISNUMBER(SEARCH(CA$83,$BY89)),VLOOKUP($BA89&amp;$CU89,Armour!$B$4:$BP$99,67,FALSE),0)</f>
        <v>0</v>
      </c>
      <c r="CB89" s="4">
        <f>IF(ISNUMBER(SEARCH(CB$83,$BY89)),VLOOKUP($BA89&amp;$CU89,Armour!$B$4:$BP$99,67,FALSE),0)</f>
        <v>0</v>
      </c>
      <c r="CC89" s="4">
        <f>IF(ISNUMBER(SEARCH(CC$83,$BY89)),VLOOKUP($BA89&amp;$CU89,Armour!$B$4:$BP$99,67,FALSE),0)</f>
        <v>0</v>
      </c>
      <c r="CD89" s="4">
        <f>IF(ISNUMBER(SEARCH(CD$83,$BY89)),VLOOKUP($BA89&amp;$CU89,Armour!$B$4:$BP$99,67,FALSE),0)</f>
        <v>0</v>
      </c>
      <c r="CE89" s="4">
        <f>IF(ISNUMBER(SEARCH(CE$83,$BY89)),VLOOKUP($BA89&amp;$CU89,Armour!$B$4:$BP$99,67,FALSE),0)</f>
        <v>0</v>
      </c>
      <c r="CF89" s="4">
        <f>IF(ISNUMBER(SEARCH(CF$83,$BY89)),VLOOKUP($BA89&amp;$CU89,Armour!$B$4:$BP$99,67,FALSE),0)</f>
        <v>0</v>
      </c>
      <c r="CG89" s="4">
        <f>IF(ISNUMBER(SEARCH(CG$83,$BY89)),VLOOKUP($BA89&amp;$CU89,Armour!$B$4:$BP$99,67,FALSE),0)</f>
        <v>0</v>
      </c>
      <c r="CH89" s="4">
        <f>IF(ISNUMBER(SEARCH(CH$83,$BY89)),VLOOKUP($BA89&amp;$CU89,Armour!$B$4:$BP$99,67,FALSE),0)</f>
        <v>0</v>
      </c>
      <c r="CI89" s="4">
        <f>IF(ISNUMBER(SEARCH(CI$83,$BY89)),VLOOKUP($BA89&amp;$CU89,Armour!$B$4:$BP$99,67,FALSE),0)</f>
        <v>0</v>
      </c>
      <c r="CJ89" s="4">
        <f>IF(ISNUMBER(SEARCH(CJ$83,$BY89)),VLOOKUP($BA89&amp;$CU89,Armour!$B$4:$BP$99,67,FALSE),0)</f>
        <v>0</v>
      </c>
      <c r="CK89" s="4">
        <f>IF(ISNUMBER(SEARCH(CK$83,$BY89)),VLOOKUP($BA89&amp;$CU89,Armour!$B$4:$BP$99,67,FALSE),0)</f>
        <v>0</v>
      </c>
      <c r="CL89" s="4">
        <f>IF(ISNUMBER(SEARCH(CL$83,$BY89)),VLOOKUP($BA89&amp;$CU89,Armour!$B$4:$BP$99,67,FALSE),0)</f>
        <v>0</v>
      </c>
      <c r="CM89" s="4">
        <f>IF(ISNUMBER(SEARCH(CM$83,$BY89)),VLOOKUP($BA89&amp;$CU89,Armour!$B$4:$BP$99,67,FALSE),0)</f>
        <v>0</v>
      </c>
      <c r="CN89" s="4">
        <f>IF(ISNUMBER(SEARCH(CN$83,$BY89)),VLOOKUP($BA89&amp;$CU89,Armour!$B$4:$BP$99,67,FALSE),0)</f>
        <v>0</v>
      </c>
      <c r="CO89" s="4">
        <f>IF(ISNUMBER(SEARCH(CO$83,$BY89)),VLOOKUP($BA89&amp;$CU89,Armour!$B$4:$BP$99,67,FALSE),0)</f>
        <v>0</v>
      </c>
      <c r="CP89" s="4">
        <f>IF(ISNUMBER(SEARCH(CP$83,$BY89)),VLOOKUP($BA89&amp;$CU89,Armour!$B$4:$BP$99,67,FALSE),0)</f>
        <v>0</v>
      </c>
      <c r="CQ89" s="4">
        <f>IF(ISNUMBER(SEARCH(CQ$83,$BY89)),VLOOKUP($BA89&amp;$CU89,Armour!$B$4:$BP$99,67,FALSE),0)</f>
        <v>0</v>
      </c>
      <c r="CR89" s="4">
        <f>IF(ISNUMBER(SEARCH(CR$83,$BY89)),VLOOKUP($BA89&amp;$CU89,Armour!$B$4:$BP$99,67,FALSE),0)</f>
        <v>0</v>
      </c>
      <c r="CS89" s="4">
        <f>IF(ISNUMBER(SEARCH(CS$83,$BY89)),VLOOKUP($BA89&amp;$CU89,Armour!$B$4:$BP$99,67,FALSE),0)</f>
        <v>0</v>
      </c>
      <c r="CT89" s="4">
        <f>IF(ISNUMBER(SEARCH(CT$83,$BY89)),VLOOKUP($BA89&amp;$CU89,Armour!$B$4:$BP$99,67,FALSE),0)</f>
        <v>0</v>
      </c>
      <c r="CU89" s="4" t="str">
        <f t="shared" si="127"/>
        <v/>
      </c>
      <c r="DH89" s="4" t="str">
        <f t="shared" si="103"/>
        <v/>
      </c>
      <c r="DI89">
        <v>7</v>
      </c>
      <c r="DJ89" s="3" t="str">
        <f t="shared" si="135"/>
        <v/>
      </c>
      <c r="DK89" s="4" t="str">
        <f t="shared" si="145"/>
        <v/>
      </c>
      <c r="DL89" s="4" t="str">
        <f>IFERROR(IF(DK89=0,"",VLOOKUP(DK89,Skills!$N$72:$AF$107,19,FALSE)),"")</f>
        <v/>
      </c>
      <c r="DM89" s="4"/>
      <c r="DN89" s="4" t="str">
        <f t="shared" si="136"/>
        <v/>
      </c>
      <c r="DO89" s="4" t="str">
        <f t="shared" si="152"/>
        <v/>
      </c>
      <c r="DP89" s="4">
        <f t="shared" si="104"/>
        <v>0</v>
      </c>
      <c r="DQ89" s="4">
        <f t="shared" si="137"/>
        <v>2</v>
      </c>
      <c r="DR89" s="4" t="e">
        <f t="shared" si="138"/>
        <v>#N/A</v>
      </c>
      <c r="DS89" s="4">
        <f t="shared" si="139"/>
        <v>7</v>
      </c>
      <c r="DT89" s="4" t="str">
        <f t="shared" si="146"/>
        <v/>
      </c>
      <c r="DU89" s="4" t="str">
        <f t="shared" si="147"/>
        <v/>
      </c>
      <c r="DV89" s="4" t="e">
        <f>VLOOKUP((VLOOKUP((VLOOKUP('Character Creation'!$Z$11,RaceChart,20,FALSE)&amp;" "&amp;VLOOKUP('Character Creation'!$Z$11,RaceChart,21,FALSE)),Charts!$H$2:$J$14,3,FALSE)+DU89),Charts!$J$2:$N$14,5,FALSE)</f>
        <v>#VALUE!</v>
      </c>
      <c r="DW89" s="4" t="e">
        <f>VLOOKUP(DV89,Charts!$N$2:$Q$14,4,FALSE)</f>
        <v>#VALUE!</v>
      </c>
      <c r="DX89" s="4" t="str">
        <f t="shared" si="140"/>
        <v/>
      </c>
      <c r="DY89" s="4" t="str">
        <f t="shared" si="148"/>
        <v/>
      </c>
      <c r="DZ89" s="4" t="str">
        <f t="shared" si="141"/>
        <v/>
      </c>
      <c r="EA89" s="4" t="e">
        <f>ROUNDDOWN(VLOOKUP(DK89,Skills!$N$72:$S$107,6,FALSE)/5,0)</f>
        <v>#N/A</v>
      </c>
      <c r="EB89" s="4" t="str">
        <f t="shared" si="149"/>
        <v/>
      </c>
      <c r="EC89" s="4" t="str">
        <f t="shared" si="142"/>
        <v>+</v>
      </c>
      <c r="ED89" s="4" t="e">
        <f>VLOOKUP(DJ89,'Character Sheet'!$FB$21:$HQ$35,61,FALSE)</f>
        <v>#N/A</v>
      </c>
      <c r="EE89" s="4" t="str">
        <f t="shared" si="150"/>
        <v/>
      </c>
      <c r="EF89" s="4" t="str">
        <f t="shared" si="151"/>
        <v/>
      </c>
      <c r="EG89" s="4" t="e">
        <f>VLOOKUP(DR89,Items!$B$1156:$AA$1282,18,FALSE)</f>
        <v>#N/A</v>
      </c>
      <c r="EH89" s="4">
        <f>VLOOKUP(DJ89,'Character Sheet'!$E$26:$EZ$45,81,FALSE)</f>
        <v>0</v>
      </c>
      <c r="EI89" s="4">
        <f>VLOOKUP(DJ89,'Character Sheet'!$E$26:$EZ$45,89,FALSE)</f>
        <v>0</v>
      </c>
      <c r="EJ89" s="4" t="e">
        <f t="shared" si="143"/>
        <v>#N/A</v>
      </c>
    </row>
    <row r="90" spans="29:140" x14ac:dyDescent="0.25">
      <c r="AC90" s="8" t="str">
        <f>IFERROR(VLOOKUP('Character Creation'!$CI103,Skills!$H$2:$N$620,6,FALSE),"")</f>
        <v/>
      </c>
      <c r="AD90" s="4">
        <f>'Character Creation'!EH103</f>
        <v>0</v>
      </c>
      <c r="AG90">
        <v>89</v>
      </c>
      <c r="AH90" s="4" t="str">
        <f t="shared" si="95"/>
        <v/>
      </c>
      <c r="AI90" t="str">
        <f>IFERROR(VLOOKUP(AG90,Skills!$B$2:$M$620,12,FALSE),"")</f>
        <v/>
      </c>
      <c r="AJ90" s="4" t="str">
        <f>IFERROR(VLOOKUP(AG90,Skills!$B$2:$AF$620,31,FALSE),"")</f>
        <v/>
      </c>
      <c r="AK90" s="4" t="str">
        <f t="shared" si="91"/>
        <v/>
      </c>
      <c r="AL90" s="4">
        <v>8.8999999999999996E-2</v>
      </c>
      <c r="AM90" s="62" t="str">
        <f t="shared" si="96"/>
        <v/>
      </c>
      <c r="AN90" t="str">
        <f t="shared" ca="1" si="97"/>
        <v/>
      </c>
      <c r="AO90" s="4" t="str">
        <f ca="1">IFERROR(VLOOKUP(AG90,$AH$2:$AJ$451,3,FALSE)&amp;IF(ISNUMBER(SEARCH(", Written",AN90))," -R"&amp;VLOOKUP(AN90,Skills!$M$2:$S$620,7,FALSE),IF(ISNUMBER(SEARCH(", Spoken",AN90))," -R"&amp;VLOOKUP(AN90,Skills!$M$2:$S$620,7,FALSE),"")),"")</f>
        <v/>
      </c>
      <c r="AQ90">
        <v>87</v>
      </c>
      <c r="AR90" s="8" t="str">
        <f>'Character Sheet'!FB89</f>
        <v>Horseshoe, Common</v>
      </c>
      <c r="AS90" s="4" t="str">
        <f t="shared" si="98"/>
        <v>Iron</v>
      </c>
      <c r="AT90" s="4">
        <f t="shared" si="99"/>
        <v>0.01</v>
      </c>
      <c r="AU90" s="4">
        <f t="shared" si="105"/>
        <v>491</v>
      </c>
      <c r="AV90" s="4">
        <f t="shared" si="106"/>
        <v>0</v>
      </c>
      <c r="AW90" s="4" t="str">
        <f t="shared" si="107"/>
        <v>Iron</v>
      </c>
      <c r="AX90" s="4">
        <f t="shared" si="100"/>
        <v>0.01</v>
      </c>
      <c r="AY90" s="4">
        <f t="shared" si="108"/>
        <v>491</v>
      </c>
      <c r="AZ90" s="4">
        <f t="shared" si="109"/>
        <v>0</v>
      </c>
      <c r="BA90" s="4" t="str">
        <f>IFERROR('Character Sheet'!JK89,"")</f>
        <v>Iron</v>
      </c>
      <c r="BB90" s="4">
        <f t="shared" si="101"/>
        <v>0.01</v>
      </c>
      <c r="BC90" s="4">
        <f t="shared" si="110"/>
        <v>0</v>
      </c>
      <c r="BD90" s="4">
        <f t="shared" si="111"/>
        <v>0</v>
      </c>
      <c r="BE90" s="4">
        <f t="shared" si="112"/>
        <v>0.2</v>
      </c>
      <c r="BF90" s="4">
        <f t="shared" si="113"/>
        <v>491</v>
      </c>
      <c r="BG90" s="4">
        <f t="shared" si="114"/>
        <v>0</v>
      </c>
      <c r="BH90" s="4" t="str">
        <f>IFERROR('Character Sheet'!KC89,"")</f>
        <v>Iron</v>
      </c>
      <c r="BI90" s="4">
        <f t="shared" si="102"/>
        <v>0.01</v>
      </c>
      <c r="BJ90" s="4">
        <f t="shared" si="115"/>
        <v>0</v>
      </c>
      <c r="BK90" s="4">
        <f t="shared" si="116"/>
        <v>0</v>
      </c>
      <c r="BL90" s="4">
        <f t="shared" si="117"/>
        <v>0</v>
      </c>
      <c r="BM90" s="4">
        <f t="shared" si="118"/>
        <v>491</v>
      </c>
      <c r="BN90" s="4">
        <f t="shared" si="119"/>
        <v>0</v>
      </c>
      <c r="BO90" s="4">
        <f t="shared" si="120"/>
        <v>1</v>
      </c>
      <c r="BP90" s="4">
        <f t="shared" si="121"/>
        <v>0</v>
      </c>
      <c r="BQ90" s="4">
        <f>IFERROR('Character Sheet'!IQ89+VLOOKUP(BA90,MaterialChart,5,FALSE),"")</f>
        <v>0</v>
      </c>
      <c r="BR90" s="4">
        <f t="shared" si="122"/>
        <v>0</v>
      </c>
      <c r="BS90" s="4">
        <f t="shared" si="144"/>
        <v>40</v>
      </c>
      <c r="BT90" s="4">
        <f t="shared" si="123"/>
        <v>0.1</v>
      </c>
      <c r="BU90" s="4">
        <f t="shared" si="124"/>
        <v>0.2</v>
      </c>
      <c r="BV90" s="4">
        <f t="shared" si="125"/>
        <v>0.2</v>
      </c>
      <c r="BW90" s="4">
        <f>IFERROR(ROUNDUP((BE90*(BB90-AT90))+(BL90*(BI90-AX90))+(BT90*(((100+(BD90+IF(BE90=1,0,BK90))+(4*BR90))/100)))*'Character Sheet'!GT89,3),"")</f>
        <v>0.4</v>
      </c>
      <c r="BX90" s="4" t="str">
        <f t="shared" si="93"/>
        <v>$0.4</v>
      </c>
      <c r="BY90" s="8">
        <f t="shared" si="126"/>
        <v>0</v>
      </c>
      <c r="BZ90" s="4">
        <f>IF(ISNUMBER(SEARCH(BZ$83,$BY90)),VLOOKUP($BA90&amp;$CU90,Armour!$B$4:$BP$99,67,FALSE),0)</f>
        <v>0</v>
      </c>
      <c r="CA90" s="4">
        <f>IF(ISNUMBER(SEARCH(CA$83,$BY90)),VLOOKUP($BA90&amp;$CU90,Armour!$B$4:$BP$99,67,FALSE),0)</f>
        <v>0</v>
      </c>
      <c r="CB90" s="4">
        <f>IF(ISNUMBER(SEARCH(CB$83,$BY90)),VLOOKUP($BA90&amp;$CU90,Armour!$B$4:$BP$99,67,FALSE),0)</f>
        <v>0</v>
      </c>
      <c r="CC90" s="4">
        <f>IF(ISNUMBER(SEARCH(CC$83,$BY90)),VLOOKUP($BA90&amp;$CU90,Armour!$B$4:$BP$99,67,FALSE),0)</f>
        <v>0</v>
      </c>
      <c r="CD90" s="4">
        <f>IF(ISNUMBER(SEARCH(CD$83,$BY90)),VLOOKUP($BA90&amp;$CU90,Armour!$B$4:$BP$99,67,FALSE),0)</f>
        <v>0</v>
      </c>
      <c r="CE90" s="4">
        <f>IF(ISNUMBER(SEARCH(CE$83,$BY90)),VLOOKUP($BA90&amp;$CU90,Armour!$B$4:$BP$99,67,FALSE),0)</f>
        <v>0</v>
      </c>
      <c r="CF90" s="4">
        <f>IF(ISNUMBER(SEARCH(CF$83,$BY90)),VLOOKUP($BA90&amp;$CU90,Armour!$B$4:$BP$99,67,FALSE),0)</f>
        <v>0</v>
      </c>
      <c r="CG90" s="4">
        <f>IF(ISNUMBER(SEARCH(CG$83,$BY90)),VLOOKUP($BA90&amp;$CU90,Armour!$B$4:$BP$99,67,FALSE),0)</f>
        <v>0</v>
      </c>
      <c r="CH90" s="4">
        <f>IF(ISNUMBER(SEARCH(CH$83,$BY90)),VLOOKUP($BA90&amp;$CU90,Armour!$B$4:$BP$99,67,FALSE),0)</f>
        <v>0</v>
      </c>
      <c r="CI90" s="4">
        <f>IF(ISNUMBER(SEARCH(CI$83,$BY90)),VLOOKUP($BA90&amp;$CU90,Armour!$B$4:$BP$99,67,FALSE),0)</f>
        <v>0</v>
      </c>
      <c r="CJ90" s="4">
        <f>IF(ISNUMBER(SEARCH(CJ$83,$BY90)),VLOOKUP($BA90&amp;$CU90,Armour!$B$4:$BP$99,67,FALSE),0)</f>
        <v>0</v>
      </c>
      <c r="CK90" s="4">
        <f>IF(ISNUMBER(SEARCH(CK$83,$BY90)),VLOOKUP($BA90&amp;$CU90,Armour!$B$4:$BP$99,67,FALSE),0)</f>
        <v>0</v>
      </c>
      <c r="CL90" s="4">
        <f>IF(ISNUMBER(SEARCH(CL$83,$BY90)),VLOOKUP($BA90&amp;$CU90,Armour!$B$4:$BP$99,67,FALSE),0)</f>
        <v>0</v>
      </c>
      <c r="CM90" s="4">
        <f>IF(ISNUMBER(SEARCH(CM$83,$BY90)),VLOOKUP($BA90&amp;$CU90,Armour!$B$4:$BP$99,67,FALSE),0)</f>
        <v>0</v>
      </c>
      <c r="CN90" s="4">
        <f>IF(ISNUMBER(SEARCH(CN$83,$BY90)),VLOOKUP($BA90&amp;$CU90,Armour!$B$4:$BP$99,67,FALSE),0)</f>
        <v>0</v>
      </c>
      <c r="CO90" s="4">
        <f>IF(ISNUMBER(SEARCH(CO$83,$BY90)),VLOOKUP($BA90&amp;$CU90,Armour!$B$4:$BP$99,67,FALSE),0)</f>
        <v>0</v>
      </c>
      <c r="CP90" s="4">
        <f>IF(ISNUMBER(SEARCH(CP$83,$BY90)),VLOOKUP($BA90&amp;$CU90,Armour!$B$4:$BP$99,67,FALSE),0)</f>
        <v>0</v>
      </c>
      <c r="CQ90" s="4">
        <f>IF(ISNUMBER(SEARCH(CQ$83,$BY90)),VLOOKUP($BA90&amp;$CU90,Armour!$B$4:$BP$99,67,FALSE),0)</f>
        <v>0</v>
      </c>
      <c r="CR90" s="4">
        <f>IF(ISNUMBER(SEARCH(CR$83,$BY90)),VLOOKUP($BA90&amp;$CU90,Armour!$B$4:$BP$99,67,FALSE),0)</f>
        <v>0</v>
      </c>
      <c r="CS90" s="4">
        <f>IF(ISNUMBER(SEARCH(CS$83,$BY90)),VLOOKUP($BA90&amp;$CU90,Armour!$B$4:$BP$99,67,FALSE),0)</f>
        <v>0</v>
      </c>
      <c r="CT90" s="4">
        <f>IF(ISNUMBER(SEARCH(CT$83,$BY90)),VLOOKUP($BA90&amp;$CU90,Armour!$B$4:$BP$99,67,FALSE),0)</f>
        <v>0</v>
      </c>
      <c r="CU90" s="4" t="str">
        <f t="shared" si="127"/>
        <v/>
      </c>
      <c r="DH90" s="4" t="str">
        <f t="shared" si="103"/>
        <v/>
      </c>
      <c r="DI90">
        <v>8</v>
      </c>
      <c r="DJ90" s="3" t="str">
        <f t="shared" si="135"/>
        <v/>
      </c>
      <c r="DK90" s="4" t="str">
        <f t="shared" si="145"/>
        <v/>
      </c>
      <c r="DL90" s="4" t="str">
        <f>IFERROR(IF(DK90=0,"",VLOOKUP(DK90,Skills!$N$72:$AF$107,19,FALSE)),"")</f>
        <v/>
      </c>
      <c r="DM90" s="4"/>
      <c r="DN90" s="4" t="str">
        <f t="shared" si="136"/>
        <v/>
      </c>
      <c r="DO90" s="4" t="str">
        <f t="shared" si="152"/>
        <v/>
      </c>
      <c r="DP90" s="4">
        <f t="shared" si="104"/>
        <v>0</v>
      </c>
      <c r="DQ90" s="4">
        <f t="shared" si="137"/>
        <v>2</v>
      </c>
      <c r="DR90" s="4" t="e">
        <f t="shared" si="138"/>
        <v>#N/A</v>
      </c>
      <c r="DS90" s="4">
        <f t="shared" si="139"/>
        <v>8</v>
      </c>
      <c r="DT90" s="4" t="str">
        <f t="shared" si="146"/>
        <v/>
      </c>
      <c r="DU90" s="4" t="str">
        <f t="shared" si="147"/>
        <v/>
      </c>
      <c r="DV90" s="4" t="e">
        <f>VLOOKUP((VLOOKUP((VLOOKUP('Character Creation'!$Z$11,RaceChart,20,FALSE)&amp;" "&amp;VLOOKUP('Character Creation'!$Z$11,RaceChart,21,FALSE)),Charts!$H$2:$J$14,3,FALSE)+DU90),Charts!$J$2:$N$14,5,FALSE)</f>
        <v>#VALUE!</v>
      </c>
      <c r="DW90" s="4" t="e">
        <f>VLOOKUP(DV90,Charts!$N$2:$Q$14,4,FALSE)</f>
        <v>#VALUE!</v>
      </c>
      <c r="DX90" s="4" t="str">
        <f t="shared" si="140"/>
        <v/>
      </c>
      <c r="DY90" s="4" t="str">
        <f t="shared" si="148"/>
        <v/>
      </c>
      <c r="DZ90" s="4" t="str">
        <f t="shared" si="141"/>
        <v/>
      </c>
      <c r="EA90" s="4" t="e">
        <f>ROUNDDOWN(VLOOKUP(DK90,Skills!$N$72:$S$107,6,FALSE)/5,0)</f>
        <v>#N/A</v>
      </c>
      <c r="EB90" s="4" t="str">
        <f t="shared" si="149"/>
        <v/>
      </c>
      <c r="EC90" s="4" t="str">
        <f t="shared" si="142"/>
        <v>+</v>
      </c>
      <c r="ED90" s="4" t="e">
        <f>VLOOKUP(DJ90,'Character Sheet'!$FB$21:$HQ$35,61,FALSE)</f>
        <v>#N/A</v>
      </c>
      <c r="EE90" s="4" t="str">
        <f t="shared" si="150"/>
        <v/>
      </c>
      <c r="EF90" s="4" t="str">
        <f t="shared" si="151"/>
        <v/>
      </c>
      <c r="EG90" s="4" t="e">
        <f>VLOOKUP(DR90,Items!$B$1156:$AA$1282,18,FALSE)</f>
        <v>#N/A</v>
      </c>
      <c r="EH90" s="4">
        <f>VLOOKUP(DJ90,'Character Sheet'!$E$26:$EZ$45,81,FALSE)</f>
        <v>0</v>
      </c>
      <c r="EI90" s="4">
        <f>VLOOKUP(DJ90,'Character Sheet'!$E$26:$EZ$45,89,FALSE)</f>
        <v>0</v>
      </c>
      <c r="EJ90" s="4" t="e">
        <f t="shared" si="143"/>
        <v>#N/A</v>
      </c>
    </row>
    <row r="91" spans="29:140" x14ac:dyDescent="0.25">
      <c r="AC91" s="8" t="str">
        <f>IFERROR(VLOOKUP('Character Creation'!$CI104,Skills!$H$2:$N$620,6,FALSE),"")</f>
        <v/>
      </c>
      <c r="AD91" s="4">
        <f>'Character Creation'!EH104</f>
        <v>0</v>
      </c>
      <c r="AG91">
        <v>90</v>
      </c>
      <c r="AH91" s="4" t="str">
        <f t="shared" si="95"/>
        <v/>
      </c>
      <c r="AI91" t="str">
        <f>IFERROR(VLOOKUP(AG91,Skills!$B$2:$M$620,12,FALSE),"")</f>
        <v/>
      </c>
      <c r="AJ91" s="4" t="str">
        <f>IFERROR(VLOOKUP(AG91,Skills!$B$2:$AF$620,31,FALSE),"")</f>
        <v/>
      </c>
      <c r="AK91" s="4" t="str">
        <f t="shared" ref="AK91:AK154" si="153">IFERROR(LEFT(AJ91,FIND("/",AJ91)-1),AJ91)</f>
        <v/>
      </c>
      <c r="AL91" s="4">
        <v>0.09</v>
      </c>
      <c r="AM91" s="62" t="str">
        <f t="shared" si="96"/>
        <v/>
      </c>
      <c r="AN91" t="str">
        <f t="shared" ca="1" si="97"/>
        <v/>
      </c>
      <c r="AO91" s="4" t="str">
        <f ca="1">IFERROR(VLOOKUP(AG91,$AH$2:$AJ$451,3,FALSE)&amp;IF(ISNUMBER(SEARCH(", Written",AN91))," -R"&amp;VLOOKUP(AN91,Skills!$M$2:$S$620,7,FALSE),IF(ISNUMBER(SEARCH(", Spoken",AN91))," -R"&amp;VLOOKUP(AN91,Skills!$M$2:$S$620,7,FALSE),"")),"")</f>
        <v/>
      </c>
      <c r="AQ91">
        <v>88</v>
      </c>
      <c r="AR91" s="8" t="str">
        <f>'Character Sheet'!FB90</f>
        <v>Riding Crop</v>
      </c>
      <c r="AS91" s="4" t="str">
        <f t="shared" si="98"/>
        <v>Soft Leather</v>
      </c>
      <c r="AT91" s="4">
        <f t="shared" si="99"/>
        <v>0.05</v>
      </c>
      <c r="AU91" s="4">
        <f t="shared" si="105"/>
        <v>30</v>
      </c>
      <c r="AV91" s="4">
        <f t="shared" si="106"/>
        <v>0</v>
      </c>
      <c r="AW91" s="4" t="str">
        <f t="shared" si="107"/>
        <v>Soft Leather</v>
      </c>
      <c r="AX91" s="4">
        <f t="shared" si="100"/>
        <v>0.05</v>
      </c>
      <c r="AY91" s="4">
        <f t="shared" si="108"/>
        <v>30</v>
      </c>
      <c r="AZ91" s="4">
        <f t="shared" si="109"/>
        <v>0</v>
      </c>
      <c r="BA91" s="4" t="str">
        <f>IFERROR('Character Sheet'!JK90,"")</f>
        <v>Soft Leather</v>
      </c>
      <c r="BB91" s="4">
        <f t="shared" si="101"/>
        <v>0.05</v>
      </c>
      <c r="BC91" s="4">
        <f t="shared" si="110"/>
        <v>0</v>
      </c>
      <c r="BD91" s="4">
        <f t="shared" si="111"/>
        <v>0</v>
      </c>
      <c r="BE91" s="4">
        <f t="shared" si="112"/>
        <v>0.5</v>
      </c>
      <c r="BF91" s="4">
        <f t="shared" si="113"/>
        <v>30</v>
      </c>
      <c r="BG91" s="4">
        <f t="shared" si="114"/>
        <v>0</v>
      </c>
      <c r="BH91" s="4" t="str">
        <f>IFERROR('Character Sheet'!KC90,"")</f>
        <v>Soft Leather</v>
      </c>
      <c r="BI91" s="4">
        <f t="shared" si="102"/>
        <v>0.05</v>
      </c>
      <c r="BJ91" s="4">
        <f t="shared" si="115"/>
        <v>0</v>
      </c>
      <c r="BK91" s="4">
        <f t="shared" si="116"/>
        <v>0</v>
      </c>
      <c r="BL91" s="4">
        <f t="shared" si="117"/>
        <v>0</v>
      </c>
      <c r="BM91" s="4">
        <f t="shared" si="118"/>
        <v>30</v>
      </c>
      <c r="BN91" s="4">
        <f t="shared" si="119"/>
        <v>0</v>
      </c>
      <c r="BO91" s="4">
        <f t="shared" si="120"/>
        <v>1</v>
      </c>
      <c r="BP91" s="4">
        <f t="shared" si="121"/>
        <v>0</v>
      </c>
      <c r="BQ91" s="4">
        <f>IFERROR('Character Sheet'!IQ90+VLOOKUP(BA91,MaterialChart,5,FALSE),"")</f>
        <v>0</v>
      </c>
      <c r="BR91" s="4">
        <f t="shared" si="122"/>
        <v>0</v>
      </c>
      <c r="BS91" s="4">
        <f t="shared" si="144"/>
        <v>40</v>
      </c>
      <c r="BT91" s="4">
        <f t="shared" si="123"/>
        <v>2</v>
      </c>
      <c r="BU91" s="4">
        <f t="shared" si="124"/>
        <v>0.5</v>
      </c>
      <c r="BV91" s="4">
        <f t="shared" si="125"/>
        <v>0.5</v>
      </c>
      <c r="BW91" s="4">
        <f>IFERROR(ROUNDUP((BE91*(BB91-AT91))+(BL91*(BI91-AX91))+(BT91*(((100+(BD91+IF(BE91=1,0,BK91))+(4*BR91))/100)))*'Character Sheet'!GT90,3),"")</f>
        <v>2</v>
      </c>
      <c r="BX91" s="4" t="str">
        <f t="shared" si="93"/>
        <v>$2</v>
      </c>
      <c r="BY91" s="8">
        <f t="shared" si="126"/>
        <v>0</v>
      </c>
      <c r="BZ91" s="4">
        <f>IF(ISNUMBER(SEARCH(BZ$83,$BY91)),VLOOKUP($BA91&amp;$CU91,Armour!$B$4:$BP$99,67,FALSE),0)</f>
        <v>0</v>
      </c>
      <c r="CA91" s="4">
        <f>IF(ISNUMBER(SEARCH(CA$83,$BY91)),VLOOKUP($BA91&amp;$CU91,Armour!$B$4:$BP$99,67,FALSE),0)</f>
        <v>0</v>
      </c>
      <c r="CB91" s="4">
        <f>IF(ISNUMBER(SEARCH(CB$83,$BY91)),VLOOKUP($BA91&amp;$CU91,Armour!$B$4:$BP$99,67,FALSE),0)</f>
        <v>0</v>
      </c>
      <c r="CC91" s="4">
        <f>IF(ISNUMBER(SEARCH(CC$83,$BY91)),VLOOKUP($BA91&amp;$CU91,Armour!$B$4:$BP$99,67,FALSE),0)</f>
        <v>0</v>
      </c>
      <c r="CD91" s="4">
        <f>IF(ISNUMBER(SEARCH(CD$83,$BY91)),VLOOKUP($BA91&amp;$CU91,Armour!$B$4:$BP$99,67,FALSE),0)</f>
        <v>0</v>
      </c>
      <c r="CE91" s="4">
        <f>IF(ISNUMBER(SEARCH(CE$83,$BY91)),VLOOKUP($BA91&amp;$CU91,Armour!$B$4:$BP$99,67,FALSE),0)</f>
        <v>0</v>
      </c>
      <c r="CF91" s="4">
        <f>IF(ISNUMBER(SEARCH(CF$83,$BY91)),VLOOKUP($BA91&amp;$CU91,Armour!$B$4:$BP$99,67,FALSE),0)</f>
        <v>0</v>
      </c>
      <c r="CG91" s="4">
        <f>IF(ISNUMBER(SEARCH(CG$83,$BY91)),VLOOKUP($BA91&amp;$CU91,Armour!$B$4:$BP$99,67,FALSE),0)</f>
        <v>0</v>
      </c>
      <c r="CH91" s="4">
        <f>IF(ISNUMBER(SEARCH(CH$83,$BY91)),VLOOKUP($BA91&amp;$CU91,Armour!$B$4:$BP$99,67,FALSE),0)</f>
        <v>0</v>
      </c>
      <c r="CI91" s="4">
        <f>IF(ISNUMBER(SEARCH(CI$83,$BY91)),VLOOKUP($BA91&amp;$CU91,Armour!$B$4:$BP$99,67,FALSE),0)</f>
        <v>0</v>
      </c>
      <c r="CJ91" s="4">
        <f>IF(ISNUMBER(SEARCH(CJ$83,$BY91)),VLOOKUP($BA91&amp;$CU91,Armour!$B$4:$BP$99,67,FALSE),0)</f>
        <v>0</v>
      </c>
      <c r="CK91" s="4">
        <f>IF(ISNUMBER(SEARCH(CK$83,$BY91)),VLOOKUP($BA91&amp;$CU91,Armour!$B$4:$BP$99,67,FALSE),0)</f>
        <v>0</v>
      </c>
      <c r="CL91" s="4">
        <f>IF(ISNUMBER(SEARCH(CL$83,$BY91)),VLOOKUP($BA91&amp;$CU91,Armour!$B$4:$BP$99,67,FALSE),0)</f>
        <v>0</v>
      </c>
      <c r="CM91" s="4">
        <f>IF(ISNUMBER(SEARCH(CM$83,$BY91)),VLOOKUP($BA91&amp;$CU91,Armour!$B$4:$BP$99,67,FALSE),0)</f>
        <v>0</v>
      </c>
      <c r="CN91" s="4">
        <f>IF(ISNUMBER(SEARCH(CN$83,$BY91)),VLOOKUP($BA91&amp;$CU91,Armour!$B$4:$BP$99,67,FALSE),0)</f>
        <v>0</v>
      </c>
      <c r="CO91" s="4">
        <f>IF(ISNUMBER(SEARCH(CO$83,$BY91)),VLOOKUP($BA91&amp;$CU91,Armour!$B$4:$BP$99,67,FALSE),0)</f>
        <v>0</v>
      </c>
      <c r="CP91" s="4">
        <f>IF(ISNUMBER(SEARCH(CP$83,$BY91)),VLOOKUP($BA91&amp;$CU91,Armour!$B$4:$BP$99,67,FALSE),0)</f>
        <v>0</v>
      </c>
      <c r="CQ91" s="4">
        <f>IF(ISNUMBER(SEARCH(CQ$83,$BY91)),VLOOKUP($BA91&amp;$CU91,Armour!$B$4:$BP$99,67,FALSE),0)</f>
        <v>0</v>
      </c>
      <c r="CR91" s="4">
        <f>IF(ISNUMBER(SEARCH(CR$83,$BY91)),VLOOKUP($BA91&amp;$CU91,Armour!$B$4:$BP$99,67,FALSE),0)</f>
        <v>0</v>
      </c>
      <c r="CS91" s="4">
        <f>IF(ISNUMBER(SEARCH(CS$83,$BY91)),VLOOKUP($BA91&amp;$CU91,Armour!$B$4:$BP$99,67,FALSE),0)</f>
        <v>0</v>
      </c>
      <c r="CT91" s="4">
        <f>IF(ISNUMBER(SEARCH(CT$83,$BY91)),VLOOKUP($BA91&amp;$CU91,Armour!$B$4:$BP$99,67,FALSE),0)</f>
        <v>0</v>
      </c>
      <c r="CU91" s="4" t="str">
        <f t="shared" si="127"/>
        <v/>
      </c>
      <c r="DH91" s="4" t="str">
        <f t="shared" si="103"/>
        <v/>
      </c>
      <c r="DI91">
        <v>9</v>
      </c>
      <c r="DJ91" s="3" t="str">
        <f t="shared" si="135"/>
        <v/>
      </c>
      <c r="DK91" s="4" t="str">
        <f t="shared" si="145"/>
        <v/>
      </c>
      <c r="DL91" s="4" t="str">
        <f>IFERROR(IF(DK91=0,"",VLOOKUP(DK91,Skills!$N$72:$AF$107,19,FALSE)),"")</f>
        <v/>
      </c>
      <c r="DM91" s="4"/>
      <c r="DN91" s="4" t="str">
        <f t="shared" si="136"/>
        <v/>
      </c>
      <c r="DO91" s="4" t="str">
        <f t="shared" si="152"/>
        <v/>
      </c>
      <c r="DP91" s="4">
        <f t="shared" si="104"/>
        <v>0</v>
      </c>
      <c r="DQ91" s="4">
        <f t="shared" si="137"/>
        <v>2</v>
      </c>
      <c r="DR91" s="4" t="e">
        <f t="shared" si="138"/>
        <v>#N/A</v>
      </c>
      <c r="DS91" s="4">
        <f t="shared" si="139"/>
        <v>9</v>
      </c>
      <c r="DT91" s="4" t="str">
        <f t="shared" si="146"/>
        <v/>
      </c>
      <c r="DU91" s="4" t="str">
        <f t="shared" si="147"/>
        <v/>
      </c>
      <c r="DV91" s="4" t="e">
        <f>VLOOKUP((VLOOKUP((VLOOKUP('Character Creation'!$Z$11,RaceChart,20,FALSE)&amp;" "&amp;VLOOKUP('Character Creation'!$Z$11,RaceChart,21,FALSE)),Charts!$H$2:$J$14,3,FALSE)+DU91),Charts!$J$2:$N$14,5,FALSE)</f>
        <v>#VALUE!</v>
      </c>
      <c r="DW91" s="4" t="e">
        <f>VLOOKUP(DV91,Charts!$N$2:$Q$14,4,FALSE)</f>
        <v>#VALUE!</v>
      </c>
      <c r="DX91" s="4" t="str">
        <f t="shared" si="140"/>
        <v/>
      </c>
      <c r="DY91" s="4" t="str">
        <f t="shared" si="148"/>
        <v/>
      </c>
      <c r="DZ91" s="4" t="str">
        <f t="shared" si="141"/>
        <v/>
      </c>
      <c r="EA91" s="4" t="e">
        <f>ROUNDDOWN(VLOOKUP(DK91,Skills!$N$72:$S$107,6,FALSE)/5,0)</f>
        <v>#N/A</v>
      </c>
      <c r="EB91" s="4" t="str">
        <f t="shared" si="149"/>
        <v/>
      </c>
      <c r="EC91" s="4" t="str">
        <f t="shared" si="142"/>
        <v>+</v>
      </c>
      <c r="ED91" s="4" t="e">
        <f>VLOOKUP(DJ91,'Character Sheet'!$FB$21:$HQ$35,61,FALSE)</f>
        <v>#N/A</v>
      </c>
      <c r="EE91" s="4" t="str">
        <f t="shared" si="150"/>
        <v/>
      </c>
      <c r="EF91" s="4" t="str">
        <f t="shared" si="151"/>
        <v/>
      </c>
      <c r="EG91" s="4" t="e">
        <f>VLOOKUP(DR91,Items!$B$1156:$AA$1282,18,FALSE)</f>
        <v>#N/A</v>
      </c>
      <c r="EH91" s="4">
        <f>VLOOKUP(DJ91,'Character Sheet'!$E$26:$EZ$45,81,FALSE)</f>
        <v>0</v>
      </c>
      <c r="EI91" s="4">
        <f>VLOOKUP(DJ91,'Character Sheet'!$E$26:$EZ$45,89,FALSE)</f>
        <v>0</v>
      </c>
      <c r="EJ91" s="4" t="e">
        <f t="shared" si="143"/>
        <v>#N/A</v>
      </c>
    </row>
    <row r="92" spans="29:140" x14ac:dyDescent="0.25">
      <c r="AC92" s="8" t="str">
        <f>IFERROR(VLOOKUP('Character Creation'!$CI105,Skills!$H$2:$N$620,6,FALSE),"")</f>
        <v/>
      </c>
      <c r="AD92" s="4">
        <f>'Character Creation'!EH105</f>
        <v>0</v>
      </c>
      <c r="AG92">
        <v>91</v>
      </c>
      <c r="AH92" s="4" t="str">
        <f t="shared" si="95"/>
        <v/>
      </c>
      <c r="AI92" t="str">
        <f>IFERROR(VLOOKUP(AG92,Skills!$B$2:$M$620,12,FALSE),"")</f>
        <v/>
      </c>
      <c r="AJ92" s="4" t="str">
        <f>IFERROR(VLOOKUP(AG92,Skills!$B$2:$AF$620,31,FALSE),"")</f>
        <v/>
      </c>
      <c r="AK92" s="4" t="str">
        <f t="shared" si="153"/>
        <v/>
      </c>
      <c r="AL92" s="4">
        <v>9.0999999999999998E-2</v>
      </c>
      <c r="AM92" s="62" t="str">
        <f t="shared" si="96"/>
        <v/>
      </c>
      <c r="AN92" t="str">
        <f t="shared" ca="1" si="97"/>
        <v/>
      </c>
      <c r="AO92" s="4" t="str">
        <f ca="1">IFERROR(VLOOKUP(AG92,$AH$2:$AJ$451,3,FALSE)&amp;IF(ISNUMBER(SEARCH(", Written",AN92))," -R"&amp;VLOOKUP(AN92,Skills!$M$2:$S$620,7,FALSE),IF(ISNUMBER(SEARCH(", Spoken",AN92))," -R"&amp;VLOOKUP(AN92,Skills!$M$2:$S$620,7,FALSE),"")),"")</f>
        <v/>
      </c>
      <c r="AQ92">
        <v>89</v>
      </c>
      <c r="AR92" s="8" t="str">
        <f>'Character Sheet'!FB91</f>
        <v>Saddle Rifle Scabbard</v>
      </c>
      <c r="AS92" s="4" t="str">
        <f t="shared" si="98"/>
        <v>Heavy Cloth</v>
      </c>
      <c r="AT92" s="4">
        <f t="shared" si="99"/>
        <v>0.04</v>
      </c>
      <c r="AU92" s="4">
        <f t="shared" si="105"/>
        <v>12</v>
      </c>
      <c r="AV92" s="4">
        <f t="shared" si="106"/>
        <v>0</v>
      </c>
      <c r="AW92" s="4" t="str">
        <f t="shared" si="107"/>
        <v>Light Cloth</v>
      </c>
      <c r="AX92" s="4">
        <f t="shared" si="100"/>
        <v>0.02</v>
      </c>
      <c r="AY92" s="4">
        <f t="shared" si="108"/>
        <v>10</v>
      </c>
      <c r="AZ92" s="4">
        <f t="shared" si="109"/>
        <v>0</v>
      </c>
      <c r="BA92" s="4" t="str">
        <f>IFERROR('Character Sheet'!JK91,"")</f>
        <v>Heavy Cloth</v>
      </c>
      <c r="BB92" s="4">
        <f t="shared" si="101"/>
        <v>0.04</v>
      </c>
      <c r="BC92" s="4">
        <f t="shared" si="110"/>
        <v>0</v>
      </c>
      <c r="BD92" s="4">
        <f t="shared" si="111"/>
        <v>0</v>
      </c>
      <c r="BE92" s="4">
        <f t="shared" si="112"/>
        <v>2.4249999999999998</v>
      </c>
      <c r="BF92" s="4">
        <f t="shared" si="113"/>
        <v>12</v>
      </c>
      <c r="BG92" s="4">
        <f t="shared" si="114"/>
        <v>0</v>
      </c>
      <c r="BH92" s="4" t="str">
        <f>IFERROR('Character Sheet'!KC91,"")</f>
        <v>Light Cloth</v>
      </c>
      <c r="BI92" s="4">
        <f t="shared" si="102"/>
        <v>0.02</v>
      </c>
      <c r="BJ92" s="4">
        <f t="shared" si="115"/>
        <v>0</v>
      </c>
      <c r="BK92" s="4">
        <f t="shared" si="116"/>
        <v>0</v>
      </c>
      <c r="BL92" s="4">
        <f t="shared" si="117"/>
        <v>7.5000000000000178E-2</v>
      </c>
      <c r="BM92" s="4">
        <f t="shared" si="118"/>
        <v>10</v>
      </c>
      <c r="BN92" s="4">
        <f t="shared" si="119"/>
        <v>0</v>
      </c>
      <c r="BO92" s="4">
        <f t="shared" si="120"/>
        <v>0.97</v>
      </c>
      <c r="BP92" s="4">
        <f t="shared" si="121"/>
        <v>0</v>
      </c>
      <c r="BQ92" s="4">
        <f>IFERROR('Character Sheet'!IQ91+VLOOKUP(BA92,MaterialChart,5,FALSE),"")</f>
        <v>0</v>
      </c>
      <c r="BR92" s="4">
        <f t="shared" si="122"/>
        <v>0</v>
      </c>
      <c r="BS92" s="4">
        <f t="shared" si="144"/>
        <v>40</v>
      </c>
      <c r="BT92" s="4">
        <f t="shared" si="123"/>
        <v>2</v>
      </c>
      <c r="BU92" s="4">
        <f t="shared" si="124"/>
        <v>2.5</v>
      </c>
      <c r="BV92" s="4">
        <f t="shared" si="125"/>
        <v>2.5</v>
      </c>
      <c r="BW92" s="4">
        <f>IFERROR(ROUNDUP((BE92*(BB92-AT92))+(BL92*(BI92-AX92))+(BT92*(((100+(BD92+IF(BE92=1,0,BK92))+(4*BR92))/100)))*'Character Sheet'!GT91,3),"")</f>
        <v>2</v>
      </c>
      <c r="BX92" s="4" t="str">
        <f t="shared" si="93"/>
        <v>$2</v>
      </c>
      <c r="BY92" s="8">
        <f t="shared" si="126"/>
        <v>0</v>
      </c>
      <c r="BZ92" s="4">
        <f>IF(ISNUMBER(SEARCH(BZ$83,$BY92)),VLOOKUP($BA92&amp;$CU92,Armour!$B$4:$BP$99,67,FALSE),0)</f>
        <v>0</v>
      </c>
      <c r="CA92" s="4">
        <f>IF(ISNUMBER(SEARCH(CA$83,$BY92)),VLOOKUP($BA92&amp;$CU92,Armour!$B$4:$BP$99,67,FALSE),0)</f>
        <v>0</v>
      </c>
      <c r="CB92" s="4">
        <f>IF(ISNUMBER(SEARCH(CB$83,$BY92)),VLOOKUP($BA92&amp;$CU92,Armour!$B$4:$BP$99,67,FALSE),0)</f>
        <v>0</v>
      </c>
      <c r="CC92" s="4">
        <f>IF(ISNUMBER(SEARCH(CC$83,$BY92)),VLOOKUP($BA92&amp;$CU92,Armour!$B$4:$BP$99,67,FALSE),0)</f>
        <v>0</v>
      </c>
      <c r="CD92" s="4">
        <f>IF(ISNUMBER(SEARCH(CD$83,$BY92)),VLOOKUP($BA92&amp;$CU92,Armour!$B$4:$BP$99,67,FALSE),0)</f>
        <v>0</v>
      </c>
      <c r="CE92" s="4">
        <f>IF(ISNUMBER(SEARCH(CE$83,$BY92)),VLOOKUP($BA92&amp;$CU92,Armour!$B$4:$BP$99,67,FALSE),0)</f>
        <v>0</v>
      </c>
      <c r="CF92" s="4">
        <f>IF(ISNUMBER(SEARCH(CF$83,$BY92)),VLOOKUP($BA92&amp;$CU92,Armour!$B$4:$BP$99,67,FALSE),0)</f>
        <v>0</v>
      </c>
      <c r="CG92" s="4">
        <f>IF(ISNUMBER(SEARCH(CG$83,$BY92)),VLOOKUP($BA92&amp;$CU92,Armour!$B$4:$BP$99,67,FALSE),0)</f>
        <v>0</v>
      </c>
      <c r="CH92" s="4">
        <f>IF(ISNUMBER(SEARCH(CH$83,$BY92)),VLOOKUP($BA92&amp;$CU92,Armour!$B$4:$BP$99,67,FALSE),0)</f>
        <v>0</v>
      </c>
      <c r="CI92" s="4">
        <f>IF(ISNUMBER(SEARCH(CI$83,$BY92)),VLOOKUP($BA92&amp;$CU92,Armour!$B$4:$BP$99,67,FALSE),0)</f>
        <v>0</v>
      </c>
      <c r="CJ92" s="4">
        <f>IF(ISNUMBER(SEARCH(CJ$83,$BY92)),VLOOKUP($BA92&amp;$CU92,Armour!$B$4:$BP$99,67,FALSE),0)</f>
        <v>0</v>
      </c>
      <c r="CK92" s="4">
        <f>IF(ISNUMBER(SEARCH(CK$83,$BY92)),VLOOKUP($BA92&amp;$CU92,Armour!$B$4:$BP$99,67,FALSE),0)</f>
        <v>0</v>
      </c>
      <c r="CL92" s="4">
        <f>IF(ISNUMBER(SEARCH(CL$83,$BY92)),VLOOKUP($BA92&amp;$CU92,Armour!$B$4:$BP$99,67,FALSE),0)</f>
        <v>0</v>
      </c>
      <c r="CM92" s="4">
        <f>IF(ISNUMBER(SEARCH(CM$83,$BY92)),VLOOKUP($BA92&amp;$CU92,Armour!$B$4:$BP$99,67,FALSE),0)</f>
        <v>0</v>
      </c>
      <c r="CN92" s="4">
        <f>IF(ISNUMBER(SEARCH(CN$83,$BY92)),VLOOKUP($BA92&amp;$CU92,Armour!$B$4:$BP$99,67,FALSE),0)</f>
        <v>0</v>
      </c>
      <c r="CO92" s="4">
        <f>IF(ISNUMBER(SEARCH(CO$83,$BY92)),VLOOKUP($BA92&amp;$CU92,Armour!$B$4:$BP$99,67,FALSE),0)</f>
        <v>0</v>
      </c>
      <c r="CP92" s="4">
        <f>IF(ISNUMBER(SEARCH(CP$83,$BY92)),VLOOKUP($BA92&amp;$CU92,Armour!$B$4:$BP$99,67,FALSE),0)</f>
        <v>0</v>
      </c>
      <c r="CQ92" s="4">
        <f>IF(ISNUMBER(SEARCH(CQ$83,$BY92)),VLOOKUP($BA92&amp;$CU92,Armour!$B$4:$BP$99,67,FALSE),0)</f>
        <v>0</v>
      </c>
      <c r="CR92" s="4">
        <f>IF(ISNUMBER(SEARCH(CR$83,$BY92)),VLOOKUP($BA92&amp;$CU92,Armour!$B$4:$BP$99,67,FALSE),0)</f>
        <v>0</v>
      </c>
      <c r="CS92" s="4">
        <f>IF(ISNUMBER(SEARCH(CS$83,$BY92)),VLOOKUP($BA92&amp;$CU92,Armour!$B$4:$BP$99,67,FALSE),0)</f>
        <v>0</v>
      </c>
      <c r="CT92" s="4">
        <f>IF(ISNUMBER(SEARCH(CT$83,$BY92)),VLOOKUP($BA92&amp;$CU92,Armour!$B$4:$BP$99,67,FALSE),0)</f>
        <v>0</v>
      </c>
      <c r="CU92" s="4" t="str">
        <f t="shared" si="127"/>
        <v/>
      </c>
      <c r="DH92" s="4" t="str">
        <f t="shared" si="103"/>
        <v/>
      </c>
      <c r="DI92">
        <v>10</v>
      </c>
      <c r="DJ92" s="3" t="str">
        <f t="shared" si="135"/>
        <v/>
      </c>
      <c r="DK92" s="4" t="str">
        <f t="shared" si="145"/>
        <v/>
      </c>
      <c r="DL92" s="4" t="str">
        <f>IFERROR(IF(DK92=0,"",VLOOKUP(DK92,Skills!$N$72:$AF$107,19,FALSE)),"")</f>
        <v/>
      </c>
      <c r="DM92" s="4"/>
      <c r="DN92" s="4" t="str">
        <f t="shared" si="136"/>
        <v/>
      </c>
      <c r="DO92" s="4" t="str">
        <f t="shared" si="152"/>
        <v/>
      </c>
      <c r="DP92" s="4">
        <f t="shared" si="104"/>
        <v>0</v>
      </c>
      <c r="DQ92" s="4">
        <f t="shared" si="137"/>
        <v>2</v>
      </c>
      <c r="DR92" s="4" t="e">
        <f t="shared" si="138"/>
        <v>#N/A</v>
      </c>
      <c r="DS92" s="4">
        <f t="shared" si="139"/>
        <v>10</v>
      </c>
      <c r="DT92" s="4" t="str">
        <f t="shared" si="146"/>
        <v/>
      </c>
      <c r="DU92" s="4" t="str">
        <f t="shared" si="147"/>
        <v/>
      </c>
      <c r="DV92" s="4" t="e">
        <f>VLOOKUP((VLOOKUP((VLOOKUP('Character Creation'!$Z$11,RaceChart,20,FALSE)&amp;" "&amp;VLOOKUP('Character Creation'!$Z$11,RaceChart,21,FALSE)),Charts!$H$2:$J$14,3,FALSE)+DU92),Charts!$J$2:$N$14,5,FALSE)</f>
        <v>#VALUE!</v>
      </c>
      <c r="DW92" s="4" t="e">
        <f>VLOOKUP(DV92,Charts!$N$2:$Q$14,4,FALSE)</f>
        <v>#VALUE!</v>
      </c>
      <c r="DX92" s="4" t="str">
        <f t="shared" si="140"/>
        <v/>
      </c>
      <c r="DY92" s="4" t="str">
        <f t="shared" si="148"/>
        <v/>
      </c>
      <c r="DZ92" s="4" t="str">
        <f t="shared" si="141"/>
        <v/>
      </c>
      <c r="EA92" s="4" t="e">
        <f>ROUNDDOWN(VLOOKUP(DK92,Skills!$N$72:$S$107,6,FALSE)/5,0)</f>
        <v>#N/A</v>
      </c>
      <c r="EB92" s="4" t="str">
        <f t="shared" si="149"/>
        <v/>
      </c>
      <c r="EC92" s="4" t="str">
        <f t="shared" si="142"/>
        <v>+</v>
      </c>
      <c r="ED92" s="4" t="e">
        <f>VLOOKUP(DJ92,'Character Sheet'!$FB$21:$HQ$35,61,FALSE)</f>
        <v>#N/A</v>
      </c>
      <c r="EE92" s="4" t="str">
        <f t="shared" si="150"/>
        <v/>
      </c>
      <c r="EF92" s="4" t="str">
        <f t="shared" si="151"/>
        <v/>
      </c>
      <c r="EG92" s="4" t="e">
        <f>VLOOKUP(DR92,Items!$B$1156:$AA$1282,18,FALSE)</f>
        <v>#N/A</v>
      </c>
      <c r="EH92" s="4">
        <f>VLOOKUP(DJ92,'Character Sheet'!$E$26:$EZ$45,81,FALSE)</f>
        <v>0</v>
      </c>
      <c r="EI92" s="4">
        <f>VLOOKUP(DJ92,'Character Sheet'!$E$26:$EZ$45,89,FALSE)</f>
        <v>0</v>
      </c>
      <c r="EJ92" s="4" t="e">
        <f t="shared" si="143"/>
        <v>#N/A</v>
      </c>
    </row>
    <row r="93" spans="29:140" x14ac:dyDescent="0.25">
      <c r="AC93" s="8" t="str">
        <f>IFERROR(VLOOKUP('Character Creation'!$CI106,Skills!$H$2:$N$620,6,FALSE),"")</f>
        <v/>
      </c>
      <c r="AD93" s="4">
        <f>'Character Creation'!EH106</f>
        <v>0</v>
      </c>
      <c r="AG93">
        <v>92</v>
      </c>
      <c r="AH93" s="4" t="str">
        <f t="shared" si="95"/>
        <v/>
      </c>
      <c r="AI93" t="str">
        <f>IFERROR(VLOOKUP(AG93,Skills!$B$2:$M$620,12,FALSE),"")</f>
        <v/>
      </c>
      <c r="AJ93" s="4" t="str">
        <f>IFERROR(VLOOKUP(AG93,Skills!$B$2:$AF$620,31,FALSE),"")</f>
        <v/>
      </c>
      <c r="AK93" s="4" t="str">
        <f t="shared" si="153"/>
        <v/>
      </c>
      <c r="AL93" s="4">
        <v>9.1999999999999998E-2</v>
      </c>
      <c r="AM93" s="62" t="str">
        <f t="shared" si="96"/>
        <v/>
      </c>
      <c r="AN93" t="str">
        <f t="shared" ca="1" si="97"/>
        <v/>
      </c>
      <c r="AO93" s="4" t="str">
        <f ca="1">IFERROR(VLOOKUP(AG93,$AH$2:$AJ$451,3,FALSE)&amp;IF(ISNUMBER(SEARCH(", Written",AN93))," -R"&amp;VLOOKUP(AN93,Skills!$M$2:$S$620,7,FALSE),IF(ISNUMBER(SEARCH(", Spoken",AN93))," -R"&amp;VLOOKUP(AN93,Skills!$M$2:$S$620,7,FALSE),"")),"")</f>
        <v/>
      </c>
      <c r="AQ93">
        <v>90</v>
      </c>
      <c r="AR93" s="8" t="str">
        <f>'Character Sheet'!FB92</f>
        <v>Rope (light)</v>
      </c>
      <c r="AS93" s="4" t="str">
        <f t="shared" si="98"/>
        <v>Light Cloth</v>
      </c>
      <c r="AT93" s="4">
        <f t="shared" si="99"/>
        <v>0.02</v>
      </c>
      <c r="AU93" s="4">
        <f t="shared" si="105"/>
        <v>10</v>
      </c>
      <c r="AV93" s="4">
        <f t="shared" si="106"/>
        <v>0</v>
      </c>
      <c r="AW93" s="4" t="str">
        <f t="shared" si="107"/>
        <v>Light Cloth</v>
      </c>
      <c r="AX93" s="4">
        <f t="shared" si="100"/>
        <v>0.02</v>
      </c>
      <c r="AY93" s="4">
        <f t="shared" si="108"/>
        <v>10</v>
      </c>
      <c r="AZ93" s="4">
        <f t="shared" si="109"/>
        <v>0</v>
      </c>
      <c r="BA93" s="4" t="str">
        <f>IFERROR('Character Sheet'!JK92,"")</f>
        <v>Light Cloth</v>
      </c>
      <c r="BB93" s="4">
        <f t="shared" si="101"/>
        <v>0.02</v>
      </c>
      <c r="BC93" s="4">
        <f t="shared" si="110"/>
        <v>0</v>
      </c>
      <c r="BD93" s="4">
        <f t="shared" si="111"/>
        <v>0</v>
      </c>
      <c r="BE93" s="4">
        <f t="shared" si="112"/>
        <v>0.12</v>
      </c>
      <c r="BF93" s="4">
        <f t="shared" si="113"/>
        <v>10</v>
      </c>
      <c r="BG93" s="4">
        <f t="shared" si="114"/>
        <v>0</v>
      </c>
      <c r="BH93" s="4" t="str">
        <f>IFERROR('Character Sheet'!KC92,"")</f>
        <v>Light Cloth</v>
      </c>
      <c r="BI93" s="4">
        <f t="shared" si="102"/>
        <v>0.02</v>
      </c>
      <c r="BJ93" s="4">
        <f t="shared" si="115"/>
        <v>0</v>
      </c>
      <c r="BK93" s="4">
        <f t="shared" si="116"/>
        <v>0</v>
      </c>
      <c r="BL93" s="4">
        <f t="shared" si="117"/>
        <v>0</v>
      </c>
      <c r="BM93" s="4">
        <f t="shared" si="118"/>
        <v>10</v>
      </c>
      <c r="BN93" s="4">
        <f t="shared" si="119"/>
        <v>0</v>
      </c>
      <c r="BO93" s="4">
        <f t="shared" si="120"/>
        <v>1</v>
      </c>
      <c r="BP93" s="4">
        <f t="shared" si="121"/>
        <v>0</v>
      </c>
      <c r="BQ93" s="4">
        <f>IFERROR('Character Sheet'!IQ92+VLOOKUP(BA93,MaterialChart,5,FALSE),"")</f>
        <v>0</v>
      </c>
      <c r="BR93" s="4">
        <f t="shared" si="122"/>
        <v>0</v>
      </c>
      <c r="BS93" s="4">
        <f t="shared" si="144"/>
        <v>70</v>
      </c>
      <c r="BT93" s="4">
        <f t="shared" si="123"/>
        <v>4.0000000000000002E-4</v>
      </c>
      <c r="BU93" s="4">
        <f t="shared" si="124"/>
        <v>0.12</v>
      </c>
      <c r="BV93" s="4">
        <f t="shared" si="125"/>
        <v>0.12</v>
      </c>
      <c r="BW93" s="4">
        <f>IFERROR(ROUNDUP((BE93*(BB93-AT93))+(BL93*(BI93-AX93))+(BT93*(((100+(BD93+IF(BE93=1,0,BK93))+(4*BR93))/100)))*'Character Sheet'!GT92,3),"")</f>
        <v>7.0000000000000001E-3</v>
      </c>
      <c r="BX93" s="4" t="str">
        <f t="shared" si="93"/>
        <v>$0.01</v>
      </c>
      <c r="BY93" s="8">
        <f t="shared" si="126"/>
        <v>0</v>
      </c>
      <c r="BZ93" s="4">
        <f>IF(ISNUMBER(SEARCH(BZ$83,$BY93)),VLOOKUP($BA93&amp;$CU93,Armour!$B$4:$BP$99,67,FALSE),0)</f>
        <v>0</v>
      </c>
      <c r="CA93" s="4">
        <f>IF(ISNUMBER(SEARCH(CA$83,$BY93)),VLOOKUP($BA93&amp;$CU93,Armour!$B$4:$BP$99,67,FALSE),0)</f>
        <v>0</v>
      </c>
      <c r="CB93" s="4">
        <f>IF(ISNUMBER(SEARCH(CB$83,$BY93)),VLOOKUP($BA93&amp;$CU93,Armour!$B$4:$BP$99,67,FALSE),0)</f>
        <v>0</v>
      </c>
      <c r="CC93" s="4">
        <f>IF(ISNUMBER(SEARCH(CC$83,$BY93)),VLOOKUP($BA93&amp;$CU93,Armour!$B$4:$BP$99,67,FALSE),0)</f>
        <v>0</v>
      </c>
      <c r="CD93" s="4">
        <f>IF(ISNUMBER(SEARCH(CD$83,$BY93)),VLOOKUP($BA93&amp;$CU93,Armour!$B$4:$BP$99,67,FALSE),0)</f>
        <v>0</v>
      </c>
      <c r="CE93" s="4">
        <f>IF(ISNUMBER(SEARCH(CE$83,$BY93)),VLOOKUP($BA93&amp;$CU93,Armour!$B$4:$BP$99,67,FALSE),0)</f>
        <v>0</v>
      </c>
      <c r="CF93" s="4">
        <f>IF(ISNUMBER(SEARCH(CF$83,$BY93)),VLOOKUP($BA93&amp;$CU93,Armour!$B$4:$BP$99,67,FALSE),0)</f>
        <v>0</v>
      </c>
      <c r="CG93" s="4">
        <f>IF(ISNUMBER(SEARCH(CG$83,$BY93)),VLOOKUP($BA93&amp;$CU93,Armour!$B$4:$BP$99,67,FALSE),0)</f>
        <v>0</v>
      </c>
      <c r="CH93" s="4">
        <f>IF(ISNUMBER(SEARCH(CH$83,$BY93)),VLOOKUP($BA93&amp;$CU93,Armour!$B$4:$BP$99,67,FALSE),0)</f>
        <v>0</v>
      </c>
      <c r="CI93" s="4">
        <f>IF(ISNUMBER(SEARCH(CI$83,$BY93)),VLOOKUP($BA93&amp;$CU93,Armour!$B$4:$BP$99,67,FALSE),0)</f>
        <v>0</v>
      </c>
      <c r="CJ93" s="4">
        <f>IF(ISNUMBER(SEARCH(CJ$83,$BY93)),VLOOKUP($BA93&amp;$CU93,Armour!$B$4:$BP$99,67,FALSE),0)</f>
        <v>0</v>
      </c>
      <c r="CK93" s="4">
        <f>IF(ISNUMBER(SEARCH(CK$83,$BY93)),VLOOKUP($BA93&amp;$CU93,Armour!$B$4:$BP$99,67,FALSE),0)</f>
        <v>0</v>
      </c>
      <c r="CL93" s="4">
        <f>IF(ISNUMBER(SEARCH(CL$83,$BY93)),VLOOKUP($BA93&amp;$CU93,Armour!$B$4:$BP$99,67,FALSE),0)</f>
        <v>0</v>
      </c>
      <c r="CM93" s="4">
        <f>IF(ISNUMBER(SEARCH(CM$83,$BY93)),VLOOKUP($BA93&amp;$CU93,Armour!$B$4:$BP$99,67,FALSE),0)</f>
        <v>0</v>
      </c>
      <c r="CN93" s="4">
        <f>IF(ISNUMBER(SEARCH(CN$83,$BY93)),VLOOKUP($BA93&amp;$CU93,Armour!$B$4:$BP$99,67,FALSE),0)</f>
        <v>0</v>
      </c>
      <c r="CO93" s="4">
        <f>IF(ISNUMBER(SEARCH(CO$83,$BY93)),VLOOKUP($BA93&amp;$CU93,Armour!$B$4:$BP$99,67,FALSE),0)</f>
        <v>0</v>
      </c>
      <c r="CP93" s="4">
        <f>IF(ISNUMBER(SEARCH(CP$83,$BY93)),VLOOKUP($BA93&amp;$CU93,Armour!$B$4:$BP$99,67,FALSE),0)</f>
        <v>0</v>
      </c>
      <c r="CQ93" s="4">
        <f>IF(ISNUMBER(SEARCH(CQ$83,$BY93)),VLOOKUP($BA93&amp;$CU93,Armour!$B$4:$BP$99,67,FALSE),0)</f>
        <v>0</v>
      </c>
      <c r="CR93" s="4">
        <f>IF(ISNUMBER(SEARCH(CR$83,$BY93)),VLOOKUP($BA93&amp;$CU93,Armour!$B$4:$BP$99,67,FALSE),0)</f>
        <v>0</v>
      </c>
      <c r="CS93" s="4">
        <f>IF(ISNUMBER(SEARCH(CS$83,$BY93)),VLOOKUP($BA93&amp;$CU93,Armour!$B$4:$BP$99,67,FALSE),0)</f>
        <v>0</v>
      </c>
      <c r="CT93" s="4">
        <f>IF(ISNUMBER(SEARCH(CT$83,$BY93)),VLOOKUP($BA93&amp;$CU93,Armour!$B$4:$BP$99,67,FALSE),0)</f>
        <v>0</v>
      </c>
      <c r="CU93" s="4" t="str">
        <f t="shared" si="127"/>
        <v/>
      </c>
      <c r="DH93" s="4" t="str">
        <f t="shared" si="103"/>
        <v/>
      </c>
      <c r="DI93">
        <v>11</v>
      </c>
      <c r="DJ93" s="3" t="str">
        <f t="shared" si="135"/>
        <v/>
      </c>
      <c r="DK93" s="4" t="str">
        <f t="shared" si="145"/>
        <v/>
      </c>
      <c r="DL93" s="4" t="str">
        <f>IFERROR(IF(DK93=0,"",VLOOKUP(DK93,Skills!$N$72:$AF$107,19,FALSE)),"")</f>
        <v/>
      </c>
      <c r="DM93" s="4"/>
      <c r="DN93" s="4" t="str">
        <f t="shared" si="136"/>
        <v/>
      </c>
      <c r="DO93" s="4" t="str">
        <f t="shared" si="152"/>
        <v/>
      </c>
      <c r="DP93" s="4">
        <f t="shared" si="104"/>
        <v>0</v>
      </c>
      <c r="DQ93" s="4">
        <f t="shared" si="137"/>
        <v>2</v>
      </c>
      <c r="DR93" s="4" t="e">
        <f t="shared" si="138"/>
        <v>#N/A</v>
      </c>
      <c r="DS93" s="4">
        <f t="shared" si="139"/>
        <v>11</v>
      </c>
      <c r="DT93" s="4" t="str">
        <f t="shared" si="146"/>
        <v/>
      </c>
      <c r="DU93" s="4" t="str">
        <f t="shared" si="147"/>
        <v/>
      </c>
      <c r="DV93" s="4" t="e">
        <f>VLOOKUP((VLOOKUP((VLOOKUP('Character Creation'!$Z$11,RaceChart,20,FALSE)&amp;" "&amp;VLOOKUP('Character Creation'!$Z$11,RaceChart,21,FALSE)),Charts!$H$2:$J$14,3,FALSE)+DU93),Charts!$J$2:$N$14,5,FALSE)</f>
        <v>#VALUE!</v>
      </c>
      <c r="DW93" s="4" t="e">
        <f>VLOOKUP(DV93,Charts!$N$2:$Q$14,4,FALSE)</f>
        <v>#VALUE!</v>
      </c>
      <c r="DX93" s="4" t="str">
        <f t="shared" si="140"/>
        <v/>
      </c>
      <c r="DY93" s="4" t="str">
        <f t="shared" si="148"/>
        <v/>
      </c>
      <c r="DZ93" s="4" t="str">
        <f t="shared" si="141"/>
        <v/>
      </c>
      <c r="EA93" s="4" t="e">
        <f>ROUNDDOWN(VLOOKUP(DK93,Skills!$N$72:$S$107,6,FALSE)/5,0)</f>
        <v>#N/A</v>
      </c>
      <c r="EB93" s="4" t="str">
        <f t="shared" si="149"/>
        <v/>
      </c>
      <c r="EC93" s="4" t="str">
        <f t="shared" si="142"/>
        <v>+</v>
      </c>
      <c r="ED93" s="4" t="e">
        <f>VLOOKUP(DJ93,'Character Sheet'!$FB$21:$HQ$35,61,FALSE)</f>
        <v>#N/A</v>
      </c>
      <c r="EE93" s="4" t="str">
        <f t="shared" si="150"/>
        <v/>
      </c>
      <c r="EF93" s="4" t="str">
        <f t="shared" si="151"/>
        <v/>
      </c>
      <c r="EG93" s="4" t="e">
        <f>VLOOKUP(DR93,Items!$B$1156:$AA$1282,18,FALSE)</f>
        <v>#N/A</v>
      </c>
      <c r="EH93" s="4">
        <f>VLOOKUP(DJ93,'Character Sheet'!$E$26:$EZ$45,81,FALSE)</f>
        <v>0</v>
      </c>
      <c r="EI93" s="4">
        <f>VLOOKUP(DJ93,'Character Sheet'!$E$26:$EZ$45,89,FALSE)</f>
        <v>0</v>
      </c>
      <c r="EJ93" s="4" t="e">
        <f t="shared" si="143"/>
        <v>#N/A</v>
      </c>
    </row>
    <row r="94" spans="29:140" x14ac:dyDescent="0.25">
      <c r="AC94" s="8" t="str">
        <f>IFERROR(VLOOKUP('Character Creation'!$CI107,Skills!$H$2:$N$620,6,FALSE),"")</f>
        <v/>
      </c>
      <c r="AD94" s="4">
        <f>'Character Creation'!EH107</f>
        <v>0</v>
      </c>
      <c r="AG94">
        <v>93</v>
      </c>
      <c r="AH94" s="4" t="str">
        <f t="shared" si="95"/>
        <v/>
      </c>
      <c r="AI94" t="str">
        <f>IFERROR(VLOOKUP(AG94,Skills!$B$2:$M$620,12,FALSE),"")</f>
        <v/>
      </c>
      <c r="AJ94" s="4" t="str">
        <f>IFERROR(VLOOKUP(AG94,Skills!$B$2:$AF$620,31,FALSE),"")</f>
        <v/>
      </c>
      <c r="AK94" s="4" t="str">
        <f t="shared" si="153"/>
        <v/>
      </c>
      <c r="AL94" s="4">
        <v>9.2999999999999999E-2</v>
      </c>
      <c r="AM94" s="62" t="str">
        <f t="shared" si="96"/>
        <v/>
      </c>
      <c r="AN94" t="str">
        <f t="shared" ca="1" si="97"/>
        <v/>
      </c>
      <c r="AO94" s="4" t="str">
        <f ca="1">IFERROR(VLOOKUP(AG94,$AH$2:$AJ$451,3,FALSE)&amp;IF(ISNUMBER(SEARCH(", Written",AN94))," -R"&amp;VLOOKUP(AN94,Skills!$M$2:$S$620,7,FALSE),IF(ISNUMBER(SEARCH(", Spoken",AN94))," -R"&amp;VLOOKUP(AN94,Skills!$M$2:$S$620,7,FALSE),"")),"")</f>
        <v/>
      </c>
      <c r="AQ94">
        <v>91</v>
      </c>
      <c r="AR94" s="8" t="str">
        <f>'Character Sheet'!FB93</f>
        <v>Wood Axe</v>
      </c>
      <c r="AS94" s="4" t="str">
        <f t="shared" si="98"/>
        <v>Low Steel</v>
      </c>
      <c r="AT94" s="4">
        <f t="shared" si="99"/>
        <v>0.1</v>
      </c>
      <c r="AU94" s="4">
        <f t="shared" si="105"/>
        <v>490</v>
      </c>
      <c r="AV94" s="4">
        <f t="shared" si="106"/>
        <v>5</v>
      </c>
      <c r="AW94" s="4" t="str">
        <f t="shared" si="107"/>
        <v>Ash</v>
      </c>
      <c r="AX94" s="4">
        <f t="shared" si="100"/>
        <v>7.0000000000000001E-3</v>
      </c>
      <c r="AY94" s="4">
        <f t="shared" si="108"/>
        <v>47</v>
      </c>
      <c r="AZ94" s="4">
        <f t="shared" si="109"/>
        <v>0</v>
      </c>
      <c r="BA94" s="4" t="str">
        <f>IFERROR('Character Sheet'!JK93,"")</f>
        <v>Low Steel</v>
      </c>
      <c r="BB94" s="4">
        <f t="shared" si="101"/>
        <v>0.1</v>
      </c>
      <c r="BC94" s="4">
        <f t="shared" si="110"/>
        <v>-5</v>
      </c>
      <c r="BD94" s="4">
        <f t="shared" si="111"/>
        <v>5</v>
      </c>
      <c r="BE94" s="4">
        <f t="shared" si="112"/>
        <v>0.16750000000000001</v>
      </c>
      <c r="BF94" s="4">
        <f t="shared" si="113"/>
        <v>490</v>
      </c>
      <c r="BG94" s="4">
        <f t="shared" si="114"/>
        <v>5</v>
      </c>
      <c r="BH94" s="4" t="str">
        <f>IFERROR('Character Sheet'!KC93,"")</f>
        <v>Ash</v>
      </c>
      <c r="BI94" s="4">
        <f t="shared" si="102"/>
        <v>7.0000000000000001E-3</v>
      </c>
      <c r="BJ94" s="4">
        <f t="shared" si="115"/>
        <v>0</v>
      </c>
      <c r="BK94" s="4">
        <f t="shared" si="116"/>
        <v>0</v>
      </c>
      <c r="BL94" s="4">
        <f t="shared" si="117"/>
        <v>8.249999999999999E-2</v>
      </c>
      <c r="BM94" s="4">
        <f t="shared" si="118"/>
        <v>47</v>
      </c>
      <c r="BN94" s="4">
        <f t="shared" si="119"/>
        <v>0</v>
      </c>
      <c r="BO94" s="4">
        <f t="shared" si="120"/>
        <v>0.67</v>
      </c>
      <c r="BP94" s="4">
        <f t="shared" si="121"/>
        <v>5</v>
      </c>
      <c r="BQ94" s="4">
        <f>IFERROR('Character Sheet'!IQ93+VLOOKUP(BA94,MaterialChart,5,FALSE),"")</f>
        <v>5</v>
      </c>
      <c r="BR94" s="4">
        <f t="shared" si="122"/>
        <v>0</v>
      </c>
      <c r="BS94" s="4">
        <f t="shared" si="144"/>
        <v>60</v>
      </c>
      <c r="BT94" s="4">
        <f t="shared" si="123"/>
        <v>0.25</v>
      </c>
      <c r="BU94" s="4">
        <f t="shared" si="124"/>
        <v>0.25</v>
      </c>
      <c r="BV94" s="4">
        <f t="shared" si="125"/>
        <v>0.25</v>
      </c>
      <c r="BW94" s="4">
        <f>IFERROR(ROUNDUP((BE94*(BB94-AT94))+(BL94*(BI94-AX94))+(BT94*(((100+(BD94+IF(BE94=1,0,BK94))+(4*BR94))/100)))*'Character Sheet'!GT93,3),"")</f>
        <v>0.26300000000000001</v>
      </c>
      <c r="BX94" s="4" t="str">
        <f t="shared" si="93"/>
        <v>$0.26</v>
      </c>
      <c r="BY94" s="8">
        <f t="shared" si="126"/>
        <v>0</v>
      </c>
      <c r="BZ94" s="4">
        <f>IF(ISNUMBER(SEARCH(BZ$83,$BY94)),VLOOKUP($BA94&amp;$CU94,Armour!$B$4:$BP$99,67,FALSE),0)</f>
        <v>0</v>
      </c>
      <c r="CA94" s="4">
        <f>IF(ISNUMBER(SEARCH(CA$83,$BY94)),VLOOKUP($BA94&amp;$CU94,Armour!$B$4:$BP$99,67,FALSE),0)</f>
        <v>0</v>
      </c>
      <c r="CB94" s="4">
        <f>IF(ISNUMBER(SEARCH(CB$83,$BY94)),VLOOKUP($BA94&amp;$CU94,Armour!$B$4:$BP$99,67,FALSE),0)</f>
        <v>0</v>
      </c>
      <c r="CC94" s="4">
        <f>IF(ISNUMBER(SEARCH(CC$83,$BY94)),VLOOKUP($BA94&amp;$CU94,Armour!$B$4:$BP$99,67,FALSE),0)</f>
        <v>0</v>
      </c>
      <c r="CD94" s="4">
        <f>IF(ISNUMBER(SEARCH(CD$83,$BY94)),VLOOKUP($BA94&amp;$CU94,Armour!$B$4:$BP$99,67,FALSE),0)</f>
        <v>0</v>
      </c>
      <c r="CE94" s="4">
        <f>IF(ISNUMBER(SEARCH(CE$83,$BY94)),VLOOKUP($BA94&amp;$CU94,Armour!$B$4:$BP$99,67,FALSE),0)</f>
        <v>0</v>
      </c>
      <c r="CF94" s="4">
        <f>IF(ISNUMBER(SEARCH(CF$83,$BY94)),VLOOKUP($BA94&amp;$CU94,Armour!$B$4:$BP$99,67,FALSE),0)</f>
        <v>0</v>
      </c>
      <c r="CG94" s="4">
        <f>IF(ISNUMBER(SEARCH(CG$83,$BY94)),VLOOKUP($BA94&amp;$CU94,Armour!$B$4:$BP$99,67,FALSE),0)</f>
        <v>0</v>
      </c>
      <c r="CH94" s="4">
        <f>IF(ISNUMBER(SEARCH(CH$83,$BY94)),VLOOKUP($BA94&amp;$CU94,Armour!$B$4:$BP$99,67,FALSE),0)</f>
        <v>0</v>
      </c>
      <c r="CI94" s="4">
        <f>IF(ISNUMBER(SEARCH(CI$83,$BY94)),VLOOKUP($BA94&amp;$CU94,Armour!$B$4:$BP$99,67,FALSE),0)</f>
        <v>0</v>
      </c>
      <c r="CJ94" s="4">
        <f>IF(ISNUMBER(SEARCH(CJ$83,$BY94)),VLOOKUP($BA94&amp;$CU94,Armour!$B$4:$BP$99,67,FALSE),0)</f>
        <v>0</v>
      </c>
      <c r="CK94" s="4">
        <f>IF(ISNUMBER(SEARCH(CK$83,$BY94)),VLOOKUP($BA94&amp;$CU94,Armour!$B$4:$BP$99,67,FALSE),0)</f>
        <v>0</v>
      </c>
      <c r="CL94" s="4">
        <f>IF(ISNUMBER(SEARCH(CL$83,$BY94)),VLOOKUP($BA94&amp;$CU94,Armour!$B$4:$BP$99,67,FALSE),0)</f>
        <v>0</v>
      </c>
      <c r="CM94" s="4">
        <f>IF(ISNUMBER(SEARCH(CM$83,$BY94)),VLOOKUP($BA94&amp;$CU94,Armour!$B$4:$BP$99,67,FALSE),0)</f>
        <v>0</v>
      </c>
      <c r="CN94" s="4">
        <f>IF(ISNUMBER(SEARCH(CN$83,$BY94)),VLOOKUP($BA94&amp;$CU94,Armour!$B$4:$BP$99,67,FALSE),0)</f>
        <v>0</v>
      </c>
      <c r="CO94" s="4">
        <f>IF(ISNUMBER(SEARCH(CO$83,$BY94)),VLOOKUP($BA94&amp;$CU94,Armour!$B$4:$BP$99,67,FALSE),0)</f>
        <v>0</v>
      </c>
      <c r="CP94" s="4">
        <f>IF(ISNUMBER(SEARCH(CP$83,$BY94)),VLOOKUP($BA94&amp;$CU94,Armour!$B$4:$BP$99,67,FALSE),0)</f>
        <v>0</v>
      </c>
      <c r="CQ94" s="4">
        <f>IF(ISNUMBER(SEARCH(CQ$83,$BY94)),VLOOKUP($BA94&amp;$CU94,Armour!$B$4:$BP$99,67,FALSE),0)</f>
        <v>0</v>
      </c>
      <c r="CR94" s="4">
        <f>IF(ISNUMBER(SEARCH(CR$83,$BY94)),VLOOKUP($BA94&amp;$CU94,Armour!$B$4:$BP$99,67,FALSE),0)</f>
        <v>0</v>
      </c>
      <c r="CS94" s="4">
        <f>IF(ISNUMBER(SEARCH(CS$83,$BY94)),VLOOKUP($BA94&amp;$CU94,Armour!$B$4:$BP$99,67,FALSE),0)</f>
        <v>0</v>
      </c>
      <c r="CT94" s="4">
        <f>IF(ISNUMBER(SEARCH(CT$83,$BY94)),VLOOKUP($BA94&amp;$CU94,Armour!$B$4:$BP$99,67,FALSE),0)</f>
        <v>0</v>
      </c>
      <c r="CU94" s="4" t="str">
        <f t="shared" si="127"/>
        <v/>
      </c>
      <c r="DH94" s="4" t="str">
        <f t="shared" si="103"/>
        <v/>
      </c>
      <c r="DI94">
        <v>12</v>
      </c>
      <c r="DJ94" s="3" t="str">
        <f t="shared" si="135"/>
        <v/>
      </c>
      <c r="DK94" s="4" t="str">
        <f t="shared" si="145"/>
        <v/>
      </c>
      <c r="DL94" s="4" t="str">
        <f>IFERROR(IF(DK94=0,"",VLOOKUP(DK94,Skills!$N$72:$AF$107,19,FALSE)),"")</f>
        <v/>
      </c>
      <c r="DM94" s="4"/>
      <c r="DN94" s="4" t="str">
        <f t="shared" si="136"/>
        <v/>
      </c>
      <c r="DO94" s="4" t="str">
        <f t="shared" si="152"/>
        <v/>
      </c>
      <c r="DP94" s="4">
        <f t="shared" si="104"/>
        <v>0</v>
      </c>
      <c r="DQ94" s="4">
        <f t="shared" si="137"/>
        <v>2</v>
      </c>
      <c r="DR94" s="4" t="e">
        <f t="shared" si="138"/>
        <v>#N/A</v>
      </c>
      <c r="DS94" s="4">
        <f t="shared" si="139"/>
        <v>12</v>
      </c>
      <c r="DT94" s="4" t="str">
        <f t="shared" si="146"/>
        <v/>
      </c>
      <c r="DU94" s="4" t="str">
        <f t="shared" si="147"/>
        <v/>
      </c>
      <c r="DV94" s="4" t="e">
        <f>VLOOKUP((VLOOKUP((VLOOKUP('Character Creation'!$Z$11,RaceChart,20,FALSE)&amp;" "&amp;VLOOKUP('Character Creation'!$Z$11,RaceChart,21,FALSE)),Charts!$H$2:$J$14,3,FALSE)+DU94),Charts!$J$2:$N$14,5,FALSE)</f>
        <v>#VALUE!</v>
      </c>
      <c r="DW94" s="4" t="e">
        <f>VLOOKUP(DV94,Charts!$N$2:$Q$14,4,FALSE)</f>
        <v>#VALUE!</v>
      </c>
      <c r="DX94" s="4" t="str">
        <f t="shared" si="140"/>
        <v/>
      </c>
      <c r="DY94" s="4" t="str">
        <f t="shared" si="148"/>
        <v/>
      </c>
      <c r="DZ94" s="4" t="str">
        <f t="shared" si="141"/>
        <v/>
      </c>
      <c r="EA94" s="4" t="e">
        <f>ROUNDDOWN(VLOOKUP(DK94,Skills!$N$72:$S$107,6,FALSE)/5,0)</f>
        <v>#N/A</v>
      </c>
      <c r="EB94" s="4" t="str">
        <f t="shared" si="149"/>
        <v/>
      </c>
      <c r="EC94" s="4" t="str">
        <f t="shared" si="142"/>
        <v>+</v>
      </c>
      <c r="ED94" s="4" t="e">
        <f>VLOOKUP(DJ94,'Character Sheet'!$FB$21:$HQ$35,61,FALSE)</f>
        <v>#N/A</v>
      </c>
      <c r="EE94" s="4" t="str">
        <f t="shared" si="150"/>
        <v/>
      </c>
      <c r="EF94" s="4" t="str">
        <f t="shared" si="151"/>
        <v/>
      </c>
      <c r="EG94" s="4" t="e">
        <f>VLOOKUP(DR94,Items!$B$1156:$AA$1282,18,FALSE)</f>
        <v>#N/A</v>
      </c>
      <c r="EH94" s="4">
        <f>VLOOKUP(DJ94,'Character Sheet'!$E$26:$EZ$45,81,FALSE)</f>
        <v>0</v>
      </c>
      <c r="EI94" s="4">
        <f>VLOOKUP(DJ94,'Character Sheet'!$E$26:$EZ$45,89,FALSE)</f>
        <v>0</v>
      </c>
      <c r="EJ94" s="4" t="e">
        <f t="shared" si="143"/>
        <v>#N/A</v>
      </c>
    </row>
    <row r="95" spans="29:140" x14ac:dyDescent="0.25">
      <c r="AC95" s="8" t="str">
        <f>IFERROR(VLOOKUP('Character Creation'!$CI108,Skills!$H$2:$N$620,6,FALSE),"")</f>
        <v/>
      </c>
      <c r="AD95" s="4">
        <f>'Character Creation'!EH108</f>
        <v>4</v>
      </c>
      <c r="AG95">
        <v>94</v>
      </c>
      <c r="AH95" s="4" t="str">
        <f t="shared" si="95"/>
        <v/>
      </c>
      <c r="AI95" t="str">
        <f>IFERROR(VLOOKUP(AG95,Skills!$B$2:$M$620,12,FALSE),"")</f>
        <v/>
      </c>
      <c r="AJ95" s="4" t="str">
        <f>IFERROR(VLOOKUP(AG95,Skills!$B$2:$AF$620,31,FALSE),"")</f>
        <v/>
      </c>
      <c r="AK95" s="4" t="str">
        <f t="shared" si="153"/>
        <v/>
      </c>
      <c r="AL95" s="4">
        <v>9.4E-2</v>
      </c>
      <c r="AM95" s="62" t="str">
        <f t="shared" si="96"/>
        <v/>
      </c>
      <c r="AN95" t="str">
        <f t="shared" ca="1" si="97"/>
        <v/>
      </c>
      <c r="AO95" s="4" t="str">
        <f ca="1">IFERROR(VLOOKUP(AG95,$AH$2:$AJ$451,3,FALSE)&amp;IF(ISNUMBER(SEARCH(", Written",AN95))," -R"&amp;VLOOKUP(AN95,Skills!$M$2:$S$620,7,FALSE),IF(ISNUMBER(SEARCH(", Spoken",AN95))," -R"&amp;VLOOKUP(AN95,Skills!$M$2:$S$620,7,FALSE),"")),"")</f>
        <v/>
      </c>
      <c r="AQ95">
        <v>92</v>
      </c>
      <c r="AR95" s="8" t="str">
        <f>'Character Sheet'!FB94</f>
        <v>Blanket (light)</v>
      </c>
      <c r="AS95" s="4" t="str">
        <f t="shared" si="98"/>
        <v>Light Cloth</v>
      </c>
      <c r="AT95" s="4">
        <f t="shared" si="99"/>
        <v>0.02</v>
      </c>
      <c r="AU95" s="4">
        <f t="shared" si="105"/>
        <v>10</v>
      </c>
      <c r="AV95" s="4">
        <f t="shared" si="106"/>
        <v>0</v>
      </c>
      <c r="AW95" s="4" t="str">
        <f t="shared" si="107"/>
        <v>Light Cloth</v>
      </c>
      <c r="AX95" s="4">
        <f t="shared" si="100"/>
        <v>0.02</v>
      </c>
      <c r="AY95" s="4">
        <f t="shared" si="108"/>
        <v>10</v>
      </c>
      <c r="AZ95" s="4">
        <f t="shared" si="109"/>
        <v>0</v>
      </c>
      <c r="BA95" s="4" t="str">
        <f>IFERROR('Character Sheet'!JK94,"")</f>
        <v>Light Cloth</v>
      </c>
      <c r="BB95" s="4">
        <f t="shared" si="101"/>
        <v>0.02</v>
      </c>
      <c r="BC95" s="4">
        <f t="shared" si="110"/>
        <v>0</v>
      </c>
      <c r="BD95" s="4">
        <f t="shared" si="111"/>
        <v>0</v>
      </c>
      <c r="BE95" s="4">
        <f t="shared" si="112"/>
        <v>2.5</v>
      </c>
      <c r="BF95" s="4">
        <f t="shared" si="113"/>
        <v>10</v>
      </c>
      <c r="BG95" s="4">
        <f t="shared" si="114"/>
        <v>0</v>
      </c>
      <c r="BH95" s="4" t="str">
        <f>IFERROR('Character Sheet'!KC94,"")</f>
        <v>Light Cloth</v>
      </c>
      <c r="BI95" s="4">
        <f t="shared" si="102"/>
        <v>0.02</v>
      </c>
      <c r="BJ95" s="4">
        <f t="shared" si="115"/>
        <v>0</v>
      </c>
      <c r="BK95" s="4">
        <f t="shared" si="116"/>
        <v>0</v>
      </c>
      <c r="BL95" s="4">
        <f t="shared" si="117"/>
        <v>0</v>
      </c>
      <c r="BM95" s="4">
        <f t="shared" si="118"/>
        <v>10</v>
      </c>
      <c r="BN95" s="4">
        <f t="shared" si="119"/>
        <v>0</v>
      </c>
      <c r="BO95" s="4">
        <f t="shared" si="120"/>
        <v>1</v>
      </c>
      <c r="BP95" s="4">
        <f t="shared" si="121"/>
        <v>0</v>
      </c>
      <c r="BQ95" s="4">
        <f>IFERROR('Character Sheet'!IQ94+VLOOKUP(BA95,MaterialChart,5,FALSE),"")</f>
        <v>0</v>
      </c>
      <c r="BR95" s="4">
        <f t="shared" si="122"/>
        <v>0</v>
      </c>
      <c r="BS95" s="4">
        <f t="shared" si="144"/>
        <v>50</v>
      </c>
      <c r="BT95" s="4">
        <f t="shared" si="123"/>
        <v>0.85</v>
      </c>
      <c r="BU95" s="4">
        <f t="shared" si="124"/>
        <v>2.5</v>
      </c>
      <c r="BV95" s="4">
        <f t="shared" si="125"/>
        <v>2.5</v>
      </c>
      <c r="BW95" s="4">
        <f>IFERROR(ROUNDUP((BE95*(BB95-AT95))+(BL95*(BI95-AX95))+(BT95*(((100+(BD95+IF(BE95=1,0,BK95))+(4*BR95))/100)))*'Character Sheet'!GT94,3),"")</f>
        <v>0.85</v>
      </c>
      <c r="BX95" s="4" t="str">
        <f t="shared" si="93"/>
        <v>$0.85</v>
      </c>
      <c r="BY95" s="8">
        <f t="shared" si="126"/>
        <v>0</v>
      </c>
      <c r="BZ95" s="4">
        <f>IF(ISNUMBER(SEARCH(BZ$83,$BY95)),VLOOKUP($BA95&amp;$CU95,Armour!$B$4:$BP$99,67,FALSE),0)</f>
        <v>0</v>
      </c>
      <c r="CA95" s="4">
        <f>IF(ISNUMBER(SEARCH(CA$83,$BY95)),VLOOKUP($BA95&amp;$CU95,Armour!$B$4:$BP$99,67,FALSE),0)</f>
        <v>0</v>
      </c>
      <c r="CB95" s="4">
        <f>IF(ISNUMBER(SEARCH(CB$83,$BY95)),VLOOKUP($BA95&amp;$CU95,Armour!$B$4:$BP$99,67,FALSE),0)</f>
        <v>0</v>
      </c>
      <c r="CC95" s="4">
        <f>IF(ISNUMBER(SEARCH(CC$83,$BY95)),VLOOKUP($BA95&amp;$CU95,Armour!$B$4:$BP$99,67,FALSE),0)</f>
        <v>0</v>
      </c>
      <c r="CD95" s="4">
        <f>IF(ISNUMBER(SEARCH(CD$83,$BY95)),VLOOKUP($BA95&amp;$CU95,Armour!$B$4:$BP$99,67,FALSE),0)</f>
        <v>0</v>
      </c>
      <c r="CE95" s="4">
        <f>IF(ISNUMBER(SEARCH(CE$83,$BY95)),VLOOKUP($BA95&amp;$CU95,Armour!$B$4:$BP$99,67,FALSE),0)</f>
        <v>0</v>
      </c>
      <c r="CF95" s="4">
        <f>IF(ISNUMBER(SEARCH(CF$83,$BY95)),VLOOKUP($BA95&amp;$CU95,Armour!$B$4:$BP$99,67,FALSE),0)</f>
        <v>0</v>
      </c>
      <c r="CG95" s="4">
        <f>IF(ISNUMBER(SEARCH(CG$83,$BY95)),VLOOKUP($BA95&amp;$CU95,Armour!$B$4:$BP$99,67,FALSE),0)</f>
        <v>0</v>
      </c>
      <c r="CH95" s="4">
        <f>IF(ISNUMBER(SEARCH(CH$83,$BY95)),VLOOKUP($BA95&amp;$CU95,Armour!$B$4:$BP$99,67,FALSE),0)</f>
        <v>0</v>
      </c>
      <c r="CI95" s="4">
        <f>IF(ISNUMBER(SEARCH(CI$83,$BY95)),VLOOKUP($BA95&amp;$CU95,Armour!$B$4:$BP$99,67,FALSE),0)</f>
        <v>0</v>
      </c>
      <c r="CJ95" s="4">
        <f>IF(ISNUMBER(SEARCH(CJ$83,$BY95)),VLOOKUP($BA95&amp;$CU95,Armour!$B$4:$BP$99,67,FALSE),0)</f>
        <v>0</v>
      </c>
      <c r="CK95" s="4">
        <f>IF(ISNUMBER(SEARCH(CK$83,$BY95)),VLOOKUP($BA95&amp;$CU95,Armour!$B$4:$BP$99,67,FALSE),0)</f>
        <v>0</v>
      </c>
      <c r="CL95" s="4">
        <f>IF(ISNUMBER(SEARCH(CL$83,$BY95)),VLOOKUP($BA95&amp;$CU95,Armour!$B$4:$BP$99,67,FALSE),0)</f>
        <v>0</v>
      </c>
      <c r="CM95" s="4">
        <f>IF(ISNUMBER(SEARCH(CM$83,$BY95)),VLOOKUP($BA95&amp;$CU95,Armour!$B$4:$BP$99,67,FALSE),0)</f>
        <v>0</v>
      </c>
      <c r="CN95" s="4">
        <f>IF(ISNUMBER(SEARCH(CN$83,$BY95)),VLOOKUP($BA95&amp;$CU95,Armour!$B$4:$BP$99,67,FALSE),0)</f>
        <v>0</v>
      </c>
      <c r="CO95" s="4">
        <f>IF(ISNUMBER(SEARCH(CO$83,$BY95)),VLOOKUP($BA95&amp;$CU95,Armour!$B$4:$BP$99,67,FALSE),0)</f>
        <v>0</v>
      </c>
      <c r="CP95" s="4">
        <f>IF(ISNUMBER(SEARCH(CP$83,$BY95)),VLOOKUP($BA95&amp;$CU95,Armour!$B$4:$BP$99,67,FALSE),0)</f>
        <v>0</v>
      </c>
      <c r="CQ95" s="4">
        <f>IF(ISNUMBER(SEARCH(CQ$83,$BY95)),VLOOKUP($BA95&amp;$CU95,Armour!$B$4:$BP$99,67,FALSE),0)</f>
        <v>0</v>
      </c>
      <c r="CR95" s="4">
        <f>IF(ISNUMBER(SEARCH(CR$83,$BY95)),VLOOKUP($BA95&amp;$CU95,Armour!$B$4:$BP$99,67,FALSE),0)</f>
        <v>0</v>
      </c>
      <c r="CS95" s="4">
        <f>IF(ISNUMBER(SEARCH(CS$83,$BY95)),VLOOKUP($BA95&amp;$CU95,Armour!$B$4:$BP$99,67,FALSE),0)</f>
        <v>0</v>
      </c>
      <c r="CT95" s="4">
        <f>IF(ISNUMBER(SEARCH(CT$83,$BY95)),VLOOKUP($BA95&amp;$CU95,Armour!$B$4:$BP$99,67,FALSE),0)</f>
        <v>0</v>
      </c>
      <c r="CU95" s="4" t="str">
        <f t="shared" si="127"/>
        <v/>
      </c>
      <c r="DH95" s="4" t="str">
        <f t="shared" si="103"/>
        <v/>
      </c>
      <c r="DI95">
        <v>13</v>
      </c>
      <c r="DJ95" s="3" t="str">
        <f t="shared" si="135"/>
        <v/>
      </c>
      <c r="DK95" s="4" t="str">
        <f t="shared" si="145"/>
        <v/>
      </c>
      <c r="DL95" s="4" t="str">
        <f>IFERROR(IF(DK95=0,"",VLOOKUP(DK95,Skills!$N$72:$AF$107,19,FALSE)),"")</f>
        <v/>
      </c>
      <c r="DM95" s="4"/>
      <c r="DN95" s="4" t="str">
        <f t="shared" si="136"/>
        <v/>
      </c>
      <c r="DO95" s="4" t="str">
        <f t="shared" si="152"/>
        <v/>
      </c>
      <c r="DP95" s="4">
        <f t="shared" si="104"/>
        <v>0</v>
      </c>
      <c r="DQ95" s="4">
        <f t="shared" si="137"/>
        <v>2</v>
      </c>
      <c r="DR95" s="4" t="e">
        <f t="shared" si="138"/>
        <v>#N/A</v>
      </c>
      <c r="DS95" s="4">
        <f t="shared" si="139"/>
        <v>13</v>
      </c>
      <c r="DT95" s="4" t="str">
        <f t="shared" si="146"/>
        <v/>
      </c>
      <c r="DU95" s="4" t="str">
        <f t="shared" si="147"/>
        <v/>
      </c>
      <c r="DV95" s="4" t="e">
        <f>VLOOKUP((VLOOKUP((VLOOKUP('Character Creation'!$Z$11,RaceChart,20,FALSE)&amp;" "&amp;VLOOKUP('Character Creation'!$Z$11,RaceChart,21,FALSE)),Charts!$H$2:$J$14,3,FALSE)+DU95),Charts!$J$2:$N$14,5,FALSE)</f>
        <v>#VALUE!</v>
      </c>
      <c r="DW95" s="4" t="e">
        <f>VLOOKUP(DV95,Charts!$N$2:$Q$14,4,FALSE)</f>
        <v>#VALUE!</v>
      </c>
      <c r="DX95" s="4" t="str">
        <f t="shared" si="140"/>
        <v/>
      </c>
      <c r="DY95" s="4" t="str">
        <f t="shared" si="148"/>
        <v/>
      </c>
      <c r="DZ95" s="4" t="str">
        <f t="shared" si="141"/>
        <v/>
      </c>
      <c r="EA95" s="4" t="e">
        <f>ROUNDDOWN(VLOOKUP(DK95,Skills!$N$72:$S$107,6,FALSE)/5,0)</f>
        <v>#N/A</v>
      </c>
      <c r="EB95" s="4" t="str">
        <f t="shared" si="149"/>
        <v/>
      </c>
      <c r="EC95" s="4" t="str">
        <f t="shared" si="142"/>
        <v>+</v>
      </c>
      <c r="ED95" s="4" t="e">
        <f>VLOOKUP(DJ95,'Character Sheet'!$FB$21:$HQ$35,61,FALSE)</f>
        <v>#N/A</v>
      </c>
      <c r="EE95" s="4" t="str">
        <f t="shared" si="150"/>
        <v/>
      </c>
      <c r="EF95" s="4" t="str">
        <f t="shared" si="151"/>
        <v/>
      </c>
      <c r="EG95" s="4" t="e">
        <f>VLOOKUP(DR95,Items!$B$1156:$AA$1282,18,FALSE)</f>
        <v>#N/A</v>
      </c>
      <c r="EH95" s="4">
        <f>VLOOKUP(DJ95,'Character Sheet'!$E$26:$EZ$45,81,FALSE)</f>
        <v>0</v>
      </c>
      <c r="EI95" s="4">
        <f>VLOOKUP(DJ95,'Character Sheet'!$E$26:$EZ$45,89,FALSE)</f>
        <v>0</v>
      </c>
      <c r="EJ95" s="4" t="e">
        <f t="shared" si="143"/>
        <v>#N/A</v>
      </c>
    </row>
    <row r="96" spans="29:140" x14ac:dyDescent="0.25">
      <c r="AC96" s="8" t="str">
        <f>IFERROR(VLOOKUP('Character Creation'!$CI109,Skills!$H$2:$N$620,6,FALSE),"")</f>
        <v/>
      </c>
      <c r="AD96" s="4">
        <f>'Character Creation'!EH109</f>
        <v>0</v>
      </c>
      <c r="AG96">
        <v>95</v>
      </c>
      <c r="AH96" s="4" t="str">
        <f t="shared" si="95"/>
        <v/>
      </c>
      <c r="AI96" t="str">
        <f>IFERROR(VLOOKUP(AG96,Skills!$B$2:$M$620,12,FALSE),"")</f>
        <v/>
      </c>
      <c r="AJ96" s="4" t="str">
        <f>IFERROR(VLOOKUP(AG96,Skills!$B$2:$AF$620,31,FALSE),"")</f>
        <v/>
      </c>
      <c r="AK96" s="4" t="str">
        <f t="shared" si="153"/>
        <v/>
      </c>
      <c r="AL96" s="4">
        <v>9.5000000000000001E-2</v>
      </c>
      <c r="AM96" s="62" t="str">
        <f t="shared" si="96"/>
        <v/>
      </c>
      <c r="AN96" t="str">
        <f t="shared" ca="1" si="97"/>
        <v/>
      </c>
      <c r="AO96" s="4" t="str">
        <f ca="1">IFERROR(VLOOKUP(AG96,$AH$2:$AJ$451,3,FALSE)&amp;IF(ISNUMBER(SEARCH(", Written",AN96))," -R"&amp;VLOOKUP(AN96,Skills!$M$2:$S$620,7,FALSE),IF(ISNUMBER(SEARCH(", Spoken",AN96))," -R"&amp;VLOOKUP(AN96,Skills!$M$2:$S$620,7,FALSE),"")),"")</f>
        <v/>
      </c>
      <c r="AQ96">
        <v>93</v>
      </c>
      <c r="AR96" s="8" t="str">
        <f>'Character Sheet'!FB95</f>
        <v>Tea Kettle</v>
      </c>
      <c r="AS96" s="4" t="str">
        <f t="shared" si="98"/>
        <v>Tin</v>
      </c>
      <c r="AT96" s="4">
        <f t="shared" si="99"/>
        <v>0.52</v>
      </c>
      <c r="AU96" s="4">
        <f t="shared" si="105"/>
        <v>454</v>
      </c>
      <c r="AV96" s="4">
        <f t="shared" si="106"/>
        <v>-30</v>
      </c>
      <c r="AW96" s="4" t="str">
        <f t="shared" si="107"/>
        <v>Tin</v>
      </c>
      <c r="AX96" s="4">
        <f t="shared" si="100"/>
        <v>0.52</v>
      </c>
      <c r="AY96" s="4">
        <f t="shared" si="108"/>
        <v>454</v>
      </c>
      <c r="AZ96" s="4">
        <f t="shared" si="109"/>
        <v>-30</v>
      </c>
      <c r="BA96" s="4" t="str">
        <f>IFERROR('Character Sheet'!JK95,"")</f>
        <v>Tin</v>
      </c>
      <c r="BB96" s="4">
        <f t="shared" si="101"/>
        <v>0.52</v>
      </c>
      <c r="BC96" s="4">
        <f t="shared" si="110"/>
        <v>0</v>
      </c>
      <c r="BD96" s="4">
        <f t="shared" si="111"/>
        <v>0</v>
      </c>
      <c r="BE96" s="4">
        <f t="shared" si="112"/>
        <v>1.5</v>
      </c>
      <c r="BF96" s="4">
        <f t="shared" si="113"/>
        <v>454</v>
      </c>
      <c r="BG96" s="4">
        <f t="shared" si="114"/>
        <v>-30</v>
      </c>
      <c r="BH96" s="4" t="str">
        <f>IFERROR('Character Sheet'!KC95,"")</f>
        <v>Tin</v>
      </c>
      <c r="BI96" s="4">
        <f t="shared" si="102"/>
        <v>0.52</v>
      </c>
      <c r="BJ96" s="4">
        <f t="shared" si="115"/>
        <v>0</v>
      </c>
      <c r="BK96" s="4">
        <f t="shared" si="116"/>
        <v>0</v>
      </c>
      <c r="BL96" s="4">
        <f t="shared" si="117"/>
        <v>0</v>
      </c>
      <c r="BM96" s="4">
        <f t="shared" si="118"/>
        <v>454</v>
      </c>
      <c r="BN96" s="4">
        <f t="shared" si="119"/>
        <v>-30</v>
      </c>
      <c r="BO96" s="4">
        <f t="shared" si="120"/>
        <v>1</v>
      </c>
      <c r="BP96" s="4">
        <f t="shared" si="121"/>
        <v>-35</v>
      </c>
      <c r="BQ96" s="4">
        <f>IFERROR('Character Sheet'!IQ95+VLOOKUP(BA96,MaterialChart,5,FALSE),"")</f>
        <v>-35</v>
      </c>
      <c r="BR96" s="4">
        <f t="shared" si="122"/>
        <v>0</v>
      </c>
      <c r="BS96" s="4">
        <f t="shared" si="144"/>
        <v>45</v>
      </c>
      <c r="BT96" s="4">
        <f t="shared" si="123"/>
        <v>1.5</v>
      </c>
      <c r="BU96" s="4">
        <f t="shared" si="124"/>
        <v>1.5</v>
      </c>
      <c r="BV96" s="4">
        <f t="shared" si="125"/>
        <v>1.5</v>
      </c>
      <c r="BW96" s="4">
        <f>IFERROR(ROUNDUP((BE96*(BB96-AT96))+(BL96*(BI96-AX96))+(BT96*(((100+(BD96+IF(BE96=1,0,BK96))+(4*BR96))/100)))*'Character Sheet'!GT95,3),"")</f>
        <v>1.5</v>
      </c>
      <c r="BX96" s="4" t="str">
        <f t="shared" si="93"/>
        <v>$1.5</v>
      </c>
      <c r="BY96" s="8">
        <f t="shared" si="126"/>
        <v>0</v>
      </c>
      <c r="BZ96" s="4">
        <f>IF(ISNUMBER(SEARCH(BZ$83,$BY96)),VLOOKUP($BA96&amp;$CU96,Armour!$B$4:$BP$99,67,FALSE),0)</f>
        <v>0</v>
      </c>
      <c r="CA96" s="4">
        <f>IF(ISNUMBER(SEARCH(CA$83,$BY96)),VLOOKUP($BA96&amp;$CU96,Armour!$B$4:$BP$99,67,FALSE),0)</f>
        <v>0</v>
      </c>
      <c r="CB96" s="4">
        <f>IF(ISNUMBER(SEARCH(CB$83,$BY96)),VLOOKUP($BA96&amp;$CU96,Armour!$B$4:$BP$99,67,FALSE),0)</f>
        <v>0</v>
      </c>
      <c r="CC96" s="4">
        <f>IF(ISNUMBER(SEARCH(CC$83,$BY96)),VLOOKUP($BA96&amp;$CU96,Armour!$B$4:$BP$99,67,FALSE),0)</f>
        <v>0</v>
      </c>
      <c r="CD96" s="4">
        <f>IF(ISNUMBER(SEARCH(CD$83,$BY96)),VLOOKUP($BA96&amp;$CU96,Armour!$B$4:$BP$99,67,FALSE),0)</f>
        <v>0</v>
      </c>
      <c r="CE96" s="4">
        <f>IF(ISNUMBER(SEARCH(CE$83,$BY96)),VLOOKUP($BA96&amp;$CU96,Armour!$B$4:$BP$99,67,FALSE),0)</f>
        <v>0</v>
      </c>
      <c r="CF96" s="4">
        <f>IF(ISNUMBER(SEARCH(CF$83,$BY96)),VLOOKUP($BA96&amp;$CU96,Armour!$B$4:$BP$99,67,FALSE),0)</f>
        <v>0</v>
      </c>
      <c r="CG96" s="4">
        <f>IF(ISNUMBER(SEARCH(CG$83,$BY96)),VLOOKUP($BA96&amp;$CU96,Armour!$B$4:$BP$99,67,FALSE),0)</f>
        <v>0</v>
      </c>
      <c r="CH96" s="4">
        <f>IF(ISNUMBER(SEARCH(CH$83,$BY96)),VLOOKUP($BA96&amp;$CU96,Armour!$B$4:$BP$99,67,FALSE),0)</f>
        <v>0</v>
      </c>
      <c r="CI96" s="4">
        <f>IF(ISNUMBER(SEARCH(CI$83,$BY96)),VLOOKUP($BA96&amp;$CU96,Armour!$B$4:$BP$99,67,FALSE),0)</f>
        <v>0</v>
      </c>
      <c r="CJ96" s="4">
        <f>IF(ISNUMBER(SEARCH(CJ$83,$BY96)),VLOOKUP($BA96&amp;$CU96,Armour!$B$4:$BP$99,67,FALSE),0)</f>
        <v>0</v>
      </c>
      <c r="CK96" s="4">
        <f>IF(ISNUMBER(SEARCH(CK$83,$BY96)),VLOOKUP($BA96&amp;$CU96,Armour!$B$4:$BP$99,67,FALSE),0)</f>
        <v>0</v>
      </c>
      <c r="CL96" s="4">
        <f>IF(ISNUMBER(SEARCH(CL$83,$BY96)),VLOOKUP($BA96&amp;$CU96,Armour!$B$4:$BP$99,67,FALSE),0)</f>
        <v>0</v>
      </c>
      <c r="CM96" s="4">
        <f>IF(ISNUMBER(SEARCH(CM$83,$BY96)),VLOOKUP($BA96&amp;$CU96,Armour!$B$4:$BP$99,67,FALSE),0)</f>
        <v>0</v>
      </c>
      <c r="CN96" s="4">
        <f>IF(ISNUMBER(SEARCH(CN$83,$BY96)),VLOOKUP($BA96&amp;$CU96,Armour!$B$4:$BP$99,67,FALSE),0)</f>
        <v>0</v>
      </c>
      <c r="CO96" s="4">
        <f>IF(ISNUMBER(SEARCH(CO$83,$BY96)),VLOOKUP($BA96&amp;$CU96,Armour!$B$4:$BP$99,67,FALSE),0)</f>
        <v>0</v>
      </c>
      <c r="CP96" s="4">
        <f>IF(ISNUMBER(SEARCH(CP$83,$BY96)),VLOOKUP($BA96&amp;$CU96,Armour!$B$4:$BP$99,67,FALSE),0)</f>
        <v>0</v>
      </c>
      <c r="CQ96" s="4">
        <f>IF(ISNUMBER(SEARCH(CQ$83,$BY96)),VLOOKUP($BA96&amp;$CU96,Armour!$B$4:$BP$99,67,FALSE),0)</f>
        <v>0</v>
      </c>
      <c r="CR96" s="4">
        <f>IF(ISNUMBER(SEARCH(CR$83,$BY96)),VLOOKUP($BA96&amp;$CU96,Armour!$B$4:$BP$99,67,FALSE),0)</f>
        <v>0</v>
      </c>
      <c r="CS96" s="4">
        <f>IF(ISNUMBER(SEARCH(CS$83,$BY96)),VLOOKUP($BA96&amp;$CU96,Armour!$B$4:$BP$99,67,FALSE),0)</f>
        <v>0</v>
      </c>
      <c r="CT96" s="4">
        <f>IF(ISNUMBER(SEARCH(CT$83,$BY96)),VLOOKUP($BA96&amp;$CU96,Armour!$B$4:$BP$99,67,FALSE),0)</f>
        <v>0</v>
      </c>
      <c r="CU96" s="4" t="str">
        <f t="shared" si="127"/>
        <v/>
      </c>
      <c r="DH96" s="4" t="str">
        <f t="shared" si="103"/>
        <v/>
      </c>
      <c r="DI96">
        <v>14</v>
      </c>
      <c r="DJ96" s="3" t="str">
        <f t="shared" si="135"/>
        <v/>
      </c>
      <c r="DK96" s="4" t="str">
        <f t="shared" si="145"/>
        <v/>
      </c>
      <c r="DL96" s="4" t="str">
        <f>IFERROR(IF(DK96=0,"",VLOOKUP(DK96,Skills!$N$72:$AF$107,19,FALSE)),"")</f>
        <v/>
      </c>
      <c r="DM96" s="4"/>
      <c r="DN96" s="4" t="str">
        <f t="shared" si="136"/>
        <v/>
      </c>
      <c r="DO96" s="4" t="str">
        <f t="shared" si="152"/>
        <v/>
      </c>
      <c r="DP96" s="4">
        <f t="shared" si="104"/>
        <v>0</v>
      </c>
      <c r="DQ96" s="4">
        <f t="shared" si="137"/>
        <v>2</v>
      </c>
      <c r="DR96" s="4" t="e">
        <f t="shared" si="138"/>
        <v>#N/A</v>
      </c>
      <c r="DS96" s="4">
        <f t="shared" si="139"/>
        <v>14</v>
      </c>
      <c r="DT96" s="4" t="str">
        <f t="shared" si="146"/>
        <v/>
      </c>
      <c r="DU96" s="4" t="str">
        <f t="shared" si="147"/>
        <v/>
      </c>
      <c r="DV96" s="4" t="e">
        <f>VLOOKUP((VLOOKUP((VLOOKUP('Character Creation'!$Z$11,RaceChart,20,FALSE)&amp;" "&amp;VLOOKUP('Character Creation'!$Z$11,RaceChart,21,FALSE)),Charts!$H$2:$J$14,3,FALSE)+DU96),Charts!$J$2:$N$14,5,FALSE)</f>
        <v>#VALUE!</v>
      </c>
      <c r="DW96" s="4" t="e">
        <f>VLOOKUP(DV96,Charts!$N$2:$Q$14,4,FALSE)</f>
        <v>#VALUE!</v>
      </c>
      <c r="DX96" s="4" t="str">
        <f t="shared" si="140"/>
        <v/>
      </c>
      <c r="DY96" s="4" t="str">
        <f t="shared" si="148"/>
        <v/>
      </c>
      <c r="DZ96" s="4" t="str">
        <f t="shared" si="141"/>
        <v/>
      </c>
      <c r="EA96" s="4" t="e">
        <f>ROUNDDOWN(VLOOKUP(DK96,Skills!$N$72:$S$107,6,FALSE)/5,0)</f>
        <v>#N/A</v>
      </c>
      <c r="EB96" s="4" t="str">
        <f t="shared" si="149"/>
        <v/>
      </c>
      <c r="EC96" s="4" t="str">
        <f t="shared" si="142"/>
        <v>+</v>
      </c>
      <c r="ED96" s="4" t="e">
        <f>VLOOKUP(DJ96,'Character Sheet'!$FB$21:$HQ$35,61,FALSE)</f>
        <v>#N/A</v>
      </c>
      <c r="EE96" s="4" t="str">
        <f t="shared" si="150"/>
        <v/>
      </c>
      <c r="EF96" s="4" t="str">
        <f t="shared" si="151"/>
        <v/>
      </c>
      <c r="EG96" s="4" t="e">
        <f>VLOOKUP(DR96,Items!$B$1156:$AA$1282,18,FALSE)</f>
        <v>#N/A</v>
      </c>
      <c r="EH96" s="4">
        <f>VLOOKUP(DJ96,'Character Sheet'!$E$26:$EZ$45,81,FALSE)</f>
        <v>0</v>
      </c>
      <c r="EI96" s="4">
        <f>VLOOKUP(DJ96,'Character Sheet'!$E$26:$EZ$45,89,FALSE)</f>
        <v>0</v>
      </c>
      <c r="EJ96" s="4" t="e">
        <f t="shared" si="143"/>
        <v>#N/A</v>
      </c>
    </row>
    <row r="97" spans="29:140" x14ac:dyDescent="0.25">
      <c r="AC97" s="8" t="str">
        <f>IFERROR(VLOOKUP('Character Creation'!$CI110,Skills!$H$2:$N$620,6,FALSE),"")</f>
        <v/>
      </c>
      <c r="AD97" s="4">
        <f>'Character Creation'!EH110</f>
        <v>0</v>
      </c>
      <c r="AG97">
        <v>96</v>
      </c>
      <c r="AH97" s="4" t="str">
        <f t="shared" si="95"/>
        <v/>
      </c>
      <c r="AI97" t="str">
        <f>IFERROR(VLOOKUP(AG97,Skills!$B$2:$M$620,12,FALSE),"")</f>
        <v/>
      </c>
      <c r="AJ97" s="4" t="str">
        <f>IFERROR(VLOOKUP(AG97,Skills!$B$2:$AF$620,31,FALSE),"")</f>
        <v/>
      </c>
      <c r="AK97" s="4" t="str">
        <f t="shared" si="153"/>
        <v/>
      </c>
      <c r="AL97" s="4">
        <v>9.6000000000000002E-2</v>
      </c>
      <c r="AM97" s="62" t="str">
        <f t="shared" si="96"/>
        <v/>
      </c>
      <c r="AN97" t="str">
        <f t="shared" ca="1" si="97"/>
        <v/>
      </c>
      <c r="AO97" s="4" t="str">
        <f ca="1">IFERROR(VLOOKUP(AG97,$AH$2:$AJ$451,3,FALSE)&amp;IF(ISNUMBER(SEARCH(", Written",AN97))," -R"&amp;VLOOKUP(AN97,Skills!$M$2:$S$620,7,FALSE),IF(ISNUMBER(SEARCH(", Spoken",AN97))," -R"&amp;VLOOKUP(AN97,Skills!$M$2:$S$620,7,FALSE),"")),"")</f>
        <v/>
      </c>
      <c r="AQ97">
        <v>94</v>
      </c>
      <c r="AR97" s="8" t="str">
        <f>'Character Sheet'!FB96</f>
        <v>Iron Pot (small)</v>
      </c>
      <c r="AS97" s="4" t="str">
        <f t="shared" si="98"/>
        <v>Iron</v>
      </c>
      <c r="AT97" s="4">
        <f t="shared" si="99"/>
        <v>0.01</v>
      </c>
      <c r="AU97" s="4">
        <f t="shared" si="105"/>
        <v>491</v>
      </c>
      <c r="AV97" s="4">
        <f t="shared" si="106"/>
        <v>0</v>
      </c>
      <c r="AW97" s="4" t="str">
        <f t="shared" si="107"/>
        <v>Iron</v>
      </c>
      <c r="AX97" s="4">
        <f t="shared" si="100"/>
        <v>0.01</v>
      </c>
      <c r="AY97" s="4">
        <f t="shared" si="108"/>
        <v>491</v>
      </c>
      <c r="AZ97" s="4">
        <f t="shared" si="109"/>
        <v>0</v>
      </c>
      <c r="BA97" s="4" t="str">
        <f>IFERROR('Character Sheet'!JK96,"")</f>
        <v>Iron</v>
      </c>
      <c r="BB97" s="4">
        <f t="shared" si="101"/>
        <v>0.01</v>
      </c>
      <c r="BC97" s="4">
        <f t="shared" si="110"/>
        <v>0</v>
      </c>
      <c r="BD97" s="4">
        <f t="shared" si="111"/>
        <v>0</v>
      </c>
      <c r="BE97" s="4">
        <f t="shared" si="112"/>
        <v>3.5</v>
      </c>
      <c r="BF97" s="4">
        <f t="shared" si="113"/>
        <v>491</v>
      </c>
      <c r="BG97" s="4">
        <f t="shared" si="114"/>
        <v>0</v>
      </c>
      <c r="BH97" s="4" t="str">
        <f>IFERROR('Character Sheet'!KC96,"")</f>
        <v>Iron</v>
      </c>
      <c r="BI97" s="4">
        <f t="shared" si="102"/>
        <v>0.01</v>
      </c>
      <c r="BJ97" s="4">
        <f t="shared" si="115"/>
        <v>0</v>
      </c>
      <c r="BK97" s="4">
        <f t="shared" si="116"/>
        <v>0</v>
      </c>
      <c r="BL97" s="4">
        <f t="shared" si="117"/>
        <v>0</v>
      </c>
      <c r="BM97" s="4">
        <f t="shared" si="118"/>
        <v>491</v>
      </c>
      <c r="BN97" s="4">
        <f t="shared" si="119"/>
        <v>0</v>
      </c>
      <c r="BO97" s="4">
        <f t="shared" si="120"/>
        <v>1</v>
      </c>
      <c r="BP97" s="4">
        <f t="shared" si="121"/>
        <v>0</v>
      </c>
      <c r="BQ97" s="4">
        <f>IFERROR('Character Sheet'!IQ96+VLOOKUP(BA97,MaterialChart,5,FALSE),"")</f>
        <v>0</v>
      </c>
      <c r="BR97" s="4">
        <f t="shared" si="122"/>
        <v>0</v>
      </c>
      <c r="BS97" s="4">
        <f t="shared" si="144"/>
        <v>80</v>
      </c>
      <c r="BT97" s="4">
        <f t="shared" si="123"/>
        <v>0.2</v>
      </c>
      <c r="BU97" s="4">
        <f t="shared" si="124"/>
        <v>3.5</v>
      </c>
      <c r="BV97" s="4">
        <f t="shared" si="125"/>
        <v>3.5</v>
      </c>
      <c r="BW97" s="4">
        <f>IFERROR(ROUNDUP((BE97*(BB97-AT97))+(BL97*(BI97-AX97))+(BT97*(((100+(BD97+IF(BE97=1,0,BK97))+(4*BR97))/100)))*'Character Sheet'!GT96,3),"")</f>
        <v>0.2</v>
      </c>
      <c r="BX97" s="4" t="str">
        <f t="shared" si="93"/>
        <v>$0.2</v>
      </c>
      <c r="BY97" s="8">
        <f t="shared" si="126"/>
        <v>0</v>
      </c>
      <c r="BZ97" s="4">
        <f>IF(ISNUMBER(SEARCH(BZ$83,$BY97)),VLOOKUP($BA97&amp;$CU97,Armour!$B$4:$BP$99,67,FALSE),0)</f>
        <v>0</v>
      </c>
      <c r="CA97" s="4">
        <f>IF(ISNUMBER(SEARCH(CA$83,$BY97)),VLOOKUP($BA97&amp;$CU97,Armour!$B$4:$BP$99,67,FALSE),0)</f>
        <v>0</v>
      </c>
      <c r="CB97" s="4">
        <f>IF(ISNUMBER(SEARCH(CB$83,$BY97)),VLOOKUP($BA97&amp;$CU97,Armour!$B$4:$BP$99,67,FALSE),0)</f>
        <v>0</v>
      </c>
      <c r="CC97" s="4">
        <f>IF(ISNUMBER(SEARCH(CC$83,$BY97)),VLOOKUP($BA97&amp;$CU97,Armour!$B$4:$BP$99,67,FALSE),0)</f>
        <v>0</v>
      </c>
      <c r="CD97" s="4">
        <f>IF(ISNUMBER(SEARCH(CD$83,$BY97)),VLOOKUP($BA97&amp;$CU97,Armour!$B$4:$BP$99,67,FALSE),0)</f>
        <v>0</v>
      </c>
      <c r="CE97" s="4">
        <f>IF(ISNUMBER(SEARCH(CE$83,$BY97)),VLOOKUP($BA97&amp;$CU97,Armour!$B$4:$BP$99,67,FALSE),0)</f>
        <v>0</v>
      </c>
      <c r="CF97" s="4">
        <f>IF(ISNUMBER(SEARCH(CF$83,$BY97)),VLOOKUP($BA97&amp;$CU97,Armour!$B$4:$BP$99,67,FALSE),0)</f>
        <v>0</v>
      </c>
      <c r="CG97" s="4">
        <f>IF(ISNUMBER(SEARCH(CG$83,$BY97)),VLOOKUP($BA97&amp;$CU97,Armour!$B$4:$BP$99,67,FALSE),0)</f>
        <v>0</v>
      </c>
      <c r="CH97" s="4">
        <f>IF(ISNUMBER(SEARCH(CH$83,$BY97)),VLOOKUP($BA97&amp;$CU97,Armour!$B$4:$BP$99,67,FALSE),0)</f>
        <v>0</v>
      </c>
      <c r="CI97" s="4">
        <f>IF(ISNUMBER(SEARCH(CI$83,$BY97)),VLOOKUP($BA97&amp;$CU97,Armour!$B$4:$BP$99,67,FALSE),0)</f>
        <v>0</v>
      </c>
      <c r="CJ97" s="4">
        <f>IF(ISNUMBER(SEARCH(CJ$83,$BY97)),VLOOKUP($BA97&amp;$CU97,Armour!$B$4:$BP$99,67,FALSE),0)</f>
        <v>0</v>
      </c>
      <c r="CK97" s="4">
        <f>IF(ISNUMBER(SEARCH(CK$83,$BY97)),VLOOKUP($BA97&amp;$CU97,Armour!$B$4:$BP$99,67,FALSE),0)</f>
        <v>0</v>
      </c>
      <c r="CL97" s="4">
        <f>IF(ISNUMBER(SEARCH(CL$83,$BY97)),VLOOKUP($BA97&amp;$CU97,Armour!$B$4:$BP$99,67,FALSE),0)</f>
        <v>0</v>
      </c>
      <c r="CM97" s="4">
        <f>IF(ISNUMBER(SEARCH(CM$83,$BY97)),VLOOKUP($BA97&amp;$CU97,Armour!$B$4:$BP$99,67,FALSE),0)</f>
        <v>0</v>
      </c>
      <c r="CN97" s="4">
        <f>IF(ISNUMBER(SEARCH(CN$83,$BY97)),VLOOKUP($BA97&amp;$CU97,Armour!$B$4:$BP$99,67,FALSE),0)</f>
        <v>0</v>
      </c>
      <c r="CO97" s="4">
        <f>IF(ISNUMBER(SEARCH(CO$83,$BY97)),VLOOKUP($BA97&amp;$CU97,Armour!$B$4:$BP$99,67,FALSE),0)</f>
        <v>0</v>
      </c>
      <c r="CP97" s="4">
        <f>IF(ISNUMBER(SEARCH(CP$83,$BY97)),VLOOKUP($BA97&amp;$CU97,Armour!$B$4:$BP$99,67,FALSE),0)</f>
        <v>0</v>
      </c>
      <c r="CQ97" s="4">
        <f>IF(ISNUMBER(SEARCH(CQ$83,$BY97)),VLOOKUP($BA97&amp;$CU97,Armour!$B$4:$BP$99,67,FALSE),0)</f>
        <v>0</v>
      </c>
      <c r="CR97" s="4">
        <f>IF(ISNUMBER(SEARCH(CR$83,$BY97)),VLOOKUP($BA97&amp;$CU97,Armour!$B$4:$BP$99,67,FALSE),0)</f>
        <v>0</v>
      </c>
      <c r="CS97" s="4">
        <f>IF(ISNUMBER(SEARCH(CS$83,$BY97)),VLOOKUP($BA97&amp;$CU97,Armour!$B$4:$BP$99,67,FALSE),0)</f>
        <v>0</v>
      </c>
      <c r="CT97" s="4">
        <f>IF(ISNUMBER(SEARCH(CT$83,$BY97)),VLOOKUP($BA97&amp;$CU97,Armour!$B$4:$BP$99,67,FALSE),0)</f>
        <v>0</v>
      </c>
      <c r="CU97" s="4" t="str">
        <f t="shared" si="127"/>
        <v/>
      </c>
      <c r="DH97" s="4" t="str">
        <f t="shared" si="103"/>
        <v/>
      </c>
      <c r="DI97">
        <v>15</v>
      </c>
      <c r="DJ97" s="3" t="str">
        <f t="shared" si="135"/>
        <v/>
      </c>
      <c r="DK97" s="4" t="str">
        <f t="shared" si="145"/>
        <v/>
      </c>
      <c r="DL97" s="4" t="str">
        <f>IFERROR(IF(DK97=0,"",VLOOKUP(DK97,Skills!$N$72:$AF$107,19,FALSE)),"")</f>
        <v/>
      </c>
      <c r="DM97" s="4"/>
      <c r="DN97" s="4" t="str">
        <f t="shared" si="136"/>
        <v/>
      </c>
      <c r="DO97" s="4" t="str">
        <f t="shared" si="152"/>
        <v/>
      </c>
      <c r="DP97" s="4">
        <f t="shared" si="104"/>
        <v>0</v>
      </c>
      <c r="DQ97" s="4">
        <f t="shared" si="137"/>
        <v>2</v>
      </c>
      <c r="DR97" s="4" t="e">
        <f t="shared" si="138"/>
        <v>#N/A</v>
      </c>
      <c r="DS97" s="4">
        <f t="shared" si="139"/>
        <v>15</v>
      </c>
      <c r="DT97" s="4" t="str">
        <f t="shared" si="146"/>
        <v/>
      </c>
      <c r="DU97" s="4" t="str">
        <f t="shared" si="147"/>
        <v/>
      </c>
      <c r="DV97" s="4" t="e">
        <f>VLOOKUP((VLOOKUP((VLOOKUP('Character Creation'!$Z$11,RaceChart,20,FALSE)&amp;" "&amp;VLOOKUP('Character Creation'!$Z$11,RaceChart,21,FALSE)),Charts!$H$2:$J$14,3,FALSE)+DU97),Charts!$J$2:$N$14,5,FALSE)</f>
        <v>#VALUE!</v>
      </c>
      <c r="DW97" s="4" t="e">
        <f>VLOOKUP(DV97,Charts!$N$2:$Q$14,4,FALSE)</f>
        <v>#VALUE!</v>
      </c>
      <c r="DX97" s="4" t="str">
        <f t="shared" si="140"/>
        <v/>
      </c>
      <c r="DY97" s="4" t="str">
        <f t="shared" si="148"/>
        <v/>
      </c>
      <c r="DZ97" s="4" t="str">
        <f t="shared" si="141"/>
        <v/>
      </c>
      <c r="EA97" s="4" t="e">
        <f>ROUNDDOWN(VLOOKUP(DK97,Skills!$N$72:$S$107,6,FALSE)/5,0)</f>
        <v>#N/A</v>
      </c>
      <c r="EB97" s="4" t="str">
        <f t="shared" si="149"/>
        <v/>
      </c>
      <c r="EC97" s="4" t="str">
        <f t="shared" si="142"/>
        <v>+</v>
      </c>
      <c r="ED97" s="4" t="e">
        <f>VLOOKUP(DJ97,'Character Sheet'!$FB$21:$HQ$35,61,FALSE)</f>
        <v>#N/A</v>
      </c>
      <c r="EE97" s="4" t="str">
        <f t="shared" si="150"/>
        <v/>
      </c>
      <c r="EF97" s="4" t="str">
        <f t="shared" si="151"/>
        <v/>
      </c>
      <c r="EG97" s="4" t="e">
        <f>VLOOKUP(DR97,Items!$B$1156:$AA$1282,18,FALSE)</f>
        <v>#N/A</v>
      </c>
      <c r="EH97" s="4">
        <f>VLOOKUP(DJ97,'Character Sheet'!$E$26:$EZ$45,81,FALSE)</f>
        <v>0</v>
      </c>
      <c r="EI97" s="4">
        <f>VLOOKUP(DJ97,'Character Sheet'!$E$26:$EZ$45,89,FALSE)</f>
        <v>0</v>
      </c>
      <c r="EJ97" s="4" t="e">
        <f t="shared" si="143"/>
        <v>#N/A</v>
      </c>
    </row>
    <row r="98" spans="29:140" x14ac:dyDescent="0.25">
      <c r="AC98" s="8" t="str">
        <f>IFERROR(VLOOKUP('Character Creation'!$CI111,Skills!$H$2:$N$620,6,FALSE),"")</f>
        <v/>
      </c>
      <c r="AD98" s="4">
        <f>'Character Creation'!EH111</f>
        <v>0</v>
      </c>
      <c r="AG98">
        <v>97</v>
      </c>
      <c r="AH98" s="4" t="str">
        <f t="shared" si="95"/>
        <v/>
      </c>
      <c r="AI98" t="str">
        <f>IFERROR(VLOOKUP(AG98,Skills!$B$2:$M$620,12,FALSE),"")</f>
        <v/>
      </c>
      <c r="AJ98" s="4" t="str">
        <f>IFERROR(VLOOKUP(AG98,Skills!$B$2:$AF$620,31,FALSE),"")</f>
        <v/>
      </c>
      <c r="AK98" s="4" t="str">
        <f t="shared" si="153"/>
        <v/>
      </c>
      <c r="AL98" s="4">
        <v>9.7000000000000003E-2</v>
      </c>
      <c r="AM98" s="62" t="str">
        <f t="shared" si="96"/>
        <v/>
      </c>
      <c r="AN98" t="str">
        <f t="shared" ca="1" si="97"/>
        <v/>
      </c>
      <c r="AO98" s="4" t="str">
        <f ca="1">IFERROR(VLOOKUP(AG98,$AH$2:$AJ$451,3,FALSE)&amp;IF(ISNUMBER(SEARCH(", Written",AN98))," -R"&amp;VLOOKUP(AN98,Skills!$M$2:$S$620,7,FALSE),IF(ISNUMBER(SEARCH(", Spoken",AN98))," -R"&amp;VLOOKUP(AN98,Skills!$M$2:$S$620,7,FALSE),"")),"")</f>
        <v/>
      </c>
      <c r="AQ98">
        <v>95</v>
      </c>
      <c r="AR98" s="8" t="str">
        <f>'Character Sheet'!FB97</f>
        <v>Tea Kettle</v>
      </c>
      <c r="AS98" s="4" t="str">
        <f t="shared" si="98"/>
        <v>Tin</v>
      </c>
      <c r="AT98" s="4">
        <f t="shared" si="99"/>
        <v>0.52</v>
      </c>
      <c r="AU98" s="4">
        <f t="shared" si="105"/>
        <v>454</v>
      </c>
      <c r="AV98" s="4">
        <f t="shared" si="106"/>
        <v>-30</v>
      </c>
      <c r="AW98" s="4" t="str">
        <f t="shared" si="107"/>
        <v>Tin</v>
      </c>
      <c r="AX98" s="4">
        <f t="shared" si="100"/>
        <v>0.52</v>
      </c>
      <c r="AY98" s="4">
        <f t="shared" si="108"/>
        <v>454</v>
      </c>
      <c r="AZ98" s="4">
        <f t="shared" si="109"/>
        <v>-30</v>
      </c>
      <c r="BA98" s="4" t="str">
        <f>IFERROR('Character Sheet'!JK97,"")</f>
        <v>Tin</v>
      </c>
      <c r="BB98" s="4">
        <f t="shared" si="101"/>
        <v>0.52</v>
      </c>
      <c r="BC98" s="4">
        <f t="shared" si="110"/>
        <v>0</v>
      </c>
      <c r="BD98" s="4">
        <f t="shared" si="111"/>
        <v>0</v>
      </c>
      <c r="BE98" s="4">
        <f t="shared" si="112"/>
        <v>1.5</v>
      </c>
      <c r="BF98" s="4">
        <f t="shared" si="113"/>
        <v>454</v>
      </c>
      <c r="BG98" s="4">
        <f t="shared" si="114"/>
        <v>-30</v>
      </c>
      <c r="BH98" s="4" t="str">
        <f>IFERROR('Character Sheet'!KC97,"")</f>
        <v>Tin</v>
      </c>
      <c r="BI98" s="4">
        <f t="shared" si="102"/>
        <v>0.52</v>
      </c>
      <c r="BJ98" s="4">
        <f t="shared" si="115"/>
        <v>0</v>
      </c>
      <c r="BK98" s="4">
        <f t="shared" si="116"/>
        <v>0</v>
      </c>
      <c r="BL98" s="4">
        <f t="shared" si="117"/>
        <v>0</v>
      </c>
      <c r="BM98" s="4">
        <f t="shared" si="118"/>
        <v>454</v>
      </c>
      <c r="BN98" s="4">
        <f t="shared" si="119"/>
        <v>-30</v>
      </c>
      <c r="BO98" s="4">
        <f t="shared" si="120"/>
        <v>1</v>
      </c>
      <c r="BP98" s="4">
        <f t="shared" si="121"/>
        <v>-35</v>
      </c>
      <c r="BQ98" s="4">
        <f>IFERROR('Character Sheet'!IQ97+VLOOKUP(BA98,MaterialChart,5,FALSE),"")</f>
        <v>-35</v>
      </c>
      <c r="BR98" s="4">
        <f t="shared" si="122"/>
        <v>0</v>
      </c>
      <c r="BS98" s="4">
        <f t="shared" si="144"/>
        <v>45</v>
      </c>
      <c r="BT98" s="4">
        <f t="shared" si="123"/>
        <v>1.5</v>
      </c>
      <c r="BU98" s="4">
        <f t="shared" si="124"/>
        <v>1.5</v>
      </c>
      <c r="BV98" s="4">
        <f t="shared" si="125"/>
        <v>1.5</v>
      </c>
      <c r="BW98" s="4">
        <f>IFERROR(ROUNDUP((BE98*(BB98-AT98))+(BL98*(BI98-AX98))+(BT98*(((100+(BD98+IF(BE98=1,0,BK98))+(4*BR98))/100)))*'Character Sheet'!GT97,3),"")</f>
        <v>1.5</v>
      </c>
      <c r="BX98" s="4" t="str">
        <f t="shared" si="93"/>
        <v>$1.5</v>
      </c>
      <c r="BY98" s="8">
        <f t="shared" si="126"/>
        <v>0</v>
      </c>
      <c r="BZ98" s="4">
        <f>IF(ISNUMBER(SEARCH(BZ$83,$BY98)),VLOOKUP($BA98&amp;$CU98,Armour!$B$4:$BP$99,67,FALSE),0)</f>
        <v>0</v>
      </c>
      <c r="CA98" s="4">
        <f>IF(ISNUMBER(SEARCH(CA$83,$BY98)),VLOOKUP($BA98&amp;$CU98,Armour!$B$4:$BP$99,67,FALSE),0)</f>
        <v>0</v>
      </c>
      <c r="CB98" s="4">
        <f>IF(ISNUMBER(SEARCH(CB$83,$BY98)),VLOOKUP($BA98&amp;$CU98,Armour!$B$4:$BP$99,67,FALSE),0)</f>
        <v>0</v>
      </c>
      <c r="CC98" s="4">
        <f>IF(ISNUMBER(SEARCH(CC$83,$BY98)),VLOOKUP($BA98&amp;$CU98,Armour!$B$4:$BP$99,67,FALSE),0)</f>
        <v>0</v>
      </c>
      <c r="CD98" s="4">
        <f>IF(ISNUMBER(SEARCH(CD$83,$BY98)),VLOOKUP($BA98&amp;$CU98,Armour!$B$4:$BP$99,67,FALSE),0)</f>
        <v>0</v>
      </c>
      <c r="CE98" s="4">
        <f>IF(ISNUMBER(SEARCH(CE$83,$BY98)),VLOOKUP($BA98&amp;$CU98,Armour!$B$4:$BP$99,67,FALSE),0)</f>
        <v>0</v>
      </c>
      <c r="CF98" s="4">
        <f>IF(ISNUMBER(SEARCH(CF$83,$BY98)),VLOOKUP($BA98&amp;$CU98,Armour!$B$4:$BP$99,67,FALSE),0)</f>
        <v>0</v>
      </c>
      <c r="CG98" s="4">
        <f>IF(ISNUMBER(SEARCH(CG$83,$BY98)),VLOOKUP($BA98&amp;$CU98,Armour!$B$4:$BP$99,67,FALSE),0)</f>
        <v>0</v>
      </c>
      <c r="CH98" s="4">
        <f>IF(ISNUMBER(SEARCH(CH$83,$BY98)),VLOOKUP($BA98&amp;$CU98,Armour!$B$4:$BP$99,67,FALSE),0)</f>
        <v>0</v>
      </c>
      <c r="CI98" s="4">
        <f>IF(ISNUMBER(SEARCH(CI$83,$BY98)),VLOOKUP($BA98&amp;$CU98,Armour!$B$4:$BP$99,67,FALSE),0)</f>
        <v>0</v>
      </c>
      <c r="CJ98" s="4">
        <f>IF(ISNUMBER(SEARCH(CJ$83,$BY98)),VLOOKUP($BA98&amp;$CU98,Armour!$B$4:$BP$99,67,FALSE),0)</f>
        <v>0</v>
      </c>
      <c r="CK98" s="4">
        <f>IF(ISNUMBER(SEARCH(CK$83,$BY98)),VLOOKUP($BA98&amp;$CU98,Armour!$B$4:$BP$99,67,FALSE),0)</f>
        <v>0</v>
      </c>
      <c r="CL98" s="4">
        <f>IF(ISNUMBER(SEARCH(CL$83,$BY98)),VLOOKUP($BA98&amp;$CU98,Armour!$B$4:$BP$99,67,FALSE),0)</f>
        <v>0</v>
      </c>
      <c r="CM98" s="4">
        <f>IF(ISNUMBER(SEARCH(CM$83,$BY98)),VLOOKUP($BA98&amp;$CU98,Armour!$B$4:$BP$99,67,FALSE),0)</f>
        <v>0</v>
      </c>
      <c r="CN98" s="4">
        <f>IF(ISNUMBER(SEARCH(CN$83,$BY98)),VLOOKUP($BA98&amp;$CU98,Armour!$B$4:$BP$99,67,FALSE),0)</f>
        <v>0</v>
      </c>
      <c r="CO98" s="4">
        <f>IF(ISNUMBER(SEARCH(CO$83,$BY98)),VLOOKUP($BA98&amp;$CU98,Armour!$B$4:$BP$99,67,FALSE),0)</f>
        <v>0</v>
      </c>
      <c r="CP98" s="4">
        <f>IF(ISNUMBER(SEARCH(CP$83,$BY98)),VLOOKUP($BA98&amp;$CU98,Armour!$B$4:$BP$99,67,FALSE),0)</f>
        <v>0</v>
      </c>
      <c r="CQ98" s="4">
        <f>IF(ISNUMBER(SEARCH(CQ$83,$BY98)),VLOOKUP($BA98&amp;$CU98,Armour!$B$4:$BP$99,67,FALSE),0)</f>
        <v>0</v>
      </c>
      <c r="CR98" s="4">
        <f>IF(ISNUMBER(SEARCH(CR$83,$BY98)),VLOOKUP($BA98&amp;$CU98,Armour!$B$4:$BP$99,67,FALSE),0)</f>
        <v>0</v>
      </c>
      <c r="CS98" s="4">
        <f>IF(ISNUMBER(SEARCH(CS$83,$BY98)),VLOOKUP($BA98&amp;$CU98,Armour!$B$4:$BP$99,67,FALSE),0)</f>
        <v>0</v>
      </c>
      <c r="CT98" s="4">
        <f>IF(ISNUMBER(SEARCH(CT$83,$BY98)),VLOOKUP($BA98&amp;$CU98,Armour!$B$4:$BP$99,67,FALSE),0)</f>
        <v>0</v>
      </c>
      <c r="CU98" s="4" t="str">
        <f t="shared" si="127"/>
        <v/>
      </c>
      <c r="DH98" s="4" t="str">
        <f t="shared" si="103"/>
        <v/>
      </c>
      <c r="DI98">
        <v>16</v>
      </c>
      <c r="DJ98" s="3" t="str">
        <f t="shared" si="135"/>
        <v/>
      </c>
      <c r="DK98" s="4" t="str">
        <f t="shared" si="145"/>
        <v/>
      </c>
      <c r="DL98" s="4" t="str">
        <f>IFERROR(IF(DK98=0,"",VLOOKUP(DK98,Skills!$N$72:$AF$107,19,FALSE)),"")</f>
        <v/>
      </c>
      <c r="DM98" s="4"/>
      <c r="DN98" s="4" t="str">
        <f t="shared" si="136"/>
        <v/>
      </c>
      <c r="DO98" s="4" t="str">
        <f t="shared" si="152"/>
        <v/>
      </c>
      <c r="DP98" s="4">
        <f t="shared" si="104"/>
        <v>0</v>
      </c>
      <c r="DQ98" s="4">
        <f t="shared" si="137"/>
        <v>2</v>
      </c>
      <c r="DR98" s="4" t="e">
        <f t="shared" si="138"/>
        <v>#N/A</v>
      </c>
      <c r="DS98" s="4">
        <f t="shared" si="139"/>
        <v>16</v>
      </c>
      <c r="DT98" s="4" t="str">
        <f t="shared" si="146"/>
        <v/>
      </c>
      <c r="DU98" s="4" t="str">
        <f t="shared" si="147"/>
        <v/>
      </c>
      <c r="DV98" s="4" t="e">
        <f>VLOOKUP((VLOOKUP((VLOOKUP('Character Creation'!$Z$11,RaceChart,20,FALSE)&amp;" "&amp;VLOOKUP('Character Creation'!$Z$11,RaceChart,21,FALSE)),Charts!$H$2:$J$14,3,FALSE)+DU98),Charts!$J$2:$N$14,5,FALSE)</f>
        <v>#VALUE!</v>
      </c>
      <c r="DW98" s="4" t="e">
        <f>VLOOKUP(DV98,Charts!$N$2:$Q$14,4,FALSE)</f>
        <v>#VALUE!</v>
      </c>
      <c r="DX98" s="4" t="str">
        <f t="shared" si="140"/>
        <v/>
      </c>
      <c r="DY98" s="4" t="str">
        <f t="shared" si="148"/>
        <v/>
      </c>
      <c r="DZ98" s="4" t="str">
        <f t="shared" si="141"/>
        <v/>
      </c>
      <c r="EA98" s="4" t="e">
        <f>ROUNDDOWN(VLOOKUP(DK98,Skills!$N$72:$S$107,6,FALSE)/5,0)</f>
        <v>#N/A</v>
      </c>
      <c r="EB98" s="4" t="str">
        <f t="shared" si="149"/>
        <v/>
      </c>
      <c r="EC98" s="4" t="str">
        <f t="shared" si="142"/>
        <v>+</v>
      </c>
      <c r="ED98" s="4" t="e">
        <f>VLOOKUP(DJ98,'Character Sheet'!$FB$21:$HQ$35,61,FALSE)</f>
        <v>#N/A</v>
      </c>
      <c r="EE98" s="4" t="str">
        <f t="shared" si="150"/>
        <v/>
      </c>
      <c r="EF98" s="4" t="str">
        <f t="shared" si="151"/>
        <v/>
      </c>
      <c r="EG98" s="4" t="e">
        <f>VLOOKUP(DR98,Items!$B$1156:$AA$1282,18,FALSE)</f>
        <v>#N/A</v>
      </c>
      <c r="EH98" s="4">
        <f>VLOOKUP(DJ98,'Character Sheet'!$E$26:$EZ$45,81,FALSE)</f>
        <v>0</v>
      </c>
      <c r="EI98" s="4">
        <f>VLOOKUP(DJ98,'Character Sheet'!$E$26:$EZ$45,89,FALSE)</f>
        <v>0</v>
      </c>
      <c r="EJ98" s="4" t="e">
        <f t="shared" si="143"/>
        <v>#N/A</v>
      </c>
    </row>
    <row r="99" spans="29:140" x14ac:dyDescent="0.25">
      <c r="AC99" s="8" t="str">
        <f>IFERROR(VLOOKUP('Character Creation'!$CI112,Skills!$H$2:$N$620,6,FALSE),"")</f>
        <v/>
      </c>
      <c r="AD99" s="4">
        <f>'Character Creation'!EH112</f>
        <v>3</v>
      </c>
      <c r="AG99">
        <v>98</v>
      </c>
      <c r="AH99" s="4" t="str">
        <f t="shared" si="95"/>
        <v/>
      </c>
      <c r="AI99" t="str">
        <f>IFERROR(VLOOKUP(AG99,Skills!$B$2:$M$620,12,FALSE),"")</f>
        <v/>
      </c>
      <c r="AJ99" s="4" t="str">
        <f>IFERROR(VLOOKUP(AG99,Skills!$B$2:$AF$620,31,FALSE),"")</f>
        <v/>
      </c>
      <c r="AK99" s="4" t="str">
        <f t="shared" si="153"/>
        <v/>
      </c>
      <c r="AL99" s="4">
        <v>9.8000000000000004E-2</v>
      </c>
      <c r="AM99" s="62" t="str">
        <f t="shared" si="96"/>
        <v/>
      </c>
      <c r="AN99" t="str">
        <f t="shared" ca="1" si="97"/>
        <v/>
      </c>
      <c r="AO99" s="4" t="str">
        <f ca="1">IFERROR(VLOOKUP(AG99,$AH$2:$AJ$451,3,FALSE)&amp;IF(ISNUMBER(SEARCH(", Written",AN99))," -R"&amp;VLOOKUP(AN99,Skills!$M$2:$S$620,7,FALSE),IF(ISNUMBER(SEARCH(", Spoken",AN99))," -R"&amp;VLOOKUP(AN99,Skills!$M$2:$S$620,7,FALSE),"")),"")</f>
        <v/>
      </c>
      <c r="AQ99">
        <v>96</v>
      </c>
      <c r="AR99" s="8" t="str">
        <f>'Character Sheet'!FB98</f>
        <v>Pot Hanger (small)</v>
      </c>
      <c r="AS99" s="4" t="str">
        <f t="shared" si="98"/>
        <v>Iron</v>
      </c>
      <c r="AT99" s="4">
        <f t="shared" si="99"/>
        <v>0.01</v>
      </c>
      <c r="AU99" s="4">
        <f t="shared" si="105"/>
        <v>491</v>
      </c>
      <c r="AV99" s="4">
        <f t="shared" si="106"/>
        <v>0</v>
      </c>
      <c r="AW99" s="4" t="str">
        <f t="shared" si="107"/>
        <v>Iron</v>
      </c>
      <c r="AX99" s="4">
        <f t="shared" si="100"/>
        <v>0.01</v>
      </c>
      <c r="AY99" s="4">
        <f t="shared" si="108"/>
        <v>491</v>
      </c>
      <c r="AZ99" s="4">
        <f t="shared" si="109"/>
        <v>0</v>
      </c>
      <c r="BA99" s="4" t="str">
        <f>IFERROR('Character Sheet'!JK98,"")</f>
        <v>Iron</v>
      </c>
      <c r="BB99" s="4">
        <f t="shared" si="101"/>
        <v>0.01</v>
      </c>
      <c r="BC99" s="4">
        <f t="shared" si="110"/>
        <v>0</v>
      </c>
      <c r="BD99" s="4">
        <f t="shared" si="111"/>
        <v>0</v>
      </c>
      <c r="BE99" s="4">
        <f t="shared" si="112"/>
        <v>5</v>
      </c>
      <c r="BF99" s="4">
        <f t="shared" si="113"/>
        <v>491</v>
      </c>
      <c r="BG99" s="4">
        <f t="shared" si="114"/>
        <v>0</v>
      </c>
      <c r="BH99" s="4" t="str">
        <f>IFERROR('Character Sheet'!KC98,"")</f>
        <v>Iron</v>
      </c>
      <c r="BI99" s="4">
        <f t="shared" si="102"/>
        <v>0.01</v>
      </c>
      <c r="BJ99" s="4">
        <f t="shared" si="115"/>
        <v>0</v>
      </c>
      <c r="BK99" s="4">
        <f t="shared" si="116"/>
        <v>0</v>
      </c>
      <c r="BL99" s="4">
        <f t="shared" si="117"/>
        <v>0</v>
      </c>
      <c r="BM99" s="4">
        <f t="shared" si="118"/>
        <v>491</v>
      </c>
      <c r="BN99" s="4">
        <f t="shared" si="119"/>
        <v>0</v>
      </c>
      <c r="BO99" s="4">
        <f t="shared" si="120"/>
        <v>1</v>
      </c>
      <c r="BP99" s="4">
        <f t="shared" si="121"/>
        <v>0</v>
      </c>
      <c r="BQ99" s="4">
        <f>IFERROR('Character Sheet'!IQ98+VLOOKUP(BA99,MaterialChart,5,FALSE),"")</f>
        <v>0</v>
      </c>
      <c r="BR99" s="4">
        <f t="shared" si="122"/>
        <v>0</v>
      </c>
      <c r="BS99" s="4">
        <f t="shared" si="144"/>
        <v>80</v>
      </c>
      <c r="BT99" s="4">
        <f t="shared" si="123"/>
        <v>0.75</v>
      </c>
      <c r="BU99" s="4">
        <f t="shared" si="124"/>
        <v>5</v>
      </c>
      <c r="BV99" s="4">
        <f t="shared" si="125"/>
        <v>5</v>
      </c>
      <c r="BW99" s="4">
        <f>IFERROR(ROUNDUP((BE99*(BB99-AT99))+(BL99*(BI99-AX99))+(BT99*(((100+(BD99+IF(BE99=1,0,BK99))+(4*BR99))/100)))*'Character Sheet'!GT98,3),"")</f>
        <v>0.75</v>
      </c>
      <c r="BX99" s="4" t="str">
        <f t="shared" si="93"/>
        <v>$0.75</v>
      </c>
      <c r="BY99" s="8">
        <f t="shared" si="126"/>
        <v>0</v>
      </c>
      <c r="BZ99" s="4">
        <f>IF(ISNUMBER(SEARCH(BZ$83,$BY99)),VLOOKUP($BA99&amp;$CU99,Armour!$B$4:$BP$99,67,FALSE),0)</f>
        <v>0</v>
      </c>
      <c r="CA99" s="4">
        <f>IF(ISNUMBER(SEARCH(CA$83,$BY99)),VLOOKUP($BA99&amp;$CU99,Armour!$B$4:$BP$99,67,FALSE),0)</f>
        <v>0</v>
      </c>
      <c r="CB99" s="4">
        <f>IF(ISNUMBER(SEARCH(CB$83,$BY99)),VLOOKUP($BA99&amp;$CU99,Armour!$B$4:$BP$99,67,FALSE),0)</f>
        <v>0</v>
      </c>
      <c r="CC99" s="4">
        <f>IF(ISNUMBER(SEARCH(CC$83,$BY99)),VLOOKUP($BA99&amp;$CU99,Armour!$B$4:$BP$99,67,FALSE),0)</f>
        <v>0</v>
      </c>
      <c r="CD99" s="4">
        <f>IF(ISNUMBER(SEARCH(CD$83,$BY99)),VLOOKUP($BA99&amp;$CU99,Armour!$B$4:$BP$99,67,FALSE),0)</f>
        <v>0</v>
      </c>
      <c r="CE99" s="4">
        <f>IF(ISNUMBER(SEARCH(CE$83,$BY99)),VLOOKUP($BA99&amp;$CU99,Armour!$B$4:$BP$99,67,FALSE),0)</f>
        <v>0</v>
      </c>
      <c r="CF99" s="4">
        <f>IF(ISNUMBER(SEARCH(CF$83,$BY99)),VLOOKUP($BA99&amp;$CU99,Armour!$B$4:$BP$99,67,FALSE),0)</f>
        <v>0</v>
      </c>
      <c r="CG99" s="4">
        <f>IF(ISNUMBER(SEARCH(CG$83,$BY99)),VLOOKUP($BA99&amp;$CU99,Armour!$B$4:$BP$99,67,FALSE),0)</f>
        <v>0</v>
      </c>
      <c r="CH99" s="4">
        <f>IF(ISNUMBER(SEARCH(CH$83,$BY99)),VLOOKUP($BA99&amp;$CU99,Armour!$B$4:$BP$99,67,FALSE),0)</f>
        <v>0</v>
      </c>
      <c r="CI99" s="4">
        <f>IF(ISNUMBER(SEARCH(CI$83,$BY99)),VLOOKUP($BA99&amp;$CU99,Armour!$B$4:$BP$99,67,FALSE),0)</f>
        <v>0</v>
      </c>
      <c r="CJ99" s="4">
        <f>IF(ISNUMBER(SEARCH(CJ$83,$BY99)),VLOOKUP($BA99&amp;$CU99,Armour!$B$4:$BP$99,67,FALSE),0)</f>
        <v>0</v>
      </c>
      <c r="CK99" s="4">
        <f>IF(ISNUMBER(SEARCH(CK$83,$BY99)),VLOOKUP($BA99&amp;$CU99,Armour!$B$4:$BP$99,67,FALSE),0)</f>
        <v>0</v>
      </c>
      <c r="CL99" s="4">
        <f>IF(ISNUMBER(SEARCH(CL$83,$BY99)),VLOOKUP($BA99&amp;$CU99,Armour!$B$4:$BP$99,67,FALSE),0)</f>
        <v>0</v>
      </c>
      <c r="CM99" s="4">
        <f>IF(ISNUMBER(SEARCH(CM$83,$BY99)),VLOOKUP($BA99&amp;$CU99,Armour!$B$4:$BP$99,67,FALSE),0)</f>
        <v>0</v>
      </c>
      <c r="CN99" s="4">
        <f>IF(ISNUMBER(SEARCH(CN$83,$BY99)),VLOOKUP($BA99&amp;$CU99,Armour!$B$4:$BP$99,67,FALSE),0)</f>
        <v>0</v>
      </c>
      <c r="CO99" s="4">
        <f>IF(ISNUMBER(SEARCH(CO$83,$BY99)),VLOOKUP($BA99&amp;$CU99,Armour!$B$4:$BP$99,67,FALSE),0)</f>
        <v>0</v>
      </c>
      <c r="CP99" s="4">
        <f>IF(ISNUMBER(SEARCH(CP$83,$BY99)),VLOOKUP($BA99&amp;$CU99,Armour!$B$4:$BP$99,67,FALSE),0)</f>
        <v>0</v>
      </c>
      <c r="CQ99" s="4">
        <f>IF(ISNUMBER(SEARCH(CQ$83,$BY99)),VLOOKUP($BA99&amp;$CU99,Armour!$B$4:$BP$99,67,FALSE),0)</f>
        <v>0</v>
      </c>
      <c r="CR99" s="4">
        <f>IF(ISNUMBER(SEARCH(CR$83,$BY99)),VLOOKUP($BA99&amp;$CU99,Armour!$B$4:$BP$99,67,FALSE),0)</f>
        <v>0</v>
      </c>
      <c r="CS99" s="4">
        <f>IF(ISNUMBER(SEARCH(CS$83,$BY99)),VLOOKUP($BA99&amp;$CU99,Armour!$B$4:$BP$99,67,FALSE),0)</f>
        <v>0</v>
      </c>
      <c r="CT99" s="4">
        <f>IF(ISNUMBER(SEARCH(CT$83,$BY99)),VLOOKUP($BA99&amp;$CU99,Armour!$B$4:$BP$99,67,FALSE),0)</f>
        <v>0</v>
      </c>
      <c r="CU99" s="4" t="str">
        <f t="shared" si="127"/>
        <v/>
      </c>
      <c r="DH99" s="4" t="str">
        <f t="shared" si="103"/>
        <v/>
      </c>
      <c r="DI99">
        <v>17</v>
      </c>
      <c r="DJ99" s="3" t="str">
        <f t="shared" si="135"/>
        <v/>
      </c>
      <c r="DK99" s="4" t="str">
        <f t="shared" si="145"/>
        <v/>
      </c>
      <c r="DL99" s="4" t="str">
        <f>IFERROR(IF(DK99=0,"",VLOOKUP(DK99,Skills!$N$72:$AF$107,19,FALSE)),"")</f>
        <v/>
      </c>
      <c r="DM99" s="4"/>
      <c r="DN99" s="4" t="str">
        <f t="shared" si="136"/>
        <v/>
      </c>
      <c r="DO99" s="4" t="str">
        <f t="shared" si="152"/>
        <v/>
      </c>
      <c r="DP99" s="4">
        <f t="shared" si="104"/>
        <v>0</v>
      </c>
      <c r="DQ99" s="4">
        <f t="shared" si="137"/>
        <v>2</v>
      </c>
      <c r="DR99" s="4" t="e">
        <f t="shared" si="138"/>
        <v>#N/A</v>
      </c>
      <c r="DS99" s="4">
        <f t="shared" si="139"/>
        <v>17</v>
      </c>
      <c r="DT99" s="4" t="str">
        <f t="shared" si="146"/>
        <v/>
      </c>
      <c r="DU99" s="4" t="str">
        <f t="shared" si="147"/>
        <v/>
      </c>
      <c r="DV99" s="4" t="e">
        <f>VLOOKUP((VLOOKUP((VLOOKUP('Character Creation'!$Z$11,RaceChart,20,FALSE)&amp;" "&amp;VLOOKUP('Character Creation'!$Z$11,RaceChart,21,FALSE)),Charts!$H$2:$J$14,3,FALSE)+DU99),Charts!$J$2:$N$14,5,FALSE)</f>
        <v>#VALUE!</v>
      </c>
      <c r="DW99" s="4" t="e">
        <f>VLOOKUP(DV99,Charts!$N$2:$Q$14,4,FALSE)</f>
        <v>#VALUE!</v>
      </c>
      <c r="DX99" s="4" t="str">
        <f t="shared" si="140"/>
        <v/>
      </c>
      <c r="DY99" s="4" t="str">
        <f t="shared" si="148"/>
        <v/>
      </c>
      <c r="DZ99" s="4" t="str">
        <f t="shared" si="141"/>
        <v/>
      </c>
      <c r="EA99" s="4" t="e">
        <f>ROUNDDOWN(VLOOKUP(DK99,Skills!$N$72:$S$107,6,FALSE)/5,0)</f>
        <v>#N/A</v>
      </c>
      <c r="EB99" s="4" t="str">
        <f t="shared" si="149"/>
        <v/>
      </c>
      <c r="EC99" s="4" t="str">
        <f t="shared" si="142"/>
        <v>+</v>
      </c>
      <c r="ED99" s="4" t="e">
        <f>VLOOKUP(DJ99,'Character Sheet'!$FB$21:$HQ$35,61,FALSE)</f>
        <v>#N/A</v>
      </c>
      <c r="EE99" s="4" t="str">
        <f t="shared" si="150"/>
        <v/>
      </c>
      <c r="EF99" s="4" t="str">
        <f t="shared" si="151"/>
        <v/>
      </c>
      <c r="EG99" s="4" t="e">
        <f>VLOOKUP(DR99,Items!$B$1156:$AA$1282,18,FALSE)</f>
        <v>#N/A</v>
      </c>
      <c r="EH99" s="4">
        <f>VLOOKUP(DJ99,'Character Sheet'!$E$26:$EZ$45,81,FALSE)</f>
        <v>0</v>
      </c>
      <c r="EI99" s="4">
        <f>VLOOKUP(DJ99,'Character Sheet'!$E$26:$EZ$45,89,FALSE)</f>
        <v>0</v>
      </c>
      <c r="EJ99" s="4" t="e">
        <f t="shared" si="143"/>
        <v>#N/A</v>
      </c>
    </row>
    <row r="100" spans="29:140" x14ac:dyDescent="0.25">
      <c r="AC100" s="8" t="str">
        <f>IFERROR(VLOOKUP('Character Creation'!$CI113,Skills!$H$2:$N$620,6,FALSE),"")</f>
        <v/>
      </c>
      <c r="AD100" s="4">
        <f>'Character Creation'!EH113</f>
        <v>0</v>
      </c>
      <c r="AG100">
        <v>99</v>
      </c>
      <c r="AH100" s="4" t="str">
        <f t="shared" si="95"/>
        <v/>
      </c>
      <c r="AI100" t="str">
        <f>IFERROR(VLOOKUP(AG100,Skills!$B$2:$M$620,12,FALSE),"")</f>
        <v/>
      </c>
      <c r="AJ100" s="4" t="str">
        <f>IFERROR(VLOOKUP(AG100,Skills!$B$2:$AF$620,31,FALSE),"")</f>
        <v/>
      </c>
      <c r="AK100" s="4" t="str">
        <f t="shared" si="153"/>
        <v/>
      </c>
      <c r="AL100" s="4">
        <v>9.9000000000000005E-2</v>
      </c>
      <c r="AM100" s="62" t="str">
        <f t="shared" si="96"/>
        <v/>
      </c>
      <c r="AN100" t="str">
        <f t="shared" ca="1" si="97"/>
        <v/>
      </c>
      <c r="AO100" s="4" t="str">
        <f ca="1">IFERROR(VLOOKUP(AG100,$AH$2:$AJ$451,3,FALSE)&amp;IF(ISNUMBER(SEARCH(", Written",AN100))," -R"&amp;VLOOKUP(AN100,Skills!$M$2:$S$620,7,FALSE),IF(ISNUMBER(SEARCH(", Spoken",AN100))," -R"&amp;VLOOKUP(AN100,Skills!$M$2:$S$620,7,FALSE),"")),"")</f>
        <v/>
      </c>
      <c r="AQ100">
        <v>97</v>
      </c>
      <c r="AR100" s="8" t="str">
        <f>'Character Sheet'!FB99</f>
        <v>Ladle, Tin</v>
      </c>
      <c r="AS100" s="4" t="str">
        <f t="shared" si="98"/>
        <v>Tin</v>
      </c>
      <c r="AT100" s="4">
        <f t="shared" si="99"/>
        <v>0.52</v>
      </c>
      <c r="AU100" s="4">
        <f t="shared" si="105"/>
        <v>454</v>
      </c>
      <c r="AV100" s="4">
        <f t="shared" si="106"/>
        <v>-30</v>
      </c>
      <c r="AW100" s="4" t="str">
        <f t="shared" si="107"/>
        <v>Tin</v>
      </c>
      <c r="AX100" s="4">
        <f t="shared" si="100"/>
        <v>0.52</v>
      </c>
      <c r="AY100" s="4">
        <f t="shared" si="108"/>
        <v>454</v>
      </c>
      <c r="AZ100" s="4">
        <f t="shared" si="109"/>
        <v>-30</v>
      </c>
      <c r="BA100" s="4" t="str">
        <f>IFERROR('Character Sheet'!JK99,"")</f>
        <v>Tin</v>
      </c>
      <c r="BB100" s="4">
        <f t="shared" si="101"/>
        <v>0.52</v>
      </c>
      <c r="BC100" s="4">
        <f t="shared" si="110"/>
        <v>0</v>
      </c>
      <c r="BD100" s="4">
        <f t="shared" si="111"/>
        <v>0</v>
      </c>
      <c r="BE100" s="4">
        <f t="shared" si="112"/>
        <v>0.5</v>
      </c>
      <c r="BF100" s="4">
        <f t="shared" si="113"/>
        <v>454</v>
      </c>
      <c r="BG100" s="4">
        <f t="shared" si="114"/>
        <v>-30</v>
      </c>
      <c r="BH100" s="4" t="str">
        <f>IFERROR('Character Sheet'!KC99,"")</f>
        <v>Tin</v>
      </c>
      <c r="BI100" s="4">
        <f t="shared" si="102"/>
        <v>0.52</v>
      </c>
      <c r="BJ100" s="4">
        <f t="shared" si="115"/>
        <v>0</v>
      </c>
      <c r="BK100" s="4">
        <f t="shared" si="116"/>
        <v>0</v>
      </c>
      <c r="BL100" s="4">
        <f t="shared" si="117"/>
        <v>0</v>
      </c>
      <c r="BM100" s="4">
        <f t="shared" si="118"/>
        <v>454</v>
      </c>
      <c r="BN100" s="4">
        <f t="shared" si="119"/>
        <v>-30</v>
      </c>
      <c r="BO100" s="4">
        <f t="shared" si="120"/>
        <v>1</v>
      </c>
      <c r="BP100" s="4">
        <f t="shared" si="121"/>
        <v>-35</v>
      </c>
      <c r="BQ100" s="4">
        <f>IFERROR('Character Sheet'!IQ99+VLOOKUP(BA100,MaterialChart,5,FALSE),"")</f>
        <v>-35</v>
      </c>
      <c r="BR100" s="4">
        <f t="shared" si="122"/>
        <v>0</v>
      </c>
      <c r="BS100" s="4">
        <f t="shared" si="144"/>
        <v>35</v>
      </c>
      <c r="BT100" s="4">
        <f t="shared" si="123"/>
        <v>0.08</v>
      </c>
      <c r="BU100" s="4">
        <f t="shared" si="124"/>
        <v>0.5</v>
      </c>
      <c r="BV100" s="4">
        <f t="shared" si="125"/>
        <v>0.5</v>
      </c>
      <c r="BW100" s="4">
        <f>IFERROR(ROUNDUP((BE100*(BB100-AT100))+(BL100*(BI100-AX100))+(BT100*(((100+(BD100+IF(BE100=1,0,BK100))+(4*BR100))/100)))*'Character Sheet'!GT99,3),"")</f>
        <v>0.08</v>
      </c>
      <c r="BX100" s="4" t="str">
        <f t="shared" si="93"/>
        <v>$0.08</v>
      </c>
      <c r="BY100" s="8">
        <f t="shared" si="126"/>
        <v>0</v>
      </c>
      <c r="BZ100" s="4">
        <f>IF(ISNUMBER(SEARCH(BZ$83,$BY100)),VLOOKUP($BA100&amp;$CU100,Armour!$B$4:$BP$99,67,FALSE),0)</f>
        <v>0</v>
      </c>
      <c r="CA100" s="4">
        <f>IF(ISNUMBER(SEARCH(CA$83,$BY100)),VLOOKUP($BA100&amp;$CU100,Armour!$B$4:$BP$99,67,FALSE),0)</f>
        <v>0</v>
      </c>
      <c r="CB100" s="4">
        <f>IF(ISNUMBER(SEARCH(CB$83,$BY100)),VLOOKUP($BA100&amp;$CU100,Armour!$B$4:$BP$99,67,FALSE),0)</f>
        <v>0</v>
      </c>
      <c r="CC100" s="4">
        <f>IF(ISNUMBER(SEARCH(CC$83,$BY100)),VLOOKUP($BA100&amp;$CU100,Armour!$B$4:$BP$99,67,FALSE),0)</f>
        <v>0</v>
      </c>
      <c r="CD100" s="4">
        <f>IF(ISNUMBER(SEARCH(CD$83,$BY100)),VLOOKUP($BA100&amp;$CU100,Armour!$B$4:$BP$99,67,FALSE),0)</f>
        <v>0</v>
      </c>
      <c r="CE100" s="4">
        <f>IF(ISNUMBER(SEARCH(CE$83,$BY100)),VLOOKUP($BA100&amp;$CU100,Armour!$B$4:$BP$99,67,FALSE),0)</f>
        <v>0</v>
      </c>
      <c r="CF100" s="4">
        <f>IF(ISNUMBER(SEARCH(CF$83,$BY100)),VLOOKUP($BA100&amp;$CU100,Armour!$B$4:$BP$99,67,FALSE),0)</f>
        <v>0</v>
      </c>
      <c r="CG100" s="4">
        <f>IF(ISNUMBER(SEARCH(CG$83,$BY100)),VLOOKUP($BA100&amp;$CU100,Armour!$B$4:$BP$99,67,FALSE),0)</f>
        <v>0</v>
      </c>
      <c r="CH100" s="4">
        <f>IF(ISNUMBER(SEARCH(CH$83,$BY100)),VLOOKUP($BA100&amp;$CU100,Armour!$B$4:$BP$99,67,FALSE),0)</f>
        <v>0</v>
      </c>
      <c r="CI100" s="4">
        <f>IF(ISNUMBER(SEARCH(CI$83,$BY100)),VLOOKUP($BA100&amp;$CU100,Armour!$B$4:$BP$99,67,FALSE),0)</f>
        <v>0</v>
      </c>
      <c r="CJ100" s="4">
        <f>IF(ISNUMBER(SEARCH(CJ$83,$BY100)),VLOOKUP($BA100&amp;$CU100,Armour!$B$4:$BP$99,67,FALSE),0)</f>
        <v>0</v>
      </c>
      <c r="CK100" s="4">
        <f>IF(ISNUMBER(SEARCH(CK$83,$BY100)),VLOOKUP($BA100&amp;$CU100,Armour!$B$4:$BP$99,67,FALSE),0)</f>
        <v>0</v>
      </c>
      <c r="CL100" s="4">
        <f>IF(ISNUMBER(SEARCH(CL$83,$BY100)),VLOOKUP($BA100&amp;$CU100,Armour!$B$4:$BP$99,67,FALSE),0)</f>
        <v>0</v>
      </c>
      <c r="CM100" s="4">
        <f>IF(ISNUMBER(SEARCH(CM$83,$BY100)),VLOOKUP($BA100&amp;$CU100,Armour!$B$4:$BP$99,67,FALSE),0)</f>
        <v>0</v>
      </c>
      <c r="CN100" s="4">
        <f>IF(ISNUMBER(SEARCH(CN$83,$BY100)),VLOOKUP($BA100&amp;$CU100,Armour!$B$4:$BP$99,67,FALSE),0)</f>
        <v>0</v>
      </c>
      <c r="CO100" s="4">
        <f>IF(ISNUMBER(SEARCH(CO$83,$BY100)),VLOOKUP($BA100&amp;$CU100,Armour!$B$4:$BP$99,67,FALSE),0)</f>
        <v>0</v>
      </c>
      <c r="CP100" s="4">
        <f>IF(ISNUMBER(SEARCH(CP$83,$BY100)),VLOOKUP($BA100&amp;$CU100,Armour!$B$4:$BP$99,67,FALSE),0)</f>
        <v>0</v>
      </c>
      <c r="CQ100" s="4">
        <f>IF(ISNUMBER(SEARCH(CQ$83,$BY100)),VLOOKUP($BA100&amp;$CU100,Armour!$B$4:$BP$99,67,FALSE),0)</f>
        <v>0</v>
      </c>
      <c r="CR100" s="4">
        <f>IF(ISNUMBER(SEARCH(CR$83,$BY100)),VLOOKUP($BA100&amp;$CU100,Armour!$B$4:$BP$99,67,FALSE),0)</f>
        <v>0</v>
      </c>
      <c r="CS100" s="4">
        <f>IF(ISNUMBER(SEARCH(CS$83,$BY100)),VLOOKUP($BA100&amp;$CU100,Armour!$B$4:$BP$99,67,FALSE),0)</f>
        <v>0</v>
      </c>
      <c r="CT100" s="4">
        <f>IF(ISNUMBER(SEARCH(CT$83,$BY100)),VLOOKUP($BA100&amp;$CU100,Armour!$B$4:$BP$99,67,FALSE),0)</f>
        <v>0</v>
      </c>
      <c r="CU100" s="4" t="str">
        <f t="shared" si="127"/>
        <v/>
      </c>
      <c r="DH100" s="4" t="str">
        <f t="shared" si="103"/>
        <v/>
      </c>
      <c r="DI100">
        <v>18</v>
      </c>
      <c r="DJ100" s="3" t="str">
        <f t="shared" si="135"/>
        <v/>
      </c>
      <c r="DK100" s="4" t="str">
        <f t="shared" si="145"/>
        <v/>
      </c>
      <c r="DL100" s="4" t="str">
        <f>IFERROR(IF(DK100=0,"",VLOOKUP(DK100,Skills!$N$72:$AF$107,19,FALSE)),"")</f>
        <v/>
      </c>
      <c r="DM100" s="4"/>
      <c r="DN100" s="4" t="str">
        <f t="shared" si="136"/>
        <v/>
      </c>
      <c r="DO100" s="4" t="str">
        <f t="shared" si="152"/>
        <v/>
      </c>
      <c r="DP100" s="4">
        <f t="shared" si="104"/>
        <v>0</v>
      </c>
      <c r="DQ100" s="4">
        <f t="shared" si="137"/>
        <v>2</v>
      </c>
      <c r="DR100" s="4" t="e">
        <f t="shared" si="138"/>
        <v>#N/A</v>
      </c>
      <c r="DS100" s="4">
        <f t="shared" si="139"/>
        <v>18</v>
      </c>
      <c r="DT100" s="4" t="str">
        <f t="shared" si="146"/>
        <v/>
      </c>
      <c r="DU100" s="4" t="str">
        <f t="shared" si="147"/>
        <v/>
      </c>
      <c r="DV100" s="4" t="e">
        <f>VLOOKUP((VLOOKUP((VLOOKUP('Character Creation'!$Z$11,RaceChart,20,FALSE)&amp;" "&amp;VLOOKUP('Character Creation'!$Z$11,RaceChart,21,FALSE)),Charts!$H$2:$J$14,3,FALSE)+DU100),Charts!$J$2:$N$14,5,FALSE)</f>
        <v>#VALUE!</v>
      </c>
      <c r="DW100" s="4" t="e">
        <f>VLOOKUP(DV100,Charts!$N$2:$Q$14,4,FALSE)</f>
        <v>#VALUE!</v>
      </c>
      <c r="DX100" s="4" t="str">
        <f t="shared" si="140"/>
        <v/>
      </c>
      <c r="DY100" s="4" t="str">
        <f t="shared" si="148"/>
        <v/>
      </c>
      <c r="DZ100" s="4" t="str">
        <f t="shared" si="141"/>
        <v/>
      </c>
      <c r="EA100" s="4" t="e">
        <f>ROUNDDOWN(VLOOKUP(DK100,Skills!$N$72:$S$107,6,FALSE)/5,0)</f>
        <v>#N/A</v>
      </c>
      <c r="EB100" s="4" t="str">
        <f t="shared" si="149"/>
        <v/>
      </c>
      <c r="EC100" s="4" t="str">
        <f t="shared" si="142"/>
        <v>+</v>
      </c>
      <c r="ED100" s="4" t="e">
        <f>VLOOKUP(DJ100,'Character Sheet'!$FB$21:$HQ$35,61,FALSE)</f>
        <v>#N/A</v>
      </c>
      <c r="EE100" s="4" t="str">
        <f t="shared" si="150"/>
        <v/>
      </c>
      <c r="EF100" s="4" t="str">
        <f t="shared" si="151"/>
        <v/>
      </c>
      <c r="EG100" s="4" t="e">
        <f>VLOOKUP(DR100,Items!$B$1156:$AA$1282,18,FALSE)</f>
        <v>#N/A</v>
      </c>
      <c r="EH100" s="4">
        <f>VLOOKUP(DJ100,'Character Sheet'!$E$26:$EZ$45,81,FALSE)</f>
        <v>0</v>
      </c>
      <c r="EI100" s="4">
        <f>VLOOKUP(DJ100,'Character Sheet'!$E$26:$EZ$45,89,FALSE)</f>
        <v>0</v>
      </c>
      <c r="EJ100" s="4" t="e">
        <f t="shared" si="143"/>
        <v>#N/A</v>
      </c>
    </row>
    <row r="101" spans="29:140" x14ac:dyDescent="0.25">
      <c r="AC101" s="8" t="str">
        <f>IFERROR(VLOOKUP('Character Creation'!$CI114,Skills!$H$2:$N$620,6,FALSE),"")</f>
        <v/>
      </c>
      <c r="AD101" s="4">
        <f>'Character Creation'!EH114</f>
        <v>0</v>
      </c>
      <c r="AG101">
        <v>100</v>
      </c>
      <c r="AH101" s="4" t="str">
        <f t="shared" si="95"/>
        <v/>
      </c>
      <c r="AI101" t="str">
        <f>IFERROR(VLOOKUP(AG101,Skills!$B$2:$M$620,12,FALSE),"")</f>
        <v/>
      </c>
      <c r="AJ101" s="4" t="str">
        <f>IFERROR(VLOOKUP(AG101,Skills!$B$2:$AF$620,31,FALSE),"")</f>
        <v/>
      </c>
      <c r="AK101" s="4" t="str">
        <f t="shared" si="153"/>
        <v/>
      </c>
      <c r="AL101" s="4">
        <v>0.1</v>
      </c>
      <c r="AM101" s="62" t="str">
        <f t="shared" si="96"/>
        <v/>
      </c>
      <c r="AN101" t="str">
        <f t="shared" ca="1" si="97"/>
        <v/>
      </c>
      <c r="AO101" s="4" t="str">
        <f ca="1">IFERROR(VLOOKUP(AG101,$AH$2:$AJ$451,3,FALSE)&amp;IF(ISNUMBER(SEARCH(", Written",AN101))," -R"&amp;VLOOKUP(AN101,Skills!$M$2:$S$620,7,FALSE),IF(ISNUMBER(SEARCH(", Spoken",AN101))," -R"&amp;VLOOKUP(AN101,Skills!$M$2:$S$620,7,FALSE),"")),"")</f>
        <v/>
      </c>
      <c r="AQ101">
        <v>98</v>
      </c>
      <c r="AR101" s="8" t="str">
        <f>'Character Sheet'!FB100</f>
        <v>Spoon, Wooden</v>
      </c>
      <c r="AS101" s="4" t="str">
        <f t="shared" si="98"/>
        <v>Ash</v>
      </c>
      <c r="AT101" s="4">
        <f t="shared" si="99"/>
        <v>7.0000000000000001E-3</v>
      </c>
      <c r="AU101" s="4">
        <f t="shared" si="105"/>
        <v>47</v>
      </c>
      <c r="AV101" s="4">
        <f t="shared" si="106"/>
        <v>0</v>
      </c>
      <c r="AW101" s="4" t="str">
        <f t="shared" si="107"/>
        <v>Ash</v>
      </c>
      <c r="AX101" s="4">
        <f t="shared" si="100"/>
        <v>7.0000000000000001E-3</v>
      </c>
      <c r="AY101" s="4">
        <f t="shared" si="108"/>
        <v>47</v>
      </c>
      <c r="AZ101" s="4">
        <f t="shared" si="109"/>
        <v>0</v>
      </c>
      <c r="BA101" s="4" t="str">
        <f>IFERROR('Character Sheet'!JK100,"")</f>
        <v>Ash</v>
      </c>
      <c r="BB101" s="4">
        <f t="shared" si="101"/>
        <v>7.0000000000000001E-3</v>
      </c>
      <c r="BC101" s="4">
        <f t="shared" si="110"/>
        <v>0</v>
      </c>
      <c r="BD101" s="4">
        <f t="shared" si="111"/>
        <v>0</v>
      </c>
      <c r="BE101" s="4">
        <f t="shared" si="112"/>
        <v>0.25</v>
      </c>
      <c r="BF101" s="4">
        <f t="shared" si="113"/>
        <v>47</v>
      </c>
      <c r="BG101" s="4">
        <f t="shared" si="114"/>
        <v>0</v>
      </c>
      <c r="BH101" s="4" t="str">
        <f>IFERROR('Character Sheet'!KC100,"")</f>
        <v>Ash</v>
      </c>
      <c r="BI101" s="4">
        <f t="shared" si="102"/>
        <v>7.0000000000000001E-3</v>
      </c>
      <c r="BJ101" s="4">
        <f t="shared" si="115"/>
        <v>0</v>
      </c>
      <c r="BK101" s="4">
        <f t="shared" si="116"/>
        <v>0</v>
      </c>
      <c r="BL101" s="4">
        <f t="shared" si="117"/>
        <v>0</v>
      </c>
      <c r="BM101" s="4">
        <f t="shared" si="118"/>
        <v>47</v>
      </c>
      <c r="BN101" s="4">
        <f t="shared" si="119"/>
        <v>0</v>
      </c>
      <c r="BO101" s="4">
        <f t="shared" si="120"/>
        <v>1</v>
      </c>
      <c r="BP101" s="4">
        <f t="shared" si="121"/>
        <v>0</v>
      </c>
      <c r="BQ101" s="4">
        <f>IFERROR('Character Sheet'!IQ100+VLOOKUP(BA101,MaterialChart,5,FALSE),"")</f>
        <v>0</v>
      </c>
      <c r="BR101" s="4">
        <f t="shared" si="122"/>
        <v>0</v>
      </c>
      <c r="BS101" s="4">
        <f t="shared" si="144"/>
        <v>45</v>
      </c>
      <c r="BT101" s="4">
        <f t="shared" si="123"/>
        <v>0.05</v>
      </c>
      <c r="BU101" s="4">
        <f t="shared" si="124"/>
        <v>0.25</v>
      </c>
      <c r="BV101" s="4">
        <f t="shared" si="125"/>
        <v>0.25</v>
      </c>
      <c r="BW101" s="4">
        <f>IFERROR(ROUNDUP((BE101*(BB101-AT101))+(BL101*(BI101-AX101))+(BT101*(((100+(BD101+IF(BE101=1,0,BK101))+(4*BR101))/100)))*'Character Sheet'!GT100,3),"")</f>
        <v>0.05</v>
      </c>
      <c r="BX101" s="4" t="str">
        <f t="shared" si="93"/>
        <v>$0.05</v>
      </c>
      <c r="BY101" s="8">
        <f t="shared" si="126"/>
        <v>0</v>
      </c>
      <c r="BZ101" s="4">
        <f>IF(ISNUMBER(SEARCH(BZ$83,$BY101)),VLOOKUP($BA101&amp;$CU101,Armour!$B$4:$BP$99,67,FALSE),0)</f>
        <v>0</v>
      </c>
      <c r="CA101" s="4">
        <f>IF(ISNUMBER(SEARCH(CA$83,$BY101)),VLOOKUP($BA101&amp;$CU101,Armour!$B$4:$BP$99,67,FALSE),0)</f>
        <v>0</v>
      </c>
      <c r="CB101" s="4">
        <f>IF(ISNUMBER(SEARCH(CB$83,$BY101)),VLOOKUP($BA101&amp;$CU101,Armour!$B$4:$BP$99,67,FALSE),0)</f>
        <v>0</v>
      </c>
      <c r="CC101" s="4">
        <f>IF(ISNUMBER(SEARCH(CC$83,$BY101)),VLOOKUP($BA101&amp;$CU101,Armour!$B$4:$BP$99,67,FALSE),0)</f>
        <v>0</v>
      </c>
      <c r="CD101" s="4">
        <f>IF(ISNUMBER(SEARCH(CD$83,$BY101)),VLOOKUP($BA101&amp;$CU101,Armour!$B$4:$BP$99,67,FALSE),0)</f>
        <v>0</v>
      </c>
      <c r="CE101" s="4">
        <f>IF(ISNUMBER(SEARCH(CE$83,$BY101)),VLOOKUP($BA101&amp;$CU101,Armour!$B$4:$BP$99,67,FALSE),0)</f>
        <v>0</v>
      </c>
      <c r="CF101" s="4">
        <f>IF(ISNUMBER(SEARCH(CF$83,$BY101)),VLOOKUP($BA101&amp;$CU101,Armour!$B$4:$BP$99,67,FALSE),0)</f>
        <v>0</v>
      </c>
      <c r="CG101" s="4">
        <f>IF(ISNUMBER(SEARCH(CG$83,$BY101)),VLOOKUP($BA101&amp;$CU101,Armour!$B$4:$BP$99,67,FALSE),0)</f>
        <v>0</v>
      </c>
      <c r="CH101" s="4">
        <f>IF(ISNUMBER(SEARCH(CH$83,$BY101)),VLOOKUP($BA101&amp;$CU101,Armour!$B$4:$BP$99,67,FALSE),0)</f>
        <v>0</v>
      </c>
      <c r="CI101" s="4">
        <f>IF(ISNUMBER(SEARCH(CI$83,$BY101)),VLOOKUP($BA101&amp;$CU101,Armour!$B$4:$BP$99,67,FALSE),0)</f>
        <v>0</v>
      </c>
      <c r="CJ101" s="4">
        <f>IF(ISNUMBER(SEARCH(CJ$83,$BY101)),VLOOKUP($BA101&amp;$CU101,Armour!$B$4:$BP$99,67,FALSE),0)</f>
        <v>0</v>
      </c>
      <c r="CK101" s="4">
        <f>IF(ISNUMBER(SEARCH(CK$83,$BY101)),VLOOKUP($BA101&amp;$CU101,Armour!$B$4:$BP$99,67,FALSE),0)</f>
        <v>0</v>
      </c>
      <c r="CL101" s="4">
        <f>IF(ISNUMBER(SEARCH(CL$83,$BY101)),VLOOKUP($BA101&amp;$CU101,Armour!$B$4:$BP$99,67,FALSE),0)</f>
        <v>0</v>
      </c>
      <c r="CM101" s="4">
        <f>IF(ISNUMBER(SEARCH(CM$83,$BY101)),VLOOKUP($BA101&amp;$CU101,Armour!$B$4:$BP$99,67,FALSE),0)</f>
        <v>0</v>
      </c>
      <c r="CN101" s="4">
        <f>IF(ISNUMBER(SEARCH(CN$83,$BY101)),VLOOKUP($BA101&amp;$CU101,Armour!$B$4:$BP$99,67,FALSE),0)</f>
        <v>0</v>
      </c>
      <c r="CO101" s="4">
        <f>IF(ISNUMBER(SEARCH(CO$83,$BY101)),VLOOKUP($BA101&amp;$CU101,Armour!$B$4:$BP$99,67,FALSE),0)</f>
        <v>0</v>
      </c>
      <c r="CP101" s="4">
        <f>IF(ISNUMBER(SEARCH(CP$83,$BY101)),VLOOKUP($BA101&amp;$CU101,Armour!$B$4:$BP$99,67,FALSE),0)</f>
        <v>0</v>
      </c>
      <c r="CQ101" s="4">
        <f>IF(ISNUMBER(SEARCH(CQ$83,$BY101)),VLOOKUP($BA101&amp;$CU101,Armour!$B$4:$BP$99,67,FALSE),0)</f>
        <v>0</v>
      </c>
      <c r="CR101" s="4">
        <f>IF(ISNUMBER(SEARCH(CR$83,$BY101)),VLOOKUP($BA101&amp;$CU101,Armour!$B$4:$BP$99,67,FALSE),0)</f>
        <v>0</v>
      </c>
      <c r="CS101" s="4">
        <f>IF(ISNUMBER(SEARCH(CS$83,$BY101)),VLOOKUP($BA101&amp;$CU101,Armour!$B$4:$BP$99,67,FALSE),0)</f>
        <v>0</v>
      </c>
      <c r="CT101" s="4">
        <f>IF(ISNUMBER(SEARCH(CT$83,$BY101)),VLOOKUP($BA101&amp;$CU101,Armour!$B$4:$BP$99,67,FALSE),0)</f>
        <v>0</v>
      </c>
      <c r="CU101" s="4" t="str">
        <f t="shared" si="127"/>
        <v/>
      </c>
      <c r="DH101" s="4" t="str">
        <f t="shared" si="103"/>
        <v/>
      </c>
      <c r="DI101">
        <v>19</v>
      </c>
      <c r="DJ101" s="3" t="str">
        <f t="shared" si="135"/>
        <v/>
      </c>
      <c r="DK101" s="4" t="str">
        <f t="shared" si="145"/>
        <v/>
      </c>
      <c r="DL101" s="4" t="str">
        <f>IFERROR(IF(DK101=0,"",VLOOKUP(DK101,Skills!$N$72:$AF$107,19,FALSE)),"")</f>
        <v/>
      </c>
      <c r="DM101" s="4"/>
      <c r="DN101" s="4" t="str">
        <f t="shared" si="136"/>
        <v/>
      </c>
      <c r="DO101" s="4" t="str">
        <f t="shared" si="152"/>
        <v/>
      </c>
      <c r="DP101" s="4">
        <f t="shared" si="104"/>
        <v>0</v>
      </c>
      <c r="DQ101" s="4">
        <f t="shared" si="137"/>
        <v>2</v>
      </c>
      <c r="DR101" s="4" t="e">
        <f t="shared" si="138"/>
        <v>#N/A</v>
      </c>
      <c r="DS101" s="4">
        <f t="shared" si="139"/>
        <v>19</v>
      </c>
      <c r="DT101" s="4" t="str">
        <f t="shared" si="146"/>
        <v/>
      </c>
      <c r="DU101" s="4" t="str">
        <f t="shared" si="147"/>
        <v/>
      </c>
      <c r="DV101" s="4" t="e">
        <f>VLOOKUP((VLOOKUP((VLOOKUP('Character Creation'!$Z$11,RaceChart,20,FALSE)&amp;" "&amp;VLOOKUP('Character Creation'!$Z$11,RaceChart,21,FALSE)),Charts!$H$2:$J$14,3,FALSE)+DU101),Charts!$J$2:$N$14,5,FALSE)</f>
        <v>#VALUE!</v>
      </c>
      <c r="DW101" s="4" t="e">
        <f>VLOOKUP(DV101,Charts!$N$2:$Q$14,4,FALSE)</f>
        <v>#VALUE!</v>
      </c>
      <c r="DX101" s="4" t="str">
        <f t="shared" si="140"/>
        <v/>
      </c>
      <c r="DY101" s="4" t="str">
        <f t="shared" si="148"/>
        <v/>
      </c>
      <c r="DZ101" s="4" t="str">
        <f t="shared" si="141"/>
        <v/>
      </c>
      <c r="EA101" s="4" t="e">
        <f>ROUNDDOWN(VLOOKUP(DK101,Skills!$N$72:$S$107,6,FALSE)/5,0)</f>
        <v>#N/A</v>
      </c>
      <c r="EB101" s="4" t="str">
        <f t="shared" si="149"/>
        <v/>
      </c>
      <c r="EC101" s="4" t="str">
        <f t="shared" si="142"/>
        <v>+</v>
      </c>
      <c r="ED101" s="4" t="e">
        <f>VLOOKUP(DJ101,'Character Sheet'!$FB$21:$HQ$35,61,FALSE)</f>
        <v>#N/A</v>
      </c>
      <c r="EE101" s="4" t="str">
        <f t="shared" si="150"/>
        <v/>
      </c>
      <c r="EF101" s="4" t="str">
        <f t="shared" si="151"/>
        <v/>
      </c>
      <c r="EG101" s="4" t="e">
        <f>VLOOKUP(DR101,Items!$B$1156:$AA$1282,18,FALSE)</f>
        <v>#N/A</v>
      </c>
      <c r="EH101" s="4">
        <f>VLOOKUP(DJ101,'Character Sheet'!$E$26:$EZ$45,81,FALSE)</f>
        <v>0</v>
      </c>
      <c r="EI101" s="4">
        <f>VLOOKUP(DJ101,'Character Sheet'!$E$26:$EZ$45,89,FALSE)</f>
        <v>0</v>
      </c>
      <c r="EJ101" s="4" t="e">
        <f t="shared" si="143"/>
        <v>#N/A</v>
      </c>
    </row>
    <row r="102" spans="29:140" x14ac:dyDescent="0.25">
      <c r="AC102" s="8" t="str">
        <f>IFERROR(VLOOKUP('Character Creation'!$CI115,Skills!$H$2:$N$620,6,FALSE),"")</f>
        <v/>
      </c>
      <c r="AD102" s="4">
        <f>'Character Creation'!EH115</f>
        <v>0</v>
      </c>
      <c r="AG102">
        <v>101</v>
      </c>
      <c r="AH102" s="4" t="str">
        <f t="shared" si="95"/>
        <v/>
      </c>
      <c r="AI102" t="str">
        <f>IFERROR(VLOOKUP(AG102,Skills!$B$2:$M$620,12,FALSE),"")</f>
        <v/>
      </c>
      <c r="AJ102" s="4" t="str">
        <f>IFERROR(VLOOKUP(AG102,Skills!$B$2:$AF$620,31,FALSE),"")</f>
        <v/>
      </c>
      <c r="AK102" s="4" t="str">
        <f t="shared" si="153"/>
        <v/>
      </c>
      <c r="AL102" s="4">
        <v>0.10100000000000001</v>
      </c>
      <c r="AM102" s="62" t="str">
        <f t="shared" si="96"/>
        <v/>
      </c>
      <c r="AN102" t="str">
        <f t="shared" ca="1" si="97"/>
        <v/>
      </c>
      <c r="AO102" s="4" t="str">
        <f ca="1">IFERROR(VLOOKUP(AG102,$AH$2:$AJ$451,3,FALSE)&amp;IF(ISNUMBER(SEARCH(", Written",AN102))," -R"&amp;VLOOKUP(AN102,Skills!$M$2:$S$620,7,FALSE),IF(ISNUMBER(SEARCH(", Spoken",AN102))," -R"&amp;VLOOKUP(AN102,Skills!$M$2:$S$620,7,FALSE),"")),"")</f>
        <v/>
      </c>
      <c r="AQ102">
        <v>99</v>
      </c>
      <c r="AR102" s="8" t="str">
        <f>'Character Sheet'!FB101</f>
        <v>Fork, Silverplate</v>
      </c>
      <c r="AS102" s="4" t="str">
        <f t="shared" si="98"/>
        <v>Tin</v>
      </c>
      <c r="AT102" s="4">
        <f t="shared" si="99"/>
        <v>0.52</v>
      </c>
      <c r="AU102" s="4">
        <f t="shared" si="105"/>
        <v>454</v>
      </c>
      <c r="AV102" s="4">
        <f t="shared" si="106"/>
        <v>-30</v>
      </c>
      <c r="AW102" s="4" t="str">
        <f t="shared" si="107"/>
        <v>Silver</v>
      </c>
      <c r="AX102" s="4">
        <f t="shared" si="100"/>
        <v>64</v>
      </c>
      <c r="AY102" s="4">
        <f t="shared" si="108"/>
        <v>655</v>
      </c>
      <c r="AZ102" s="4">
        <f t="shared" si="109"/>
        <v>-25</v>
      </c>
      <c r="BA102" s="4" t="str">
        <f>IFERROR('Character Sheet'!JK101,"")</f>
        <v>Tin</v>
      </c>
      <c r="BB102" s="4">
        <f t="shared" si="101"/>
        <v>0.52</v>
      </c>
      <c r="BC102" s="4">
        <f t="shared" si="110"/>
        <v>0</v>
      </c>
      <c r="BD102" s="4">
        <f t="shared" si="111"/>
        <v>0</v>
      </c>
      <c r="BE102" s="4">
        <f t="shared" si="112"/>
        <v>0.2475</v>
      </c>
      <c r="BF102" s="4">
        <f t="shared" si="113"/>
        <v>454</v>
      </c>
      <c r="BG102" s="4">
        <f t="shared" si="114"/>
        <v>-30</v>
      </c>
      <c r="BH102" s="4" t="str">
        <f>IFERROR('Character Sheet'!KC101,"")</f>
        <v>Silver</v>
      </c>
      <c r="BI102" s="4">
        <f t="shared" si="102"/>
        <v>64</v>
      </c>
      <c r="BJ102" s="4">
        <f t="shared" si="115"/>
        <v>0</v>
      </c>
      <c r="BK102" s="4">
        <f t="shared" si="116"/>
        <v>0</v>
      </c>
      <c r="BL102" s="4">
        <f t="shared" si="117"/>
        <v>2.5000000000000022E-3</v>
      </c>
      <c r="BM102" s="4">
        <f t="shared" si="118"/>
        <v>655</v>
      </c>
      <c r="BN102" s="4">
        <f t="shared" si="119"/>
        <v>-25</v>
      </c>
      <c r="BO102" s="4">
        <f t="shared" si="120"/>
        <v>0.99</v>
      </c>
      <c r="BP102" s="4">
        <f t="shared" si="121"/>
        <v>-35</v>
      </c>
      <c r="BQ102" s="4">
        <f>IFERROR('Character Sheet'!IQ101+VLOOKUP(BA102,MaterialChart,5,FALSE),"")</f>
        <v>-35</v>
      </c>
      <c r="BR102" s="4">
        <f t="shared" si="122"/>
        <v>0</v>
      </c>
      <c r="BS102" s="4">
        <f t="shared" si="144"/>
        <v>35</v>
      </c>
      <c r="BT102" s="4">
        <f t="shared" si="123"/>
        <v>1.35</v>
      </c>
      <c r="BU102" s="4">
        <f t="shared" si="124"/>
        <v>0.25</v>
      </c>
      <c r="BV102" s="4">
        <f t="shared" si="125"/>
        <v>0.25</v>
      </c>
      <c r="BW102" s="4">
        <f>IFERROR(ROUNDUP((BE102*(BB102-AT102))+(BL102*(BI102-AX102))+(BT102*(((100+(BD102+IF(BE102=1,0,BK102))+(4*BR102))/100)))*'Character Sheet'!GT101,3),"")</f>
        <v>1.35</v>
      </c>
      <c r="BX102" s="4" t="str">
        <f t="shared" si="93"/>
        <v>$1.35</v>
      </c>
      <c r="BY102" s="8">
        <f t="shared" si="126"/>
        <v>0</v>
      </c>
      <c r="BZ102" s="4">
        <f>IF(ISNUMBER(SEARCH(BZ$83,$BY102)),VLOOKUP($BA102&amp;$CU102,Armour!$B$4:$BP$99,67,FALSE),0)</f>
        <v>0</v>
      </c>
      <c r="CA102" s="4">
        <f>IF(ISNUMBER(SEARCH(CA$83,$BY102)),VLOOKUP($BA102&amp;$CU102,Armour!$B$4:$BP$99,67,FALSE),0)</f>
        <v>0</v>
      </c>
      <c r="CB102" s="4">
        <f>IF(ISNUMBER(SEARCH(CB$83,$BY102)),VLOOKUP($BA102&amp;$CU102,Armour!$B$4:$BP$99,67,FALSE),0)</f>
        <v>0</v>
      </c>
      <c r="CC102" s="4">
        <f>IF(ISNUMBER(SEARCH(CC$83,$BY102)),VLOOKUP($BA102&amp;$CU102,Armour!$B$4:$BP$99,67,FALSE),0)</f>
        <v>0</v>
      </c>
      <c r="CD102" s="4">
        <f>IF(ISNUMBER(SEARCH(CD$83,$BY102)),VLOOKUP($BA102&amp;$CU102,Armour!$B$4:$BP$99,67,FALSE),0)</f>
        <v>0</v>
      </c>
      <c r="CE102" s="4">
        <f>IF(ISNUMBER(SEARCH(CE$83,$BY102)),VLOOKUP($BA102&amp;$CU102,Armour!$B$4:$BP$99,67,FALSE),0)</f>
        <v>0</v>
      </c>
      <c r="CF102" s="4">
        <f>IF(ISNUMBER(SEARCH(CF$83,$BY102)),VLOOKUP($BA102&amp;$CU102,Armour!$B$4:$BP$99,67,FALSE),0)</f>
        <v>0</v>
      </c>
      <c r="CG102" s="4">
        <f>IF(ISNUMBER(SEARCH(CG$83,$BY102)),VLOOKUP($BA102&amp;$CU102,Armour!$B$4:$BP$99,67,FALSE),0)</f>
        <v>0</v>
      </c>
      <c r="CH102" s="4">
        <f>IF(ISNUMBER(SEARCH(CH$83,$BY102)),VLOOKUP($BA102&amp;$CU102,Armour!$B$4:$BP$99,67,FALSE),0)</f>
        <v>0</v>
      </c>
      <c r="CI102" s="4">
        <f>IF(ISNUMBER(SEARCH(CI$83,$BY102)),VLOOKUP($BA102&amp;$CU102,Armour!$B$4:$BP$99,67,FALSE),0)</f>
        <v>0</v>
      </c>
      <c r="CJ102" s="4">
        <f>IF(ISNUMBER(SEARCH(CJ$83,$BY102)),VLOOKUP($BA102&amp;$CU102,Armour!$B$4:$BP$99,67,FALSE),0)</f>
        <v>0</v>
      </c>
      <c r="CK102" s="4">
        <f>IF(ISNUMBER(SEARCH(CK$83,$BY102)),VLOOKUP($BA102&amp;$CU102,Armour!$B$4:$BP$99,67,FALSE),0)</f>
        <v>0</v>
      </c>
      <c r="CL102" s="4">
        <f>IF(ISNUMBER(SEARCH(CL$83,$BY102)),VLOOKUP($BA102&amp;$CU102,Armour!$B$4:$BP$99,67,FALSE),0)</f>
        <v>0</v>
      </c>
      <c r="CM102" s="4">
        <f>IF(ISNUMBER(SEARCH(CM$83,$BY102)),VLOOKUP($BA102&amp;$CU102,Armour!$B$4:$BP$99,67,FALSE),0)</f>
        <v>0</v>
      </c>
      <c r="CN102" s="4">
        <f>IF(ISNUMBER(SEARCH(CN$83,$BY102)),VLOOKUP($BA102&amp;$CU102,Armour!$B$4:$BP$99,67,FALSE),0)</f>
        <v>0</v>
      </c>
      <c r="CO102" s="4">
        <f>IF(ISNUMBER(SEARCH(CO$83,$BY102)),VLOOKUP($BA102&amp;$CU102,Armour!$B$4:$BP$99,67,FALSE),0)</f>
        <v>0</v>
      </c>
      <c r="CP102" s="4">
        <f>IF(ISNUMBER(SEARCH(CP$83,$BY102)),VLOOKUP($BA102&amp;$CU102,Armour!$B$4:$BP$99,67,FALSE),0)</f>
        <v>0</v>
      </c>
      <c r="CQ102" s="4">
        <f>IF(ISNUMBER(SEARCH(CQ$83,$BY102)),VLOOKUP($BA102&amp;$CU102,Armour!$B$4:$BP$99,67,FALSE),0)</f>
        <v>0</v>
      </c>
      <c r="CR102" s="4">
        <f>IF(ISNUMBER(SEARCH(CR$83,$BY102)),VLOOKUP($BA102&amp;$CU102,Armour!$B$4:$BP$99,67,FALSE),0)</f>
        <v>0</v>
      </c>
      <c r="CS102" s="4">
        <f>IF(ISNUMBER(SEARCH(CS$83,$BY102)),VLOOKUP($BA102&amp;$CU102,Armour!$B$4:$BP$99,67,FALSE),0)</f>
        <v>0</v>
      </c>
      <c r="CT102" s="4">
        <f>IF(ISNUMBER(SEARCH(CT$83,$BY102)),VLOOKUP($BA102&amp;$CU102,Armour!$B$4:$BP$99,67,FALSE),0)</f>
        <v>0</v>
      </c>
      <c r="CU102" s="4" t="str">
        <f t="shared" si="127"/>
        <v/>
      </c>
      <c r="DH102" s="4" t="str">
        <f t="shared" si="103"/>
        <v/>
      </c>
      <c r="DI102">
        <v>20</v>
      </c>
      <c r="DJ102" s="3" t="str">
        <f t="shared" si="135"/>
        <v/>
      </c>
      <c r="DK102" s="4" t="str">
        <f t="shared" si="145"/>
        <v/>
      </c>
      <c r="DL102" s="4" t="str">
        <f>IFERROR(IF(DK102=0,"",VLOOKUP(DK102,Skills!$N$72:$AF$107,19,FALSE)),"")</f>
        <v/>
      </c>
      <c r="DM102" s="4"/>
      <c r="DN102" s="4" t="str">
        <f t="shared" si="136"/>
        <v/>
      </c>
      <c r="DO102" s="4" t="str">
        <f t="shared" si="152"/>
        <v/>
      </c>
      <c r="DP102" s="4">
        <f t="shared" si="104"/>
        <v>0</v>
      </c>
      <c r="DQ102" s="4">
        <f t="shared" si="137"/>
        <v>2</v>
      </c>
      <c r="DR102" s="4" t="e">
        <f t="shared" si="138"/>
        <v>#N/A</v>
      </c>
      <c r="DS102" s="4">
        <f t="shared" si="139"/>
        <v>20</v>
      </c>
      <c r="DT102" s="4" t="str">
        <f t="shared" si="146"/>
        <v/>
      </c>
      <c r="DU102" s="4" t="str">
        <f t="shared" si="147"/>
        <v/>
      </c>
      <c r="DV102" s="4" t="e">
        <f>VLOOKUP((VLOOKUP((VLOOKUP('Character Creation'!$Z$11,RaceChart,20,FALSE)&amp;" "&amp;VLOOKUP('Character Creation'!$Z$11,RaceChart,21,FALSE)),Charts!$H$2:$J$14,3,FALSE)+DU102),Charts!$J$2:$N$14,5,FALSE)</f>
        <v>#VALUE!</v>
      </c>
      <c r="DW102" s="4" t="e">
        <f>VLOOKUP(DV102,Charts!$N$2:$Q$14,4,FALSE)</f>
        <v>#VALUE!</v>
      </c>
      <c r="DX102" s="4" t="str">
        <f t="shared" si="140"/>
        <v/>
      </c>
      <c r="DY102" s="4" t="str">
        <f t="shared" si="148"/>
        <v/>
      </c>
      <c r="DZ102" s="4" t="str">
        <f t="shared" si="141"/>
        <v/>
      </c>
      <c r="EA102" s="4" t="e">
        <f>ROUNDDOWN(VLOOKUP(DK102,Skills!$N$72:$S$107,6,FALSE)/5,0)</f>
        <v>#N/A</v>
      </c>
      <c r="EB102" s="4" t="str">
        <f t="shared" si="149"/>
        <v/>
      </c>
      <c r="EC102" s="4" t="str">
        <f t="shared" si="142"/>
        <v>+</v>
      </c>
      <c r="ED102" s="4" t="e">
        <f>VLOOKUP(DJ102,'Character Sheet'!$FB$21:$HQ$35,61,FALSE)</f>
        <v>#N/A</v>
      </c>
      <c r="EE102" s="4" t="str">
        <f t="shared" si="150"/>
        <v/>
      </c>
      <c r="EF102" s="4" t="str">
        <f t="shared" si="151"/>
        <v/>
      </c>
      <c r="EG102" s="4" t="e">
        <f>VLOOKUP(DR102,Items!$B$1156:$AA$1282,18,FALSE)</f>
        <v>#N/A</v>
      </c>
      <c r="EH102" s="4">
        <f>VLOOKUP(DJ102,'Character Sheet'!$E$26:$EZ$45,81,FALSE)</f>
        <v>0</v>
      </c>
      <c r="EI102" s="4">
        <f>VLOOKUP(DJ102,'Character Sheet'!$E$26:$EZ$45,89,FALSE)</f>
        <v>0</v>
      </c>
      <c r="EJ102" s="4" t="e">
        <f t="shared" si="143"/>
        <v>#N/A</v>
      </c>
    </row>
    <row r="103" spans="29:140" x14ac:dyDescent="0.25">
      <c r="AC103" s="8" t="str">
        <f>IFERROR(VLOOKUP('Character Creation'!$CI116,Skills!$H$2:$N$620,6,FALSE),"")</f>
        <v/>
      </c>
      <c r="AD103" s="4">
        <f>'Character Creation'!EH116</f>
        <v>0</v>
      </c>
      <c r="AG103">
        <v>102</v>
      </c>
      <c r="AH103" s="4" t="str">
        <f t="shared" si="95"/>
        <v/>
      </c>
      <c r="AI103" t="str">
        <f>IFERROR(VLOOKUP(AG103,Skills!$B$2:$M$620,12,FALSE),"")</f>
        <v/>
      </c>
      <c r="AJ103" s="4" t="str">
        <f>IFERROR(VLOOKUP(AG103,Skills!$B$2:$AF$620,31,FALSE),"")</f>
        <v/>
      </c>
      <c r="AK103" s="4" t="str">
        <f t="shared" si="153"/>
        <v/>
      </c>
      <c r="AL103" s="4">
        <v>0.10199999999999999</v>
      </c>
      <c r="AM103" s="62" t="str">
        <f t="shared" si="96"/>
        <v/>
      </c>
      <c r="AN103" t="str">
        <f t="shared" ca="1" si="97"/>
        <v/>
      </c>
      <c r="AO103" s="4" t="str">
        <f ca="1">IFERROR(VLOOKUP(AG103,$AH$2:$AJ$451,3,FALSE)&amp;IF(ISNUMBER(SEARCH(", Written",AN103))," -R"&amp;VLOOKUP(AN103,Skills!$M$2:$S$620,7,FALSE),IF(ISNUMBER(SEARCH(", Spoken",AN103))," -R"&amp;VLOOKUP(AN103,Skills!$M$2:$S$620,7,FALSE),"")),"")</f>
        <v/>
      </c>
      <c r="AQ103">
        <v>100</v>
      </c>
      <c r="AR103" s="8" t="str">
        <f>'Character Sheet'!FB102</f>
        <v>Bowl, Tin (small)</v>
      </c>
      <c r="AS103" s="4" t="str">
        <f t="shared" si="98"/>
        <v>Tin</v>
      </c>
      <c r="AT103" s="4">
        <f t="shared" si="99"/>
        <v>0.52</v>
      </c>
      <c r="AU103" s="4">
        <f t="shared" si="105"/>
        <v>454</v>
      </c>
      <c r="AV103" s="4">
        <f t="shared" si="106"/>
        <v>-30</v>
      </c>
      <c r="AW103" s="4" t="str">
        <f t="shared" si="107"/>
        <v>Tin</v>
      </c>
      <c r="AX103" s="4">
        <f t="shared" si="100"/>
        <v>0.52</v>
      </c>
      <c r="AY103" s="4">
        <f t="shared" si="108"/>
        <v>454</v>
      </c>
      <c r="AZ103" s="4">
        <f t="shared" si="109"/>
        <v>-30</v>
      </c>
      <c r="BA103" s="4" t="str">
        <f>IFERROR('Character Sheet'!JK102,"")</f>
        <v>Tin</v>
      </c>
      <c r="BB103" s="4">
        <f t="shared" si="101"/>
        <v>0.52</v>
      </c>
      <c r="BC103" s="4">
        <f t="shared" si="110"/>
        <v>0</v>
      </c>
      <c r="BD103" s="4">
        <f t="shared" si="111"/>
        <v>0</v>
      </c>
      <c r="BE103" s="4">
        <f t="shared" si="112"/>
        <v>0.5</v>
      </c>
      <c r="BF103" s="4">
        <f t="shared" si="113"/>
        <v>454</v>
      </c>
      <c r="BG103" s="4">
        <f t="shared" si="114"/>
        <v>-30</v>
      </c>
      <c r="BH103" s="4" t="str">
        <f>IFERROR('Character Sheet'!KC102,"")</f>
        <v>Tin</v>
      </c>
      <c r="BI103" s="4">
        <f t="shared" si="102"/>
        <v>0.52</v>
      </c>
      <c r="BJ103" s="4">
        <f t="shared" si="115"/>
        <v>0</v>
      </c>
      <c r="BK103" s="4">
        <f t="shared" si="116"/>
        <v>0</v>
      </c>
      <c r="BL103" s="4">
        <f t="shared" si="117"/>
        <v>0</v>
      </c>
      <c r="BM103" s="4">
        <f t="shared" si="118"/>
        <v>454</v>
      </c>
      <c r="BN103" s="4">
        <f t="shared" si="119"/>
        <v>-30</v>
      </c>
      <c r="BO103" s="4">
        <f t="shared" si="120"/>
        <v>1</v>
      </c>
      <c r="BP103" s="4">
        <f t="shared" si="121"/>
        <v>-35</v>
      </c>
      <c r="BQ103" s="4">
        <f>IFERROR('Character Sheet'!IQ102+VLOOKUP(BA103,MaterialChart,5,FALSE),"")</f>
        <v>-35</v>
      </c>
      <c r="BR103" s="4">
        <f t="shared" si="122"/>
        <v>0</v>
      </c>
      <c r="BS103" s="4">
        <f t="shared" si="144"/>
        <v>40</v>
      </c>
      <c r="BT103" s="4">
        <f t="shared" si="123"/>
        <v>0.1</v>
      </c>
      <c r="BU103" s="4">
        <f t="shared" si="124"/>
        <v>0.5</v>
      </c>
      <c r="BV103" s="4">
        <f t="shared" si="125"/>
        <v>0.5</v>
      </c>
      <c r="BW103" s="4">
        <f>IFERROR(ROUNDUP((BE103*(BB103-AT103))+(BL103*(BI103-AX103))+(BT103*(((100+(BD103+IF(BE103=1,0,BK103))+(4*BR103))/100)))*'Character Sheet'!GT102,3),"")</f>
        <v>0.1</v>
      </c>
      <c r="BX103" s="4" t="str">
        <f t="shared" si="93"/>
        <v>$0.1</v>
      </c>
      <c r="BY103" s="8">
        <f t="shared" si="126"/>
        <v>0</v>
      </c>
      <c r="BZ103" s="4">
        <f>IF(ISNUMBER(SEARCH(BZ$83,$BY103)),VLOOKUP($BA103&amp;$CU103,Armour!$B$4:$BP$99,67,FALSE),0)</f>
        <v>0</v>
      </c>
      <c r="CA103" s="4">
        <f>IF(ISNUMBER(SEARCH(CA$83,$BY103)),VLOOKUP($BA103&amp;$CU103,Armour!$B$4:$BP$99,67,FALSE),0)</f>
        <v>0</v>
      </c>
      <c r="CB103" s="4">
        <f>IF(ISNUMBER(SEARCH(CB$83,$BY103)),VLOOKUP($BA103&amp;$CU103,Armour!$B$4:$BP$99,67,FALSE),0)</f>
        <v>0</v>
      </c>
      <c r="CC103" s="4">
        <f>IF(ISNUMBER(SEARCH(CC$83,$BY103)),VLOOKUP($BA103&amp;$CU103,Armour!$B$4:$BP$99,67,FALSE),0)</f>
        <v>0</v>
      </c>
      <c r="CD103" s="4">
        <f>IF(ISNUMBER(SEARCH(CD$83,$BY103)),VLOOKUP($BA103&amp;$CU103,Armour!$B$4:$BP$99,67,FALSE),0)</f>
        <v>0</v>
      </c>
      <c r="CE103" s="4">
        <f>IF(ISNUMBER(SEARCH(CE$83,$BY103)),VLOOKUP($BA103&amp;$CU103,Armour!$B$4:$BP$99,67,FALSE),0)</f>
        <v>0</v>
      </c>
      <c r="CF103" s="4">
        <f>IF(ISNUMBER(SEARCH(CF$83,$BY103)),VLOOKUP($BA103&amp;$CU103,Armour!$B$4:$BP$99,67,FALSE),0)</f>
        <v>0</v>
      </c>
      <c r="CG103" s="4">
        <f>IF(ISNUMBER(SEARCH(CG$83,$BY103)),VLOOKUP($BA103&amp;$CU103,Armour!$B$4:$BP$99,67,FALSE),0)</f>
        <v>0</v>
      </c>
      <c r="CH103" s="4">
        <f>IF(ISNUMBER(SEARCH(CH$83,$BY103)),VLOOKUP($BA103&amp;$CU103,Armour!$B$4:$BP$99,67,FALSE),0)</f>
        <v>0</v>
      </c>
      <c r="CI103" s="4">
        <f>IF(ISNUMBER(SEARCH(CI$83,$BY103)),VLOOKUP($BA103&amp;$CU103,Armour!$B$4:$BP$99,67,FALSE),0)</f>
        <v>0</v>
      </c>
      <c r="CJ103" s="4">
        <f>IF(ISNUMBER(SEARCH(CJ$83,$BY103)),VLOOKUP($BA103&amp;$CU103,Armour!$B$4:$BP$99,67,FALSE),0)</f>
        <v>0</v>
      </c>
      <c r="CK103" s="4">
        <f>IF(ISNUMBER(SEARCH(CK$83,$BY103)),VLOOKUP($BA103&amp;$CU103,Armour!$B$4:$BP$99,67,FALSE),0)</f>
        <v>0</v>
      </c>
      <c r="CL103" s="4">
        <f>IF(ISNUMBER(SEARCH(CL$83,$BY103)),VLOOKUP($BA103&amp;$CU103,Armour!$B$4:$BP$99,67,FALSE),0)</f>
        <v>0</v>
      </c>
      <c r="CM103" s="4">
        <f>IF(ISNUMBER(SEARCH(CM$83,$BY103)),VLOOKUP($BA103&amp;$CU103,Armour!$B$4:$BP$99,67,FALSE),0)</f>
        <v>0</v>
      </c>
      <c r="CN103" s="4">
        <f>IF(ISNUMBER(SEARCH(CN$83,$BY103)),VLOOKUP($BA103&amp;$CU103,Armour!$B$4:$BP$99,67,FALSE),0)</f>
        <v>0</v>
      </c>
      <c r="CO103" s="4">
        <f>IF(ISNUMBER(SEARCH(CO$83,$BY103)),VLOOKUP($BA103&amp;$CU103,Armour!$B$4:$BP$99,67,FALSE),0)</f>
        <v>0</v>
      </c>
      <c r="CP103" s="4">
        <f>IF(ISNUMBER(SEARCH(CP$83,$BY103)),VLOOKUP($BA103&amp;$CU103,Armour!$B$4:$BP$99,67,FALSE),0)</f>
        <v>0</v>
      </c>
      <c r="CQ103" s="4">
        <f>IF(ISNUMBER(SEARCH(CQ$83,$BY103)),VLOOKUP($BA103&amp;$CU103,Armour!$B$4:$BP$99,67,FALSE),0)</f>
        <v>0</v>
      </c>
      <c r="CR103" s="4">
        <f>IF(ISNUMBER(SEARCH(CR$83,$BY103)),VLOOKUP($BA103&amp;$CU103,Armour!$B$4:$BP$99,67,FALSE),0)</f>
        <v>0</v>
      </c>
      <c r="CS103" s="4">
        <f>IF(ISNUMBER(SEARCH(CS$83,$BY103)),VLOOKUP($BA103&amp;$CU103,Armour!$B$4:$BP$99,67,FALSE),0)</f>
        <v>0</v>
      </c>
      <c r="CT103" s="4">
        <f>IF(ISNUMBER(SEARCH(CT$83,$BY103)),VLOOKUP($BA103&amp;$CU103,Armour!$B$4:$BP$99,67,FALSE),0)</f>
        <v>0</v>
      </c>
      <c r="CU103" s="4" t="str">
        <f t="shared" si="127"/>
        <v/>
      </c>
      <c r="DH103" s="4" t="str">
        <f t="shared" si="103"/>
        <v/>
      </c>
      <c r="DI103">
        <v>21</v>
      </c>
      <c r="DJ103" s="3" t="str">
        <f t="shared" si="135"/>
        <v/>
      </c>
      <c r="DK103" s="4" t="str">
        <f t="shared" si="145"/>
        <v/>
      </c>
      <c r="DL103" s="4" t="str">
        <f>IFERROR(IF(DK103=0,"",VLOOKUP(DK103,Skills!$N$72:$AF$107,19,FALSE)),"")</f>
        <v/>
      </c>
      <c r="DM103" s="4"/>
      <c r="DN103" s="4" t="str">
        <f t="shared" si="136"/>
        <v/>
      </c>
      <c r="DO103" s="4" t="str">
        <f t="shared" si="152"/>
        <v/>
      </c>
      <c r="DP103" s="4">
        <f t="shared" si="104"/>
        <v>0</v>
      </c>
      <c r="DQ103" s="4">
        <f t="shared" si="137"/>
        <v>2</v>
      </c>
      <c r="DR103" s="4" t="e">
        <f t="shared" si="138"/>
        <v>#N/A</v>
      </c>
      <c r="DS103" s="4">
        <f t="shared" si="139"/>
        <v>21</v>
      </c>
      <c r="DT103" s="4" t="str">
        <f t="shared" si="146"/>
        <v/>
      </c>
      <c r="DU103" s="4" t="str">
        <f t="shared" si="147"/>
        <v/>
      </c>
      <c r="DV103" s="4" t="e">
        <f>VLOOKUP((VLOOKUP((VLOOKUP('Character Creation'!$Z$11,RaceChart,20,FALSE)&amp;" "&amp;VLOOKUP('Character Creation'!$Z$11,RaceChart,21,FALSE)),Charts!$H$2:$J$14,3,FALSE)+DU103),Charts!$J$2:$N$14,5,FALSE)</f>
        <v>#VALUE!</v>
      </c>
      <c r="DW103" s="4" t="e">
        <f>VLOOKUP(DV103,Charts!$N$2:$Q$14,4,FALSE)</f>
        <v>#VALUE!</v>
      </c>
      <c r="DX103" s="4" t="str">
        <f t="shared" si="140"/>
        <v/>
      </c>
      <c r="DY103" s="4" t="str">
        <f t="shared" si="148"/>
        <v/>
      </c>
      <c r="DZ103" s="4" t="str">
        <f t="shared" si="141"/>
        <v/>
      </c>
      <c r="EA103" s="4" t="e">
        <f>ROUNDDOWN(VLOOKUP(DK103,Skills!$N$72:$S$107,6,FALSE)/5,0)</f>
        <v>#N/A</v>
      </c>
      <c r="EB103" s="4" t="str">
        <f t="shared" si="149"/>
        <v/>
      </c>
      <c r="EC103" s="4" t="str">
        <f t="shared" si="142"/>
        <v>+</v>
      </c>
      <c r="ED103" s="4" t="e">
        <f>VLOOKUP(DJ103,'Character Sheet'!$FB$21:$HQ$35,61,FALSE)</f>
        <v>#N/A</v>
      </c>
      <c r="EE103" s="4" t="str">
        <f t="shared" si="150"/>
        <v/>
      </c>
      <c r="EF103" s="4" t="str">
        <f t="shared" si="151"/>
        <v/>
      </c>
      <c r="EG103" s="4" t="e">
        <f>VLOOKUP(DR103,Items!$B$1156:$AA$1282,18,FALSE)</f>
        <v>#N/A</v>
      </c>
      <c r="EH103" s="4">
        <f>VLOOKUP(DJ103,'Character Sheet'!$E$26:$EZ$45,81,FALSE)</f>
        <v>0</v>
      </c>
      <c r="EI103" s="4">
        <f>VLOOKUP(DJ103,'Character Sheet'!$E$26:$EZ$45,89,FALSE)</f>
        <v>0</v>
      </c>
      <c r="EJ103" s="4" t="e">
        <f t="shared" si="143"/>
        <v>#N/A</v>
      </c>
    </row>
    <row r="104" spans="29:140" x14ac:dyDescent="0.25">
      <c r="AC104" s="8" t="str">
        <f>IFERROR(VLOOKUP('Character Creation'!$CI117,Skills!$H$2:$N$620,6,FALSE),"")</f>
        <v/>
      </c>
      <c r="AD104" s="4">
        <f>'Character Creation'!EH117</f>
        <v>0</v>
      </c>
      <c r="AG104">
        <v>103</v>
      </c>
      <c r="AH104" s="4" t="str">
        <f t="shared" si="95"/>
        <v/>
      </c>
      <c r="AI104" t="str">
        <f>IFERROR(VLOOKUP(AG104,Skills!$B$2:$M$620,12,FALSE),"")</f>
        <v/>
      </c>
      <c r="AJ104" s="4" t="str">
        <f>IFERROR(VLOOKUP(AG104,Skills!$B$2:$AF$620,31,FALSE),"")</f>
        <v/>
      </c>
      <c r="AK104" s="4" t="str">
        <f t="shared" si="153"/>
        <v/>
      </c>
      <c r="AL104" s="4">
        <v>0.10299999999999999</v>
      </c>
      <c r="AM104" s="62" t="str">
        <f t="shared" si="96"/>
        <v/>
      </c>
      <c r="AN104" t="str">
        <f t="shared" ca="1" si="97"/>
        <v/>
      </c>
      <c r="AO104" s="4" t="str">
        <f ca="1">IFERROR(VLOOKUP(AG104,$AH$2:$AJ$451,3,FALSE)&amp;IF(ISNUMBER(SEARCH(", Written",AN104))," -R"&amp;VLOOKUP(AN104,Skills!$M$2:$S$620,7,FALSE),IF(ISNUMBER(SEARCH(", Spoken",AN104))," -R"&amp;VLOOKUP(AN104,Skills!$M$2:$S$620,7,FALSE),"")),"")</f>
        <v/>
      </c>
      <c r="AQ104">
        <v>101</v>
      </c>
      <c r="AR104" s="8" t="str">
        <f>'Character Sheet'!FB103</f>
        <v>Mug, Tin</v>
      </c>
      <c r="AS104" s="4" t="str">
        <f t="shared" si="98"/>
        <v>Tin</v>
      </c>
      <c r="AT104" s="4">
        <f t="shared" si="99"/>
        <v>0.52</v>
      </c>
      <c r="AU104" s="4">
        <f t="shared" si="105"/>
        <v>454</v>
      </c>
      <c r="AV104" s="4">
        <f t="shared" si="106"/>
        <v>-30</v>
      </c>
      <c r="AW104" s="4" t="str">
        <f t="shared" si="107"/>
        <v>Tin</v>
      </c>
      <c r="AX104" s="4">
        <f t="shared" si="100"/>
        <v>0.52</v>
      </c>
      <c r="AY104" s="4">
        <f t="shared" si="108"/>
        <v>454</v>
      </c>
      <c r="AZ104" s="4">
        <f t="shared" si="109"/>
        <v>-30</v>
      </c>
      <c r="BA104" s="4" t="str">
        <f>IFERROR('Character Sheet'!JK103,"")</f>
        <v>Tin</v>
      </c>
      <c r="BB104" s="4">
        <f t="shared" si="101"/>
        <v>0.52</v>
      </c>
      <c r="BC104" s="4">
        <f t="shared" si="110"/>
        <v>0</v>
      </c>
      <c r="BD104" s="4">
        <f t="shared" si="111"/>
        <v>0</v>
      </c>
      <c r="BE104" s="4">
        <f t="shared" si="112"/>
        <v>0.8</v>
      </c>
      <c r="BF104" s="4">
        <f t="shared" si="113"/>
        <v>454</v>
      </c>
      <c r="BG104" s="4">
        <f t="shared" si="114"/>
        <v>-30</v>
      </c>
      <c r="BH104" s="4" t="str">
        <f>IFERROR('Character Sheet'!KC103,"")</f>
        <v>Tin</v>
      </c>
      <c r="BI104" s="4">
        <f t="shared" si="102"/>
        <v>0.52</v>
      </c>
      <c r="BJ104" s="4">
        <f t="shared" si="115"/>
        <v>0</v>
      </c>
      <c r="BK104" s="4">
        <f t="shared" si="116"/>
        <v>0</v>
      </c>
      <c r="BL104" s="4">
        <f t="shared" si="117"/>
        <v>0</v>
      </c>
      <c r="BM104" s="4">
        <f t="shared" si="118"/>
        <v>454</v>
      </c>
      <c r="BN104" s="4">
        <f t="shared" si="119"/>
        <v>-30</v>
      </c>
      <c r="BO104" s="4">
        <f t="shared" si="120"/>
        <v>1</v>
      </c>
      <c r="BP104" s="4">
        <f t="shared" si="121"/>
        <v>-35</v>
      </c>
      <c r="BQ104" s="4">
        <f>IFERROR('Character Sheet'!IQ103+VLOOKUP(BA104,MaterialChart,5,FALSE),"")</f>
        <v>-35</v>
      </c>
      <c r="BR104" s="4">
        <f t="shared" si="122"/>
        <v>0</v>
      </c>
      <c r="BS104" s="4">
        <f t="shared" si="144"/>
        <v>40</v>
      </c>
      <c r="BT104" s="4">
        <f t="shared" si="123"/>
        <v>0.12</v>
      </c>
      <c r="BU104" s="4">
        <f t="shared" si="124"/>
        <v>0.8</v>
      </c>
      <c r="BV104" s="4">
        <f t="shared" si="125"/>
        <v>0.8</v>
      </c>
      <c r="BW104" s="4">
        <f>IFERROR(ROUNDUP((BE104*(BB104-AT104))+(BL104*(BI104-AX104))+(BT104*(((100+(BD104+IF(BE104=1,0,BK104))+(4*BR104))/100)))*'Character Sheet'!GT103,3),"")</f>
        <v>0.12</v>
      </c>
      <c r="BX104" s="4" t="str">
        <f t="shared" si="93"/>
        <v>$0.12</v>
      </c>
      <c r="BY104" s="8">
        <f t="shared" si="126"/>
        <v>0</v>
      </c>
      <c r="BZ104" s="4">
        <f>IF(ISNUMBER(SEARCH(BZ$83,$BY104)),VLOOKUP($BA104&amp;$CU104,Armour!$B$4:$BP$99,67,FALSE),0)</f>
        <v>0</v>
      </c>
      <c r="CA104" s="4">
        <f>IF(ISNUMBER(SEARCH(CA$83,$BY104)),VLOOKUP($BA104&amp;$CU104,Armour!$B$4:$BP$99,67,FALSE),0)</f>
        <v>0</v>
      </c>
      <c r="CB104" s="4">
        <f>IF(ISNUMBER(SEARCH(CB$83,$BY104)),VLOOKUP($BA104&amp;$CU104,Armour!$B$4:$BP$99,67,FALSE),0)</f>
        <v>0</v>
      </c>
      <c r="CC104" s="4">
        <f>IF(ISNUMBER(SEARCH(CC$83,$BY104)),VLOOKUP($BA104&amp;$CU104,Armour!$B$4:$BP$99,67,FALSE),0)</f>
        <v>0</v>
      </c>
      <c r="CD104" s="4">
        <f>IF(ISNUMBER(SEARCH(CD$83,$BY104)),VLOOKUP($BA104&amp;$CU104,Armour!$B$4:$BP$99,67,FALSE),0)</f>
        <v>0</v>
      </c>
      <c r="CE104" s="4">
        <f>IF(ISNUMBER(SEARCH(CE$83,$BY104)),VLOOKUP($BA104&amp;$CU104,Armour!$B$4:$BP$99,67,FALSE),0)</f>
        <v>0</v>
      </c>
      <c r="CF104" s="4">
        <f>IF(ISNUMBER(SEARCH(CF$83,$BY104)),VLOOKUP($BA104&amp;$CU104,Armour!$B$4:$BP$99,67,FALSE),0)</f>
        <v>0</v>
      </c>
      <c r="CG104" s="4">
        <f>IF(ISNUMBER(SEARCH(CG$83,$BY104)),VLOOKUP($BA104&amp;$CU104,Armour!$B$4:$BP$99,67,FALSE),0)</f>
        <v>0</v>
      </c>
      <c r="CH104" s="4">
        <f>IF(ISNUMBER(SEARCH(CH$83,$BY104)),VLOOKUP($BA104&amp;$CU104,Armour!$B$4:$BP$99,67,FALSE),0)</f>
        <v>0</v>
      </c>
      <c r="CI104" s="4">
        <f>IF(ISNUMBER(SEARCH(CI$83,$BY104)),VLOOKUP($BA104&amp;$CU104,Armour!$B$4:$BP$99,67,FALSE),0)</f>
        <v>0</v>
      </c>
      <c r="CJ104" s="4">
        <f>IF(ISNUMBER(SEARCH(CJ$83,$BY104)),VLOOKUP($BA104&amp;$CU104,Armour!$B$4:$BP$99,67,FALSE),0)</f>
        <v>0</v>
      </c>
      <c r="CK104" s="4">
        <f>IF(ISNUMBER(SEARCH(CK$83,$BY104)),VLOOKUP($BA104&amp;$CU104,Armour!$B$4:$BP$99,67,FALSE),0)</f>
        <v>0</v>
      </c>
      <c r="CL104" s="4">
        <f>IF(ISNUMBER(SEARCH(CL$83,$BY104)),VLOOKUP($BA104&amp;$CU104,Armour!$B$4:$BP$99,67,FALSE),0)</f>
        <v>0</v>
      </c>
      <c r="CM104" s="4">
        <f>IF(ISNUMBER(SEARCH(CM$83,$BY104)),VLOOKUP($BA104&amp;$CU104,Armour!$B$4:$BP$99,67,FALSE),0)</f>
        <v>0</v>
      </c>
      <c r="CN104" s="4">
        <f>IF(ISNUMBER(SEARCH(CN$83,$BY104)),VLOOKUP($BA104&amp;$CU104,Armour!$B$4:$BP$99,67,FALSE),0)</f>
        <v>0</v>
      </c>
      <c r="CO104" s="4">
        <f>IF(ISNUMBER(SEARCH(CO$83,$BY104)),VLOOKUP($BA104&amp;$CU104,Armour!$B$4:$BP$99,67,FALSE),0)</f>
        <v>0</v>
      </c>
      <c r="CP104" s="4">
        <f>IF(ISNUMBER(SEARCH(CP$83,$BY104)),VLOOKUP($BA104&amp;$CU104,Armour!$B$4:$BP$99,67,FALSE),0)</f>
        <v>0</v>
      </c>
      <c r="CQ104" s="4">
        <f>IF(ISNUMBER(SEARCH(CQ$83,$BY104)),VLOOKUP($BA104&amp;$CU104,Armour!$B$4:$BP$99,67,FALSE),0)</f>
        <v>0</v>
      </c>
      <c r="CR104" s="4">
        <f>IF(ISNUMBER(SEARCH(CR$83,$BY104)),VLOOKUP($BA104&amp;$CU104,Armour!$B$4:$BP$99,67,FALSE),0)</f>
        <v>0</v>
      </c>
      <c r="CS104" s="4">
        <f>IF(ISNUMBER(SEARCH(CS$83,$BY104)),VLOOKUP($BA104&amp;$CU104,Armour!$B$4:$BP$99,67,FALSE),0)</f>
        <v>0</v>
      </c>
      <c r="CT104" s="4">
        <f>IF(ISNUMBER(SEARCH(CT$83,$BY104)),VLOOKUP($BA104&amp;$CU104,Armour!$B$4:$BP$99,67,FALSE),0)</f>
        <v>0</v>
      </c>
      <c r="CU104" s="4" t="str">
        <f t="shared" si="127"/>
        <v/>
      </c>
      <c r="DH104" s="4" t="str">
        <f t="shared" si="103"/>
        <v/>
      </c>
      <c r="DI104">
        <v>22</v>
      </c>
      <c r="DJ104" s="3" t="str">
        <f t="shared" si="135"/>
        <v/>
      </c>
      <c r="DK104" s="4" t="str">
        <f t="shared" si="145"/>
        <v/>
      </c>
      <c r="DL104" s="4" t="str">
        <f>IFERROR(IF(DK104=0,"",VLOOKUP(DK104,Skills!$N$72:$AF$107,19,FALSE)),"")</f>
        <v/>
      </c>
      <c r="DM104" s="4"/>
      <c r="DN104" s="4" t="str">
        <f t="shared" si="136"/>
        <v/>
      </c>
      <c r="DO104" s="4" t="str">
        <f t="shared" si="152"/>
        <v/>
      </c>
      <c r="DP104" s="4">
        <f t="shared" si="104"/>
        <v>0</v>
      </c>
      <c r="DQ104" s="4">
        <f t="shared" si="137"/>
        <v>2</v>
      </c>
      <c r="DR104" s="4" t="e">
        <f t="shared" si="138"/>
        <v>#N/A</v>
      </c>
      <c r="DS104" s="4">
        <f t="shared" si="139"/>
        <v>22</v>
      </c>
      <c r="DT104" s="4" t="str">
        <f t="shared" si="146"/>
        <v/>
      </c>
      <c r="DU104" s="4" t="str">
        <f t="shared" si="147"/>
        <v/>
      </c>
      <c r="DV104" s="4" t="e">
        <f>VLOOKUP((VLOOKUP((VLOOKUP('Character Creation'!$Z$11,RaceChart,20,FALSE)&amp;" "&amp;VLOOKUP('Character Creation'!$Z$11,RaceChart,21,FALSE)),Charts!$H$2:$J$14,3,FALSE)+DU104),Charts!$J$2:$N$14,5,FALSE)</f>
        <v>#VALUE!</v>
      </c>
      <c r="DW104" s="4" t="e">
        <f>VLOOKUP(DV104,Charts!$N$2:$Q$14,4,FALSE)</f>
        <v>#VALUE!</v>
      </c>
      <c r="DX104" s="4" t="str">
        <f t="shared" si="140"/>
        <v/>
      </c>
      <c r="DY104" s="4" t="str">
        <f t="shared" si="148"/>
        <v/>
      </c>
      <c r="DZ104" s="4" t="str">
        <f t="shared" si="141"/>
        <v/>
      </c>
      <c r="EA104" s="4" t="e">
        <f>ROUNDDOWN(VLOOKUP(DK104,Skills!$N$72:$S$107,6,FALSE)/5,0)</f>
        <v>#N/A</v>
      </c>
      <c r="EB104" s="4" t="str">
        <f t="shared" si="149"/>
        <v/>
      </c>
      <c r="EC104" s="4" t="str">
        <f t="shared" si="142"/>
        <v>+</v>
      </c>
      <c r="ED104" s="4" t="e">
        <f>VLOOKUP(DJ104,'Character Sheet'!$FB$21:$HQ$35,61,FALSE)</f>
        <v>#N/A</v>
      </c>
      <c r="EE104" s="4" t="str">
        <f t="shared" si="150"/>
        <v/>
      </c>
      <c r="EF104" s="4" t="str">
        <f t="shared" si="151"/>
        <v/>
      </c>
      <c r="EG104" s="4" t="e">
        <f>VLOOKUP(DR104,Items!$B$1156:$AA$1282,18,FALSE)</f>
        <v>#N/A</v>
      </c>
      <c r="EH104" s="4">
        <f>VLOOKUP(DJ104,'Character Sheet'!$E$26:$EZ$45,81,FALSE)</f>
        <v>0</v>
      </c>
      <c r="EI104" s="4">
        <f>VLOOKUP(DJ104,'Character Sheet'!$E$26:$EZ$45,89,FALSE)</f>
        <v>0</v>
      </c>
      <c r="EJ104" s="4" t="e">
        <f t="shared" si="143"/>
        <v>#N/A</v>
      </c>
    </row>
    <row r="105" spans="29:140" x14ac:dyDescent="0.25">
      <c r="AC105" s="8" t="str">
        <f>IFERROR(VLOOKUP('Character Creation'!$CI118,Skills!$H$2:$N$620,6,FALSE),"")</f>
        <v/>
      </c>
      <c r="AD105" s="4">
        <f>'Character Creation'!EH118</f>
        <v>0</v>
      </c>
      <c r="AG105">
        <v>104</v>
      </c>
      <c r="AH105" s="4" t="str">
        <f t="shared" si="95"/>
        <v/>
      </c>
      <c r="AI105" t="str">
        <f>IFERROR(VLOOKUP(AG105,Skills!$B$2:$M$620,12,FALSE),"")</f>
        <v/>
      </c>
      <c r="AJ105" s="4" t="str">
        <f>IFERROR(VLOOKUP(AG105,Skills!$B$2:$AF$620,31,FALSE),"")</f>
        <v/>
      </c>
      <c r="AK105" s="4" t="str">
        <f t="shared" si="153"/>
        <v/>
      </c>
      <c r="AL105" s="4">
        <v>0.104</v>
      </c>
      <c r="AM105" s="62" t="str">
        <f t="shared" si="96"/>
        <v/>
      </c>
      <c r="AN105" t="str">
        <f t="shared" ca="1" si="97"/>
        <v/>
      </c>
      <c r="AO105" s="4" t="str">
        <f ca="1">IFERROR(VLOOKUP(AG105,$AH$2:$AJ$451,3,FALSE)&amp;IF(ISNUMBER(SEARCH(", Written",AN105))," -R"&amp;VLOOKUP(AN105,Skills!$M$2:$S$620,7,FALSE),IF(ISNUMBER(SEARCH(", Spoken",AN105))," -R"&amp;VLOOKUP(AN105,Skills!$M$2:$S$620,7,FALSE),"")),"")</f>
        <v/>
      </c>
      <c r="AQ105">
        <v>102</v>
      </c>
      <c r="AR105" s="8" t="str">
        <f>'Character Sheet'!FB104</f>
        <v>Ammunition Pouch</v>
      </c>
      <c r="AS105" s="4" t="str">
        <f t="shared" si="98"/>
        <v>Heavy Cloth</v>
      </c>
      <c r="AT105" s="4">
        <f t="shared" si="99"/>
        <v>0.04</v>
      </c>
      <c r="AU105" s="4">
        <f t="shared" si="105"/>
        <v>12</v>
      </c>
      <c r="AV105" s="4">
        <f t="shared" si="106"/>
        <v>0</v>
      </c>
      <c r="AW105" s="4" t="str">
        <f t="shared" si="107"/>
        <v>Light Cloth</v>
      </c>
      <c r="AX105" s="4">
        <f t="shared" si="100"/>
        <v>0.02</v>
      </c>
      <c r="AY105" s="4">
        <f t="shared" si="108"/>
        <v>10</v>
      </c>
      <c r="AZ105" s="4">
        <f t="shared" si="109"/>
        <v>0</v>
      </c>
      <c r="BA105" s="4" t="str">
        <f>IFERROR('Character Sheet'!JK104,"")</f>
        <v>Heavy Cloth</v>
      </c>
      <c r="BB105" s="4">
        <f t="shared" si="101"/>
        <v>0.04</v>
      </c>
      <c r="BC105" s="4">
        <f t="shared" si="110"/>
        <v>0</v>
      </c>
      <c r="BD105" s="4">
        <f t="shared" si="111"/>
        <v>0</v>
      </c>
      <c r="BE105" s="4">
        <f t="shared" si="112"/>
        <v>0.95</v>
      </c>
      <c r="BF105" s="4">
        <f t="shared" si="113"/>
        <v>12</v>
      </c>
      <c r="BG105" s="4">
        <f t="shared" si="114"/>
        <v>0</v>
      </c>
      <c r="BH105" s="4" t="str">
        <f>IFERROR('Character Sheet'!KC104,"")</f>
        <v>Light Cloth</v>
      </c>
      <c r="BI105" s="4">
        <f t="shared" si="102"/>
        <v>0.02</v>
      </c>
      <c r="BJ105" s="4">
        <f t="shared" si="115"/>
        <v>0</v>
      </c>
      <c r="BK105" s="4">
        <f t="shared" si="116"/>
        <v>0</v>
      </c>
      <c r="BL105" s="4">
        <f t="shared" si="117"/>
        <v>5.0000000000000044E-2</v>
      </c>
      <c r="BM105" s="4">
        <f t="shared" si="118"/>
        <v>10</v>
      </c>
      <c r="BN105" s="4">
        <f t="shared" si="119"/>
        <v>0</v>
      </c>
      <c r="BO105" s="4">
        <f t="shared" si="120"/>
        <v>0.95</v>
      </c>
      <c r="BP105" s="4">
        <f t="shared" si="121"/>
        <v>0</v>
      </c>
      <c r="BQ105" s="4">
        <f>IFERROR('Character Sheet'!IQ104+VLOOKUP(BA105,MaterialChart,5,FALSE),"")</f>
        <v>0</v>
      </c>
      <c r="BR105" s="4">
        <f t="shared" si="122"/>
        <v>0</v>
      </c>
      <c r="BS105" s="4">
        <f t="shared" si="144"/>
        <v>0</v>
      </c>
      <c r="BT105" s="4">
        <f t="shared" si="123"/>
        <v>1.2</v>
      </c>
      <c r="BU105" s="4">
        <f t="shared" si="124"/>
        <v>1</v>
      </c>
      <c r="BV105" s="4">
        <f t="shared" si="125"/>
        <v>1</v>
      </c>
      <c r="BW105" s="4">
        <f>IFERROR(ROUNDUP((BE105*(BB105-AT105))+(BL105*(BI105-AX105))+(BT105*(((100+(BD105+IF(BE105=1,0,BK105))+(4*BR105))/100)))*'Character Sheet'!GT104,3),"")</f>
        <v>1.2</v>
      </c>
      <c r="BX105" s="4" t="str">
        <f t="shared" ref="BX105:BX116" si="154">IF(BW105="","","$"&amp;ROUND(BW105,2))</f>
        <v>$1.2</v>
      </c>
      <c r="BY105" s="8">
        <f t="shared" si="126"/>
        <v>0</v>
      </c>
      <c r="BZ105" s="4">
        <f>IF(ISNUMBER(SEARCH(BZ$83,$BY105)),VLOOKUP($BA105&amp;$CU105,Armour!$B$4:$BP$99,67,FALSE),0)</f>
        <v>0</v>
      </c>
      <c r="CA105" s="4">
        <f>IF(ISNUMBER(SEARCH(CA$83,$BY105)),VLOOKUP($BA105&amp;$CU105,Armour!$B$4:$BP$99,67,FALSE),0)</f>
        <v>0</v>
      </c>
      <c r="CB105" s="4">
        <f>IF(ISNUMBER(SEARCH(CB$83,$BY105)),VLOOKUP($BA105&amp;$CU105,Armour!$B$4:$BP$99,67,FALSE),0)</f>
        <v>0</v>
      </c>
      <c r="CC105" s="4">
        <f>IF(ISNUMBER(SEARCH(CC$83,$BY105)),VLOOKUP($BA105&amp;$CU105,Armour!$B$4:$BP$99,67,FALSE),0)</f>
        <v>0</v>
      </c>
      <c r="CD105" s="4">
        <f>IF(ISNUMBER(SEARCH(CD$83,$BY105)),VLOOKUP($BA105&amp;$CU105,Armour!$B$4:$BP$99,67,FALSE),0)</f>
        <v>0</v>
      </c>
      <c r="CE105" s="4">
        <f>IF(ISNUMBER(SEARCH(CE$83,$BY105)),VLOOKUP($BA105&amp;$CU105,Armour!$B$4:$BP$99,67,FALSE),0)</f>
        <v>0</v>
      </c>
      <c r="CF105" s="4">
        <f>IF(ISNUMBER(SEARCH(CF$83,$BY105)),VLOOKUP($BA105&amp;$CU105,Armour!$B$4:$BP$99,67,FALSE),0)</f>
        <v>0</v>
      </c>
      <c r="CG105" s="4">
        <f>IF(ISNUMBER(SEARCH(CG$83,$BY105)),VLOOKUP($BA105&amp;$CU105,Armour!$B$4:$BP$99,67,FALSE),0)</f>
        <v>0</v>
      </c>
      <c r="CH105" s="4">
        <f>IF(ISNUMBER(SEARCH(CH$83,$BY105)),VLOOKUP($BA105&amp;$CU105,Armour!$B$4:$BP$99,67,FALSE),0)</f>
        <v>0</v>
      </c>
      <c r="CI105" s="4">
        <f>IF(ISNUMBER(SEARCH(CI$83,$BY105)),VLOOKUP($BA105&amp;$CU105,Armour!$B$4:$BP$99,67,FALSE),0)</f>
        <v>0</v>
      </c>
      <c r="CJ105" s="4">
        <f>IF(ISNUMBER(SEARCH(CJ$83,$BY105)),VLOOKUP($BA105&amp;$CU105,Armour!$B$4:$BP$99,67,FALSE),0)</f>
        <v>0</v>
      </c>
      <c r="CK105" s="4">
        <f>IF(ISNUMBER(SEARCH(CK$83,$BY105)),VLOOKUP($BA105&amp;$CU105,Armour!$B$4:$BP$99,67,FALSE),0)</f>
        <v>0</v>
      </c>
      <c r="CL105" s="4">
        <f>IF(ISNUMBER(SEARCH(CL$83,$BY105)),VLOOKUP($BA105&amp;$CU105,Armour!$B$4:$BP$99,67,FALSE),0)</f>
        <v>0</v>
      </c>
      <c r="CM105" s="4">
        <f>IF(ISNUMBER(SEARCH(CM$83,$BY105)),VLOOKUP($BA105&amp;$CU105,Armour!$B$4:$BP$99,67,FALSE),0)</f>
        <v>0</v>
      </c>
      <c r="CN105" s="4">
        <f>IF(ISNUMBER(SEARCH(CN$83,$BY105)),VLOOKUP($BA105&amp;$CU105,Armour!$B$4:$BP$99,67,FALSE),0)</f>
        <v>0</v>
      </c>
      <c r="CO105" s="4">
        <f>IF(ISNUMBER(SEARCH(CO$83,$BY105)),VLOOKUP($BA105&amp;$CU105,Armour!$B$4:$BP$99,67,FALSE),0)</f>
        <v>0</v>
      </c>
      <c r="CP105" s="4">
        <f>IF(ISNUMBER(SEARCH(CP$83,$BY105)),VLOOKUP($BA105&amp;$CU105,Armour!$B$4:$BP$99,67,FALSE),0)</f>
        <v>0</v>
      </c>
      <c r="CQ105" s="4">
        <f>IF(ISNUMBER(SEARCH(CQ$83,$BY105)),VLOOKUP($BA105&amp;$CU105,Armour!$B$4:$BP$99,67,FALSE),0)</f>
        <v>0</v>
      </c>
      <c r="CR105" s="4">
        <f>IF(ISNUMBER(SEARCH(CR$83,$BY105)),VLOOKUP($BA105&amp;$CU105,Armour!$B$4:$BP$99,67,FALSE),0)</f>
        <v>0</v>
      </c>
      <c r="CS105" s="4">
        <f>IF(ISNUMBER(SEARCH(CS$83,$BY105)),VLOOKUP($BA105&amp;$CU105,Armour!$B$4:$BP$99,67,FALSE),0)</f>
        <v>0</v>
      </c>
      <c r="CT105" s="4">
        <f>IF(ISNUMBER(SEARCH(CT$83,$BY105)),VLOOKUP($BA105&amp;$CU105,Armour!$B$4:$BP$99,67,FALSE),0)</f>
        <v>0</v>
      </c>
      <c r="CU105" s="4" t="str">
        <f t="shared" si="127"/>
        <v/>
      </c>
      <c r="DH105" s="4" t="str">
        <f t="shared" si="103"/>
        <v/>
      </c>
      <c r="DI105">
        <v>23</v>
      </c>
      <c r="DJ105" s="3" t="str">
        <f t="shared" si="135"/>
        <v/>
      </c>
      <c r="DK105" s="4" t="str">
        <f t="shared" si="145"/>
        <v/>
      </c>
      <c r="DL105" s="4" t="str">
        <f>IFERROR(IF(DK105=0,"",VLOOKUP(DK105,Skills!$N$72:$AF$107,19,FALSE)),"")</f>
        <v/>
      </c>
      <c r="DM105" s="4"/>
      <c r="DN105" s="4" t="str">
        <f t="shared" si="136"/>
        <v/>
      </c>
      <c r="DO105" s="4" t="str">
        <f t="shared" si="152"/>
        <v/>
      </c>
      <c r="DP105" s="4">
        <f t="shared" si="104"/>
        <v>0</v>
      </c>
      <c r="DQ105" s="4">
        <f t="shared" si="137"/>
        <v>2</v>
      </c>
      <c r="DR105" s="4" t="e">
        <f t="shared" si="138"/>
        <v>#N/A</v>
      </c>
      <c r="DS105" s="4">
        <f t="shared" si="139"/>
        <v>23</v>
      </c>
      <c r="DT105" s="4" t="str">
        <f t="shared" si="146"/>
        <v/>
      </c>
      <c r="DU105" s="4" t="str">
        <f t="shared" si="147"/>
        <v/>
      </c>
      <c r="DV105" s="4" t="e">
        <f>VLOOKUP((VLOOKUP((VLOOKUP('Character Creation'!$Z$11,RaceChart,20,FALSE)&amp;" "&amp;VLOOKUP('Character Creation'!$Z$11,RaceChart,21,FALSE)),Charts!$H$2:$J$14,3,FALSE)+DU105),Charts!$J$2:$N$14,5,FALSE)</f>
        <v>#VALUE!</v>
      </c>
      <c r="DW105" s="4" t="e">
        <f>VLOOKUP(DV105,Charts!$N$2:$Q$14,4,FALSE)</f>
        <v>#VALUE!</v>
      </c>
      <c r="DX105" s="4" t="str">
        <f t="shared" si="140"/>
        <v/>
      </c>
      <c r="DY105" s="4" t="str">
        <f t="shared" si="148"/>
        <v/>
      </c>
      <c r="DZ105" s="4" t="str">
        <f t="shared" si="141"/>
        <v/>
      </c>
      <c r="EA105" s="4" t="e">
        <f>ROUNDDOWN(VLOOKUP(DK105,Skills!$N$72:$S$107,6,FALSE)/5,0)</f>
        <v>#N/A</v>
      </c>
      <c r="EB105" s="4" t="str">
        <f t="shared" si="149"/>
        <v/>
      </c>
      <c r="EC105" s="4" t="str">
        <f t="shared" si="142"/>
        <v>+</v>
      </c>
      <c r="ED105" s="4" t="e">
        <f>VLOOKUP(DJ105,'Character Sheet'!$FB$21:$HQ$35,61,FALSE)</f>
        <v>#N/A</v>
      </c>
      <c r="EE105" s="4" t="str">
        <f t="shared" si="150"/>
        <v/>
      </c>
      <c r="EF105" s="4" t="str">
        <f t="shared" si="151"/>
        <v/>
      </c>
      <c r="EG105" s="4" t="e">
        <f>VLOOKUP(DR105,Items!$B$1156:$AA$1282,18,FALSE)</f>
        <v>#N/A</v>
      </c>
      <c r="EH105" s="4">
        <f>VLOOKUP(DJ105,'Character Sheet'!$E$26:$EZ$45,81,FALSE)</f>
        <v>0</v>
      </c>
      <c r="EI105" s="4">
        <f>VLOOKUP(DJ105,'Character Sheet'!$E$26:$EZ$45,89,FALSE)</f>
        <v>0</v>
      </c>
      <c r="EJ105" s="4" t="e">
        <f t="shared" si="143"/>
        <v>#N/A</v>
      </c>
    </row>
    <row r="106" spans="29:140" x14ac:dyDescent="0.25">
      <c r="AC106" s="8" t="str">
        <f>IFERROR(VLOOKUP('Character Creation'!$CI119,Skills!$H$2:$N$620,6,FALSE),"")</f>
        <v/>
      </c>
      <c r="AD106" s="4">
        <f>'Character Creation'!EH119</f>
        <v>0</v>
      </c>
      <c r="AG106">
        <v>105</v>
      </c>
      <c r="AH106" s="4" t="str">
        <f t="shared" si="95"/>
        <v/>
      </c>
      <c r="AI106" t="str">
        <f>IFERROR(VLOOKUP(AG106,Skills!$B$2:$M$620,12,FALSE),"")</f>
        <v/>
      </c>
      <c r="AJ106" s="4" t="str">
        <f>IFERROR(VLOOKUP(AG106,Skills!$B$2:$AF$620,31,FALSE),"")</f>
        <v/>
      </c>
      <c r="AK106" s="4" t="str">
        <f t="shared" si="153"/>
        <v/>
      </c>
      <c r="AL106" s="4">
        <v>0.105</v>
      </c>
      <c r="AM106" s="62" t="str">
        <f t="shared" si="96"/>
        <v/>
      </c>
      <c r="AN106" t="str">
        <f t="shared" ca="1" si="97"/>
        <v/>
      </c>
      <c r="AO106" s="4" t="str">
        <f ca="1">IFERROR(VLOOKUP(AG106,$AH$2:$AJ$451,3,FALSE)&amp;IF(ISNUMBER(SEARCH(", Written",AN106))," -R"&amp;VLOOKUP(AN106,Skills!$M$2:$S$620,7,FALSE),IF(ISNUMBER(SEARCH(", Spoken",AN106))," -R"&amp;VLOOKUP(AN106,Skills!$M$2:$S$620,7,FALSE),"")),"")</f>
        <v/>
      </c>
      <c r="AQ106">
        <v>103</v>
      </c>
      <c r="AR106" s="8" t="str">
        <f>'Character Sheet'!FB105</f>
        <v>.44 Colt Cartridge</v>
      </c>
      <c r="AS106" s="4" t="str">
        <f t="shared" si="98"/>
        <v/>
      </c>
      <c r="AT106" s="4" t="str">
        <f t="shared" si="99"/>
        <v/>
      </c>
      <c r="AU106" s="4" t="str">
        <f t="shared" si="105"/>
        <v/>
      </c>
      <c r="AV106" s="4" t="str">
        <f t="shared" si="106"/>
        <v/>
      </c>
      <c r="AW106" s="4" t="str">
        <f t="shared" si="107"/>
        <v/>
      </c>
      <c r="AX106" s="4" t="str">
        <f t="shared" si="100"/>
        <v/>
      </c>
      <c r="AY106" s="4" t="str">
        <f t="shared" si="108"/>
        <v/>
      </c>
      <c r="AZ106" s="4" t="str">
        <f t="shared" si="109"/>
        <v/>
      </c>
      <c r="BA106" s="4" t="str">
        <f>IFERROR('Character Sheet'!JK105,"")</f>
        <v/>
      </c>
      <c r="BB106" s="4" t="str">
        <f t="shared" si="101"/>
        <v/>
      </c>
      <c r="BC106" s="4" t="str">
        <f t="shared" si="110"/>
        <v/>
      </c>
      <c r="BD106" s="4" t="str">
        <f t="shared" si="111"/>
        <v/>
      </c>
      <c r="BE106" s="4" t="str">
        <f t="shared" si="112"/>
        <v/>
      </c>
      <c r="BF106" s="4" t="str">
        <f t="shared" si="113"/>
        <v/>
      </c>
      <c r="BG106" s="4" t="str">
        <f t="shared" si="114"/>
        <v/>
      </c>
      <c r="BH106" s="4" t="str">
        <f>IFERROR('Character Sheet'!KC105,"")</f>
        <v/>
      </c>
      <c r="BI106" s="4" t="str">
        <f t="shared" si="102"/>
        <v/>
      </c>
      <c r="BJ106" s="4" t="str">
        <f t="shared" si="115"/>
        <v/>
      </c>
      <c r="BK106" s="4" t="str">
        <f t="shared" si="116"/>
        <v/>
      </c>
      <c r="BL106" s="4" t="str">
        <f t="shared" si="117"/>
        <v/>
      </c>
      <c r="BM106" s="4" t="str">
        <f t="shared" si="118"/>
        <v/>
      </c>
      <c r="BN106" s="4" t="str">
        <f t="shared" si="119"/>
        <v/>
      </c>
      <c r="BO106" s="4" t="str">
        <f t="shared" si="120"/>
        <v/>
      </c>
      <c r="BP106" s="4" t="str">
        <f t="shared" si="121"/>
        <v/>
      </c>
      <c r="BQ106" s="4" t="str">
        <f>IFERROR('Character Sheet'!IQ105+VLOOKUP(BA106,MaterialChart,5,FALSE),"")</f>
        <v/>
      </c>
      <c r="BR106" s="4" t="str">
        <f t="shared" si="122"/>
        <v/>
      </c>
      <c r="BS106" s="4">
        <f t="shared" si="144"/>
        <v>0</v>
      </c>
      <c r="BT106" s="4" t="str">
        <f t="shared" si="123"/>
        <v/>
      </c>
      <c r="BU106" s="4" t="str">
        <f t="shared" si="124"/>
        <v/>
      </c>
      <c r="BV106" s="4" t="str">
        <f t="shared" si="125"/>
        <v/>
      </c>
      <c r="BW106" s="4" t="str">
        <f>IFERROR(ROUNDUP((BE106*(BB106-AT106))+(BL106*(BI106-AX106))+(BT106*(((100+(BD106+IF(BE106=1,0,BK106))+(4*BR106))/100)))*'Character Sheet'!GT105,3),"")</f>
        <v/>
      </c>
      <c r="BX106" s="4" t="str">
        <f t="shared" si="154"/>
        <v/>
      </c>
      <c r="BY106" s="8" t="str">
        <f t="shared" si="126"/>
        <v/>
      </c>
      <c r="BZ106" s="4">
        <f>IF(ISNUMBER(SEARCH(BZ$83,$BY106)),VLOOKUP($BA106&amp;$CU106,Armour!$B$4:$BP$99,67,FALSE),0)</f>
        <v>0</v>
      </c>
      <c r="CA106" s="4">
        <f>IF(ISNUMBER(SEARCH(CA$83,$BY106)),VLOOKUP($BA106&amp;$CU106,Armour!$B$4:$BP$99,67,FALSE),0)</f>
        <v>0</v>
      </c>
      <c r="CB106" s="4">
        <f>IF(ISNUMBER(SEARCH(CB$83,$BY106)),VLOOKUP($BA106&amp;$CU106,Armour!$B$4:$BP$99,67,FALSE),0)</f>
        <v>0</v>
      </c>
      <c r="CC106" s="4">
        <f>IF(ISNUMBER(SEARCH(CC$83,$BY106)),VLOOKUP($BA106&amp;$CU106,Armour!$B$4:$BP$99,67,FALSE),0)</f>
        <v>0</v>
      </c>
      <c r="CD106" s="4">
        <f>IF(ISNUMBER(SEARCH(CD$83,$BY106)),VLOOKUP($BA106&amp;$CU106,Armour!$B$4:$BP$99,67,FALSE),0)</f>
        <v>0</v>
      </c>
      <c r="CE106" s="4">
        <f>IF(ISNUMBER(SEARCH(CE$83,$BY106)),VLOOKUP($BA106&amp;$CU106,Armour!$B$4:$BP$99,67,FALSE),0)</f>
        <v>0</v>
      </c>
      <c r="CF106" s="4">
        <f>IF(ISNUMBER(SEARCH(CF$83,$BY106)),VLOOKUP($BA106&amp;$CU106,Armour!$B$4:$BP$99,67,FALSE),0)</f>
        <v>0</v>
      </c>
      <c r="CG106" s="4">
        <f>IF(ISNUMBER(SEARCH(CG$83,$BY106)),VLOOKUP($BA106&amp;$CU106,Armour!$B$4:$BP$99,67,FALSE),0)</f>
        <v>0</v>
      </c>
      <c r="CH106" s="4">
        <f>IF(ISNUMBER(SEARCH(CH$83,$BY106)),VLOOKUP($BA106&amp;$CU106,Armour!$B$4:$BP$99,67,FALSE),0)</f>
        <v>0</v>
      </c>
      <c r="CI106" s="4">
        <f>IF(ISNUMBER(SEARCH(CI$83,$BY106)),VLOOKUP($BA106&amp;$CU106,Armour!$B$4:$BP$99,67,FALSE),0)</f>
        <v>0</v>
      </c>
      <c r="CJ106" s="4">
        <f>IF(ISNUMBER(SEARCH(CJ$83,$BY106)),VLOOKUP($BA106&amp;$CU106,Armour!$B$4:$BP$99,67,FALSE),0)</f>
        <v>0</v>
      </c>
      <c r="CK106" s="4">
        <f>IF(ISNUMBER(SEARCH(CK$83,$BY106)),VLOOKUP($BA106&amp;$CU106,Armour!$B$4:$BP$99,67,FALSE),0)</f>
        <v>0</v>
      </c>
      <c r="CL106" s="4">
        <f>IF(ISNUMBER(SEARCH(CL$83,$BY106)),VLOOKUP($BA106&amp;$CU106,Armour!$B$4:$BP$99,67,FALSE),0)</f>
        <v>0</v>
      </c>
      <c r="CM106" s="4">
        <f>IF(ISNUMBER(SEARCH(CM$83,$BY106)),VLOOKUP($BA106&amp;$CU106,Armour!$B$4:$BP$99,67,FALSE),0)</f>
        <v>0</v>
      </c>
      <c r="CN106" s="4">
        <f>IF(ISNUMBER(SEARCH(CN$83,$BY106)),VLOOKUP($BA106&amp;$CU106,Armour!$B$4:$BP$99,67,FALSE),0)</f>
        <v>0</v>
      </c>
      <c r="CO106" s="4">
        <f>IF(ISNUMBER(SEARCH(CO$83,$BY106)),VLOOKUP($BA106&amp;$CU106,Armour!$B$4:$BP$99,67,FALSE),0)</f>
        <v>0</v>
      </c>
      <c r="CP106" s="4">
        <f>IF(ISNUMBER(SEARCH(CP$83,$BY106)),VLOOKUP($BA106&amp;$CU106,Armour!$B$4:$BP$99,67,FALSE),0)</f>
        <v>0</v>
      </c>
      <c r="CQ106" s="4">
        <f>IF(ISNUMBER(SEARCH(CQ$83,$BY106)),VLOOKUP($BA106&amp;$CU106,Armour!$B$4:$BP$99,67,FALSE),0)</f>
        <v>0</v>
      </c>
      <c r="CR106" s="4">
        <f>IF(ISNUMBER(SEARCH(CR$83,$BY106)),VLOOKUP($BA106&amp;$CU106,Armour!$B$4:$BP$99,67,FALSE),0)</f>
        <v>0</v>
      </c>
      <c r="CS106" s="4">
        <f>IF(ISNUMBER(SEARCH(CS$83,$BY106)),VLOOKUP($BA106&amp;$CU106,Armour!$B$4:$BP$99,67,FALSE),0)</f>
        <v>0</v>
      </c>
      <c r="CT106" s="4">
        <f>IF(ISNUMBER(SEARCH(CT$83,$BY106)),VLOOKUP($BA106&amp;$CU106,Armour!$B$4:$BP$99,67,FALSE),0)</f>
        <v>0</v>
      </c>
      <c r="CU106" s="4" t="e">
        <f t="shared" si="127"/>
        <v>#N/A</v>
      </c>
      <c r="DH106" s="4" t="str">
        <f t="shared" si="103"/>
        <v/>
      </c>
      <c r="DI106">
        <v>24</v>
      </c>
      <c r="DJ106" s="3" t="str">
        <f t="shared" si="135"/>
        <v/>
      </c>
      <c r="DK106" s="4" t="str">
        <f t="shared" si="145"/>
        <v/>
      </c>
      <c r="DL106" s="4" t="str">
        <f>IFERROR(IF(DK106=0,"",VLOOKUP(DK106,Skills!$N$72:$AF$107,19,FALSE)),"")</f>
        <v/>
      </c>
      <c r="DM106" s="4"/>
      <c r="DN106" s="4" t="str">
        <f t="shared" si="136"/>
        <v/>
      </c>
      <c r="DO106" s="4" t="str">
        <f t="shared" si="152"/>
        <v/>
      </c>
      <c r="DP106" s="4">
        <f t="shared" si="104"/>
        <v>0</v>
      </c>
      <c r="DQ106" s="4">
        <f t="shared" si="137"/>
        <v>2</v>
      </c>
      <c r="DR106" s="4" t="e">
        <f t="shared" si="138"/>
        <v>#N/A</v>
      </c>
      <c r="DS106" s="4">
        <f t="shared" si="139"/>
        <v>24</v>
      </c>
      <c r="DT106" s="4" t="str">
        <f t="shared" si="146"/>
        <v/>
      </c>
      <c r="DU106" s="4" t="str">
        <f t="shared" si="147"/>
        <v/>
      </c>
      <c r="DV106" s="4" t="e">
        <f>VLOOKUP((VLOOKUP((VLOOKUP('Character Creation'!$Z$11,RaceChart,20,FALSE)&amp;" "&amp;VLOOKUP('Character Creation'!$Z$11,RaceChart,21,FALSE)),Charts!$H$2:$J$14,3,FALSE)+DU106),Charts!$J$2:$N$14,5,FALSE)</f>
        <v>#VALUE!</v>
      </c>
      <c r="DW106" s="4" t="e">
        <f>VLOOKUP(DV106,Charts!$N$2:$Q$14,4,FALSE)</f>
        <v>#VALUE!</v>
      </c>
      <c r="DX106" s="4" t="str">
        <f t="shared" si="140"/>
        <v/>
      </c>
      <c r="DY106" s="4" t="str">
        <f t="shared" si="148"/>
        <v/>
      </c>
      <c r="DZ106" s="4" t="str">
        <f t="shared" si="141"/>
        <v/>
      </c>
      <c r="EA106" s="4" t="e">
        <f>ROUNDDOWN(VLOOKUP(DK106,Skills!$N$72:$S$107,6,FALSE)/5,0)</f>
        <v>#N/A</v>
      </c>
      <c r="EB106" s="4" t="str">
        <f t="shared" si="149"/>
        <v/>
      </c>
      <c r="EC106" s="4" t="str">
        <f t="shared" si="142"/>
        <v>+</v>
      </c>
      <c r="ED106" s="4" t="e">
        <f>VLOOKUP(DJ106,'Character Sheet'!$FB$21:$HQ$35,61,FALSE)</f>
        <v>#N/A</v>
      </c>
      <c r="EE106" s="4" t="str">
        <f t="shared" si="150"/>
        <v/>
      </c>
      <c r="EF106" s="4" t="str">
        <f t="shared" si="151"/>
        <v/>
      </c>
      <c r="EG106" s="4" t="e">
        <f>VLOOKUP(DR106,Items!$B$1156:$AA$1282,18,FALSE)</f>
        <v>#N/A</v>
      </c>
      <c r="EH106" s="4">
        <f>VLOOKUP(DJ106,'Character Sheet'!$E$26:$EZ$45,81,FALSE)</f>
        <v>0</v>
      </c>
      <c r="EI106" s="4">
        <f>VLOOKUP(DJ106,'Character Sheet'!$E$26:$EZ$45,89,FALSE)</f>
        <v>0</v>
      </c>
      <c r="EJ106" s="4" t="e">
        <f t="shared" si="143"/>
        <v>#N/A</v>
      </c>
    </row>
    <row r="107" spans="29:140" x14ac:dyDescent="0.25">
      <c r="AC107" s="8" t="str">
        <f>IFERROR(VLOOKUP('Character Creation'!$CI120,Skills!$H$2:$N$620,6,FALSE),"")</f>
        <v/>
      </c>
      <c r="AD107" s="4">
        <f>'Character Creation'!EH120</f>
        <v>0</v>
      </c>
      <c r="AG107">
        <v>106</v>
      </c>
      <c r="AH107" s="4" t="str">
        <f t="shared" si="95"/>
        <v/>
      </c>
      <c r="AI107" t="str">
        <f>IFERROR(VLOOKUP(AG107,Skills!$B$2:$M$620,12,FALSE),"")</f>
        <v/>
      </c>
      <c r="AJ107" s="4" t="str">
        <f>IFERROR(VLOOKUP(AG107,Skills!$B$2:$AF$620,31,FALSE),"")</f>
        <v/>
      </c>
      <c r="AK107" s="4" t="str">
        <f t="shared" si="153"/>
        <v/>
      </c>
      <c r="AL107" s="4">
        <v>0.106</v>
      </c>
      <c r="AM107" s="62" t="str">
        <f t="shared" si="96"/>
        <v/>
      </c>
      <c r="AN107" t="str">
        <f t="shared" ca="1" si="97"/>
        <v/>
      </c>
      <c r="AO107" s="4" t="str">
        <f ca="1">IFERROR(VLOOKUP(AG107,$AH$2:$AJ$451,3,FALSE)&amp;IF(ISNUMBER(SEARCH(", Written",AN107))," -R"&amp;VLOOKUP(AN107,Skills!$M$2:$S$620,7,FALSE),IF(ISNUMBER(SEARCH(", Spoken",AN107))," -R"&amp;VLOOKUP(AN107,Skills!$M$2:$S$620,7,FALSE),"")),"")</f>
        <v/>
      </c>
      <c r="AQ107">
        <v>104</v>
      </c>
      <c r="AR107" s="8">
        <f>'Character Sheet'!FB106</f>
        <v>0</v>
      </c>
      <c r="AS107" s="4" t="str">
        <f t="shared" si="98"/>
        <v/>
      </c>
      <c r="AT107" s="4" t="str">
        <f t="shared" si="99"/>
        <v/>
      </c>
      <c r="AU107" s="4" t="str">
        <f t="shared" si="105"/>
        <v/>
      </c>
      <c r="AV107" s="4" t="str">
        <f t="shared" si="106"/>
        <v/>
      </c>
      <c r="AW107" s="4" t="str">
        <f t="shared" si="107"/>
        <v/>
      </c>
      <c r="AX107" s="4" t="str">
        <f t="shared" si="100"/>
        <v/>
      </c>
      <c r="AY107" s="4" t="str">
        <f t="shared" si="108"/>
        <v/>
      </c>
      <c r="AZ107" s="4" t="str">
        <f t="shared" si="109"/>
        <v/>
      </c>
      <c r="BA107" s="4" t="str">
        <f>IFERROR('Character Sheet'!JK106,"")</f>
        <v/>
      </c>
      <c r="BB107" s="4" t="str">
        <f t="shared" si="101"/>
        <v/>
      </c>
      <c r="BC107" s="4" t="str">
        <f t="shared" si="110"/>
        <v/>
      </c>
      <c r="BD107" s="4" t="str">
        <f t="shared" si="111"/>
        <v/>
      </c>
      <c r="BE107" s="4" t="str">
        <f t="shared" si="112"/>
        <v/>
      </c>
      <c r="BF107" s="4" t="str">
        <f t="shared" si="113"/>
        <v/>
      </c>
      <c r="BG107" s="4" t="str">
        <f t="shared" si="114"/>
        <v/>
      </c>
      <c r="BH107" s="4" t="str">
        <f>IFERROR('Character Sheet'!KC106,"")</f>
        <v/>
      </c>
      <c r="BI107" s="4" t="str">
        <f t="shared" si="102"/>
        <v/>
      </c>
      <c r="BJ107" s="4" t="str">
        <f t="shared" si="115"/>
        <v/>
      </c>
      <c r="BK107" s="4" t="str">
        <f t="shared" si="116"/>
        <v/>
      </c>
      <c r="BL107" s="4" t="str">
        <f t="shared" si="117"/>
        <v/>
      </c>
      <c r="BM107" s="4" t="str">
        <f t="shared" si="118"/>
        <v/>
      </c>
      <c r="BN107" s="4" t="str">
        <f t="shared" si="119"/>
        <v/>
      </c>
      <c r="BO107" s="4" t="str">
        <f t="shared" si="120"/>
        <v/>
      </c>
      <c r="BP107" s="4" t="str">
        <f t="shared" si="121"/>
        <v/>
      </c>
      <c r="BQ107" s="4" t="str">
        <f>IFERROR('Character Sheet'!IQ106+VLOOKUP(BA107,MaterialChart,5,FALSE),"")</f>
        <v/>
      </c>
      <c r="BR107" s="4" t="str">
        <f t="shared" si="122"/>
        <v/>
      </c>
      <c r="BS107" s="4">
        <f t="shared" si="144"/>
        <v>0</v>
      </c>
      <c r="BT107" s="4" t="str">
        <f t="shared" si="123"/>
        <v/>
      </c>
      <c r="BU107" s="4" t="str">
        <f t="shared" si="124"/>
        <v/>
      </c>
      <c r="BV107" s="4" t="str">
        <f t="shared" si="125"/>
        <v/>
      </c>
      <c r="BW107" s="4" t="str">
        <f>IFERROR(ROUNDUP((BE107*(BB107-AT107))+(BL107*(BI107-AX107))+(BT107*(((100+(BD107+IF(BE107=1,0,BK107))+(4*BR107))/100)))*'Character Sheet'!GT106,3),"")</f>
        <v/>
      </c>
      <c r="BX107" s="4" t="str">
        <f t="shared" si="154"/>
        <v/>
      </c>
      <c r="BY107" s="8" t="str">
        <f t="shared" si="126"/>
        <v/>
      </c>
      <c r="BZ107" s="4">
        <f>IF(ISNUMBER(SEARCH(BZ$83,$BY107)),VLOOKUP($BA107&amp;$CU107,Armour!$B$4:$BP$99,67,FALSE),0)</f>
        <v>0</v>
      </c>
      <c r="CA107" s="4">
        <f>IF(ISNUMBER(SEARCH(CA$83,$BY107)),VLOOKUP($BA107&amp;$CU107,Armour!$B$4:$BP$99,67,FALSE),0)</f>
        <v>0</v>
      </c>
      <c r="CB107" s="4">
        <f>IF(ISNUMBER(SEARCH(CB$83,$BY107)),VLOOKUP($BA107&amp;$CU107,Armour!$B$4:$BP$99,67,FALSE),0)</f>
        <v>0</v>
      </c>
      <c r="CC107" s="4">
        <f>IF(ISNUMBER(SEARCH(CC$83,$BY107)),VLOOKUP($BA107&amp;$CU107,Armour!$B$4:$BP$99,67,FALSE),0)</f>
        <v>0</v>
      </c>
      <c r="CD107" s="4">
        <f>IF(ISNUMBER(SEARCH(CD$83,$BY107)),VLOOKUP($BA107&amp;$CU107,Armour!$B$4:$BP$99,67,FALSE),0)</f>
        <v>0</v>
      </c>
      <c r="CE107" s="4">
        <f>IF(ISNUMBER(SEARCH(CE$83,$BY107)),VLOOKUP($BA107&amp;$CU107,Armour!$B$4:$BP$99,67,FALSE),0)</f>
        <v>0</v>
      </c>
      <c r="CF107" s="4">
        <f>IF(ISNUMBER(SEARCH(CF$83,$BY107)),VLOOKUP($BA107&amp;$CU107,Armour!$B$4:$BP$99,67,FALSE),0)</f>
        <v>0</v>
      </c>
      <c r="CG107" s="4">
        <f>IF(ISNUMBER(SEARCH(CG$83,$BY107)),VLOOKUP($BA107&amp;$CU107,Armour!$B$4:$BP$99,67,FALSE),0)</f>
        <v>0</v>
      </c>
      <c r="CH107" s="4">
        <f>IF(ISNUMBER(SEARCH(CH$83,$BY107)),VLOOKUP($BA107&amp;$CU107,Armour!$B$4:$BP$99,67,FALSE),0)</f>
        <v>0</v>
      </c>
      <c r="CI107" s="4">
        <f>IF(ISNUMBER(SEARCH(CI$83,$BY107)),VLOOKUP($BA107&amp;$CU107,Armour!$B$4:$BP$99,67,FALSE),0)</f>
        <v>0</v>
      </c>
      <c r="CJ107" s="4">
        <f>IF(ISNUMBER(SEARCH(CJ$83,$BY107)),VLOOKUP($BA107&amp;$CU107,Armour!$B$4:$BP$99,67,FALSE),0)</f>
        <v>0</v>
      </c>
      <c r="CK107" s="4">
        <f>IF(ISNUMBER(SEARCH(CK$83,$BY107)),VLOOKUP($BA107&amp;$CU107,Armour!$B$4:$BP$99,67,FALSE),0)</f>
        <v>0</v>
      </c>
      <c r="CL107" s="4">
        <f>IF(ISNUMBER(SEARCH(CL$83,$BY107)),VLOOKUP($BA107&amp;$CU107,Armour!$B$4:$BP$99,67,FALSE),0)</f>
        <v>0</v>
      </c>
      <c r="CM107" s="4">
        <f>IF(ISNUMBER(SEARCH(CM$83,$BY107)),VLOOKUP($BA107&amp;$CU107,Armour!$B$4:$BP$99,67,FALSE),0)</f>
        <v>0</v>
      </c>
      <c r="CN107" s="4">
        <f>IF(ISNUMBER(SEARCH(CN$83,$BY107)),VLOOKUP($BA107&amp;$CU107,Armour!$B$4:$BP$99,67,FALSE),0)</f>
        <v>0</v>
      </c>
      <c r="CO107" s="4">
        <f>IF(ISNUMBER(SEARCH(CO$83,$BY107)),VLOOKUP($BA107&amp;$CU107,Armour!$B$4:$BP$99,67,FALSE),0)</f>
        <v>0</v>
      </c>
      <c r="CP107" s="4">
        <f>IF(ISNUMBER(SEARCH(CP$83,$BY107)),VLOOKUP($BA107&amp;$CU107,Armour!$B$4:$BP$99,67,FALSE),0)</f>
        <v>0</v>
      </c>
      <c r="CQ107" s="4">
        <f>IF(ISNUMBER(SEARCH(CQ$83,$BY107)),VLOOKUP($BA107&amp;$CU107,Armour!$B$4:$BP$99,67,FALSE),0)</f>
        <v>0</v>
      </c>
      <c r="CR107" s="4">
        <f>IF(ISNUMBER(SEARCH(CR$83,$BY107)),VLOOKUP($BA107&amp;$CU107,Armour!$B$4:$BP$99,67,FALSE),0)</f>
        <v>0</v>
      </c>
      <c r="CS107" s="4">
        <f>IF(ISNUMBER(SEARCH(CS$83,$BY107)),VLOOKUP($BA107&amp;$CU107,Armour!$B$4:$BP$99,67,FALSE),0)</f>
        <v>0</v>
      </c>
      <c r="CT107" s="4">
        <f>IF(ISNUMBER(SEARCH(CT$83,$BY107)),VLOOKUP($BA107&amp;$CU107,Armour!$B$4:$BP$99,67,FALSE),0)</f>
        <v>0</v>
      </c>
      <c r="CU107" s="4" t="e">
        <f t="shared" si="127"/>
        <v>#N/A</v>
      </c>
      <c r="DH107" s="4" t="str">
        <f t="shared" si="103"/>
        <v/>
      </c>
      <c r="DI107">
        <v>25</v>
      </c>
      <c r="DJ107" s="3" t="str">
        <f t="shared" si="135"/>
        <v/>
      </c>
      <c r="DK107" s="4" t="str">
        <f t="shared" si="145"/>
        <v/>
      </c>
      <c r="DL107" s="4" t="str">
        <f>IFERROR(IF(DK107=0,"",VLOOKUP(DK107,Skills!$N$72:$AF$107,19,FALSE)),"")</f>
        <v/>
      </c>
      <c r="DM107" s="4"/>
      <c r="DN107" s="4" t="str">
        <f t="shared" si="136"/>
        <v/>
      </c>
      <c r="DO107" s="4" t="str">
        <f t="shared" si="152"/>
        <v/>
      </c>
      <c r="DP107" s="4">
        <f t="shared" si="104"/>
        <v>0</v>
      </c>
      <c r="DQ107" s="4">
        <f t="shared" si="137"/>
        <v>2</v>
      </c>
      <c r="DR107" s="4" t="e">
        <f t="shared" si="138"/>
        <v>#N/A</v>
      </c>
      <c r="DS107" s="4">
        <f t="shared" si="139"/>
        <v>25</v>
      </c>
      <c r="DT107" s="4" t="str">
        <f t="shared" si="146"/>
        <v/>
      </c>
      <c r="DU107" s="4" t="str">
        <f t="shared" si="147"/>
        <v/>
      </c>
      <c r="DV107" s="4" t="e">
        <f>VLOOKUP((VLOOKUP((VLOOKUP('Character Creation'!$Z$11,RaceChart,20,FALSE)&amp;" "&amp;VLOOKUP('Character Creation'!$Z$11,RaceChart,21,FALSE)),Charts!$H$2:$J$14,3,FALSE)+DU107),Charts!$J$2:$N$14,5,FALSE)</f>
        <v>#VALUE!</v>
      </c>
      <c r="DW107" s="4" t="e">
        <f>VLOOKUP(DV107,Charts!$N$2:$Q$14,4,FALSE)</f>
        <v>#VALUE!</v>
      </c>
      <c r="DX107" s="4" t="str">
        <f t="shared" si="140"/>
        <v/>
      </c>
      <c r="DY107" s="4" t="str">
        <f t="shared" si="148"/>
        <v/>
      </c>
      <c r="DZ107" s="4" t="str">
        <f t="shared" si="141"/>
        <v/>
      </c>
      <c r="EA107" s="4" t="e">
        <f>ROUNDDOWN(VLOOKUP(DK107,Skills!$N$72:$S$107,6,FALSE)/5,0)</f>
        <v>#N/A</v>
      </c>
      <c r="EB107" s="4" t="str">
        <f t="shared" si="149"/>
        <v/>
      </c>
      <c r="EC107" s="4" t="str">
        <f t="shared" si="142"/>
        <v>+</v>
      </c>
      <c r="ED107" s="4" t="e">
        <f>VLOOKUP(DJ107,'Character Sheet'!$FB$21:$HQ$35,61,FALSE)</f>
        <v>#N/A</v>
      </c>
      <c r="EE107" s="4" t="str">
        <f t="shared" si="150"/>
        <v/>
      </c>
      <c r="EF107" s="4" t="str">
        <f t="shared" si="151"/>
        <v/>
      </c>
      <c r="EG107" s="4" t="e">
        <f>VLOOKUP(DR107,Items!$B$1156:$AA$1282,18,FALSE)</f>
        <v>#N/A</v>
      </c>
      <c r="EH107" s="4">
        <f>VLOOKUP(DJ107,'Character Sheet'!$E$26:$EZ$45,81,FALSE)</f>
        <v>0</v>
      </c>
      <c r="EI107" s="4">
        <f>VLOOKUP(DJ107,'Character Sheet'!$E$26:$EZ$45,89,FALSE)</f>
        <v>0</v>
      </c>
      <c r="EJ107" s="4" t="e">
        <f t="shared" si="143"/>
        <v>#N/A</v>
      </c>
    </row>
    <row r="108" spans="29:140" x14ac:dyDescent="0.25">
      <c r="AC108" s="8" t="str">
        <f>IFERROR(VLOOKUP('Character Creation'!$CI121,Skills!$H$2:$N$620,6,FALSE),"")</f>
        <v/>
      </c>
      <c r="AD108" s="4">
        <f>'Character Creation'!EH121</f>
        <v>0</v>
      </c>
      <c r="AG108">
        <v>107</v>
      </c>
      <c r="AH108" s="4" t="str">
        <f t="shared" si="95"/>
        <v/>
      </c>
      <c r="AI108" t="str">
        <f>IFERROR(VLOOKUP(AG108,Skills!$B$2:$M$620,12,FALSE),"")</f>
        <v/>
      </c>
      <c r="AJ108" s="4" t="str">
        <f>IFERROR(VLOOKUP(AG108,Skills!$B$2:$AF$620,31,FALSE),"")</f>
        <v/>
      </c>
      <c r="AK108" s="4" t="str">
        <f t="shared" si="153"/>
        <v/>
      </c>
      <c r="AL108" s="4">
        <v>0.107</v>
      </c>
      <c r="AM108" s="62" t="str">
        <f t="shared" si="96"/>
        <v/>
      </c>
      <c r="AN108" t="str">
        <f t="shared" ca="1" si="97"/>
        <v/>
      </c>
      <c r="AO108" s="4" t="str">
        <f ca="1">IFERROR(VLOOKUP(AG108,$AH$2:$AJ$451,3,FALSE)&amp;IF(ISNUMBER(SEARCH(", Written",AN108))," -R"&amp;VLOOKUP(AN108,Skills!$M$2:$S$620,7,FALSE),IF(ISNUMBER(SEARCH(", Spoken",AN108))," -R"&amp;VLOOKUP(AN108,Skills!$M$2:$S$620,7,FALSE),"")),"")</f>
        <v/>
      </c>
      <c r="AQ108">
        <v>105</v>
      </c>
      <c r="AR108" s="8">
        <f>'Character Sheet'!FB107</f>
        <v>0</v>
      </c>
      <c r="AS108" s="4" t="str">
        <f t="shared" si="98"/>
        <v/>
      </c>
      <c r="AT108" s="4" t="str">
        <f t="shared" si="99"/>
        <v/>
      </c>
      <c r="AU108" s="4" t="str">
        <f t="shared" si="105"/>
        <v/>
      </c>
      <c r="AV108" s="4" t="str">
        <f t="shared" si="106"/>
        <v/>
      </c>
      <c r="AW108" s="4" t="str">
        <f t="shared" si="107"/>
        <v/>
      </c>
      <c r="AX108" s="4" t="str">
        <f t="shared" si="100"/>
        <v/>
      </c>
      <c r="AY108" s="4" t="str">
        <f t="shared" si="108"/>
        <v/>
      </c>
      <c r="AZ108" s="4" t="str">
        <f t="shared" si="109"/>
        <v/>
      </c>
      <c r="BA108" s="4" t="str">
        <f>IFERROR('Character Sheet'!JK107,"")</f>
        <v/>
      </c>
      <c r="BB108" s="4" t="str">
        <f t="shared" si="101"/>
        <v/>
      </c>
      <c r="BC108" s="4" t="str">
        <f t="shared" si="110"/>
        <v/>
      </c>
      <c r="BD108" s="4" t="str">
        <f t="shared" si="111"/>
        <v/>
      </c>
      <c r="BE108" s="4" t="str">
        <f t="shared" si="112"/>
        <v/>
      </c>
      <c r="BF108" s="4" t="str">
        <f t="shared" si="113"/>
        <v/>
      </c>
      <c r="BG108" s="4" t="str">
        <f t="shared" si="114"/>
        <v/>
      </c>
      <c r="BH108" s="4" t="str">
        <f>IFERROR('Character Sheet'!KC107,"")</f>
        <v/>
      </c>
      <c r="BI108" s="4" t="str">
        <f t="shared" si="102"/>
        <v/>
      </c>
      <c r="BJ108" s="4" t="str">
        <f t="shared" si="115"/>
        <v/>
      </c>
      <c r="BK108" s="4" t="str">
        <f t="shared" si="116"/>
        <v/>
      </c>
      <c r="BL108" s="4" t="str">
        <f t="shared" si="117"/>
        <v/>
      </c>
      <c r="BM108" s="4" t="str">
        <f t="shared" si="118"/>
        <v/>
      </c>
      <c r="BN108" s="4" t="str">
        <f t="shared" si="119"/>
        <v/>
      </c>
      <c r="BO108" s="4" t="str">
        <f t="shared" si="120"/>
        <v/>
      </c>
      <c r="BP108" s="4" t="str">
        <f t="shared" si="121"/>
        <v/>
      </c>
      <c r="BQ108" s="4" t="str">
        <f>IFERROR('Character Sheet'!IQ107+VLOOKUP(BA108,MaterialChart,5,FALSE),"")</f>
        <v/>
      </c>
      <c r="BR108" s="4" t="str">
        <f t="shared" si="122"/>
        <v/>
      </c>
      <c r="BS108" s="4">
        <f t="shared" si="144"/>
        <v>0</v>
      </c>
      <c r="BT108" s="4" t="str">
        <f t="shared" si="123"/>
        <v/>
      </c>
      <c r="BU108" s="4" t="str">
        <f t="shared" si="124"/>
        <v/>
      </c>
      <c r="BV108" s="4" t="str">
        <f t="shared" si="125"/>
        <v/>
      </c>
      <c r="BW108" s="4" t="str">
        <f>IFERROR(ROUNDUP((BE108*(BB108-AT108))+(BL108*(BI108-AX108))+(BT108*(((100+(BD108+IF(BE108=1,0,BK108))+(4*BR108))/100)))*'Character Sheet'!GT107,3),"")</f>
        <v/>
      </c>
      <c r="BX108" s="4" t="str">
        <f t="shared" si="154"/>
        <v/>
      </c>
      <c r="BY108" s="8" t="str">
        <f t="shared" si="126"/>
        <v/>
      </c>
      <c r="BZ108" s="4">
        <f>IF(ISNUMBER(SEARCH(BZ$83,$BY108)),VLOOKUP($BA108&amp;$CU108,Armour!$B$4:$BP$99,67,FALSE),0)</f>
        <v>0</v>
      </c>
      <c r="CA108" s="4">
        <f>IF(ISNUMBER(SEARCH(CA$83,$BY108)),VLOOKUP($BA108&amp;$CU108,Armour!$B$4:$BP$99,67,FALSE),0)</f>
        <v>0</v>
      </c>
      <c r="CB108" s="4">
        <f>IF(ISNUMBER(SEARCH(CB$83,$BY108)),VLOOKUP($BA108&amp;$CU108,Armour!$B$4:$BP$99,67,FALSE),0)</f>
        <v>0</v>
      </c>
      <c r="CC108" s="4">
        <f>IF(ISNUMBER(SEARCH(CC$83,$BY108)),VLOOKUP($BA108&amp;$CU108,Armour!$B$4:$BP$99,67,FALSE),0)</f>
        <v>0</v>
      </c>
      <c r="CD108" s="4">
        <f>IF(ISNUMBER(SEARCH(CD$83,$BY108)),VLOOKUP($BA108&amp;$CU108,Armour!$B$4:$BP$99,67,FALSE),0)</f>
        <v>0</v>
      </c>
      <c r="CE108" s="4">
        <f>IF(ISNUMBER(SEARCH(CE$83,$BY108)),VLOOKUP($BA108&amp;$CU108,Armour!$B$4:$BP$99,67,FALSE),0)</f>
        <v>0</v>
      </c>
      <c r="CF108" s="4">
        <f>IF(ISNUMBER(SEARCH(CF$83,$BY108)),VLOOKUP($BA108&amp;$CU108,Armour!$B$4:$BP$99,67,FALSE),0)</f>
        <v>0</v>
      </c>
      <c r="CG108" s="4">
        <f>IF(ISNUMBER(SEARCH(CG$83,$BY108)),VLOOKUP($BA108&amp;$CU108,Armour!$B$4:$BP$99,67,FALSE),0)</f>
        <v>0</v>
      </c>
      <c r="CH108" s="4">
        <f>IF(ISNUMBER(SEARCH(CH$83,$BY108)),VLOOKUP($BA108&amp;$CU108,Armour!$B$4:$BP$99,67,FALSE),0)</f>
        <v>0</v>
      </c>
      <c r="CI108" s="4">
        <f>IF(ISNUMBER(SEARCH(CI$83,$BY108)),VLOOKUP($BA108&amp;$CU108,Armour!$B$4:$BP$99,67,FALSE),0)</f>
        <v>0</v>
      </c>
      <c r="CJ108" s="4">
        <f>IF(ISNUMBER(SEARCH(CJ$83,$BY108)),VLOOKUP($BA108&amp;$CU108,Armour!$B$4:$BP$99,67,FALSE),0)</f>
        <v>0</v>
      </c>
      <c r="CK108" s="4">
        <f>IF(ISNUMBER(SEARCH(CK$83,$BY108)),VLOOKUP($BA108&amp;$CU108,Armour!$B$4:$BP$99,67,FALSE),0)</f>
        <v>0</v>
      </c>
      <c r="CL108" s="4">
        <f>IF(ISNUMBER(SEARCH(CL$83,$BY108)),VLOOKUP($BA108&amp;$CU108,Armour!$B$4:$BP$99,67,FALSE),0)</f>
        <v>0</v>
      </c>
      <c r="CM108" s="4">
        <f>IF(ISNUMBER(SEARCH(CM$83,$BY108)),VLOOKUP($BA108&amp;$CU108,Armour!$B$4:$BP$99,67,FALSE),0)</f>
        <v>0</v>
      </c>
      <c r="CN108" s="4">
        <f>IF(ISNUMBER(SEARCH(CN$83,$BY108)),VLOOKUP($BA108&amp;$CU108,Armour!$B$4:$BP$99,67,FALSE),0)</f>
        <v>0</v>
      </c>
      <c r="CO108" s="4">
        <f>IF(ISNUMBER(SEARCH(CO$83,$BY108)),VLOOKUP($BA108&amp;$CU108,Armour!$B$4:$BP$99,67,FALSE),0)</f>
        <v>0</v>
      </c>
      <c r="CP108" s="4">
        <f>IF(ISNUMBER(SEARCH(CP$83,$BY108)),VLOOKUP($BA108&amp;$CU108,Armour!$B$4:$BP$99,67,FALSE),0)</f>
        <v>0</v>
      </c>
      <c r="CQ108" s="4">
        <f>IF(ISNUMBER(SEARCH(CQ$83,$BY108)),VLOOKUP($BA108&amp;$CU108,Armour!$B$4:$BP$99,67,FALSE),0)</f>
        <v>0</v>
      </c>
      <c r="CR108" s="4">
        <f>IF(ISNUMBER(SEARCH(CR$83,$BY108)),VLOOKUP($BA108&amp;$CU108,Armour!$B$4:$BP$99,67,FALSE),0)</f>
        <v>0</v>
      </c>
      <c r="CS108" s="4">
        <f>IF(ISNUMBER(SEARCH(CS$83,$BY108)),VLOOKUP($BA108&amp;$CU108,Armour!$B$4:$BP$99,67,FALSE),0)</f>
        <v>0</v>
      </c>
      <c r="CT108" s="4">
        <f>IF(ISNUMBER(SEARCH(CT$83,$BY108)),VLOOKUP($BA108&amp;$CU108,Armour!$B$4:$BP$99,67,FALSE),0)</f>
        <v>0</v>
      </c>
      <c r="CU108" s="4" t="e">
        <f t="shared" si="127"/>
        <v>#N/A</v>
      </c>
      <c r="DH108" s="4" t="str">
        <f t="shared" si="103"/>
        <v/>
      </c>
      <c r="DI108">
        <v>26</v>
      </c>
      <c r="DJ108" s="3" t="str">
        <f t="shared" si="135"/>
        <v/>
      </c>
      <c r="DK108" s="4" t="str">
        <f t="shared" si="145"/>
        <v/>
      </c>
      <c r="DL108" s="4" t="str">
        <f>IFERROR(IF(DK108=0,"",VLOOKUP(DK108,Skills!$N$72:$AF$107,19,FALSE)),"")</f>
        <v/>
      </c>
      <c r="DM108" s="4"/>
      <c r="DN108" s="4" t="str">
        <f t="shared" si="136"/>
        <v/>
      </c>
      <c r="DO108" s="4" t="str">
        <f t="shared" si="152"/>
        <v/>
      </c>
      <c r="DP108" s="4">
        <f t="shared" si="104"/>
        <v>0</v>
      </c>
      <c r="DQ108" s="4">
        <f t="shared" si="137"/>
        <v>2</v>
      </c>
      <c r="DR108" s="4" t="e">
        <f t="shared" si="138"/>
        <v>#N/A</v>
      </c>
      <c r="DS108" s="4">
        <f t="shared" si="139"/>
        <v>26</v>
      </c>
      <c r="DT108" s="4" t="str">
        <f t="shared" si="146"/>
        <v/>
      </c>
      <c r="DU108" s="4" t="str">
        <f t="shared" si="147"/>
        <v/>
      </c>
      <c r="DV108" s="4" t="e">
        <f>VLOOKUP((VLOOKUP((VLOOKUP('Character Creation'!$Z$11,RaceChart,20,FALSE)&amp;" "&amp;VLOOKUP('Character Creation'!$Z$11,RaceChart,21,FALSE)),Charts!$H$2:$J$14,3,FALSE)+DU108),Charts!$J$2:$N$14,5,FALSE)</f>
        <v>#VALUE!</v>
      </c>
      <c r="DW108" s="4" t="e">
        <f>VLOOKUP(DV108,Charts!$N$2:$Q$14,4,FALSE)</f>
        <v>#VALUE!</v>
      </c>
      <c r="DX108" s="4" t="str">
        <f t="shared" si="140"/>
        <v/>
      </c>
      <c r="DY108" s="4" t="str">
        <f t="shared" si="148"/>
        <v/>
      </c>
      <c r="DZ108" s="4" t="str">
        <f t="shared" si="141"/>
        <v/>
      </c>
      <c r="EA108" s="4" t="e">
        <f>ROUNDDOWN(VLOOKUP(DK108,Skills!$N$72:$S$107,6,FALSE)/5,0)</f>
        <v>#N/A</v>
      </c>
      <c r="EB108" s="4" t="str">
        <f t="shared" si="149"/>
        <v/>
      </c>
      <c r="EC108" s="4" t="str">
        <f t="shared" si="142"/>
        <v>+</v>
      </c>
      <c r="ED108" s="4" t="e">
        <f>VLOOKUP(DJ108,'Character Sheet'!$FB$21:$HQ$35,61,FALSE)</f>
        <v>#N/A</v>
      </c>
      <c r="EE108" s="4" t="str">
        <f t="shared" si="150"/>
        <v/>
      </c>
      <c r="EF108" s="4" t="str">
        <f t="shared" si="151"/>
        <v/>
      </c>
      <c r="EG108" s="4" t="e">
        <f>VLOOKUP(DR108,Items!$B$1156:$AA$1282,18,FALSE)</f>
        <v>#N/A</v>
      </c>
      <c r="EH108" s="4">
        <f>VLOOKUP(DJ108,'Character Sheet'!$E$26:$EZ$45,81,FALSE)</f>
        <v>0</v>
      </c>
      <c r="EI108" s="4">
        <f>VLOOKUP(DJ108,'Character Sheet'!$E$26:$EZ$45,89,FALSE)</f>
        <v>0</v>
      </c>
      <c r="EJ108" s="4" t="e">
        <f t="shared" si="143"/>
        <v>#N/A</v>
      </c>
    </row>
    <row r="109" spans="29:140" x14ac:dyDescent="0.25">
      <c r="AC109" s="8" t="str">
        <f>IFERROR(VLOOKUP('Character Creation'!$CI122,Skills!$H$2:$N$620,6,FALSE),"")</f>
        <v/>
      </c>
      <c r="AD109" s="4">
        <f>'Character Creation'!EH122</f>
        <v>0</v>
      </c>
      <c r="AG109">
        <v>108</v>
      </c>
      <c r="AH109" s="4" t="str">
        <f t="shared" si="95"/>
        <v/>
      </c>
      <c r="AI109" t="str">
        <f>IFERROR(VLOOKUP(AG109,Skills!$B$2:$M$620,12,FALSE),"")</f>
        <v/>
      </c>
      <c r="AJ109" s="4" t="str">
        <f>IFERROR(VLOOKUP(AG109,Skills!$B$2:$AF$620,31,FALSE),"")</f>
        <v/>
      </c>
      <c r="AK109" s="4" t="str">
        <f t="shared" si="153"/>
        <v/>
      </c>
      <c r="AL109" s="4">
        <v>0.108</v>
      </c>
      <c r="AM109" s="62" t="str">
        <f t="shared" si="96"/>
        <v/>
      </c>
      <c r="AN109" t="str">
        <f t="shared" ca="1" si="97"/>
        <v/>
      </c>
      <c r="AO109" s="4" t="str">
        <f ca="1">IFERROR(VLOOKUP(AG109,$AH$2:$AJ$451,3,FALSE)&amp;IF(ISNUMBER(SEARCH(", Written",AN109))," -R"&amp;VLOOKUP(AN109,Skills!$M$2:$S$620,7,FALSE),IF(ISNUMBER(SEARCH(", Spoken",AN109))," -R"&amp;VLOOKUP(AN109,Skills!$M$2:$S$620,7,FALSE),"")),"")</f>
        <v/>
      </c>
      <c r="AQ109">
        <v>106</v>
      </c>
      <c r="AR109" s="8">
        <f>'Character Sheet'!FB108</f>
        <v>0</v>
      </c>
      <c r="AS109" s="4" t="str">
        <f t="shared" si="98"/>
        <v/>
      </c>
      <c r="AT109" s="4" t="str">
        <f t="shared" si="99"/>
        <v/>
      </c>
      <c r="AU109" s="4" t="str">
        <f t="shared" si="105"/>
        <v/>
      </c>
      <c r="AV109" s="4" t="str">
        <f t="shared" si="106"/>
        <v/>
      </c>
      <c r="AW109" s="4" t="str">
        <f t="shared" si="107"/>
        <v/>
      </c>
      <c r="AX109" s="4" t="str">
        <f t="shared" si="100"/>
        <v/>
      </c>
      <c r="AY109" s="4" t="str">
        <f t="shared" si="108"/>
        <v/>
      </c>
      <c r="AZ109" s="4" t="str">
        <f t="shared" si="109"/>
        <v/>
      </c>
      <c r="BA109" s="4" t="str">
        <f>IFERROR('Character Sheet'!JK108,"")</f>
        <v/>
      </c>
      <c r="BB109" s="4" t="str">
        <f t="shared" si="101"/>
        <v/>
      </c>
      <c r="BC109" s="4" t="str">
        <f t="shared" si="110"/>
        <v/>
      </c>
      <c r="BD109" s="4" t="str">
        <f t="shared" si="111"/>
        <v/>
      </c>
      <c r="BE109" s="4" t="str">
        <f t="shared" si="112"/>
        <v/>
      </c>
      <c r="BF109" s="4" t="str">
        <f t="shared" si="113"/>
        <v/>
      </c>
      <c r="BG109" s="4" t="str">
        <f t="shared" si="114"/>
        <v/>
      </c>
      <c r="BH109" s="4" t="str">
        <f>IFERROR('Character Sheet'!KC108,"")</f>
        <v/>
      </c>
      <c r="BI109" s="4" t="str">
        <f t="shared" si="102"/>
        <v/>
      </c>
      <c r="BJ109" s="4" t="str">
        <f t="shared" si="115"/>
        <v/>
      </c>
      <c r="BK109" s="4" t="str">
        <f t="shared" si="116"/>
        <v/>
      </c>
      <c r="BL109" s="4" t="str">
        <f t="shared" si="117"/>
        <v/>
      </c>
      <c r="BM109" s="4" t="str">
        <f t="shared" si="118"/>
        <v/>
      </c>
      <c r="BN109" s="4" t="str">
        <f t="shared" si="119"/>
        <v/>
      </c>
      <c r="BO109" s="4" t="str">
        <f t="shared" si="120"/>
        <v/>
      </c>
      <c r="BP109" s="4" t="str">
        <f t="shared" si="121"/>
        <v/>
      </c>
      <c r="BQ109" s="4" t="str">
        <f>IFERROR('Character Sheet'!IQ108+VLOOKUP(BA109,MaterialChart,5,FALSE),"")</f>
        <v/>
      </c>
      <c r="BR109" s="4" t="str">
        <f t="shared" si="122"/>
        <v/>
      </c>
      <c r="BS109" s="4">
        <f t="shared" si="144"/>
        <v>0</v>
      </c>
      <c r="BT109" s="4" t="str">
        <f t="shared" si="123"/>
        <v/>
      </c>
      <c r="BU109" s="4" t="str">
        <f t="shared" si="124"/>
        <v/>
      </c>
      <c r="BV109" s="4" t="str">
        <f t="shared" si="125"/>
        <v/>
      </c>
      <c r="BW109" s="4" t="str">
        <f>IFERROR(ROUNDUP((BE109*(BB109-AT109))+(BL109*(BI109-AX109))+(BT109*(((100+(BD109+IF(BE109=1,0,BK109))+(4*BR109))/100)))*'Character Sheet'!GT108,3),"")</f>
        <v/>
      </c>
      <c r="BX109" s="4" t="str">
        <f t="shared" si="154"/>
        <v/>
      </c>
      <c r="BY109" s="8" t="str">
        <f t="shared" si="126"/>
        <v/>
      </c>
      <c r="BZ109" s="4">
        <f>IF(ISNUMBER(SEARCH(BZ$83,$BY109)),VLOOKUP($BA109&amp;$CU109,Armour!$B$4:$BP$99,67,FALSE),0)</f>
        <v>0</v>
      </c>
      <c r="CA109" s="4">
        <f>IF(ISNUMBER(SEARCH(CA$83,$BY109)),VLOOKUP($BA109&amp;$CU109,Armour!$B$4:$BP$99,67,FALSE),0)</f>
        <v>0</v>
      </c>
      <c r="CB109" s="4">
        <f>IF(ISNUMBER(SEARCH(CB$83,$BY109)),VLOOKUP($BA109&amp;$CU109,Armour!$B$4:$BP$99,67,FALSE),0)</f>
        <v>0</v>
      </c>
      <c r="CC109" s="4">
        <f>IF(ISNUMBER(SEARCH(CC$83,$BY109)),VLOOKUP($BA109&amp;$CU109,Armour!$B$4:$BP$99,67,FALSE),0)</f>
        <v>0</v>
      </c>
      <c r="CD109" s="4">
        <f>IF(ISNUMBER(SEARCH(CD$83,$BY109)),VLOOKUP($BA109&amp;$CU109,Armour!$B$4:$BP$99,67,FALSE),0)</f>
        <v>0</v>
      </c>
      <c r="CE109" s="4">
        <f>IF(ISNUMBER(SEARCH(CE$83,$BY109)),VLOOKUP($BA109&amp;$CU109,Armour!$B$4:$BP$99,67,FALSE),0)</f>
        <v>0</v>
      </c>
      <c r="CF109" s="4">
        <f>IF(ISNUMBER(SEARCH(CF$83,$BY109)),VLOOKUP($BA109&amp;$CU109,Armour!$B$4:$BP$99,67,FALSE),0)</f>
        <v>0</v>
      </c>
      <c r="CG109" s="4">
        <f>IF(ISNUMBER(SEARCH(CG$83,$BY109)),VLOOKUP($BA109&amp;$CU109,Armour!$B$4:$BP$99,67,FALSE),0)</f>
        <v>0</v>
      </c>
      <c r="CH109" s="4">
        <f>IF(ISNUMBER(SEARCH(CH$83,$BY109)),VLOOKUP($BA109&amp;$CU109,Armour!$B$4:$BP$99,67,FALSE),0)</f>
        <v>0</v>
      </c>
      <c r="CI109" s="4">
        <f>IF(ISNUMBER(SEARCH(CI$83,$BY109)),VLOOKUP($BA109&amp;$CU109,Armour!$B$4:$BP$99,67,FALSE),0)</f>
        <v>0</v>
      </c>
      <c r="CJ109" s="4">
        <f>IF(ISNUMBER(SEARCH(CJ$83,$BY109)),VLOOKUP($BA109&amp;$CU109,Armour!$B$4:$BP$99,67,FALSE),0)</f>
        <v>0</v>
      </c>
      <c r="CK109" s="4">
        <f>IF(ISNUMBER(SEARCH(CK$83,$BY109)),VLOOKUP($BA109&amp;$CU109,Armour!$B$4:$BP$99,67,FALSE),0)</f>
        <v>0</v>
      </c>
      <c r="CL109" s="4">
        <f>IF(ISNUMBER(SEARCH(CL$83,$BY109)),VLOOKUP($BA109&amp;$CU109,Armour!$B$4:$BP$99,67,FALSE),0)</f>
        <v>0</v>
      </c>
      <c r="CM109" s="4">
        <f>IF(ISNUMBER(SEARCH(CM$83,$BY109)),VLOOKUP($BA109&amp;$CU109,Armour!$B$4:$BP$99,67,FALSE),0)</f>
        <v>0</v>
      </c>
      <c r="CN109" s="4">
        <f>IF(ISNUMBER(SEARCH(CN$83,$BY109)),VLOOKUP($BA109&amp;$CU109,Armour!$B$4:$BP$99,67,FALSE),0)</f>
        <v>0</v>
      </c>
      <c r="CO109" s="4">
        <f>IF(ISNUMBER(SEARCH(CO$83,$BY109)),VLOOKUP($BA109&amp;$CU109,Armour!$B$4:$BP$99,67,FALSE),0)</f>
        <v>0</v>
      </c>
      <c r="CP109" s="4">
        <f>IF(ISNUMBER(SEARCH(CP$83,$BY109)),VLOOKUP($BA109&amp;$CU109,Armour!$B$4:$BP$99,67,FALSE),0)</f>
        <v>0</v>
      </c>
      <c r="CQ109" s="4">
        <f>IF(ISNUMBER(SEARCH(CQ$83,$BY109)),VLOOKUP($BA109&amp;$CU109,Armour!$B$4:$BP$99,67,FALSE),0)</f>
        <v>0</v>
      </c>
      <c r="CR109" s="4">
        <f>IF(ISNUMBER(SEARCH(CR$83,$BY109)),VLOOKUP($BA109&amp;$CU109,Armour!$B$4:$BP$99,67,FALSE),0)</f>
        <v>0</v>
      </c>
      <c r="CS109" s="4">
        <f>IF(ISNUMBER(SEARCH(CS$83,$BY109)),VLOOKUP($BA109&amp;$CU109,Armour!$B$4:$BP$99,67,FALSE),0)</f>
        <v>0</v>
      </c>
      <c r="CT109" s="4">
        <f>IF(ISNUMBER(SEARCH(CT$83,$BY109)),VLOOKUP($BA109&amp;$CU109,Armour!$B$4:$BP$99,67,FALSE),0)</f>
        <v>0</v>
      </c>
      <c r="CU109" s="4" t="e">
        <f t="shared" si="127"/>
        <v>#N/A</v>
      </c>
      <c r="DH109" s="4" t="str">
        <f t="shared" si="103"/>
        <v/>
      </c>
      <c r="DI109">
        <v>27</v>
      </c>
      <c r="DJ109" s="3" t="str">
        <f t="shared" si="135"/>
        <v/>
      </c>
      <c r="DK109" s="4" t="str">
        <f t="shared" si="145"/>
        <v/>
      </c>
      <c r="DL109" s="4" t="str">
        <f>IFERROR(IF(DK109=0,"",VLOOKUP(DK109,Skills!$N$72:$AF$107,19,FALSE)),"")</f>
        <v/>
      </c>
      <c r="DM109" s="4"/>
      <c r="DN109" s="4" t="str">
        <f t="shared" si="136"/>
        <v/>
      </c>
      <c r="DO109" s="4" t="str">
        <f t="shared" si="152"/>
        <v/>
      </c>
      <c r="DP109" s="4">
        <f t="shared" si="104"/>
        <v>0</v>
      </c>
      <c r="DQ109" s="4">
        <f t="shared" si="137"/>
        <v>2</v>
      </c>
      <c r="DR109" s="4" t="e">
        <f t="shared" si="138"/>
        <v>#N/A</v>
      </c>
      <c r="DS109" s="4">
        <f t="shared" si="139"/>
        <v>27</v>
      </c>
      <c r="DT109" s="4" t="str">
        <f t="shared" si="146"/>
        <v/>
      </c>
      <c r="DU109" s="4" t="str">
        <f t="shared" si="147"/>
        <v/>
      </c>
      <c r="DV109" s="4" t="e">
        <f>VLOOKUP((VLOOKUP((VLOOKUP('Character Creation'!$Z$11,RaceChart,20,FALSE)&amp;" "&amp;VLOOKUP('Character Creation'!$Z$11,RaceChart,21,FALSE)),Charts!$H$2:$J$14,3,FALSE)+DU109),Charts!$J$2:$N$14,5,FALSE)</f>
        <v>#VALUE!</v>
      </c>
      <c r="DW109" s="4" t="e">
        <f>VLOOKUP(DV109,Charts!$N$2:$Q$14,4,FALSE)</f>
        <v>#VALUE!</v>
      </c>
      <c r="DX109" s="4" t="str">
        <f t="shared" si="140"/>
        <v/>
      </c>
      <c r="DY109" s="4" t="str">
        <f t="shared" si="148"/>
        <v/>
      </c>
      <c r="DZ109" s="4" t="str">
        <f t="shared" si="141"/>
        <v/>
      </c>
      <c r="EA109" s="4" t="e">
        <f>ROUNDDOWN(VLOOKUP(DK109,Skills!$N$72:$S$107,6,FALSE)/5,0)</f>
        <v>#N/A</v>
      </c>
      <c r="EB109" s="4" t="str">
        <f t="shared" si="149"/>
        <v/>
      </c>
      <c r="EC109" s="4" t="str">
        <f t="shared" si="142"/>
        <v>+</v>
      </c>
      <c r="ED109" s="4" t="e">
        <f>VLOOKUP(DJ109,'Character Sheet'!$FB$21:$HQ$35,61,FALSE)</f>
        <v>#N/A</v>
      </c>
      <c r="EE109" s="4" t="str">
        <f t="shared" si="150"/>
        <v/>
      </c>
      <c r="EF109" s="4" t="str">
        <f t="shared" si="151"/>
        <v/>
      </c>
      <c r="EG109" s="4" t="e">
        <f>VLOOKUP(DR109,Items!$B$1156:$AA$1282,18,FALSE)</f>
        <v>#N/A</v>
      </c>
      <c r="EH109" s="4">
        <f>VLOOKUP(DJ109,'Character Sheet'!$E$26:$EZ$45,81,FALSE)</f>
        <v>0</v>
      </c>
      <c r="EI109" s="4">
        <f>VLOOKUP(DJ109,'Character Sheet'!$E$26:$EZ$45,89,FALSE)</f>
        <v>0</v>
      </c>
      <c r="EJ109" s="4" t="e">
        <f t="shared" si="143"/>
        <v>#N/A</v>
      </c>
    </row>
    <row r="110" spans="29:140" x14ac:dyDescent="0.25">
      <c r="AC110" s="8" t="str">
        <f>IFERROR(VLOOKUP('Character Creation'!$CI123,Skills!$H$2:$N$620,6,FALSE),"")</f>
        <v/>
      </c>
      <c r="AD110" s="4">
        <f>'Character Creation'!EH123</f>
        <v>0</v>
      </c>
      <c r="AG110">
        <v>109</v>
      </c>
      <c r="AH110" s="4" t="str">
        <f t="shared" si="95"/>
        <v/>
      </c>
      <c r="AI110" t="str">
        <f>IFERROR(VLOOKUP(AG110,Skills!$B$2:$M$620,12,FALSE),"")</f>
        <v/>
      </c>
      <c r="AJ110" s="4" t="str">
        <f>IFERROR(VLOOKUP(AG110,Skills!$B$2:$AF$620,31,FALSE),"")</f>
        <v/>
      </c>
      <c r="AK110" s="4" t="str">
        <f t="shared" si="153"/>
        <v/>
      </c>
      <c r="AL110" s="4">
        <v>0.109</v>
      </c>
      <c r="AM110" s="62" t="str">
        <f t="shared" si="96"/>
        <v/>
      </c>
      <c r="AN110" t="str">
        <f t="shared" ca="1" si="97"/>
        <v/>
      </c>
      <c r="AO110" s="4" t="str">
        <f ca="1">IFERROR(VLOOKUP(AG110,$AH$2:$AJ$451,3,FALSE)&amp;IF(ISNUMBER(SEARCH(", Written",AN110))," -R"&amp;VLOOKUP(AN110,Skills!$M$2:$S$620,7,FALSE),IF(ISNUMBER(SEARCH(", Spoken",AN110))," -R"&amp;VLOOKUP(AN110,Skills!$M$2:$S$620,7,FALSE),"")),"")</f>
        <v/>
      </c>
      <c r="AQ110">
        <v>107</v>
      </c>
      <c r="AR110" s="8">
        <f>'Character Sheet'!FB109</f>
        <v>0</v>
      </c>
      <c r="AS110" s="4" t="str">
        <f t="shared" si="98"/>
        <v/>
      </c>
      <c r="AT110" s="4" t="str">
        <f t="shared" si="99"/>
        <v/>
      </c>
      <c r="AU110" s="4" t="str">
        <f t="shared" ref="AU110:AU116" si="155">IFERROR(VLOOKUP(AS110,MaterialChart,2,FALSE),"")</f>
        <v/>
      </c>
      <c r="AV110" s="4" t="str">
        <f t="shared" ref="AV110:AV116" si="156">IFERROR(VLOOKUP(AS110,MaterialChart,3,FALSE),"")</f>
        <v/>
      </c>
      <c r="AW110" s="4" t="str">
        <f t="shared" ref="AW110:AW116" si="157">IFERROR(VLOOKUP(AR110,ItemChart,7,FALSE),"")</f>
        <v/>
      </c>
      <c r="AX110" s="4" t="str">
        <f t="shared" si="100"/>
        <v/>
      </c>
      <c r="AY110" s="4" t="str">
        <f t="shared" ref="AY110:AY116" si="158">IFERROR(VLOOKUP(AW110,MaterialChart,2,FALSE),"")</f>
        <v/>
      </c>
      <c r="AZ110" s="4" t="str">
        <f t="shared" ref="AZ110:AZ116" si="159">IFERROR(VLOOKUP(AW110,MaterialChart,3,FALSE),"")</f>
        <v/>
      </c>
      <c r="BA110" s="4" t="str">
        <f>IFERROR('Character Sheet'!JK109,"")</f>
        <v/>
      </c>
      <c r="BB110" s="4" t="str">
        <f t="shared" si="101"/>
        <v/>
      </c>
      <c r="BC110" s="4" t="str">
        <f t="shared" ref="BC110:BC116" si="160">IFERROR(VLOOKUP(BA110,MaterialChart,4,FALSE),"")</f>
        <v/>
      </c>
      <c r="BD110" s="4" t="str">
        <f t="shared" si="111"/>
        <v/>
      </c>
      <c r="BE110" s="4" t="str">
        <f t="shared" ref="BE110:BE116" si="161">IFERROR(BU110*BO110,"")</f>
        <v/>
      </c>
      <c r="BF110" s="4" t="str">
        <f t="shared" ref="BF110:BF116" si="162">IFERROR(VLOOKUP(BA110,MaterialChart,2,FALSE),"")</f>
        <v/>
      </c>
      <c r="BG110" s="4" t="str">
        <f t="shared" ref="BG110:BG116" si="163">IFERROR(VLOOKUP(BA110,MaterialChart,3,FALSE),"")</f>
        <v/>
      </c>
      <c r="BH110" s="4" t="str">
        <f>IFERROR('Character Sheet'!KC109,"")</f>
        <v/>
      </c>
      <c r="BI110" s="4" t="str">
        <f t="shared" si="102"/>
        <v/>
      </c>
      <c r="BJ110" s="4" t="str">
        <f t="shared" ref="BJ110:BJ116" si="164">IFERROR(VLOOKUP(BH110,MaterialChart,4,FALSE),"")</f>
        <v/>
      </c>
      <c r="BK110" s="4" t="str">
        <f t="shared" si="116"/>
        <v/>
      </c>
      <c r="BL110" s="4" t="str">
        <f t="shared" ref="BL110:BL116" si="165">IFERROR(BU110-BE110,"")</f>
        <v/>
      </c>
      <c r="BM110" s="4" t="str">
        <f t="shared" ref="BM110:BM116" si="166">IFERROR(VLOOKUP(BH110,MaterialChart,2,FALSE),"")</f>
        <v/>
      </c>
      <c r="BN110" s="4" t="str">
        <f t="shared" ref="BN110:BN116" si="167">IFERROR(VLOOKUP(BH110,MaterialChart,3,FALSE),"")</f>
        <v/>
      </c>
      <c r="BO110" s="4" t="str">
        <f t="shared" ref="BO110:BO116" si="168">IFERROR(VLOOKUP(AR110,ItemChart,6,FALSE),"")</f>
        <v/>
      </c>
      <c r="BP110" s="4" t="str">
        <f t="shared" ref="BP110:BP116" si="169">IFERROR((VLOOKUP(AS110,MaterialChart,5,FALSE)),"")</f>
        <v/>
      </c>
      <c r="BQ110" s="4" t="str">
        <f>IFERROR('Character Sheet'!IQ109+VLOOKUP(BA110,MaterialChart,5,FALSE),"")</f>
        <v/>
      </c>
      <c r="BR110" s="4" t="str">
        <f t="shared" ref="BR110:BR116" si="170">IFERROR(BQ110-BP110,"")</f>
        <v/>
      </c>
      <c r="BS110" s="4">
        <f t="shared" si="144"/>
        <v>0</v>
      </c>
      <c r="BT110" s="4" t="str">
        <f t="shared" ref="BT110:BT116" si="171">IFERROR(VLOOKUP(AR110,ItemChart,2,FALSE),"")</f>
        <v/>
      </c>
      <c r="BU110" s="4" t="str">
        <f t="shared" ref="BU110:BU116" si="172">IFERROR(VLOOKUP(AR110,ItemChart,3,FALSE),"")</f>
        <v/>
      </c>
      <c r="BV110" s="4" t="str">
        <f t="shared" ref="BV110:BV116" si="173">IFERROR((((BU110*BO110)/AU110)*BF110)+(((BU110-(BU110*BO110))/AY110)*BM110),"")</f>
        <v/>
      </c>
      <c r="BW110" s="4" t="str">
        <f>IFERROR(ROUNDUP((BE110*(BB110-AT110))+(BL110*(BI110-AX110))+(BT110*(((100+(BD110+IF(BE110=1,0,BK110))+(4*BR110))/100)))*'Character Sheet'!GT109,3),"")</f>
        <v/>
      </c>
      <c r="BX110" s="4" t="str">
        <f t="shared" si="154"/>
        <v/>
      </c>
      <c r="BY110" s="8" t="str">
        <f t="shared" si="126"/>
        <v/>
      </c>
      <c r="BZ110" s="4">
        <f>IF(ISNUMBER(SEARCH(BZ$83,$BY110)),VLOOKUP($BA110&amp;$CU110,Armour!$B$4:$BP$99,67,FALSE),0)</f>
        <v>0</v>
      </c>
      <c r="CA110" s="4">
        <f>IF(ISNUMBER(SEARCH(CA$83,$BY110)),VLOOKUP($BA110&amp;$CU110,Armour!$B$4:$BP$99,67,FALSE),0)</f>
        <v>0</v>
      </c>
      <c r="CB110" s="4">
        <f>IF(ISNUMBER(SEARCH(CB$83,$BY110)),VLOOKUP($BA110&amp;$CU110,Armour!$B$4:$BP$99,67,FALSE),0)</f>
        <v>0</v>
      </c>
      <c r="CC110" s="4">
        <f>IF(ISNUMBER(SEARCH(CC$83,$BY110)),VLOOKUP($BA110&amp;$CU110,Armour!$B$4:$BP$99,67,FALSE),0)</f>
        <v>0</v>
      </c>
      <c r="CD110" s="4">
        <f>IF(ISNUMBER(SEARCH(CD$83,$BY110)),VLOOKUP($BA110&amp;$CU110,Armour!$B$4:$BP$99,67,FALSE),0)</f>
        <v>0</v>
      </c>
      <c r="CE110" s="4">
        <f>IF(ISNUMBER(SEARCH(CE$83,$BY110)),VLOOKUP($BA110&amp;$CU110,Armour!$B$4:$BP$99,67,FALSE),0)</f>
        <v>0</v>
      </c>
      <c r="CF110" s="4">
        <f>IF(ISNUMBER(SEARCH(CF$83,$BY110)),VLOOKUP($BA110&amp;$CU110,Armour!$B$4:$BP$99,67,FALSE),0)</f>
        <v>0</v>
      </c>
      <c r="CG110" s="4">
        <f>IF(ISNUMBER(SEARCH(CG$83,$BY110)),VLOOKUP($BA110&amp;$CU110,Armour!$B$4:$BP$99,67,FALSE),0)</f>
        <v>0</v>
      </c>
      <c r="CH110" s="4">
        <f>IF(ISNUMBER(SEARCH(CH$83,$BY110)),VLOOKUP($BA110&amp;$CU110,Armour!$B$4:$BP$99,67,FALSE),0)</f>
        <v>0</v>
      </c>
      <c r="CI110" s="4">
        <f>IF(ISNUMBER(SEARCH(CI$83,$BY110)),VLOOKUP($BA110&amp;$CU110,Armour!$B$4:$BP$99,67,FALSE),0)</f>
        <v>0</v>
      </c>
      <c r="CJ110" s="4">
        <f>IF(ISNUMBER(SEARCH(CJ$83,$BY110)),VLOOKUP($BA110&amp;$CU110,Armour!$B$4:$BP$99,67,FALSE),0)</f>
        <v>0</v>
      </c>
      <c r="CK110" s="4">
        <f>IF(ISNUMBER(SEARCH(CK$83,$BY110)),VLOOKUP($BA110&amp;$CU110,Armour!$B$4:$BP$99,67,FALSE),0)</f>
        <v>0</v>
      </c>
      <c r="CL110" s="4">
        <f>IF(ISNUMBER(SEARCH(CL$83,$BY110)),VLOOKUP($BA110&amp;$CU110,Armour!$B$4:$BP$99,67,FALSE),0)</f>
        <v>0</v>
      </c>
      <c r="CM110" s="4">
        <f>IF(ISNUMBER(SEARCH(CM$83,$BY110)),VLOOKUP($BA110&amp;$CU110,Armour!$B$4:$BP$99,67,FALSE),0)</f>
        <v>0</v>
      </c>
      <c r="CN110" s="4">
        <f>IF(ISNUMBER(SEARCH(CN$83,$BY110)),VLOOKUP($BA110&amp;$CU110,Armour!$B$4:$BP$99,67,FALSE),0)</f>
        <v>0</v>
      </c>
      <c r="CO110" s="4">
        <f>IF(ISNUMBER(SEARCH(CO$83,$BY110)),VLOOKUP($BA110&amp;$CU110,Armour!$B$4:$BP$99,67,FALSE),0)</f>
        <v>0</v>
      </c>
      <c r="CP110" s="4">
        <f>IF(ISNUMBER(SEARCH(CP$83,$BY110)),VLOOKUP($BA110&amp;$CU110,Armour!$B$4:$BP$99,67,FALSE),0)</f>
        <v>0</v>
      </c>
      <c r="CQ110" s="4">
        <f>IF(ISNUMBER(SEARCH(CQ$83,$BY110)),VLOOKUP($BA110&amp;$CU110,Armour!$B$4:$BP$99,67,FALSE),0)</f>
        <v>0</v>
      </c>
      <c r="CR110" s="4">
        <f>IF(ISNUMBER(SEARCH(CR$83,$BY110)),VLOOKUP($BA110&amp;$CU110,Armour!$B$4:$BP$99,67,FALSE),0)</f>
        <v>0</v>
      </c>
      <c r="CS110" s="4">
        <f>IF(ISNUMBER(SEARCH(CS$83,$BY110)),VLOOKUP($BA110&amp;$CU110,Armour!$B$4:$BP$99,67,FALSE),0)</f>
        <v>0</v>
      </c>
      <c r="CT110" s="4">
        <f>IF(ISNUMBER(SEARCH(CT$83,$BY110)),VLOOKUP($BA110&amp;$CU110,Armour!$B$4:$BP$99,67,FALSE),0)</f>
        <v>0</v>
      </c>
      <c r="CU110" s="4" t="e">
        <f t="shared" si="127"/>
        <v>#N/A</v>
      </c>
      <c r="DH110" s="4" t="str">
        <f t="shared" si="103"/>
        <v/>
      </c>
      <c r="DI110">
        <v>28</v>
      </c>
      <c r="DJ110" s="3" t="str">
        <f t="shared" si="135"/>
        <v/>
      </c>
      <c r="DK110" s="4" t="str">
        <f t="shared" si="145"/>
        <v/>
      </c>
      <c r="DL110" s="4" t="str">
        <f>IFERROR(IF(DK110=0,"",VLOOKUP(DK110,Skills!$N$72:$AF$107,19,FALSE)),"")</f>
        <v/>
      </c>
      <c r="DM110" s="4"/>
      <c r="DN110" s="4" t="str">
        <f t="shared" si="136"/>
        <v/>
      </c>
      <c r="DO110" s="4" t="str">
        <f t="shared" si="152"/>
        <v/>
      </c>
      <c r="DP110" s="4">
        <f t="shared" si="104"/>
        <v>0</v>
      </c>
      <c r="DQ110" s="4">
        <f t="shared" si="137"/>
        <v>2</v>
      </c>
      <c r="DR110" s="4" t="e">
        <f t="shared" si="138"/>
        <v>#N/A</v>
      </c>
      <c r="DS110" s="4">
        <f t="shared" si="139"/>
        <v>28</v>
      </c>
      <c r="DT110" s="4" t="str">
        <f t="shared" si="146"/>
        <v/>
      </c>
      <c r="DU110" s="4" t="str">
        <f t="shared" si="147"/>
        <v/>
      </c>
      <c r="DV110" s="4" t="e">
        <f>VLOOKUP((VLOOKUP((VLOOKUP('Character Creation'!$Z$11,RaceChart,20,FALSE)&amp;" "&amp;VLOOKUP('Character Creation'!$Z$11,RaceChart,21,FALSE)),Charts!$H$2:$J$14,3,FALSE)+DU110),Charts!$J$2:$N$14,5,FALSE)</f>
        <v>#VALUE!</v>
      </c>
      <c r="DW110" s="4" t="e">
        <f>VLOOKUP(DV110,Charts!$N$2:$Q$14,4,FALSE)</f>
        <v>#VALUE!</v>
      </c>
      <c r="DX110" s="4" t="str">
        <f t="shared" si="140"/>
        <v/>
      </c>
      <c r="DY110" s="4" t="str">
        <f t="shared" si="148"/>
        <v/>
      </c>
      <c r="DZ110" s="4" t="str">
        <f t="shared" si="141"/>
        <v/>
      </c>
      <c r="EA110" s="4" t="e">
        <f>ROUNDDOWN(VLOOKUP(DK110,Skills!$N$72:$S$107,6,FALSE)/5,0)</f>
        <v>#N/A</v>
      </c>
      <c r="EB110" s="4" t="str">
        <f t="shared" si="149"/>
        <v/>
      </c>
      <c r="EC110" s="4" t="str">
        <f t="shared" si="142"/>
        <v>+</v>
      </c>
      <c r="ED110" s="4" t="e">
        <f>VLOOKUP(DJ110,'Character Sheet'!$FB$21:$HQ$35,61,FALSE)</f>
        <v>#N/A</v>
      </c>
      <c r="EE110" s="4" t="str">
        <f t="shared" si="150"/>
        <v/>
      </c>
      <c r="EF110" s="4" t="str">
        <f t="shared" si="151"/>
        <v/>
      </c>
      <c r="EG110" s="4" t="e">
        <f>VLOOKUP(DR110,Items!$B$1156:$AA$1282,18,FALSE)</f>
        <v>#N/A</v>
      </c>
      <c r="EH110" s="4">
        <f>VLOOKUP(DJ110,'Character Sheet'!$E$26:$EZ$45,81,FALSE)</f>
        <v>0</v>
      </c>
      <c r="EI110" s="4">
        <f>VLOOKUP(DJ110,'Character Sheet'!$E$26:$EZ$45,89,FALSE)</f>
        <v>0</v>
      </c>
      <c r="EJ110" s="4" t="e">
        <f t="shared" si="143"/>
        <v>#N/A</v>
      </c>
    </row>
    <row r="111" spans="29:140" x14ac:dyDescent="0.25">
      <c r="AC111" s="8" t="str">
        <f>IFERROR(VLOOKUP('Character Creation'!$CI124,Skills!$H$2:$N$620,6,FALSE),"")</f>
        <v/>
      </c>
      <c r="AD111" s="4">
        <f>'Character Creation'!EH124</f>
        <v>0</v>
      </c>
      <c r="AG111">
        <v>110</v>
      </c>
      <c r="AH111" s="4" t="str">
        <f t="shared" si="95"/>
        <v/>
      </c>
      <c r="AI111" t="str">
        <f>IFERROR(VLOOKUP(AG111,Skills!$B$2:$M$620,12,FALSE),"")</f>
        <v/>
      </c>
      <c r="AJ111" s="4" t="str">
        <f>IFERROR(VLOOKUP(AG111,Skills!$B$2:$AF$620,31,FALSE),"")</f>
        <v/>
      </c>
      <c r="AK111" s="4" t="str">
        <f t="shared" si="153"/>
        <v/>
      </c>
      <c r="AL111" s="4">
        <v>0.11</v>
      </c>
      <c r="AM111" s="62" t="str">
        <f t="shared" si="96"/>
        <v/>
      </c>
      <c r="AN111" t="str">
        <f t="shared" ca="1" si="97"/>
        <v/>
      </c>
      <c r="AO111" s="4" t="str">
        <f ca="1">IFERROR(VLOOKUP(AG111,$AH$2:$AJ$451,3,FALSE)&amp;IF(ISNUMBER(SEARCH(", Written",AN111))," -R"&amp;VLOOKUP(AN111,Skills!$M$2:$S$620,7,FALSE),IF(ISNUMBER(SEARCH(", Spoken",AN111))," -R"&amp;VLOOKUP(AN111,Skills!$M$2:$S$620,7,FALSE),"")),"")</f>
        <v/>
      </c>
      <c r="AQ111">
        <v>108</v>
      </c>
      <c r="AR111" s="8">
        <f>'Character Sheet'!FB110</f>
        <v>0</v>
      </c>
      <c r="AS111" s="4" t="str">
        <f t="shared" si="98"/>
        <v/>
      </c>
      <c r="AT111" s="4" t="str">
        <f t="shared" si="99"/>
        <v/>
      </c>
      <c r="AU111" s="4" t="str">
        <f t="shared" si="155"/>
        <v/>
      </c>
      <c r="AV111" s="4" t="str">
        <f t="shared" si="156"/>
        <v/>
      </c>
      <c r="AW111" s="4" t="str">
        <f t="shared" si="157"/>
        <v/>
      </c>
      <c r="AX111" s="4" t="str">
        <f t="shared" si="100"/>
        <v/>
      </c>
      <c r="AY111" s="4" t="str">
        <f t="shared" si="158"/>
        <v/>
      </c>
      <c r="AZ111" s="4" t="str">
        <f t="shared" si="159"/>
        <v/>
      </c>
      <c r="BA111" s="4" t="str">
        <f>IFERROR('Character Sheet'!JK110,"")</f>
        <v/>
      </c>
      <c r="BB111" s="4" t="str">
        <f t="shared" si="101"/>
        <v/>
      </c>
      <c r="BC111" s="4" t="str">
        <f t="shared" si="160"/>
        <v/>
      </c>
      <c r="BD111" s="4" t="str">
        <f t="shared" si="111"/>
        <v/>
      </c>
      <c r="BE111" s="4" t="str">
        <f t="shared" si="161"/>
        <v/>
      </c>
      <c r="BF111" s="4" t="str">
        <f t="shared" si="162"/>
        <v/>
      </c>
      <c r="BG111" s="4" t="str">
        <f t="shared" si="163"/>
        <v/>
      </c>
      <c r="BH111" s="4" t="str">
        <f>IFERROR('Character Sheet'!KC110,"")</f>
        <v/>
      </c>
      <c r="BI111" s="4" t="str">
        <f t="shared" si="102"/>
        <v/>
      </c>
      <c r="BJ111" s="4" t="str">
        <f t="shared" si="164"/>
        <v/>
      </c>
      <c r="BK111" s="4" t="str">
        <f t="shared" si="116"/>
        <v/>
      </c>
      <c r="BL111" s="4" t="str">
        <f t="shared" si="165"/>
        <v/>
      </c>
      <c r="BM111" s="4" t="str">
        <f t="shared" si="166"/>
        <v/>
      </c>
      <c r="BN111" s="4" t="str">
        <f t="shared" si="167"/>
        <v/>
      </c>
      <c r="BO111" s="4" t="str">
        <f t="shared" si="168"/>
        <v/>
      </c>
      <c r="BP111" s="4" t="str">
        <f t="shared" si="169"/>
        <v/>
      </c>
      <c r="BQ111" s="4" t="str">
        <f>IFERROR('Character Sheet'!IQ110+VLOOKUP(BA111,MaterialChart,5,FALSE),"")</f>
        <v/>
      </c>
      <c r="BR111" s="4" t="str">
        <f t="shared" si="170"/>
        <v/>
      </c>
      <c r="BS111" s="4">
        <f t="shared" si="144"/>
        <v>0</v>
      </c>
      <c r="BT111" s="4" t="str">
        <f t="shared" si="171"/>
        <v/>
      </c>
      <c r="BU111" s="4" t="str">
        <f t="shared" si="172"/>
        <v/>
      </c>
      <c r="BV111" s="4" t="str">
        <f t="shared" si="173"/>
        <v/>
      </c>
      <c r="BW111" s="4" t="str">
        <f>IFERROR(ROUNDUP((BE111*(BB111-AT111))+(BL111*(BI111-AX111))+(BT111*(((100+(BD111+IF(BE111=1,0,BK111))+(4*BR111))/100)))*'Character Sheet'!GT110,3),"")</f>
        <v/>
      </c>
      <c r="BX111" s="4" t="str">
        <f t="shared" si="154"/>
        <v/>
      </c>
      <c r="BY111" s="8" t="str">
        <f t="shared" si="126"/>
        <v/>
      </c>
      <c r="BZ111" s="4">
        <f>IF(ISNUMBER(SEARCH(BZ$83,$BY111)),VLOOKUP($BA111&amp;$CU111,Armour!$B$4:$BP$99,67,FALSE),0)</f>
        <v>0</v>
      </c>
      <c r="CA111" s="4">
        <f>IF(ISNUMBER(SEARCH(CA$83,$BY111)),VLOOKUP($BA111&amp;$CU111,Armour!$B$4:$BP$99,67,FALSE),0)</f>
        <v>0</v>
      </c>
      <c r="CB111" s="4">
        <f>IF(ISNUMBER(SEARCH(CB$83,$BY111)),VLOOKUP($BA111&amp;$CU111,Armour!$B$4:$BP$99,67,FALSE),0)</f>
        <v>0</v>
      </c>
      <c r="CC111" s="4">
        <f>IF(ISNUMBER(SEARCH(CC$83,$BY111)),VLOOKUP($BA111&amp;$CU111,Armour!$B$4:$BP$99,67,FALSE),0)</f>
        <v>0</v>
      </c>
      <c r="CD111" s="4">
        <f>IF(ISNUMBER(SEARCH(CD$83,$BY111)),VLOOKUP($BA111&amp;$CU111,Armour!$B$4:$BP$99,67,FALSE),0)</f>
        <v>0</v>
      </c>
      <c r="CE111" s="4">
        <f>IF(ISNUMBER(SEARCH(CE$83,$BY111)),VLOOKUP($BA111&amp;$CU111,Armour!$B$4:$BP$99,67,FALSE),0)</f>
        <v>0</v>
      </c>
      <c r="CF111" s="4">
        <f>IF(ISNUMBER(SEARCH(CF$83,$BY111)),VLOOKUP($BA111&amp;$CU111,Armour!$B$4:$BP$99,67,FALSE),0)</f>
        <v>0</v>
      </c>
      <c r="CG111" s="4">
        <f>IF(ISNUMBER(SEARCH(CG$83,$BY111)),VLOOKUP($BA111&amp;$CU111,Armour!$B$4:$BP$99,67,FALSE),0)</f>
        <v>0</v>
      </c>
      <c r="CH111" s="4">
        <f>IF(ISNUMBER(SEARCH(CH$83,$BY111)),VLOOKUP($BA111&amp;$CU111,Armour!$B$4:$BP$99,67,FALSE),0)</f>
        <v>0</v>
      </c>
      <c r="CI111" s="4">
        <f>IF(ISNUMBER(SEARCH(CI$83,$BY111)),VLOOKUP($BA111&amp;$CU111,Armour!$B$4:$BP$99,67,FALSE),0)</f>
        <v>0</v>
      </c>
      <c r="CJ111" s="4">
        <f>IF(ISNUMBER(SEARCH(CJ$83,$BY111)),VLOOKUP($BA111&amp;$CU111,Armour!$B$4:$BP$99,67,FALSE),0)</f>
        <v>0</v>
      </c>
      <c r="CK111" s="4">
        <f>IF(ISNUMBER(SEARCH(CK$83,$BY111)),VLOOKUP($BA111&amp;$CU111,Armour!$B$4:$BP$99,67,FALSE),0)</f>
        <v>0</v>
      </c>
      <c r="CL111" s="4">
        <f>IF(ISNUMBER(SEARCH(CL$83,$BY111)),VLOOKUP($BA111&amp;$CU111,Armour!$B$4:$BP$99,67,FALSE),0)</f>
        <v>0</v>
      </c>
      <c r="CM111" s="4">
        <f>IF(ISNUMBER(SEARCH(CM$83,$BY111)),VLOOKUP($BA111&amp;$CU111,Armour!$B$4:$BP$99,67,FALSE),0)</f>
        <v>0</v>
      </c>
      <c r="CN111" s="4">
        <f>IF(ISNUMBER(SEARCH(CN$83,$BY111)),VLOOKUP($BA111&amp;$CU111,Armour!$B$4:$BP$99,67,FALSE),0)</f>
        <v>0</v>
      </c>
      <c r="CO111" s="4">
        <f>IF(ISNUMBER(SEARCH(CO$83,$BY111)),VLOOKUP($BA111&amp;$CU111,Armour!$B$4:$BP$99,67,FALSE),0)</f>
        <v>0</v>
      </c>
      <c r="CP111" s="4">
        <f>IF(ISNUMBER(SEARCH(CP$83,$BY111)),VLOOKUP($BA111&amp;$CU111,Armour!$B$4:$BP$99,67,FALSE),0)</f>
        <v>0</v>
      </c>
      <c r="CQ111" s="4">
        <f>IF(ISNUMBER(SEARCH(CQ$83,$BY111)),VLOOKUP($BA111&amp;$CU111,Armour!$B$4:$BP$99,67,FALSE),0)</f>
        <v>0</v>
      </c>
      <c r="CR111" s="4">
        <f>IF(ISNUMBER(SEARCH(CR$83,$BY111)),VLOOKUP($BA111&amp;$CU111,Armour!$B$4:$BP$99,67,FALSE),0)</f>
        <v>0</v>
      </c>
      <c r="CS111" s="4">
        <f>IF(ISNUMBER(SEARCH(CS$83,$BY111)),VLOOKUP($BA111&amp;$CU111,Armour!$B$4:$BP$99,67,FALSE),0)</f>
        <v>0</v>
      </c>
      <c r="CT111" s="4">
        <f>IF(ISNUMBER(SEARCH(CT$83,$BY111)),VLOOKUP($BA111&amp;$CU111,Armour!$B$4:$BP$99,67,FALSE),0)</f>
        <v>0</v>
      </c>
      <c r="CU111" s="4" t="e">
        <f t="shared" si="127"/>
        <v>#N/A</v>
      </c>
      <c r="DH111" s="4" t="str">
        <f t="shared" si="103"/>
        <v/>
      </c>
      <c r="DI111">
        <v>29</v>
      </c>
      <c r="DJ111" s="3" t="str">
        <f t="shared" si="135"/>
        <v/>
      </c>
      <c r="DK111" s="4" t="str">
        <f t="shared" si="145"/>
        <v/>
      </c>
      <c r="DL111" s="4" t="str">
        <f>IFERROR(IF(DK111=0,"",VLOOKUP(DK111,Skills!$N$72:$AF$107,19,FALSE)),"")</f>
        <v/>
      </c>
      <c r="DM111" s="4"/>
      <c r="DN111" s="4" t="str">
        <f t="shared" si="136"/>
        <v/>
      </c>
      <c r="DO111" s="4" t="str">
        <f t="shared" si="152"/>
        <v/>
      </c>
      <c r="DP111" s="4">
        <f t="shared" si="104"/>
        <v>0</v>
      </c>
      <c r="DQ111" s="4">
        <f t="shared" si="137"/>
        <v>2</v>
      </c>
      <c r="DR111" s="4" t="e">
        <f t="shared" si="138"/>
        <v>#N/A</v>
      </c>
      <c r="DS111" s="4">
        <f t="shared" si="139"/>
        <v>29</v>
      </c>
      <c r="DT111" s="4" t="str">
        <f t="shared" si="146"/>
        <v/>
      </c>
      <c r="DU111" s="4" t="str">
        <f t="shared" si="147"/>
        <v/>
      </c>
      <c r="DV111" s="4" t="e">
        <f>VLOOKUP((VLOOKUP((VLOOKUP('Character Creation'!$Z$11,RaceChart,20,FALSE)&amp;" "&amp;VLOOKUP('Character Creation'!$Z$11,RaceChart,21,FALSE)),Charts!$H$2:$J$14,3,FALSE)+DU111),Charts!$J$2:$N$14,5,FALSE)</f>
        <v>#VALUE!</v>
      </c>
      <c r="DW111" s="4" t="e">
        <f>VLOOKUP(DV111,Charts!$N$2:$Q$14,4,FALSE)</f>
        <v>#VALUE!</v>
      </c>
      <c r="DX111" s="4" t="str">
        <f t="shared" si="140"/>
        <v/>
      </c>
      <c r="DY111" s="4" t="str">
        <f t="shared" si="148"/>
        <v/>
      </c>
      <c r="DZ111" s="4" t="str">
        <f t="shared" si="141"/>
        <v/>
      </c>
      <c r="EA111" s="4" t="e">
        <f>ROUNDDOWN(VLOOKUP(DK111,Skills!$N$72:$S$107,6,FALSE)/5,0)</f>
        <v>#N/A</v>
      </c>
      <c r="EB111" s="4" t="str">
        <f t="shared" si="149"/>
        <v/>
      </c>
      <c r="EC111" s="4" t="str">
        <f t="shared" si="142"/>
        <v>+</v>
      </c>
      <c r="ED111" s="4" t="e">
        <f>VLOOKUP(DJ111,'Character Sheet'!$FB$21:$HQ$35,61,FALSE)</f>
        <v>#N/A</v>
      </c>
      <c r="EE111" s="4" t="str">
        <f t="shared" si="150"/>
        <v/>
      </c>
      <c r="EF111" s="4" t="str">
        <f t="shared" si="151"/>
        <v/>
      </c>
      <c r="EG111" s="4" t="e">
        <f>VLOOKUP(DR111,Items!$B$1156:$AA$1282,18,FALSE)</f>
        <v>#N/A</v>
      </c>
      <c r="EH111" s="4">
        <f>VLOOKUP(DJ111,'Character Sheet'!$E$26:$EZ$45,81,FALSE)</f>
        <v>0</v>
      </c>
      <c r="EI111" s="4">
        <f>VLOOKUP(DJ111,'Character Sheet'!$E$26:$EZ$45,89,FALSE)</f>
        <v>0</v>
      </c>
      <c r="EJ111" s="4" t="e">
        <f t="shared" si="143"/>
        <v>#N/A</v>
      </c>
    </row>
    <row r="112" spans="29:140" x14ac:dyDescent="0.25">
      <c r="AC112" s="8" t="str">
        <f>IFERROR(VLOOKUP('Character Creation'!$CI125,Skills!$H$2:$N$620,6,FALSE),"")</f>
        <v/>
      </c>
      <c r="AD112" s="4">
        <f>'Character Creation'!EH125</f>
        <v>0</v>
      </c>
      <c r="AG112">
        <v>111</v>
      </c>
      <c r="AH112" s="4" t="str">
        <f t="shared" si="95"/>
        <v/>
      </c>
      <c r="AI112" t="str">
        <f>IFERROR(VLOOKUP(AG112,Skills!$B$2:$M$620,12,FALSE),"")</f>
        <v/>
      </c>
      <c r="AJ112" s="4" t="str">
        <f>IFERROR(VLOOKUP(AG112,Skills!$B$2:$AF$620,31,FALSE),"")</f>
        <v/>
      </c>
      <c r="AK112" s="4" t="str">
        <f t="shared" si="153"/>
        <v/>
      </c>
      <c r="AL112" s="4">
        <v>0.111</v>
      </c>
      <c r="AM112" s="62" t="str">
        <f t="shared" si="96"/>
        <v/>
      </c>
      <c r="AN112" t="str">
        <f t="shared" ca="1" si="97"/>
        <v/>
      </c>
      <c r="AO112" s="4" t="str">
        <f ca="1">IFERROR(VLOOKUP(AG112,$AH$2:$AJ$451,3,FALSE)&amp;IF(ISNUMBER(SEARCH(", Written",AN112))," -R"&amp;VLOOKUP(AN112,Skills!$M$2:$S$620,7,FALSE),IF(ISNUMBER(SEARCH(", Spoken",AN112))," -R"&amp;VLOOKUP(AN112,Skills!$M$2:$S$620,7,FALSE),"")),"")</f>
        <v/>
      </c>
      <c r="AQ112">
        <v>109</v>
      </c>
      <c r="AR112" s="8">
        <f>'Character Sheet'!FB111</f>
        <v>0</v>
      </c>
      <c r="AS112" s="4" t="str">
        <f t="shared" si="98"/>
        <v/>
      </c>
      <c r="AT112" s="4" t="str">
        <f t="shared" si="99"/>
        <v/>
      </c>
      <c r="AU112" s="4" t="str">
        <f t="shared" si="155"/>
        <v/>
      </c>
      <c r="AV112" s="4" t="str">
        <f t="shared" si="156"/>
        <v/>
      </c>
      <c r="AW112" s="4" t="str">
        <f t="shared" si="157"/>
        <v/>
      </c>
      <c r="AX112" s="4" t="str">
        <f t="shared" si="100"/>
        <v/>
      </c>
      <c r="AY112" s="4" t="str">
        <f t="shared" si="158"/>
        <v/>
      </c>
      <c r="AZ112" s="4" t="str">
        <f t="shared" si="159"/>
        <v/>
      </c>
      <c r="BA112" s="4" t="str">
        <f>IFERROR('Character Sheet'!JK111,"")</f>
        <v/>
      </c>
      <c r="BB112" s="4" t="str">
        <f t="shared" si="101"/>
        <v/>
      </c>
      <c r="BC112" s="4" t="str">
        <f t="shared" si="160"/>
        <v/>
      </c>
      <c r="BD112" s="4" t="str">
        <f t="shared" si="111"/>
        <v/>
      </c>
      <c r="BE112" s="4" t="str">
        <f t="shared" si="161"/>
        <v/>
      </c>
      <c r="BF112" s="4" t="str">
        <f t="shared" si="162"/>
        <v/>
      </c>
      <c r="BG112" s="4" t="str">
        <f t="shared" si="163"/>
        <v/>
      </c>
      <c r="BH112" s="4" t="str">
        <f>IFERROR('Character Sheet'!KC111,"")</f>
        <v/>
      </c>
      <c r="BI112" s="4" t="str">
        <f t="shared" si="102"/>
        <v/>
      </c>
      <c r="BJ112" s="4" t="str">
        <f t="shared" si="164"/>
        <v/>
      </c>
      <c r="BK112" s="4" t="str">
        <f t="shared" si="116"/>
        <v/>
      </c>
      <c r="BL112" s="4" t="str">
        <f t="shared" si="165"/>
        <v/>
      </c>
      <c r="BM112" s="4" t="str">
        <f t="shared" si="166"/>
        <v/>
      </c>
      <c r="BN112" s="4" t="str">
        <f t="shared" si="167"/>
        <v/>
      </c>
      <c r="BO112" s="4" t="str">
        <f t="shared" si="168"/>
        <v/>
      </c>
      <c r="BP112" s="4" t="str">
        <f t="shared" si="169"/>
        <v/>
      </c>
      <c r="BQ112" s="4" t="str">
        <f>IFERROR('Character Sheet'!IQ111+VLOOKUP(BA112,MaterialChart,5,FALSE),"")</f>
        <v/>
      </c>
      <c r="BR112" s="4" t="str">
        <f t="shared" si="170"/>
        <v/>
      </c>
      <c r="BS112" s="4">
        <f t="shared" si="144"/>
        <v>0</v>
      </c>
      <c r="BT112" s="4" t="str">
        <f t="shared" si="171"/>
        <v/>
      </c>
      <c r="BU112" s="4" t="str">
        <f t="shared" si="172"/>
        <v/>
      </c>
      <c r="BV112" s="4" t="str">
        <f t="shared" si="173"/>
        <v/>
      </c>
      <c r="BW112" s="4" t="str">
        <f>IFERROR(ROUNDUP((BE112*(BB112-AT112))+(BL112*(BI112-AX112))+(BT112*(((100+(BD112+IF(BE112=1,0,BK112))+(4*BR112))/100)))*'Character Sheet'!GT111,3),"")</f>
        <v/>
      </c>
      <c r="BX112" s="4" t="str">
        <f t="shared" si="154"/>
        <v/>
      </c>
      <c r="BY112" s="8" t="str">
        <f t="shared" si="126"/>
        <v/>
      </c>
      <c r="BZ112" s="4">
        <f>IF(ISNUMBER(SEARCH(BZ$83,$BY112)),VLOOKUP($BA112&amp;$CU112,Armour!$B$4:$BP$99,67,FALSE),0)</f>
        <v>0</v>
      </c>
      <c r="CA112" s="4">
        <f>IF(ISNUMBER(SEARCH(CA$83,$BY112)),VLOOKUP($BA112&amp;$CU112,Armour!$B$4:$BP$99,67,FALSE),0)</f>
        <v>0</v>
      </c>
      <c r="CB112" s="4">
        <f>IF(ISNUMBER(SEARCH(CB$83,$BY112)),VLOOKUP($BA112&amp;$CU112,Armour!$B$4:$BP$99,67,FALSE),0)</f>
        <v>0</v>
      </c>
      <c r="CC112" s="4">
        <f>IF(ISNUMBER(SEARCH(CC$83,$BY112)),VLOOKUP($BA112&amp;$CU112,Armour!$B$4:$BP$99,67,FALSE),0)</f>
        <v>0</v>
      </c>
      <c r="CD112" s="4">
        <f>IF(ISNUMBER(SEARCH(CD$83,$BY112)),VLOOKUP($BA112&amp;$CU112,Armour!$B$4:$BP$99,67,FALSE),0)</f>
        <v>0</v>
      </c>
      <c r="CE112" s="4">
        <f>IF(ISNUMBER(SEARCH(CE$83,$BY112)),VLOOKUP($BA112&amp;$CU112,Armour!$B$4:$BP$99,67,FALSE),0)</f>
        <v>0</v>
      </c>
      <c r="CF112" s="4">
        <f>IF(ISNUMBER(SEARCH(CF$83,$BY112)),VLOOKUP($BA112&amp;$CU112,Armour!$B$4:$BP$99,67,FALSE),0)</f>
        <v>0</v>
      </c>
      <c r="CG112" s="4">
        <f>IF(ISNUMBER(SEARCH(CG$83,$BY112)),VLOOKUP($BA112&amp;$CU112,Armour!$B$4:$BP$99,67,FALSE),0)</f>
        <v>0</v>
      </c>
      <c r="CH112" s="4">
        <f>IF(ISNUMBER(SEARCH(CH$83,$BY112)),VLOOKUP($BA112&amp;$CU112,Armour!$B$4:$BP$99,67,FALSE),0)</f>
        <v>0</v>
      </c>
      <c r="CI112" s="4">
        <f>IF(ISNUMBER(SEARCH(CI$83,$BY112)),VLOOKUP($BA112&amp;$CU112,Armour!$B$4:$BP$99,67,FALSE),0)</f>
        <v>0</v>
      </c>
      <c r="CJ112" s="4">
        <f>IF(ISNUMBER(SEARCH(CJ$83,$BY112)),VLOOKUP($BA112&amp;$CU112,Armour!$B$4:$BP$99,67,FALSE),0)</f>
        <v>0</v>
      </c>
      <c r="CK112" s="4">
        <f>IF(ISNUMBER(SEARCH(CK$83,$BY112)),VLOOKUP($BA112&amp;$CU112,Armour!$B$4:$BP$99,67,FALSE),0)</f>
        <v>0</v>
      </c>
      <c r="CL112" s="4">
        <f>IF(ISNUMBER(SEARCH(CL$83,$BY112)),VLOOKUP($BA112&amp;$CU112,Armour!$B$4:$BP$99,67,FALSE),0)</f>
        <v>0</v>
      </c>
      <c r="CM112" s="4">
        <f>IF(ISNUMBER(SEARCH(CM$83,$BY112)),VLOOKUP($BA112&amp;$CU112,Armour!$B$4:$BP$99,67,FALSE),0)</f>
        <v>0</v>
      </c>
      <c r="CN112" s="4">
        <f>IF(ISNUMBER(SEARCH(CN$83,$BY112)),VLOOKUP($BA112&amp;$CU112,Armour!$B$4:$BP$99,67,FALSE),0)</f>
        <v>0</v>
      </c>
      <c r="CO112" s="4">
        <f>IF(ISNUMBER(SEARCH(CO$83,$BY112)),VLOOKUP($BA112&amp;$CU112,Armour!$B$4:$BP$99,67,FALSE),0)</f>
        <v>0</v>
      </c>
      <c r="CP112" s="4">
        <f>IF(ISNUMBER(SEARCH(CP$83,$BY112)),VLOOKUP($BA112&amp;$CU112,Armour!$B$4:$BP$99,67,FALSE),0)</f>
        <v>0</v>
      </c>
      <c r="CQ112" s="4">
        <f>IF(ISNUMBER(SEARCH(CQ$83,$BY112)),VLOOKUP($BA112&amp;$CU112,Armour!$B$4:$BP$99,67,FALSE),0)</f>
        <v>0</v>
      </c>
      <c r="CR112" s="4">
        <f>IF(ISNUMBER(SEARCH(CR$83,$BY112)),VLOOKUP($BA112&amp;$CU112,Armour!$B$4:$BP$99,67,FALSE),0)</f>
        <v>0</v>
      </c>
      <c r="CS112" s="4">
        <f>IF(ISNUMBER(SEARCH(CS$83,$BY112)),VLOOKUP($BA112&amp;$CU112,Armour!$B$4:$BP$99,67,FALSE),0)</f>
        <v>0</v>
      </c>
      <c r="CT112" s="4">
        <f>IF(ISNUMBER(SEARCH(CT$83,$BY112)),VLOOKUP($BA112&amp;$CU112,Armour!$B$4:$BP$99,67,FALSE),0)</f>
        <v>0</v>
      </c>
      <c r="CU112" s="4" t="e">
        <f t="shared" si="127"/>
        <v>#N/A</v>
      </c>
      <c r="DH112" s="4" t="str">
        <f t="shared" si="103"/>
        <v/>
      </c>
      <c r="DI112">
        <v>30</v>
      </c>
      <c r="DJ112" s="3" t="str">
        <f t="shared" si="135"/>
        <v/>
      </c>
      <c r="DK112" s="4" t="str">
        <f t="shared" si="145"/>
        <v/>
      </c>
      <c r="DL112" s="4" t="str">
        <f>IFERROR(IF(DK112=0,"",VLOOKUP(DK112,Skills!$N$72:$AF$107,19,FALSE)),"")</f>
        <v/>
      </c>
      <c r="DM112" s="4"/>
      <c r="DN112" s="4" t="str">
        <f t="shared" si="136"/>
        <v/>
      </c>
      <c r="DO112" s="4" t="str">
        <f t="shared" si="152"/>
        <v/>
      </c>
      <c r="DP112" s="4">
        <f t="shared" si="104"/>
        <v>0</v>
      </c>
      <c r="DQ112" s="4">
        <f t="shared" si="137"/>
        <v>2</v>
      </c>
      <c r="DR112" s="4" t="e">
        <f t="shared" si="138"/>
        <v>#N/A</v>
      </c>
      <c r="DS112" s="4">
        <f t="shared" si="139"/>
        <v>30</v>
      </c>
      <c r="DT112" s="4" t="str">
        <f t="shared" si="146"/>
        <v/>
      </c>
      <c r="DU112" s="4" t="str">
        <f t="shared" si="147"/>
        <v/>
      </c>
      <c r="DV112" s="4" t="e">
        <f>VLOOKUP((VLOOKUP((VLOOKUP('Character Creation'!$Z$11,RaceChart,20,FALSE)&amp;" "&amp;VLOOKUP('Character Creation'!$Z$11,RaceChart,21,FALSE)),Charts!$H$2:$J$14,3,FALSE)+DU112),Charts!$J$2:$N$14,5,FALSE)</f>
        <v>#VALUE!</v>
      </c>
      <c r="DW112" s="4" t="e">
        <f>VLOOKUP(DV112,Charts!$N$2:$Q$14,4,FALSE)</f>
        <v>#VALUE!</v>
      </c>
      <c r="DX112" s="4" t="str">
        <f t="shared" si="140"/>
        <v/>
      </c>
      <c r="DY112" s="4" t="str">
        <f t="shared" si="148"/>
        <v/>
      </c>
      <c r="DZ112" s="4" t="str">
        <f t="shared" si="141"/>
        <v/>
      </c>
      <c r="EA112" s="4" t="e">
        <f>ROUNDDOWN(VLOOKUP(DK112,Skills!$N$72:$S$107,6,FALSE)/5,0)</f>
        <v>#N/A</v>
      </c>
      <c r="EB112" s="4" t="str">
        <f t="shared" si="149"/>
        <v/>
      </c>
      <c r="EC112" s="4" t="str">
        <f t="shared" si="142"/>
        <v>+</v>
      </c>
      <c r="ED112" s="4" t="e">
        <f>VLOOKUP(DJ112,'Character Sheet'!$FB$21:$HQ$35,61,FALSE)</f>
        <v>#N/A</v>
      </c>
      <c r="EE112" s="4" t="str">
        <f t="shared" si="150"/>
        <v/>
      </c>
      <c r="EF112" s="4" t="str">
        <f t="shared" si="151"/>
        <v/>
      </c>
      <c r="EG112" s="4" t="e">
        <f>VLOOKUP(DR112,Items!$B$1156:$AA$1282,18,FALSE)</f>
        <v>#N/A</v>
      </c>
      <c r="EH112" s="4">
        <f>VLOOKUP(DJ112,'Character Sheet'!$E$26:$EZ$45,81,FALSE)</f>
        <v>0</v>
      </c>
      <c r="EI112" s="4">
        <f>VLOOKUP(DJ112,'Character Sheet'!$E$26:$EZ$45,89,FALSE)</f>
        <v>0</v>
      </c>
      <c r="EJ112" s="4" t="e">
        <f t="shared" si="143"/>
        <v>#N/A</v>
      </c>
    </row>
    <row r="113" spans="29:140" x14ac:dyDescent="0.25">
      <c r="AC113" s="8" t="str">
        <f>IFERROR(VLOOKUP('Character Creation'!$CI126,Skills!$H$2:$N$620,6,FALSE),"")</f>
        <v/>
      </c>
      <c r="AD113" s="4">
        <f>'Character Creation'!EH126</f>
        <v>0</v>
      </c>
      <c r="AG113">
        <v>112</v>
      </c>
      <c r="AH113" s="4" t="str">
        <f t="shared" si="95"/>
        <v/>
      </c>
      <c r="AI113" t="str">
        <f>IFERROR(VLOOKUP(AG113,Skills!$B$2:$M$620,12,FALSE),"")</f>
        <v/>
      </c>
      <c r="AJ113" s="4" t="str">
        <f>IFERROR(VLOOKUP(AG113,Skills!$B$2:$AF$620,31,FALSE),"")</f>
        <v/>
      </c>
      <c r="AK113" s="4" t="str">
        <f t="shared" si="153"/>
        <v/>
      </c>
      <c r="AL113" s="4">
        <v>0.112</v>
      </c>
      <c r="AM113" s="62" t="str">
        <f t="shared" si="96"/>
        <v/>
      </c>
      <c r="AN113" t="str">
        <f t="shared" ca="1" si="97"/>
        <v/>
      </c>
      <c r="AO113" s="4" t="str">
        <f ca="1">IFERROR(VLOOKUP(AG113,$AH$2:$AJ$451,3,FALSE)&amp;IF(ISNUMBER(SEARCH(", Written",AN113))," -R"&amp;VLOOKUP(AN113,Skills!$M$2:$S$620,7,FALSE),IF(ISNUMBER(SEARCH(", Spoken",AN113))," -R"&amp;VLOOKUP(AN113,Skills!$M$2:$S$620,7,FALSE),"")),"")</f>
        <v/>
      </c>
      <c r="AQ113">
        <v>110</v>
      </c>
      <c r="AR113" s="8">
        <f>'Character Sheet'!FB112</f>
        <v>0</v>
      </c>
      <c r="AS113" s="4" t="str">
        <f t="shared" si="98"/>
        <v/>
      </c>
      <c r="AT113" s="4" t="str">
        <f t="shared" si="99"/>
        <v/>
      </c>
      <c r="AU113" s="4" t="str">
        <f t="shared" si="155"/>
        <v/>
      </c>
      <c r="AV113" s="4" t="str">
        <f t="shared" si="156"/>
        <v/>
      </c>
      <c r="AW113" s="4" t="str">
        <f t="shared" si="157"/>
        <v/>
      </c>
      <c r="AX113" s="4" t="str">
        <f t="shared" si="100"/>
        <v/>
      </c>
      <c r="AY113" s="4" t="str">
        <f t="shared" si="158"/>
        <v/>
      </c>
      <c r="AZ113" s="4" t="str">
        <f t="shared" si="159"/>
        <v/>
      </c>
      <c r="BA113" s="4" t="str">
        <f>IFERROR('Character Sheet'!JK112,"")</f>
        <v/>
      </c>
      <c r="BB113" s="4" t="str">
        <f t="shared" si="101"/>
        <v/>
      </c>
      <c r="BC113" s="4" t="str">
        <f t="shared" si="160"/>
        <v/>
      </c>
      <c r="BD113" s="4" t="str">
        <f t="shared" si="111"/>
        <v/>
      </c>
      <c r="BE113" s="4" t="str">
        <f t="shared" si="161"/>
        <v/>
      </c>
      <c r="BF113" s="4" t="str">
        <f t="shared" si="162"/>
        <v/>
      </c>
      <c r="BG113" s="4" t="str">
        <f t="shared" si="163"/>
        <v/>
      </c>
      <c r="BH113" s="4" t="str">
        <f>IFERROR('Character Sheet'!KC112,"")</f>
        <v/>
      </c>
      <c r="BI113" s="4" t="str">
        <f t="shared" si="102"/>
        <v/>
      </c>
      <c r="BJ113" s="4" t="str">
        <f t="shared" si="164"/>
        <v/>
      </c>
      <c r="BK113" s="4" t="str">
        <f t="shared" si="116"/>
        <v/>
      </c>
      <c r="BL113" s="4" t="str">
        <f t="shared" si="165"/>
        <v/>
      </c>
      <c r="BM113" s="4" t="str">
        <f t="shared" si="166"/>
        <v/>
      </c>
      <c r="BN113" s="4" t="str">
        <f t="shared" si="167"/>
        <v/>
      </c>
      <c r="BO113" s="4" t="str">
        <f t="shared" si="168"/>
        <v/>
      </c>
      <c r="BP113" s="4" t="str">
        <f t="shared" si="169"/>
        <v/>
      </c>
      <c r="BQ113" s="4" t="str">
        <f>IFERROR('Character Sheet'!IQ112+VLOOKUP(BA113,MaterialChart,5,FALSE),"")</f>
        <v/>
      </c>
      <c r="BR113" s="4" t="str">
        <f t="shared" si="170"/>
        <v/>
      </c>
      <c r="BS113" s="4">
        <f t="shared" si="144"/>
        <v>0</v>
      </c>
      <c r="BT113" s="4" t="str">
        <f t="shared" si="171"/>
        <v/>
      </c>
      <c r="BU113" s="4" t="str">
        <f t="shared" si="172"/>
        <v/>
      </c>
      <c r="BV113" s="4" t="str">
        <f t="shared" si="173"/>
        <v/>
      </c>
      <c r="BW113" s="4" t="str">
        <f>IFERROR(ROUNDUP((BE113*(BB113-AT113))+(BL113*(BI113-AX113))+(BT113*(((100+(BD113+IF(BE113=1,0,BK113))+(4*BR113))/100)))*'Character Sheet'!GT112,3),"")</f>
        <v/>
      </c>
      <c r="BX113" s="4" t="str">
        <f t="shared" si="154"/>
        <v/>
      </c>
      <c r="BY113" s="8" t="str">
        <f t="shared" si="126"/>
        <v/>
      </c>
      <c r="BZ113" s="4">
        <f>IF(ISNUMBER(SEARCH(BZ$83,$BY113)),VLOOKUP($BA113&amp;$CU113,Armour!$B$4:$BP$99,67,FALSE),0)</f>
        <v>0</v>
      </c>
      <c r="CA113" s="4">
        <f>IF(ISNUMBER(SEARCH(CA$83,$BY113)),VLOOKUP($BA113&amp;$CU113,Armour!$B$4:$BP$99,67,FALSE),0)</f>
        <v>0</v>
      </c>
      <c r="CB113" s="4">
        <f>IF(ISNUMBER(SEARCH(CB$83,$BY113)),VLOOKUP($BA113&amp;$CU113,Armour!$B$4:$BP$99,67,FALSE),0)</f>
        <v>0</v>
      </c>
      <c r="CC113" s="4">
        <f>IF(ISNUMBER(SEARCH(CC$83,$BY113)),VLOOKUP($BA113&amp;$CU113,Armour!$B$4:$BP$99,67,FALSE),0)</f>
        <v>0</v>
      </c>
      <c r="CD113" s="4">
        <f>IF(ISNUMBER(SEARCH(CD$83,$BY113)),VLOOKUP($BA113&amp;$CU113,Armour!$B$4:$BP$99,67,FALSE),0)</f>
        <v>0</v>
      </c>
      <c r="CE113" s="4">
        <f>IF(ISNUMBER(SEARCH(CE$83,$BY113)),VLOOKUP($BA113&amp;$CU113,Armour!$B$4:$BP$99,67,FALSE),0)</f>
        <v>0</v>
      </c>
      <c r="CF113" s="4">
        <f>IF(ISNUMBER(SEARCH(CF$83,$BY113)),VLOOKUP($BA113&amp;$CU113,Armour!$B$4:$BP$99,67,FALSE),0)</f>
        <v>0</v>
      </c>
      <c r="CG113" s="4">
        <f>IF(ISNUMBER(SEARCH(CG$83,$BY113)),VLOOKUP($BA113&amp;$CU113,Armour!$B$4:$BP$99,67,FALSE),0)</f>
        <v>0</v>
      </c>
      <c r="CH113" s="4">
        <f>IF(ISNUMBER(SEARCH(CH$83,$BY113)),VLOOKUP($BA113&amp;$CU113,Armour!$B$4:$BP$99,67,FALSE),0)</f>
        <v>0</v>
      </c>
      <c r="CI113" s="4">
        <f>IF(ISNUMBER(SEARCH(CI$83,$BY113)),VLOOKUP($BA113&amp;$CU113,Armour!$B$4:$BP$99,67,FALSE),0)</f>
        <v>0</v>
      </c>
      <c r="CJ113" s="4">
        <f>IF(ISNUMBER(SEARCH(CJ$83,$BY113)),VLOOKUP($BA113&amp;$CU113,Armour!$B$4:$BP$99,67,FALSE),0)</f>
        <v>0</v>
      </c>
      <c r="CK113" s="4">
        <f>IF(ISNUMBER(SEARCH(CK$83,$BY113)),VLOOKUP($BA113&amp;$CU113,Armour!$B$4:$BP$99,67,FALSE),0)</f>
        <v>0</v>
      </c>
      <c r="CL113" s="4">
        <f>IF(ISNUMBER(SEARCH(CL$83,$BY113)),VLOOKUP($BA113&amp;$CU113,Armour!$B$4:$BP$99,67,FALSE),0)</f>
        <v>0</v>
      </c>
      <c r="CM113" s="4">
        <f>IF(ISNUMBER(SEARCH(CM$83,$BY113)),VLOOKUP($BA113&amp;$CU113,Armour!$B$4:$BP$99,67,FALSE),0)</f>
        <v>0</v>
      </c>
      <c r="CN113" s="4">
        <f>IF(ISNUMBER(SEARCH(CN$83,$BY113)),VLOOKUP($BA113&amp;$CU113,Armour!$B$4:$BP$99,67,FALSE),0)</f>
        <v>0</v>
      </c>
      <c r="CO113" s="4">
        <f>IF(ISNUMBER(SEARCH(CO$83,$BY113)),VLOOKUP($BA113&amp;$CU113,Armour!$B$4:$BP$99,67,FALSE),0)</f>
        <v>0</v>
      </c>
      <c r="CP113" s="4">
        <f>IF(ISNUMBER(SEARCH(CP$83,$BY113)),VLOOKUP($BA113&amp;$CU113,Armour!$B$4:$BP$99,67,FALSE),0)</f>
        <v>0</v>
      </c>
      <c r="CQ113" s="4">
        <f>IF(ISNUMBER(SEARCH(CQ$83,$BY113)),VLOOKUP($BA113&amp;$CU113,Armour!$B$4:$BP$99,67,FALSE),0)</f>
        <v>0</v>
      </c>
      <c r="CR113" s="4">
        <f>IF(ISNUMBER(SEARCH(CR$83,$BY113)),VLOOKUP($BA113&amp;$CU113,Armour!$B$4:$BP$99,67,FALSE),0)</f>
        <v>0</v>
      </c>
      <c r="CS113" s="4">
        <f>IF(ISNUMBER(SEARCH(CS$83,$BY113)),VLOOKUP($BA113&amp;$CU113,Armour!$B$4:$BP$99,67,FALSE),0)</f>
        <v>0</v>
      </c>
      <c r="CT113" s="4">
        <f>IF(ISNUMBER(SEARCH(CT$83,$BY113)),VLOOKUP($BA113&amp;$CU113,Armour!$B$4:$BP$99,67,FALSE),0)</f>
        <v>0</v>
      </c>
      <c r="CU113" s="4" t="e">
        <f t="shared" si="127"/>
        <v>#N/A</v>
      </c>
      <c r="DH113" s="4" t="str">
        <f t="shared" si="103"/>
        <v/>
      </c>
      <c r="DI113">
        <v>31</v>
      </c>
      <c r="DJ113" s="3" t="str">
        <f t="shared" si="135"/>
        <v/>
      </c>
      <c r="DK113" s="4" t="str">
        <f t="shared" si="145"/>
        <v/>
      </c>
      <c r="DL113" s="4" t="str">
        <f>IFERROR(IF(DK113=0,"",VLOOKUP(DK113,Skills!$N$72:$AF$107,19,FALSE)),"")</f>
        <v/>
      </c>
      <c r="DM113" s="4"/>
      <c r="DN113" s="4" t="str">
        <f t="shared" si="136"/>
        <v/>
      </c>
      <c r="DO113" s="4" t="str">
        <f t="shared" si="152"/>
        <v/>
      </c>
      <c r="DP113" s="4">
        <f t="shared" si="104"/>
        <v>0</v>
      </c>
      <c r="DQ113" s="4">
        <f t="shared" si="137"/>
        <v>2</v>
      </c>
      <c r="DR113" s="4" t="e">
        <f t="shared" si="138"/>
        <v>#N/A</v>
      </c>
      <c r="DS113" s="4">
        <f t="shared" si="139"/>
        <v>31</v>
      </c>
      <c r="DT113" s="4" t="str">
        <f t="shared" si="146"/>
        <v/>
      </c>
      <c r="DU113" s="4" t="str">
        <f t="shared" si="147"/>
        <v/>
      </c>
      <c r="DV113" s="4" t="e">
        <f>VLOOKUP((VLOOKUP((VLOOKUP('Character Creation'!$Z$11,RaceChart,20,FALSE)&amp;" "&amp;VLOOKUP('Character Creation'!$Z$11,RaceChart,21,FALSE)),Charts!$H$2:$J$14,3,FALSE)+DU113),Charts!$J$2:$N$14,5,FALSE)</f>
        <v>#VALUE!</v>
      </c>
      <c r="DW113" s="4" t="e">
        <f>VLOOKUP(DV113,Charts!$N$2:$Q$14,4,FALSE)</f>
        <v>#VALUE!</v>
      </c>
      <c r="DX113" s="4" t="str">
        <f t="shared" si="140"/>
        <v/>
      </c>
      <c r="DY113" s="4" t="str">
        <f t="shared" si="148"/>
        <v/>
      </c>
      <c r="DZ113" s="4" t="str">
        <f t="shared" si="141"/>
        <v/>
      </c>
      <c r="EA113" s="4" t="e">
        <f>ROUNDDOWN(VLOOKUP(DK113,Skills!$N$72:$S$107,6,FALSE)/5,0)</f>
        <v>#N/A</v>
      </c>
      <c r="EB113" s="4" t="str">
        <f t="shared" si="149"/>
        <v/>
      </c>
      <c r="EC113" s="4" t="str">
        <f t="shared" si="142"/>
        <v>+</v>
      </c>
      <c r="ED113" s="4" t="e">
        <f>VLOOKUP(DJ113,'Character Sheet'!$FB$21:$HQ$35,61,FALSE)</f>
        <v>#N/A</v>
      </c>
      <c r="EE113" s="4" t="str">
        <f t="shared" si="150"/>
        <v/>
      </c>
      <c r="EF113" s="4" t="str">
        <f t="shared" si="151"/>
        <v/>
      </c>
      <c r="EG113" s="4" t="e">
        <f>VLOOKUP(DR113,Items!$B$1156:$AA$1282,18,FALSE)</f>
        <v>#N/A</v>
      </c>
      <c r="EH113" s="4">
        <f>VLOOKUP(DJ113,'Character Sheet'!$E$26:$EZ$45,81,FALSE)</f>
        <v>0</v>
      </c>
      <c r="EI113" s="4">
        <f>VLOOKUP(DJ113,'Character Sheet'!$E$26:$EZ$45,89,FALSE)</f>
        <v>0</v>
      </c>
      <c r="EJ113" s="4" t="e">
        <f t="shared" si="143"/>
        <v>#N/A</v>
      </c>
    </row>
    <row r="114" spans="29:140" x14ac:dyDescent="0.25">
      <c r="AC114" s="8" t="str">
        <f>IFERROR(VLOOKUP('Character Creation'!$CI127,Skills!$H$2:$N$620,6,FALSE),"")</f>
        <v/>
      </c>
      <c r="AD114" s="4">
        <f>'Character Creation'!EH127</f>
        <v>0</v>
      </c>
      <c r="AG114">
        <v>113</v>
      </c>
      <c r="AH114" s="4" t="str">
        <f t="shared" si="95"/>
        <v/>
      </c>
      <c r="AI114" t="str">
        <f>IFERROR(VLOOKUP(AG114,Skills!$B$2:$M$620,12,FALSE),"")</f>
        <v/>
      </c>
      <c r="AJ114" s="4" t="str">
        <f>IFERROR(VLOOKUP(AG114,Skills!$B$2:$AF$620,31,FALSE),"")</f>
        <v/>
      </c>
      <c r="AK114" s="4" t="str">
        <f t="shared" si="153"/>
        <v/>
      </c>
      <c r="AL114" s="4">
        <v>0.113</v>
      </c>
      <c r="AM114" s="62" t="str">
        <f t="shared" si="96"/>
        <v/>
      </c>
      <c r="AN114" t="str">
        <f t="shared" ca="1" si="97"/>
        <v/>
      </c>
      <c r="AO114" s="4" t="str">
        <f ca="1">IFERROR(VLOOKUP(AG114,$AH$2:$AJ$451,3,FALSE)&amp;IF(ISNUMBER(SEARCH(", Written",AN114))," -R"&amp;VLOOKUP(AN114,Skills!$M$2:$S$620,7,FALSE),IF(ISNUMBER(SEARCH(", Spoken",AN114))," -R"&amp;VLOOKUP(AN114,Skills!$M$2:$S$620,7,FALSE),"")),"")</f>
        <v/>
      </c>
      <c r="AQ114">
        <v>111</v>
      </c>
      <c r="AR114" s="8">
        <f>'Character Sheet'!FB113</f>
        <v>0</v>
      </c>
      <c r="AS114" s="4" t="str">
        <f t="shared" si="98"/>
        <v/>
      </c>
      <c r="AT114" s="4" t="str">
        <f t="shared" si="99"/>
        <v/>
      </c>
      <c r="AU114" s="4" t="str">
        <f t="shared" si="155"/>
        <v/>
      </c>
      <c r="AV114" s="4" t="str">
        <f t="shared" si="156"/>
        <v/>
      </c>
      <c r="AW114" s="4" t="str">
        <f t="shared" si="157"/>
        <v/>
      </c>
      <c r="AX114" s="4" t="str">
        <f t="shared" si="100"/>
        <v/>
      </c>
      <c r="AY114" s="4" t="str">
        <f t="shared" si="158"/>
        <v/>
      </c>
      <c r="AZ114" s="4" t="str">
        <f t="shared" si="159"/>
        <v/>
      </c>
      <c r="BA114" s="4" t="str">
        <f>IFERROR('Character Sheet'!JK113,"")</f>
        <v/>
      </c>
      <c r="BB114" s="4" t="str">
        <f t="shared" si="101"/>
        <v/>
      </c>
      <c r="BC114" s="4" t="str">
        <f t="shared" si="160"/>
        <v/>
      </c>
      <c r="BD114" s="4" t="str">
        <f t="shared" si="111"/>
        <v/>
      </c>
      <c r="BE114" s="4" t="str">
        <f t="shared" si="161"/>
        <v/>
      </c>
      <c r="BF114" s="4" t="str">
        <f t="shared" si="162"/>
        <v/>
      </c>
      <c r="BG114" s="4" t="str">
        <f t="shared" si="163"/>
        <v/>
      </c>
      <c r="BH114" s="4" t="str">
        <f>IFERROR('Character Sheet'!KC113,"")</f>
        <v/>
      </c>
      <c r="BI114" s="4" t="str">
        <f t="shared" si="102"/>
        <v/>
      </c>
      <c r="BJ114" s="4" t="str">
        <f t="shared" si="164"/>
        <v/>
      </c>
      <c r="BK114" s="4" t="str">
        <f t="shared" si="116"/>
        <v/>
      </c>
      <c r="BL114" s="4" t="str">
        <f t="shared" si="165"/>
        <v/>
      </c>
      <c r="BM114" s="4" t="str">
        <f t="shared" si="166"/>
        <v/>
      </c>
      <c r="BN114" s="4" t="str">
        <f t="shared" si="167"/>
        <v/>
      </c>
      <c r="BO114" s="4" t="str">
        <f t="shared" si="168"/>
        <v/>
      </c>
      <c r="BP114" s="4" t="str">
        <f t="shared" si="169"/>
        <v/>
      </c>
      <c r="BQ114" s="4" t="str">
        <f>IFERROR('Character Sheet'!IQ113+VLOOKUP(BA114,MaterialChart,5,FALSE),"")</f>
        <v/>
      </c>
      <c r="BR114" s="4" t="str">
        <f t="shared" si="170"/>
        <v/>
      </c>
      <c r="BS114" s="4">
        <f t="shared" si="144"/>
        <v>0</v>
      </c>
      <c r="BT114" s="4" t="str">
        <f t="shared" si="171"/>
        <v/>
      </c>
      <c r="BU114" s="4" t="str">
        <f t="shared" si="172"/>
        <v/>
      </c>
      <c r="BV114" s="4" t="str">
        <f t="shared" si="173"/>
        <v/>
      </c>
      <c r="BW114" s="4" t="str">
        <f>IFERROR(ROUNDUP((BE114*(BB114-AT114))+(BL114*(BI114-AX114))+(BT114*(((100+(BD114+IF(BE114=1,0,BK114))+(4*BR114))/100)))*'Character Sheet'!GT113,3),"")</f>
        <v/>
      </c>
      <c r="BX114" s="4" t="str">
        <f t="shared" si="154"/>
        <v/>
      </c>
      <c r="BY114" s="8" t="str">
        <f t="shared" si="126"/>
        <v/>
      </c>
      <c r="BZ114" s="4">
        <f>IF(ISNUMBER(SEARCH(BZ$83,$BY114)),VLOOKUP($BA114&amp;$CU114,Armour!$B$4:$BP$99,67,FALSE),0)</f>
        <v>0</v>
      </c>
      <c r="CA114" s="4">
        <f>IF(ISNUMBER(SEARCH(CA$83,$BY114)),VLOOKUP($BA114&amp;$CU114,Armour!$B$4:$BP$99,67,FALSE),0)</f>
        <v>0</v>
      </c>
      <c r="CB114" s="4">
        <f>IF(ISNUMBER(SEARCH(CB$83,$BY114)),VLOOKUP($BA114&amp;$CU114,Armour!$B$4:$BP$99,67,FALSE),0)</f>
        <v>0</v>
      </c>
      <c r="CC114" s="4">
        <f>IF(ISNUMBER(SEARCH(CC$83,$BY114)),VLOOKUP($BA114&amp;$CU114,Armour!$B$4:$BP$99,67,FALSE),0)</f>
        <v>0</v>
      </c>
      <c r="CD114" s="4">
        <f>IF(ISNUMBER(SEARCH(CD$83,$BY114)),VLOOKUP($BA114&amp;$CU114,Armour!$B$4:$BP$99,67,FALSE),0)</f>
        <v>0</v>
      </c>
      <c r="CE114" s="4">
        <f>IF(ISNUMBER(SEARCH(CE$83,$BY114)),VLOOKUP($BA114&amp;$CU114,Armour!$B$4:$BP$99,67,FALSE),0)</f>
        <v>0</v>
      </c>
      <c r="CF114" s="4">
        <f>IF(ISNUMBER(SEARCH(CF$83,$BY114)),VLOOKUP($BA114&amp;$CU114,Armour!$B$4:$BP$99,67,FALSE),0)</f>
        <v>0</v>
      </c>
      <c r="CG114" s="4">
        <f>IF(ISNUMBER(SEARCH(CG$83,$BY114)),VLOOKUP($BA114&amp;$CU114,Armour!$B$4:$BP$99,67,FALSE),0)</f>
        <v>0</v>
      </c>
      <c r="CH114" s="4">
        <f>IF(ISNUMBER(SEARCH(CH$83,$BY114)),VLOOKUP($BA114&amp;$CU114,Armour!$B$4:$BP$99,67,FALSE),0)</f>
        <v>0</v>
      </c>
      <c r="CI114" s="4">
        <f>IF(ISNUMBER(SEARCH(CI$83,$BY114)),VLOOKUP($BA114&amp;$CU114,Armour!$B$4:$BP$99,67,FALSE),0)</f>
        <v>0</v>
      </c>
      <c r="CJ114" s="4">
        <f>IF(ISNUMBER(SEARCH(CJ$83,$BY114)),VLOOKUP($BA114&amp;$CU114,Armour!$B$4:$BP$99,67,FALSE),0)</f>
        <v>0</v>
      </c>
      <c r="CK114" s="4">
        <f>IF(ISNUMBER(SEARCH(CK$83,$BY114)),VLOOKUP($BA114&amp;$CU114,Armour!$B$4:$BP$99,67,FALSE),0)</f>
        <v>0</v>
      </c>
      <c r="CL114" s="4">
        <f>IF(ISNUMBER(SEARCH(CL$83,$BY114)),VLOOKUP($BA114&amp;$CU114,Armour!$B$4:$BP$99,67,FALSE),0)</f>
        <v>0</v>
      </c>
      <c r="CM114" s="4">
        <f>IF(ISNUMBER(SEARCH(CM$83,$BY114)),VLOOKUP($BA114&amp;$CU114,Armour!$B$4:$BP$99,67,FALSE),0)</f>
        <v>0</v>
      </c>
      <c r="CN114" s="4">
        <f>IF(ISNUMBER(SEARCH(CN$83,$BY114)),VLOOKUP($BA114&amp;$CU114,Armour!$B$4:$BP$99,67,FALSE),0)</f>
        <v>0</v>
      </c>
      <c r="CO114" s="4">
        <f>IF(ISNUMBER(SEARCH(CO$83,$BY114)),VLOOKUP($BA114&amp;$CU114,Armour!$B$4:$BP$99,67,FALSE),0)</f>
        <v>0</v>
      </c>
      <c r="CP114" s="4">
        <f>IF(ISNUMBER(SEARCH(CP$83,$BY114)),VLOOKUP($BA114&amp;$CU114,Armour!$B$4:$BP$99,67,FALSE),0)</f>
        <v>0</v>
      </c>
      <c r="CQ114" s="4">
        <f>IF(ISNUMBER(SEARCH(CQ$83,$BY114)),VLOOKUP($BA114&amp;$CU114,Armour!$B$4:$BP$99,67,FALSE),0)</f>
        <v>0</v>
      </c>
      <c r="CR114" s="4">
        <f>IF(ISNUMBER(SEARCH(CR$83,$BY114)),VLOOKUP($BA114&amp;$CU114,Armour!$B$4:$BP$99,67,FALSE),0)</f>
        <v>0</v>
      </c>
      <c r="CS114" s="4">
        <f>IF(ISNUMBER(SEARCH(CS$83,$BY114)),VLOOKUP($BA114&amp;$CU114,Armour!$B$4:$BP$99,67,FALSE),0)</f>
        <v>0</v>
      </c>
      <c r="CT114" s="4">
        <f>IF(ISNUMBER(SEARCH(CT$83,$BY114)),VLOOKUP($BA114&amp;$CU114,Armour!$B$4:$BP$99,67,FALSE),0)</f>
        <v>0</v>
      </c>
      <c r="CU114" s="4" t="e">
        <f t="shared" si="127"/>
        <v>#N/A</v>
      </c>
      <c r="DH114" s="4" t="str">
        <f t="shared" si="103"/>
        <v/>
      </c>
      <c r="DI114">
        <v>32</v>
      </c>
      <c r="DJ114" s="3" t="str">
        <f t="shared" si="135"/>
        <v/>
      </c>
      <c r="DK114" s="4" t="str">
        <f t="shared" si="145"/>
        <v/>
      </c>
      <c r="DL114" s="4" t="str">
        <f>IFERROR(IF(DK114=0,"",VLOOKUP(DK114,Skills!$N$72:$AF$107,19,FALSE)),"")</f>
        <v/>
      </c>
      <c r="DM114" s="4"/>
      <c r="DN114" s="4" t="str">
        <f t="shared" si="136"/>
        <v/>
      </c>
      <c r="DO114" s="4" t="str">
        <f t="shared" si="152"/>
        <v/>
      </c>
      <c r="DP114" s="4">
        <f t="shared" si="104"/>
        <v>0</v>
      </c>
      <c r="DQ114" s="4">
        <f t="shared" si="137"/>
        <v>2</v>
      </c>
      <c r="DR114" s="4" t="e">
        <f t="shared" si="138"/>
        <v>#N/A</v>
      </c>
      <c r="DS114" s="4">
        <f t="shared" si="139"/>
        <v>32</v>
      </c>
      <c r="DT114" s="4" t="str">
        <f t="shared" si="146"/>
        <v/>
      </c>
      <c r="DU114" s="4" t="str">
        <f t="shared" si="147"/>
        <v/>
      </c>
      <c r="DV114" s="4" t="e">
        <f>VLOOKUP((VLOOKUP((VLOOKUP('Character Creation'!$Z$11,RaceChart,20,FALSE)&amp;" "&amp;VLOOKUP('Character Creation'!$Z$11,RaceChart,21,FALSE)),Charts!$H$2:$J$14,3,FALSE)+DU114),Charts!$J$2:$N$14,5,FALSE)</f>
        <v>#VALUE!</v>
      </c>
      <c r="DW114" s="4" t="e">
        <f>VLOOKUP(DV114,Charts!$N$2:$Q$14,4,FALSE)</f>
        <v>#VALUE!</v>
      </c>
      <c r="DX114" s="4" t="str">
        <f t="shared" si="140"/>
        <v/>
      </c>
      <c r="DY114" s="4" t="str">
        <f t="shared" si="148"/>
        <v/>
      </c>
      <c r="DZ114" s="4" t="str">
        <f t="shared" si="141"/>
        <v/>
      </c>
      <c r="EA114" s="4" t="e">
        <f>ROUNDDOWN(VLOOKUP(DK114,Skills!$N$72:$S$107,6,FALSE)/5,0)</f>
        <v>#N/A</v>
      </c>
      <c r="EB114" s="4" t="str">
        <f t="shared" si="149"/>
        <v/>
      </c>
      <c r="EC114" s="4" t="str">
        <f t="shared" si="142"/>
        <v>+</v>
      </c>
      <c r="ED114" s="4" t="e">
        <f>VLOOKUP(DJ114,'Character Sheet'!$FB$21:$HQ$35,61,FALSE)</f>
        <v>#N/A</v>
      </c>
      <c r="EE114" s="4" t="str">
        <f t="shared" si="150"/>
        <v/>
      </c>
      <c r="EF114" s="4" t="str">
        <f t="shared" si="151"/>
        <v/>
      </c>
      <c r="EG114" s="4" t="e">
        <f>VLOOKUP(DR114,Items!$B$1156:$AA$1282,18,FALSE)</f>
        <v>#N/A</v>
      </c>
      <c r="EH114" s="4">
        <f>VLOOKUP(DJ114,'Character Sheet'!$E$26:$EZ$45,81,FALSE)</f>
        <v>0</v>
      </c>
      <c r="EI114" s="4">
        <f>VLOOKUP(DJ114,'Character Sheet'!$E$26:$EZ$45,89,FALSE)</f>
        <v>0</v>
      </c>
      <c r="EJ114" s="4" t="e">
        <f t="shared" si="143"/>
        <v>#N/A</v>
      </c>
    </row>
    <row r="115" spans="29:140" x14ac:dyDescent="0.25">
      <c r="AC115" s="8" t="str">
        <f>IFERROR(VLOOKUP('Character Creation'!$CI128,Skills!$H$2:$N$620,6,FALSE),"")</f>
        <v/>
      </c>
      <c r="AD115" s="4">
        <f>'Character Creation'!EH128</f>
        <v>0</v>
      </c>
      <c r="AG115">
        <v>114</v>
      </c>
      <c r="AH115" s="4" t="str">
        <f t="shared" si="95"/>
        <v/>
      </c>
      <c r="AI115" t="str">
        <f>IFERROR(VLOOKUP(AG115,Skills!$B$2:$M$620,12,FALSE),"")</f>
        <v/>
      </c>
      <c r="AJ115" s="4" t="str">
        <f>IFERROR(VLOOKUP(AG115,Skills!$B$2:$AF$620,31,FALSE),"")</f>
        <v/>
      </c>
      <c r="AK115" s="4" t="str">
        <f t="shared" si="153"/>
        <v/>
      </c>
      <c r="AL115" s="4">
        <v>0.114</v>
      </c>
      <c r="AM115" s="62" t="str">
        <f t="shared" si="96"/>
        <v/>
      </c>
      <c r="AN115" t="str">
        <f t="shared" ca="1" si="97"/>
        <v/>
      </c>
      <c r="AO115" s="4" t="str">
        <f ca="1">IFERROR(VLOOKUP(AG115,$AH$2:$AJ$451,3,FALSE)&amp;IF(ISNUMBER(SEARCH(", Written",AN115))," -R"&amp;VLOOKUP(AN115,Skills!$M$2:$S$620,7,FALSE),IF(ISNUMBER(SEARCH(", Spoken",AN115))," -R"&amp;VLOOKUP(AN115,Skills!$M$2:$S$620,7,FALSE),"")),"")</f>
        <v/>
      </c>
      <c r="AQ115">
        <v>112</v>
      </c>
      <c r="AR115" s="8">
        <f>'Character Sheet'!FB114</f>
        <v>0</v>
      </c>
      <c r="AS115" s="4" t="str">
        <f t="shared" si="98"/>
        <v/>
      </c>
      <c r="AT115" s="4" t="str">
        <f t="shared" si="99"/>
        <v/>
      </c>
      <c r="AU115" s="4" t="str">
        <f t="shared" si="155"/>
        <v/>
      </c>
      <c r="AV115" s="4" t="str">
        <f t="shared" si="156"/>
        <v/>
      </c>
      <c r="AW115" s="4" t="str">
        <f t="shared" si="157"/>
        <v/>
      </c>
      <c r="AX115" s="4" t="str">
        <f t="shared" si="100"/>
        <v/>
      </c>
      <c r="AY115" s="4" t="str">
        <f t="shared" si="158"/>
        <v/>
      </c>
      <c r="AZ115" s="4" t="str">
        <f t="shared" si="159"/>
        <v/>
      </c>
      <c r="BA115" s="4" t="str">
        <f>IFERROR('Character Sheet'!JK114,"")</f>
        <v/>
      </c>
      <c r="BB115" s="4" t="str">
        <f t="shared" si="101"/>
        <v/>
      </c>
      <c r="BC115" s="4" t="str">
        <f t="shared" si="160"/>
        <v/>
      </c>
      <c r="BD115" s="4" t="str">
        <f t="shared" si="111"/>
        <v/>
      </c>
      <c r="BE115" s="4" t="str">
        <f t="shared" si="161"/>
        <v/>
      </c>
      <c r="BF115" s="4" t="str">
        <f t="shared" si="162"/>
        <v/>
      </c>
      <c r="BG115" s="4" t="str">
        <f t="shared" si="163"/>
        <v/>
      </c>
      <c r="BH115" s="4" t="str">
        <f>IFERROR('Character Sheet'!KC114,"")</f>
        <v/>
      </c>
      <c r="BI115" s="4" t="str">
        <f t="shared" si="102"/>
        <v/>
      </c>
      <c r="BJ115" s="4" t="str">
        <f t="shared" si="164"/>
        <v/>
      </c>
      <c r="BK115" s="4" t="str">
        <f t="shared" si="116"/>
        <v/>
      </c>
      <c r="BL115" s="4" t="str">
        <f t="shared" si="165"/>
        <v/>
      </c>
      <c r="BM115" s="4" t="str">
        <f t="shared" si="166"/>
        <v/>
      </c>
      <c r="BN115" s="4" t="str">
        <f t="shared" si="167"/>
        <v/>
      </c>
      <c r="BO115" s="4" t="str">
        <f t="shared" si="168"/>
        <v/>
      </c>
      <c r="BP115" s="4" t="str">
        <f t="shared" si="169"/>
        <v/>
      </c>
      <c r="BQ115" s="4" t="str">
        <f>IFERROR('Character Sheet'!IQ114+VLOOKUP(BA115,MaterialChart,5,FALSE),"")</f>
        <v/>
      </c>
      <c r="BR115" s="4" t="str">
        <f t="shared" si="170"/>
        <v/>
      </c>
      <c r="BS115" s="4">
        <f t="shared" si="144"/>
        <v>0</v>
      </c>
      <c r="BT115" s="4" t="str">
        <f t="shared" si="171"/>
        <v/>
      </c>
      <c r="BU115" s="4" t="str">
        <f t="shared" si="172"/>
        <v/>
      </c>
      <c r="BV115" s="4" t="str">
        <f t="shared" si="173"/>
        <v/>
      </c>
      <c r="BW115" s="4" t="str">
        <f>IFERROR(ROUNDUP((BE115*(BB115-AT115))+(BL115*(BI115-AX115))+(BT115*(((100+(BD115+IF(BE115=1,0,BK115))+(4*BR115))/100)))*'Character Sheet'!GT114,3),"")</f>
        <v/>
      </c>
      <c r="BX115" s="4" t="str">
        <f t="shared" si="154"/>
        <v/>
      </c>
      <c r="BY115" s="8" t="str">
        <f t="shared" si="126"/>
        <v/>
      </c>
      <c r="BZ115" s="4">
        <f>IF(ISNUMBER(SEARCH(BZ$83,$BY115)),VLOOKUP($BA115&amp;$CU115,Armour!$B$4:$BP$99,67,FALSE),0)</f>
        <v>0</v>
      </c>
      <c r="CA115" s="4">
        <f>IF(ISNUMBER(SEARCH(CA$83,$BY115)),VLOOKUP($BA115&amp;$CU115,Armour!$B$4:$BP$99,67,FALSE),0)</f>
        <v>0</v>
      </c>
      <c r="CB115" s="4">
        <f>IF(ISNUMBER(SEARCH(CB$83,$BY115)),VLOOKUP($BA115&amp;$CU115,Armour!$B$4:$BP$99,67,FALSE),0)</f>
        <v>0</v>
      </c>
      <c r="CC115" s="4">
        <f>IF(ISNUMBER(SEARCH(CC$83,$BY115)),VLOOKUP($BA115&amp;$CU115,Armour!$B$4:$BP$99,67,FALSE),0)</f>
        <v>0</v>
      </c>
      <c r="CD115" s="4">
        <f>IF(ISNUMBER(SEARCH(CD$83,$BY115)),VLOOKUP($BA115&amp;$CU115,Armour!$B$4:$BP$99,67,FALSE),0)</f>
        <v>0</v>
      </c>
      <c r="CE115" s="4">
        <f>IF(ISNUMBER(SEARCH(CE$83,$BY115)),VLOOKUP($BA115&amp;$CU115,Armour!$B$4:$BP$99,67,FALSE),0)</f>
        <v>0</v>
      </c>
      <c r="CF115" s="4">
        <f>IF(ISNUMBER(SEARCH(CF$83,$BY115)),VLOOKUP($BA115&amp;$CU115,Armour!$B$4:$BP$99,67,FALSE),0)</f>
        <v>0</v>
      </c>
      <c r="CG115" s="4">
        <f>IF(ISNUMBER(SEARCH(CG$83,$BY115)),VLOOKUP($BA115&amp;$CU115,Armour!$B$4:$BP$99,67,FALSE),0)</f>
        <v>0</v>
      </c>
      <c r="CH115" s="4">
        <f>IF(ISNUMBER(SEARCH(CH$83,$BY115)),VLOOKUP($BA115&amp;$CU115,Armour!$B$4:$BP$99,67,FALSE),0)</f>
        <v>0</v>
      </c>
      <c r="CI115" s="4">
        <f>IF(ISNUMBER(SEARCH(CI$83,$BY115)),VLOOKUP($BA115&amp;$CU115,Armour!$B$4:$BP$99,67,FALSE),0)</f>
        <v>0</v>
      </c>
      <c r="CJ115" s="4">
        <f>IF(ISNUMBER(SEARCH(CJ$83,$BY115)),VLOOKUP($BA115&amp;$CU115,Armour!$B$4:$BP$99,67,FALSE),0)</f>
        <v>0</v>
      </c>
      <c r="CK115" s="4">
        <f>IF(ISNUMBER(SEARCH(CK$83,$BY115)),VLOOKUP($BA115&amp;$CU115,Armour!$B$4:$BP$99,67,FALSE),0)</f>
        <v>0</v>
      </c>
      <c r="CL115" s="4">
        <f>IF(ISNUMBER(SEARCH(CL$83,$BY115)),VLOOKUP($BA115&amp;$CU115,Armour!$B$4:$BP$99,67,FALSE),0)</f>
        <v>0</v>
      </c>
      <c r="CM115" s="4">
        <f>IF(ISNUMBER(SEARCH(CM$83,$BY115)),VLOOKUP($BA115&amp;$CU115,Armour!$B$4:$BP$99,67,FALSE),0)</f>
        <v>0</v>
      </c>
      <c r="CN115" s="4">
        <f>IF(ISNUMBER(SEARCH(CN$83,$BY115)),VLOOKUP($BA115&amp;$CU115,Armour!$B$4:$BP$99,67,FALSE),0)</f>
        <v>0</v>
      </c>
      <c r="CO115" s="4">
        <f>IF(ISNUMBER(SEARCH(CO$83,$BY115)),VLOOKUP($BA115&amp;$CU115,Armour!$B$4:$BP$99,67,FALSE),0)</f>
        <v>0</v>
      </c>
      <c r="CP115" s="4">
        <f>IF(ISNUMBER(SEARCH(CP$83,$BY115)),VLOOKUP($BA115&amp;$CU115,Armour!$B$4:$BP$99,67,FALSE),0)</f>
        <v>0</v>
      </c>
      <c r="CQ115" s="4">
        <f>IF(ISNUMBER(SEARCH(CQ$83,$BY115)),VLOOKUP($BA115&amp;$CU115,Armour!$B$4:$BP$99,67,FALSE),0)</f>
        <v>0</v>
      </c>
      <c r="CR115" s="4">
        <f>IF(ISNUMBER(SEARCH(CR$83,$BY115)),VLOOKUP($BA115&amp;$CU115,Armour!$B$4:$BP$99,67,FALSE),0)</f>
        <v>0</v>
      </c>
      <c r="CS115" s="4">
        <f>IF(ISNUMBER(SEARCH(CS$83,$BY115)),VLOOKUP($BA115&amp;$CU115,Armour!$B$4:$BP$99,67,FALSE),0)</f>
        <v>0</v>
      </c>
      <c r="CT115" s="4">
        <f>IF(ISNUMBER(SEARCH(CT$83,$BY115)),VLOOKUP($BA115&amp;$CU115,Armour!$B$4:$BP$99,67,FALSE),0)</f>
        <v>0</v>
      </c>
      <c r="CU115" s="4" t="e">
        <f t="shared" si="127"/>
        <v>#N/A</v>
      </c>
      <c r="DH115" s="4" t="str">
        <f t="shared" si="103"/>
        <v/>
      </c>
      <c r="DI115">
        <v>33</v>
      </c>
      <c r="DJ115" s="3" t="str">
        <f t="shared" si="135"/>
        <v/>
      </c>
      <c r="DK115" s="4" t="str">
        <f t="shared" si="145"/>
        <v/>
      </c>
      <c r="DL115" s="4" t="str">
        <f>IFERROR(IF(DK115=0,"",VLOOKUP(DK115,Skills!$N$72:$AF$107,19,FALSE)),"")</f>
        <v/>
      </c>
      <c r="DM115" s="4"/>
      <c r="DN115" s="4" t="str">
        <f t="shared" si="136"/>
        <v/>
      </c>
      <c r="DO115" s="4" t="str">
        <f t="shared" si="152"/>
        <v/>
      </c>
      <c r="DP115" s="4">
        <f t="shared" si="104"/>
        <v>0</v>
      </c>
      <c r="DQ115" s="4">
        <f t="shared" si="137"/>
        <v>2</v>
      </c>
      <c r="DR115" s="4" t="e">
        <f t="shared" si="138"/>
        <v>#N/A</v>
      </c>
      <c r="DS115" s="4">
        <f t="shared" si="139"/>
        <v>33</v>
      </c>
      <c r="DT115" s="4" t="str">
        <f t="shared" si="146"/>
        <v/>
      </c>
      <c r="DU115" s="4" t="str">
        <f t="shared" si="147"/>
        <v/>
      </c>
      <c r="DV115" s="4" t="e">
        <f>VLOOKUP((VLOOKUP((VLOOKUP('Character Creation'!$Z$11,RaceChart,20,FALSE)&amp;" "&amp;VLOOKUP('Character Creation'!$Z$11,RaceChart,21,FALSE)),Charts!$H$2:$J$14,3,FALSE)+DU115),Charts!$J$2:$N$14,5,FALSE)</f>
        <v>#VALUE!</v>
      </c>
      <c r="DW115" s="4" t="e">
        <f>VLOOKUP(DV115,Charts!$N$2:$Q$14,4,FALSE)</f>
        <v>#VALUE!</v>
      </c>
      <c r="DX115" s="4" t="str">
        <f t="shared" si="140"/>
        <v/>
      </c>
      <c r="DY115" s="4" t="str">
        <f t="shared" si="148"/>
        <v/>
      </c>
      <c r="DZ115" s="4" t="str">
        <f t="shared" si="141"/>
        <v/>
      </c>
      <c r="EA115" s="4" t="e">
        <f>ROUNDDOWN(VLOOKUP(DK115,Skills!$N$72:$S$107,6,FALSE)/5,0)</f>
        <v>#N/A</v>
      </c>
      <c r="EB115" s="4" t="str">
        <f t="shared" si="149"/>
        <v/>
      </c>
      <c r="EC115" s="4" t="str">
        <f t="shared" si="142"/>
        <v>+</v>
      </c>
      <c r="ED115" s="4" t="e">
        <f>VLOOKUP(DJ115,'Character Sheet'!$FB$21:$HQ$35,61,FALSE)</f>
        <v>#N/A</v>
      </c>
      <c r="EE115" s="4" t="str">
        <f t="shared" si="150"/>
        <v/>
      </c>
      <c r="EF115" s="4" t="str">
        <f t="shared" si="151"/>
        <v/>
      </c>
      <c r="EG115" s="4" t="e">
        <f>VLOOKUP(DR115,Items!$B$1156:$AA$1282,18,FALSE)</f>
        <v>#N/A</v>
      </c>
      <c r="EH115" s="4">
        <f>VLOOKUP(DJ115,'Character Sheet'!$E$26:$EZ$45,81,FALSE)</f>
        <v>0</v>
      </c>
      <c r="EI115" s="4">
        <f>VLOOKUP(DJ115,'Character Sheet'!$E$26:$EZ$45,89,FALSE)</f>
        <v>0</v>
      </c>
      <c r="EJ115" s="4" t="e">
        <f t="shared" si="143"/>
        <v>#N/A</v>
      </c>
    </row>
    <row r="116" spans="29:140" x14ac:dyDescent="0.25">
      <c r="AC116" s="8" t="str">
        <f>IFERROR(VLOOKUP('Character Creation'!$CI129,Skills!$H$2:$N$620,6,FALSE),"")</f>
        <v/>
      </c>
      <c r="AD116" s="4">
        <f>'Character Creation'!EH129</f>
        <v>0</v>
      </c>
      <c r="AG116">
        <v>115</v>
      </c>
      <c r="AH116" s="4" t="str">
        <f t="shared" si="95"/>
        <v/>
      </c>
      <c r="AI116" t="str">
        <f>IFERROR(VLOOKUP(AG116,Skills!$B$2:$M$620,12,FALSE),"")</f>
        <v/>
      </c>
      <c r="AJ116" s="4" t="str">
        <f>IFERROR(VLOOKUP(AG116,Skills!$B$2:$AF$620,31,FALSE),"")</f>
        <v/>
      </c>
      <c r="AK116" s="4" t="str">
        <f t="shared" si="153"/>
        <v/>
      </c>
      <c r="AL116" s="4">
        <v>0.115</v>
      </c>
      <c r="AM116" s="62" t="str">
        <f t="shared" si="96"/>
        <v/>
      </c>
      <c r="AN116" t="str">
        <f t="shared" ca="1" si="97"/>
        <v/>
      </c>
      <c r="AO116" s="4" t="str">
        <f ca="1">IFERROR(VLOOKUP(AG116,$AH$2:$AJ$451,3,FALSE)&amp;IF(ISNUMBER(SEARCH(", Written",AN116))," -R"&amp;VLOOKUP(AN116,Skills!$M$2:$S$620,7,FALSE),IF(ISNUMBER(SEARCH(", Spoken",AN116))," -R"&amp;VLOOKUP(AN116,Skills!$M$2:$S$620,7,FALSE),"")),"")</f>
        <v/>
      </c>
      <c r="AQ116">
        <v>113</v>
      </c>
      <c r="AR116" s="8">
        <f>'Character Sheet'!FB115</f>
        <v>0</v>
      </c>
      <c r="AS116" s="4" t="str">
        <f t="shared" si="98"/>
        <v/>
      </c>
      <c r="AT116" s="4" t="str">
        <f t="shared" si="99"/>
        <v/>
      </c>
      <c r="AU116" s="4" t="str">
        <f t="shared" si="155"/>
        <v/>
      </c>
      <c r="AV116" s="4" t="str">
        <f t="shared" si="156"/>
        <v/>
      </c>
      <c r="AW116" s="4" t="str">
        <f t="shared" si="157"/>
        <v/>
      </c>
      <c r="AX116" s="4" t="str">
        <f t="shared" si="100"/>
        <v/>
      </c>
      <c r="AY116" s="4" t="str">
        <f t="shared" si="158"/>
        <v/>
      </c>
      <c r="AZ116" s="4" t="str">
        <f t="shared" si="159"/>
        <v/>
      </c>
      <c r="BA116" s="4">
        <f>IFERROR('Character Sheet'!JK115,"")</f>
        <v>0</v>
      </c>
      <c r="BB116" s="4" t="str">
        <f t="shared" si="101"/>
        <v/>
      </c>
      <c r="BC116" s="4" t="str">
        <f t="shared" si="160"/>
        <v/>
      </c>
      <c r="BD116" s="4" t="str">
        <f t="shared" si="111"/>
        <v/>
      </c>
      <c r="BE116" s="4" t="str">
        <f t="shared" si="161"/>
        <v/>
      </c>
      <c r="BF116" s="4" t="str">
        <f t="shared" si="162"/>
        <v/>
      </c>
      <c r="BG116" s="4" t="str">
        <f t="shared" si="163"/>
        <v/>
      </c>
      <c r="BH116" s="4">
        <f>IFERROR('Character Sheet'!KC115,"")</f>
        <v>0</v>
      </c>
      <c r="BI116" s="4" t="str">
        <f t="shared" si="102"/>
        <v/>
      </c>
      <c r="BJ116" s="4" t="str">
        <f t="shared" si="164"/>
        <v/>
      </c>
      <c r="BK116" s="4" t="str">
        <f t="shared" si="116"/>
        <v/>
      </c>
      <c r="BL116" s="4" t="str">
        <f t="shared" si="165"/>
        <v/>
      </c>
      <c r="BM116" s="4" t="str">
        <f t="shared" si="166"/>
        <v/>
      </c>
      <c r="BN116" s="4" t="str">
        <f t="shared" si="167"/>
        <v/>
      </c>
      <c r="BO116" s="4" t="str">
        <f t="shared" si="168"/>
        <v/>
      </c>
      <c r="BP116" s="4" t="str">
        <f t="shared" si="169"/>
        <v/>
      </c>
      <c r="BQ116" s="4" t="str">
        <f>IFERROR('Character Sheet'!IQ115+VLOOKUP(BA116,MaterialChart,5,FALSE),"")</f>
        <v/>
      </c>
      <c r="BR116" s="4" t="str">
        <f t="shared" si="170"/>
        <v/>
      </c>
      <c r="BS116" s="4">
        <f t="shared" si="144"/>
        <v>0</v>
      </c>
      <c r="BT116" s="4" t="str">
        <f t="shared" si="171"/>
        <v/>
      </c>
      <c r="BU116" s="4" t="str">
        <f t="shared" si="172"/>
        <v/>
      </c>
      <c r="BV116" s="4" t="str">
        <f t="shared" si="173"/>
        <v/>
      </c>
      <c r="BW116" s="4" t="str">
        <f>IFERROR(ROUNDUP((BE116*(BB116-AT116))+(BL116*(BI116-AX116))+(BT116*(((100+(BD116+IF(BE116=1,0,BK116))+(4*BR116))/100)))*'Character Sheet'!GT115,3),"")</f>
        <v/>
      </c>
      <c r="BX116" s="4" t="str">
        <f t="shared" si="154"/>
        <v/>
      </c>
      <c r="BY116" s="8" t="str">
        <f t="shared" si="126"/>
        <v/>
      </c>
      <c r="BZ116" s="4">
        <f>IF(ISNUMBER(SEARCH(BZ$83,$BY116)),VLOOKUP($BA116&amp;$CU116,Armour!$B$4:$BP$99,67,FALSE),0)</f>
        <v>0</v>
      </c>
      <c r="CA116" s="4">
        <f>IF(ISNUMBER(SEARCH(CA$83,$BY116)),VLOOKUP($BA116&amp;$CU116,Armour!$B$4:$BP$99,67,FALSE),0)</f>
        <v>0</v>
      </c>
      <c r="CB116" s="4">
        <f>IF(ISNUMBER(SEARCH(CB$83,$BY116)),VLOOKUP($BA116&amp;$CU116,Armour!$B$4:$BP$99,67,FALSE),0)</f>
        <v>0</v>
      </c>
      <c r="CC116" s="4">
        <f>IF(ISNUMBER(SEARCH(CC$83,$BY116)),VLOOKUP($BA116&amp;$CU116,Armour!$B$4:$BP$99,67,FALSE),0)</f>
        <v>0</v>
      </c>
      <c r="CD116" s="4">
        <f>IF(ISNUMBER(SEARCH(CD$83,$BY116)),VLOOKUP($BA116&amp;$CU116,Armour!$B$4:$BP$99,67,FALSE),0)</f>
        <v>0</v>
      </c>
      <c r="CE116" s="4">
        <f>IF(ISNUMBER(SEARCH(CE$83,$BY116)),VLOOKUP($BA116&amp;$CU116,Armour!$B$4:$BP$99,67,FALSE),0)</f>
        <v>0</v>
      </c>
      <c r="CF116" s="4">
        <f>IF(ISNUMBER(SEARCH(CF$83,$BY116)),VLOOKUP($BA116&amp;$CU116,Armour!$B$4:$BP$99,67,FALSE),0)</f>
        <v>0</v>
      </c>
      <c r="CG116" s="4">
        <f>IF(ISNUMBER(SEARCH(CG$83,$BY116)),VLOOKUP($BA116&amp;$CU116,Armour!$B$4:$BP$99,67,FALSE),0)</f>
        <v>0</v>
      </c>
      <c r="CH116" s="4">
        <f>IF(ISNUMBER(SEARCH(CH$83,$BY116)),VLOOKUP($BA116&amp;$CU116,Armour!$B$4:$BP$99,67,FALSE),0)</f>
        <v>0</v>
      </c>
      <c r="CI116" s="4">
        <f>IF(ISNUMBER(SEARCH(CI$83,$BY116)),VLOOKUP($BA116&amp;$CU116,Armour!$B$4:$BP$99,67,FALSE),0)</f>
        <v>0</v>
      </c>
      <c r="CJ116" s="4">
        <f>IF(ISNUMBER(SEARCH(CJ$83,$BY116)),VLOOKUP($BA116&amp;$CU116,Armour!$B$4:$BP$99,67,FALSE),0)</f>
        <v>0</v>
      </c>
      <c r="CK116" s="4">
        <f>IF(ISNUMBER(SEARCH(CK$83,$BY116)),VLOOKUP($BA116&amp;$CU116,Armour!$B$4:$BP$99,67,FALSE),0)</f>
        <v>0</v>
      </c>
      <c r="CL116" s="4">
        <f>IF(ISNUMBER(SEARCH(CL$83,$BY116)),VLOOKUP($BA116&amp;$CU116,Armour!$B$4:$BP$99,67,FALSE),0)</f>
        <v>0</v>
      </c>
      <c r="CM116" s="4">
        <f>IF(ISNUMBER(SEARCH(CM$83,$BY116)),VLOOKUP($BA116&amp;$CU116,Armour!$B$4:$BP$99,67,FALSE),0)</f>
        <v>0</v>
      </c>
      <c r="CN116" s="4">
        <f>IF(ISNUMBER(SEARCH(CN$83,$BY116)),VLOOKUP($BA116&amp;$CU116,Armour!$B$4:$BP$99,67,FALSE),0)</f>
        <v>0</v>
      </c>
      <c r="CO116" s="4">
        <f>IF(ISNUMBER(SEARCH(CO$83,$BY116)),VLOOKUP($BA116&amp;$CU116,Armour!$B$4:$BP$99,67,FALSE),0)</f>
        <v>0</v>
      </c>
      <c r="CP116" s="4">
        <f>IF(ISNUMBER(SEARCH(CP$83,$BY116)),VLOOKUP($BA116&amp;$CU116,Armour!$B$4:$BP$99,67,FALSE),0)</f>
        <v>0</v>
      </c>
      <c r="CQ116" s="4">
        <f>IF(ISNUMBER(SEARCH(CQ$83,$BY116)),VLOOKUP($BA116&amp;$CU116,Armour!$B$4:$BP$99,67,FALSE),0)</f>
        <v>0</v>
      </c>
      <c r="CR116" s="4">
        <f>IF(ISNUMBER(SEARCH(CR$83,$BY116)),VLOOKUP($BA116&amp;$CU116,Armour!$B$4:$BP$99,67,FALSE),0)</f>
        <v>0</v>
      </c>
      <c r="CS116" s="4">
        <f>IF(ISNUMBER(SEARCH(CS$83,$BY116)),VLOOKUP($BA116&amp;$CU116,Armour!$B$4:$BP$99,67,FALSE),0)</f>
        <v>0</v>
      </c>
      <c r="CT116" s="4">
        <f>IF(ISNUMBER(SEARCH(CT$83,$BY116)),VLOOKUP($BA116&amp;$CU116,Armour!$B$4:$BP$99,67,FALSE),0)</f>
        <v>0</v>
      </c>
      <c r="CU116" s="4" t="e">
        <f t="shared" si="127"/>
        <v>#N/A</v>
      </c>
      <c r="DH116" s="4" t="str">
        <f t="shared" si="103"/>
        <v/>
      </c>
      <c r="DI116">
        <v>34</v>
      </c>
      <c r="DJ116" s="3" t="str">
        <f t="shared" si="135"/>
        <v/>
      </c>
      <c r="DK116" s="4" t="str">
        <f t="shared" si="145"/>
        <v/>
      </c>
      <c r="DL116" s="4" t="str">
        <f>IFERROR(IF(DK116=0,"",VLOOKUP(DK116,Skills!$N$72:$AF$107,19,FALSE)),"")</f>
        <v/>
      </c>
      <c r="DM116" s="4"/>
      <c r="DN116" s="4" t="str">
        <f t="shared" si="136"/>
        <v/>
      </c>
      <c r="DO116" s="4" t="str">
        <f t="shared" si="152"/>
        <v/>
      </c>
      <c r="DP116" s="4">
        <f t="shared" si="104"/>
        <v>0</v>
      </c>
      <c r="DQ116" s="4">
        <f t="shared" si="137"/>
        <v>2</v>
      </c>
      <c r="DR116" s="4" t="e">
        <f t="shared" si="138"/>
        <v>#N/A</v>
      </c>
      <c r="DS116" s="4">
        <f t="shared" si="139"/>
        <v>34</v>
      </c>
      <c r="DT116" s="4" t="str">
        <f t="shared" si="146"/>
        <v/>
      </c>
      <c r="DU116" s="4" t="str">
        <f t="shared" si="147"/>
        <v/>
      </c>
      <c r="DV116" s="4" t="e">
        <f>VLOOKUP((VLOOKUP((VLOOKUP('Character Creation'!$Z$11,RaceChart,20,FALSE)&amp;" "&amp;VLOOKUP('Character Creation'!$Z$11,RaceChart,21,FALSE)),Charts!$H$2:$J$14,3,FALSE)+DU116),Charts!$J$2:$N$14,5,FALSE)</f>
        <v>#VALUE!</v>
      </c>
      <c r="DW116" s="4" t="e">
        <f>VLOOKUP(DV116,Charts!$N$2:$Q$14,4,FALSE)</f>
        <v>#VALUE!</v>
      </c>
      <c r="DX116" s="4" t="str">
        <f t="shared" si="140"/>
        <v/>
      </c>
      <c r="DY116" s="4" t="str">
        <f t="shared" si="148"/>
        <v/>
      </c>
      <c r="DZ116" s="4" t="str">
        <f t="shared" si="141"/>
        <v/>
      </c>
      <c r="EA116" s="4" t="e">
        <f>ROUNDDOWN(VLOOKUP(DK116,Skills!$N$72:$S$107,6,FALSE)/5,0)</f>
        <v>#N/A</v>
      </c>
      <c r="EB116" s="4" t="str">
        <f t="shared" si="149"/>
        <v/>
      </c>
      <c r="EC116" s="4" t="str">
        <f t="shared" si="142"/>
        <v>+</v>
      </c>
      <c r="ED116" s="4" t="e">
        <f>VLOOKUP(DJ116,'Character Sheet'!$FB$21:$HQ$35,61,FALSE)</f>
        <v>#N/A</v>
      </c>
      <c r="EE116" s="4" t="str">
        <f t="shared" si="150"/>
        <v/>
      </c>
      <c r="EF116" s="4" t="str">
        <f t="shared" si="151"/>
        <v/>
      </c>
      <c r="EG116" s="4" t="e">
        <f>VLOOKUP(DR116,Items!$B$1156:$AA$1282,18,FALSE)</f>
        <v>#N/A</v>
      </c>
      <c r="EH116" s="4">
        <f>VLOOKUP(DJ116,'Character Sheet'!$E$26:$EZ$45,81,FALSE)</f>
        <v>0</v>
      </c>
      <c r="EI116" s="4">
        <f>VLOOKUP(DJ116,'Character Sheet'!$E$26:$EZ$45,89,FALSE)</f>
        <v>0</v>
      </c>
      <c r="EJ116" s="4" t="e">
        <f t="shared" si="143"/>
        <v>#N/A</v>
      </c>
    </row>
    <row r="117" spans="29:140" x14ac:dyDescent="0.25">
      <c r="AC117" s="8" t="str">
        <f>IFERROR(VLOOKUP('Character Creation'!$CI130,Skills!$H$2:$N$620,6,FALSE),"")</f>
        <v/>
      </c>
      <c r="AD117" s="4">
        <f>'Character Creation'!EH130</f>
        <v>0</v>
      </c>
      <c r="AG117">
        <v>116</v>
      </c>
      <c r="AH117" s="4" t="str">
        <f t="shared" si="95"/>
        <v/>
      </c>
      <c r="AI117" t="str">
        <f>IFERROR(VLOOKUP(AG117,Skills!$B$2:$M$620,12,FALSE),"")</f>
        <v/>
      </c>
      <c r="AJ117" s="4" t="str">
        <f>IFERROR(VLOOKUP(AG117,Skills!$B$2:$AF$620,31,FALSE),"")</f>
        <v/>
      </c>
      <c r="AK117" s="4" t="str">
        <f t="shared" si="153"/>
        <v/>
      </c>
      <c r="AL117" s="4">
        <v>0.11600000000000001</v>
      </c>
      <c r="AM117" s="62" t="str">
        <f t="shared" si="96"/>
        <v/>
      </c>
      <c r="AN117" t="str">
        <f t="shared" ca="1" si="97"/>
        <v/>
      </c>
      <c r="AO117" s="4" t="str">
        <f ca="1">IFERROR(VLOOKUP(AG117,$AH$2:$AJ$451,3,FALSE)&amp;IF(ISNUMBER(SEARCH(", Written",AN117))," -R"&amp;VLOOKUP(AN117,Skills!$M$2:$S$620,7,FALSE),IF(ISNUMBER(SEARCH(", Spoken",AN117))," -R"&amp;VLOOKUP(AN117,Skills!$M$2:$S$620,7,FALSE),"")),"")</f>
        <v/>
      </c>
      <c r="AR117" s="8"/>
      <c r="BT117" s="4"/>
      <c r="BU117" s="4"/>
      <c r="BV117" s="4"/>
      <c r="BW117" s="4"/>
      <c r="BX117" s="4"/>
      <c r="DH117" s="4" t="str">
        <f t="shared" si="103"/>
        <v/>
      </c>
      <c r="DI117">
        <v>35</v>
      </c>
      <c r="DJ117" s="3" t="str">
        <f t="shared" si="135"/>
        <v/>
      </c>
      <c r="DK117" s="4" t="str">
        <f t="shared" si="145"/>
        <v/>
      </c>
      <c r="DL117" s="4" t="str">
        <f>IFERROR(IF(DK117=0,"",VLOOKUP(DK117,Skills!$N$72:$AF$107,19,FALSE)),"")</f>
        <v/>
      </c>
      <c r="DM117" s="4"/>
      <c r="DN117" s="4" t="str">
        <f t="shared" si="136"/>
        <v/>
      </c>
      <c r="DO117" s="4" t="str">
        <f t="shared" si="152"/>
        <v/>
      </c>
      <c r="DP117" s="4">
        <f t="shared" si="104"/>
        <v>0</v>
      </c>
      <c r="DQ117" s="4">
        <f t="shared" si="137"/>
        <v>2</v>
      </c>
      <c r="DR117" s="4" t="e">
        <f t="shared" si="138"/>
        <v>#N/A</v>
      </c>
      <c r="DS117" s="4">
        <f t="shared" si="139"/>
        <v>35</v>
      </c>
      <c r="DT117" s="4" t="str">
        <f t="shared" si="146"/>
        <v/>
      </c>
      <c r="DU117" s="4" t="str">
        <f t="shared" si="147"/>
        <v/>
      </c>
      <c r="DV117" s="4" t="e">
        <f>VLOOKUP((VLOOKUP((VLOOKUP('Character Creation'!$Z$11,RaceChart,20,FALSE)&amp;" "&amp;VLOOKUP('Character Creation'!$Z$11,RaceChart,21,FALSE)),Charts!$H$2:$J$14,3,FALSE)+DU117),Charts!$J$2:$N$14,5,FALSE)</f>
        <v>#VALUE!</v>
      </c>
      <c r="DW117" s="4" t="e">
        <f>VLOOKUP(DV117,Charts!$N$2:$Q$14,4,FALSE)</f>
        <v>#VALUE!</v>
      </c>
      <c r="DX117" s="4" t="str">
        <f t="shared" si="140"/>
        <v/>
      </c>
      <c r="DY117" s="4" t="str">
        <f t="shared" si="148"/>
        <v/>
      </c>
      <c r="DZ117" s="4" t="str">
        <f t="shared" si="141"/>
        <v/>
      </c>
      <c r="EA117" s="4" t="e">
        <f>ROUNDDOWN(VLOOKUP(DK117,Skills!$N$72:$S$107,6,FALSE)/5,0)</f>
        <v>#N/A</v>
      </c>
      <c r="EB117" s="4" t="str">
        <f t="shared" si="149"/>
        <v/>
      </c>
      <c r="EC117" s="4" t="str">
        <f t="shared" si="142"/>
        <v>+</v>
      </c>
      <c r="ED117" s="4" t="e">
        <f>VLOOKUP(DJ117,'Character Sheet'!$FB$21:$HQ$35,61,FALSE)</f>
        <v>#N/A</v>
      </c>
      <c r="EE117" s="4" t="str">
        <f t="shared" si="150"/>
        <v/>
      </c>
      <c r="EF117" s="4" t="str">
        <f t="shared" si="151"/>
        <v/>
      </c>
      <c r="EG117" s="4" t="e">
        <f>VLOOKUP(DR117,Items!$B$1156:$AA$1282,18,FALSE)</f>
        <v>#N/A</v>
      </c>
      <c r="EH117" s="4">
        <f>VLOOKUP(DJ117,'Character Sheet'!$E$26:$EZ$45,81,FALSE)</f>
        <v>0</v>
      </c>
      <c r="EI117" s="4">
        <f>VLOOKUP(DJ117,'Character Sheet'!$E$26:$EZ$45,89,FALSE)</f>
        <v>0</v>
      </c>
      <c r="EJ117" s="4" t="e">
        <f t="shared" si="143"/>
        <v>#N/A</v>
      </c>
    </row>
    <row r="118" spans="29:140" x14ac:dyDescent="0.25">
      <c r="AC118" s="8" t="str">
        <f>IFERROR(VLOOKUP('Character Creation'!$CI131,Skills!$H$2:$N$620,6,FALSE),"")</f>
        <v/>
      </c>
      <c r="AD118" s="4">
        <f>'Character Creation'!EH131</f>
        <v>0</v>
      </c>
      <c r="AG118">
        <v>117</v>
      </c>
      <c r="AH118" s="4" t="str">
        <f t="shared" si="95"/>
        <v/>
      </c>
      <c r="AI118" t="str">
        <f>IFERROR(VLOOKUP(AG118,Skills!$B$2:$M$620,12,FALSE),"")</f>
        <v/>
      </c>
      <c r="AJ118" s="4" t="str">
        <f>IFERROR(VLOOKUP(AG118,Skills!$B$2:$AF$620,31,FALSE),"")</f>
        <v/>
      </c>
      <c r="AK118" s="4" t="str">
        <f t="shared" si="153"/>
        <v/>
      </c>
      <c r="AL118" s="4">
        <v>0.11700000000000001</v>
      </c>
      <c r="AM118" s="62" t="str">
        <f t="shared" si="96"/>
        <v/>
      </c>
      <c r="AN118" t="str">
        <f t="shared" ca="1" si="97"/>
        <v/>
      </c>
      <c r="AO118" s="4" t="str">
        <f ca="1">IFERROR(VLOOKUP(AG118,$AH$2:$AJ$451,3,FALSE)&amp;IF(ISNUMBER(SEARCH(", Written",AN118))," -R"&amp;VLOOKUP(AN118,Skills!$M$2:$S$620,7,FALSE),IF(ISNUMBER(SEARCH(", Spoken",AN118))," -R"&amp;VLOOKUP(AN118,Skills!$M$2:$S$620,7,FALSE),"")),"")</f>
        <v/>
      </c>
      <c r="AR118" s="8"/>
      <c r="BT118" s="4"/>
      <c r="BU118" s="4"/>
      <c r="BV118" s="4"/>
      <c r="BW118" s="4"/>
      <c r="BX118" s="4"/>
      <c r="DH118" s="4" t="str">
        <f t="shared" si="103"/>
        <v/>
      </c>
      <c r="DI118">
        <v>36</v>
      </c>
      <c r="DJ118" s="3" t="str">
        <f t="shared" si="135"/>
        <v/>
      </c>
      <c r="DK118" s="4" t="str">
        <f t="shared" si="145"/>
        <v/>
      </c>
      <c r="DL118" s="4" t="str">
        <f>IFERROR(IF(DK118=0,"",VLOOKUP(DK118,Skills!$N$72:$AF$107,19,FALSE)),"")</f>
        <v/>
      </c>
      <c r="DM118" s="4"/>
      <c r="DN118" s="4" t="str">
        <f t="shared" si="136"/>
        <v/>
      </c>
      <c r="DO118" s="4" t="str">
        <f t="shared" si="152"/>
        <v/>
      </c>
      <c r="DP118" s="4">
        <f t="shared" si="104"/>
        <v>0</v>
      </c>
      <c r="DQ118" s="4">
        <f t="shared" si="137"/>
        <v>2</v>
      </c>
      <c r="DR118" s="4" t="e">
        <f t="shared" si="138"/>
        <v>#N/A</v>
      </c>
      <c r="DS118" s="4">
        <f t="shared" si="139"/>
        <v>36</v>
      </c>
      <c r="DT118" s="4" t="str">
        <f t="shared" si="146"/>
        <v/>
      </c>
      <c r="DU118" s="4" t="str">
        <f t="shared" si="147"/>
        <v/>
      </c>
      <c r="DV118" s="4" t="e">
        <f>VLOOKUP((VLOOKUP((VLOOKUP('Character Creation'!$Z$11,RaceChart,20,FALSE)&amp;" "&amp;VLOOKUP('Character Creation'!$Z$11,RaceChart,21,FALSE)),Charts!$H$2:$J$14,3,FALSE)+DU118),Charts!$J$2:$N$14,5,FALSE)</f>
        <v>#VALUE!</v>
      </c>
      <c r="DW118" s="4" t="e">
        <f>VLOOKUP(DV118,Charts!$N$2:$Q$14,4,FALSE)</f>
        <v>#VALUE!</v>
      </c>
      <c r="DX118" s="4" t="str">
        <f t="shared" si="140"/>
        <v/>
      </c>
      <c r="DY118" s="4" t="str">
        <f t="shared" si="148"/>
        <v/>
      </c>
      <c r="DZ118" s="4" t="str">
        <f t="shared" si="141"/>
        <v/>
      </c>
      <c r="EA118" s="4" t="e">
        <f>ROUNDDOWN(VLOOKUP(DK118,Skills!$N$72:$S$107,6,FALSE)/5,0)</f>
        <v>#N/A</v>
      </c>
      <c r="EB118" s="4" t="str">
        <f t="shared" si="149"/>
        <v/>
      </c>
      <c r="EC118" s="4" t="str">
        <f t="shared" si="142"/>
        <v>+</v>
      </c>
      <c r="ED118" s="4" t="e">
        <f>VLOOKUP(DJ118,'Character Sheet'!$FB$21:$HQ$35,61,FALSE)</f>
        <v>#N/A</v>
      </c>
      <c r="EE118" s="4" t="str">
        <f t="shared" si="150"/>
        <v/>
      </c>
      <c r="EF118" s="4" t="str">
        <f t="shared" si="151"/>
        <v/>
      </c>
      <c r="EG118" s="4" t="e">
        <f>VLOOKUP(DR118,Items!$B$1156:$AA$1282,18,FALSE)</f>
        <v>#N/A</v>
      </c>
      <c r="EH118" s="4">
        <f>VLOOKUP(DJ118,'Character Sheet'!$E$26:$EZ$45,81,FALSE)</f>
        <v>0</v>
      </c>
      <c r="EI118" s="4">
        <f>VLOOKUP(DJ118,'Character Sheet'!$E$26:$EZ$45,89,FALSE)</f>
        <v>0</v>
      </c>
      <c r="EJ118" s="4" t="e">
        <f t="shared" si="143"/>
        <v>#N/A</v>
      </c>
    </row>
    <row r="119" spans="29:140" x14ac:dyDescent="0.25">
      <c r="AC119" s="8" t="str">
        <f>IFERROR(VLOOKUP('Character Creation'!$CI132,Skills!$H$2:$N$620,6,FALSE),"")</f>
        <v/>
      </c>
      <c r="AD119" s="4">
        <f>'Character Creation'!EH132</f>
        <v>0</v>
      </c>
      <c r="AG119">
        <v>118</v>
      </c>
      <c r="AH119" s="4" t="str">
        <f t="shared" si="95"/>
        <v/>
      </c>
      <c r="AI119" t="str">
        <f>IFERROR(VLOOKUP(AG119,Skills!$B$2:$M$620,12,FALSE),"")</f>
        <v/>
      </c>
      <c r="AJ119" s="4" t="str">
        <f>IFERROR(VLOOKUP(AG119,Skills!$B$2:$AF$620,31,FALSE),"")</f>
        <v/>
      </c>
      <c r="AK119" s="4" t="str">
        <f t="shared" si="153"/>
        <v/>
      </c>
      <c r="AL119" s="4">
        <v>0.11799999999999999</v>
      </c>
      <c r="AM119" s="62" t="str">
        <f t="shared" si="96"/>
        <v/>
      </c>
      <c r="AN119" t="str">
        <f t="shared" ca="1" si="97"/>
        <v/>
      </c>
      <c r="AO119" s="4" t="str">
        <f ca="1">IFERROR(VLOOKUP(AG119,$AH$2:$AJ$451,3,FALSE)&amp;IF(ISNUMBER(SEARCH(", Written",AN119))," -R"&amp;VLOOKUP(AN119,Skills!$M$2:$S$620,7,FALSE),IF(ISNUMBER(SEARCH(", Spoken",AN119))," -R"&amp;VLOOKUP(AN119,Skills!$M$2:$S$620,7,FALSE),"")),"")</f>
        <v/>
      </c>
      <c r="AR119" s="8"/>
      <c r="BT119" s="4"/>
      <c r="BU119" s="4"/>
      <c r="BV119" s="4"/>
      <c r="BW119" s="4"/>
      <c r="BX119" s="4"/>
      <c r="DH119" s="4" t="str">
        <f t="shared" si="103"/>
        <v/>
      </c>
      <c r="DI119">
        <v>37</v>
      </c>
      <c r="DJ119" s="3" t="str">
        <f t="shared" si="135"/>
        <v/>
      </c>
      <c r="DK119" s="4" t="str">
        <f t="shared" si="145"/>
        <v/>
      </c>
      <c r="DL119" s="4" t="str">
        <f>IFERROR(IF(DK119=0,"",VLOOKUP(DK119,Skills!$N$72:$AF$107,19,FALSE)),"")</f>
        <v/>
      </c>
      <c r="DM119" s="4"/>
      <c r="DN119" s="4" t="str">
        <f t="shared" si="136"/>
        <v/>
      </c>
      <c r="DO119" s="4" t="str">
        <f t="shared" si="152"/>
        <v/>
      </c>
      <c r="DP119" s="4">
        <f t="shared" si="104"/>
        <v>0</v>
      </c>
      <c r="DQ119" s="4">
        <f t="shared" si="137"/>
        <v>2</v>
      </c>
      <c r="DR119" s="4" t="e">
        <f t="shared" si="138"/>
        <v>#N/A</v>
      </c>
      <c r="DS119" s="4">
        <f t="shared" si="139"/>
        <v>37</v>
      </c>
      <c r="DT119" s="4" t="str">
        <f t="shared" si="146"/>
        <v/>
      </c>
      <c r="DU119" s="4" t="str">
        <f t="shared" si="147"/>
        <v/>
      </c>
      <c r="DV119" s="4" t="e">
        <f>VLOOKUP((VLOOKUP((VLOOKUP('Character Creation'!$Z$11,RaceChart,20,FALSE)&amp;" "&amp;VLOOKUP('Character Creation'!$Z$11,RaceChart,21,FALSE)),Charts!$H$2:$J$14,3,FALSE)+DU119),Charts!$J$2:$N$14,5,FALSE)</f>
        <v>#VALUE!</v>
      </c>
      <c r="DW119" s="4" t="e">
        <f>VLOOKUP(DV119,Charts!$N$2:$Q$14,4,FALSE)</f>
        <v>#VALUE!</v>
      </c>
      <c r="DX119" s="4" t="str">
        <f t="shared" si="140"/>
        <v/>
      </c>
      <c r="DY119" s="4" t="str">
        <f t="shared" si="148"/>
        <v/>
      </c>
      <c r="DZ119" s="4" t="str">
        <f t="shared" si="141"/>
        <v/>
      </c>
      <c r="EA119" s="4" t="e">
        <f>ROUNDDOWN(VLOOKUP(DK119,Skills!$N$72:$S$107,6,FALSE)/5,0)</f>
        <v>#N/A</v>
      </c>
      <c r="EB119" s="4" t="str">
        <f t="shared" si="149"/>
        <v/>
      </c>
      <c r="EC119" s="4" t="str">
        <f t="shared" si="142"/>
        <v>+</v>
      </c>
      <c r="ED119" s="4" t="e">
        <f>VLOOKUP(DJ119,'Character Sheet'!$FB$21:$HQ$35,61,FALSE)</f>
        <v>#N/A</v>
      </c>
      <c r="EE119" s="4" t="str">
        <f t="shared" si="150"/>
        <v/>
      </c>
      <c r="EF119" s="4" t="str">
        <f t="shared" si="151"/>
        <v/>
      </c>
      <c r="EG119" s="4" t="e">
        <f>VLOOKUP(DR119,Items!$B$1156:$AA$1282,18,FALSE)</f>
        <v>#N/A</v>
      </c>
      <c r="EH119" s="4">
        <f>VLOOKUP(DJ119,'Character Sheet'!$E$26:$EZ$45,81,FALSE)</f>
        <v>0</v>
      </c>
      <c r="EI119" s="4">
        <f>VLOOKUP(DJ119,'Character Sheet'!$E$26:$EZ$45,89,FALSE)</f>
        <v>0</v>
      </c>
      <c r="EJ119" s="4" t="e">
        <f t="shared" si="143"/>
        <v>#N/A</v>
      </c>
    </row>
    <row r="120" spans="29:140" x14ac:dyDescent="0.25">
      <c r="AC120" s="8" t="str">
        <f>IFERROR(VLOOKUP('Character Creation'!$CI133,Skills!$H$2:$N$620,6,FALSE),"")</f>
        <v/>
      </c>
      <c r="AD120" s="4">
        <f>'Character Creation'!EH133</f>
        <v>0</v>
      </c>
      <c r="AG120">
        <v>119</v>
      </c>
      <c r="AH120" s="4" t="str">
        <f t="shared" si="95"/>
        <v/>
      </c>
      <c r="AI120" t="str">
        <f>IFERROR(VLOOKUP(AG120,Skills!$B$2:$M$620,12,FALSE),"")</f>
        <v/>
      </c>
      <c r="AJ120" s="4" t="str">
        <f>IFERROR(VLOOKUP(AG120,Skills!$B$2:$AF$620,31,FALSE),"")</f>
        <v/>
      </c>
      <c r="AK120" s="4" t="str">
        <f t="shared" si="153"/>
        <v/>
      </c>
      <c r="AL120" s="4">
        <v>0.11899999999999999</v>
      </c>
      <c r="AM120" s="62" t="str">
        <f t="shared" si="96"/>
        <v/>
      </c>
      <c r="AN120" t="str">
        <f t="shared" ca="1" si="97"/>
        <v/>
      </c>
      <c r="AO120" s="4" t="str">
        <f ca="1">IFERROR(VLOOKUP(AG120,$AH$2:$AJ$451,3,FALSE)&amp;IF(ISNUMBER(SEARCH(", Written",AN120))," -R"&amp;VLOOKUP(AN120,Skills!$M$2:$S$620,7,FALSE),IF(ISNUMBER(SEARCH(", Spoken",AN120))," -R"&amp;VLOOKUP(AN120,Skills!$M$2:$S$620,7,FALSE),"")),"")</f>
        <v/>
      </c>
      <c r="DH120" s="4" t="str">
        <f t="shared" si="103"/>
        <v/>
      </c>
      <c r="DI120">
        <v>38</v>
      </c>
      <c r="DJ120" s="3" t="str">
        <f t="shared" si="135"/>
        <v/>
      </c>
      <c r="DK120" s="4" t="str">
        <f t="shared" si="145"/>
        <v/>
      </c>
      <c r="DL120" s="4" t="str">
        <f>IFERROR(IF(DK120=0,"",VLOOKUP(DK120,Skills!$N$72:$AF$107,19,FALSE)),"")</f>
        <v/>
      </c>
      <c r="DM120" s="4"/>
      <c r="DN120" s="4" t="str">
        <f t="shared" si="136"/>
        <v/>
      </c>
      <c r="DO120" s="4" t="str">
        <f t="shared" si="152"/>
        <v/>
      </c>
      <c r="DP120" s="4">
        <f t="shared" si="104"/>
        <v>0</v>
      </c>
      <c r="DQ120" s="4">
        <f t="shared" si="137"/>
        <v>2</v>
      </c>
      <c r="DR120" s="4" t="e">
        <f t="shared" si="138"/>
        <v>#N/A</v>
      </c>
      <c r="DS120" s="4">
        <f t="shared" si="139"/>
        <v>38</v>
      </c>
      <c r="DT120" s="4" t="str">
        <f t="shared" si="146"/>
        <v/>
      </c>
      <c r="DU120" s="4" t="str">
        <f t="shared" si="147"/>
        <v/>
      </c>
      <c r="DV120" s="4" t="e">
        <f>VLOOKUP((VLOOKUP((VLOOKUP('Character Creation'!$Z$11,RaceChart,20,FALSE)&amp;" "&amp;VLOOKUP('Character Creation'!$Z$11,RaceChart,21,FALSE)),Charts!$H$2:$J$14,3,FALSE)+DU120),Charts!$J$2:$N$14,5,FALSE)</f>
        <v>#VALUE!</v>
      </c>
      <c r="DW120" s="4" t="e">
        <f>VLOOKUP(DV120,Charts!$N$2:$Q$14,4,FALSE)</f>
        <v>#VALUE!</v>
      </c>
      <c r="DX120" s="4" t="str">
        <f t="shared" si="140"/>
        <v/>
      </c>
      <c r="DY120" s="4" t="str">
        <f t="shared" si="148"/>
        <v/>
      </c>
      <c r="DZ120" s="4" t="str">
        <f t="shared" si="141"/>
        <v/>
      </c>
      <c r="EA120" s="4" t="e">
        <f>ROUNDDOWN(VLOOKUP(DK120,Skills!$N$72:$S$107,6,FALSE)/5,0)</f>
        <v>#N/A</v>
      </c>
      <c r="EB120" s="4" t="str">
        <f t="shared" si="149"/>
        <v/>
      </c>
      <c r="EC120" s="4" t="str">
        <f t="shared" si="142"/>
        <v>+</v>
      </c>
      <c r="ED120" s="4" t="e">
        <f>VLOOKUP(DJ120,'Character Sheet'!$FB$21:$HQ$35,61,FALSE)</f>
        <v>#N/A</v>
      </c>
      <c r="EE120" s="4" t="str">
        <f t="shared" si="150"/>
        <v/>
      </c>
      <c r="EF120" s="4" t="str">
        <f t="shared" si="151"/>
        <v/>
      </c>
      <c r="EG120" s="4" t="e">
        <f>VLOOKUP(DR120,Items!$B$1156:$AA$1282,18,FALSE)</f>
        <v>#N/A</v>
      </c>
      <c r="EH120" s="4">
        <f>VLOOKUP(DJ120,'Character Sheet'!$E$26:$EZ$45,81,FALSE)</f>
        <v>0</v>
      </c>
      <c r="EI120" s="4">
        <f>VLOOKUP(DJ120,'Character Sheet'!$E$26:$EZ$45,89,FALSE)</f>
        <v>0</v>
      </c>
      <c r="EJ120" s="4" t="e">
        <f t="shared" si="143"/>
        <v>#N/A</v>
      </c>
    </row>
    <row r="121" spans="29:140" x14ac:dyDescent="0.25">
      <c r="AC121" s="8" t="str">
        <f>IFERROR(VLOOKUP('Character Creation'!$CI134,Skills!$H$2:$N$620,6,FALSE),"")</f>
        <v/>
      </c>
      <c r="AD121" s="4">
        <f>'Character Creation'!EH134</f>
        <v>0</v>
      </c>
      <c r="AG121">
        <v>120</v>
      </c>
      <c r="AH121" s="4" t="str">
        <f t="shared" si="95"/>
        <v/>
      </c>
      <c r="AI121" t="str">
        <f>IFERROR(VLOOKUP(AG121,Skills!$B$2:$M$620,12,FALSE),"")</f>
        <v/>
      </c>
      <c r="AJ121" s="4" t="str">
        <f>IFERROR(VLOOKUP(AG121,Skills!$B$2:$AF$620,31,FALSE),"")</f>
        <v/>
      </c>
      <c r="AK121" s="4" t="str">
        <f t="shared" si="153"/>
        <v/>
      </c>
      <c r="AL121" s="4">
        <v>0.12</v>
      </c>
      <c r="AM121" s="62" t="str">
        <f t="shared" si="96"/>
        <v/>
      </c>
      <c r="AN121" t="str">
        <f t="shared" ca="1" si="97"/>
        <v/>
      </c>
      <c r="AO121" s="4" t="str">
        <f ca="1">IFERROR(VLOOKUP(AG121,$AH$2:$AJ$451,3,FALSE)&amp;IF(ISNUMBER(SEARCH(", Written",AN121))," -R"&amp;VLOOKUP(AN121,Skills!$M$2:$S$620,7,FALSE),IF(ISNUMBER(SEARCH(", Spoken",AN121))," -R"&amp;VLOOKUP(AN121,Skills!$M$2:$S$620,7,FALSE),"")),"")</f>
        <v/>
      </c>
      <c r="DH121" s="4" t="str">
        <f t="shared" si="103"/>
        <v/>
      </c>
      <c r="DI121">
        <v>39</v>
      </c>
      <c r="DJ121" s="3" t="str">
        <f t="shared" si="135"/>
        <v/>
      </c>
      <c r="DK121" s="4" t="str">
        <f t="shared" si="145"/>
        <v/>
      </c>
      <c r="DL121" s="4" t="str">
        <f>IFERROR(IF(DK121=0,"",VLOOKUP(DK121,Skills!$N$72:$AF$107,19,FALSE)),"")</f>
        <v/>
      </c>
      <c r="DM121" s="4"/>
      <c r="DN121" s="4" t="str">
        <f t="shared" si="136"/>
        <v/>
      </c>
      <c r="DO121" s="4" t="str">
        <f t="shared" si="152"/>
        <v/>
      </c>
      <c r="DP121" s="4">
        <f t="shared" si="104"/>
        <v>0</v>
      </c>
      <c r="DQ121" s="4">
        <f t="shared" si="137"/>
        <v>2</v>
      </c>
      <c r="DR121" s="4" t="e">
        <f t="shared" si="138"/>
        <v>#N/A</v>
      </c>
      <c r="DS121" s="4">
        <f t="shared" si="139"/>
        <v>39</v>
      </c>
      <c r="DT121" s="4" t="str">
        <f t="shared" si="146"/>
        <v/>
      </c>
      <c r="DU121" s="4" t="str">
        <f t="shared" si="147"/>
        <v/>
      </c>
      <c r="DV121" s="4" t="e">
        <f>VLOOKUP((VLOOKUP((VLOOKUP('Character Creation'!$Z$11,RaceChart,20,FALSE)&amp;" "&amp;VLOOKUP('Character Creation'!$Z$11,RaceChart,21,FALSE)),Charts!$H$2:$J$14,3,FALSE)+DU121),Charts!$J$2:$N$14,5,FALSE)</f>
        <v>#VALUE!</v>
      </c>
      <c r="DW121" s="4" t="e">
        <f>VLOOKUP(DV121,Charts!$N$2:$Q$14,4,FALSE)</f>
        <v>#VALUE!</v>
      </c>
      <c r="DX121" s="4" t="str">
        <f t="shared" si="140"/>
        <v/>
      </c>
      <c r="DY121" s="4" t="str">
        <f t="shared" si="148"/>
        <v/>
      </c>
      <c r="DZ121" s="4" t="str">
        <f t="shared" si="141"/>
        <v/>
      </c>
      <c r="EA121" s="4" t="e">
        <f>ROUNDDOWN(VLOOKUP(DK121,Skills!$N$72:$S$107,6,FALSE)/5,0)</f>
        <v>#N/A</v>
      </c>
      <c r="EB121" s="4" t="str">
        <f t="shared" si="149"/>
        <v/>
      </c>
      <c r="EC121" s="4" t="str">
        <f t="shared" si="142"/>
        <v>+</v>
      </c>
      <c r="ED121" s="4" t="e">
        <f>VLOOKUP(DJ121,'Character Sheet'!$FB$21:$HQ$35,61,FALSE)</f>
        <v>#N/A</v>
      </c>
      <c r="EE121" s="4" t="str">
        <f t="shared" si="150"/>
        <v/>
      </c>
      <c r="EF121" s="4" t="str">
        <f t="shared" si="151"/>
        <v/>
      </c>
      <c r="EG121" s="4" t="e">
        <f>VLOOKUP(DR121,Items!$B$1156:$AA$1282,18,FALSE)</f>
        <v>#N/A</v>
      </c>
      <c r="EH121" s="4">
        <f>VLOOKUP(DJ121,'Character Sheet'!$E$26:$EZ$45,81,FALSE)</f>
        <v>0</v>
      </c>
      <c r="EI121" s="4">
        <f>VLOOKUP(DJ121,'Character Sheet'!$E$26:$EZ$45,89,FALSE)</f>
        <v>0</v>
      </c>
      <c r="EJ121" s="4" t="e">
        <f t="shared" si="143"/>
        <v>#N/A</v>
      </c>
    </row>
    <row r="122" spans="29:140" x14ac:dyDescent="0.25">
      <c r="AC122" s="8" t="str">
        <f>IFERROR(VLOOKUP('Character Creation'!$CI135,Skills!$H$2:$N$620,6,FALSE),"")</f>
        <v/>
      </c>
      <c r="AD122" s="4">
        <f>'Character Creation'!EH135</f>
        <v>0</v>
      </c>
      <c r="AG122">
        <v>121</v>
      </c>
      <c r="AH122" s="4" t="str">
        <f t="shared" si="95"/>
        <v/>
      </c>
      <c r="AI122" t="str">
        <f>IFERROR(VLOOKUP(AG122,Skills!$B$2:$M$620,12,FALSE),"")</f>
        <v/>
      </c>
      <c r="AJ122" s="4" t="str">
        <f>IFERROR(VLOOKUP(AG122,Skills!$B$2:$AF$620,31,FALSE),"")</f>
        <v/>
      </c>
      <c r="AK122" s="4" t="str">
        <f t="shared" si="153"/>
        <v/>
      </c>
      <c r="AL122" s="4">
        <v>0.121</v>
      </c>
      <c r="AM122" s="62" t="str">
        <f t="shared" si="96"/>
        <v/>
      </c>
      <c r="AN122" t="str">
        <f t="shared" ca="1" si="97"/>
        <v/>
      </c>
      <c r="AO122" s="4" t="str">
        <f ca="1">IFERROR(VLOOKUP(AG122,$AH$2:$AJ$451,3,FALSE)&amp;IF(ISNUMBER(SEARCH(", Written",AN122))," -R"&amp;VLOOKUP(AN122,Skills!$M$2:$S$620,7,FALSE),IF(ISNUMBER(SEARCH(", Spoken",AN122))," -R"&amp;VLOOKUP(AN122,Skills!$M$2:$S$620,7,FALSE),"")),"")</f>
        <v/>
      </c>
      <c r="DH122" s="4" t="str">
        <f t="shared" si="103"/>
        <v/>
      </c>
      <c r="DI122">
        <v>40</v>
      </c>
      <c r="DJ122" s="3" t="str">
        <f t="shared" si="135"/>
        <v/>
      </c>
      <c r="DK122" s="4" t="str">
        <f t="shared" si="145"/>
        <v/>
      </c>
      <c r="DL122" s="4" t="str">
        <f>IFERROR(IF(DK122=0,"",VLOOKUP(DK122,Skills!$N$72:$AF$107,19,FALSE)),"")</f>
        <v/>
      </c>
      <c r="DM122" s="4"/>
      <c r="DN122" s="4" t="str">
        <f t="shared" si="136"/>
        <v/>
      </c>
      <c r="DO122" s="4" t="str">
        <f t="shared" si="152"/>
        <v/>
      </c>
      <c r="DP122" s="4">
        <f t="shared" si="104"/>
        <v>0</v>
      </c>
      <c r="DQ122" s="4">
        <f t="shared" si="137"/>
        <v>2</v>
      </c>
      <c r="DR122" s="4" t="e">
        <f t="shared" si="138"/>
        <v>#N/A</v>
      </c>
      <c r="DS122" s="4">
        <f t="shared" si="139"/>
        <v>40</v>
      </c>
      <c r="DT122" s="4" t="str">
        <f t="shared" si="146"/>
        <v/>
      </c>
      <c r="DU122" s="4" t="str">
        <f t="shared" si="147"/>
        <v/>
      </c>
      <c r="DV122" s="4" t="e">
        <f>VLOOKUP((VLOOKUP((VLOOKUP('Character Creation'!$Z$11,RaceChart,20,FALSE)&amp;" "&amp;VLOOKUP('Character Creation'!$Z$11,RaceChart,21,FALSE)),Charts!$H$2:$J$14,3,FALSE)+DU122),Charts!$J$2:$N$14,5,FALSE)</f>
        <v>#VALUE!</v>
      </c>
      <c r="DW122" s="4" t="e">
        <f>VLOOKUP(DV122,Charts!$N$2:$Q$14,4,FALSE)</f>
        <v>#VALUE!</v>
      </c>
      <c r="DX122" s="4" t="str">
        <f t="shared" si="140"/>
        <v/>
      </c>
      <c r="DY122" s="4" t="str">
        <f t="shared" si="148"/>
        <v/>
      </c>
      <c r="DZ122" s="4" t="str">
        <f t="shared" si="141"/>
        <v/>
      </c>
      <c r="EA122" s="4" t="e">
        <f>ROUNDDOWN(VLOOKUP(DK122,Skills!$N$72:$S$107,6,FALSE)/5,0)</f>
        <v>#N/A</v>
      </c>
      <c r="EB122" s="4" t="str">
        <f t="shared" si="149"/>
        <v/>
      </c>
      <c r="EC122" s="4" t="str">
        <f t="shared" si="142"/>
        <v>+</v>
      </c>
      <c r="ED122" s="4" t="e">
        <f>VLOOKUP(DJ122,'Character Sheet'!$FB$21:$HQ$35,61,FALSE)</f>
        <v>#N/A</v>
      </c>
      <c r="EE122" s="4" t="str">
        <f t="shared" si="150"/>
        <v/>
      </c>
      <c r="EF122" s="4" t="str">
        <f t="shared" si="151"/>
        <v/>
      </c>
      <c r="EG122" s="4" t="e">
        <f>VLOOKUP(DR122,Items!$B$1156:$AA$1282,18,FALSE)</f>
        <v>#N/A</v>
      </c>
      <c r="EH122" s="4">
        <f>VLOOKUP(DJ122,'Character Sheet'!$E$26:$EZ$45,81,FALSE)</f>
        <v>0</v>
      </c>
      <c r="EI122" s="4">
        <f>VLOOKUP(DJ122,'Character Sheet'!$E$26:$EZ$45,89,FALSE)</f>
        <v>0</v>
      </c>
      <c r="EJ122" s="4" t="e">
        <f t="shared" si="143"/>
        <v>#N/A</v>
      </c>
    </row>
    <row r="123" spans="29:140" x14ac:dyDescent="0.25">
      <c r="AC123" s="8" t="str">
        <f>IFERROR(VLOOKUP('Character Creation'!$CI136,Skills!$H$2:$N$620,6,FALSE),"")</f>
        <v/>
      </c>
      <c r="AD123" s="4">
        <f>'Character Creation'!EH136</f>
        <v>0</v>
      </c>
      <c r="AG123">
        <v>122</v>
      </c>
      <c r="AH123" s="4" t="str">
        <f t="shared" si="95"/>
        <v/>
      </c>
      <c r="AI123" t="str">
        <f>IFERROR(VLOOKUP(AG123,Skills!$B$2:$M$620,12,FALSE),"")</f>
        <v/>
      </c>
      <c r="AJ123" s="4" t="str">
        <f>IFERROR(VLOOKUP(AG123,Skills!$B$2:$AF$620,31,FALSE),"")</f>
        <v/>
      </c>
      <c r="AK123" s="4" t="str">
        <f t="shared" si="153"/>
        <v/>
      </c>
      <c r="AL123" s="4">
        <v>0.122</v>
      </c>
      <c r="AM123" s="62" t="str">
        <f t="shared" si="96"/>
        <v/>
      </c>
      <c r="AN123" t="str">
        <f t="shared" ca="1" si="97"/>
        <v/>
      </c>
      <c r="AO123" s="4" t="str">
        <f ca="1">IFERROR(VLOOKUP(AG123,$AH$2:$AJ$451,3,FALSE)&amp;IF(ISNUMBER(SEARCH(", Written",AN123))," -R"&amp;VLOOKUP(AN123,Skills!$M$2:$S$620,7,FALSE),IF(ISNUMBER(SEARCH(", Spoken",AN123))," -R"&amp;VLOOKUP(AN123,Skills!$M$2:$S$620,7,FALSE),"")),"")</f>
        <v/>
      </c>
      <c r="DH123" s="4" t="str">
        <f t="shared" si="103"/>
        <v/>
      </c>
      <c r="DI123">
        <v>41</v>
      </c>
      <c r="DJ123" s="3" t="str">
        <f t="shared" si="135"/>
        <v/>
      </c>
      <c r="DK123" s="4" t="str">
        <f t="shared" si="145"/>
        <v/>
      </c>
      <c r="DL123" s="4" t="str">
        <f>IFERROR(IF(DK123=0,"",VLOOKUP(DK123,Skills!$N$72:$AF$107,19,FALSE)),"")</f>
        <v/>
      </c>
      <c r="DM123" s="4"/>
      <c r="DN123" s="4" t="str">
        <f t="shared" si="136"/>
        <v/>
      </c>
      <c r="DO123" s="4" t="str">
        <f t="shared" si="152"/>
        <v/>
      </c>
      <c r="DP123" s="4">
        <f t="shared" si="104"/>
        <v>0</v>
      </c>
      <c r="DQ123" s="4">
        <f t="shared" si="137"/>
        <v>2</v>
      </c>
      <c r="DR123" s="4" t="e">
        <f t="shared" si="138"/>
        <v>#N/A</v>
      </c>
      <c r="DS123" s="4">
        <f t="shared" si="139"/>
        <v>41</v>
      </c>
      <c r="DT123" s="4" t="str">
        <f t="shared" si="146"/>
        <v/>
      </c>
      <c r="DU123" s="4" t="str">
        <f t="shared" si="147"/>
        <v/>
      </c>
      <c r="DV123" s="4" t="e">
        <f>VLOOKUP((VLOOKUP((VLOOKUP('Character Creation'!$Z$11,RaceChart,20,FALSE)&amp;" "&amp;VLOOKUP('Character Creation'!$Z$11,RaceChart,21,FALSE)),Charts!$H$2:$J$14,3,FALSE)+DU123),Charts!$J$2:$N$14,5,FALSE)</f>
        <v>#VALUE!</v>
      </c>
      <c r="DW123" s="4" t="e">
        <f>VLOOKUP(DV123,Charts!$N$2:$Q$14,4,FALSE)</f>
        <v>#VALUE!</v>
      </c>
      <c r="DX123" s="4" t="str">
        <f t="shared" si="140"/>
        <v/>
      </c>
      <c r="DY123" s="4" t="str">
        <f t="shared" si="148"/>
        <v/>
      </c>
      <c r="DZ123" s="4" t="str">
        <f t="shared" si="141"/>
        <v/>
      </c>
      <c r="EA123" s="4" t="e">
        <f>ROUNDDOWN(VLOOKUP(DK123,Skills!$N$72:$S$107,6,FALSE)/5,0)</f>
        <v>#N/A</v>
      </c>
      <c r="EB123" s="4" t="str">
        <f t="shared" si="149"/>
        <v/>
      </c>
      <c r="EC123" s="4" t="str">
        <f t="shared" si="142"/>
        <v>+</v>
      </c>
      <c r="ED123" s="4" t="e">
        <f>VLOOKUP(DJ123,'Character Sheet'!$FB$21:$HQ$35,61,FALSE)</f>
        <v>#N/A</v>
      </c>
      <c r="EE123" s="4" t="str">
        <f t="shared" si="150"/>
        <v/>
      </c>
      <c r="EF123" s="4" t="str">
        <f t="shared" si="151"/>
        <v/>
      </c>
      <c r="EG123" s="4" t="e">
        <f>VLOOKUP(DR123,Items!$B$1156:$AA$1282,18,FALSE)</f>
        <v>#N/A</v>
      </c>
      <c r="EH123" s="4">
        <f>VLOOKUP(DJ123,'Character Sheet'!$E$26:$EZ$45,81,FALSE)</f>
        <v>0</v>
      </c>
      <c r="EI123" s="4">
        <f>VLOOKUP(DJ123,'Character Sheet'!$E$26:$EZ$45,89,FALSE)</f>
        <v>0</v>
      </c>
      <c r="EJ123" s="4" t="e">
        <f t="shared" si="143"/>
        <v>#N/A</v>
      </c>
    </row>
    <row r="124" spans="29:140" x14ac:dyDescent="0.25">
      <c r="AC124" s="8" t="str">
        <f>IFERROR(VLOOKUP('Character Creation'!$CI137,Skills!$H$2:$N$620,6,FALSE),"")</f>
        <v/>
      </c>
      <c r="AD124" s="4">
        <f>'Character Creation'!EH137</f>
        <v>0</v>
      </c>
      <c r="AG124">
        <v>123</v>
      </c>
      <c r="AH124" s="4" t="str">
        <f t="shared" si="95"/>
        <v/>
      </c>
      <c r="AI124" t="str">
        <f>IFERROR(VLOOKUP(AG124,Skills!$B$2:$M$620,12,FALSE),"")</f>
        <v/>
      </c>
      <c r="AJ124" s="4" t="str">
        <f>IFERROR(VLOOKUP(AG124,Skills!$B$2:$AF$620,31,FALSE),"")</f>
        <v/>
      </c>
      <c r="AK124" s="4" t="str">
        <f t="shared" si="153"/>
        <v/>
      </c>
      <c r="AL124" s="4">
        <v>0.123</v>
      </c>
      <c r="AM124" s="62" t="str">
        <f t="shared" si="96"/>
        <v/>
      </c>
      <c r="AN124" t="str">
        <f t="shared" ca="1" si="97"/>
        <v/>
      </c>
      <c r="AO124" s="4" t="str">
        <f ca="1">IFERROR(VLOOKUP(AG124,$AH$2:$AJ$451,3,FALSE)&amp;IF(ISNUMBER(SEARCH(", Written",AN124))," -R"&amp;VLOOKUP(AN124,Skills!$M$2:$S$620,7,FALSE),IF(ISNUMBER(SEARCH(", Spoken",AN124))," -R"&amp;VLOOKUP(AN124,Skills!$M$2:$S$620,7,FALSE),"")),"")</f>
        <v/>
      </c>
      <c r="DH124" s="4" t="str">
        <f t="shared" si="103"/>
        <v/>
      </c>
      <c r="DI124">
        <v>42</v>
      </c>
      <c r="DJ124" s="3" t="str">
        <f t="shared" si="135"/>
        <v/>
      </c>
      <c r="DK124" s="4" t="str">
        <f t="shared" si="145"/>
        <v/>
      </c>
      <c r="DL124" s="4" t="str">
        <f>IFERROR(IF(DK124=0,"",VLOOKUP(DK124,Skills!$N$72:$AF$107,19,FALSE)),"")</f>
        <v/>
      </c>
      <c r="DM124" s="4"/>
      <c r="DN124" s="4" t="str">
        <f t="shared" si="136"/>
        <v/>
      </c>
      <c r="DO124" s="4" t="str">
        <f t="shared" si="152"/>
        <v/>
      </c>
      <c r="DP124" s="4">
        <f t="shared" si="104"/>
        <v>0</v>
      </c>
      <c r="DQ124" s="4">
        <f t="shared" si="137"/>
        <v>2</v>
      </c>
      <c r="DR124" s="4" t="e">
        <f t="shared" si="138"/>
        <v>#N/A</v>
      </c>
      <c r="DS124" s="4">
        <f t="shared" si="139"/>
        <v>42</v>
      </c>
      <c r="DT124" s="4" t="str">
        <f t="shared" si="146"/>
        <v/>
      </c>
      <c r="DU124" s="4" t="str">
        <f t="shared" si="147"/>
        <v/>
      </c>
      <c r="DV124" s="4" t="e">
        <f>VLOOKUP((VLOOKUP((VLOOKUP('Character Creation'!$Z$11,RaceChart,20,FALSE)&amp;" "&amp;VLOOKUP('Character Creation'!$Z$11,RaceChart,21,FALSE)),Charts!$H$2:$J$14,3,FALSE)+DU124),Charts!$J$2:$N$14,5,FALSE)</f>
        <v>#VALUE!</v>
      </c>
      <c r="DW124" s="4" t="e">
        <f>VLOOKUP(DV124,Charts!$N$2:$Q$14,4,FALSE)</f>
        <v>#VALUE!</v>
      </c>
      <c r="DX124" s="4" t="str">
        <f t="shared" si="140"/>
        <v/>
      </c>
      <c r="DY124" s="4" t="str">
        <f t="shared" si="148"/>
        <v/>
      </c>
      <c r="DZ124" s="4" t="str">
        <f t="shared" si="141"/>
        <v/>
      </c>
      <c r="EA124" s="4" t="e">
        <f>ROUNDDOWN(VLOOKUP(DK124,Skills!$N$72:$S$107,6,FALSE)/5,0)</f>
        <v>#N/A</v>
      </c>
      <c r="EB124" s="4" t="str">
        <f t="shared" si="149"/>
        <v/>
      </c>
      <c r="EC124" s="4" t="str">
        <f t="shared" si="142"/>
        <v>+</v>
      </c>
      <c r="ED124" s="4" t="e">
        <f>VLOOKUP(DJ124,'Character Sheet'!$FB$21:$HQ$35,61,FALSE)</f>
        <v>#N/A</v>
      </c>
      <c r="EE124" s="4" t="str">
        <f t="shared" si="150"/>
        <v/>
      </c>
      <c r="EF124" s="4" t="str">
        <f t="shared" si="151"/>
        <v/>
      </c>
      <c r="EG124" s="4" t="e">
        <f>VLOOKUP(DR124,Items!$B$1156:$AA$1282,18,FALSE)</f>
        <v>#N/A</v>
      </c>
      <c r="EH124" s="4">
        <f>VLOOKUP(DJ124,'Character Sheet'!$E$26:$EZ$45,81,FALSE)</f>
        <v>0</v>
      </c>
      <c r="EI124" s="4">
        <f>VLOOKUP(DJ124,'Character Sheet'!$E$26:$EZ$45,89,FALSE)</f>
        <v>0</v>
      </c>
      <c r="EJ124" s="4" t="e">
        <f t="shared" si="143"/>
        <v>#N/A</v>
      </c>
    </row>
    <row r="125" spans="29:140" x14ac:dyDescent="0.25">
      <c r="AC125" s="8" t="str">
        <f>IFERROR(VLOOKUP('Character Creation'!$CI138,Skills!$H$2:$N$620,6,FALSE),"")</f>
        <v/>
      </c>
      <c r="AD125" s="4">
        <f>'Character Creation'!EH138</f>
        <v>0</v>
      </c>
      <c r="AG125">
        <v>124</v>
      </c>
      <c r="AH125" s="4" t="str">
        <f t="shared" si="95"/>
        <v/>
      </c>
      <c r="AI125" t="str">
        <f>IFERROR(VLOOKUP(AG125,Skills!$B$2:$M$620,12,FALSE),"")</f>
        <v/>
      </c>
      <c r="AJ125" s="4" t="str">
        <f>IFERROR(VLOOKUP(AG125,Skills!$B$2:$AF$620,31,FALSE),"")</f>
        <v/>
      </c>
      <c r="AK125" s="4" t="str">
        <f t="shared" si="153"/>
        <v/>
      </c>
      <c r="AL125" s="4">
        <v>0.124</v>
      </c>
      <c r="AM125" s="62" t="str">
        <f t="shared" si="96"/>
        <v/>
      </c>
      <c r="AN125" t="str">
        <f t="shared" ca="1" si="97"/>
        <v/>
      </c>
      <c r="AO125" s="4" t="str">
        <f ca="1">IFERROR(VLOOKUP(AG125,$AH$2:$AJ$451,3,FALSE)&amp;IF(ISNUMBER(SEARCH(", Written",AN125))," -R"&amp;VLOOKUP(AN125,Skills!$M$2:$S$620,7,FALSE),IF(ISNUMBER(SEARCH(", Spoken",AN125))," -R"&amp;VLOOKUP(AN125,Skills!$M$2:$S$620,7,FALSE),"")),"")</f>
        <v/>
      </c>
      <c r="DH125" s="4" t="str">
        <f t="shared" si="103"/>
        <v/>
      </c>
      <c r="DI125">
        <v>43</v>
      </c>
      <c r="DJ125" s="3" t="str">
        <f t="shared" si="135"/>
        <v/>
      </c>
      <c r="DK125" s="4" t="str">
        <f t="shared" si="145"/>
        <v/>
      </c>
      <c r="DL125" s="4" t="str">
        <f>IFERROR(IF(DK125=0,"",VLOOKUP(DK125,Skills!$N$72:$AF$107,19,FALSE)),"")</f>
        <v/>
      </c>
      <c r="DM125" s="4"/>
      <c r="DN125" s="4" t="str">
        <f t="shared" si="136"/>
        <v/>
      </c>
      <c r="DO125" s="4" t="str">
        <f t="shared" si="152"/>
        <v/>
      </c>
      <c r="DP125" s="4">
        <f t="shared" si="104"/>
        <v>0</v>
      </c>
      <c r="DQ125" s="4">
        <f t="shared" si="137"/>
        <v>2</v>
      </c>
      <c r="DR125" s="4" t="e">
        <f t="shared" si="138"/>
        <v>#N/A</v>
      </c>
      <c r="DS125" s="4">
        <f t="shared" si="139"/>
        <v>43</v>
      </c>
      <c r="DT125" s="4" t="str">
        <f t="shared" si="146"/>
        <v/>
      </c>
      <c r="DU125" s="4" t="str">
        <f t="shared" si="147"/>
        <v/>
      </c>
      <c r="DV125" s="4" t="e">
        <f>VLOOKUP((VLOOKUP((VLOOKUP('Character Creation'!$Z$11,RaceChart,20,FALSE)&amp;" "&amp;VLOOKUP('Character Creation'!$Z$11,RaceChart,21,FALSE)),Charts!$H$2:$J$14,3,FALSE)+DU125),Charts!$J$2:$N$14,5,FALSE)</f>
        <v>#VALUE!</v>
      </c>
      <c r="DW125" s="4" t="e">
        <f>VLOOKUP(DV125,Charts!$N$2:$Q$14,4,FALSE)</f>
        <v>#VALUE!</v>
      </c>
      <c r="DX125" s="4" t="str">
        <f t="shared" si="140"/>
        <v/>
      </c>
      <c r="DY125" s="4" t="str">
        <f t="shared" si="148"/>
        <v/>
      </c>
      <c r="DZ125" s="4" t="str">
        <f t="shared" si="141"/>
        <v/>
      </c>
      <c r="EA125" s="4" t="e">
        <f>ROUNDDOWN(VLOOKUP(DK125,Skills!$N$72:$S$107,6,FALSE)/5,0)</f>
        <v>#N/A</v>
      </c>
      <c r="EB125" s="4" t="str">
        <f t="shared" si="149"/>
        <v/>
      </c>
      <c r="EC125" s="4" t="str">
        <f t="shared" si="142"/>
        <v>+</v>
      </c>
      <c r="ED125" s="4" t="e">
        <f>VLOOKUP(DJ125,'Character Sheet'!$FB$21:$HQ$35,61,FALSE)</f>
        <v>#N/A</v>
      </c>
      <c r="EE125" s="4" t="str">
        <f t="shared" si="150"/>
        <v/>
      </c>
      <c r="EF125" s="4" t="str">
        <f t="shared" si="151"/>
        <v/>
      </c>
      <c r="EG125" s="4" t="e">
        <f>VLOOKUP(DR125,Items!$B$1156:$AA$1282,18,FALSE)</f>
        <v>#N/A</v>
      </c>
      <c r="EH125" s="4">
        <f>VLOOKUP(DJ125,'Character Sheet'!$E$26:$EZ$45,81,FALSE)</f>
        <v>0</v>
      </c>
      <c r="EI125" s="4">
        <f>VLOOKUP(DJ125,'Character Sheet'!$E$26:$EZ$45,89,FALSE)</f>
        <v>0</v>
      </c>
      <c r="EJ125" s="4" t="e">
        <f t="shared" si="143"/>
        <v>#N/A</v>
      </c>
    </row>
    <row r="126" spans="29:140" x14ac:dyDescent="0.25">
      <c r="AC126" s="8" t="str">
        <f>IFERROR(VLOOKUP('Character Creation'!$CI139,Skills!$H$2:$N$620,6,FALSE),"")</f>
        <v/>
      </c>
      <c r="AD126" s="4">
        <f>'Character Creation'!EH139</f>
        <v>0</v>
      </c>
      <c r="AG126">
        <v>125</v>
      </c>
      <c r="AH126" s="4" t="str">
        <f t="shared" si="95"/>
        <v/>
      </c>
      <c r="AI126" t="str">
        <f>IFERROR(VLOOKUP(AG126,Skills!$B$2:$M$620,12,FALSE),"")</f>
        <v/>
      </c>
      <c r="AJ126" s="4" t="str">
        <f>IFERROR(VLOOKUP(AG126,Skills!$B$2:$AF$620,31,FALSE),"")</f>
        <v/>
      </c>
      <c r="AK126" s="4" t="str">
        <f t="shared" si="153"/>
        <v/>
      </c>
      <c r="AL126" s="4">
        <v>0.125</v>
      </c>
      <c r="AM126" s="62" t="str">
        <f t="shared" si="96"/>
        <v/>
      </c>
      <c r="AN126" t="str">
        <f t="shared" ca="1" si="97"/>
        <v/>
      </c>
      <c r="AO126" s="4" t="str">
        <f ca="1">IFERROR(VLOOKUP(AG126,$AH$2:$AJ$451,3,FALSE)&amp;IF(ISNUMBER(SEARCH(", Written",AN126))," -R"&amp;VLOOKUP(AN126,Skills!$M$2:$S$620,7,FALSE),IF(ISNUMBER(SEARCH(", Spoken",AN126))," -R"&amp;VLOOKUP(AN126,Skills!$M$2:$S$620,7,FALSE),"")),"")</f>
        <v/>
      </c>
      <c r="DH126" s="4" t="str">
        <f t="shared" si="103"/>
        <v/>
      </c>
      <c r="DI126">
        <v>44</v>
      </c>
      <c r="DJ126" s="3" t="str">
        <f t="shared" si="135"/>
        <v/>
      </c>
      <c r="DK126" s="4" t="str">
        <f t="shared" si="145"/>
        <v/>
      </c>
      <c r="DL126" s="4" t="str">
        <f>IFERROR(IF(DK126=0,"",VLOOKUP(DK126,Skills!$N$72:$AF$107,19,FALSE)),"")</f>
        <v/>
      </c>
      <c r="DM126" s="4"/>
      <c r="DN126" s="4" t="str">
        <f t="shared" si="136"/>
        <v/>
      </c>
      <c r="DO126" s="4" t="str">
        <f t="shared" si="152"/>
        <v/>
      </c>
      <c r="DP126" s="4">
        <f t="shared" si="104"/>
        <v>0</v>
      </c>
      <c r="DQ126" s="4">
        <f t="shared" si="137"/>
        <v>2</v>
      </c>
      <c r="DR126" s="4" t="e">
        <f t="shared" si="138"/>
        <v>#N/A</v>
      </c>
      <c r="DS126" s="4">
        <f t="shared" si="139"/>
        <v>44</v>
      </c>
      <c r="DT126" s="4" t="str">
        <f t="shared" si="146"/>
        <v/>
      </c>
      <c r="DU126" s="4" t="str">
        <f t="shared" si="147"/>
        <v/>
      </c>
      <c r="DV126" s="4" t="e">
        <f>VLOOKUP((VLOOKUP((VLOOKUP('Character Creation'!$Z$11,RaceChart,20,FALSE)&amp;" "&amp;VLOOKUP('Character Creation'!$Z$11,RaceChart,21,FALSE)),Charts!$H$2:$J$14,3,FALSE)+DU126),Charts!$J$2:$N$14,5,FALSE)</f>
        <v>#VALUE!</v>
      </c>
      <c r="DW126" s="4" t="e">
        <f>VLOOKUP(DV126,Charts!$N$2:$Q$14,4,FALSE)</f>
        <v>#VALUE!</v>
      </c>
      <c r="DX126" s="4" t="str">
        <f t="shared" si="140"/>
        <v/>
      </c>
      <c r="DY126" s="4" t="str">
        <f t="shared" si="148"/>
        <v/>
      </c>
      <c r="DZ126" s="4" t="str">
        <f t="shared" si="141"/>
        <v/>
      </c>
      <c r="EA126" s="4" t="e">
        <f>ROUNDDOWN(VLOOKUP(DK126,Skills!$N$72:$S$107,6,FALSE)/5,0)</f>
        <v>#N/A</v>
      </c>
      <c r="EB126" s="4" t="str">
        <f t="shared" si="149"/>
        <v/>
      </c>
      <c r="EC126" s="4" t="str">
        <f t="shared" si="142"/>
        <v>+</v>
      </c>
      <c r="ED126" s="4" t="e">
        <f>VLOOKUP(DJ126,'Character Sheet'!$FB$21:$HQ$35,61,FALSE)</f>
        <v>#N/A</v>
      </c>
      <c r="EE126" s="4" t="str">
        <f t="shared" si="150"/>
        <v/>
      </c>
      <c r="EF126" s="4" t="str">
        <f t="shared" si="151"/>
        <v/>
      </c>
      <c r="EG126" s="4" t="e">
        <f>VLOOKUP(DR126,Items!$B$1156:$AA$1282,18,FALSE)</f>
        <v>#N/A</v>
      </c>
      <c r="EH126" s="4">
        <f>VLOOKUP(DJ126,'Character Sheet'!$E$26:$EZ$45,81,FALSE)</f>
        <v>0</v>
      </c>
      <c r="EI126" s="4">
        <f>VLOOKUP(DJ126,'Character Sheet'!$E$26:$EZ$45,89,FALSE)</f>
        <v>0</v>
      </c>
      <c r="EJ126" s="4" t="e">
        <f t="shared" si="143"/>
        <v>#N/A</v>
      </c>
    </row>
    <row r="127" spans="29:140" x14ac:dyDescent="0.25">
      <c r="AC127" s="8" t="str">
        <f>IFERROR(VLOOKUP('Character Creation'!$CI140,Skills!$H$2:$N$620,6,FALSE),"")</f>
        <v/>
      </c>
      <c r="AD127" s="4">
        <f>'Character Creation'!EH140</f>
        <v>1</v>
      </c>
      <c r="AG127">
        <v>126</v>
      </c>
      <c r="AH127" s="4" t="str">
        <f t="shared" si="95"/>
        <v/>
      </c>
      <c r="AI127" t="str">
        <f>IFERROR(VLOOKUP(AG127,Skills!$B$2:$M$620,12,FALSE),"")</f>
        <v/>
      </c>
      <c r="AJ127" s="4" t="str">
        <f>IFERROR(VLOOKUP(AG127,Skills!$B$2:$AF$620,31,FALSE),"")</f>
        <v/>
      </c>
      <c r="AK127" s="4" t="str">
        <f t="shared" si="153"/>
        <v/>
      </c>
      <c r="AL127" s="4">
        <v>0.126</v>
      </c>
      <c r="AM127" s="62" t="str">
        <f t="shared" si="96"/>
        <v/>
      </c>
      <c r="AN127" t="str">
        <f t="shared" ca="1" si="97"/>
        <v/>
      </c>
      <c r="AO127" s="4" t="str">
        <f ca="1">IFERROR(VLOOKUP(AG127,$AH$2:$AJ$451,3,FALSE)&amp;IF(ISNUMBER(SEARCH(", Written",AN127))," -R"&amp;VLOOKUP(AN127,Skills!$M$2:$S$620,7,FALSE),IF(ISNUMBER(SEARCH(", Spoken",AN127))," -R"&amp;VLOOKUP(AN127,Skills!$M$2:$S$620,7,FALSE),"")),"")</f>
        <v/>
      </c>
      <c r="DH127" s="4" t="str">
        <f t="shared" si="103"/>
        <v/>
      </c>
      <c r="DI127">
        <v>45</v>
      </c>
      <c r="DJ127" s="3" t="str">
        <f t="shared" si="135"/>
        <v/>
      </c>
      <c r="DK127" s="4" t="str">
        <f t="shared" si="145"/>
        <v/>
      </c>
      <c r="DL127" s="4" t="str">
        <f>IFERROR(IF(DK127=0,"",VLOOKUP(DK127,Skills!$N$72:$AF$107,19,FALSE)),"")</f>
        <v/>
      </c>
      <c r="DM127" s="4"/>
      <c r="DN127" s="4" t="str">
        <f t="shared" si="136"/>
        <v/>
      </c>
      <c r="DO127" s="4" t="str">
        <f t="shared" si="152"/>
        <v/>
      </c>
      <c r="DP127" s="4">
        <f t="shared" si="104"/>
        <v>0</v>
      </c>
      <c r="DQ127" s="4">
        <f t="shared" si="137"/>
        <v>2</v>
      </c>
      <c r="DR127" s="4" t="e">
        <f t="shared" si="138"/>
        <v>#N/A</v>
      </c>
      <c r="DS127" s="4">
        <f t="shared" si="139"/>
        <v>45</v>
      </c>
      <c r="DT127" s="4" t="str">
        <f t="shared" si="146"/>
        <v/>
      </c>
      <c r="DU127" s="4" t="str">
        <f t="shared" si="147"/>
        <v/>
      </c>
      <c r="DV127" s="4" t="e">
        <f>VLOOKUP((VLOOKUP((VLOOKUP('Character Creation'!$Z$11,RaceChart,20,FALSE)&amp;" "&amp;VLOOKUP('Character Creation'!$Z$11,RaceChart,21,FALSE)),Charts!$H$2:$J$14,3,FALSE)+DU127),Charts!$J$2:$N$14,5,FALSE)</f>
        <v>#VALUE!</v>
      </c>
      <c r="DW127" s="4" t="e">
        <f>VLOOKUP(DV127,Charts!$N$2:$Q$14,4,FALSE)</f>
        <v>#VALUE!</v>
      </c>
      <c r="DX127" s="4" t="str">
        <f t="shared" si="140"/>
        <v/>
      </c>
      <c r="DY127" s="4" t="str">
        <f t="shared" si="148"/>
        <v/>
      </c>
      <c r="DZ127" s="4" t="str">
        <f t="shared" si="141"/>
        <v/>
      </c>
      <c r="EA127" s="4" t="e">
        <f>ROUNDDOWN(VLOOKUP(DK127,Skills!$N$72:$S$107,6,FALSE)/5,0)</f>
        <v>#N/A</v>
      </c>
      <c r="EB127" s="4" t="str">
        <f t="shared" si="149"/>
        <v/>
      </c>
      <c r="EC127" s="4" t="str">
        <f t="shared" si="142"/>
        <v>+</v>
      </c>
      <c r="ED127" s="4" t="e">
        <f>VLOOKUP(DJ127,'Character Sheet'!$FB$21:$HQ$35,61,FALSE)</f>
        <v>#N/A</v>
      </c>
      <c r="EE127" s="4" t="str">
        <f t="shared" si="150"/>
        <v/>
      </c>
      <c r="EF127" s="4" t="str">
        <f t="shared" si="151"/>
        <v/>
      </c>
      <c r="EG127" s="4" t="e">
        <f>VLOOKUP(DR127,Items!$B$1156:$AA$1282,18,FALSE)</f>
        <v>#N/A</v>
      </c>
      <c r="EH127" s="4">
        <f>VLOOKUP(DJ127,'Character Sheet'!$E$26:$EZ$45,81,FALSE)</f>
        <v>0</v>
      </c>
      <c r="EI127" s="4">
        <f>VLOOKUP(DJ127,'Character Sheet'!$E$26:$EZ$45,89,FALSE)</f>
        <v>0</v>
      </c>
      <c r="EJ127" s="4" t="e">
        <f t="shared" si="143"/>
        <v>#N/A</v>
      </c>
    </row>
    <row r="128" spans="29:140" x14ac:dyDescent="0.25">
      <c r="AC128" s="8" t="str">
        <f>IFERROR(VLOOKUP('Character Creation'!$CI141,Skills!$H$2:$N$620,6,FALSE),"")</f>
        <v/>
      </c>
      <c r="AD128" s="4">
        <f>'Character Creation'!EH141</f>
        <v>0</v>
      </c>
      <c r="AG128">
        <v>127</v>
      </c>
      <c r="AH128" s="4" t="str">
        <f t="shared" si="95"/>
        <v/>
      </c>
      <c r="AI128" t="str">
        <f>IFERROR(VLOOKUP(AG128,Skills!$B$2:$M$620,12,FALSE),"")</f>
        <v/>
      </c>
      <c r="AJ128" s="4" t="str">
        <f>IFERROR(VLOOKUP(AG128,Skills!$B$2:$AF$620,31,FALSE),"")</f>
        <v/>
      </c>
      <c r="AK128" s="4" t="str">
        <f t="shared" si="153"/>
        <v/>
      </c>
      <c r="AL128" s="4">
        <v>0.127</v>
      </c>
      <c r="AM128" s="62" t="str">
        <f t="shared" si="96"/>
        <v/>
      </c>
      <c r="AN128" t="str">
        <f t="shared" ca="1" si="97"/>
        <v/>
      </c>
      <c r="AO128" s="4" t="str">
        <f ca="1">IFERROR(VLOOKUP(AG128,$AH$2:$AJ$451,3,FALSE)&amp;IF(ISNUMBER(SEARCH(", Written",AN128))," -R"&amp;VLOOKUP(AN128,Skills!$M$2:$S$620,7,FALSE),IF(ISNUMBER(SEARCH(", Spoken",AN128))," -R"&amp;VLOOKUP(AN128,Skills!$M$2:$S$620,7,FALSE),"")),"")</f>
        <v/>
      </c>
    </row>
    <row r="129" spans="29:41" x14ac:dyDescent="0.25">
      <c r="AC129" s="8" t="str">
        <f>IFERROR(VLOOKUP('Character Creation'!$CI142,Skills!$H$2:$N$620,6,FALSE),"")</f>
        <v/>
      </c>
      <c r="AD129" s="4">
        <f>'Character Creation'!EH142</f>
        <v>0</v>
      </c>
      <c r="AG129">
        <v>128</v>
      </c>
      <c r="AH129" s="4" t="str">
        <f t="shared" si="95"/>
        <v/>
      </c>
      <c r="AI129" t="str">
        <f>IFERROR(VLOOKUP(AG129,Skills!$B$2:$M$620,12,FALSE),"")</f>
        <v/>
      </c>
      <c r="AJ129" s="4" t="str">
        <f>IFERROR(VLOOKUP(AG129,Skills!$B$2:$AF$620,31,FALSE),"")</f>
        <v/>
      </c>
      <c r="AK129" s="4" t="str">
        <f t="shared" si="153"/>
        <v/>
      </c>
      <c r="AL129" s="4">
        <v>0.128</v>
      </c>
      <c r="AM129" s="62" t="str">
        <f t="shared" si="96"/>
        <v/>
      </c>
      <c r="AN129" t="str">
        <f t="shared" ca="1" si="97"/>
        <v/>
      </c>
      <c r="AO129" s="4" t="str">
        <f ca="1">IFERROR(VLOOKUP(AG129,$AH$2:$AJ$451,3,FALSE)&amp;IF(ISNUMBER(SEARCH(", Written",AN129))," -R"&amp;VLOOKUP(AN129,Skills!$M$2:$S$620,7,FALSE),IF(ISNUMBER(SEARCH(", Spoken",AN129))," -R"&amp;VLOOKUP(AN129,Skills!$M$2:$S$620,7,FALSE),"")),"")</f>
        <v/>
      </c>
    </row>
    <row r="130" spans="29:41" x14ac:dyDescent="0.25">
      <c r="AC130" s="8" t="str">
        <f>IFERROR(VLOOKUP('Character Creation'!$CI143,Skills!$H$2:$N$620,6,FALSE),"")</f>
        <v/>
      </c>
      <c r="AD130" s="4">
        <f>'Character Creation'!EH143</f>
        <v>0</v>
      </c>
      <c r="AG130">
        <v>129</v>
      </c>
      <c r="AH130" s="4" t="str">
        <f t="shared" si="95"/>
        <v/>
      </c>
      <c r="AI130" t="str">
        <f>IFERROR(VLOOKUP(AG130,Skills!$B$2:$M$620,12,FALSE),"")</f>
        <v/>
      </c>
      <c r="AJ130" s="4" t="str">
        <f>IFERROR(VLOOKUP(AG130,Skills!$B$2:$AF$620,31,FALSE),"")</f>
        <v/>
      </c>
      <c r="AK130" s="4" t="str">
        <f t="shared" si="153"/>
        <v/>
      </c>
      <c r="AL130" s="4">
        <v>0.129</v>
      </c>
      <c r="AM130" s="62" t="str">
        <f t="shared" si="96"/>
        <v/>
      </c>
      <c r="AN130" t="str">
        <f t="shared" ca="1" si="97"/>
        <v/>
      </c>
      <c r="AO130" s="4" t="str">
        <f ca="1">IFERROR(VLOOKUP(AG130,$AH$2:$AJ$451,3,FALSE)&amp;IF(ISNUMBER(SEARCH(", Written",AN130))," -R"&amp;VLOOKUP(AN130,Skills!$M$2:$S$620,7,FALSE),IF(ISNUMBER(SEARCH(", Spoken",AN130))," -R"&amp;VLOOKUP(AN130,Skills!$M$2:$S$620,7,FALSE),"")),"")</f>
        <v/>
      </c>
    </row>
    <row r="131" spans="29:41" x14ac:dyDescent="0.25">
      <c r="AC131" s="8" t="str">
        <f>IFERROR(VLOOKUP('Character Creation'!$CI144,Skills!$H$2:$N$620,6,FALSE),"")</f>
        <v/>
      </c>
      <c r="AD131" s="4">
        <f>'Character Creation'!EH144</f>
        <v>0</v>
      </c>
      <c r="AG131">
        <v>130</v>
      </c>
      <c r="AH131" s="4" t="str">
        <f t="shared" ref="AH131:AH194" si="174">IFERROR(_xlfn.RANK.EQ(AM131,$AM$2:$AM$451),"")</f>
        <v/>
      </c>
      <c r="AI131" t="str">
        <f>IFERROR(VLOOKUP(AG131,Skills!$B$2:$M$620,12,FALSE),"")</f>
        <v/>
      </c>
      <c r="AJ131" s="4" t="str">
        <f>IFERROR(VLOOKUP(AG131,Skills!$B$2:$AF$620,31,FALSE),"")</f>
        <v/>
      </c>
      <c r="AK131" s="4" t="str">
        <f t="shared" si="153"/>
        <v/>
      </c>
      <c r="AL131" s="4">
        <v>0.13</v>
      </c>
      <c r="AM131" s="62" t="str">
        <f t="shared" ref="AM131:AM194" si="175">IFERROR(AK131+AL131,"")</f>
        <v/>
      </c>
      <c r="AN131" t="str">
        <f t="shared" ref="AN131:AN194" ca="1" si="176">IFERROR(VLOOKUP(AG131,$AH$2:$AJ$451,2,FALSE),"")</f>
        <v/>
      </c>
      <c r="AO131" s="4" t="str">
        <f ca="1">IFERROR(VLOOKUP(AG131,$AH$2:$AJ$451,3,FALSE)&amp;IF(ISNUMBER(SEARCH(", Written",AN131))," -R"&amp;VLOOKUP(AN131,Skills!$M$2:$S$620,7,FALSE),IF(ISNUMBER(SEARCH(", Spoken",AN131))," -R"&amp;VLOOKUP(AN131,Skills!$M$2:$S$620,7,FALSE),"")),"")</f>
        <v/>
      </c>
    </row>
    <row r="132" spans="29:41" x14ac:dyDescent="0.25">
      <c r="AC132" s="8" t="str">
        <f>IFERROR(VLOOKUP('Character Creation'!$CI145,Skills!$H$2:$N$620,6,FALSE),"")</f>
        <v/>
      </c>
      <c r="AD132" s="4">
        <f>'Character Creation'!EH145</f>
        <v>0</v>
      </c>
      <c r="AG132">
        <v>131</v>
      </c>
      <c r="AH132" s="4" t="str">
        <f t="shared" si="174"/>
        <v/>
      </c>
      <c r="AI132" t="str">
        <f>IFERROR(VLOOKUP(AG132,Skills!$B$2:$M$620,12,FALSE),"")</f>
        <v/>
      </c>
      <c r="AJ132" s="4" t="str">
        <f>IFERROR(VLOOKUP(AG132,Skills!$B$2:$AF$620,31,FALSE),"")</f>
        <v/>
      </c>
      <c r="AK132" s="4" t="str">
        <f t="shared" si="153"/>
        <v/>
      </c>
      <c r="AL132" s="4">
        <v>0.13100000000000001</v>
      </c>
      <c r="AM132" s="62" t="str">
        <f t="shared" si="175"/>
        <v/>
      </c>
      <c r="AN132" t="str">
        <f t="shared" ca="1" si="176"/>
        <v/>
      </c>
      <c r="AO132" s="4" t="str">
        <f ca="1">IFERROR(VLOOKUP(AG132,$AH$2:$AJ$451,3,FALSE)&amp;IF(ISNUMBER(SEARCH(", Written",AN132))," -R"&amp;VLOOKUP(AN132,Skills!$M$2:$S$620,7,FALSE),IF(ISNUMBER(SEARCH(", Spoken",AN132))," -R"&amp;VLOOKUP(AN132,Skills!$M$2:$S$620,7,FALSE),"")),"")</f>
        <v/>
      </c>
    </row>
    <row r="133" spans="29:41" x14ac:dyDescent="0.25">
      <c r="AC133" s="8" t="str">
        <f>IFERROR(VLOOKUP('Character Creation'!$CI146,Skills!$H$2:$N$620,6,FALSE),"")</f>
        <v/>
      </c>
      <c r="AD133" s="4">
        <f>'Character Creation'!EH146</f>
        <v>0</v>
      </c>
      <c r="AG133">
        <v>132</v>
      </c>
      <c r="AH133" s="4" t="str">
        <f t="shared" si="174"/>
        <v/>
      </c>
      <c r="AI133" t="str">
        <f>IFERROR(VLOOKUP(AG133,Skills!$B$2:$M$620,12,FALSE),"")</f>
        <v/>
      </c>
      <c r="AJ133" s="4" t="str">
        <f>IFERROR(VLOOKUP(AG133,Skills!$B$2:$AF$620,31,FALSE),"")</f>
        <v/>
      </c>
      <c r="AK133" s="4" t="str">
        <f t="shared" si="153"/>
        <v/>
      </c>
      <c r="AL133" s="4">
        <v>0.13200000000000001</v>
      </c>
      <c r="AM133" s="62" t="str">
        <f t="shared" si="175"/>
        <v/>
      </c>
      <c r="AN133" t="str">
        <f t="shared" ca="1" si="176"/>
        <v/>
      </c>
      <c r="AO133" s="4" t="str">
        <f ca="1">IFERROR(VLOOKUP(AG133,$AH$2:$AJ$451,3,FALSE)&amp;IF(ISNUMBER(SEARCH(", Written",AN133))," -R"&amp;VLOOKUP(AN133,Skills!$M$2:$S$620,7,FALSE),IF(ISNUMBER(SEARCH(", Spoken",AN133))," -R"&amp;VLOOKUP(AN133,Skills!$M$2:$S$620,7,FALSE),"")),"")</f>
        <v/>
      </c>
    </row>
    <row r="134" spans="29:41" x14ac:dyDescent="0.25">
      <c r="AC134" s="8" t="str">
        <f>IFERROR(VLOOKUP('Character Creation'!$CI147,Skills!$H$2:$N$620,6,FALSE),"")</f>
        <v/>
      </c>
      <c r="AD134" s="4">
        <f>'Character Creation'!EH147</f>
        <v>0</v>
      </c>
      <c r="AG134">
        <v>133</v>
      </c>
      <c r="AH134" s="4" t="str">
        <f t="shared" si="174"/>
        <v/>
      </c>
      <c r="AI134" t="str">
        <f>IFERROR(VLOOKUP(AG134,Skills!$B$2:$M$620,12,FALSE),"")</f>
        <v/>
      </c>
      <c r="AJ134" s="4" t="str">
        <f>IFERROR(VLOOKUP(AG134,Skills!$B$2:$AF$620,31,FALSE),"")</f>
        <v/>
      </c>
      <c r="AK134" s="4" t="str">
        <f t="shared" si="153"/>
        <v/>
      </c>
      <c r="AL134" s="4">
        <v>0.13300000000000001</v>
      </c>
      <c r="AM134" s="62" t="str">
        <f t="shared" si="175"/>
        <v/>
      </c>
      <c r="AN134" t="str">
        <f t="shared" ca="1" si="176"/>
        <v/>
      </c>
      <c r="AO134" s="4" t="str">
        <f ca="1">IFERROR(VLOOKUP(AG134,$AH$2:$AJ$451,3,FALSE)&amp;IF(ISNUMBER(SEARCH(", Written",AN134))," -R"&amp;VLOOKUP(AN134,Skills!$M$2:$S$620,7,FALSE),IF(ISNUMBER(SEARCH(", Spoken",AN134))," -R"&amp;VLOOKUP(AN134,Skills!$M$2:$S$620,7,FALSE),"")),"")</f>
        <v/>
      </c>
    </row>
    <row r="135" spans="29:41" x14ac:dyDescent="0.25">
      <c r="AC135" s="8" t="str">
        <f>IFERROR(VLOOKUP('Character Creation'!$CI148,Skills!$H$2:$N$620,6,FALSE),"")</f>
        <v/>
      </c>
      <c r="AD135" s="4">
        <f>'Character Creation'!EH148</f>
        <v>0</v>
      </c>
      <c r="AG135">
        <v>134</v>
      </c>
      <c r="AH135" s="4" t="str">
        <f t="shared" si="174"/>
        <v/>
      </c>
      <c r="AI135" t="str">
        <f>IFERROR(VLOOKUP(AG135,Skills!$B$2:$M$620,12,FALSE),"")</f>
        <v/>
      </c>
      <c r="AJ135" s="4" t="str">
        <f>IFERROR(VLOOKUP(AG135,Skills!$B$2:$AF$620,31,FALSE),"")</f>
        <v/>
      </c>
      <c r="AK135" s="4" t="str">
        <f t="shared" si="153"/>
        <v/>
      </c>
      <c r="AL135" s="4">
        <v>0.13400000000000001</v>
      </c>
      <c r="AM135" s="62" t="str">
        <f t="shared" si="175"/>
        <v/>
      </c>
      <c r="AN135" t="str">
        <f t="shared" ca="1" si="176"/>
        <v/>
      </c>
      <c r="AO135" s="4" t="str">
        <f ca="1">IFERROR(VLOOKUP(AG135,$AH$2:$AJ$451,3,FALSE)&amp;IF(ISNUMBER(SEARCH(", Written",AN135))," -R"&amp;VLOOKUP(AN135,Skills!$M$2:$S$620,7,FALSE),IF(ISNUMBER(SEARCH(", Spoken",AN135))," -R"&amp;VLOOKUP(AN135,Skills!$M$2:$S$620,7,FALSE),"")),"")</f>
        <v/>
      </c>
    </row>
    <row r="136" spans="29:41" x14ac:dyDescent="0.25">
      <c r="AC136" s="8" t="str">
        <f>IFERROR(VLOOKUP('Character Creation'!$CI149,Skills!$H$2:$N$620,6,FALSE),"")</f>
        <v/>
      </c>
      <c r="AD136" s="4">
        <f>'Character Creation'!EH149</f>
        <v>0</v>
      </c>
      <c r="AG136">
        <v>135</v>
      </c>
      <c r="AH136" s="4" t="str">
        <f t="shared" si="174"/>
        <v/>
      </c>
      <c r="AI136" t="str">
        <f>IFERROR(VLOOKUP(AG136,Skills!$B$2:$M$620,12,FALSE),"")</f>
        <v/>
      </c>
      <c r="AJ136" s="4" t="str">
        <f>IFERROR(VLOOKUP(AG136,Skills!$B$2:$AF$620,31,FALSE),"")</f>
        <v/>
      </c>
      <c r="AK136" s="4" t="str">
        <f t="shared" si="153"/>
        <v/>
      </c>
      <c r="AL136" s="4">
        <v>0.13500000000000001</v>
      </c>
      <c r="AM136" s="62" t="str">
        <f t="shared" si="175"/>
        <v/>
      </c>
      <c r="AN136" t="str">
        <f t="shared" ca="1" si="176"/>
        <v/>
      </c>
      <c r="AO136" s="4" t="str">
        <f ca="1">IFERROR(VLOOKUP(AG136,$AH$2:$AJ$451,3,FALSE)&amp;IF(ISNUMBER(SEARCH(", Written",AN136))," -R"&amp;VLOOKUP(AN136,Skills!$M$2:$S$620,7,FALSE),IF(ISNUMBER(SEARCH(", Spoken",AN136))," -R"&amp;VLOOKUP(AN136,Skills!$M$2:$S$620,7,FALSE),"")),"")</f>
        <v/>
      </c>
    </row>
    <row r="137" spans="29:41" x14ac:dyDescent="0.25">
      <c r="AC137" s="8" t="str">
        <f>IFERROR(VLOOKUP('Character Creation'!$CI150,Skills!$H$2:$N$620,6,FALSE),"")</f>
        <v/>
      </c>
      <c r="AD137" s="4">
        <f>'Character Creation'!EH150</f>
        <v>0</v>
      </c>
      <c r="AG137">
        <v>136</v>
      </c>
      <c r="AH137" s="4" t="str">
        <f t="shared" si="174"/>
        <v/>
      </c>
      <c r="AI137" t="str">
        <f>IFERROR(VLOOKUP(AG137,Skills!$B$2:$M$620,12,FALSE),"")</f>
        <v/>
      </c>
      <c r="AJ137" s="4" t="str">
        <f>IFERROR(VLOOKUP(AG137,Skills!$B$2:$AF$620,31,FALSE),"")</f>
        <v/>
      </c>
      <c r="AK137" s="4" t="str">
        <f t="shared" si="153"/>
        <v/>
      </c>
      <c r="AL137" s="4">
        <v>0.13600000000000001</v>
      </c>
      <c r="AM137" s="62" t="str">
        <f t="shared" si="175"/>
        <v/>
      </c>
      <c r="AN137" t="str">
        <f t="shared" ca="1" si="176"/>
        <v/>
      </c>
      <c r="AO137" s="4" t="str">
        <f ca="1">IFERROR(VLOOKUP(AG137,$AH$2:$AJ$451,3,FALSE)&amp;IF(ISNUMBER(SEARCH(", Written",AN137))," -R"&amp;VLOOKUP(AN137,Skills!$M$2:$S$620,7,FALSE),IF(ISNUMBER(SEARCH(", Spoken",AN137))," -R"&amp;VLOOKUP(AN137,Skills!$M$2:$S$620,7,FALSE),"")),"")</f>
        <v/>
      </c>
    </row>
    <row r="138" spans="29:41" x14ac:dyDescent="0.25">
      <c r="AC138" s="8" t="str">
        <f>IFERROR(VLOOKUP('Character Creation'!$CI151,Skills!$H$2:$N$620,6,FALSE),"")</f>
        <v/>
      </c>
      <c r="AD138" s="4">
        <f>'Character Creation'!EH151</f>
        <v>0</v>
      </c>
      <c r="AG138">
        <v>137</v>
      </c>
      <c r="AH138" s="4" t="str">
        <f t="shared" si="174"/>
        <v/>
      </c>
      <c r="AI138" t="str">
        <f>IFERROR(VLOOKUP(AG138,Skills!$B$2:$M$620,12,FALSE),"")</f>
        <v/>
      </c>
      <c r="AJ138" s="4" t="str">
        <f>IFERROR(VLOOKUP(AG138,Skills!$B$2:$AF$620,31,FALSE),"")</f>
        <v/>
      </c>
      <c r="AK138" s="4" t="str">
        <f t="shared" si="153"/>
        <v/>
      </c>
      <c r="AL138" s="4">
        <v>0.13700000000000001</v>
      </c>
      <c r="AM138" s="62" t="str">
        <f t="shared" si="175"/>
        <v/>
      </c>
      <c r="AN138" t="str">
        <f t="shared" ca="1" si="176"/>
        <v/>
      </c>
      <c r="AO138" s="4" t="str">
        <f ca="1">IFERROR(VLOOKUP(AG138,$AH$2:$AJ$451,3,FALSE)&amp;IF(ISNUMBER(SEARCH(", Written",AN138))," -R"&amp;VLOOKUP(AN138,Skills!$M$2:$S$620,7,FALSE),IF(ISNUMBER(SEARCH(", Spoken",AN138))," -R"&amp;VLOOKUP(AN138,Skills!$M$2:$S$620,7,FALSE),"")),"")</f>
        <v/>
      </c>
    </row>
    <row r="139" spans="29:41" x14ac:dyDescent="0.25">
      <c r="AC139" s="8" t="str">
        <f>IFERROR(VLOOKUP('Character Creation'!$CI152,Skills!$H$2:$N$620,6,FALSE),"")</f>
        <v/>
      </c>
      <c r="AD139" s="4">
        <f>'Character Creation'!EH152</f>
        <v>0</v>
      </c>
      <c r="AG139">
        <v>138</v>
      </c>
      <c r="AH139" s="4" t="str">
        <f t="shared" si="174"/>
        <v/>
      </c>
      <c r="AI139" t="str">
        <f>IFERROR(VLOOKUP(AG139,Skills!$B$2:$M$620,12,FALSE),"")</f>
        <v/>
      </c>
      <c r="AJ139" s="4" t="str">
        <f>IFERROR(VLOOKUP(AG139,Skills!$B$2:$AF$620,31,FALSE),"")</f>
        <v/>
      </c>
      <c r="AK139" s="4" t="str">
        <f t="shared" si="153"/>
        <v/>
      </c>
      <c r="AL139" s="4">
        <v>0.13800000000000001</v>
      </c>
      <c r="AM139" s="62" t="str">
        <f t="shared" si="175"/>
        <v/>
      </c>
      <c r="AN139" t="str">
        <f t="shared" ca="1" si="176"/>
        <v/>
      </c>
      <c r="AO139" s="4" t="str">
        <f ca="1">IFERROR(VLOOKUP(AG139,$AH$2:$AJ$451,3,FALSE)&amp;IF(ISNUMBER(SEARCH(", Written",AN139))," -R"&amp;VLOOKUP(AN139,Skills!$M$2:$S$620,7,FALSE),IF(ISNUMBER(SEARCH(", Spoken",AN139))," -R"&amp;VLOOKUP(AN139,Skills!$M$2:$S$620,7,FALSE),"")),"")</f>
        <v/>
      </c>
    </row>
    <row r="140" spans="29:41" x14ac:dyDescent="0.25">
      <c r="AC140" s="8" t="str">
        <f>IFERROR(VLOOKUP('Character Creation'!$CI153,Skills!$H$2:$N$620,6,FALSE),"")</f>
        <v/>
      </c>
      <c r="AD140" s="4">
        <f>'Character Creation'!EH153</f>
        <v>0</v>
      </c>
      <c r="AG140">
        <v>139</v>
      </c>
      <c r="AH140" s="4" t="str">
        <f t="shared" si="174"/>
        <v/>
      </c>
      <c r="AI140" t="str">
        <f>IFERROR(VLOOKUP(AG140,Skills!$B$2:$M$620,12,FALSE),"")</f>
        <v/>
      </c>
      <c r="AJ140" s="4" t="str">
        <f>IFERROR(VLOOKUP(AG140,Skills!$B$2:$AF$620,31,FALSE),"")</f>
        <v/>
      </c>
      <c r="AK140" s="4" t="str">
        <f t="shared" si="153"/>
        <v/>
      </c>
      <c r="AL140" s="4">
        <v>0.13900000000000001</v>
      </c>
      <c r="AM140" s="62" t="str">
        <f t="shared" si="175"/>
        <v/>
      </c>
      <c r="AN140" t="str">
        <f t="shared" ca="1" si="176"/>
        <v/>
      </c>
      <c r="AO140" s="4" t="str">
        <f ca="1">IFERROR(VLOOKUP(AG140,$AH$2:$AJ$451,3,FALSE)&amp;IF(ISNUMBER(SEARCH(", Written",AN140))," -R"&amp;VLOOKUP(AN140,Skills!$M$2:$S$620,7,FALSE),IF(ISNUMBER(SEARCH(", Spoken",AN140))," -R"&amp;VLOOKUP(AN140,Skills!$M$2:$S$620,7,FALSE),"")),"")</f>
        <v/>
      </c>
    </row>
    <row r="141" spans="29:41" x14ac:dyDescent="0.25">
      <c r="AC141" s="8" t="str">
        <f>IFERROR(VLOOKUP('Character Creation'!$CI154,Skills!$H$2:$N$620,6,FALSE),"")</f>
        <v/>
      </c>
      <c r="AD141" s="4">
        <f>'Character Creation'!EH154</f>
        <v>0</v>
      </c>
      <c r="AG141">
        <v>140</v>
      </c>
      <c r="AH141" s="4" t="str">
        <f t="shared" si="174"/>
        <v/>
      </c>
      <c r="AI141" t="str">
        <f>IFERROR(VLOOKUP(AG141,Skills!$B$2:$M$620,12,FALSE),"")</f>
        <v/>
      </c>
      <c r="AJ141" s="4" t="str">
        <f>IFERROR(VLOOKUP(AG141,Skills!$B$2:$AF$620,31,FALSE),"")</f>
        <v/>
      </c>
      <c r="AK141" s="4" t="str">
        <f t="shared" si="153"/>
        <v/>
      </c>
      <c r="AL141" s="4">
        <v>0.14000000000000001</v>
      </c>
      <c r="AM141" s="62" t="str">
        <f t="shared" si="175"/>
        <v/>
      </c>
      <c r="AN141" t="str">
        <f t="shared" ca="1" si="176"/>
        <v/>
      </c>
      <c r="AO141" s="4" t="str">
        <f ca="1">IFERROR(VLOOKUP(AG141,$AH$2:$AJ$451,3,FALSE)&amp;IF(ISNUMBER(SEARCH(", Written",AN141))," -R"&amp;VLOOKUP(AN141,Skills!$M$2:$S$620,7,FALSE),IF(ISNUMBER(SEARCH(", Spoken",AN141))," -R"&amp;VLOOKUP(AN141,Skills!$M$2:$S$620,7,FALSE),"")),"")</f>
        <v/>
      </c>
    </row>
    <row r="142" spans="29:41" x14ac:dyDescent="0.25">
      <c r="AC142" s="8" t="str">
        <f>IFERROR(VLOOKUP('Character Creation'!$CI155,Skills!$H$2:$N$620,6,FALSE),"")</f>
        <v/>
      </c>
      <c r="AD142" s="4">
        <f>'Character Creation'!EH155</f>
        <v>0</v>
      </c>
      <c r="AG142">
        <v>141</v>
      </c>
      <c r="AH142" s="4" t="str">
        <f t="shared" si="174"/>
        <v/>
      </c>
      <c r="AI142" t="str">
        <f>IFERROR(VLOOKUP(AG142,Skills!$B$2:$M$620,12,FALSE),"")</f>
        <v/>
      </c>
      <c r="AJ142" s="4" t="str">
        <f>IFERROR(VLOOKUP(AG142,Skills!$B$2:$AF$620,31,FALSE),"")</f>
        <v/>
      </c>
      <c r="AK142" s="4" t="str">
        <f t="shared" si="153"/>
        <v/>
      </c>
      <c r="AL142" s="4">
        <v>0.14099999999999999</v>
      </c>
      <c r="AM142" s="62" t="str">
        <f t="shared" si="175"/>
        <v/>
      </c>
      <c r="AN142" t="str">
        <f t="shared" ca="1" si="176"/>
        <v/>
      </c>
      <c r="AO142" s="4" t="str">
        <f ca="1">IFERROR(VLOOKUP(AG142,$AH$2:$AJ$451,3,FALSE)&amp;IF(ISNUMBER(SEARCH(", Written",AN142))," -R"&amp;VLOOKUP(AN142,Skills!$M$2:$S$620,7,FALSE),IF(ISNUMBER(SEARCH(", Spoken",AN142))," -R"&amp;VLOOKUP(AN142,Skills!$M$2:$S$620,7,FALSE),"")),"")</f>
        <v/>
      </c>
    </row>
    <row r="143" spans="29:41" x14ac:dyDescent="0.25">
      <c r="AC143" s="8" t="str">
        <f>IFERROR(VLOOKUP('Character Creation'!$CI156,Skills!$H$2:$N$620,6,FALSE),"")</f>
        <v/>
      </c>
      <c r="AD143" s="4">
        <f>'Character Creation'!EH156</f>
        <v>0</v>
      </c>
      <c r="AG143">
        <v>142</v>
      </c>
      <c r="AH143" s="4" t="str">
        <f t="shared" si="174"/>
        <v/>
      </c>
      <c r="AI143" t="str">
        <f>IFERROR(VLOOKUP(AG143,Skills!$B$2:$M$620,12,FALSE),"")</f>
        <v/>
      </c>
      <c r="AJ143" s="4" t="str">
        <f>IFERROR(VLOOKUP(AG143,Skills!$B$2:$AF$620,31,FALSE),"")</f>
        <v/>
      </c>
      <c r="AK143" s="4" t="str">
        <f t="shared" si="153"/>
        <v/>
      </c>
      <c r="AL143" s="4">
        <v>0.14199999999999999</v>
      </c>
      <c r="AM143" s="62" t="str">
        <f t="shared" si="175"/>
        <v/>
      </c>
      <c r="AN143" t="str">
        <f t="shared" ca="1" si="176"/>
        <v/>
      </c>
      <c r="AO143" s="4" t="str">
        <f ca="1">IFERROR(VLOOKUP(AG143,$AH$2:$AJ$451,3,FALSE)&amp;IF(ISNUMBER(SEARCH(", Written",AN143))," -R"&amp;VLOOKUP(AN143,Skills!$M$2:$S$620,7,FALSE),IF(ISNUMBER(SEARCH(", Spoken",AN143))," -R"&amp;VLOOKUP(AN143,Skills!$M$2:$S$620,7,FALSE),"")),"")</f>
        <v/>
      </c>
    </row>
    <row r="144" spans="29:41" x14ac:dyDescent="0.25">
      <c r="AC144" s="8" t="str">
        <f>IFERROR(VLOOKUP('Character Creation'!$CI157,Skills!$H$2:$N$620,6,FALSE),"")</f>
        <v/>
      </c>
      <c r="AD144" s="4">
        <f>'Character Creation'!EH157</f>
        <v>0</v>
      </c>
      <c r="AG144">
        <v>143</v>
      </c>
      <c r="AH144" s="4" t="str">
        <f t="shared" si="174"/>
        <v/>
      </c>
      <c r="AI144" t="str">
        <f>IFERROR(VLOOKUP(AG144,Skills!$B$2:$M$620,12,FALSE),"")</f>
        <v/>
      </c>
      <c r="AJ144" s="4" t="str">
        <f>IFERROR(VLOOKUP(AG144,Skills!$B$2:$AF$620,31,FALSE),"")</f>
        <v/>
      </c>
      <c r="AK144" s="4" t="str">
        <f t="shared" si="153"/>
        <v/>
      </c>
      <c r="AL144" s="4">
        <v>0.14299999999999999</v>
      </c>
      <c r="AM144" s="62" t="str">
        <f t="shared" si="175"/>
        <v/>
      </c>
      <c r="AN144" t="str">
        <f t="shared" ca="1" si="176"/>
        <v/>
      </c>
      <c r="AO144" s="4" t="str">
        <f ca="1">IFERROR(VLOOKUP(AG144,$AH$2:$AJ$451,3,FALSE)&amp;IF(ISNUMBER(SEARCH(", Written",AN144))," -R"&amp;VLOOKUP(AN144,Skills!$M$2:$S$620,7,FALSE),IF(ISNUMBER(SEARCH(", Spoken",AN144))," -R"&amp;VLOOKUP(AN144,Skills!$M$2:$S$620,7,FALSE),"")),"")</f>
        <v/>
      </c>
    </row>
    <row r="145" spans="29:41" x14ac:dyDescent="0.25">
      <c r="AC145" s="8" t="str">
        <f>IFERROR(VLOOKUP('Character Creation'!$CI158,Skills!$H$2:$N$620,6,FALSE),"")</f>
        <v/>
      </c>
      <c r="AD145" s="4">
        <f>'Character Creation'!EH158</f>
        <v>0</v>
      </c>
      <c r="AG145">
        <v>144</v>
      </c>
      <c r="AH145" s="4" t="str">
        <f t="shared" si="174"/>
        <v/>
      </c>
      <c r="AI145" t="str">
        <f>IFERROR(VLOOKUP(AG145,Skills!$B$2:$M$620,12,FALSE),"")</f>
        <v/>
      </c>
      <c r="AJ145" s="4" t="str">
        <f>IFERROR(VLOOKUP(AG145,Skills!$B$2:$AF$620,31,FALSE),"")</f>
        <v/>
      </c>
      <c r="AK145" s="4" t="str">
        <f t="shared" si="153"/>
        <v/>
      </c>
      <c r="AL145" s="4">
        <v>0.14399999999999999</v>
      </c>
      <c r="AM145" s="62" t="str">
        <f t="shared" si="175"/>
        <v/>
      </c>
      <c r="AN145" t="str">
        <f t="shared" ca="1" si="176"/>
        <v/>
      </c>
      <c r="AO145" s="4" t="str">
        <f ca="1">IFERROR(VLOOKUP(AG145,$AH$2:$AJ$451,3,FALSE)&amp;IF(ISNUMBER(SEARCH(", Written",AN145))," -R"&amp;VLOOKUP(AN145,Skills!$M$2:$S$620,7,FALSE),IF(ISNUMBER(SEARCH(", Spoken",AN145))," -R"&amp;VLOOKUP(AN145,Skills!$M$2:$S$620,7,FALSE),"")),"")</f>
        <v/>
      </c>
    </row>
    <row r="146" spans="29:41" x14ac:dyDescent="0.25">
      <c r="AC146" s="8" t="str">
        <f>IFERROR(VLOOKUP('Character Creation'!$CI159,Skills!$H$2:$N$620,6,FALSE),"")</f>
        <v/>
      </c>
      <c r="AD146" s="4">
        <f>'Character Creation'!EH159</f>
        <v>0</v>
      </c>
      <c r="AG146">
        <v>145</v>
      </c>
      <c r="AH146" s="4" t="str">
        <f t="shared" si="174"/>
        <v/>
      </c>
      <c r="AI146" t="str">
        <f>IFERROR(VLOOKUP(AG146,Skills!$B$2:$M$620,12,FALSE),"")</f>
        <v/>
      </c>
      <c r="AJ146" s="4" t="str">
        <f>IFERROR(VLOOKUP(AG146,Skills!$B$2:$AF$620,31,FALSE),"")</f>
        <v/>
      </c>
      <c r="AK146" s="4" t="str">
        <f t="shared" si="153"/>
        <v/>
      </c>
      <c r="AL146" s="4">
        <v>0.14499999999999999</v>
      </c>
      <c r="AM146" s="62" t="str">
        <f t="shared" si="175"/>
        <v/>
      </c>
      <c r="AN146" t="str">
        <f t="shared" ca="1" si="176"/>
        <v/>
      </c>
      <c r="AO146" s="4" t="str">
        <f ca="1">IFERROR(VLOOKUP(AG146,$AH$2:$AJ$451,3,FALSE)&amp;IF(ISNUMBER(SEARCH(", Written",AN146))," -R"&amp;VLOOKUP(AN146,Skills!$M$2:$S$620,7,FALSE),IF(ISNUMBER(SEARCH(", Spoken",AN146))," -R"&amp;VLOOKUP(AN146,Skills!$M$2:$S$620,7,FALSE),"")),"")</f>
        <v/>
      </c>
    </row>
    <row r="147" spans="29:41" x14ac:dyDescent="0.25">
      <c r="AC147" s="8" t="str">
        <f>IFERROR(VLOOKUP('Character Creation'!$CI160,Skills!$H$2:$N$620,6,FALSE),"")</f>
        <v/>
      </c>
      <c r="AD147" s="4">
        <f>'Character Creation'!EH160</f>
        <v>0</v>
      </c>
      <c r="AG147">
        <v>146</v>
      </c>
      <c r="AH147" s="4" t="str">
        <f t="shared" si="174"/>
        <v/>
      </c>
      <c r="AI147" t="str">
        <f>IFERROR(VLOOKUP(AG147,Skills!$B$2:$M$620,12,FALSE),"")</f>
        <v/>
      </c>
      <c r="AJ147" s="4" t="str">
        <f>IFERROR(VLOOKUP(AG147,Skills!$B$2:$AF$620,31,FALSE),"")</f>
        <v/>
      </c>
      <c r="AK147" s="4" t="str">
        <f t="shared" si="153"/>
        <v/>
      </c>
      <c r="AL147" s="4">
        <v>0.14599999999999999</v>
      </c>
      <c r="AM147" s="62" t="str">
        <f t="shared" si="175"/>
        <v/>
      </c>
      <c r="AN147" t="str">
        <f t="shared" ca="1" si="176"/>
        <v/>
      </c>
      <c r="AO147" s="4" t="str">
        <f ca="1">IFERROR(VLOOKUP(AG147,$AH$2:$AJ$451,3,FALSE)&amp;IF(ISNUMBER(SEARCH(", Written",AN147))," -R"&amp;VLOOKUP(AN147,Skills!$M$2:$S$620,7,FALSE),IF(ISNUMBER(SEARCH(", Spoken",AN147))," -R"&amp;VLOOKUP(AN147,Skills!$M$2:$S$620,7,FALSE),"")),"")</f>
        <v/>
      </c>
    </row>
    <row r="148" spans="29:41" x14ac:dyDescent="0.25">
      <c r="AC148" s="8" t="str">
        <f>IFERROR(VLOOKUP('Character Creation'!$CI161,Skills!$H$2:$N$620,6,FALSE),"")</f>
        <v/>
      </c>
      <c r="AD148" s="4">
        <f>'Character Creation'!EH161</f>
        <v>0</v>
      </c>
      <c r="AG148">
        <v>147</v>
      </c>
      <c r="AH148" s="4" t="str">
        <f t="shared" si="174"/>
        <v/>
      </c>
      <c r="AI148" t="str">
        <f>IFERROR(VLOOKUP(AG148,Skills!$B$2:$M$620,12,FALSE),"")</f>
        <v/>
      </c>
      <c r="AJ148" s="4" t="str">
        <f>IFERROR(VLOOKUP(AG148,Skills!$B$2:$AF$620,31,FALSE),"")</f>
        <v/>
      </c>
      <c r="AK148" s="4" t="str">
        <f t="shared" si="153"/>
        <v/>
      </c>
      <c r="AL148" s="4">
        <v>0.14699999999999999</v>
      </c>
      <c r="AM148" s="62" t="str">
        <f t="shared" si="175"/>
        <v/>
      </c>
      <c r="AN148" t="str">
        <f t="shared" ca="1" si="176"/>
        <v/>
      </c>
      <c r="AO148" s="4" t="str">
        <f ca="1">IFERROR(VLOOKUP(AG148,$AH$2:$AJ$451,3,FALSE)&amp;IF(ISNUMBER(SEARCH(", Written",AN148))," -R"&amp;VLOOKUP(AN148,Skills!$M$2:$S$620,7,FALSE),IF(ISNUMBER(SEARCH(", Spoken",AN148))," -R"&amp;VLOOKUP(AN148,Skills!$M$2:$S$620,7,FALSE),"")),"")</f>
        <v/>
      </c>
    </row>
    <row r="149" spans="29:41" x14ac:dyDescent="0.25">
      <c r="AC149" s="8" t="str">
        <f>IFERROR(VLOOKUP('Character Creation'!$CI162,Skills!$H$2:$N$620,6,FALSE),"")</f>
        <v/>
      </c>
      <c r="AD149" s="4">
        <f>'Character Creation'!EH162</f>
        <v>0</v>
      </c>
      <c r="AG149">
        <v>148</v>
      </c>
      <c r="AH149" s="4" t="str">
        <f t="shared" si="174"/>
        <v/>
      </c>
      <c r="AI149" t="str">
        <f>IFERROR(VLOOKUP(AG149,Skills!$B$2:$M$620,12,FALSE),"")</f>
        <v/>
      </c>
      <c r="AJ149" s="4" t="str">
        <f>IFERROR(VLOOKUP(AG149,Skills!$B$2:$AF$620,31,FALSE),"")</f>
        <v/>
      </c>
      <c r="AK149" s="4" t="str">
        <f t="shared" si="153"/>
        <v/>
      </c>
      <c r="AL149" s="4">
        <v>0.14799999999999999</v>
      </c>
      <c r="AM149" s="62" t="str">
        <f t="shared" si="175"/>
        <v/>
      </c>
      <c r="AN149" t="str">
        <f t="shared" ca="1" si="176"/>
        <v/>
      </c>
      <c r="AO149" s="4" t="str">
        <f ca="1">IFERROR(VLOOKUP(AG149,$AH$2:$AJ$451,3,FALSE)&amp;IF(ISNUMBER(SEARCH(", Written",AN149))," -R"&amp;VLOOKUP(AN149,Skills!$M$2:$S$620,7,FALSE),IF(ISNUMBER(SEARCH(", Spoken",AN149))," -R"&amp;VLOOKUP(AN149,Skills!$M$2:$S$620,7,FALSE),"")),"")</f>
        <v/>
      </c>
    </row>
    <row r="150" spans="29:41" x14ac:dyDescent="0.25">
      <c r="AC150" s="8" t="str">
        <f>IFERROR(VLOOKUP('Character Creation'!$CI163,Skills!$H$2:$N$620,6,FALSE),"")</f>
        <v/>
      </c>
      <c r="AD150" s="4">
        <f>'Character Creation'!EH163</f>
        <v>0</v>
      </c>
      <c r="AG150">
        <v>149</v>
      </c>
      <c r="AH150" s="4" t="str">
        <f t="shared" si="174"/>
        <v/>
      </c>
      <c r="AI150" t="str">
        <f>IFERROR(VLOOKUP(AG150,Skills!$B$2:$M$620,12,FALSE),"")</f>
        <v/>
      </c>
      <c r="AJ150" s="4" t="str">
        <f>IFERROR(VLOOKUP(AG150,Skills!$B$2:$AF$620,31,FALSE),"")</f>
        <v/>
      </c>
      <c r="AK150" s="4" t="str">
        <f t="shared" si="153"/>
        <v/>
      </c>
      <c r="AL150" s="4">
        <v>0.14899999999999999</v>
      </c>
      <c r="AM150" s="62" t="str">
        <f t="shared" si="175"/>
        <v/>
      </c>
      <c r="AN150" t="str">
        <f t="shared" ca="1" si="176"/>
        <v/>
      </c>
      <c r="AO150" s="4" t="str">
        <f ca="1">IFERROR(VLOOKUP(AG150,$AH$2:$AJ$451,3,FALSE)&amp;IF(ISNUMBER(SEARCH(", Written",AN150))," -R"&amp;VLOOKUP(AN150,Skills!$M$2:$S$620,7,FALSE),IF(ISNUMBER(SEARCH(", Spoken",AN150))," -R"&amp;VLOOKUP(AN150,Skills!$M$2:$S$620,7,FALSE),"")),"")</f>
        <v/>
      </c>
    </row>
    <row r="151" spans="29:41" x14ac:dyDescent="0.25">
      <c r="AC151" s="8" t="str">
        <f>IFERROR(VLOOKUP('Character Creation'!$CI164,Skills!$H$2:$N$620,6,FALSE),"")</f>
        <v/>
      </c>
      <c r="AD151" s="4">
        <f>'Character Creation'!EH164</f>
        <v>0</v>
      </c>
      <c r="AG151">
        <v>150</v>
      </c>
      <c r="AH151" s="4" t="str">
        <f t="shared" si="174"/>
        <v/>
      </c>
      <c r="AI151" t="str">
        <f>IFERROR(VLOOKUP(AG151,Skills!$B$2:$M$620,12,FALSE),"")</f>
        <v/>
      </c>
      <c r="AJ151" s="4" t="str">
        <f>IFERROR(VLOOKUP(AG151,Skills!$B$2:$AF$620,31,FALSE),"")</f>
        <v/>
      </c>
      <c r="AK151" s="4" t="str">
        <f t="shared" si="153"/>
        <v/>
      </c>
      <c r="AL151" s="4">
        <v>0.15</v>
      </c>
      <c r="AM151" s="62" t="str">
        <f t="shared" si="175"/>
        <v/>
      </c>
      <c r="AN151" t="str">
        <f t="shared" ca="1" si="176"/>
        <v/>
      </c>
      <c r="AO151" s="4" t="str">
        <f ca="1">IFERROR(VLOOKUP(AG151,$AH$2:$AJ$451,3,FALSE)&amp;IF(ISNUMBER(SEARCH(", Written",AN151))," -R"&amp;VLOOKUP(AN151,Skills!$M$2:$S$620,7,FALSE),IF(ISNUMBER(SEARCH(", Spoken",AN151))," -R"&amp;VLOOKUP(AN151,Skills!$M$2:$S$620,7,FALSE),"")),"")</f>
        <v/>
      </c>
    </row>
    <row r="152" spans="29:41" x14ac:dyDescent="0.25">
      <c r="AC152" s="8" t="str">
        <f>IFERROR(VLOOKUP('Character Creation'!$CI165,Skills!$H$2:$N$620,6,FALSE),"")</f>
        <v/>
      </c>
      <c r="AD152" s="4">
        <f>'Character Creation'!EH165</f>
        <v>0</v>
      </c>
      <c r="AG152">
        <v>151</v>
      </c>
      <c r="AH152" s="4" t="str">
        <f t="shared" si="174"/>
        <v/>
      </c>
      <c r="AI152" t="str">
        <f>IFERROR(VLOOKUP(AG152,Skills!$B$2:$M$620,12,FALSE),"")</f>
        <v/>
      </c>
      <c r="AJ152" s="4" t="str">
        <f>IFERROR(VLOOKUP(AG152,Skills!$B$2:$AF$620,31,FALSE),"")</f>
        <v/>
      </c>
      <c r="AK152" s="4" t="str">
        <f t="shared" si="153"/>
        <v/>
      </c>
      <c r="AL152" s="4">
        <v>0.151</v>
      </c>
      <c r="AM152" s="62" t="str">
        <f t="shared" si="175"/>
        <v/>
      </c>
      <c r="AN152" t="str">
        <f t="shared" ca="1" si="176"/>
        <v/>
      </c>
      <c r="AO152" s="4" t="str">
        <f ca="1">IFERROR(VLOOKUP(AG152,$AH$2:$AJ$451,3,FALSE)&amp;IF(ISNUMBER(SEARCH(", Written",AN152))," -R"&amp;VLOOKUP(AN152,Skills!$M$2:$S$620,7,FALSE),IF(ISNUMBER(SEARCH(", Spoken",AN152))," -R"&amp;VLOOKUP(AN152,Skills!$M$2:$S$620,7,FALSE),"")),"")</f>
        <v/>
      </c>
    </row>
    <row r="153" spans="29:41" x14ac:dyDescent="0.25">
      <c r="AC153" s="8" t="str">
        <f>IFERROR(VLOOKUP('Character Creation'!$CI166,Skills!$H$2:$N$620,6,FALSE),"")</f>
        <v/>
      </c>
      <c r="AD153" s="4">
        <f>'Character Creation'!EH166</f>
        <v>0</v>
      </c>
      <c r="AG153">
        <v>152</v>
      </c>
      <c r="AH153" s="4" t="str">
        <f t="shared" si="174"/>
        <v/>
      </c>
      <c r="AI153" t="str">
        <f>IFERROR(VLOOKUP(AG153,Skills!$B$2:$M$620,12,FALSE),"")</f>
        <v/>
      </c>
      <c r="AJ153" s="4" t="str">
        <f>IFERROR(VLOOKUP(AG153,Skills!$B$2:$AF$620,31,FALSE),"")</f>
        <v/>
      </c>
      <c r="AK153" s="4" t="str">
        <f t="shared" si="153"/>
        <v/>
      </c>
      <c r="AL153" s="4">
        <v>0.152</v>
      </c>
      <c r="AM153" s="62" t="str">
        <f t="shared" si="175"/>
        <v/>
      </c>
      <c r="AN153" t="str">
        <f t="shared" ca="1" si="176"/>
        <v/>
      </c>
      <c r="AO153" s="4" t="str">
        <f ca="1">IFERROR(VLOOKUP(AG153,$AH$2:$AJ$451,3,FALSE)&amp;IF(ISNUMBER(SEARCH(", Written",AN153))," -R"&amp;VLOOKUP(AN153,Skills!$M$2:$S$620,7,FALSE),IF(ISNUMBER(SEARCH(", Spoken",AN153))," -R"&amp;VLOOKUP(AN153,Skills!$M$2:$S$620,7,FALSE),"")),"")</f>
        <v/>
      </c>
    </row>
    <row r="154" spans="29:41" x14ac:dyDescent="0.25">
      <c r="AC154" s="8" t="str">
        <f>IFERROR(VLOOKUP('Character Creation'!$CI167,Skills!$H$2:$N$620,6,FALSE),"")</f>
        <v/>
      </c>
      <c r="AD154" s="4">
        <f>'Character Creation'!EH167</f>
        <v>0</v>
      </c>
      <c r="AG154">
        <v>153</v>
      </c>
      <c r="AH154" s="4" t="str">
        <f t="shared" si="174"/>
        <v/>
      </c>
      <c r="AI154" t="str">
        <f>IFERROR(VLOOKUP(AG154,Skills!$B$2:$M$620,12,FALSE),"")</f>
        <v/>
      </c>
      <c r="AJ154" s="4" t="str">
        <f>IFERROR(VLOOKUP(AG154,Skills!$B$2:$AF$620,31,FALSE),"")</f>
        <v/>
      </c>
      <c r="AK154" s="4" t="str">
        <f t="shared" si="153"/>
        <v/>
      </c>
      <c r="AL154" s="4">
        <v>0.153</v>
      </c>
      <c r="AM154" s="62" t="str">
        <f t="shared" si="175"/>
        <v/>
      </c>
      <c r="AN154" t="str">
        <f t="shared" ca="1" si="176"/>
        <v/>
      </c>
      <c r="AO154" s="4" t="str">
        <f ca="1">IFERROR(VLOOKUP(AG154,$AH$2:$AJ$451,3,FALSE)&amp;IF(ISNUMBER(SEARCH(", Written",AN154))," -R"&amp;VLOOKUP(AN154,Skills!$M$2:$S$620,7,FALSE),IF(ISNUMBER(SEARCH(", Spoken",AN154))," -R"&amp;VLOOKUP(AN154,Skills!$M$2:$S$620,7,FALSE),"")),"")</f>
        <v/>
      </c>
    </row>
    <row r="155" spans="29:41" x14ac:dyDescent="0.25">
      <c r="AC155" s="8" t="str">
        <f>IFERROR(VLOOKUP('Character Creation'!$CI168,Skills!$H$2:$N$620,6,FALSE),"")</f>
        <v/>
      </c>
      <c r="AD155" s="4">
        <f>'Character Creation'!EH168</f>
        <v>0</v>
      </c>
      <c r="AG155">
        <v>154</v>
      </c>
      <c r="AH155" s="4" t="str">
        <f t="shared" si="174"/>
        <v/>
      </c>
      <c r="AI155" t="str">
        <f>IFERROR(VLOOKUP(AG155,Skills!$B$2:$M$620,12,FALSE),"")</f>
        <v/>
      </c>
      <c r="AJ155" s="4" t="str">
        <f>IFERROR(VLOOKUP(AG155,Skills!$B$2:$AF$620,31,FALSE),"")</f>
        <v/>
      </c>
      <c r="AK155" s="4" t="str">
        <f t="shared" ref="AK155:AK218" si="177">IFERROR(LEFT(AJ155,FIND("/",AJ155)-1),AJ155)</f>
        <v/>
      </c>
      <c r="AL155" s="4">
        <v>0.154</v>
      </c>
      <c r="AM155" s="62" t="str">
        <f t="shared" si="175"/>
        <v/>
      </c>
      <c r="AN155" t="str">
        <f t="shared" ca="1" si="176"/>
        <v/>
      </c>
      <c r="AO155" s="4" t="str">
        <f ca="1">IFERROR(VLOOKUP(AG155,$AH$2:$AJ$451,3,FALSE)&amp;IF(ISNUMBER(SEARCH(", Written",AN155))," -R"&amp;VLOOKUP(AN155,Skills!$M$2:$S$620,7,FALSE),IF(ISNUMBER(SEARCH(", Spoken",AN155))," -R"&amp;VLOOKUP(AN155,Skills!$M$2:$S$620,7,FALSE),"")),"")</f>
        <v/>
      </c>
    </row>
    <row r="156" spans="29:41" x14ac:dyDescent="0.25">
      <c r="AC156" s="8" t="str">
        <f>IFERROR(VLOOKUP('Character Creation'!$CI169,Skills!$H$2:$N$620,6,FALSE),"")</f>
        <v/>
      </c>
      <c r="AD156" s="4">
        <f>'Character Creation'!EH169</f>
        <v>0</v>
      </c>
      <c r="AG156">
        <v>155</v>
      </c>
      <c r="AH156" s="4" t="str">
        <f t="shared" si="174"/>
        <v/>
      </c>
      <c r="AI156" t="str">
        <f>IFERROR(VLOOKUP(AG156,Skills!$B$2:$M$620,12,FALSE),"")</f>
        <v/>
      </c>
      <c r="AJ156" s="4" t="str">
        <f>IFERROR(VLOOKUP(AG156,Skills!$B$2:$AF$620,31,FALSE),"")</f>
        <v/>
      </c>
      <c r="AK156" s="4" t="str">
        <f t="shared" si="177"/>
        <v/>
      </c>
      <c r="AL156" s="4">
        <v>0.155</v>
      </c>
      <c r="AM156" s="62" t="str">
        <f t="shared" si="175"/>
        <v/>
      </c>
      <c r="AN156" t="str">
        <f t="shared" ca="1" si="176"/>
        <v/>
      </c>
      <c r="AO156" s="4" t="str">
        <f ca="1">IFERROR(VLOOKUP(AG156,$AH$2:$AJ$451,3,FALSE)&amp;IF(ISNUMBER(SEARCH(", Written",AN156))," -R"&amp;VLOOKUP(AN156,Skills!$M$2:$S$620,7,FALSE),IF(ISNUMBER(SEARCH(", Spoken",AN156))," -R"&amp;VLOOKUP(AN156,Skills!$M$2:$S$620,7,FALSE),"")),"")</f>
        <v/>
      </c>
    </row>
    <row r="157" spans="29:41" x14ac:dyDescent="0.25">
      <c r="AC157" s="8" t="str">
        <f>IFERROR(VLOOKUP('Character Creation'!$CI170,Skills!$H$2:$N$620,6,FALSE),"")</f>
        <v/>
      </c>
      <c r="AD157" s="4">
        <f>'Character Creation'!EH170</f>
        <v>0</v>
      </c>
      <c r="AG157">
        <v>156</v>
      </c>
      <c r="AH157" s="4" t="str">
        <f t="shared" si="174"/>
        <v/>
      </c>
      <c r="AI157" t="str">
        <f>IFERROR(VLOOKUP(AG157,Skills!$B$2:$M$620,12,FALSE),"")</f>
        <v/>
      </c>
      <c r="AJ157" s="4" t="str">
        <f>IFERROR(VLOOKUP(AG157,Skills!$B$2:$AF$620,31,FALSE),"")</f>
        <v/>
      </c>
      <c r="AK157" s="4" t="str">
        <f t="shared" si="177"/>
        <v/>
      </c>
      <c r="AL157" s="4">
        <v>0.156</v>
      </c>
      <c r="AM157" s="62" t="str">
        <f t="shared" si="175"/>
        <v/>
      </c>
      <c r="AN157" t="str">
        <f t="shared" ca="1" si="176"/>
        <v/>
      </c>
      <c r="AO157" s="4" t="str">
        <f ca="1">IFERROR(VLOOKUP(AG157,$AH$2:$AJ$451,3,FALSE)&amp;IF(ISNUMBER(SEARCH(", Written",AN157))," -R"&amp;VLOOKUP(AN157,Skills!$M$2:$S$620,7,FALSE),IF(ISNUMBER(SEARCH(", Spoken",AN157))," -R"&amp;VLOOKUP(AN157,Skills!$M$2:$S$620,7,FALSE),"")),"")</f>
        <v/>
      </c>
    </row>
    <row r="158" spans="29:41" x14ac:dyDescent="0.25">
      <c r="AC158" s="8" t="str">
        <f>IFERROR(VLOOKUP('Character Creation'!$CI171,Skills!$H$2:$N$620,6,FALSE),"")</f>
        <v/>
      </c>
      <c r="AD158" s="4">
        <f>'Character Creation'!EH171</f>
        <v>0</v>
      </c>
      <c r="AG158">
        <v>157</v>
      </c>
      <c r="AH158" s="4" t="str">
        <f t="shared" si="174"/>
        <v/>
      </c>
      <c r="AI158" t="str">
        <f>IFERROR(VLOOKUP(AG158,Skills!$B$2:$M$620,12,FALSE),"")</f>
        <v/>
      </c>
      <c r="AJ158" s="4" t="str">
        <f>IFERROR(VLOOKUP(AG158,Skills!$B$2:$AF$620,31,FALSE),"")</f>
        <v/>
      </c>
      <c r="AK158" s="4" t="str">
        <f t="shared" si="177"/>
        <v/>
      </c>
      <c r="AL158" s="4">
        <v>0.157</v>
      </c>
      <c r="AM158" s="62" t="str">
        <f t="shared" si="175"/>
        <v/>
      </c>
      <c r="AN158" t="str">
        <f t="shared" ca="1" si="176"/>
        <v/>
      </c>
      <c r="AO158" s="4" t="str">
        <f ca="1">IFERROR(VLOOKUP(AG158,$AH$2:$AJ$451,3,FALSE)&amp;IF(ISNUMBER(SEARCH(", Written",AN158))," -R"&amp;VLOOKUP(AN158,Skills!$M$2:$S$620,7,FALSE),IF(ISNUMBER(SEARCH(", Spoken",AN158))," -R"&amp;VLOOKUP(AN158,Skills!$M$2:$S$620,7,FALSE),"")),"")</f>
        <v/>
      </c>
    </row>
    <row r="159" spans="29:41" x14ac:dyDescent="0.25">
      <c r="AC159" s="8" t="str">
        <f>IFERROR(VLOOKUP('Character Creation'!$CI172,Skills!$H$2:$N$620,6,FALSE),"")</f>
        <v/>
      </c>
      <c r="AD159" s="4">
        <f>'Character Creation'!EH172</f>
        <v>0</v>
      </c>
      <c r="AG159">
        <v>158</v>
      </c>
      <c r="AH159" s="4" t="str">
        <f t="shared" si="174"/>
        <v/>
      </c>
      <c r="AI159" t="str">
        <f>IFERROR(VLOOKUP(AG159,Skills!$B$2:$M$620,12,FALSE),"")</f>
        <v/>
      </c>
      <c r="AJ159" s="4" t="str">
        <f>IFERROR(VLOOKUP(AG159,Skills!$B$2:$AF$620,31,FALSE),"")</f>
        <v/>
      </c>
      <c r="AK159" s="4" t="str">
        <f t="shared" si="177"/>
        <v/>
      </c>
      <c r="AL159" s="4">
        <v>0.158</v>
      </c>
      <c r="AM159" s="62" t="str">
        <f t="shared" si="175"/>
        <v/>
      </c>
      <c r="AN159" t="str">
        <f t="shared" ca="1" si="176"/>
        <v/>
      </c>
      <c r="AO159" s="4" t="str">
        <f ca="1">IFERROR(VLOOKUP(AG159,$AH$2:$AJ$451,3,FALSE)&amp;IF(ISNUMBER(SEARCH(", Written",AN159))," -R"&amp;VLOOKUP(AN159,Skills!$M$2:$S$620,7,FALSE),IF(ISNUMBER(SEARCH(", Spoken",AN159))," -R"&amp;VLOOKUP(AN159,Skills!$M$2:$S$620,7,FALSE),"")),"")</f>
        <v/>
      </c>
    </row>
    <row r="160" spans="29:41" x14ac:dyDescent="0.25">
      <c r="AC160" s="8" t="str">
        <f>IFERROR(VLOOKUP('Character Creation'!$CI173,Skills!$H$2:$N$620,6,FALSE),"")</f>
        <v/>
      </c>
      <c r="AD160" s="4">
        <f>'Character Creation'!EH173</f>
        <v>0</v>
      </c>
      <c r="AG160">
        <v>159</v>
      </c>
      <c r="AH160" s="4" t="str">
        <f t="shared" si="174"/>
        <v/>
      </c>
      <c r="AI160" t="str">
        <f>IFERROR(VLOOKUP(AG160,Skills!$B$2:$M$620,12,FALSE),"")</f>
        <v/>
      </c>
      <c r="AJ160" s="4" t="str">
        <f>IFERROR(VLOOKUP(AG160,Skills!$B$2:$AF$620,31,FALSE),"")</f>
        <v/>
      </c>
      <c r="AK160" s="4" t="str">
        <f t="shared" si="177"/>
        <v/>
      </c>
      <c r="AL160" s="4">
        <v>0.159</v>
      </c>
      <c r="AM160" s="62" t="str">
        <f t="shared" si="175"/>
        <v/>
      </c>
      <c r="AN160" t="str">
        <f t="shared" ca="1" si="176"/>
        <v/>
      </c>
      <c r="AO160" s="4" t="str">
        <f ca="1">IFERROR(VLOOKUP(AG160,$AH$2:$AJ$451,3,FALSE)&amp;IF(ISNUMBER(SEARCH(", Written",AN160))," -R"&amp;VLOOKUP(AN160,Skills!$M$2:$S$620,7,FALSE),IF(ISNUMBER(SEARCH(", Spoken",AN160))," -R"&amp;VLOOKUP(AN160,Skills!$M$2:$S$620,7,FALSE),"")),"")</f>
        <v/>
      </c>
    </row>
    <row r="161" spans="29:41" x14ac:dyDescent="0.25">
      <c r="AC161" s="8" t="str">
        <f>IFERROR(VLOOKUP('Character Creation'!$CI174,Skills!$H$2:$N$620,6,FALSE),"")</f>
        <v/>
      </c>
      <c r="AD161" s="4">
        <f>'Character Creation'!EH174</f>
        <v>0</v>
      </c>
      <c r="AG161">
        <v>160</v>
      </c>
      <c r="AH161" s="4" t="str">
        <f t="shared" si="174"/>
        <v/>
      </c>
      <c r="AI161" t="str">
        <f>IFERROR(VLOOKUP(AG161,Skills!$B$2:$M$620,12,FALSE),"")</f>
        <v/>
      </c>
      <c r="AJ161" s="4" t="str">
        <f>IFERROR(VLOOKUP(AG161,Skills!$B$2:$AF$620,31,FALSE),"")</f>
        <v/>
      </c>
      <c r="AK161" s="4" t="str">
        <f t="shared" si="177"/>
        <v/>
      </c>
      <c r="AL161" s="4">
        <v>0.16</v>
      </c>
      <c r="AM161" s="62" t="str">
        <f t="shared" si="175"/>
        <v/>
      </c>
      <c r="AN161" t="str">
        <f t="shared" ca="1" si="176"/>
        <v/>
      </c>
      <c r="AO161" s="4" t="str">
        <f ca="1">IFERROR(VLOOKUP(AG161,$AH$2:$AJ$451,3,FALSE)&amp;IF(ISNUMBER(SEARCH(", Written",AN161))," -R"&amp;VLOOKUP(AN161,Skills!$M$2:$S$620,7,FALSE),IF(ISNUMBER(SEARCH(", Spoken",AN161))," -R"&amp;VLOOKUP(AN161,Skills!$M$2:$S$620,7,FALSE),"")),"")</f>
        <v/>
      </c>
    </row>
    <row r="162" spans="29:41" x14ac:dyDescent="0.25">
      <c r="AC162" s="8" t="str">
        <f>IFERROR(VLOOKUP('Character Creation'!$CI175,Skills!$H$2:$N$620,6,FALSE),"")</f>
        <v/>
      </c>
      <c r="AD162" s="4">
        <f>'Character Creation'!EH175</f>
        <v>0</v>
      </c>
      <c r="AG162">
        <v>161</v>
      </c>
      <c r="AH162" s="4" t="str">
        <f t="shared" si="174"/>
        <v/>
      </c>
      <c r="AI162" t="str">
        <f>IFERROR(VLOOKUP(AG162,Skills!$B$2:$M$620,12,FALSE),"")</f>
        <v/>
      </c>
      <c r="AJ162" s="4" t="str">
        <f>IFERROR(VLOOKUP(AG162,Skills!$B$2:$AF$620,31,FALSE),"")</f>
        <v/>
      </c>
      <c r="AK162" s="4" t="str">
        <f t="shared" si="177"/>
        <v/>
      </c>
      <c r="AL162" s="4">
        <v>0.161</v>
      </c>
      <c r="AM162" s="62" t="str">
        <f t="shared" si="175"/>
        <v/>
      </c>
      <c r="AN162" t="str">
        <f t="shared" ca="1" si="176"/>
        <v/>
      </c>
      <c r="AO162" s="4" t="str">
        <f ca="1">IFERROR(VLOOKUP(AG162,$AH$2:$AJ$451,3,FALSE)&amp;IF(ISNUMBER(SEARCH(", Written",AN162))," -R"&amp;VLOOKUP(AN162,Skills!$M$2:$S$620,7,FALSE),IF(ISNUMBER(SEARCH(", Spoken",AN162))," -R"&amp;VLOOKUP(AN162,Skills!$M$2:$S$620,7,FALSE),"")),"")</f>
        <v/>
      </c>
    </row>
    <row r="163" spans="29:41" x14ac:dyDescent="0.25">
      <c r="AC163" s="8" t="str">
        <f>IFERROR(VLOOKUP('Character Creation'!$CI176,Skills!$H$2:$N$620,6,FALSE),"")</f>
        <v/>
      </c>
      <c r="AD163" s="4">
        <f>'Character Creation'!EH176</f>
        <v>0</v>
      </c>
      <c r="AG163">
        <v>162</v>
      </c>
      <c r="AH163" s="4" t="str">
        <f t="shared" si="174"/>
        <v/>
      </c>
      <c r="AI163" t="str">
        <f>IFERROR(VLOOKUP(AG163,Skills!$B$2:$M$620,12,FALSE),"")</f>
        <v/>
      </c>
      <c r="AJ163" s="4" t="str">
        <f>IFERROR(VLOOKUP(AG163,Skills!$B$2:$AF$620,31,FALSE),"")</f>
        <v/>
      </c>
      <c r="AK163" s="4" t="str">
        <f t="shared" si="177"/>
        <v/>
      </c>
      <c r="AL163" s="4">
        <v>0.16200000000000001</v>
      </c>
      <c r="AM163" s="62" t="str">
        <f t="shared" si="175"/>
        <v/>
      </c>
      <c r="AN163" t="str">
        <f t="shared" ca="1" si="176"/>
        <v/>
      </c>
      <c r="AO163" s="4" t="str">
        <f ca="1">IFERROR(VLOOKUP(AG163,$AH$2:$AJ$451,3,FALSE)&amp;IF(ISNUMBER(SEARCH(", Written",AN163))," -R"&amp;VLOOKUP(AN163,Skills!$M$2:$S$620,7,FALSE),IF(ISNUMBER(SEARCH(", Spoken",AN163))," -R"&amp;VLOOKUP(AN163,Skills!$M$2:$S$620,7,FALSE),"")),"")</f>
        <v/>
      </c>
    </row>
    <row r="164" spans="29:41" x14ac:dyDescent="0.25">
      <c r="AC164" s="8" t="str">
        <f>IFERROR(VLOOKUP('Character Creation'!$CI177,Skills!$H$2:$N$620,6,FALSE),"")</f>
        <v/>
      </c>
      <c r="AD164" s="4">
        <f>'Character Creation'!EH177</f>
        <v>0</v>
      </c>
      <c r="AG164">
        <v>163</v>
      </c>
      <c r="AH164" s="4" t="str">
        <f t="shared" si="174"/>
        <v/>
      </c>
      <c r="AI164" t="str">
        <f>IFERROR(VLOOKUP(AG164,Skills!$B$2:$M$620,12,FALSE),"")</f>
        <v/>
      </c>
      <c r="AJ164" s="4" t="str">
        <f>IFERROR(VLOOKUP(AG164,Skills!$B$2:$AF$620,31,FALSE),"")</f>
        <v/>
      </c>
      <c r="AK164" s="4" t="str">
        <f t="shared" si="177"/>
        <v/>
      </c>
      <c r="AL164" s="4">
        <v>0.16300000000000001</v>
      </c>
      <c r="AM164" s="62" t="str">
        <f t="shared" si="175"/>
        <v/>
      </c>
      <c r="AN164" t="str">
        <f t="shared" ca="1" si="176"/>
        <v/>
      </c>
      <c r="AO164" s="4" t="str">
        <f ca="1">IFERROR(VLOOKUP(AG164,$AH$2:$AJ$451,3,FALSE)&amp;IF(ISNUMBER(SEARCH(", Written",AN164))," -R"&amp;VLOOKUP(AN164,Skills!$M$2:$S$620,7,FALSE),IF(ISNUMBER(SEARCH(", Spoken",AN164))," -R"&amp;VLOOKUP(AN164,Skills!$M$2:$S$620,7,FALSE),"")),"")</f>
        <v/>
      </c>
    </row>
    <row r="165" spans="29:41" x14ac:dyDescent="0.25">
      <c r="AC165" s="8" t="str">
        <f>IFERROR(VLOOKUP('Character Creation'!$CI178,Skills!$H$2:$N$620,6,FALSE),"")</f>
        <v/>
      </c>
      <c r="AD165" s="4">
        <f>'Character Creation'!EH178</f>
        <v>0</v>
      </c>
      <c r="AG165">
        <v>164</v>
      </c>
      <c r="AH165" s="4" t="str">
        <f t="shared" si="174"/>
        <v/>
      </c>
      <c r="AI165" t="str">
        <f>IFERROR(VLOOKUP(AG165,Skills!$B$2:$M$620,12,FALSE),"")</f>
        <v/>
      </c>
      <c r="AJ165" s="4" t="str">
        <f>IFERROR(VLOOKUP(AG165,Skills!$B$2:$AF$620,31,FALSE),"")</f>
        <v/>
      </c>
      <c r="AK165" s="4" t="str">
        <f t="shared" si="177"/>
        <v/>
      </c>
      <c r="AL165" s="4">
        <v>0.16400000000000001</v>
      </c>
      <c r="AM165" s="62" t="str">
        <f t="shared" si="175"/>
        <v/>
      </c>
      <c r="AN165" t="str">
        <f t="shared" ca="1" si="176"/>
        <v/>
      </c>
      <c r="AO165" s="4" t="str">
        <f ca="1">IFERROR(VLOOKUP(AG165,$AH$2:$AJ$451,3,FALSE)&amp;IF(ISNUMBER(SEARCH(", Written",AN165))," -R"&amp;VLOOKUP(AN165,Skills!$M$2:$S$620,7,FALSE),IF(ISNUMBER(SEARCH(", Spoken",AN165))," -R"&amp;VLOOKUP(AN165,Skills!$M$2:$S$620,7,FALSE),"")),"")</f>
        <v/>
      </c>
    </row>
    <row r="166" spans="29:41" x14ac:dyDescent="0.25">
      <c r="AC166" s="8" t="str">
        <f>IFERROR(VLOOKUP('Character Creation'!$CI179,Skills!$H$2:$N$620,6,FALSE),"")</f>
        <v/>
      </c>
      <c r="AD166" s="4">
        <f>'Character Creation'!EH179</f>
        <v>0</v>
      </c>
      <c r="AG166">
        <v>165</v>
      </c>
      <c r="AH166" s="4" t="str">
        <f t="shared" si="174"/>
        <v/>
      </c>
      <c r="AI166" t="str">
        <f>IFERROR(VLOOKUP(AG166,Skills!$B$2:$M$620,12,FALSE),"")</f>
        <v/>
      </c>
      <c r="AJ166" s="4" t="str">
        <f>IFERROR(VLOOKUP(AG166,Skills!$B$2:$AF$620,31,FALSE),"")</f>
        <v/>
      </c>
      <c r="AK166" s="4" t="str">
        <f t="shared" si="177"/>
        <v/>
      </c>
      <c r="AL166" s="4">
        <v>0.16500000000000001</v>
      </c>
      <c r="AM166" s="62" t="str">
        <f t="shared" si="175"/>
        <v/>
      </c>
      <c r="AN166" t="str">
        <f t="shared" ca="1" si="176"/>
        <v/>
      </c>
      <c r="AO166" s="4" t="str">
        <f ca="1">IFERROR(VLOOKUP(AG166,$AH$2:$AJ$451,3,FALSE)&amp;IF(ISNUMBER(SEARCH(", Written",AN166))," -R"&amp;VLOOKUP(AN166,Skills!$M$2:$S$620,7,FALSE),IF(ISNUMBER(SEARCH(", Spoken",AN166))," -R"&amp;VLOOKUP(AN166,Skills!$M$2:$S$620,7,FALSE),"")),"")</f>
        <v/>
      </c>
    </row>
    <row r="167" spans="29:41" x14ac:dyDescent="0.25">
      <c r="AC167" s="8" t="str">
        <f>IFERROR(VLOOKUP('Character Creation'!$CI180,Skills!$H$2:$N$620,6,FALSE),"")</f>
        <v/>
      </c>
      <c r="AD167" s="4">
        <f>'Character Creation'!EH180</f>
        <v>0</v>
      </c>
      <c r="AG167">
        <v>166</v>
      </c>
      <c r="AH167" s="4" t="str">
        <f t="shared" si="174"/>
        <v/>
      </c>
      <c r="AI167" t="str">
        <f>IFERROR(VLOOKUP(AG167,Skills!$B$2:$M$620,12,FALSE),"")</f>
        <v/>
      </c>
      <c r="AJ167" s="4" t="str">
        <f>IFERROR(VLOOKUP(AG167,Skills!$B$2:$AF$620,31,FALSE),"")</f>
        <v/>
      </c>
      <c r="AK167" s="4" t="str">
        <f t="shared" si="177"/>
        <v/>
      </c>
      <c r="AL167" s="4">
        <v>0.16600000000000001</v>
      </c>
      <c r="AM167" s="62" t="str">
        <f t="shared" si="175"/>
        <v/>
      </c>
      <c r="AN167" t="str">
        <f t="shared" ca="1" si="176"/>
        <v/>
      </c>
      <c r="AO167" s="4" t="str">
        <f ca="1">IFERROR(VLOOKUP(AG167,$AH$2:$AJ$451,3,FALSE)&amp;IF(ISNUMBER(SEARCH(", Written",AN167))," -R"&amp;VLOOKUP(AN167,Skills!$M$2:$S$620,7,FALSE),IF(ISNUMBER(SEARCH(", Spoken",AN167))," -R"&amp;VLOOKUP(AN167,Skills!$M$2:$S$620,7,FALSE),"")),"")</f>
        <v/>
      </c>
    </row>
    <row r="168" spans="29:41" x14ac:dyDescent="0.25">
      <c r="AC168" s="8" t="str">
        <f>IFERROR(VLOOKUP('Character Creation'!$CI181,Skills!$H$2:$N$620,6,FALSE),"")</f>
        <v/>
      </c>
      <c r="AD168" s="4">
        <f>'Character Creation'!EH181</f>
        <v>0</v>
      </c>
      <c r="AG168">
        <v>167</v>
      </c>
      <c r="AH168" s="4" t="str">
        <f t="shared" si="174"/>
        <v/>
      </c>
      <c r="AI168" t="str">
        <f>IFERROR(VLOOKUP(AG168,Skills!$B$2:$M$620,12,FALSE),"")</f>
        <v/>
      </c>
      <c r="AJ168" s="4" t="str">
        <f>IFERROR(VLOOKUP(AG168,Skills!$B$2:$AF$620,31,FALSE),"")</f>
        <v/>
      </c>
      <c r="AK168" s="4" t="str">
        <f t="shared" si="177"/>
        <v/>
      </c>
      <c r="AL168" s="4">
        <v>0.16700000000000001</v>
      </c>
      <c r="AM168" s="62" t="str">
        <f t="shared" si="175"/>
        <v/>
      </c>
      <c r="AN168" t="str">
        <f t="shared" ca="1" si="176"/>
        <v/>
      </c>
      <c r="AO168" s="4" t="str">
        <f ca="1">IFERROR(VLOOKUP(AG168,$AH$2:$AJ$451,3,FALSE)&amp;IF(ISNUMBER(SEARCH(", Written",AN168))," -R"&amp;VLOOKUP(AN168,Skills!$M$2:$S$620,7,FALSE),IF(ISNUMBER(SEARCH(", Spoken",AN168))," -R"&amp;VLOOKUP(AN168,Skills!$M$2:$S$620,7,FALSE),"")),"")</f>
        <v/>
      </c>
    </row>
    <row r="169" spans="29:41" x14ac:dyDescent="0.25">
      <c r="AC169" s="8" t="str">
        <f>IFERROR(VLOOKUP('Character Creation'!$CI182,Skills!$H$2:$N$620,6,FALSE),"")</f>
        <v/>
      </c>
      <c r="AD169" s="4">
        <f>'Character Creation'!EH182</f>
        <v>0</v>
      </c>
      <c r="AG169">
        <v>168</v>
      </c>
      <c r="AH169" s="4" t="str">
        <f t="shared" si="174"/>
        <v/>
      </c>
      <c r="AI169" t="str">
        <f>IFERROR(VLOOKUP(AG169,Skills!$B$2:$M$620,12,FALSE),"")</f>
        <v/>
      </c>
      <c r="AJ169" s="4" t="str">
        <f>IFERROR(VLOOKUP(AG169,Skills!$B$2:$AF$620,31,FALSE),"")</f>
        <v/>
      </c>
      <c r="AK169" s="4" t="str">
        <f t="shared" si="177"/>
        <v/>
      </c>
      <c r="AL169" s="4">
        <v>0.16800000000000001</v>
      </c>
      <c r="AM169" s="62" t="str">
        <f t="shared" si="175"/>
        <v/>
      </c>
      <c r="AN169" t="str">
        <f t="shared" ca="1" si="176"/>
        <v/>
      </c>
      <c r="AO169" s="4" t="str">
        <f ca="1">IFERROR(VLOOKUP(AG169,$AH$2:$AJ$451,3,FALSE)&amp;IF(ISNUMBER(SEARCH(", Written",AN169))," -R"&amp;VLOOKUP(AN169,Skills!$M$2:$S$620,7,FALSE),IF(ISNUMBER(SEARCH(", Spoken",AN169))," -R"&amp;VLOOKUP(AN169,Skills!$M$2:$S$620,7,FALSE),"")),"")</f>
        <v/>
      </c>
    </row>
    <row r="170" spans="29:41" x14ac:dyDescent="0.25">
      <c r="AC170" s="8" t="str">
        <f>IFERROR(VLOOKUP('Character Creation'!$CI183,Skills!$H$2:$N$620,6,FALSE),"")</f>
        <v/>
      </c>
      <c r="AD170" s="4">
        <f>'Character Creation'!EH183</f>
        <v>0</v>
      </c>
      <c r="AG170">
        <v>169</v>
      </c>
      <c r="AH170" s="4" t="str">
        <f t="shared" si="174"/>
        <v/>
      </c>
      <c r="AI170" t="str">
        <f>IFERROR(VLOOKUP(AG170,Skills!$B$2:$M$620,12,FALSE),"")</f>
        <v/>
      </c>
      <c r="AJ170" s="4" t="str">
        <f>IFERROR(VLOOKUP(AG170,Skills!$B$2:$AF$620,31,FALSE),"")</f>
        <v/>
      </c>
      <c r="AK170" s="4" t="str">
        <f t="shared" si="177"/>
        <v/>
      </c>
      <c r="AL170" s="4">
        <v>0.16900000000000001</v>
      </c>
      <c r="AM170" s="62" t="str">
        <f t="shared" si="175"/>
        <v/>
      </c>
      <c r="AN170" t="str">
        <f t="shared" ca="1" si="176"/>
        <v/>
      </c>
      <c r="AO170" s="4" t="str">
        <f ca="1">IFERROR(VLOOKUP(AG170,$AH$2:$AJ$451,3,FALSE)&amp;IF(ISNUMBER(SEARCH(", Written",AN170))," -R"&amp;VLOOKUP(AN170,Skills!$M$2:$S$620,7,FALSE),IF(ISNUMBER(SEARCH(", Spoken",AN170))," -R"&amp;VLOOKUP(AN170,Skills!$M$2:$S$620,7,FALSE),"")),"")</f>
        <v/>
      </c>
    </row>
    <row r="171" spans="29:41" x14ac:dyDescent="0.25">
      <c r="AC171" s="8" t="str">
        <f>IFERROR(VLOOKUP('Character Creation'!$CI184,Skills!$H$2:$N$620,6,FALSE),"")</f>
        <v/>
      </c>
      <c r="AD171" s="4">
        <f>'Character Creation'!EH184</f>
        <v>0</v>
      </c>
      <c r="AG171">
        <v>170</v>
      </c>
      <c r="AH171" s="4" t="str">
        <f t="shared" si="174"/>
        <v/>
      </c>
      <c r="AI171" t="str">
        <f>IFERROR(VLOOKUP(AG171,Skills!$B$2:$M$620,12,FALSE),"")</f>
        <v/>
      </c>
      <c r="AJ171" s="4" t="str">
        <f>IFERROR(VLOOKUP(AG171,Skills!$B$2:$AF$620,31,FALSE),"")</f>
        <v/>
      </c>
      <c r="AK171" s="4" t="str">
        <f t="shared" si="177"/>
        <v/>
      </c>
      <c r="AL171" s="4">
        <v>0.17</v>
      </c>
      <c r="AM171" s="62" t="str">
        <f t="shared" si="175"/>
        <v/>
      </c>
      <c r="AN171" t="str">
        <f t="shared" ca="1" si="176"/>
        <v/>
      </c>
      <c r="AO171" s="4" t="str">
        <f ca="1">IFERROR(VLOOKUP(AG171,$AH$2:$AJ$451,3,FALSE)&amp;IF(ISNUMBER(SEARCH(", Written",AN171))," -R"&amp;VLOOKUP(AN171,Skills!$M$2:$S$620,7,FALSE),IF(ISNUMBER(SEARCH(", Spoken",AN171))," -R"&amp;VLOOKUP(AN171,Skills!$M$2:$S$620,7,FALSE),"")),"")</f>
        <v/>
      </c>
    </row>
    <row r="172" spans="29:41" x14ac:dyDescent="0.25">
      <c r="AC172" s="8" t="str">
        <f>IFERROR(VLOOKUP('Character Creation'!$CI185,Skills!$H$2:$N$620,6,FALSE),"")</f>
        <v/>
      </c>
      <c r="AD172" s="4">
        <f>'Character Creation'!EH185</f>
        <v>0</v>
      </c>
      <c r="AG172">
        <v>171</v>
      </c>
      <c r="AH172" s="4" t="str">
        <f t="shared" si="174"/>
        <v/>
      </c>
      <c r="AI172" t="str">
        <f>IFERROR(VLOOKUP(AG172,Skills!$B$2:$M$620,12,FALSE),"")</f>
        <v/>
      </c>
      <c r="AJ172" s="4" t="str">
        <f>IFERROR(VLOOKUP(AG172,Skills!$B$2:$AF$620,31,FALSE),"")</f>
        <v/>
      </c>
      <c r="AK172" s="4" t="str">
        <f t="shared" si="177"/>
        <v/>
      </c>
      <c r="AL172" s="4">
        <v>0.17100000000000001</v>
      </c>
      <c r="AM172" s="62" t="str">
        <f t="shared" si="175"/>
        <v/>
      </c>
      <c r="AN172" t="str">
        <f t="shared" ca="1" si="176"/>
        <v/>
      </c>
      <c r="AO172" s="4" t="str">
        <f ca="1">IFERROR(VLOOKUP(AG172,$AH$2:$AJ$451,3,FALSE)&amp;IF(ISNUMBER(SEARCH(", Written",AN172))," -R"&amp;VLOOKUP(AN172,Skills!$M$2:$S$620,7,FALSE),IF(ISNUMBER(SEARCH(", Spoken",AN172))," -R"&amp;VLOOKUP(AN172,Skills!$M$2:$S$620,7,FALSE),"")),"")</f>
        <v/>
      </c>
    </row>
    <row r="173" spans="29:41" x14ac:dyDescent="0.25">
      <c r="AC173" s="8" t="str">
        <f>IFERROR(VLOOKUP('Character Creation'!$CI186,Skills!$H$2:$N$620,6,FALSE),"")</f>
        <v/>
      </c>
      <c r="AD173" s="4">
        <f>'Character Creation'!EH186</f>
        <v>0</v>
      </c>
      <c r="AG173">
        <v>172</v>
      </c>
      <c r="AH173" s="4" t="str">
        <f t="shared" si="174"/>
        <v/>
      </c>
      <c r="AI173" t="str">
        <f>IFERROR(VLOOKUP(AG173,Skills!$B$2:$M$620,12,FALSE),"")</f>
        <v/>
      </c>
      <c r="AJ173" s="4" t="str">
        <f>IFERROR(VLOOKUP(AG173,Skills!$B$2:$AF$620,31,FALSE),"")</f>
        <v/>
      </c>
      <c r="AK173" s="4" t="str">
        <f t="shared" si="177"/>
        <v/>
      </c>
      <c r="AL173" s="4">
        <v>0.17199999999999999</v>
      </c>
      <c r="AM173" s="62" t="str">
        <f t="shared" si="175"/>
        <v/>
      </c>
      <c r="AN173" t="str">
        <f t="shared" ca="1" si="176"/>
        <v/>
      </c>
      <c r="AO173" s="4" t="str">
        <f ca="1">IFERROR(VLOOKUP(AG173,$AH$2:$AJ$451,3,FALSE)&amp;IF(ISNUMBER(SEARCH(", Written",AN173))," -R"&amp;VLOOKUP(AN173,Skills!$M$2:$S$620,7,FALSE),IF(ISNUMBER(SEARCH(", Spoken",AN173))," -R"&amp;VLOOKUP(AN173,Skills!$M$2:$S$620,7,FALSE),"")),"")</f>
        <v/>
      </c>
    </row>
    <row r="174" spans="29:41" x14ac:dyDescent="0.25">
      <c r="AC174" s="8" t="str">
        <f>IFERROR(VLOOKUP('Character Creation'!$CI187,Skills!$H$2:$N$620,6,FALSE),"")</f>
        <v/>
      </c>
      <c r="AD174" s="4">
        <f>'Character Creation'!EH187</f>
        <v>0</v>
      </c>
      <c r="AG174">
        <v>173</v>
      </c>
      <c r="AH174" s="4" t="str">
        <f t="shared" si="174"/>
        <v/>
      </c>
      <c r="AI174" t="str">
        <f>IFERROR(VLOOKUP(AG174,Skills!$B$2:$M$620,12,FALSE),"")</f>
        <v/>
      </c>
      <c r="AJ174" s="4" t="str">
        <f>IFERROR(VLOOKUP(AG174,Skills!$B$2:$AF$620,31,FALSE),"")</f>
        <v/>
      </c>
      <c r="AK174" s="4" t="str">
        <f t="shared" si="177"/>
        <v/>
      </c>
      <c r="AL174" s="4">
        <v>0.17299999999999999</v>
      </c>
      <c r="AM174" s="62" t="str">
        <f t="shared" si="175"/>
        <v/>
      </c>
      <c r="AN174" t="str">
        <f t="shared" ca="1" si="176"/>
        <v/>
      </c>
      <c r="AO174" s="4" t="str">
        <f ca="1">IFERROR(VLOOKUP(AG174,$AH$2:$AJ$451,3,FALSE)&amp;IF(ISNUMBER(SEARCH(", Written",AN174))," -R"&amp;VLOOKUP(AN174,Skills!$M$2:$S$620,7,FALSE),IF(ISNUMBER(SEARCH(", Spoken",AN174))," -R"&amp;VLOOKUP(AN174,Skills!$M$2:$S$620,7,FALSE),"")),"")</f>
        <v/>
      </c>
    </row>
    <row r="175" spans="29:41" x14ac:dyDescent="0.25">
      <c r="AC175" s="8" t="str">
        <f>IFERROR(VLOOKUP('Character Creation'!$CI188,Skills!$H$2:$N$620,6,FALSE),"")</f>
        <v/>
      </c>
      <c r="AD175" s="4">
        <f>'Character Creation'!EH188</f>
        <v>0</v>
      </c>
      <c r="AG175">
        <v>174</v>
      </c>
      <c r="AH175" s="4" t="str">
        <f t="shared" si="174"/>
        <v/>
      </c>
      <c r="AI175" t="str">
        <f>IFERROR(VLOOKUP(AG175,Skills!$B$2:$M$620,12,FALSE),"")</f>
        <v/>
      </c>
      <c r="AJ175" s="4" t="str">
        <f>IFERROR(VLOOKUP(AG175,Skills!$B$2:$AF$620,31,FALSE),"")</f>
        <v/>
      </c>
      <c r="AK175" s="4" t="str">
        <f t="shared" si="177"/>
        <v/>
      </c>
      <c r="AL175" s="4">
        <v>0.17399999999999999</v>
      </c>
      <c r="AM175" s="62" t="str">
        <f t="shared" si="175"/>
        <v/>
      </c>
      <c r="AN175" t="str">
        <f t="shared" ca="1" si="176"/>
        <v/>
      </c>
      <c r="AO175" s="4" t="str">
        <f ca="1">IFERROR(VLOOKUP(AG175,$AH$2:$AJ$451,3,FALSE)&amp;IF(ISNUMBER(SEARCH(", Written",AN175))," -R"&amp;VLOOKUP(AN175,Skills!$M$2:$S$620,7,FALSE),IF(ISNUMBER(SEARCH(", Spoken",AN175))," -R"&amp;VLOOKUP(AN175,Skills!$M$2:$S$620,7,FALSE),"")),"")</f>
        <v/>
      </c>
    </row>
    <row r="176" spans="29:41" x14ac:dyDescent="0.25">
      <c r="AC176" s="8" t="str">
        <f>IFERROR(VLOOKUP('Character Creation'!$CI189,Skills!$H$2:$N$620,6,FALSE),"")</f>
        <v/>
      </c>
      <c r="AD176" s="4">
        <f>'Character Creation'!EH189</f>
        <v>0</v>
      </c>
      <c r="AG176">
        <v>175</v>
      </c>
      <c r="AH176" s="4" t="str">
        <f t="shared" si="174"/>
        <v/>
      </c>
      <c r="AI176" t="str">
        <f ca="1">IFERROR(VLOOKUP(AG176,Skills!$B$2:$M$620,12,FALSE),"")</f>
        <v/>
      </c>
      <c r="AJ176" s="4" t="str">
        <f>IFERROR(VLOOKUP(AG176,Skills!$B$2:$AF$620,31,FALSE),"")</f>
        <v/>
      </c>
      <c r="AK176" s="4" t="str">
        <f t="shared" si="177"/>
        <v/>
      </c>
      <c r="AL176" s="4">
        <v>0.17499999999999999</v>
      </c>
      <c r="AM176" s="62" t="str">
        <f t="shared" si="175"/>
        <v/>
      </c>
      <c r="AN176" t="str">
        <f t="shared" ca="1" si="176"/>
        <v/>
      </c>
      <c r="AO176" s="4" t="str">
        <f ca="1">IFERROR(VLOOKUP(AG176,$AH$2:$AJ$451,3,FALSE)&amp;IF(ISNUMBER(SEARCH(", Written",AN176))," -R"&amp;VLOOKUP(AN176,Skills!$M$2:$S$620,7,FALSE),IF(ISNUMBER(SEARCH(", Spoken",AN176))," -R"&amp;VLOOKUP(AN176,Skills!$M$2:$S$620,7,FALSE),"")),"")</f>
        <v/>
      </c>
    </row>
    <row r="177" spans="29:41" x14ac:dyDescent="0.25">
      <c r="AC177" s="8" t="str">
        <f>IFERROR(VLOOKUP('Character Creation'!$CI190,Skills!$H$2:$N$620,6,FALSE),"")</f>
        <v/>
      </c>
      <c r="AD177" s="4">
        <f>'Character Creation'!EH190</f>
        <v>0</v>
      </c>
      <c r="AG177">
        <v>176</v>
      </c>
      <c r="AH177" s="4" t="str">
        <f t="shared" si="174"/>
        <v/>
      </c>
      <c r="AI177" t="str">
        <f>IFERROR(VLOOKUP(AG177,Skills!$B$2:$M$620,12,FALSE),"")</f>
        <v/>
      </c>
      <c r="AJ177" s="4" t="str">
        <f>IFERROR(VLOOKUP(AG177,Skills!$B$2:$AF$620,31,FALSE),"")</f>
        <v/>
      </c>
      <c r="AK177" s="4" t="str">
        <f t="shared" si="177"/>
        <v/>
      </c>
      <c r="AL177" s="4">
        <v>0.17599999999999999</v>
      </c>
      <c r="AM177" s="62" t="str">
        <f t="shared" si="175"/>
        <v/>
      </c>
      <c r="AN177" t="str">
        <f t="shared" ca="1" si="176"/>
        <v/>
      </c>
      <c r="AO177" s="4" t="str">
        <f ca="1">IFERROR(VLOOKUP(AG177,$AH$2:$AJ$451,3,FALSE)&amp;IF(ISNUMBER(SEARCH(", Written",AN177))," -R"&amp;VLOOKUP(AN177,Skills!$M$2:$S$620,7,FALSE),IF(ISNUMBER(SEARCH(", Spoken",AN177))," -R"&amp;VLOOKUP(AN177,Skills!$M$2:$S$620,7,FALSE),"")),"")</f>
        <v/>
      </c>
    </row>
    <row r="178" spans="29:41" x14ac:dyDescent="0.25">
      <c r="AC178" s="8" t="str">
        <f>IFERROR(VLOOKUP('Character Creation'!$CI191,Skills!$H$2:$N$620,6,FALSE),"")</f>
        <v/>
      </c>
      <c r="AD178" s="4">
        <f>'Character Creation'!EH191</f>
        <v>0</v>
      </c>
      <c r="AG178">
        <v>177</v>
      </c>
      <c r="AH178" s="4" t="str">
        <f t="shared" si="174"/>
        <v/>
      </c>
      <c r="AI178" t="str">
        <f>IFERROR(VLOOKUP(AG178,Skills!$B$2:$M$620,12,FALSE),"")</f>
        <v/>
      </c>
      <c r="AJ178" s="4" t="str">
        <f>IFERROR(VLOOKUP(AG178,Skills!$B$2:$AF$620,31,FALSE),"")</f>
        <v/>
      </c>
      <c r="AK178" s="4" t="str">
        <f t="shared" si="177"/>
        <v/>
      </c>
      <c r="AL178" s="4">
        <v>0.17699999999999999</v>
      </c>
      <c r="AM178" s="62" t="str">
        <f t="shared" si="175"/>
        <v/>
      </c>
      <c r="AN178" t="str">
        <f t="shared" ca="1" si="176"/>
        <v/>
      </c>
      <c r="AO178" s="4" t="str">
        <f ca="1">IFERROR(VLOOKUP(AG178,$AH$2:$AJ$451,3,FALSE)&amp;IF(ISNUMBER(SEARCH(", Written",AN178))," -R"&amp;VLOOKUP(AN178,Skills!$M$2:$S$620,7,FALSE),IF(ISNUMBER(SEARCH(", Spoken",AN178))," -R"&amp;VLOOKUP(AN178,Skills!$M$2:$S$620,7,FALSE),"")),"")</f>
        <v/>
      </c>
    </row>
    <row r="179" spans="29:41" x14ac:dyDescent="0.25">
      <c r="AC179" s="8" t="str">
        <f>IFERROR(VLOOKUP('Character Creation'!$CI192,Skills!$H$2:$N$620,6,FALSE),"")</f>
        <v/>
      </c>
      <c r="AD179" s="4">
        <f>'Character Creation'!EH192</f>
        <v>0</v>
      </c>
      <c r="AG179">
        <v>178</v>
      </c>
      <c r="AH179" s="4" t="str">
        <f t="shared" si="174"/>
        <v/>
      </c>
      <c r="AI179" t="str">
        <f>IFERROR(VLOOKUP(AG179,Skills!$B$2:$M$620,12,FALSE),"")</f>
        <v/>
      </c>
      <c r="AJ179" s="4" t="str">
        <f>IFERROR(VLOOKUP(AG179,Skills!$B$2:$AF$620,31,FALSE),"")</f>
        <v/>
      </c>
      <c r="AK179" s="4" t="str">
        <f t="shared" si="177"/>
        <v/>
      </c>
      <c r="AL179" s="4">
        <v>0.17799999999999999</v>
      </c>
      <c r="AM179" s="62" t="str">
        <f t="shared" si="175"/>
        <v/>
      </c>
      <c r="AN179" t="str">
        <f t="shared" ca="1" si="176"/>
        <v/>
      </c>
      <c r="AO179" s="4" t="str">
        <f ca="1">IFERROR(VLOOKUP(AG179,$AH$2:$AJ$451,3,FALSE)&amp;IF(ISNUMBER(SEARCH(", Written",AN179))," -R"&amp;VLOOKUP(AN179,Skills!$M$2:$S$620,7,FALSE),IF(ISNUMBER(SEARCH(", Spoken",AN179))," -R"&amp;VLOOKUP(AN179,Skills!$M$2:$S$620,7,FALSE),"")),"")</f>
        <v/>
      </c>
    </row>
    <row r="180" spans="29:41" x14ac:dyDescent="0.25">
      <c r="AC180" s="8" t="str">
        <f>IFERROR(VLOOKUP('Character Creation'!$CI193,Skills!$H$2:$N$620,6,FALSE),"")</f>
        <v/>
      </c>
      <c r="AD180" s="4">
        <f>'Character Creation'!EH193</f>
        <v>0</v>
      </c>
      <c r="AG180">
        <v>179</v>
      </c>
      <c r="AH180" s="4" t="str">
        <f t="shared" si="174"/>
        <v/>
      </c>
      <c r="AI180" t="str">
        <f>IFERROR(VLOOKUP(AG180,Skills!$B$2:$M$620,12,FALSE),"")</f>
        <v/>
      </c>
      <c r="AJ180" s="4" t="str">
        <f>IFERROR(VLOOKUP(AG180,Skills!$B$2:$AF$620,31,FALSE),"")</f>
        <v/>
      </c>
      <c r="AK180" s="4" t="str">
        <f t="shared" si="177"/>
        <v/>
      </c>
      <c r="AL180" s="4">
        <v>0.17899999999999999</v>
      </c>
      <c r="AM180" s="62" t="str">
        <f t="shared" si="175"/>
        <v/>
      </c>
      <c r="AN180" t="str">
        <f t="shared" ca="1" si="176"/>
        <v/>
      </c>
      <c r="AO180" s="4" t="str">
        <f ca="1">IFERROR(VLOOKUP(AG180,$AH$2:$AJ$451,3,FALSE)&amp;IF(ISNUMBER(SEARCH(", Written",AN180))," -R"&amp;VLOOKUP(AN180,Skills!$M$2:$S$620,7,FALSE),IF(ISNUMBER(SEARCH(", Spoken",AN180))," -R"&amp;VLOOKUP(AN180,Skills!$M$2:$S$620,7,FALSE),"")),"")</f>
        <v/>
      </c>
    </row>
    <row r="181" spans="29:41" x14ac:dyDescent="0.25">
      <c r="AC181" s="8" t="str">
        <f>IFERROR(VLOOKUP('Character Creation'!$CI194,Skills!$H$2:$N$620,6,FALSE),"")</f>
        <v/>
      </c>
      <c r="AD181" s="4">
        <f>'Character Creation'!EH194</f>
        <v>0</v>
      </c>
      <c r="AG181">
        <v>180</v>
      </c>
      <c r="AH181" s="4" t="str">
        <f t="shared" si="174"/>
        <v/>
      </c>
      <c r="AI181" t="str">
        <f>IFERROR(VLOOKUP(AG181,Skills!$B$2:$M$620,12,FALSE),"")</f>
        <v/>
      </c>
      <c r="AJ181" s="4" t="str">
        <f>IFERROR(VLOOKUP(AG181,Skills!$B$2:$AF$620,31,FALSE),"")</f>
        <v/>
      </c>
      <c r="AK181" s="4" t="str">
        <f t="shared" si="177"/>
        <v/>
      </c>
      <c r="AL181" s="4">
        <v>0.18</v>
      </c>
      <c r="AM181" s="62" t="str">
        <f t="shared" si="175"/>
        <v/>
      </c>
      <c r="AN181" t="str">
        <f t="shared" ca="1" si="176"/>
        <v/>
      </c>
      <c r="AO181" s="4" t="str">
        <f ca="1">IFERROR(VLOOKUP(AG181,$AH$2:$AJ$451,3,FALSE)&amp;IF(ISNUMBER(SEARCH(", Written",AN181))," -R"&amp;VLOOKUP(AN181,Skills!$M$2:$S$620,7,FALSE),IF(ISNUMBER(SEARCH(", Spoken",AN181))," -R"&amp;VLOOKUP(AN181,Skills!$M$2:$S$620,7,FALSE),"")),"")</f>
        <v/>
      </c>
    </row>
    <row r="182" spans="29:41" x14ac:dyDescent="0.25">
      <c r="AC182" s="8" t="str">
        <f>IFERROR(VLOOKUP('Character Creation'!$CI195,Skills!$H$2:$N$620,6,FALSE),"")</f>
        <v/>
      </c>
      <c r="AD182" s="4">
        <f>'Character Creation'!EH195</f>
        <v>0</v>
      </c>
      <c r="AG182">
        <v>181</v>
      </c>
      <c r="AH182" s="4" t="str">
        <f t="shared" si="174"/>
        <v/>
      </c>
      <c r="AI182" t="str">
        <f>IFERROR(VLOOKUP(AG182,Skills!$B$2:$M$620,12,FALSE),"")</f>
        <v/>
      </c>
      <c r="AJ182" s="4" t="str">
        <f>IFERROR(VLOOKUP(AG182,Skills!$B$2:$AF$620,31,FALSE),"")</f>
        <v/>
      </c>
      <c r="AK182" s="4" t="str">
        <f t="shared" si="177"/>
        <v/>
      </c>
      <c r="AL182" s="4">
        <v>0.18099999999999999</v>
      </c>
      <c r="AM182" s="62" t="str">
        <f t="shared" si="175"/>
        <v/>
      </c>
      <c r="AN182" t="str">
        <f t="shared" ca="1" si="176"/>
        <v/>
      </c>
      <c r="AO182" s="4" t="str">
        <f ca="1">IFERROR(VLOOKUP(AG182,$AH$2:$AJ$451,3,FALSE)&amp;IF(ISNUMBER(SEARCH(", Written",AN182))," -R"&amp;VLOOKUP(AN182,Skills!$M$2:$S$620,7,FALSE),IF(ISNUMBER(SEARCH(", Spoken",AN182))," -R"&amp;VLOOKUP(AN182,Skills!$M$2:$S$620,7,FALSE),"")),"")</f>
        <v/>
      </c>
    </row>
    <row r="183" spans="29:41" x14ac:dyDescent="0.25">
      <c r="AC183" s="8" t="str">
        <f>IFERROR(VLOOKUP('Character Creation'!$CI196,Skills!$H$2:$N$620,6,FALSE),"")</f>
        <v/>
      </c>
      <c r="AD183" s="4">
        <f>'Character Creation'!EH196</f>
        <v>0</v>
      </c>
      <c r="AG183">
        <v>182</v>
      </c>
      <c r="AH183" s="4" t="str">
        <f t="shared" si="174"/>
        <v/>
      </c>
      <c r="AI183" t="str">
        <f>IFERROR(VLOOKUP(AG183,Skills!$B$2:$M$620,12,FALSE),"")</f>
        <v/>
      </c>
      <c r="AJ183" s="4" t="str">
        <f>IFERROR(VLOOKUP(AG183,Skills!$B$2:$AF$620,31,FALSE),"")</f>
        <v/>
      </c>
      <c r="AK183" s="4" t="str">
        <f t="shared" si="177"/>
        <v/>
      </c>
      <c r="AL183" s="4">
        <v>0.182</v>
      </c>
      <c r="AM183" s="62" t="str">
        <f t="shared" si="175"/>
        <v/>
      </c>
      <c r="AN183" t="str">
        <f t="shared" ca="1" si="176"/>
        <v/>
      </c>
      <c r="AO183" s="4" t="str">
        <f ca="1">IFERROR(VLOOKUP(AG183,$AH$2:$AJ$451,3,FALSE)&amp;IF(ISNUMBER(SEARCH(", Written",AN183))," -R"&amp;VLOOKUP(AN183,Skills!$M$2:$S$620,7,FALSE),IF(ISNUMBER(SEARCH(", Spoken",AN183))," -R"&amp;VLOOKUP(AN183,Skills!$M$2:$S$620,7,FALSE),"")),"")</f>
        <v/>
      </c>
    </row>
    <row r="184" spans="29:41" x14ac:dyDescent="0.25">
      <c r="AC184" s="8" t="str">
        <f>IFERROR(VLOOKUP('Character Creation'!$CI197,Skills!$H$2:$N$620,6,FALSE),"")</f>
        <v/>
      </c>
      <c r="AD184" s="4">
        <f>'Character Creation'!EH197</f>
        <v>0</v>
      </c>
      <c r="AG184">
        <v>183</v>
      </c>
      <c r="AH184" s="4" t="str">
        <f t="shared" si="174"/>
        <v/>
      </c>
      <c r="AI184" t="str">
        <f>IFERROR(VLOOKUP(AG184,Skills!$B$2:$M$620,12,FALSE),"")</f>
        <v/>
      </c>
      <c r="AJ184" s="4" t="str">
        <f>IFERROR(VLOOKUP(AG184,Skills!$B$2:$AF$620,31,FALSE),"")</f>
        <v/>
      </c>
      <c r="AK184" s="4" t="str">
        <f t="shared" si="177"/>
        <v/>
      </c>
      <c r="AL184" s="4">
        <v>0.183</v>
      </c>
      <c r="AM184" s="62" t="str">
        <f t="shared" si="175"/>
        <v/>
      </c>
      <c r="AN184" t="str">
        <f t="shared" ca="1" si="176"/>
        <v/>
      </c>
      <c r="AO184" s="4" t="str">
        <f ca="1">IFERROR(VLOOKUP(AG184,$AH$2:$AJ$451,3,FALSE)&amp;IF(ISNUMBER(SEARCH(", Written",AN184))," -R"&amp;VLOOKUP(AN184,Skills!$M$2:$S$620,7,FALSE),IF(ISNUMBER(SEARCH(", Spoken",AN184))," -R"&amp;VLOOKUP(AN184,Skills!$M$2:$S$620,7,FALSE),"")),"")</f>
        <v/>
      </c>
    </row>
    <row r="185" spans="29:41" x14ac:dyDescent="0.25">
      <c r="AC185" s="8" t="str">
        <f>IFERROR(VLOOKUP('Character Creation'!$CI198,Skills!$H$2:$N$620,6,FALSE),"")</f>
        <v/>
      </c>
      <c r="AD185" s="4">
        <f>'Character Creation'!EH198</f>
        <v>0</v>
      </c>
      <c r="AG185">
        <v>184</v>
      </c>
      <c r="AH185" s="4" t="str">
        <f t="shared" si="174"/>
        <v/>
      </c>
      <c r="AI185" t="str">
        <f>IFERROR(VLOOKUP(AG185,Skills!$B$2:$M$620,12,FALSE),"")</f>
        <v/>
      </c>
      <c r="AJ185" s="4" t="str">
        <f>IFERROR(VLOOKUP(AG185,Skills!$B$2:$AF$620,31,FALSE),"")</f>
        <v/>
      </c>
      <c r="AK185" s="4" t="str">
        <f t="shared" si="177"/>
        <v/>
      </c>
      <c r="AL185" s="4">
        <v>0.184</v>
      </c>
      <c r="AM185" s="62" t="str">
        <f t="shared" si="175"/>
        <v/>
      </c>
      <c r="AN185" t="str">
        <f t="shared" ca="1" si="176"/>
        <v/>
      </c>
      <c r="AO185" s="4" t="str">
        <f ca="1">IFERROR(VLOOKUP(AG185,$AH$2:$AJ$451,3,FALSE)&amp;IF(ISNUMBER(SEARCH(", Written",AN185))," -R"&amp;VLOOKUP(AN185,Skills!$M$2:$S$620,7,FALSE),IF(ISNUMBER(SEARCH(", Spoken",AN185))," -R"&amp;VLOOKUP(AN185,Skills!$M$2:$S$620,7,FALSE),"")),"")</f>
        <v/>
      </c>
    </row>
    <row r="186" spans="29:41" x14ac:dyDescent="0.25">
      <c r="AC186" s="8" t="str">
        <f>IFERROR(VLOOKUP('Character Creation'!$CI199,Skills!$H$2:$N$620,6,FALSE),"")</f>
        <v/>
      </c>
      <c r="AD186" s="4">
        <f>'Character Creation'!EH199</f>
        <v>0</v>
      </c>
      <c r="AG186">
        <v>185</v>
      </c>
      <c r="AH186" s="4" t="str">
        <f t="shared" si="174"/>
        <v/>
      </c>
      <c r="AI186" t="str">
        <f>IFERROR(VLOOKUP(AG186,Skills!$B$2:$M$620,12,FALSE),"")</f>
        <v/>
      </c>
      <c r="AJ186" s="4" t="str">
        <f>IFERROR(VLOOKUP(AG186,Skills!$B$2:$AF$620,31,FALSE),"")</f>
        <v/>
      </c>
      <c r="AK186" s="4" t="str">
        <f t="shared" si="177"/>
        <v/>
      </c>
      <c r="AL186" s="4">
        <v>0.185</v>
      </c>
      <c r="AM186" s="62" t="str">
        <f t="shared" si="175"/>
        <v/>
      </c>
      <c r="AN186" t="str">
        <f t="shared" ca="1" si="176"/>
        <v/>
      </c>
      <c r="AO186" s="4" t="str">
        <f ca="1">IFERROR(VLOOKUP(AG186,$AH$2:$AJ$451,3,FALSE)&amp;IF(ISNUMBER(SEARCH(", Written",AN186))," -R"&amp;VLOOKUP(AN186,Skills!$M$2:$S$620,7,FALSE),IF(ISNUMBER(SEARCH(", Spoken",AN186))," -R"&amp;VLOOKUP(AN186,Skills!$M$2:$S$620,7,FALSE),"")),"")</f>
        <v/>
      </c>
    </row>
    <row r="187" spans="29:41" x14ac:dyDescent="0.25">
      <c r="AC187" s="8" t="str">
        <f>IFERROR(VLOOKUP('Character Creation'!$CI200,Skills!$H$2:$N$620,6,FALSE),"")</f>
        <v/>
      </c>
      <c r="AD187" s="4">
        <f>'Character Creation'!EH200</f>
        <v>0</v>
      </c>
      <c r="AG187">
        <v>186</v>
      </c>
      <c r="AH187" s="4" t="str">
        <f t="shared" si="174"/>
        <v/>
      </c>
      <c r="AI187" t="str">
        <f>IFERROR(VLOOKUP(AG187,Skills!$B$2:$M$620,12,FALSE),"")</f>
        <v/>
      </c>
      <c r="AJ187" s="4" t="str">
        <f>IFERROR(VLOOKUP(AG187,Skills!$B$2:$AF$620,31,FALSE),"")</f>
        <v/>
      </c>
      <c r="AK187" s="4" t="str">
        <f t="shared" si="177"/>
        <v/>
      </c>
      <c r="AL187" s="4">
        <v>0.186</v>
      </c>
      <c r="AM187" s="62" t="str">
        <f t="shared" si="175"/>
        <v/>
      </c>
      <c r="AN187" t="str">
        <f t="shared" ca="1" si="176"/>
        <v/>
      </c>
      <c r="AO187" s="4" t="str">
        <f ca="1">IFERROR(VLOOKUP(AG187,$AH$2:$AJ$451,3,FALSE)&amp;IF(ISNUMBER(SEARCH(", Written",AN187))," -R"&amp;VLOOKUP(AN187,Skills!$M$2:$S$620,7,FALSE),IF(ISNUMBER(SEARCH(", Spoken",AN187))," -R"&amp;VLOOKUP(AN187,Skills!$M$2:$S$620,7,FALSE),"")),"")</f>
        <v/>
      </c>
    </row>
    <row r="188" spans="29:41" x14ac:dyDescent="0.25">
      <c r="AC188" s="8" t="str">
        <f>IFERROR(VLOOKUP('Character Creation'!$CI201,Skills!$H$2:$N$620,6,FALSE),"")</f>
        <v/>
      </c>
      <c r="AD188" s="4">
        <f>'Character Creation'!EH201</f>
        <v>0</v>
      </c>
      <c r="AG188">
        <v>187</v>
      </c>
      <c r="AH188" s="4" t="str">
        <f t="shared" si="174"/>
        <v/>
      </c>
      <c r="AI188" t="str">
        <f>IFERROR(VLOOKUP(AG188,Skills!$B$2:$M$620,12,FALSE),"")</f>
        <v/>
      </c>
      <c r="AJ188" s="4" t="str">
        <f>IFERROR(VLOOKUP(AG188,Skills!$B$2:$AF$620,31,FALSE),"")</f>
        <v/>
      </c>
      <c r="AK188" s="4" t="str">
        <f t="shared" si="177"/>
        <v/>
      </c>
      <c r="AL188" s="4">
        <v>0.187</v>
      </c>
      <c r="AM188" s="62" t="str">
        <f t="shared" si="175"/>
        <v/>
      </c>
      <c r="AN188" t="str">
        <f t="shared" ca="1" si="176"/>
        <v/>
      </c>
      <c r="AO188" s="4" t="str">
        <f ca="1">IFERROR(VLOOKUP(AG188,$AH$2:$AJ$451,3,FALSE)&amp;IF(ISNUMBER(SEARCH(", Written",AN188))," -R"&amp;VLOOKUP(AN188,Skills!$M$2:$S$620,7,FALSE),IF(ISNUMBER(SEARCH(", Spoken",AN188))," -R"&amp;VLOOKUP(AN188,Skills!$M$2:$S$620,7,FALSE),"")),"")</f>
        <v/>
      </c>
    </row>
    <row r="189" spans="29:41" x14ac:dyDescent="0.25">
      <c r="AC189" s="8" t="str">
        <f>IFERROR(VLOOKUP('Character Creation'!$CI202,Skills!$H$2:$N$620,6,FALSE),"")</f>
        <v/>
      </c>
      <c r="AD189" s="4">
        <f>'Character Creation'!EH202</f>
        <v>0</v>
      </c>
      <c r="AG189">
        <v>188</v>
      </c>
      <c r="AH189" s="4" t="str">
        <f t="shared" si="174"/>
        <v/>
      </c>
      <c r="AI189" t="str">
        <f>IFERROR(VLOOKUP(AG189,Skills!$B$2:$M$620,12,FALSE),"")</f>
        <v/>
      </c>
      <c r="AJ189" s="4" t="str">
        <f>IFERROR(VLOOKUP(AG189,Skills!$B$2:$AF$620,31,FALSE),"")</f>
        <v/>
      </c>
      <c r="AK189" s="4" t="str">
        <f t="shared" si="177"/>
        <v/>
      </c>
      <c r="AL189" s="4">
        <v>0.188</v>
      </c>
      <c r="AM189" s="62" t="str">
        <f t="shared" si="175"/>
        <v/>
      </c>
      <c r="AN189" t="str">
        <f t="shared" ca="1" si="176"/>
        <v/>
      </c>
      <c r="AO189" s="4" t="str">
        <f ca="1">IFERROR(VLOOKUP(AG189,$AH$2:$AJ$451,3,FALSE)&amp;IF(ISNUMBER(SEARCH(", Written",AN189))," -R"&amp;VLOOKUP(AN189,Skills!$M$2:$S$620,7,FALSE),IF(ISNUMBER(SEARCH(", Spoken",AN189))," -R"&amp;VLOOKUP(AN189,Skills!$M$2:$S$620,7,FALSE),"")),"")</f>
        <v/>
      </c>
    </row>
    <row r="190" spans="29:41" x14ac:dyDescent="0.25">
      <c r="AC190" s="8" t="str">
        <f>IFERROR(VLOOKUP('Character Creation'!$CI203,Skills!$H$2:$N$620,6,FALSE),"")</f>
        <v/>
      </c>
      <c r="AD190" s="4">
        <f>'Character Creation'!EH203</f>
        <v>0</v>
      </c>
      <c r="AG190">
        <v>189</v>
      </c>
      <c r="AH190" s="4" t="str">
        <f t="shared" si="174"/>
        <v/>
      </c>
      <c r="AI190" t="str">
        <f>IFERROR(VLOOKUP(AG190,Skills!$B$2:$M$620,12,FALSE),"")</f>
        <v/>
      </c>
      <c r="AJ190" s="4" t="str">
        <f>IFERROR(VLOOKUP(AG190,Skills!$B$2:$AF$620,31,FALSE),"")</f>
        <v/>
      </c>
      <c r="AK190" s="4" t="str">
        <f t="shared" si="177"/>
        <v/>
      </c>
      <c r="AL190" s="4">
        <v>0.189</v>
      </c>
      <c r="AM190" s="62" t="str">
        <f t="shared" si="175"/>
        <v/>
      </c>
      <c r="AN190" t="str">
        <f t="shared" ca="1" si="176"/>
        <v/>
      </c>
      <c r="AO190" s="4" t="str">
        <f ca="1">IFERROR(VLOOKUP(AG190,$AH$2:$AJ$451,3,FALSE)&amp;IF(ISNUMBER(SEARCH(", Written",AN190))," -R"&amp;VLOOKUP(AN190,Skills!$M$2:$S$620,7,FALSE),IF(ISNUMBER(SEARCH(", Spoken",AN190))," -R"&amp;VLOOKUP(AN190,Skills!$M$2:$S$620,7,FALSE),"")),"")</f>
        <v/>
      </c>
    </row>
    <row r="191" spans="29:41" x14ac:dyDescent="0.25">
      <c r="AC191" s="8" t="str">
        <f>IFERROR(VLOOKUP('Character Creation'!$CI204,Skills!$H$2:$N$620,6,FALSE),"")</f>
        <v/>
      </c>
      <c r="AD191" s="4">
        <f>'Character Creation'!EH204</f>
        <v>0</v>
      </c>
      <c r="AG191">
        <v>190</v>
      </c>
      <c r="AH191" s="4" t="str">
        <f t="shared" si="174"/>
        <v/>
      </c>
      <c r="AI191" t="str">
        <f>IFERROR(VLOOKUP(AG191,Skills!$B$2:$M$620,12,FALSE),"")</f>
        <v/>
      </c>
      <c r="AJ191" s="4" t="str">
        <f>IFERROR(VLOOKUP(AG191,Skills!$B$2:$AF$620,31,FALSE),"")</f>
        <v/>
      </c>
      <c r="AK191" s="4" t="str">
        <f t="shared" si="177"/>
        <v/>
      </c>
      <c r="AL191" s="4">
        <v>0.19</v>
      </c>
      <c r="AM191" s="62" t="str">
        <f t="shared" si="175"/>
        <v/>
      </c>
      <c r="AN191" t="str">
        <f t="shared" ca="1" si="176"/>
        <v/>
      </c>
      <c r="AO191" s="4" t="str">
        <f ca="1">IFERROR(VLOOKUP(AG191,$AH$2:$AJ$451,3,FALSE)&amp;IF(ISNUMBER(SEARCH(", Written",AN191))," -R"&amp;VLOOKUP(AN191,Skills!$M$2:$S$620,7,FALSE),IF(ISNUMBER(SEARCH(", Spoken",AN191))," -R"&amp;VLOOKUP(AN191,Skills!$M$2:$S$620,7,FALSE),"")),"")</f>
        <v/>
      </c>
    </row>
    <row r="192" spans="29:41" x14ac:dyDescent="0.25">
      <c r="AC192" s="8" t="str">
        <f>IFERROR(VLOOKUP('Character Creation'!$CI205,Skills!$H$2:$N$620,6,FALSE),"")</f>
        <v/>
      </c>
      <c r="AD192" s="4">
        <f>'Character Creation'!EH205</f>
        <v>0</v>
      </c>
      <c r="AG192">
        <v>191</v>
      </c>
      <c r="AH192" s="4" t="str">
        <f t="shared" si="174"/>
        <v/>
      </c>
      <c r="AI192" t="str">
        <f>IFERROR(VLOOKUP(AG192,Skills!$B$2:$M$620,12,FALSE),"")</f>
        <v/>
      </c>
      <c r="AJ192" s="4" t="str">
        <f>IFERROR(VLOOKUP(AG192,Skills!$B$2:$AF$620,31,FALSE),"")</f>
        <v/>
      </c>
      <c r="AK192" s="4" t="str">
        <f t="shared" si="177"/>
        <v/>
      </c>
      <c r="AL192" s="4">
        <v>0.191</v>
      </c>
      <c r="AM192" s="62" t="str">
        <f t="shared" si="175"/>
        <v/>
      </c>
      <c r="AN192" t="str">
        <f t="shared" ca="1" si="176"/>
        <v/>
      </c>
      <c r="AO192" s="4" t="str">
        <f ca="1">IFERROR(VLOOKUP(AG192,$AH$2:$AJ$451,3,FALSE)&amp;IF(ISNUMBER(SEARCH(", Written",AN192))," -R"&amp;VLOOKUP(AN192,Skills!$M$2:$S$620,7,FALSE),IF(ISNUMBER(SEARCH(", Spoken",AN192))," -R"&amp;VLOOKUP(AN192,Skills!$M$2:$S$620,7,FALSE),"")),"")</f>
        <v/>
      </c>
    </row>
    <row r="193" spans="29:41" x14ac:dyDescent="0.25">
      <c r="AC193" s="8" t="str">
        <f>IFERROR(VLOOKUP('Character Creation'!$CI206,Skills!$H$2:$N$620,6,FALSE),"")</f>
        <v/>
      </c>
      <c r="AD193" s="4">
        <f>'Character Creation'!EH206</f>
        <v>0</v>
      </c>
      <c r="AG193">
        <v>192</v>
      </c>
      <c r="AH193" s="4" t="str">
        <f t="shared" si="174"/>
        <v/>
      </c>
      <c r="AI193" t="str">
        <f>IFERROR(VLOOKUP(AG193,Skills!$B$2:$M$620,12,FALSE),"")</f>
        <v/>
      </c>
      <c r="AJ193" s="4" t="str">
        <f>IFERROR(VLOOKUP(AG193,Skills!$B$2:$AF$620,31,FALSE),"")</f>
        <v/>
      </c>
      <c r="AK193" s="4" t="str">
        <f t="shared" si="177"/>
        <v/>
      </c>
      <c r="AL193" s="4">
        <v>0.192</v>
      </c>
      <c r="AM193" s="62" t="str">
        <f t="shared" si="175"/>
        <v/>
      </c>
      <c r="AN193" t="str">
        <f t="shared" ca="1" si="176"/>
        <v/>
      </c>
      <c r="AO193" s="4" t="str">
        <f ca="1">IFERROR(VLOOKUP(AG193,$AH$2:$AJ$451,3,FALSE)&amp;IF(ISNUMBER(SEARCH(", Written",AN193))," -R"&amp;VLOOKUP(AN193,Skills!$M$2:$S$620,7,FALSE),IF(ISNUMBER(SEARCH(", Spoken",AN193))," -R"&amp;VLOOKUP(AN193,Skills!$M$2:$S$620,7,FALSE),"")),"")</f>
        <v/>
      </c>
    </row>
    <row r="194" spans="29:41" x14ac:dyDescent="0.25">
      <c r="AC194" s="8" t="str">
        <f>IFERROR(VLOOKUP('Character Creation'!$CI207,Skills!$H$2:$N$620,6,FALSE),"")</f>
        <v/>
      </c>
      <c r="AD194" s="4">
        <f>'Character Creation'!EH207</f>
        <v>0</v>
      </c>
      <c r="AG194">
        <v>193</v>
      </c>
      <c r="AH194" s="4" t="str">
        <f t="shared" si="174"/>
        <v/>
      </c>
      <c r="AI194" t="str">
        <f>IFERROR(VLOOKUP(AG194,Skills!$B$2:$M$620,12,FALSE),"")</f>
        <v/>
      </c>
      <c r="AJ194" s="4" t="str">
        <f>IFERROR(VLOOKUP(AG194,Skills!$B$2:$AF$620,31,FALSE),"")</f>
        <v/>
      </c>
      <c r="AK194" s="4" t="str">
        <f t="shared" si="177"/>
        <v/>
      </c>
      <c r="AL194" s="4">
        <v>0.193</v>
      </c>
      <c r="AM194" s="62" t="str">
        <f t="shared" si="175"/>
        <v/>
      </c>
      <c r="AN194" t="str">
        <f t="shared" ca="1" si="176"/>
        <v/>
      </c>
      <c r="AO194" s="4" t="str">
        <f ca="1">IFERROR(VLOOKUP(AG194,$AH$2:$AJ$451,3,FALSE)&amp;IF(ISNUMBER(SEARCH(", Written",AN194))," -R"&amp;VLOOKUP(AN194,Skills!$M$2:$S$620,7,FALSE),IF(ISNUMBER(SEARCH(", Spoken",AN194))," -R"&amp;VLOOKUP(AN194,Skills!$M$2:$S$620,7,FALSE),"")),"")</f>
        <v/>
      </c>
    </row>
    <row r="195" spans="29:41" x14ac:dyDescent="0.25">
      <c r="AC195" s="8" t="str">
        <f>IFERROR(VLOOKUP('Character Creation'!$CI208,Skills!$H$2:$N$620,6,FALSE),"")</f>
        <v/>
      </c>
      <c r="AD195" s="4">
        <f>'Character Creation'!EH208</f>
        <v>0</v>
      </c>
      <c r="AG195">
        <v>194</v>
      </c>
      <c r="AH195" s="4" t="str">
        <f t="shared" ref="AH195:AH258" si="178">IFERROR(_xlfn.RANK.EQ(AM195,$AM$2:$AM$451),"")</f>
        <v/>
      </c>
      <c r="AI195" t="str">
        <f>IFERROR(VLOOKUP(AG195,Skills!$B$2:$M$620,12,FALSE),"")</f>
        <v/>
      </c>
      <c r="AJ195" s="4" t="str">
        <f>IFERROR(VLOOKUP(AG195,Skills!$B$2:$AF$620,31,FALSE),"")</f>
        <v/>
      </c>
      <c r="AK195" s="4" t="str">
        <f t="shared" si="177"/>
        <v/>
      </c>
      <c r="AL195" s="4">
        <v>0.19400000000000001</v>
      </c>
      <c r="AM195" s="62" t="str">
        <f t="shared" ref="AM195:AM258" si="179">IFERROR(AK195+AL195,"")</f>
        <v/>
      </c>
      <c r="AN195" t="str">
        <f t="shared" ref="AN195:AN258" ca="1" si="180">IFERROR(VLOOKUP(AG195,$AH$2:$AJ$451,2,FALSE),"")</f>
        <v/>
      </c>
      <c r="AO195" s="4" t="str">
        <f ca="1">IFERROR(VLOOKUP(AG195,$AH$2:$AJ$451,3,FALSE)&amp;IF(ISNUMBER(SEARCH(", Written",AN195))," -R"&amp;VLOOKUP(AN195,Skills!$M$2:$S$620,7,FALSE),IF(ISNUMBER(SEARCH(", Spoken",AN195))," -R"&amp;VLOOKUP(AN195,Skills!$M$2:$S$620,7,FALSE),"")),"")</f>
        <v/>
      </c>
    </row>
    <row r="196" spans="29:41" x14ac:dyDescent="0.25">
      <c r="AC196" s="8" t="str">
        <f>IFERROR(VLOOKUP('Character Creation'!$CI209,Skills!$H$2:$N$620,6,FALSE),"")</f>
        <v/>
      </c>
      <c r="AD196" s="4">
        <f>'Character Creation'!EH209</f>
        <v>0</v>
      </c>
      <c r="AG196">
        <v>195</v>
      </c>
      <c r="AH196" s="4" t="str">
        <f t="shared" si="178"/>
        <v/>
      </c>
      <c r="AI196" t="str">
        <f>IFERROR(VLOOKUP(AG196,Skills!$B$2:$M$620,12,FALSE),"")</f>
        <v/>
      </c>
      <c r="AJ196" s="4" t="str">
        <f>IFERROR(VLOOKUP(AG196,Skills!$B$2:$AF$620,31,FALSE),"")</f>
        <v/>
      </c>
      <c r="AK196" s="4" t="str">
        <f t="shared" si="177"/>
        <v/>
      </c>
      <c r="AL196" s="4">
        <v>0.19500000000000001</v>
      </c>
      <c r="AM196" s="62" t="str">
        <f t="shared" si="179"/>
        <v/>
      </c>
      <c r="AN196" t="str">
        <f t="shared" ca="1" si="180"/>
        <v/>
      </c>
      <c r="AO196" s="4" t="str">
        <f ca="1">IFERROR(VLOOKUP(AG196,$AH$2:$AJ$451,3,FALSE)&amp;IF(ISNUMBER(SEARCH(", Written",AN196))," -R"&amp;VLOOKUP(AN196,Skills!$M$2:$S$620,7,FALSE),IF(ISNUMBER(SEARCH(", Spoken",AN196))," -R"&amp;VLOOKUP(AN196,Skills!$M$2:$S$620,7,FALSE),"")),"")</f>
        <v/>
      </c>
    </row>
    <row r="197" spans="29:41" x14ac:dyDescent="0.25">
      <c r="AC197" s="8" t="str">
        <f>IFERROR(VLOOKUP('Character Creation'!$CI210,Skills!$H$2:$N$620,6,FALSE),"")</f>
        <v/>
      </c>
      <c r="AD197" s="4">
        <f>'Character Creation'!EH210</f>
        <v>0</v>
      </c>
      <c r="AG197">
        <v>196</v>
      </c>
      <c r="AH197" s="4" t="str">
        <f t="shared" si="178"/>
        <v/>
      </c>
      <c r="AI197" t="str">
        <f>IFERROR(VLOOKUP(AG197,Skills!$B$2:$M$620,12,FALSE),"")</f>
        <v/>
      </c>
      <c r="AJ197" s="4" t="str">
        <f>IFERROR(VLOOKUP(AG197,Skills!$B$2:$AF$620,31,FALSE),"")</f>
        <v/>
      </c>
      <c r="AK197" s="4" t="str">
        <f t="shared" si="177"/>
        <v/>
      </c>
      <c r="AL197" s="4">
        <v>0.19600000000000001</v>
      </c>
      <c r="AM197" s="62" t="str">
        <f t="shared" si="179"/>
        <v/>
      </c>
      <c r="AN197" t="str">
        <f t="shared" ca="1" si="180"/>
        <v/>
      </c>
      <c r="AO197" s="4" t="str">
        <f ca="1">IFERROR(VLOOKUP(AG197,$AH$2:$AJ$451,3,FALSE)&amp;IF(ISNUMBER(SEARCH(", Written",AN197))," -R"&amp;VLOOKUP(AN197,Skills!$M$2:$S$620,7,FALSE),IF(ISNUMBER(SEARCH(", Spoken",AN197))," -R"&amp;VLOOKUP(AN197,Skills!$M$2:$S$620,7,FALSE),"")),"")</f>
        <v/>
      </c>
    </row>
    <row r="198" spans="29:41" x14ac:dyDescent="0.25">
      <c r="AC198" s="8" t="str">
        <f>IFERROR(VLOOKUP('Character Creation'!$CI211,Skills!$H$2:$N$620,6,FALSE),"")</f>
        <v/>
      </c>
      <c r="AD198" s="4">
        <f>'Character Creation'!EH211</f>
        <v>0</v>
      </c>
      <c r="AG198">
        <v>197</v>
      </c>
      <c r="AH198" s="4" t="str">
        <f t="shared" si="178"/>
        <v/>
      </c>
      <c r="AI198" t="str">
        <f>IFERROR(VLOOKUP(AG198,Skills!$B$2:$M$620,12,FALSE),"")</f>
        <v/>
      </c>
      <c r="AJ198" s="4" t="str">
        <f>IFERROR(VLOOKUP(AG198,Skills!$B$2:$AF$620,31,FALSE),"")</f>
        <v/>
      </c>
      <c r="AK198" s="4" t="str">
        <f t="shared" si="177"/>
        <v/>
      </c>
      <c r="AL198" s="4">
        <v>0.19700000000000001</v>
      </c>
      <c r="AM198" s="62" t="str">
        <f t="shared" si="179"/>
        <v/>
      </c>
      <c r="AN198" t="str">
        <f t="shared" ca="1" si="180"/>
        <v/>
      </c>
      <c r="AO198" s="4" t="str">
        <f ca="1">IFERROR(VLOOKUP(AG198,$AH$2:$AJ$451,3,FALSE)&amp;IF(ISNUMBER(SEARCH(", Written",AN198))," -R"&amp;VLOOKUP(AN198,Skills!$M$2:$S$620,7,FALSE),IF(ISNUMBER(SEARCH(", Spoken",AN198))," -R"&amp;VLOOKUP(AN198,Skills!$M$2:$S$620,7,FALSE),"")),"")</f>
        <v/>
      </c>
    </row>
    <row r="199" spans="29:41" x14ac:dyDescent="0.25">
      <c r="AC199" s="8" t="str">
        <f>IFERROR(VLOOKUP('Character Creation'!$CI212,Skills!$H$2:$N$620,6,FALSE),"")</f>
        <v/>
      </c>
      <c r="AD199" s="4">
        <f>'Character Creation'!EH212</f>
        <v>0</v>
      </c>
      <c r="AG199">
        <v>198</v>
      </c>
      <c r="AH199" s="4" t="str">
        <f t="shared" si="178"/>
        <v/>
      </c>
      <c r="AI199" t="str">
        <f>IFERROR(VLOOKUP(AG199,Skills!$B$2:$M$620,12,FALSE),"")</f>
        <v/>
      </c>
      <c r="AJ199" s="4" t="str">
        <f>IFERROR(VLOOKUP(AG199,Skills!$B$2:$AF$620,31,FALSE),"")</f>
        <v/>
      </c>
      <c r="AK199" s="4" t="str">
        <f t="shared" si="177"/>
        <v/>
      </c>
      <c r="AL199" s="4">
        <v>0.19800000000000001</v>
      </c>
      <c r="AM199" s="62" t="str">
        <f t="shared" si="179"/>
        <v/>
      </c>
      <c r="AN199" t="str">
        <f t="shared" ca="1" si="180"/>
        <v/>
      </c>
      <c r="AO199" s="4" t="str">
        <f ca="1">IFERROR(VLOOKUP(AG199,$AH$2:$AJ$451,3,FALSE)&amp;IF(ISNUMBER(SEARCH(", Written",AN199))," -R"&amp;VLOOKUP(AN199,Skills!$M$2:$S$620,7,FALSE),IF(ISNUMBER(SEARCH(", Spoken",AN199))," -R"&amp;VLOOKUP(AN199,Skills!$M$2:$S$620,7,FALSE),"")),"")</f>
        <v/>
      </c>
    </row>
    <row r="200" spans="29:41" x14ac:dyDescent="0.25">
      <c r="AC200" s="8" t="str">
        <f>IFERROR(VLOOKUP('Character Creation'!$CI213,Skills!$H$2:$N$620,6,FALSE),"")</f>
        <v/>
      </c>
      <c r="AD200" s="4">
        <f>'Character Creation'!EH213</f>
        <v>0</v>
      </c>
      <c r="AG200">
        <v>199</v>
      </c>
      <c r="AH200" s="4" t="str">
        <f t="shared" si="178"/>
        <v/>
      </c>
      <c r="AI200" t="str">
        <f>IFERROR(VLOOKUP(AG200,Skills!$B$2:$M$620,12,FALSE),"")</f>
        <v/>
      </c>
      <c r="AJ200" s="4" t="str">
        <f>IFERROR(VLOOKUP(AG200,Skills!$B$2:$AF$620,31,FALSE),"")</f>
        <v/>
      </c>
      <c r="AK200" s="4" t="str">
        <f t="shared" si="177"/>
        <v/>
      </c>
      <c r="AL200" s="4">
        <v>0.19900000000000001</v>
      </c>
      <c r="AM200" s="62" t="str">
        <f t="shared" si="179"/>
        <v/>
      </c>
      <c r="AN200" t="str">
        <f t="shared" ca="1" si="180"/>
        <v/>
      </c>
      <c r="AO200" s="4" t="str">
        <f ca="1">IFERROR(VLOOKUP(AG200,$AH$2:$AJ$451,3,FALSE)&amp;IF(ISNUMBER(SEARCH(", Written",AN200))," -R"&amp;VLOOKUP(AN200,Skills!$M$2:$S$620,7,FALSE),IF(ISNUMBER(SEARCH(", Spoken",AN200))," -R"&amp;VLOOKUP(AN200,Skills!$M$2:$S$620,7,FALSE),"")),"")</f>
        <v/>
      </c>
    </row>
    <row r="201" spans="29:41" x14ac:dyDescent="0.25">
      <c r="AC201" s="8" t="str">
        <f>IFERROR(VLOOKUP('Character Creation'!$CI214,Skills!$H$2:$N$620,6,FALSE),"")</f>
        <v/>
      </c>
      <c r="AD201" s="4">
        <f>'Character Creation'!EH214</f>
        <v>0</v>
      </c>
      <c r="AG201">
        <v>200</v>
      </c>
      <c r="AH201" s="4" t="str">
        <f t="shared" si="178"/>
        <v/>
      </c>
      <c r="AI201" t="str">
        <f>IFERROR(VLOOKUP(AG201,Skills!$B$2:$M$620,12,FALSE),"")</f>
        <v/>
      </c>
      <c r="AJ201" s="4" t="str">
        <f>IFERROR(VLOOKUP(AG201,Skills!$B$2:$AF$620,31,FALSE),"")</f>
        <v/>
      </c>
      <c r="AK201" s="4" t="str">
        <f t="shared" si="177"/>
        <v/>
      </c>
      <c r="AL201" s="4">
        <v>0.2</v>
      </c>
      <c r="AM201" s="62" t="str">
        <f t="shared" si="179"/>
        <v/>
      </c>
      <c r="AN201" t="str">
        <f t="shared" ca="1" si="180"/>
        <v/>
      </c>
      <c r="AO201" s="4" t="str">
        <f ca="1">IFERROR(VLOOKUP(AG201,$AH$2:$AJ$451,3,FALSE)&amp;IF(ISNUMBER(SEARCH(", Written",AN201))," -R"&amp;VLOOKUP(AN201,Skills!$M$2:$S$620,7,FALSE),IF(ISNUMBER(SEARCH(", Spoken",AN201))," -R"&amp;VLOOKUP(AN201,Skills!$M$2:$S$620,7,FALSE),"")),"")</f>
        <v/>
      </c>
    </row>
    <row r="202" spans="29:41" x14ac:dyDescent="0.25">
      <c r="AC202" s="8" t="str">
        <f>IFERROR(VLOOKUP('Character Creation'!$CI215,Skills!$H$2:$N$620,6,FALSE),"")</f>
        <v/>
      </c>
      <c r="AD202" s="4">
        <f>'Character Creation'!EH215</f>
        <v>0</v>
      </c>
      <c r="AG202">
        <v>201</v>
      </c>
      <c r="AH202" s="4" t="str">
        <f t="shared" si="178"/>
        <v/>
      </c>
      <c r="AI202" t="str">
        <f>IFERROR(VLOOKUP(AG202,Skills!$B$2:$M$620,12,FALSE),"")</f>
        <v/>
      </c>
      <c r="AJ202" s="4" t="str">
        <f>IFERROR(VLOOKUP(AG202,Skills!$B$2:$AF$620,31,FALSE),"")</f>
        <v/>
      </c>
      <c r="AK202" s="4" t="str">
        <f t="shared" si="177"/>
        <v/>
      </c>
      <c r="AL202" s="4">
        <v>0.20100000000000001</v>
      </c>
      <c r="AM202" s="62" t="str">
        <f t="shared" si="179"/>
        <v/>
      </c>
      <c r="AN202" t="str">
        <f t="shared" ca="1" si="180"/>
        <v/>
      </c>
      <c r="AO202" s="4" t="str">
        <f ca="1">IFERROR(VLOOKUP(AG202,$AH$2:$AJ$451,3,FALSE)&amp;IF(ISNUMBER(SEARCH(", Written",AN202))," -R"&amp;VLOOKUP(AN202,Skills!$M$2:$S$620,7,FALSE),IF(ISNUMBER(SEARCH(", Spoken",AN202))," -R"&amp;VLOOKUP(AN202,Skills!$M$2:$S$620,7,FALSE),"")),"")</f>
        <v/>
      </c>
    </row>
    <row r="203" spans="29:41" x14ac:dyDescent="0.25">
      <c r="AC203" s="8" t="str">
        <f>IFERROR(VLOOKUP('Character Creation'!$CI216,Skills!$H$2:$N$620,6,FALSE),"")</f>
        <v/>
      </c>
      <c r="AD203" s="4">
        <f>'Character Creation'!EH216</f>
        <v>0</v>
      </c>
      <c r="AG203">
        <v>202</v>
      </c>
      <c r="AH203" s="4" t="str">
        <f t="shared" si="178"/>
        <v/>
      </c>
      <c r="AI203" t="str">
        <f>IFERROR(VLOOKUP(AG203,Skills!$B$2:$M$620,12,FALSE),"")</f>
        <v/>
      </c>
      <c r="AJ203" s="4" t="str">
        <f>IFERROR(VLOOKUP(AG203,Skills!$B$2:$AF$620,31,FALSE),"")</f>
        <v/>
      </c>
      <c r="AK203" s="4" t="str">
        <f t="shared" si="177"/>
        <v/>
      </c>
      <c r="AL203" s="4">
        <v>0.20200000000000001</v>
      </c>
      <c r="AM203" s="62" t="str">
        <f t="shared" si="179"/>
        <v/>
      </c>
      <c r="AN203" t="str">
        <f t="shared" ca="1" si="180"/>
        <v/>
      </c>
      <c r="AO203" s="4" t="str">
        <f ca="1">IFERROR(VLOOKUP(AG203,$AH$2:$AJ$451,3,FALSE)&amp;IF(ISNUMBER(SEARCH(", Written",AN203))," -R"&amp;VLOOKUP(AN203,Skills!$M$2:$S$620,7,FALSE),IF(ISNUMBER(SEARCH(", Spoken",AN203))," -R"&amp;VLOOKUP(AN203,Skills!$M$2:$S$620,7,FALSE),"")),"")</f>
        <v/>
      </c>
    </row>
    <row r="204" spans="29:41" x14ac:dyDescent="0.25">
      <c r="AC204" s="8" t="str">
        <f>IFERROR(VLOOKUP('Character Creation'!$CI217,Skills!$H$2:$N$620,6,FALSE),"")</f>
        <v/>
      </c>
      <c r="AD204" s="4">
        <f>'Character Creation'!EH217</f>
        <v>0</v>
      </c>
      <c r="AG204">
        <v>203</v>
      </c>
      <c r="AH204" s="4" t="str">
        <f t="shared" si="178"/>
        <v/>
      </c>
      <c r="AI204" t="str">
        <f>IFERROR(VLOOKUP(AG204,Skills!$B$2:$M$620,12,FALSE),"")</f>
        <v/>
      </c>
      <c r="AJ204" s="4" t="str">
        <f>IFERROR(VLOOKUP(AG204,Skills!$B$2:$AF$620,31,FALSE),"")</f>
        <v/>
      </c>
      <c r="AK204" s="4" t="str">
        <f t="shared" si="177"/>
        <v/>
      </c>
      <c r="AL204" s="4">
        <v>0.20300000000000001</v>
      </c>
      <c r="AM204" s="62" t="str">
        <f t="shared" si="179"/>
        <v/>
      </c>
      <c r="AN204" t="str">
        <f t="shared" ca="1" si="180"/>
        <v/>
      </c>
      <c r="AO204" s="4" t="str">
        <f ca="1">IFERROR(VLOOKUP(AG204,$AH$2:$AJ$451,3,FALSE)&amp;IF(ISNUMBER(SEARCH(", Written",AN204))," -R"&amp;VLOOKUP(AN204,Skills!$M$2:$S$620,7,FALSE),IF(ISNUMBER(SEARCH(", Spoken",AN204))," -R"&amp;VLOOKUP(AN204,Skills!$M$2:$S$620,7,FALSE),"")),"")</f>
        <v/>
      </c>
    </row>
    <row r="205" spans="29:41" x14ac:dyDescent="0.25">
      <c r="AC205" s="8" t="str">
        <f>IFERROR(VLOOKUP('Character Creation'!$CI218,Skills!$H$2:$N$620,6,FALSE),"")</f>
        <v/>
      </c>
      <c r="AD205" s="4">
        <f>'Character Creation'!EH218</f>
        <v>0</v>
      </c>
      <c r="AG205">
        <v>204</v>
      </c>
      <c r="AH205" s="4" t="str">
        <f t="shared" si="178"/>
        <v/>
      </c>
      <c r="AI205" t="str">
        <f>IFERROR(VLOOKUP(AG205,Skills!$B$2:$M$620,12,FALSE),"")</f>
        <v/>
      </c>
      <c r="AJ205" s="4" t="str">
        <f>IFERROR(VLOOKUP(AG205,Skills!$B$2:$AF$620,31,FALSE),"")</f>
        <v/>
      </c>
      <c r="AK205" s="4" t="str">
        <f t="shared" si="177"/>
        <v/>
      </c>
      <c r="AL205" s="4">
        <v>0.20399999999999999</v>
      </c>
      <c r="AM205" s="62" t="str">
        <f t="shared" si="179"/>
        <v/>
      </c>
      <c r="AN205" t="str">
        <f t="shared" ca="1" si="180"/>
        <v/>
      </c>
      <c r="AO205" s="4" t="str">
        <f ca="1">IFERROR(VLOOKUP(AG205,$AH$2:$AJ$451,3,FALSE)&amp;IF(ISNUMBER(SEARCH(", Written",AN205))," -R"&amp;VLOOKUP(AN205,Skills!$M$2:$S$620,7,FALSE),IF(ISNUMBER(SEARCH(", Spoken",AN205))," -R"&amp;VLOOKUP(AN205,Skills!$M$2:$S$620,7,FALSE),"")),"")</f>
        <v/>
      </c>
    </row>
    <row r="206" spans="29:41" x14ac:dyDescent="0.25">
      <c r="AC206" s="8" t="str">
        <f>IFERROR(VLOOKUP('Character Creation'!$CI219,Skills!$H$2:$N$620,6,FALSE),"")</f>
        <v/>
      </c>
      <c r="AD206" s="4">
        <f>'Character Creation'!EH219</f>
        <v>0</v>
      </c>
      <c r="AG206">
        <v>205</v>
      </c>
      <c r="AH206" s="4" t="str">
        <f t="shared" si="178"/>
        <v/>
      </c>
      <c r="AI206" t="str">
        <f>IFERROR(VLOOKUP(AG206,Skills!$B$2:$M$620,12,FALSE),"")</f>
        <v/>
      </c>
      <c r="AJ206" s="4" t="str">
        <f>IFERROR(VLOOKUP(AG206,Skills!$B$2:$AF$620,31,FALSE),"")</f>
        <v/>
      </c>
      <c r="AK206" s="4" t="str">
        <f t="shared" si="177"/>
        <v/>
      </c>
      <c r="AL206" s="4">
        <v>0.20499999999999999</v>
      </c>
      <c r="AM206" s="62" t="str">
        <f t="shared" si="179"/>
        <v/>
      </c>
      <c r="AN206" t="str">
        <f t="shared" ca="1" si="180"/>
        <v/>
      </c>
      <c r="AO206" s="4" t="str">
        <f ca="1">IFERROR(VLOOKUP(AG206,$AH$2:$AJ$451,3,FALSE)&amp;IF(ISNUMBER(SEARCH(", Written",AN206))," -R"&amp;VLOOKUP(AN206,Skills!$M$2:$S$620,7,FALSE),IF(ISNUMBER(SEARCH(", Spoken",AN206))," -R"&amp;VLOOKUP(AN206,Skills!$M$2:$S$620,7,FALSE),"")),"")</f>
        <v/>
      </c>
    </row>
    <row r="207" spans="29:41" x14ac:dyDescent="0.25">
      <c r="AC207" s="8" t="str">
        <f>IFERROR(VLOOKUP('Character Creation'!$CI220,Skills!$H$2:$N$620,6,FALSE),"")</f>
        <v/>
      </c>
      <c r="AD207" s="4">
        <f>'Character Creation'!EH220</f>
        <v>0</v>
      </c>
      <c r="AG207">
        <v>206</v>
      </c>
      <c r="AH207" s="4" t="str">
        <f t="shared" si="178"/>
        <v/>
      </c>
      <c r="AI207" t="str">
        <f>IFERROR(VLOOKUP(AG207,Skills!$B$2:$M$620,12,FALSE),"")</f>
        <v/>
      </c>
      <c r="AJ207" s="4" t="str">
        <f>IFERROR(VLOOKUP(AG207,Skills!$B$2:$AF$620,31,FALSE),"")</f>
        <v/>
      </c>
      <c r="AK207" s="4" t="str">
        <f t="shared" si="177"/>
        <v/>
      </c>
      <c r="AL207" s="4">
        <v>0.20599999999999999</v>
      </c>
      <c r="AM207" s="62" t="str">
        <f t="shared" si="179"/>
        <v/>
      </c>
      <c r="AN207" t="str">
        <f t="shared" ca="1" si="180"/>
        <v/>
      </c>
      <c r="AO207" s="4" t="str">
        <f ca="1">IFERROR(VLOOKUP(AG207,$AH$2:$AJ$451,3,FALSE)&amp;IF(ISNUMBER(SEARCH(", Written",AN207))," -R"&amp;VLOOKUP(AN207,Skills!$M$2:$S$620,7,FALSE),IF(ISNUMBER(SEARCH(", Spoken",AN207))," -R"&amp;VLOOKUP(AN207,Skills!$M$2:$S$620,7,FALSE),"")),"")</f>
        <v/>
      </c>
    </row>
    <row r="208" spans="29:41" x14ac:dyDescent="0.25">
      <c r="AC208" s="8" t="str">
        <f>IFERROR(VLOOKUP('Character Creation'!$CI221,Skills!$H$2:$N$620,6,FALSE),"")</f>
        <v/>
      </c>
      <c r="AD208" s="4">
        <f>'Character Creation'!EH221</f>
        <v>0</v>
      </c>
      <c r="AG208">
        <v>207</v>
      </c>
      <c r="AH208" s="4" t="str">
        <f t="shared" si="178"/>
        <v/>
      </c>
      <c r="AI208" t="str">
        <f>IFERROR(VLOOKUP(AG208,Skills!$B$2:$M$620,12,FALSE),"")</f>
        <v/>
      </c>
      <c r="AJ208" s="4" t="str">
        <f>IFERROR(VLOOKUP(AG208,Skills!$B$2:$AF$620,31,FALSE),"")</f>
        <v/>
      </c>
      <c r="AK208" s="4" t="str">
        <f t="shared" si="177"/>
        <v/>
      </c>
      <c r="AL208" s="4">
        <v>0.20699999999999999</v>
      </c>
      <c r="AM208" s="62" t="str">
        <f t="shared" si="179"/>
        <v/>
      </c>
      <c r="AN208" t="str">
        <f t="shared" ca="1" si="180"/>
        <v/>
      </c>
      <c r="AO208" s="4" t="str">
        <f ca="1">IFERROR(VLOOKUP(AG208,$AH$2:$AJ$451,3,FALSE)&amp;IF(ISNUMBER(SEARCH(", Written",AN208))," -R"&amp;VLOOKUP(AN208,Skills!$M$2:$S$620,7,FALSE),IF(ISNUMBER(SEARCH(", Spoken",AN208))," -R"&amp;VLOOKUP(AN208,Skills!$M$2:$S$620,7,FALSE),"")),"")</f>
        <v/>
      </c>
    </row>
    <row r="209" spans="29:41" x14ac:dyDescent="0.25">
      <c r="AC209" s="8" t="str">
        <f>IFERROR(VLOOKUP('Character Creation'!$CI222,Skills!$H$2:$N$620,6,FALSE),"")</f>
        <v/>
      </c>
      <c r="AD209" s="4">
        <f>'Character Creation'!EH222</f>
        <v>0</v>
      </c>
      <c r="AG209">
        <v>208</v>
      </c>
      <c r="AH209" s="4" t="str">
        <f t="shared" si="178"/>
        <v/>
      </c>
      <c r="AI209" t="str">
        <f>IFERROR(VLOOKUP(AG209,Skills!$B$2:$M$620,12,FALSE),"")</f>
        <v/>
      </c>
      <c r="AJ209" s="4" t="str">
        <f>IFERROR(VLOOKUP(AG209,Skills!$B$2:$AF$620,31,FALSE),"")</f>
        <v/>
      </c>
      <c r="AK209" s="4" t="str">
        <f t="shared" si="177"/>
        <v/>
      </c>
      <c r="AL209" s="4">
        <v>0.20799999999999999</v>
      </c>
      <c r="AM209" s="62" t="str">
        <f t="shared" si="179"/>
        <v/>
      </c>
      <c r="AN209" t="str">
        <f t="shared" ca="1" si="180"/>
        <v/>
      </c>
      <c r="AO209" s="4" t="str">
        <f ca="1">IFERROR(VLOOKUP(AG209,$AH$2:$AJ$451,3,FALSE)&amp;IF(ISNUMBER(SEARCH(", Written",AN209))," -R"&amp;VLOOKUP(AN209,Skills!$M$2:$S$620,7,FALSE),IF(ISNUMBER(SEARCH(", Spoken",AN209))," -R"&amp;VLOOKUP(AN209,Skills!$M$2:$S$620,7,FALSE),"")),"")</f>
        <v/>
      </c>
    </row>
    <row r="210" spans="29:41" x14ac:dyDescent="0.25">
      <c r="AC210" s="8" t="str">
        <f>IFERROR(VLOOKUP('Character Creation'!$CI223,Skills!$H$2:$N$620,6,FALSE),"")</f>
        <v/>
      </c>
      <c r="AD210" s="4">
        <f>'Character Creation'!EH223</f>
        <v>0</v>
      </c>
      <c r="AG210">
        <v>209</v>
      </c>
      <c r="AH210" s="4" t="str">
        <f t="shared" si="178"/>
        <v/>
      </c>
      <c r="AI210" t="str">
        <f>IFERROR(VLOOKUP(AG210,Skills!$B$2:$M$620,12,FALSE),"")</f>
        <v/>
      </c>
      <c r="AJ210" s="4" t="str">
        <f>IFERROR(VLOOKUP(AG210,Skills!$B$2:$AF$620,31,FALSE),"")</f>
        <v/>
      </c>
      <c r="AK210" s="4" t="str">
        <f t="shared" si="177"/>
        <v/>
      </c>
      <c r="AL210" s="4">
        <v>0.20899999999999999</v>
      </c>
      <c r="AM210" s="62" t="str">
        <f t="shared" si="179"/>
        <v/>
      </c>
      <c r="AN210" t="str">
        <f t="shared" ca="1" si="180"/>
        <v/>
      </c>
      <c r="AO210" s="4" t="str">
        <f ca="1">IFERROR(VLOOKUP(AG210,$AH$2:$AJ$451,3,FALSE)&amp;IF(ISNUMBER(SEARCH(", Written",AN210))," -R"&amp;VLOOKUP(AN210,Skills!$M$2:$S$620,7,FALSE),IF(ISNUMBER(SEARCH(", Spoken",AN210))," -R"&amp;VLOOKUP(AN210,Skills!$M$2:$S$620,7,FALSE),"")),"")</f>
        <v/>
      </c>
    </row>
    <row r="211" spans="29:41" x14ac:dyDescent="0.25">
      <c r="AC211" s="8" t="str">
        <f>IFERROR(VLOOKUP('Character Creation'!$CI224,Skills!$H$2:$N$620,6,FALSE),"")</f>
        <v/>
      </c>
      <c r="AD211" s="4">
        <f>'Character Creation'!EH224</f>
        <v>0</v>
      </c>
      <c r="AG211">
        <v>210</v>
      </c>
      <c r="AH211" s="4" t="str">
        <f t="shared" si="178"/>
        <v/>
      </c>
      <c r="AI211" t="str">
        <f>IFERROR(VLOOKUP(AG211,Skills!$B$2:$M$620,12,FALSE),"")</f>
        <v/>
      </c>
      <c r="AJ211" s="4" t="str">
        <f>IFERROR(VLOOKUP(AG211,Skills!$B$2:$AF$620,31,FALSE),"")</f>
        <v/>
      </c>
      <c r="AK211" s="4" t="str">
        <f t="shared" si="177"/>
        <v/>
      </c>
      <c r="AL211" s="4">
        <v>0.21</v>
      </c>
      <c r="AM211" s="62" t="str">
        <f t="shared" si="179"/>
        <v/>
      </c>
      <c r="AN211" t="str">
        <f t="shared" ca="1" si="180"/>
        <v/>
      </c>
      <c r="AO211" s="4" t="str">
        <f ca="1">IFERROR(VLOOKUP(AG211,$AH$2:$AJ$451,3,FALSE)&amp;IF(ISNUMBER(SEARCH(", Written",AN211))," -R"&amp;VLOOKUP(AN211,Skills!$M$2:$S$620,7,FALSE),IF(ISNUMBER(SEARCH(", Spoken",AN211))," -R"&amp;VLOOKUP(AN211,Skills!$M$2:$S$620,7,FALSE),"")),"")</f>
        <v/>
      </c>
    </row>
    <row r="212" spans="29:41" x14ac:dyDescent="0.25">
      <c r="AC212" s="8" t="str">
        <f>IFERROR(VLOOKUP('Character Creation'!$CI225,Skills!$H$2:$N$620,6,FALSE),"")</f>
        <v/>
      </c>
      <c r="AD212" s="4">
        <f>'Character Creation'!EH225</f>
        <v>0</v>
      </c>
      <c r="AG212">
        <v>211</v>
      </c>
      <c r="AH212" s="4" t="str">
        <f t="shared" si="178"/>
        <v/>
      </c>
      <c r="AI212" t="str">
        <f>IFERROR(VLOOKUP(AG212,Skills!$B$2:$M$620,12,FALSE),"")</f>
        <v/>
      </c>
      <c r="AJ212" s="4" t="str">
        <f>IFERROR(VLOOKUP(AG212,Skills!$B$2:$AF$620,31,FALSE),"")</f>
        <v/>
      </c>
      <c r="AK212" s="4" t="str">
        <f t="shared" si="177"/>
        <v/>
      </c>
      <c r="AL212" s="4">
        <v>0.21099999999999999</v>
      </c>
      <c r="AM212" s="62" t="str">
        <f t="shared" si="179"/>
        <v/>
      </c>
      <c r="AN212" t="str">
        <f t="shared" ca="1" si="180"/>
        <v/>
      </c>
      <c r="AO212" s="4" t="str">
        <f ca="1">IFERROR(VLOOKUP(AG212,$AH$2:$AJ$451,3,FALSE)&amp;IF(ISNUMBER(SEARCH(", Written",AN212))," -R"&amp;VLOOKUP(AN212,Skills!$M$2:$S$620,7,FALSE),IF(ISNUMBER(SEARCH(", Spoken",AN212))," -R"&amp;VLOOKUP(AN212,Skills!$M$2:$S$620,7,FALSE),"")),"")</f>
        <v/>
      </c>
    </row>
    <row r="213" spans="29:41" x14ac:dyDescent="0.25">
      <c r="AC213" s="8" t="str">
        <f>IFERROR(VLOOKUP('Character Creation'!$CI226,Skills!$H$2:$N$620,6,FALSE),"")</f>
        <v/>
      </c>
      <c r="AD213" s="4">
        <f>'Character Creation'!EH226</f>
        <v>0</v>
      </c>
      <c r="AG213">
        <v>212</v>
      </c>
      <c r="AH213" s="4" t="str">
        <f t="shared" si="178"/>
        <v/>
      </c>
      <c r="AI213" t="str">
        <f>IFERROR(VLOOKUP(AG213,Skills!$B$2:$M$620,12,FALSE),"")</f>
        <v/>
      </c>
      <c r="AJ213" s="4" t="str">
        <f>IFERROR(VLOOKUP(AG213,Skills!$B$2:$AF$620,31,FALSE),"")</f>
        <v/>
      </c>
      <c r="AK213" s="4" t="str">
        <f t="shared" si="177"/>
        <v/>
      </c>
      <c r="AL213" s="4">
        <v>0.21199999999999999</v>
      </c>
      <c r="AM213" s="62" t="str">
        <f t="shared" si="179"/>
        <v/>
      </c>
      <c r="AN213" t="str">
        <f t="shared" ca="1" si="180"/>
        <v/>
      </c>
      <c r="AO213" s="4" t="str">
        <f ca="1">IFERROR(VLOOKUP(AG213,$AH$2:$AJ$451,3,FALSE)&amp;IF(ISNUMBER(SEARCH(", Written",AN213))," -R"&amp;VLOOKUP(AN213,Skills!$M$2:$S$620,7,FALSE),IF(ISNUMBER(SEARCH(", Spoken",AN213))," -R"&amp;VLOOKUP(AN213,Skills!$M$2:$S$620,7,FALSE),"")),"")</f>
        <v/>
      </c>
    </row>
    <row r="214" spans="29:41" x14ac:dyDescent="0.25">
      <c r="AC214" s="8" t="str">
        <f>IFERROR(VLOOKUP('Character Creation'!$CI227,Skills!$H$2:$N$620,6,FALSE),"")</f>
        <v/>
      </c>
      <c r="AD214" s="4">
        <f>'Character Creation'!EH227</f>
        <v>0</v>
      </c>
      <c r="AG214">
        <v>213</v>
      </c>
      <c r="AH214" s="4" t="str">
        <f t="shared" si="178"/>
        <v/>
      </c>
      <c r="AI214" t="str">
        <f>IFERROR(VLOOKUP(AG214,Skills!$B$2:$M$620,12,FALSE),"")</f>
        <v/>
      </c>
      <c r="AJ214" s="4" t="str">
        <f>IFERROR(VLOOKUP(AG214,Skills!$B$2:$AF$620,31,FALSE),"")</f>
        <v/>
      </c>
      <c r="AK214" s="4" t="str">
        <f t="shared" si="177"/>
        <v/>
      </c>
      <c r="AL214" s="4">
        <v>0.21299999999999999</v>
      </c>
      <c r="AM214" s="62" t="str">
        <f t="shared" si="179"/>
        <v/>
      </c>
      <c r="AN214" t="str">
        <f t="shared" ca="1" si="180"/>
        <v/>
      </c>
      <c r="AO214" s="4" t="str">
        <f ca="1">IFERROR(VLOOKUP(AG214,$AH$2:$AJ$451,3,FALSE)&amp;IF(ISNUMBER(SEARCH(", Written",AN214))," -R"&amp;VLOOKUP(AN214,Skills!$M$2:$S$620,7,FALSE),IF(ISNUMBER(SEARCH(", Spoken",AN214))," -R"&amp;VLOOKUP(AN214,Skills!$M$2:$S$620,7,FALSE),"")),"")</f>
        <v/>
      </c>
    </row>
    <row r="215" spans="29:41" x14ac:dyDescent="0.25">
      <c r="AC215" s="8" t="str">
        <f>IFERROR(VLOOKUP('Character Creation'!$CI228,Skills!$H$2:$N$620,6,FALSE),"")</f>
        <v/>
      </c>
      <c r="AD215" s="4">
        <f>'Character Creation'!EH228</f>
        <v>0</v>
      </c>
      <c r="AG215">
        <v>214</v>
      </c>
      <c r="AH215" s="4" t="str">
        <f t="shared" si="178"/>
        <v/>
      </c>
      <c r="AI215" t="str">
        <f>IFERROR(VLOOKUP(AG215,Skills!$B$2:$M$620,12,FALSE),"")</f>
        <v/>
      </c>
      <c r="AJ215" s="4" t="str">
        <f>IFERROR(VLOOKUP(AG215,Skills!$B$2:$AF$620,31,FALSE),"")</f>
        <v/>
      </c>
      <c r="AK215" s="4" t="str">
        <f t="shared" si="177"/>
        <v/>
      </c>
      <c r="AL215" s="4">
        <v>0.214</v>
      </c>
      <c r="AM215" s="62" t="str">
        <f t="shared" si="179"/>
        <v/>
      </c>
      <c r="AN215" t="str">
        <f t="shared" ca="1" si="180"/>
        <v/>
      </c>
      <c r="AO215" s="4" t="str">
        <f ca="1">IFERROR(VLOOKUP(AG215,$AH$2:$AJ$451,3,FALSE)&amp;IF(ISNUMBER(SEARCH(", Written",AN215))," -R"&amp;VLOOKUP(AN215,Skills!$M$2:$S$620,7,FALSE),IF(ISNUMBER(SEARCH(", Spoken",AN215))," -R"&amp;VLOOKUP(AN215,Skills!$M$2:$S$620,7,FALSE),"")),"")</f>
        <v/>
      </c>
    </row>
    <row r="216" spans="29:41" x14ac:dyDescent="0.25">
      <c r="AC216" s="8" t="str">
        <f>IFERROR(VLOOKUP('Character Creation'!$CI229,Skills!$H$2:$N$620,6,FALSE),"")</f>
        <v/>
      </c>
      <c r="AD216" s="4">
        <f>'Character Creation'!EH229</f>
        <v>0</v>
      </c>
      <c r="AG216">
        <v>215</v>
      </c>
      <c r="AH216" s="4" t="str">
        <f t="shared" si="178"/>
        <v/>
      </c>
      <c r="AI216" t="str">
        <f>IFERROR(VLOOKUP(AG216,Skills!$B$2:$M$620,12,FALSE),"")</f>
        <v/>
      </c>
      <c r="AJ216" s="4" t="str">
        <f>IFERROR(VLOOKUP(AG216,Skills!$B$2:$AF$620,31,FALSE),"")</f>
        <v/>
      </c>
      <c r="AK216" s="4" t="str">
        <f t="shared" si="177"/>
        <v/>
      </c>
      <c r="AL216" s="4">
        <v>0.215</v>
      </c>
      <c r="AM216" s="62" t="str">
        <f t="shared" si="179"/>
        <v/>
      </c>
      <c r="AN216" t="str">
        <f t="shared" ca="1" si="180"/>
        <v/>
      </c>
      <c r="AO216" s="4" t="str">
        <f ca="1">IFERROR(VLOOKUP(AG216,$AH$2:$AJ$451,3,FALSE)&amp;IF(ISNUMBER(SEARCH(", Written",AN216))," -R"&amp;VLOOKUP(AN216,Skills!$M$2:$S$620,7,FALSE),IF(ISNUMBER(SEARCH(", Spoken",AN216))," -R"&amp;VLOOKUP(AN216,Skills!$M$2:$S$620,7,FALSE),"")),"")</f>
        <v/>
      </c>
    </row>
    <row r="217" spans="29:41" x14ac:dyDescent="0.25">
      <c r="AC217" s="8" t="str">
        <f>IFERROR(VLOOKUP('Character Creation'!$CI230,Skills!$H$2:$N$620,6,FALSE),"")</f>
        <v/>
      </c>
      <c r="AD217" s="4">
        <f>'Character Creation'!EH230</f>
        <v>0</v>
      </c>
      <c r="AG217">
        <v>216</v>
      </c>
      <c r="AH217" s="4" t="str">
        <f t="shared" si="178"/>
        <v/>
      </c>
      <c r="AI217" t="str">
        <f>IFERROR(VLOOKUP(AG217,Skills!$B$2:$M$620,12,FALSE),"")</f>
        <v/>
      </c>
      <c r="AJ217" s="4" t="str">
        <f>IFERROR(VLOOKUP(AG217,Skills!$B$2:$AF$620,31,FALSE),"")</f>
        <v/>
      </c>
      <c r="AK217" s="4" t="str">
        <f t="shared" si="177"/>
        <v/>
      </c>
      <c r="AL217" s="4">
        <v>0.216</v>
      </c>
      <c r="AM217" s="62" t="str">
        <f t="shared" si="179"/>
        <v/>
      </c>
      <c r="AN217" t="str">
        <f t="shared" ca="1" si="180"/>
        <v/>
      </c>
      <c r="AO217" s="4" t="str">
        <f ca="1">IFERROR(VLOOKUP(AG217,$AH$2:$AJ$451,3,FALSE)&amp;IF(ISNUMBER(SEARCH(", Written",AN217))," -R"&amp;VLOOKUP(AN217,Skills!$M$2:$S$620,7,FALSE),IF(ISNUMBER(SEARCH(", Spoken",AN217))," -R"&amp;VLOOKUP(AN217,Skills!$M$2:$S$620,7,FALSE),"")),"")</f>
        <v/>
      </c>
    </row>
    <row r="218" spans="29:41" x14ac:dyDescent="0.25">
      <c r="AC218" s="8" t="str">
        <f>IFERROR(VLOOKUP('Character Creation'!$CI231,Skills!$H$2:$N$620,6,FALSE),"")</f>
        <v/>
      </c>
      <c r="AD218" s="4">
        <f>'Character Creation'!EH231</f>
        <v>0</v>
      </c>
      <c r="AG218">
        <v>217</v>
      </c>
      <c r="AH218" s="4" t="str">
        <f t="shared" si="178"/>
        <v/>
      </c>
      <c r="AI218" t="str">
        <f>IFERROR(VLOOKUP(AG218,Skills!$B$2:$M$620,12,FALSE),"")</f>
        <v/>
      </c>
      <c r="AJ218" s="4" t="str">
        <f>IFERROR(VLOOKUP(AG218,Skills!$B$2:$AF$620,31,FALSE),"")</f>
        <v/>
      </c>
      <c r="AK218" s="4" t="str">
        <f t="shared" si="177"/>
        <v/>
      </c>
      <c r="AL218" s="4">
        <v>0.217</v>
      </c>
      <c r="AM218" s="62" t="str">
        <f t="shared" si="179"/>
        <v/>
      </c>
      <c r="AN218" t="str">
        <f t="shared" ca="1" si="180"/>
        <v/>
      </c>
      <c r="AO218" s="4" t="str">
        <f ca="1">IFERROR(VLOOKUP(AG218,$AH$2:$AJ$451,3,FALSE)&amp;IF(ISNUMBER(SEARCH(", Written",AN218))," -R"&amp;VLOOKUP(AN218,Skills!$M$2:$S$620,7,FALSE),IF(ISNUMBER(SEARCH(", Spoken",AN218))," -R"&amp;VLOOKUP(AN218,Skills!$M$2:$S$620,7,FALSE),"")),"")</f>
        <v/>
      </c>
    </row>
    <row r="219" spans="29:41" x14ac:dyDescent="0.25">
      <c r="AC219" s="8" t="str">
        <f>IFERROR(VLOOKUP('Character Creation'!$CI232,Skills!$H$2:$N$620,6,FALSE),"")</f>
        <v/>
      </c>
      <c r="AD219" s="4">
        <f>'Character Creation'!EH232</f>
        <v>0</v>
      </c>
      <c r="AG219">
        <v>218</v>
      </c>
      <c r="AH219" s="4" t="str">
        <f t="shared" si="178"/>
        <v/>
      </c>
      <c r="AI219" t="str">
        <f>IFERROR(VLOOKUP(AG219,Skills!$B$2:$M$620,12,FALSE),"")</f>
        <v/>
      </c>
      <c r="AJ219" s="4" t="str">
        <f>IFERROR(VLOOKUP(AG219,Skills!$B$2:$AF$620,31,FALSE),"")</f>
        <v/>
      </c>
      <c r="AK219" s="4" t="str">
        <f t="shared" ref="AK219:AK282" si="181">IFERROR(LEFT(AJ219,FIND("/",AJ219)-1),AJ219)</f>
        <v/>
      </c>
      <c r="AL219" s="4">
        <v>0.218</v>
      </c>
      <c r="AM219" s="62" t="str">
        <f t="shared" si="179"/>
        <v/>
      </c>
      <c r="AN219" t="str">
        <f t="shared" ca="1" si="180"/>
        <v/>
      </c>
      <c r="AO219" s="4" t="str">
        <f ca="1">IFERROR(VLOOKUP(AG219,$AH$2:$AJ$451,3,FALSE)&amp;IF(ISNUMBER(SEARCH(", Written",AN219))," -R"&amp;VLOOKUP(AN219,Skills!$M$2:$S$620,7,FALSE),IF(ISNUMBER(SEARCH(", Spoken",AN219))," -R"&amp;VLOOKUP(AN219,Skills!$M$2:$S$620,7,FALSE),"")),"")</f>
        <v/>
      </c>
    </row>
    <row r="220" spans="29:41" x14ac:dyDescent="0.25">
      <c r="AC220" s="8" t="str">
        <f>IFERROR(VLOOKUP('Character Creation'!$CI233,Skills!$H$2:$N$620,6,FALSE),"")</f>
        <v/>
      </c>
      <c r="AD220" s="4">
        <f>'Character Creation'!EH233</f>
        <v>0</v>
      </c>
      <c r="AG220">
        <v>219</v>
      </c>
      <c r="AH220" s="4" t="str">
        <f t="shared" si="178"/>
        <v/>
      </c>
      <c r="AI220" t="str">
        <f>IFERROR(VLOOKUP(AG220,Skills!$B$2:$M$620,12,FALSE),"")</f>
        <v/>
      </c>
      <c r="AJ220" s="4" t="str">
        <f>IFERROR(VLOOKUP(AG220,Skills!$B$2:$AF$620,31,FALSE),"")</f>
        <v/>
      </c>
      <c r="AK220" s="4" t="str">
        <f t="shared" si="181"/>
        <v/>
      </c>
      <c r="AL220" s="4">
        <v>0.219</v>
      </c>
      <c r="AM220" s="62" t="str">
        <f t="shared" si="179"/>
        <v/>
      </c>
      <c r="AN220" t="str">
        <f t="shared" ca="1" si="180"/>
        <v/>
      </c>
      <c r="AO220" s="4" t="str">
        <f ca="1">IFERROR(VLOOKUP(AG220,$AH$2:$AJ$451,3,FALSE)&amp;IF(ISNUMBER(SEARCH(", Written",AN220))," -R"&amp;VLOOKUP(AN220,Skills!$M$2:$S$620,7,FALSE),IF(ISNUMBER(SEARCH(", Spoken",AN220))," -R"&amp;VLOOKUP(AN220,Skills!$M$2:$S$620,7,FALSE),"")),"")</f>
        <v/>
      </c>
    </row>
    <row r="221" spans="29:41" x14ac:dyDescent="0.25">
      <c r="AC221" s="8" t="str">
        <f>IFERROR(VLOOKUP('Character Creation'!$CI234,Skills!$H$2:$N$620,6,FALSE),"")</f>
        <v/>
      </c>
      <c r="AD221" s="4">
        <f>'Character Creation'!EH234</f>
        <v>0</v>
      </c>
      <c r="AG221">
        <v>220</v>
      </c>
      <c r="AH221" s="4" t="str">
        <f t="shared" si="178"/>
        <v/>
      </c>
      <c r="AI221" t="str">
        <f>IFERROR(VLOOKUP(AG221,Skills!$B$2:$M$620,12,FALSE),"")</f>
        <v/>
      </c>
      <c r="AJ221" s="4" t="str">
        <f>IFERROR(VLOOKUP(AG221,Skills!$B$2:$AF$620,31,FALSE),"")</f>
        <v/>
      </c>
      <c r="AK221" s="4" t="str">
        <f t="shared" si="181"/>
        <v/>
      </c>
      <c r="AL221" s="4">
        <v>0.22</v>
      </c>
      <c r="AM221" s="62" t="str">
        <f t="shared" si="179"/>
        <v/>
      </c>
      <c r="AN221" t="str">
        <f t="shared" ca="1" si="180"/>
        <v/>
      </c>
      <c r="AO221" s="4" t="str">
        <f ca="1">IFERROR(VLOOKUP(AG221,$AH$2:$AJ$451,3,FALSE)&amp;IF(ISNUMBER(SEARCH(", Written",AN221))," -R"&amp;VLOOKUP(AN221,Skills!$M$2:$S$620,7,FALSE),IF(ISNUMBER(SEARCH(", Spoken",AN221))," -R"&amp;VLOOKUP(AN221,Skills!$M$2:$S$620,7,FALSE),"")),"")</f>
        <v/>
      </c>
    </row>
    <row r="222" spans="29:41" x14ac:dyDescent="0.25">
      <c r="AC222" s="8" t="str">
        <f>IFERROR(VLOOKUP('Character Creation'!$CI235,Skills!$H$2:$N$620,6,FALSE),"")</f>
        <v/>
      </c>
      <c r="AD222" s="4">
        <f>'Character Creation'!EH235</f>
        <v>0</v>
      </c>
      <c r="AG222">
        <v>221</v>
      </c>
      <c r="AH222" s="4" t="str">
        <f t="shared" si="178"/>
        <v/>
      </c>
      <c r="AI222" t="str">
        <f>IFERROR(VLOOKUP(AG222,Skills!$B$2:$M$620,12,FALSE),"")</f>
        <v/>
      </c>
      <c r="AJ222" s="4" t="str">
        <f>IFERROR(VLOOKUP(AG222,Skills!$B$2:$AF$620,31,FALSE),"")</f>
        <v/>
      </c>
      <c r="AK222" s="4" t="str">
        <f t="shared" si="181"/>
        <v/>
      </c>
      <c r="AL222" s="4">
        <v>0.221</v>
      </c>
      <c r="AM222" s="62" t="str">
        <f t="shared" si="179"/>
        <v/>
      </c>
      <c r="AN222" t="str">
        <f t="shared" ca="1" si="180"/>
        <v/>
      </c>
      <c r="AO222" s="4" t="str">
        <f ca="1">IFERROR(VLOOKUP(AG222,$AH$2:$AJ$451,3,FALSE)&amp;IF(ISNUMBER(SEARCH(", Written",AN222))," -R"&amp;VLOOKUP(AN222,Skills!$M$2:$S$620,7,FALSE),IF(ISNUMBER(SEARCH(", Spoken",AN222))," -R"&amp;VLOOKUP(AN222,Skills!$M$2:$S$620,7,FALSE),"")),"")</f>
        <v/>
      </c>
    </row>
    <row r="223" spans="29:41" x14ac:dyDescent="0.25">
      <c r="AC223" s="8" t="str">
        <f>IFERROR(VLOOKUP('Character Creation'!$CI236,Skills!$H$2:$N$620,6,FALSE),"")</f>
        <v/>
      </c>
      <c r="AD223" s="4">
        <f>'Character Creation'!EH236</f>
        <v>0</v>
      </c>
      <c r="AG223">
        <v>222</v>
      </c>
      <c r="AH223" s="4" t="str">
        <f t="shared" si="178"/>
        <v/>
      </c>
      <c r="AI223" t="str">
        <f>IFERROR(VLOOKUP(AG223,Skills!$B$2:$M$620,12,FALSE),"")</f>
        <v/>
      </c>
      <c r="AJ223" s="4" t="str">
        <f>IFERROR(VLOOKUP(AG223,Skills!$B$2:$AF$620,31,FALSE),"")</f>
        <v/>
      </c>
      <c r="AK223" s="4" t="str">
        <f t="shared" si="181"/>
        <v/>
      </c>
      <c r="AL223" s="4">
        <v>0.222</v>
      </c>
      <c r="AM223" s="62" t="str">
        <f t="shared" si="179"/>
        <v/>
      </c>
      <c r="AN223" t="str">
        <f t="shared" ca="1" si="180"/>
        <v/>
      </c>
      <c r="AO223" s="4" t="str">
        <f ca="1">IFERROR(VLOOKUP(AG223,$AH$2:$AJ$451,3,FALSE)&amp;IF(ISNUMBER(SEARCH(", Written",AN223))," -R"&amp;VLOOKUP(AN223,Skills!$M$2:$S$620,7,FALSE),IF(ISNUMBER(SEARCH(", Spoken",AN223))," -R"&amp;VLOOKUP(AN223,Skills!$M$2:$S$620,7,FALSE),"")),"")</f>
        <v/>
      </c>
    </row>
    <row r="224" spans="29:41" x14ac:dyDescent="0.25">
      <c r="AC224" s="8" t="str">
        <f>IFERROR(VLOOKUP('Character Creation'!$CI237,Skills!$H$2:$N$620,6,FALSE),"")</f>
        <v/>
      </c>
      <c r="AD224" s="4">
        <f>'Character Creation'!EH237</f>
        <v>0</v>
      </c>
      <c r="AG224">
        <v>223</v>
      </c>
      <c r="AH224" s="4" t="str">
        <f t="shared" si="178"/>
        <v/>
      </c>
      <c r="AI224" t="str">
        <f>IFERROR(VLOOKUP(AG224,Skills!$B$2:$M$620,12,FALSE),"")</f>
        <v/>
      </c>
      <c r="AJ224" s="4" t="str">
        <f>IFERROR(VLOOKUP(AG224,Skills!$B$2:$AF$620,31,FALSE),"")</f>
        <v/>
      </c>
      <c r="AK224" s="4" t="str">
        <f t="shared" si="181"/>
        <v/>
      </c>
      <c r="AL224" s="4">
        <v>0.223</v>
      </c>
      <c r="AM224" s="62" t="str">
        <f t="shared" si="179"/>
        <v/>
      </c>
      <c r="AN224" t="str">
        <f t="shared" ca="1" si="180"/>
        <v/>
      </c>
      <c r="AO224" s="4" t="str">
        <f ca="1">IFERROR(VLOOKUP(AG224,$AH$2:$AJ$451,3,FALSE)&amp;IF(ISNUMBER(SEARCH(", Written",AN224))," -R"&amp;VLOOKUP(AN224,Skills!$M$2:$S$620,7,FALSE),IF(ISNUMBER(SEARCH(", Spoken",AN224))," -R"&amp;VLOOKUP(AN224,Skills!$M$2:$S$620,7,FALSE),"")),"")</f>
        <v/>
      </c>
    </row>
    <row r="225" spans="29:41" x14ac:dyDescent="0.25">
      <c r="AC225" s="8" t="str">
        <f>IFERROR(VLOOKUP('Character Creation'!$CI238,Skills!$H$2:$N$620,6,FALSE),"")</f>
        <v/>
      </c>
      <c r="AD225" s="4">
        <f>'Character Creation'!EH238</f>
        <v>0</v>
      </c>
      <c r="AG225">
        <v>224</v>
      </c>
      <c r="AH225" s="4" t="str">
        <f t="shared" si="178"/>
        <v/>
      </c>
      <c r="AI225" t="str">
        <f>IFERROR(VLOOKUP(AG225,Skills!$B$2:$M$620,12,FALSE),"")</f>
        <v/>
      </c>
      <c r="AJ225" s="4" t="str">
        <f>IFERROR(VLOOKUP(AG225,Skills!$B$2:$AF$620,31,FALSE),"")</f>
        <v/>
      </c>
      <c r="AK225" s="4" t="str">
        <f t="shared" si="181"/>
        <v/>
      </c>
      <c r="AL225" s="4">
        <v>0.224</v>
      </c>
      <c r="AM225" s="62" t="str">
        <f t="shared" si="179"/>
        <v/>
      </c>
      <c r="AN225" t="str">
        <f t="shared" ca="1" si="180"/>
        <v/>
      </c>
      <c r="AO225" s="4" t="str">
        <f ca="1">IFERROR(VLOOKUP(AG225,$AH$2:$AJ$451,3,FALSE)&amp;IF(ISNUMBER(SEARCH(", Written",AN225))," -R"&amp;VLOOKUP(AN225,Skills!$M$2:$S$620,7,FALSE),IF(ISNUMBER(SEARCH(", Spoken",AN225))," -R"&amp;VLOOKUP(AN225,Skills!$M$2:$S$620,7,FALSE),"")),"")</f>
        <v/>
      </c>
    </row>
    <row r="226" spans="29:41" x14ac:dyDescent="0.25">
      <c r="AC226" s="8" t="str">
        <f>IFERROR(VLOOKUP('Character Creation'!$CI239,Skills!$H$2:$N$620,6,FALSE),"")</f>
        <v/>
      </c>
      <c r="AD226" s="4">
        <f>'Character Creation'!EH239</f>
        <v>0</v>
      </c>
      <c r="AG226">
        <v>225</v>
      </c>
      <c r="AH226" s="4" t="str">
        <f t="shared" si="178"/>
        <v/>
      </c>
      <c r="AI226" t="str">
        <f>IFERROR(VLOOKUP(AG226,Skills!$B$2:$M$620,12,FALSE),"")</f>
        <v/>
      </c>
      <c r="AJ226" s="4" t="str">
        <f>IFERROR(VLOOKUP(AG226,Skills!$B$2:$AF$620,31,FALSE),"")</f>
        <v/>
      </c>
      <c r="AK226" s="4" t="str">
        <f t="shared" si="181"/>
        <v/>
      </c>
      <c r="AL226" s="4">
        <v>0.22500000000000001</v>
      </c>
      <c r="AM226" s="62" t="str">
        <f t="shared" si="179"/>
        <v/>
      </c>
      <c r="AN226" t="str">
        <f t="shared" ca="1" si="180"/>
        <v/>
      </c>
      <c r="AO226" s="4" t="str">
        <f ca="1">IFERROR(VLOOKUP(AG226,$AH$2:$AJ$451,3,FALSE)&amp;IF(ISNUMBER(SEARCH(", Written",AN226))," -R"&amp;VLOOKUP(AN226,Skills!$M$2:$S$620,7,FALSE),IF(ISNUMBER(SEARCH(", Spoken",AN226))," -R"&amp;VLOOKUP(AN226,Skills!$M$2:$S$620,7,FALSE),"")),"")</f>
        <v/>
      </c>
    </row>
    <row r="227" spans="29:41" x14ac:dyDescent="0.25">
      <c r="AC227" s="8" t="str">
        <f>IFERROR(VLOOKUP('Character Creation'!$CI240,Skills!$H$2:$N$620,6,FALSE),"")</f>
        <v/>
      </c>
      <c r="AD227" s="4">
        <f>'Character Creation'!EH240</f>
        <v>0</v>
      </c>
      <c r="AG227">
        <v>226</v>
      </c>
      <c r="AH227" s="4" t="str">
        <f t="shared" si="178"/>
        <v/>
      </c>
      <c r="AI227" t="str">
        <f>IFERROR(VLOOKUP(AG227,Skills!$B$2:$M$620,12,FALSE),"")</f>
        <v/>
      </c>
      <c r="AJ227" s="4" t="str">
        <f>IFERROR(VLOOKUP(AG227,Skills!$B$2:$AF$620,31,FALSE),"")</f>
        <v/>
      </c>
      <c r="AK227" s="4" t="str">
        <f t="shared" si="181"/>
        <v/>
      </c>
      <c r="AL227" s="4">
        <v>0.22600000000000001</v>
      </c>
      <c r="AM227" s="62" t="str">
        <f t="shared" si="179"/>
        <v/>
      </c>
      <c r="AN227" t="str">
        <f t="shared" ca="1" si="180"/>
        <v/>
      </c>
      <c r="AO227" s="4" t="str">
        <f ca="1">IFERROR(VLOOKUP(AG227,$AH$2:$AJ$451,3,FALSE)&amp;IF(ISNUMBER(SEARCH(", Written",AN227))," -R"&amp;VLOOKUP(AN227,Skills!$M$2:$S$620,7,FALSE),IF(ISNUMBER(SEARCH(", Spoken",AN227))," -R"&amp;VLOOKUP(AN227,Skills!$M$2:$S$620,7,FALSE),"")),"")</f>
        <v/>
      </c>
    </row>
    <row r="228" spans="29:41" x14ac:dyDescent="0.25">
      <c r="AC228" s="8" t="str">
        <f>IFERROR(VLOOKUP('Character Creation'!$CI241,Skills!$H$2:$N$620,6,FALSE),"")</f>
        <v/>
      </c>
      <c r="AD228" s="4">
        <f>'Character Creation'!EH241</f>
        <v>0</v>
      </c>
      <c r="AG228">
        <v>227</v>
      </c>
      <c r="AH228" s="4" t="str">
        <f t="shared" si="178"/>
        <v/>
      </c>
      <c r="AI228" t="str">
        <f>IFERROR(VLOOKUP(AG228,Skills!$B$2:$M$620,12,FALSE),"")</f>
        <v/>
      </c>
      <c r="AJ228" s="4" t="str">
        <f>IFERROR(VLOOKUP(AG228,Skills!$B$2:$AF$620,31,FALSE),"")</f>
        <v/>
      </c>
      <c r="AK228" s="4" t="str">
        <f t="shared" si="181"/>
        <v/>
      </c>
      <c r="AL228" s="4">
        <v>0.22700000000000001</v>
      </c>
      <c r="AM228" s="62" t="str">
        <f t="shared" si="179"/>
        <v/>
      </c>
      <c r="AN228" t="str">
        <f t="shared" ca="1" si="180"/>
        <v/>
      </c>
      <c r="AO228" s="4" t="str">
        <f ca="1">IFERROR(VLOOKUP(AG228,$AH$2:$AJ$451,3,FALSE)&amp;IF(ISNUMBER(SEARCH(", Written",AN228))," -R"&amp;VLOOKUP(AN228,Skills!$M$2:$S$620,7,FALSE),IF(ISNUMBER(SEARCH(", Spoken",AN228))," -R"&amp;VLOOKUP(AN228,Skills!$M$2:$S$620,7,FALSE),"")),"")</f>
        <v/>
      </c>
    </row>
    <row r="229" spans="29:41" x14ac:dyDescent="0.25">
      <c r="AC229" s="8" t="str">
        <f>IFERROR(VLOOKUP('Character Creation'!$CI242,Skills!$H$2:$N$620,6,FALSE),"")</f>
        <v/>
      </c>
      <c r="AD229" s="4">
        <f>'Character Creation'!EH242</f>
        <v>0</v>
      </c>
      <c r="AG229">
        <v>228</v>
      </c>
      <c r="AH229" s="4" t="str">
        <f t="shared" si="178"/>
        <v/>
      </c>
      <c r="AI229" t="str">
        <f>IFERROR(VLOOKUP(AG229,Skills!$B$2:$M$620,12,FALSE),"")</f>
        <v/>
      </c>
      <c r="AJ229" s="4" t="str">
        <f>IFERROR(VLOOKUP(AG229,Skills!$B$2:$AF$620,31,FALSE),"")</f>
        <v/>
      </c>
      <c r="AK229" s="4" t="str">
        <f t="shared" si="181"/>
        <v/>
      </c>
      <c r="AL229" s="4">
        <v>0.22800000000000001</v>
      </c>
      <c r="AM229" s="62" t="str">
        <f t="shared" si="179"/>
        <v/>
      </c>
      <c r="AN229" t="str">
        <f t="shared" ca="1" si="180"/>
        <v/>
      </c>
      <c r="AO229" s="4" t="str">
        <f ca="1">IFERROR(VLOOKUP(AG229,$AH$2:$AJ$451,3,FALSE)&amp;IF(ISNUMBER(SEARCH(", Written",AN229))," -R"&amp;VLOOKUP(AN229,Skills!$M$2:$S$620,7,FALSE),IF(ISNUMBER(SEARCH(", Spoken",AN229))," -R"&amp;VLOOKUP(AN229,Skills!$M$2:$S$620,7,FALSE),"")),"")</f>
        <v/>
      </c>
    </row>
    <row r="230" spans="29:41" x14ac:dyDescent="0.25">
      <c r="AC230" s="8" t="str">
        <f>IFERROR(VLOOKUP('Character Creation'!$CI243,Skills!$H$2:$N$620,6,FALSE),"")</f>
        <v/>
      </c>
      <c r="AD230" s="4">
        <f>'Character Creation'!EH243</f>
        <v>0</v>
      </c>
      <c r="AG230">
        <v>229</v>
      </c>
      <c r="AH230" s="4" t="str">
        <f t="shared" si="178"/>
        <v/>
      </c>
      <c r="AI230" t="str">
        <f>IFERROR(VLOOKUP(AG230,Skills!$B$2:$M$620,12,FALSE),"")</f>
        <v/>
      </c>
      <c r="AJ230" s="4" t="str">
        <f>IFERROR(VLOOKUP(AG230,Skills!$B$2:$AF$620,31,FALSE),"")</f>
        <v/>
      </c>
      <c r="AK230" s="4" t="str">
        <f t="shared" si="181"/>
        <v/>
      </c>
      <c r="AL230" s="4">
        <v>0.22900000000000001</v>
      </c>
      <c r="AM230" s="62" t="str">
        <f t="shared" si="179"/>
        <v/>
      </c>
      <c r="AN230" t="str">
        <f t="shared" ca="1" si="180"/>
        <v/>
      </c>
      <c r="AO230" s="4" t="str">
        <f ca="1">IFERROR(VLOOKUP(AG230,$AH$2:$AJ$451,3,FALSE)&amp;IF(ISNUMBER(SEARCH(", Written",AN230))," -R"&amp;VLOOKUP(AN230,Skills!$M$2:$S$620,7,FALSE),IF(ISNUMBER(SEARCH(", Spoken",AN230))," -R"&amp;VLOOKUP(AN230,Skills!$M$2:$S$620,7,FALSE),"")),"")</f>
        <v/>
      </c>
    </row>
    <row r="231" spans="29:41" x14ac:dyDescent="0.25">
      <c r="AC231" s="8" t="str">
        <f>IFERROR(VLOOKUP('Character Creation'!$CI244,Skills!$H$2:$N$620,6,FALSE),"")</f>
        <v/>
      </c>
      <c r="AD231" s="4">
        <f>'Character Creation'!EH244</f>
        <v>0</v>
      </c>
      <c r="AG231">
        <v>230</v>
      </c>
      <c r="AH231" s="4" t="str">
        <f t="shared" si="178"/>
        <v/>
      </c>
      <c r="AI231" t="str">
        <f>IFERROR(VLOOKUP(AG231,Skills!$B$2:$M$620,12,FALSE),"")</f>
        <v/>
      </c>
      <c r="AJ231" s="4" t="str">
        <f>IFERROR(VLOOKUP(AG231,Skills!$B$2:$AF$620,31,FALSE),"")</f>
        <v/>
      </c>
      <c r="AK231" s="4" t="str">
        <f t="shared" si="181"/>
        <v/>
      </c>
      <c r="AL231" s="4">
        <v>0.23</v>
      </c>
      <c r="AM231" s="62" t="str">
        <f t="shared" si="179"/>
        <v/>
      </c>
      <c r="AN231" t="str">
        <f t="shared" ca="1" si="180"/>
        <v/>
      </c>
      <c r="AO231" s="4" t="str">
        <f ca="1">IFERROR(VLOOKUP(AG231,$AH$2:$AJ$451,3,FALSE)&amp;IF(ISNUMBER(SEARCH(", Written",AN231))," -R"&amp;VLOOKUP(AN231,Skills!$M$2:$S$620,7,FALSE),IF(ISNUMBER(SEARCH(", Spoken",AN231))," -R"&amp;VLOOKUP(AN231,Skills!$M$2:$S$620,7,FALSE),"")),"")</f>
        <v/>
      </c>
    </row>
    <row r="232" spans="29:41" x14ac:dyDescent="0.25">
      <c r="AC232" s="8" t="str">
        <f>IFERROR(VLOOKUP('Character Creation'!$CI245,Skills!$H$2:$N$620,6,FALSE),"")</f>
        <v/>
      </c>
      <c r="AD232" s="4">
        <f>'Character Creation'!EH245</f>
        <v>0</v>
      </c>
      <c r="AG232">
        <v>231</v>
      </c>
      <c r="AH232" s="4" t="str">
        <f t="shared" si="178"/>
        <v/>
      </c>
      <c r="AI232" t="str">
        <f>IFERROR(VLOOKUP(AG232,Skills!$B$2:$M$620,12,FALSE),"")</f>
        <v/>
      </c>
      <c r="AJ232" s="4" t="str">
        <f>IFERROR(VLOOKUP(AG232,Skills!$B$2:$AF$620,31,FALSE),"")</f>
        <v/>
      </c>
      <c r="AK232" s="4" t="str">
        <f t="shared" si="181"/>
        <v/>
      </c>
      <c r="AL232" s="4">
        <v>0.23100000000000001</v>
      </c>
      <c r="AM232" s="62" t="str">
        <f t="shared" si="179"/>
        <v/>
      </c>
      <c r="AN232" t="str">
        <f t="shared" ca="1" si="180"/>
        <v/>
      </c>
      <c r="AO232" s="4" t="str">
        <f ca="1">IFERROR(VLOOKUP(AG232,$AH$2:$AJ$451,3,FALSE)&amp;IF(ISNUMBER(SEARCH(", Written",AN232))," -R"&amp;VLOOKUP(AN232,Skills!$M$2:$S$620,7,FALSE),IF(ISNUMBER(SEARCH(", Spoken",AN232))," -R"&amp;VLOOKUP(AN232,Skills!$M$2:$S$620,7,FALSE),"")),"")</f>
        <v/>
      </c>
    </row>
    <row r="233" spans="29:41" x14ac:dyDescent="0.25">
      <c r="AC233" s="8" t="str">
        <f>IFERROR(VLOOKUP('Character Creation'!$CI246,Skills!$H$2:$N$620,6,FALSE),"")</f>
        <v/>
      </c>
      <c r="AD233" s="4">
        <f>'Character Creation'!EH246</f>
        <v>0</v>
      </c>
      <c r="AG233">
        <v>232</v>
      </c>
      <c r="AH233" s="4" t="str">
        <f t="shared" si="178"/>
        <v/>
      </c>
      <c r="AI233" t="str">
        <f>IFERROR(VLOOKUP(AG233,Skills!$B$2:$M$620,12,FALSE),"")</f>
        <v/>
      </c>
      <c r="AJ233" s="4" t="str">
        <f>IFERROR(VLOOKUP(AG233,Skills!$B$2:$AF$620,31,FALSE),"")</f>
        <v/>
      </c>
      <c r="AK233" s="4" t="str">
        <f t="shared" si="181"/>
        <v/>
      </c>
      <c r="AL233" s="4">
        <v>0.23200000000000001</v>
      </c>
      <c r="AM233" s="62" t="str">
        <f t="shared" si="179"/>
        <v/>
      </c>
      <c r="AN233" t="str">
        <f t="shared" ca="1" si="180"/>
        <v/>
      </c>
      <c r="AO233" s="4" t="str">
        <f ca="1">IFERROR(VLOOKUP(AG233,$AH$2:$AJ$451,3,FALSE)&amp;IF(ISNUMBER(SEARCH(", Written",AN233))," -R"&amp;VLOOKUP(AN233,Skills!$M$2:$S$620,7,FALSE),IF(ISNUMBER(SEARCH(", Spoken",AN233))," -R"&amp;VLOOKUP(AN233,Skills!$M$2:$S$620,7,FALSE),"")),"")</f>
        <v/>
      </c>
    </row>
    <row r="234" spans="29:41" x14ac:dyDescent="0.25">
      <c r="AC234" s="8" t="str">
        <f>IFERROR(VLOOKUP('Character Creation'!$CI247,Skills!$H$2:$N$620,6,FALSE),"")</f>
        <v/>
      </c>
      <c r="AD234" s="4">
        <f>'Character Creation'!EH247</f>
        <v>0</v>
      </c>
      <c r="AG234">
        <v>233</v>
      </c>
      <c r="AH234" s="4" t="str">
        <f t="shared" si="178"/>
        <v/>
      </c>
      <c r="AI234" t="str">
        <f>IFERROR(VLOOKUP(AG234,Skills!$B$2:$M$620,12,FALSE),"")</f>
        <v/>
      </c>
      <c r="AJ234" s="4" t="str">
        <f>IFERROR(VLOOKUP(AG234,Skills!$B$2:$AF$620,31,FALSE),"")</f>
        <v/>
      </c>
      <c r="AK234" s="4" t="str">
        <f t="shared" si="181"/>
        <v/>
      </c>
      <c r="AL234" s="4">
        <v>0.23300000000000001</v>
      </c>
      <c r="AM234" s="62" t="str">
        <f t="shared" si="179"/>
        <v/>
      </c>
      <c r="AN234" t="str">
        <f t="shared" ca="1" si="180"/>
        <v/>
      </c>
      <c r="AO234" s="4" t="str">
        <f ca="1">IFERROR(VLOOKUP(AG234,$AH$2:$AJ$451,3,FALSE)&amp;IF(ISNUMBER(SEARCH(", Written",AN234))," -R"&amp;VLOOKUP(AN234,Skills!$M$2:$S$620,7,FALSE),IF(ISNUMBER(SEARCH(", Spoken",AN234))," -R"&amp;VLOOKUP(AN234,Skills!$M$2:$S$620,7,FALSE),"")),"")</f>
        <v/>
      </c>
    </row>
    <row r="235" spans="29:41" x14ac:dyDescent="0.25">
      <c r="AC235" s="8" t="str">
        <f>IFERROR(VLOOKUP('Character Creation'!$CI248,Skills!$H$2:$N$620,6,FALSE),"")</f>
        <v/>
      </c>
      <c r="AD235" s="4">
        <f>'Character Creation'!EH248</f>
        <v>0</v>
      </c>
      <c r="AG235">
        <v>234</v>
      </c>
      <c r="AH235" s="4" t="str">
        <f t="shared" si="178"/>
        <v/>
      </c>
      <c r="AI235" t="str">
        <f>IFERROR(VLOOKUP(AG235,Skills!$B$2:$M$620,12,FALSE),"")</f>
        <v/>
      </c>
      <c r="AJ235" s="4" t="str">
        <f>IFERROR(VLOOKUP(AG235,Skills!$B$2:$AF$620,31,FALSE),"")</f>
        <v/>
      </c>
      <c r="AK235" s="4" t="str">
        <f t="shared" si="181"/>
        <v/>
      </c>
      <c r="AL235" s="4">
        <v>0.23400000000000001</v>
      </c>
      <c r="AM235" s="62" t="str">
        <f t="shared" si="179"/>
        <v/>
      </c>
      <c r="AN235" t="str">
        <f t="shared" ca="1" si="180"/>
        <v/>
      </c>
      <c r="AO235" s="4" t="str">
        <f ca="1">IFERROR(VLOOKUP(AG235,$AH$2:$AJ$451,3,FALSE)&amp;IF(ISNUMBER(SEARCH(", Written",AN235))," -R"&amp;VLOOKUP(AN235,Skills!$M$2:$S$620,7,FALSE),IF(ISNUMBER(SEARCH(", Spoken",AN235))," -R"&amp;VLOOKUP(AN235,Skills!$M$2:$S$620,7,FALSE),"")),"")</f>
        <v/>
      </c>
    </row>
    <row r="236" spans="29:41" x14ac:dyDescent="0.25">
      <c r="AC236" s="8" t="str">
        <f>IFERROR(VLOOKUP('Character Creation'!$CI249,Skills!$H$2:$N$620,6,FALSE),"")</f>
        <v/>
      </c>
      <c r="AD236" s="4">
        <f>'Character Creation'!EH249</f>
        <v>0</v>
      </c>
      <c r="AG236">
        <v>235</v>
      </c>
      <c r="AH236" s="4" t="str">
        <f t="shared" si="178"/>
        <v/>
      </c>
      <c r="AI236" t="str">
        <f>IFERROR(VLOOKUP(AG236,Skills!$B$2:$M$620,12,FALSE),"")</f>
        <v/>
      </c>
      <c r="AJ236" s="4" t="str">
        <f>IFERROR(VLOOKUP(AG236,Skills!$B$2:$AF$620,31,FALSE),"")</f>
        <v/>
      </c>
      <c r="AK236" s="4" t="str">
        <f t="shared" si="181"/>
        <v/>
      </c>
      <c r="AL236" s="4">
        <v>0.23499999999999999</v>
      </c>
      <c r="AM236" s="62" t="str">
        <f t="shared" si="179"/>
        <v/>
      </c>
      <c r="AN236" t="str">
        <f t="shared" ca="1" si="180"/>
        <v/>
      </c>
      <c r="AO236" s="4" t="str">
        <f ca="1">IFERROR(VLOOKUP(AG236,$AH$2:$AJ$451,3,FALSE)&amp;IF(ISNUMBER(SEARCH(", Written",AN236))," -R"&amp;VLOOKUP(AN236,Skills!$M$2:$S$620,7,FALSE),IF(ISNUMBER(SEARCH(", Spoken",AN236))," -R"&amp;VLOOKUP(AN236,Skills!$M$2:$S$620,7,FALSE),"")),"")</f>
        <v/>
      </c>
    </row>
    <row r="237" spans="29:41" x14ac:dyDescent="0.25">
      <c r="AC237" s="8" t="str">
        <f>IFERROR(VLOOKUP('Character Creation'!$CI250,Skills!$H$2:$N$620,6,FALSE),"")</f>
        <v/>
      </c>
      <c r="AD237" s="4">
        <f>'Character Creation'!EH250</f>
        <v>0</v>
      </c>
      <c r="AG237">
        <v>236</v>
      </c>
      <c r="AH237" s="4" t="str">
        <f t="shared" si="178"/>
        <v/>
      </c>
      <c r="AI237" t="str">
        <f>IFERROR(VLOOKUP(AG237,Skills!$B$2:$M$620,12,FALSE),"")</f>
        <v/>
      </c>
      <c r="AJ237" s="4" t="str">
        <f>IFERROR(VLOOKUP(AG237,Skills!$B$2:$AF$620,31,FALSE),"")</f>
        <v/>
      </c>
      <c r="AK237" s="4" t="str">
        <f t="shared" si="181"/>
        <v/>
      </c>
      <c r="AL237" s="4">
        <v>0.23599999999999999</v>
      </c>
      <c r="AM237" s="62" t="str">
        <f t="shared" si="179"/>
        <v/>
      </c>
      <c r="AN237" t="str">
        <f t="shared" ca="1" si="180"/>
        <v/>
      </c>
      <c r="AO237" s="4" t="str">
        <f ca="1">IFERROR(VLOOKUP(AG237,$AH$2:$AJ$451,3,FALSE)&amp;IF(ISNUMBER(SEARCH(", Written",AN237))," -R"&amp;VLOOKUP(AN237,Skills!$M$2:$S$620,7,FALSE),IF(ISNUMBER(SEARCH(", Spoken",AN237))," -R"&amp;VLOOKUP(AN237,Skills!$M$2:$S$620,7,FALSE),"")),"")</f>
        <v/>
      </c>
    </row>
    <row r="238" spans="29:41" x14ac:dyDescent="0.25">
      <c r="AC238" s="8" t="str">
        <f>IFERROR(VLOOKUP('Character Creation'!$CI251,Skills!$H$2:$N$620,6,FALSE),"")</f>
        <v/>
      </c>
      <c r="AD238" s="4">
        <f>'Character Creation'!EH251</f>
        <v>0</v>
      </c>
      <c r="AG238">
        <v>237</v>
      </c>
      <c r="AH238" s="4" t="str">
        <f t="shared" si="178"/>
        <v/>
      </c>
      <c r="AI238" t="str">
        <f>IFERROR(VLOOKUP(AG238,Skills!$B$2:$M$620,12,FALSE),"")</f>
        <v/>
      </c>
      <c r="AJ238" s="4" t="str">
        <f>IFERROR(VLOOKUP(AG238,Skills!$B$2:$AF$620,31,FALSE),"")</f>
        <v/>
      </c>
      <c r="AK238" s="4" t="str">
        <f t="shared" si="181"/>
        <v/>
      </c>
      <c r="AL238" s="4">
        <v>0.23699999999999999</v>
      </c>
      <c r="AM238" s="62" t="str">
        <f t="shared" si="179"/>
        <v/>
      </c>
      <c r="AN238" t="str">
        <f t="shared" ca="1" si="180"/>
        <v/>
      </c>
      <c r="AO238" s="4" t="str">
        <f ca="1">IFERROR(VLOOKUP(AG238,$AH$2:$AJ$451,3,FALSE)&amp;IF(ISNUMBER(SEARCH(", Written",AN238))," -R"&amp;VLOOKUP(AN238,Skills!$M$2:$S$620,7,FALSE),IF(ISNUMBER(SEARCH(", Spoken",AN238))," -R"&amp;VLOOKUP(AN238,Skills!$M$2:$S$620,7,FALSE),"")),"")</f>
        <v/>
      </c>
    </row>
    <row r="239" spans="29:41" x14ac:dyDescent="0.25">
      <c r="AC239" s="8" t="str">
        <f>IFERROR(VLOOKUP('Character Creation'!$CI252,Skills!$H$2:$N$620,6,FALSE),"")</f>
        <v/>
      </c>
      <c r="AD239" s="4">
        <f>'Character Creation'!EH252</f>
        <v>0</v>
      </c>
      <c r="AG239">
        <v>238</v>
      </c>
      <c r="AH239" s="4" t="str">
        <f t="shared" si="178"/>
        <v/>
      </c>
      <c r="AI239" t="str">
        <f>IFERROR(VLOOKUP(AG239,Skills!$B$2:$M$620,12,FALSE),"")</f>
        <v/>
      </c>
      <c r="AJ239" s="4" t="str">
        <f>IFERROR(VLOOKUP(AG239,Skills!$B$2:$AF$620,31,FALSE),"")</f>
        <v/>
      </c>
      <c r="AK239" s="4" t="str">
        <f t="shared" si="181"/>
        <v/>
      </c>
      <c r="AL239" s="4">
        <v>0.23799999999999999</v>
      </c>
      <c r="AM239" s="62" t="str">
        <f t="shared" si="179"/>
        <v/>
      </c>
      <c r="AN239" t="str">
        <f t="shared" ca="1" si="180"/>
        <v/>
      </c>
      <c r="AO239" s="4" t="str">
        <f ca="1">IFERROR(VLOOKUP(AG239,$AH$2:$AJ$451,3,FALSE)&amp;IF(ISNUMBER(SEARCH(", Written",AN239))," -R"&amp;VLOOKUP(AN239,Skills!$M$2:$S$620,7,FALSE),IF(ISNUMBER(SEARCH(", Spoken",AN239))," -R"&amp;VLOOKUP(AN239,Skills!$M$2:$S$620,7,FALSE),"")),"")</f>
        <v/>
      </c>
    </row>
    <row r="240" spans="29:41" x14ac:dyDescent="0.25">
      <c r="AC240" s="8" t="str">
        <f>IFERROR(VLOOKUP('Character Creation'!$CI253,Skills!$H$2:$N$620,6,FALSE),"")</f>
        <v/>
      </c>
      <c r="AD240" s="4">
        <f>'Character Creation'!EH253</f>
        <v>0</v>
      </c>
      <c r="AG240">
        <v>239</v>
      </c>
      <c r="AH240" s="4" t="str">
        <f t="shared" si="178"/>
        <v/>
      </c>
      <c r="AI240" t="str">
        <f>IFERROR(VLOOKUP(AG240,Skills!$B$2:$M$620,12,FALSE),"")</f>
        <v/>
      </c>
      <c r="AJ240" s="4" t="str">
        <f>IFERROR(VLOOKUP(AG240,Skills!$B$2:$AF$620,31,FALSE),"")</f>
        <v/>
      </c>
      <c r="AK240" s="4" t="str">
        <f t="shared" si="181"/>
        <v/>
      </c>
      <c r="AL240" s="4">
        <v>0.23899999999999999</v>
      </c>
      <c r="AM240" s="62" t="str">
        <f t="shared" si="179"/>
        <v/>
      </c>
      <c r="AN240" t="str">
        <f t="shared" ca="1" si="180"/>
        <v/>
      </c>
      <c r="AO240" s="4" t="str">
        <f ca="1">IFERROR(VLOOKUP(AG240,$AH$2:$AJ$451,3,FALSE)&amp;IF(ISNUMBER(SEARCH(", Written",AN240))," -R"&amp;VLOOKUP(AN240,Skills!$M$2:$S$620,7,FALSE),IF(ISNUMBER(SEARCH(", Spoken",AN240))," -R"&amp;VLOOKUP(AN240,Skills!$M$2:$S$620,7,FALSE),"")),"")</f>
        <v/>
      </c>
    </row>
    <row r="241" spans="29:41" x14ac:dyDescent="0.25">
      <c r="AC241" s="8" t="str">
        <f>IFERROR(VLOOKUP('Character Creation'!$CI254,Skills!$H$2:$N$620,6,FALSE),"")</f>
        <v/>
      </c>
      <c r="AD241" s="4">
        <f>'Character Creation'!EH254</f>
        <v>0</v>
      </c>
      <c r="AG241">
        <v>240</v>
      </c>
      <c r="AH241" s="4" t="str">
        <f t="shared" si="178"/>
        <v/>
      </c>
      <c r="AI241" t="str">
        <f>IFERROR(VLOOKUP(AG241,Skills!$B$2:$M$620,12,FALSE),"")</f>
        <v/>
      </c>
      <c r="AJ241" s="4" t="str">
        <f>IFERROR(VLOOKUP(AG241,Skills!$B$2:$AF$620,31,FALSE),"")</f>
        <v/>
      </c>
      <c r="AK241" s="4" t="str">
        <f t="shared" si="181"/>
        <v/>
      </c>
      <c r="AL241" s="4">
        <v>0.24</v>
      </c>
      <c r="AM241" s="62" t="str">
        <f t="shared" si="179"/>
        <v/>
      </c>
      <c r="AN241" t="str">
        <f t="shared" ca="1" si="180"/>
        <v/>
      </c>
      <c r="AO241" s="4" t="str">
        <f ca="1">IFERROR(VLOOKUP(AG241,$AH$2:$AJ$451,3,FALSE)&amp;IF(ISNUMBER(SEARCH(", Written",AN241))," -R"&amp;VLOOKUP(AN241,Skills!$M$2:$S$620,7,FALSE),IF(ISNUMBER(SEARCH(", Spoken",AN241))," -R"&amp;VLOOKUP(AN241,Skills!$M$2:$S$620,7,FALSE),"")),"")</f>
        <v/>
      </c>
    </row>
    <row r="242" spans="29:41" x14ac:dyDescent="0.25">
      <c r="AC242" s="8" t="str">
        <f>IFERROR(VLOOKUP('Character Creation'!$CI255,Skills!$H$2:$N$620,6,FALSE),"")</f>
        <v/>
      </c>
      <c r="AD242" s="4">
        <f>'Character Creation'!EH255</f>
        <v>0</v>
      </c>
      <c r="AG242">
        <v>241</v>
      </c>
      <c r="AH242" s="4" t="str">
        <f t="shared" si="178"/>
        <v/>
      </c>
      <c r="AI242" t="str">
        <f>IFERROR(VLOOKUP(AG242,Skills!$B$2:$M$620,12,FALSE),"")</f>
        <v/>
      </c>
      <c r="AJ242" s="4" t="str">
        <f>IFERROR(VLOOKUP(AG242,Skills!$B$2:$AF$620,31,FALSE),"")</f>
        <v/>
      </c>
      <c r="AK242" s="4" t="str">
        <f t="shared" si="181"/>
        <v/>
      </c>
      <c r="AL242" s="4">
        <v>0.24099999999999999</v>
      </c>
      <c r="AM242" s="62" t="str">
        <f t="shared" si="179"/>
        <v/>
      </c>
      <c r="AN242" t="str">
        <f t="shared" ca="1" si="180"/>
        <v/>
      </c>
      <c r="AO242" s="4" t="str">
        <f ca="1">IFERROR(VLOOKUP(AG242,$AH$2:$AJ$451,3,FALSE)&amp;IF(ISNUMBER(SEARCH(", Written",AN242))," -R"&amp;VLOOKUP(AN242,Skills!$M$2:$S$620,7,FALSE),IF(ISNUMBER(SEARCH(", Spoken",AN242))," -R"&amp;VLOOKUP(AN242,Skills!$M$2:$S$620,7,FALSE),"")),"")</f>
        <v/>
      </c>
    </row>
    <row r="243" spans="29:41" x14ac:dyDescent="0.25">
      <c r="AC243" s="8" t="str">
        <f>IFERROR(VLOOKUP('Character Creation'!$CI256,Skills!$H$2:$N$620,6,FALSE),"")</f>
        <v/>
      </c>
      <c r="AD243" s="4">
        <f>'Character Creation'!EH256</f>
        <v>0</v>
      </c>
      <c r="AG243">
        <v>242</v>
      </c>
      <c r="AH243" s="4" t="str">
        <f t="shared" si="178"/>
        <v/>
      </c>
      <c r="AI243" t="str">
        <f>IFERROR(VLOOKUP(AG243,Skills!$B$2:$M$620,12,FALSE),"")</f>
        <v/>
      </c>
      <c r="AJ243" s="4" t="str">
        <f>IFERROR(VLOOKUP(AG243,Skills!$B$2:$AF$620,31,FALSE),"")</f>
        <v/>
      </c>
      <c r="AK243" s="4" t="str">
        <f t="shared" si="181"/>
        <v/>
      </c>
      <c r="AL243" s="4">
        <v>0.24199999999999999</v>
      </c>
      <c r="AM243" s="62" t="str">
        <f t="shared" si="179"/>
        <v/>
      </c>
      <c r="AN243" t="str">
        <f t="shared" ca="1" si="180"/>
        <v/>
      </c>
      <c r="AO243" s="4" t="str">
        <f ca="1">IFERROR(VLOOKUP(AG243,$AH$2:$AJ$451,3,FALSE)&amp;IF(ISNUMBER(SEARCH(", Written",AN243))," -R"&amp;VLOOKUP(AN243,Skills!$M$2:$S$620,7,FALSE),IF(ISNUMBER(SEARCH(", Spoken",AN243))," -R"&amp;VLOOKUP(AN243,Skills!$M$2:$S$620,7,FALSE),"")),"")</f>
        <v/>
      </c>
    </row>
    <row r="244" spans="29:41" x14ac:dyDescent="0.25">
      <c r="AC244" s="8" t="str">
        <f>IFERROR(VLOOKUP('Character Creation'!$CI257,Skills!$H$2:$N$620,6,FALSE),"")</f>
        <v/>
      </c>
      <c r="AD244" s="4">
        <f>'Character Creation'!EH257</f>
        <v>0</v>
      </c>
      <c r="AG244">
        <v>243</v>
      </c>
      <c r="AH244" s="4" t="str">
        <f t="shared" si="178"/>
        <v/>
      </c>
      <c r="AI244" t="str">
        <f>IFERROR(VLOOKUP(AG244,Skills!$B$2:$M$620,12,FALSE),"")</f>
        <v/>
      </c>
      <c r="AJ244" s="4" t="str">
        <f>IFERROR(VLOOKUP(AG244,Skills!$B$2:$AF$620,31,FALSE),"")</f>
        <v/>
      </c>
      <c r="AK244" s="4" t="str">
        <f t="shared" si="181"/>
        <v/>
      </c>
      <c r="AL244" s="4">
        <v>0.24299999999999999</v>
      </c>
      <c r="AM244" s="62" t="str">
        <f t="shared" si="179"/>
        <v/>
      </c>
      <c r="AN244" t="str">
        <f t="shared" ca="1" si="180"/>
        <v/>
      </c>
      <c r="AO244" s="4" t="str">
        <f ca="1">IFERROR(VLOOKUP(AG244,$AH$2:$AJ$451,3,FALSE)&amp;IF(ISNUMBER(SEARCH(", Written",AN244))," -R"&amp;VLOOKUP(AN244,Skills!$M$2:$S$620,7,FALSE),IF(ISNUMBER(SEARCH(", Spoken",AN244))," -R"&amp;VLOOKUP(AN244,Skills!$M$2:$S$620,7,FALSE),"")),"")</f>
        <v/>
      </c>
    </row>
    <row r="245" spans="29:41" x14ac:dyDescent="0.25">
      <c r="AC245" s="8" t="str">
        <f>IFERROR(VLOOKUP('Character Creation'!$CI258,Skills!$H$2:$N$620,6,FALSE),"")</f>
        <v/>
      </c>
      <c r="AD245" s="4">
        <f>'Character Creation'!EH258</f>
        <v>0</v>
      </c>
      <c r="AG245">
        <v>244</v>
      </c>
      <c r="AH245" s="4" t="str">
        <f t="shared" si="178"/>
        <v/>
      </c>
      <c r="AI245" t="str">
        <f>IFERROR(VLOOKUP(AG245,Skills!$B$2:$M$620,12,FALSE),"")</f>
        <v/>
      </c>
      <c r="AJ245" s="4" t="str">
        <f>IFERROR(VLOOKUP(AG245,Skills!$B$2:$AF$620,31,FALSE),"")</f>
        <v/>
      </c>
      <c r="AK245" s="4" t="str">
        <f t="shared" si="181"/>
        <v/>
      </c>
      <c r="AL245" s="4">
        <v>0.24399999999999999</v>
      </c>
      <c r="AM245" s="62" t="str">
        <f t="shared" si="179"/>
        <v/>
      </c>
      <c r="AN245" t="str">
        <f t="shared" ca="1" si="180"/>
        <v/>
      </c>
      <c r="AO245" s="4" t="str">
        <f ca="1">IFERROR(VLOOKUP(AG245,$AH$2:$AJ$451,3,FALSE)&amp;IF(ISNUMBER(SEARCH(", Written",AN245))," -R"&amp;VLOOKUP(AN245,Skills!$M$2:$S$620,7,FALSE),IF(ISNUMBER(SEARCH(", Spoken",AN245))," -R"&amp;VLOOKUP(AN245,Skills!$M$2:$S$620,7,FALSE),"")),"")</f>
        <v/>
      </c>
    </row>
    <row r="246" spans="29:41" x14ac:dyDescent="0.25">
      <c r="AC246" s="8" t="str">
        <f>IFERROR(VLOOKUP('Character Creation'!$CI259,Skills!$H$2:$N$620,6,FALSE),"")</f>
        <v/>
      </c>
      <c r="AD246" s="4">
        <f>'Character Creation'!EH259</f>
        <v>0</v>
      </c>
      <c r="AG246">
        <v>245</v>
      </c>
      <c r="AH246" s="4" t="str">
        <f t="shared" si="178"/>
        <v/>
      </c>
      <c r="AI246" t="str">
        <f>IFERROR(VLOOKUP(AG246,Skills!$B$2:$M$620,12,FALSE),"")</f>
        <v/>
      </c>
      <c r="AJ246" s="4" t="str">
        <f>IFERROR(VLOOKUP(AG246,Skills!$B$2:$AF$620,31,FALSE),"")</f>
        <v/>
      </c>
      <c r="AK246" s="4" t="str">
        <f t="shared" si="181"/>
        <v/>
      </c>
      <c r="AL246" s="4">
        <v>0.245</v>
      </c>
      <c r="AM246" s="62" t="str">
        <f t="shared" si="179"/>
        <v/>
      </c>
      <c r="AN246" t="str">
        <f t="shared" ca="1" si="180"/>
        <v/>
      </c>
      <c r="AO246" s="4" t="str">
        <f ca="1">IFERROR(VLOOKUP(AG246,$AH$2:$AJ$451,3,FALSE)&amp;IF(ISNUMBER(SEARCH(", Written",AN246))," -R"&amp;VLOOKUP(AN246,Skills!$M$2:$S$620,7,FALSE),IF(ISNUMBER(SEARCH(", Spoken",AN246))," -R"&amp;VLOOKUP(AN246,Skills!$M$2:$S$620,7,FALSE),"")),"")</f>
        <v/>
      </c>
    </row>
    <row r="247" spans="29:41" x14ac:dyDescent="0.25">
      <c r="AC247" s="8" t="str">
        <f>IFERROR(VLOOKUP('Character Creation'!$CI260,Skills!$H$2:$N$620,6,FALSE),"")</f>
        <v/>
      </c>
      <c r="AD247" s="4">
        <f>'Character Creation'!EH260</f>
        <v>0</v>
      </c>
      <c r="AG247">
        <v>246</v>
      </c>
      <c r="AH247" s="4" t="str">
        <f t="shared" si="178"/>
        <v/>
      </c>
      <c r="AI247" t="str">
        <f>IFERROR(VLOOKUP(AG247,Skills!$B$2:$M$620,12,FALSE),"")</f>
        <v/>
      </c>
      <c r="AJ247" s="4" t="str">
        <f>IFERROR(VLOOKUP(AG247,Skills!$B$2:$AF$620,31,FALSE),"")</f>
        <v/>
      </c>
      <c r="AK247" s="4" t="str">
        <f t="shared" si="181"/>
        <v/>
      </c>
      <c r="AL247" s="4">
        <v>0.246</v>
      </c>
      <c r="AM247" s="62" t="str">
        <f t="shared" si="179"/>
        <v/>
      </c>
      <c r="AN247" t="str">
        <f t="shared" ca="1" si="180"/>
        <v/>
      </c>
      <c r="AO247" s="4" t="str">
        <f ca="1">IFERROR(VLOOKUP(AG247,$AH$2:$AJ$451,3,FALSE)&amp;IF(ISNUMBER(SEARCH(", Written",AN247))," -R"&amp;VLOOKUP(AN247,Skills!$M$2:$S$620,7,FALSE),IF(ISNUMBER(SEARCH(", Spoken",AN247))," -R"&amp;VLOOKUP(AN247,Skills!$M$2:$S$620,7,FALSE),"")),"")</f>
        <v/>
      </c>
    </row>
    <row r="248" spans="29:41" x14ac:dyDescent="0.25">
      <c r="AC248" s="8" t="str">
        <f>IFERROR(VLOOKUP('Character Creation'!$CI261,Skills!$H$2:$N$620,6,FALSE),"")</f>
        <v/>
      </c>
      <c r="AD248" s="4">
        <f>'Character Creation'!EH261</f>
        <v>0</v>
      </c>
      <c r="AG248">
        <v>247</v>
      </c>
      <c r="AH248" s="4" t="str">
        <f t="shared" si="178"/>
        <v/>
      </c>
      <c r="AI248" t="str">
        <f>IFERROR(VLOOKUP(AG248,Skills!$B$2:$M$620,12,FALSE),"")</f>
        <v/>
      </c>
      <c r="AJ248" s="4" t="str">
        <f>IFERROR(VLOOKUP(AG248,Skills!$B$2:$AF$620,31,FALSE),"")</f>
        <v/>
      </c>
      <c r="AK248" s="4" t="str">
        <f t="shared" si="181"/>
        <v/>
      </c>
      <c r="AL248" s="4">
        <v>0.247</v>
      </c>
      <c r="AM248" s="62" t="str">
        <f t="shared" si="179"/>
        <v/>
      </c>
      <c r="AN248" t="str">
        <f t="shared" ca="1" si="180"/>
        <v/>
      </c>
      <c r="AO248" s="4" t="str">
        <f ca="1">IFERROR(VLOOKUP(AG248,$AH$2:$AJ$451,3,FALSE)&amp;IF(ISNUMBER(SEARCH(", Written",AN248))," -R"&amp;VLOOKUP(AN248,Skills!$M$2:$S$620,7,FALSE),IF(ISNUMBER(SEARCH(", Spoken",AN248))," -R"&amp;VLOOKUP(AN248,Skills!$M$2:$S$620,7,FALSE),"")),"")</f>
        <v/>
      </c>
    </row>
    <row r="249" spans="29:41" x14ac:dyDescent="0.25">
      <c r="AC249" s="8" t="str">
        <f>IFERROR(VLOOKUP('Character Creation'!$CI262,Skills!$H$2:$N$620,6,FALSE),"")</f>
        <v/>
      </c>
      <c r="AD249" s="4">
        <f>'Character Creation'!EH262</f>
        <v>0</v>
      </c>
      <c r="AG249">
        <v>248</v>
      </c>
      <c r="AH249" s="4" t="str">
        <f t="shared" si="178"/>
        <v/>
      </c>
      <c r="AI249" t="str">
        <f>IFERROR(VLOOKUP(AG249,Skills!$B$2:$M$620,12,FALSE),"")</f>
        <v/>
      </c>
      <c r="AJ249" s="4" t="str">
        <f>IFERROR(VLOOKUP(AG249,Skills!$B$2:$AF$620,31,FALSE),"")</f>
        <v/>
      </c>
      <c r="AK249" s="4" t="str">
        <f t="shared" si="181"/>
        <v/>
      </c>
      <c r="AL249" s="4">
        <v>0.248</v>
      </c>
      <c r="AM249" s="62" t="str">
        <f t="shared" si="179"/>
        <v/>
      </c>
      <c r="AN249" t="str">
        <f t="shared" ca="1" si="180"/>
        <v/>
      </c>
      <c r="AO249" s="4" t="str">
        <f ca="1">IFERROR(VLOOKUP(AG249,$AH$2:$AJ$451,3,FALSE)&amp;IF(ISNUMBER(SEARCH(", Written",AN249))," -R"&amp;VLOOKUP(AN249,Skills!$M$2:$S$620,7,FALSE),IF(ISNUMBER(SEARCH(", Spoken",AN249))," -R"&amp;VLOOKUP(AN249,Skills!$M$2:$S$620,7,FALSE),"")),"")</f>
        <v/>
      </c>
    </row>
    <row r="250" spans="29:41" x14ac:dyDescent="0.25">
      <c r="AC250" s="8" t="str">
        <f>IFERROR(VLOOKUP('Character Creation'!$CI263,Skills!$H$2:$N$620,6,FALSE),"")</f>
        <v/>
      </c>
      <c r="AD250" s="4">
        <f>'Character Creation'!EH263</f>
        <v>0</v>
      </c>
      <c r="AG250">
        <v>249</v>
      </c>
      <c r="AH250" s="4" t="str">
        <f t="shared" si="178"/>
        <v/>
      </c>
      <c r="AI250" t="str">
        <f>IFERROR(VLOOKUP(AG250,Skills!$B$2:$M$620,12,FALSE),"")</f>
        <v/>
      </c>
      <c r="AJ250" s="4" t="str">
        <f>IFERROR(VLOOKUP(AG250,Skills!$B$2:$AF$620,31,FALSE),"")</f>
        <v/>
      </c>
      <c r="AK250" s="4" t="str">
        <f t="shared" si="181"/>
        <v/>
      </c>
      <c r="AL250" s="4">
        <v>0.249</v>
      </c>
      <c r="AM250" s="62" t="str">
        <f t="shared" si="179"/>
        <v/>
      </c>
      <c r="AN250" t="str">
        <f t="shared" ca="1" si="180"/>
        <v/>
      </c>
      <c r="AO250" s="4" t="str">
        <f ca="1">IFERROR(VLOOKUP(AG250,$AH$2:$AJ$451,3,FALSE)&amp;IF(ISNUMBER(SEARCH(", Written",AN250))," -R"&amp;VLOOKUP(AN250,Skills!$M$2:$S$620,7,FALSE),IF(ISNUMBER(SEARCH(", Spoken",AN250))," -R"&amp;VLOOKUP(AN250,Skills!$M$2:$S$620,7,FALSE),"")),"")</f>
        <v/>
      </c>
    </row>
    <row r="251" spans="29:41" x14ac:dyDescent="0.25">
      <c r="AC251" s="8" t="str">
        <f>IFERROR(VLOOKUP('Character Creation'!$CI264,Skills!$H$2:$N$620,6,FALSE),"")</f>
        <v/>
      </c>
      <c r="AD251" s="4">
        <f>'Character Creation'!EH264</f>
        <v>0</v>
      </c>
      <c r="AG251">
        <v>250</v>
      </c>
      <c r="AH251" s="4" t="str">
        <f t="shared" si="178"/>
        <v/>
      </c>
      <c r="AI251" t="str">
        <f>IFERROR(VLOOKUP(AG251,Skills!$B$2:$M$620,12,FALSE),"")</f>
        <v/>
      </c>
      <c r="AJ251" s="4" t="str">
        <f>IFERROR(VLOOKUP(AG251,Skills!$B$2:$AF$620,31,FALSE),"")</f>
        <v/>
      </c>
      <c r="AK251" s="4" t="str">
        <f t="shared" si="181"/>
        <v/>
      </c>
      <c r="AL251" s="4">
        <v>0.25</v>
      </c>
      <c r="AM251" s="62" t="str">
        <f t="shared" si="179"/>
        <v/>
      </c>
      <c r="AN251" t="str">
        <f t="shared" ca="1" si="180"/>
        <v/>
      </c>
      <c r="AO251" s="4" t="str">
        <f ca="1">IFERROR(VLOOKUP(AG251,$AH$2:$AJ$451,3,FALSE)&amp;IF(ISNUMBER(SEARCH(", Written",AN251))," -R"&amp;VLOOKUP(AN251,Skills!$M$2:$S$620,7,FALSE),IF(ISNUMBER(SEARCH(", Spoken",AN251))," -R"&amp;VLOOKUP(AN251,Skills!$M$2:$S$620,7,FALSE),"")),"")</f>
        <v/>
      </c>
    </row>
    <row r="252" spans="29:41" x14ac:dyDescent="0.25">
      <c r="AG252">
        <v>251</v>
      </c>
      <c r="AH252" s="4" t="str">
        <f t="shared" si="178"/>
        <v/>
      </c>
      <c r="AI252" t="str">
        <f>IFERROR(VLOOKUP(AG252,Skills!$B$2:$M$620,12,FALSE),"")</f>
        <v/>
      </c>
      <c r="AJ252" s="4" t="str">
        <f>IFERROR(VLOOKUP(AG252,Skills!$B$2:$AF$620,31,FALSE),"")</f>
        <v/>
      </c>
      <c r="AK252" s="4" t="str">
        <f t="shared" si="181"/>
        <v/>
      </c>
      <c r="AL252" s="4">
        <v>0.251</v>
      </c>
      <c r="AM252" s="62" t="str">
        <f t="shared" si="179"/>
        <v/>
      </c>
      <c r="AN252" t="str">
        <f t="shared" ca="1" si="180"/>
        <v/>
      </c>
      <c r="AO252" s="4" t="str">
        <f ca="1">IFERROR(VLOOKUP(AG252,$AH$2:$AJ$451,3,FALSE)&amp;IF(ISNUMBER(SEARCH(", Written",AN252))," -R"&amp;VLOOKUP(AN252,Skills!$M$2:$S$620,7,FALSE),IF(ISNUMBER(SEARCH(", Spoken",AN252))," -R"&amp;VLOOKUP(AN252,Skills!$M$2:$S$620,7,FALSE),"")),"")</f>
        <v/>
      </c>
    </row>
    <row r="253" spans="29:41" x14ac:dyDescent="0.25">
      <c r="AG253">
        <v>252</v>
      </c>
      <c r="AH253" s="4" t="str">
        <f t="shared" si="178"/>
        <v/>
      </c>
      <c r="AI253" t="str">
        <f>IFERROR(VLOOKUP(AG253,Skills!$B$2:$M$620,12,FALSE),"")</f>
        <v/>
      </c>
      <c r="AJ253" s="4" t="str">
        <f>IFERROR(VLOOKUP(AG253,Skills!$B$2:$AF$620,31,FALSE),"")</f>
        <v/>
      </c>
      <c r="AK253" s="4" t="str">
        <f t="shared" si="181"/>
        <v/>
      </c>
      <c r="AL253" s="4">
        <v>0.252</v>
      </c>
      <c r="AM253" s="62" t="str">
        <f t="shared" si="179"/>
        <v/>
      </c>
      <c r="AN253" t="str">
        <f t="shared" ca="1" si="180"/>
        <v/>
      </c>
      <c r="AO253" s="4" t="str">
        <f ca="1">IFERROR(VLOOKUP(AG253,$AH$2:$AJ$451,3,FALSE)&amp;IF(ISNUMBER(SEARCH(", Written",AN253))," -R"&amp;VLOOKUP(AN253,Skills!$M$2:$S$620,7,FALSE),IF(ISNUMBER(SEARCH(", Spoken",AN253))," -R"&amp;VLOOKUP(AN253,Skills!$M$2:$S$620,7,FALSE),"")),"")</f>
        <v/>
      </c>
    </row>
    <row r="254" spans="29:41" x14ac:dyDescent="0.25">
      <c r="AG254">
        <v>253</v>
      </c>
      <c r="AH254" s="4" t="str">
        <f t="shared" si="178"/>
        <v/>
      </c>
      <c r="AI254" t="str">
        <f>IFERROR(VLOOKUP(AG254,Skills!$B$2:$M$620,12,FALSE),"")</f>
        <v/>
      </c>
      <c r="AJ254" s="4" t="str">
        <f>IFERROR(VLOOKUP(AG254,Skills!$B$2:$AF$620,31,FALSE),"")</f>
        <v/>
      </c>
      <c r="AK254" s="4" t="str">
        <f t="shared" si="181"/>
        <v/>
      </c>
      <c r="AL254" s="4">
        <v>0.253</v>
      </c>
      <c r="AM254" s="62" t="str">
        <f t="shared" si="179"/>
        <v/>
      </c>
      <c r="AN254" t="str">
        <f t="shared" ca="1" si="180"/>
        <v/>
      </c>
      <c r="AO254" s="4" t="str">
        <f ca="1">IFERROR(VLOOKUP(AG254,$AH$2:$AJ$451,3,FALSE)&amp;IF(ISNUMBER(SEARCH(", Written",AN254))," -R"&amp;VLOOKUP(AN254,Skills!$M$2:$S$620,7,FALSE),IF(ISNUMBER(SEARCH(", Spoken",AN254))," -R"&amp;VLOOKUP(AN254,Skills!$M$2:$S$620,7,FALSE),"")),"")</f>
        <v/>
      </c>
    </row>
    <row r="255" spans="29:41" x14ac:dyDescent="0.25">
      <c r="AG255">
        <v>254</v>
      </c>
      <c r="AH255" s="4" t="str">
        <f t="shared" si="178"/>
        <v/>
      </c>
      <c r="AI255" t="str">
        <f>IFERROR(VLOOKUP(AG255,Skills!$B$2:$M$620,12,FALSE),"")</f>
        <v/>
      </c>
      <c r="AJ255" s="4" t="str">
        <f>IFERROR(VLOOKUP(AG255,Skills!$B$2:$AF$620,31,FALSE),"")</f>
        <v/>
      </c>
      <c r="AK255" s="4" t="str">
        <f t="shared" si="181"/>
        <v/>
      </c>
      <c r="AL255" s="4">
        <v>0.254</v>
      </c>
      <c r="AM255" s="62" t="str">
        <f t="shared" si="179"/>
        <v/>
      </c>
      <c r="AN255" t="str">
        <f t="shared" ca="1" si="180"/>
        <v/>
      </c>
      <c r="AO255" s="4" t="str">
        <f ca="1">IFERROR(VLOOKUP(AG255,$AH$2:$AJ$451,3,FALSE)&amp;IF(ISNUMBER(SEARCH(", Written",AN255))," -R"&amp;VLOOKUP(AN255,Skills!$M$2:$S$620,7,FALSE),IF(ISNUMBER(SEARCH(", Spoken",AN255))," -R"&amp;VLOOKUP(AN255,Skills!$M$2:$S$620,7,FALSE),"")),"")</f>
        <v/>
      </c>
    </row>
    <row r="256" spans="29:41" x14ac:dyDescent="0.25">
      <c r="AG256">
        <v>255</v>
      </c>
      <c r="AH256" s="4" t="str">
        <f t="shared" si="178"/>
        <v/>
      </c>
      <c r="AI256" t="str">
        <f>IFERROR(VLOOKUP(AG256,Skills!$B$2:$M$620,12,FALSE),"")</f>
        <v/>
      </c>
      <c r="AJ256" s="4" t="str">
        <f>IFERROR(VLOOKUP(AG256,Skills!$B$2:$AF$620,31,FALSE),"")</f>
        <v/>
      </c>
      <c r="AK256" s="4" t="str">
        <f t="shared" si="181"/>
        <v/>
      </c>
      <c r="AL256" s="4">
        <v>0.255</v>
      </c>
      <c r="AM256" s="62" t="str">
        <f t="shared" si="179"/>
        <v/>
      </c>
      <c r="AN256" t="str">
        <f t="shared" ca="1" si="180"/>
        <v/>
      </c>
      <c r="AO256" s="4" t="str">
        <f ca="1">IFERROR(VLOOKUP(AG256,$AH$2:$AJ$451,3,FALSE)&amp;IF(ISNUMBER(SEARCH(", Written",AN256))," -R"&amp;VLOOKUP(AN256,Skills!$M$2:$S$620,7,FALSE),IF(ISNUMBER(SEARCH(", Spoken",AN256))," -R"&amp;VLOOKUP(AN256,Skills!$M$2:$S$620,7,FALSE),"")),"")</f>
        <v/>
      </c>
    </row>
    <row r="257" spans="33:41" x14ac:dyDescent="0.25">
      <c r="AG257">
        <v>256</v>
      </c>
      <c r="AH257" s="4" t="str">
        <f t="shared" si="178"/>
        <v/>
      </c>
      <c r="AI257" t="str">
        <f>IFERROR(VLOOKUP(AG257,Skills!$B$2:$M$620,12,FALSE),"")</f>
        <v/>
      </c>
      <c r="AJ257" s="4" t="str">
        <f>IFERROR(VLOOKUP(AG257,Skills!$B$2:$AF$620,31,FALSE),"")</f>
        <v/>
      </c>
      <c r="AK257" s="4" t="str">
        <f t="shared" si="181"/>
        <v/>
      </c>
      <c r="AL257" s="4">
        <v>0.25600000000000001</v>
      </c>
      <c r="AM257" s="62" t="str">
        <f t="shared" si="179"/>
        <v/>
      </c>
      <c r="AN257" t="str">
        <f t="shared" ca="1" si="180"/>
        <v/>
      </c>
      <c r="AO257" s="4" t="str">
        <f ca="1">IFERROR(VLOOKUP(AG257,$AH$2:$AJ$451,3,FALSE)&amp;IF(ISNUMBER(SEARCH(", Written",AN257))," -R"&amp;VLOOKUP(AN257,Skills!$M$2:$S$620,7,FALSE),IF(ISNUMBER(SEARCH(", Spoken",AN257))," -R"&amp;VLOOKUP(AN257,Skills!$M$2:$S$620,7,FALSE),"")),"")</f>
        <v/>
      </c>
    </row>
    <row r="258" spans="33:41" x14ac:dyDescent="0.25">
      <c r="AG258">
        <v>257</v>
      </c>
      <c r="AH258" s="4" t="str">
        <f t="shared" si="178"/>
        <v/>
      </c>
      <c r="AI258" t="str">
        <f>IFERROR(VLOOKUP(AG258,Skills!$B$2:$M$620,12,FALSE),"")</f>
        <v/>
      </c>
      <c r="AJ258" s="4" t="str">
        <f>IFERROR(VLOOKUP(AG258,Skills!$B$2:$AF$620,31,FALSE),"")</f>
        <v/>
      </c>
      <c r="AK258" s="4" t="str">
        <f t="shared" si="181"/>
        <v/>
      </c>
      <c r="AL258" s="4">
        <v>0.25700000000000001</v>
      </c>
      <c r="AM258" s="62" t="str">
        <f t="shared" si="179"/>
        <v/>
      </c>
      <c r="AN258" t="str">
        <f t="shared" ca="1" si="180"/>
        <v/>
      </c>
      <c r="AO258" s="4" t="str">
        <f ca="1">IFERROR(VLOOKUP(AG258,$AH$2:$AJ$451,3,FALSE)&amp;IF(ISNUMBER(SEARCH(", Written",AN258))," -R"&amp;VLOOKUP(AN258,Skills!$M$2:$S$620,7,FALSE),IF(ISNUMBER(SEARCH(", Spoken",AN258))," -R"&amp;VLOOKUP(AN258,Skills!$M$2:$S$620,7,FALSE),"")),"")</f>
        <v/>
      </c>
    </row>
    <row r="259" spans="33:41" x14ac:dyDescent="0.25">
      <c r="AG259">
        <v>258</v>
      </c>
      <c r="AH259" s="4" t="str">
        <f t="shared" ref="AH259:AH322" si="182">IFERROR(_xlfn.RANK.EQ(AM259,$AM$2:$AM$451),"")</f>
        <v/>
      </c>
      <c r="AI259" t="str">
        <f>IFERROR(VLOOKUP(AG259,Skills!$B$2:$M$620,12,FALSE),"")</f>
        <v/>
      </c>
      <c r="AJ259" s="4" t="str">
        <f>IFERROR(VLOOKUP(AG259,Skills!$B$2:$AF$620,31,FALSE),"")</f>
        <v/>
      </c>
      <c r="AK259" s="4" t="str">
        <f t="shared" si="181"/>
        <v/>
      </c>
      <c r="AL259" s="4">
        <v>0.25800000000000001</v>
      </c>
      <c r="AM259" s="62" t="str">
        <f t="shared" ref="AM259:AM322" si="183">IFERROR(AK259+AL259,"")</f>
        <v/>
      </c>
      <c r="AN259" t="str">
        <f t="shared" ref="AN259:AN322" ca="1" si="184">IFERROR(VLOOKUP(AG259,$AH$2:$AJ$451,2,FALSE),"")</f>
        <v/>
      </c>
      <c r="AO259" s="4" t="str">
        <f ca="1">IFERROR(VLOOKUP(AG259,$AH$2:$AJ$451,3,FALSE)&amp;IF(ISNUMBER(SEARCH(", Written",AN259))," -R"&amp;VLOOKUP(AN259,Skills!$M$2:$S$620,7,FALSE),IF(ISNUMBER(SEARCH(", Spoken",AN259))," -R"&amp;VLOOKUP(AN259,Skills!$M$2:$S$620,7,FALSE),"")),"")</f>
        <v/>
      </c>
    </row>
    <row r="260" spans="33:41" x14ac:dyDescent="0.25">
      <c r="AG260">
        <v>259</v>
      </c>
      <c r="AH260" s="4" t="str">
        <f t="shared" si="182"/>
        <v/>
      </c>
      <c r="AI260" t="str">
        <f>IFERROR(VLOOKUP(AG260,Skills!$B$2:$M$620,12,FALSE),"")</f>
        <v/>
      </c>
      <c r="AJ260" s="4" t="str">
        <f>IFERROR(VLOOKUP(AG260,Skills!$B$2:$AF$620,31,FALSE),"")</f>
        <v/>
      </c>
      <c r="AK260" s="4" t="str">
        <f t="shared" si="181"/>
        <v/>
      </c>
      <c r="AL260" s="4">
        <v>0.25900000000000001</v>
      </c>
      <c r="AM260" s="62" t="str">
        <f t="shared" si="183"/>
        <v/>
      </c>
      <c r="AN260" t="str">
        <f t="shared" ca="1" si="184"/>
        <v/>
      </c>
      <c r="AO260" s="4" t="str">
        <f ca="1">IFERROR(VLOOKUP(AG260,$AH$2:$AJ$451,3,FALSE)&amp;IF(ISNUMBER(SEARCH(", Written",AN260))," -R"&amp;VLOOKUP(AN260,Skills!$M$2:$S$620,7,FALSE),IF(ISNUMBER(SEARCH(", Spoken",AN260))," -R"&amp;VLOOKUP(AN260,Skills!$M$2:$S$620,7,FALSE),"")),"")</f>
        <v/>
      </c>
    </row>
    <row r="261" spans="33:41" x14ac:dyDescent="0.25">
      <c r="AG261">
        <v>260</v>
      </c>
      <c r="AH261" s="4" t="str">
        <f t="shared" si="182"/>
        <v/>
      </c>
      <c r="AI261" t="str">
        <f>IFERROR(VLOOKUP(AG261,Skills!$B$2:$M$620,12,FALSE),"")</f>
        <v/>
      </c>
      <c r="AJ261" s="4" t="str">
        <f>IFERROR(VLOOKUP(AG261,Skills!$B$2:$AF$620,31,FALSE),"")</f>
        <v/>
      </c>
      <c r="AK261" s="4" t="str">
        <f t="shared" si="181"/>
        <v/>
      </c>
      <c r="AL261" s="4">
        <v>0.26</v>
      </c>
      <c r="AM261" s="62" t="str">
        <f t="shared" si="183"/>
        <v/>
      </c>
      <c r="AN261" t="str">
        <f t="shared" ca="1" si="184"/>
        <v/>
      </c>
      <c r="AO261" s="4" t="str">
        <f ca="1">IFERROR(VLOOKUP(AG261,$AH$2:$AJ$451,3,FALSE)&amp;IF(ISNUMBER(SEARCH(", Written",AN261))," -R"&amp;VLOOKUP(AN261,Skills!$M$2:$S$620,7,FALSE),IF(ISNUMBER(SEARCH(", Spoken",AN261))," -R"&amp;VLOOKUP(AN261,Skills!$M$2:$S$620,7,FALSE),"")),"")</f>
        <v/>
      </c>
    </row>
    <row r="262" spans="33:41" x14ac:dyDescent="0.25">
      <c r="AG262">
        <v>261</v>
      </c>
      <c r="AH262" s="4" t="str">
        <f t="shared" si="182"/>
        <v/>
      </c>
      <c r="AI262" t="str">
        <f>IFERROR(VLOOKUP(AG262,Skills!$B$2:$M$620,12,FALSE),"")</f>
        <v/>
      </c>
      <c r="AJ262" s="4" t="str">
        <f>IFERROR(VLOOKUP(AG262,Skills!$B$2:$AF$620,31,FALSE),"")</f>
        <v/>
      </c>
      <c r="AK262" s="4" t="str">
        <f t="shared" si="181"/>
        <v/>
      </c>
      <c r="AL262" s="4">
        <v>0.26100000000000001</v>
      </c>
      <c r="AM262" s="62" t="str">
        <f t="shared" si="183"/>
        <v/>
      </c>
      <c r="AN262" t="str">
        <f t="shared" ca="1" si="184"/>
        <v/>
      </c>
      <c r="AO262" s="4" t="str">
        <f ca="1">IFERROR(VLOOKUP(AG262,$AH$2:$AJ$451,3,FALSE)&amp;IF(ISNUMBER(SEARCH(", Written",AN262))," -R"&amp;VLOOKUP(AN262,Skills!$M$2:$S$620,7,FALSE),IF(ISNUMBER(SEARCH(", Spoken",AN262))," -R"&amp;VLOOKUP(AN262,Skills!$M$2:$S$620,7,FALSE),"")),"")</f>
        <v/>
      </c>
    </row>
    <row r="263" spans="33:41" x14ac:dyDescent="0.25">
      <c r="AG263">
        <v>262</v>
      </c>
      <c r="AH263" s="4" t="str">
        <f t="shared" si="182"/>
        <v/>
      </c>
      <c r="AI263" t="str">
        <f>IFERROR(VLOOKUP(AG263,Skills!$B$2:$M$620,12,FALSE),"")</f>
        <v/>
      </c>
      <c r="AJ263" s="4" t="str">
        <f>IFERROR(VLOOKUP(AG263,Skills!$B$2:$AF$620,31,FALSE),"")</f>
        <v/>
      </c>
      <c r="AK263" s="4" t="str">
        <f t="shared" si="181"/>
        <v/>
      </c>
      <c r="AL263" s="4">
        <v>0.26200000000000001</v>
      </c>
      <c r="AM263" s="62" t="str">
        <f t="shared" si="183"/>
        <v/>
      </c>
      <c r="AN263" t="str">
        <f t="shared" ca="1" si="184"/>
        <v/>
      </c>
      <c r="AO263" s="4" t="str">
        <f ca="1">IFERROR(VLOOKUP(AG263,$AH$2:$AJ$451,3,FALSE)&amp;IF(ISNUMBER(SEARCH(", Written",AN263))," -R"&amp;VLOOKUP(AN263,Skills!$M$2:$S$620,7,FALSE),IF(ISNUMBER(SEARCH(", Spoken",AN263))," -R"&amp;VLOOKUP(AN263,Skills!$M$2:$S$620,7,FALSE),"")),"")</f>
        <v/>
      </c>
    </row>
    <row r="264" spans="33:41" x14ac:dyDescent="0.25">
      <c r="AG264">
        <v>263</v>
      </c>
      <c r="AH264" s="4" t="str">
        <f t="shared" si="182"/>
        <v/>
      </c>
      <c r="AI264" t="str">
        <f>IFERROR(VLOOKUP(AG264,Skills!$B$2:$M$620,12,FALSE),"")</f>
        <v/>
      </c>
      <c r="AJ264" s="4" t="str">
        <f>IFERROR(VLOOKUP(AG264,Skills!$B$2:$AF$620,31,FALSE),"")</f>
        <v/>
      </c>
      <c r="AK264" s="4" t="str">
        <f t="shared" si="181"/>
        <v/>
      </c>
      <c r="AL264" s="4">
        <v>0.26300000000000001</v>
      </c>
      <c r="AM264" s="62" t="str">
        <f t="shared" si="183"/>
        <v/>
      </c>
      <c r="AN264" t="str">
        <f t="shared" ca="1" si="184"/>
        <v/>
      </c>
      <c r="AO264" s="4" t="str">
        <f ca="1">IFERROR(VLOOKUP(AG264,$AH$2:$AJ$451,3,FALSE)&amp;IF(ISNUMBER(SEARCH(", Written",AN264))," -R"&amp;VLOOKUP(AN264,Skills!$M$2:$S$620,7,FALSE),IF(ISNUMBER(SEARCH(", Spoken",AN264))," -R"&amp;VLOOKUP(AN264,Skills!$M$2:$S$620,7,FALSE),"")),"")</f>
        <v/>
      </c>
    </row>
    <row r="265" spans="33:41" x14ac:dyDescent="0.25">
      <c r="AG265">
        <v>264</v>
      </c>
      <c r="AH265" s="4" t="str">
        <f t="shared" si="182"/>
        <v/>
      </c>
      <c r="AI265" t="str">
        <f>IFERROR(VLOOKUP(AG265,Skills!$B$2:$M$620,12,FALSE),"")</f>
        <v/>
      </c>
      <c r="AJ265" s="4" t="str">
        <f>IFERROR(VLOOKUP(AG265,Skills!$B$2:$AF$620,31,FALSE),"")</f>
        <v/>
      </c>
      <c r="AK265" s="4" t="str">
        <f t="shared" si="181"/>
        <v/>
      </c>
      <c r="AL265" s="4">
        <v>0.26400000000000001</v>
      </c>
      <c r="AM265" s="62" t="str">
        <f t="shared" si="183"/>
        <v/>
      </c>
      <c r="AN265" t="str">
        <f t="shared" ca="1" si="184"/>
        <v/>
      </c>
      <c r="AO265" s="4" t="str">
        <f ca="1">IFERROR(VLOOKUP(AG265,$AH$2:$AJ$451,3,FALSE)&amp;IF(ISNUMBER(SEARCH(", Written",AN265))," -R"&amp;VLOOKUP(AN265,Skills!$M$2:$S$620,7,FALSE),IF(ISNUMBER(SEARCH(", Spoken",AN265))," -R"&amp;VLOOKUP(AN265,Skills!$M$2:$S$620,7,FALSE),"")),"")</f>
        <v/>
      </c>
    </row>
    <row r="266" spans="33:41" x14ac:dyDescent="0.25">
      <c r="AG266">
        <v>265</v>
      </c>
      <c r="AH266" s="4" t="str">
        <f t="shared" si="182"/>
        <v/>
      </c>
      <c r="AI266" t="str">
        <f>IFERROR(VLOOKUP(AG266,Skills!$B$2:$M$620,12,FALSE),"")</f>
        <v/>
      </c>
      <c r="AJ266" s="4" t="str">
        <f>IFERROR(VLOOKUP(AG266,Skills!$B$2:$AF$620,31,FALSE),"")</f>
        <v/>
      </c>
      <c r="AK266" s="4" t="str">
        <f t="shared" si="181"/>
        <v/>
      </c>
      <c r="AL266" s="4">
        <v>0.26500000000000001</v>
      </c>
      <c r="AM266" s="62" t="str">
        <f t="shared" si="183"/>
        <v/>
      </c>
      <c r="AN266" t="str">
        <f t="shared" ca="1" si="184"/>
        <v/>
      </c>
      <c r="AO266" s="4" t="str">
        <f ca="1">IFERROR(VLOOKUP(AG266,$AH$2:$AJ$451,3,FALSE)&amp;IF(ISNUMBER(SEARCH(", Written",AN266))," -R"&amp;VLOOKUP(AN266,Skills!$M$2:$S$620,7,FALSE),IF(ISNUMBER(SEARCH(", Spoken",AN266))," -R"&amp;VLOOKUP(AN266,Skills!$M$2:$S$620,7,FALSE),"")),"")</f>
        <v/>
      </c>
    </row>
    <row r="267" spans="33:41" x14ac:dyDescent="0.25">
      <c r="AG267">
        <v>266</v>
      </c>
      <c r="AH267" s="4" t="str">
        <f t="shared" si="182"/>
        <v/>
      </c>
      <c r="AI267" t="str">
        <f>IFERROR(VLOOKUP(AG267,Skills!$B$2:$M$620,12,FALSE),"")</f>
        <v/>
      </c>
      <c r="AJ267" s="4" t="str">
        <f>IFERROR(VLOOKUP(AG267,Skills!$B$2:$AF$620,31,FALSE),"")</f>
        <v/>
      </c>
      <c r="AK267" s="4" t="str">
        <f t="shared" si="181"/>
        <v/>
      </c>
      <c r="AL267" s="4">
        <v>0.26600000000000001</v>
      </c>
      <c r="AM267" s="62" t="str">
        <f t="shared" si="183"/>
        <v/>
      </c>
      <c r="AN267" t="str">
        <f t="shared" ca="1" si="184"/>
        <v/>
      </c>
      <c r="AO267" s="4" t="str">
        <f ca="1">IFERROR(VLOOKUP(AG267,$AH$2:$AJ$451,3,FALSE)&amp;IF(ISNUMBER(SEARCH(", Written",AN267))," -R"&amp;VLOOKUP(AN267,Skills!$M$2:$S$620,7,FALSE),IF(ISNUMBER(SEARCH(", Spoken",AN267))," -R"&amp;VLOOKUP(AN267,Skills!$M$2:$S$620,7,FALSE),"")),"")</f>
        <v/>
      </c>
    </row>
    <row r="268" spans="33:41" x14ac:dyDescent="0.25">
      <c r="AG268">
        <v>267</v>
      </c>
      <c r="AH268" s="4" t="str">
        <f t="shared" si="182"/>
        <v/>
      </c>
      <c r="AI268" t="str">
        <f>IFERROR(VLOOKUP(AG268,Skills!$B$2:$M$620,12,FALSE),"")</f>
        <v/>
      </c>
      <c r="AJ268" s="4" t="str">
        <f>IFERROR(VLOOKUP(AG268,Skills!$B$2:$AF$620,31,FALSE),"")</f>
        <v/>
      </c>
      <c r="AK268" s="4" t="str">
        <f t="shared" si="181"/>
        <v/>
      </c>
      <c r="AL268" s="4">
        <v>0.26700000000000002</v>
      </c>
      <c r="AM268" s="62" t="str">
        <f t="shared" si="183"/>
        <v/>
      </c>
      <c r="AN268" t="str">
        <f t="shared" ca="1" si="184"/>
        <v/>
      </c>
      <c r="AO268" s="4" t="str">
        <f ca="1">IFERROR(VLOOKUP(AG268,$AH$2:$AJ$451,3,FALSE)&amp;IF(ISNUMBER(SEARCH(", Written",AN268))," -R"&amp;VLOOKUP(AN268,Skills!$M$2:$S$620,7,FALSE),IF(ISNUMBER(SEARCH(", Spoken",AN268))," -R"&amp;VLOOKUP(AN268,Skills!$M$2:$S$620,7,FALSE),"")),"")</f>
        <v/>
      </c>
    </row>
    <row r="269" spans="33:41" x14ac:dyDescent="0.25">
      <c r="AG269">
        <v>268</v>
      </c>
      <c r="AH269" s="4" t="str">
        <f t="shared" si="182"/>
        <v/>
      </c>
      <c r="AI269" t="str">
        <f>IFERROR(VLOOKUP(AG269,Skills!$B$2:$M$620,12,FALSE),"")</f>
        <v/>
      </c>
      <c r="AJ269" s="4" t="str">
        <f>IFERROR(VLOOKUP(AG269,Skills!$B$2:$AF$620,31,FALSE),"")</f>
        <v/>
      </c>
      <c r="AK269" s="4" t="str">
        <f t="shared" si="181"/>
        <v/>
      </c>
      <c r="AL269" s="4">
        <v>0.26800000000000002</v>
      </c>
      <c r="AM269" s="62" t="str">
        <f t="shared" si="183"/>
        <v/>
      </c>
      <c r="AN269" t="str">
        <f t="shared" ca="1" si="184"/>
        <v/>
      </c>
      <c r="AO269" s="4" t="str">
        <f ca="1">IFERROR(VLOOKUP(AG269,$AH$2:$AJ$451,3,FALSE)&amp;IF(ISNUMBER(SEARCH(", Written",AN269))," -R"&amp;VLOOKUP(AN269,Skills!$M$2:$S$620,7,FALSE),IF(ISNUMBER(SEARCH(", Spoken",AN269))," -R"&amp;VLOOKUP(AN269,Skills!$M$2:$S$620,7,FALSE),"")),"")</f>
        <v/>
      </c>
    </row>
    <row r="270" spans="33:41" x14ac:dyDescent="0.25">
      <c r="AG270">
        <v>269</v>
      </c>
      <c r="AH270" s="4" t="str">
        <f t="shared" si="182"/>
        <v/>
      </c>
      <c r="AI270" t="str">
        <f>IFERROR(VLOOKUP(AG270,Skills!$B$2:$M$620,12,FALSE),"")</f>
        <v/>
      </c>
      <c r="AJ270" s="4" t="str">
        <f>IFERROR(VLOOKUP(AG270,Skills!$B$2:$AF$620,31,FALSE),"")</f>
        <v/>
      </c>
      <c r="AK270" s="4" t="str">
        <f t="shared" si="181"/>
        <v/>
      </c>
      <c r="AL270" s="4">
        <v>0.26900000000000002</v>
      </c>
      <c r="AM270" s="62" t="str">
        <f t="shared" si="183"/>
        <v/>
      </c>
      <c r="AN270" t="str">
        <f t="shared" ca="1" si="184"/>
        <v/>
      </c>
      <c r="AO270" s="4" t="str">
        <f ca="1">IFERROR(VLOOKUP(AG270,$AH$2:$AJ$451,3,FALSE)&amp;IF(ISNUMBER(SEARCH(", Written",AN270))," -R"&amp;VLOOKUP(AN270,Skills!$M$2:$S$620,7,FALSE),IF(ISNUMBER(SEARCH(", Spoken",AN270))," -R"&amp;VLOOKUP(AN270,Skills!$M$2:$S$620,7,FALSE),"")),"")</f>
        <v/>
      </c>
    </row>
    <row r="271" spans="33:41" x14ac:dyDescent="0.25">
      <c r="AG271">
        <v>270</v>
      </c>
      <c r="AH271" s="4" t="str">
        <f t="shared" si="182"/>
        <v/>
      </c>
      <c r="AI271" t="str">
        <f>IFERROR(VLOOKUP(AG271,Skills!$B$2:$M$620,12,FALSE),"")</f>
        <v/>
      </c>
      <c r="AJ271" s="4" t="str">
        <f>IFERROR(VLOOKUP(AG271,Skills!$B$2:$AF$620,31,FALSE),"")</f>
        <v/>
      </c>
      <c r="AK271" s="4" t="str">
        <f t="shared" si="181"/>
        <v/>
      </c>
      <c r="AL271" s="4">
        <v>0.27</v>
      </c>
      <c r="AM271" s="62" t="str">
        <f t="shared" si="183"/>
        <v/>
      </c>
      <c r="AN271" t="str">
        <f t="shared" ca="1" si="184"/>
        <v/>
      </c>
      <c r="AO271" s="4" t="str">
        <f ca="1">IFERROR(VLOOKUP(AG271,$AH$2:$AJ$451,3,FALSE)&amp;IF(ISNUMBER(SEARCH(", Written",AN271))," -R"&amp;VLOOKUP(AN271,Skills!$M$2:$S$620,7,FALSE),IF(ISNUMBER(SEARCH(", Spoken",AN271))," -R"&amp;VLOOKUP(AN271,Skills!$M$2:$S$620,7,FALSE),"")),"")</f>
        <v/>
      </c>
    </row>
    <row r="272" spans="33:41" x14ac:dyDescent="0.25">
      <c r="AG272">
        <v>271</v>
      </c>
      <c r="AH272" s="4" t="str">
        <f t="shared" si="182"/>
        <v/>
      </c>
      <c r="AI272" t="str">
        <f>IFERROR(VLOOKUP(AG272,Skills!$B$2:$M$620,12,FALSE),"")</f>
        <v/>
      </c>
      <c r="AJ272" s="4" t="str">
        <f>IFERROR(VLOOKUP(AG272,Skills!$B$2:$AF$620,31,FALSE),"")</f>
        <v/>
      </c>
      <c r="AK272" s="4" t="str">
        <f t="shared" si="181"/>
        <v/>
      </c>
      <c r="AL272" s="4">
        <v>0.27100000000000002</v>
      </c>
      <c r="AM272" s="62" t="str">
        <f t="shared" si="183"/>
        <v/>
      </c>
      <c r="AN272" t="str">
        <f t="shared" ca="1" si="184"/>
        <v/>
      </c>
      <c r="AO272" s="4" t="str">
        <f ca="1">IFERROR(VLOOKUP(AG272,$AH$2:$AJ$451,3,FALSE)&amp;IF(ISNUMBER(SEARCH(", Written",AN272))," -R"&amp;VLOOKUP(AN272,Skills!$M$2:$S$620,7,FALSE),IF(ISNUMBER(SEARCH(", Spoken",AN272))," -R"&amp;VLOOKUP(AN272,Skills!$M$2:$S$620,7,FALSE),"")),"")</f>
        <v/>
      </c>
    </row>
    <row r="273" spans="33:41" x14ac:dyDescent="0.25">
      <c r="AG273">
        <v>272</v>
      </c>
      <c r="AH273" s="4" t="str">
        <f t="shared" si="182"/>
        <v/>
      </c>
      <c r="AI273" t="str">
        <f>IFERROR(VLOOKUP(AG273,Skills!$B$2:$M$620,12,FALSE),"")</f>
        <v/>
      </c>
      <c r="AJ273" s="4" t="str">
        <f>IFERROR(VLOOKUP(AG273,Skills!$B$2:$AF$620,31,FALSE),"")</f>
        <v/>
      </c>
      <c r="AK273" s="4" t="str">
        <f t="shared" si="181"/>
        <v/>
      </c>
      <c r="AL273" s="4">
        <v>0.27200000000000002</v>
      </c>
      <c r="AM273" s="62" t="str">
        <f t="shared" si="183"/>
        <v/>
      </c>
      <c r="AN273" t="str">
        <f t="shared" ca="1" si="184"/>
        <v/>
      </c>
      <c r="AO273" s="4" t="str">
        <f ca="1">IFERROR(VLOOKUP(AG273,$AH$2:$AJ$451,3,FALSE)&amp;IF(ISNUMBER(SEARCH(", Written",AN273))," -R"&amp;VLOOKUP(AN273,Skills!$M$2:$S$620,7,FALSE),IF(ISNUMBER(SEARCH(", Spoken",AN273))," -R"&amp;VLOOKUP(AN273,Skills!$M$2:$S$620,7,FALSE),"")),"")</f>
        <v/>
      </c>
    </row>
    <row r="274" spans="33:41" x14ac:dyDescent="0.25">
      <c r="AG274">
        <v>273</v>
      </c>
      <c r="AH274" s="4" t="str">
        <f t="shared" si="182"/>
        <v/>
      </c>
      <c r="AI274" t="str">
        <f>IFERROR(VLOOKUP(AG274,Skills!$B$2:$M$620,12,FALSE),"")</f>
        <v/>
      </c>
      <c r="AJ274" s="4" t="str">
        <f>IFERROR(VLOOKUP(AG274,Skills!$B$2:$AF$620,31,FALSE),"")</f>
        <v/>
      </c>
      <c r="AK274" s="4" t="str">
        <f t="shared" si="181"/>
        <v/>
      </c>
      <c r="AL274" s="4">
        <v>0.27300000000000002</v>
      </c>
      <c r="AM274" s="62" t="str">
        <f t="shared" si="183"/>
        <v/>
      </c>
      <c r="AN274" t="str">
        <f t="shared" ca="1" si="184"/>
        <v/>
      </c>
      <c r="AO274" s="4" t="str">
        <f ca="1">IFERROR(VLOOKUP(AG274,$AH$2:$AJ$451,3,FALSE)&amp;IF(ISNUMBER(SEARCH(", Written",AN274))," -R"&amp;VLOOKUP(AN274,Skills!$M$2:$S$620,7,FALSE),IF(ISNUMBER(SEARCH(", Spoken",AN274))," -R"&amp;VLOOKUP(AN274,Skills!$M$2:$S$620,7,FALSE),"")),"")</f>
        <v/>
      </c>
    </row>
    <row r="275" spans="33:41" x14ac:dyDescent="0.25">
      <c r="AG275">
        <v>274</v>
      </c>
      <c r="AH275" s="4" t="str">
        <f t="shared" ca="1" si="182"/>
        <v/>
      </c>
      <c r="AI275" t="str">
        <f>IFERROR(VLOOKUP(AG275,Skills!$B$2:$M$620,12,FALSE),"")</f>
        <v/>
      </c>
      <c r="AJ275" s="4" t="str">
        <f ca="1">IFERROR(VLOOKUP(AG275,Skills!$B$2:$AF$620,31,FALSE),"")</f>
        <v/>
      </c>
      <c r="AK275" s="4" t="str">
        <f t="shared" ca="1" si="181"/>
        <v/>
      </c>
      <c r="AL275" s="4">
        <v>0.27400000000000002</v>
      </c>
      <c r="AM275" s="62" t="str">
        <f t="shared" ca="1" si="183"/>
        <v/>
      </c>
      <c r="AN275" t="str">
        <f t="shared" ca="1" si="184"/>
        <v/>
      </c>
      <c r="AO275" s="4" t="str">
        <f ca="1">IFERROR(VLOOKUP(AG275,$AH$2:$AJ$451,3,FALSE)&amp;IF(ISNUMBER(SEARCH(", Written",AN275))," -R"&amp;VLOOKUP(AN275,Skills!$M$2:$S$620,7,FALSE),IF(ISNUMBER(SEARCH(", Spoken",AN275))," -R"&amp;VLOOKUP(AN275,Skills!$M$2:$S$620,7,FALSE),"")),"")</f>
        <v/>
      </c>
    </row>
    <row r="276" spans="33:41" x14ac:dyDescent="0.25">
      <c r="AG276">
        <v>275</v>
      </c>
      <c r="AH276" s="4" t="str">
        <f t="shared" si="182"/>
        <v/>
      </c>
      <c r="AI276" t="str">
        <f>IFERROR(VLOOKUP(AG276,Skills!$B$2:$M$620,12,FALSE),"")</f>
        <v/>
      </c>
      <c r="AJ276" s="4" t="str">
        <f>IFERROR(VLOOKUP(AG276,Skills!$B$2:$AF$620,31,FALSE),"")</f>
        <v/>
      </c>
      <c r="AK276" s="4" t="str">
        <f t="shared" si="181"/>
        <v/>
      </c>
      <c r="AL276" s="4">
        <v>0.27500000000000002</v>
      </c>
      <c r="AM276" s="62" t="str">
        <f t="shared" si="183"/>
        <v/>
      </c>
      <c r="AN276" t="str">
        <f t="shared" ca="1" si="184"/>
        <v/>
      </c>
      <c r="AO276" s="4" t="str">
        <f ca="1">IFERROR(VLOOKUP(AG276,$AH$2:$AJ$451,3,FALSE)&amp;IF(ISNUMBER(SEARCH(", Written",AN276))," -R"&amp;VLOOKUP(AN276,Skills!$M$2:$S$620,7,FALSE),IF(ISNUMBER(SEARCH(", Spoken",AN276))," -R"&amp;VLOOKUP(AN276,Skills!$M$2:$S$620,7,FALSE),"")),"")</f>
        <v/>
      </c>
    </row>
    <row r="277" spans="33:41" x14ac:dyDescent="0.25">
      <c r="AG277">
        <v>276</v>
      </c>
      <c r="AH277" s="4" t="str">
        <f t="shared" si="182"/>
        <v/>
      </c>
      <c r="AI277" t="str">
        <f>IFERROR(VLOOKUP(AG277,Skills!$B$2:$M$620,12,FALSE),"")</f>
        <v/>
      </c>
      <c r="AJ277" s="4" t="str">
        <f>IFERROR(VLOOKUP(AG277,Skills!$B$2:$AF$620,31,FALSE),"")</f>
        <v/>
      </c>
      <c r="AK277" s="4" t="str">
        <f t="shared" si="181"/>
        <v/>
      </c>
      <c r="AL277" s="4">
        <v>0.27600000000000002</v>
      </c>
      <c r="AM277" s="62" t="str">
        <f t="shared" si="183"/>
        <v/>
      </c>
      <c r="AN277" t="str">
        <f t="shared" ca="1" si="184"/>
        <v/>
      </c>
      <c r="AO277" s="4" t="str">
        <f ca="1">IFERROR(VLOOKUP(AG277,$AH$2:$AJ$451,3,FALSE)&amp;IF(ISNUMBER(SEARCH(", Written",AN277))," -R"&amp;VLOOKUP(AN277,Skills!$M$2:$S$620,7,FALSE),IF(ISNUMBER(SEARCH(", Spoken",AN277))," -R"&amp;VLOOKUP(AN277,Skills!$M$2:$S$620,7,FALSE),"")),"")</f>
        <v/>
      </c>
    </row>
    <row r="278" spans="33:41" x14ac:dyDescent="0.25">
      <c r="AG278">
        <v>277</v>
      </c>
      <c r="AH278" s="4" t="str">
        <f t="shared" si="182"/>
        <v/>
      </c>
      <c r="AI278" t="str">
        <f>IFERROR(VLOOKUP(AG278,Skills!$B$2:$M$620,12,FALSE),"")</f>
        <v/>
      </c>
      <c r="AJ278" s="4" t="str">
        <f>IFERROR(VLOOKUP(AG278,Skills!$B$2:$AF$620,31,FALSE),"")</f>
        <v/>
      </c>
      <c r="AK278" s="4" t="str">
        <f t="shared" si="181"/>
        <v/>
      </c>
      <c r="AL278" s="4">
        <v>0.27700000000000002</v>
      </c>
      <c r="AM278" s="62" t="str">
        <f t="shared" si="183"/>
        <v/>
      </c>
      <c r="AN278" t="str">
        <f t="shared" ca="1" si="184"/>
        <v/>
      </c>
      <c r="AO278" s="4" t="str">
        <f ca="1">IFERROR(VLOOKUP(AG278,$AH$2:$AJ$451,3,FALSE)&amp;IF(ISNUMBER(SEARCH(", Written",AN278))," -R"&amp;VLOOKUP(AN278,Skills!$M$2:$S$620,7,FALSE),IF(ISNUMBER(SEARCH(", Spoken",AN278))," -R"&amp;VLOOKUP(AN278,Skills!$M$2:$S$620,7,FALSE),"")),"")</f>
        <v/>
      </c>
    </row>
    <row r="279" spans="33:41" x14ac:dyDescent="0.25">
      <c r="AG279">
        <v>278</v>
      </c>
      <c r="AH279" s="4" t="str">
        <f t="shared" si="182"/>
        <v/>
      </c>
      <c r="AI279" t="str">
        <f>IFERROR(VLOOKUP(AG279,Skills!$B$2:$M$620,12,FALSE),"")</f>
        <v/>
      </c>
      <c r="AJ279" s="4" t="str">
        <f>IFERROR(VLOOKUP(AG279,Skills!$B$2:$AF$620,31,FALSE),"")</f>
        <v/>
      </c>
      <c r="AK279" s="4" t="str">
        <f t="shared" si="181"/>
        <v/>
      </c>
      <c r="AL279" s="4">
        <v>0.27800000000000002</v>
      </c>
      <c r="AM279" s="62" t="str">
        <f t="shared" si="183"/>
        <v/>
      </c>
      <c r="AN279" t="str">
        <f t="shared" ca="1" si="184"/>
        <v/>
      </c>
      <c r="AO279" s="4" t="str">
        <f ca="1">IFERROR(VLOOKUP(AG279,$AH$2:$AJ$451,3,FALSE)&amp;IF(ISNUMBER(SEARCH(", Written",AN279))," -R"&amp;VLOOKUP(AN279,Skills!$M$2:$S$620,7,FALSE),IF(ISNUMBER(SEARCH(", Spoken",AN279))," -R"&amp;VLOOKUP(AN279,Skills!$M$2:$S$620,7,FALSE),"")),"")</f>
        <v/>
      </c>
    </row>
    <row r="280" spans="33:41" x14ac:dyDescent="0.25">
      <c r="AG280">
        <v>279</v>
      </c>
      <c r="AH280" s="4" t="str">
        <f t="shared" si="182"/>
        <v/>
      </c>
      <c r="AI280" t="str">
        <f>IFERROR(VLOOKUP(AG280,Skills!$B$2:$M$620,12,FALSE),"")</f>
        <v/>
      </c>
      <c r="AJ280" s="4" t="str">
        <f>IFERROR(VLOOKUP(AG280,Skills!$B$2:$AF$620,31,FALSE),"")</f>
        <v/>
      </c>
      <c r="AK280" s="4" t="str">
        <f t="shared" si="181"/>
        <v/>
      </c>
      <c r="AL280" s="4">
        <v>0.27900000000000003</v>
      </c>
      <c r="AM280" s="62" t="str">
        <f t="shared" si="183"/>
        <v/>
      </c>
      <c r="AN280" t="str">
        <f t="shared" ca="1" si="184"/>
        <v/>
      </c>
      <c r="AO280" s="4" t="str">
        <f ca="1">IFERROR(VLOOKUP(AG280,$AH$2:$AJ$451,3,FALSE)&amp;IF(ISNUMBER(SEARCH(", Written",AN280))," -R"&amp;VLOOKUP(AN280,Skills!$M$2:$S$620,7,FALSE),IF(ISNUMBER(SEARCH(", Spoken",AN280))," -R"&amp;VLOOKUP(AN280,Skills!$M$2:$S$620,7,FALSE),"")),"")</f>
        <v/>
      </c>
    </row>
    <row r="281" spans="33:41" x14ac:dyDescent="0.25">
      <c r="AG281">
        <v>280</v>
      </c>
      <c r="AH281" s="4" t="str">
        <f t="shared" si="182"/>
        <v/>
      </c>
      <c r="AI281" t="str">
        <f>IFERROR(VLOOKUP(AG281,Skills!$B$2:$M$620,12,FALSE),"")</f>
        <v/>
      </c>
      <c r="AJ281" s="4" t="str">
        <f>IFERROR(VLOOKUP(AG281,Skills!$B$2:$AF$620,31,FALSE),"")</f>
        <v/>
      </c>
      <c r="AK281" s="4" t="str">
        <f t="shared" si="181"/>
        <v/>
      </c>
      <c r="AL281" s="4">
        <v>0.28000000000000003</v>
      </c>
      <c r="AM281" s="62" t="str">
        <f t="shared" si="183"/>
        <v/>
      </c>
      <c r="AN281" t="str">
        <f t="shared" ca="1" si="184"/>
        <v/>
      </c>
      <c r="AO281" s="4" t="str">
        <f ca="1">IFERROR(VLOOKUP(AG281,$AH$2:$AJ$451,3,FALSE)&amp;IF(ISNUMBER(SEARCH(", Written",AN281))," -R"&amp;VLOOKUP(AN281,Skills!$M$2:$S$620,7,FALSE),IF(ISNUMBER(SEARCH(", Spoken",AN281))," -R"&amp;VLOOKUP(AN281,Skills!$M$2:$S$620,7,FALSE),"")),"")</f>
        <v/>
      </c>
    </row>
    <row r="282" spans="33:41" x14ac:dyDescent="0.25">
      <c r="AG282">
        <v>281</v>
      </c>
      <c r="AH282" s="4" t="str">
        <f t="shared" si="182"/>
        <v/>
      </c>
      <c r="AI282" t="str">
        <f>IFERROR(VLOOKUP(AG282,Skills!$B$2:$M$620,12,FALSE),"")</f>
        <v/>
      </c>
      <c r="AJ282" s="4" t="str">
        <f>IFERROR(VLOOKUP(AG282,Skills!$B$2:$AF$620,31,FALSE),"")</f>
        <v/>
      </c>
      <c r="AK282" s="4" t="str">
        <f t="shared" si="181"/>
        <v/>
      </c>
      <c r="AL282" s="4">
        <v>0.28100000000000003</v>
      </c>
      <c r="AM282" s="62" t="str">
        <f t="shared" si="183"/>
        <v/>
      </c>
      <c r="AN282" t="str">
        <f t="shared" ca="1" si="184"/>
        <v/>
      </c>
      <c r="AO282" s="4" t="str">
        <f ca="1">IFERROR(VLOOKUP(AG282,$AH$2:$AJ$451,3,FALSE)&amp;IF(ISNUMBER(SEARCH(", Written",AN282))," -R"&amp;VLOOKUP(AN282,Skills!$M$2:$S$620,7,FALSE),IF(ISNUMBER(SEARCH(", Spoken",AN282))," -R"&amp;VLOOKUP(AN282,Skills!$M$2:$S$620,7,FALSE),"")),"")</f>
        <v/>
      </c>
    </row>
    <row r="283" spans="33:41" x14ac:dyDescent="0.25">
      <c r="AG283">
        <v>282</v>
      </c>
      <c r="AH283" s="4" t="str">
        <f t="shared" si="182"/>
        <v/>
      </c>
      <c r="AI283" t="str">
        <f>IFERROR(VLOOKUP(AG283,Skills!$B$2:$M$620,12,FALSE),"")</f>
        <v/>
      </c>
      <c r="AJ283" s="4" t="str">
        <f>IFERROR(VLOOKUP(AG283,Skills!$B$2:$AF$620,31,FALSE),"")</f>
        <v/>
      </c>
      <c r="AK283" s="4" t="str">
        <f t="shared" ref="AK283:AK346" si="185">IFERROR(LEFT(AJ283,FIND("/",AJ283)-1),AJ283)</f>
        <v/>
      </c>
      <c r="AL283" s="4">
        <v>0.28199999999999997</v>
      </c>
      <c r="AM283" s="62" t="str">
        <f t="shared" si="183"/>
        <v/>
      </c>
      <c r="AN283" t="str">
        <f t="shared" ca="1" si="184"/>
        <v/>
      </c>
      <c r="AO283" s="4" t="str">
        <f ca="1">IFERROR(VLOOKUP(AG283,$AH$2:$AJ$451,3,FALSE)&amp;IF(ISNUMBER(SEARCH(", Written",AN283))," -R"&amp;VLOOKUP(AN283,Skills!$M$2:$S$620,7,FALSE),IF(ISNUMBER(SEARCH(", Spoken",AN283))," -R"&amp;VLOOKUP(AN283,Skills!$M$2:$S$620,7,FALSE),"")),"")</f>
        <v/>
      </c>
    </row>
    <row r="284" spans="33:41" x14ac:dyDescent="0.25">
      <c r="AG284">
        <v>283</v>
      </c>
      <c r="AH284" s="4" t="str">
        <f t="shared" si="182"/>
        <v/>
      </c>
      <c r="AI284" t="str">
        <f>IFERROR(VLOOKUP(AG284,Skills!$B$2:$M$620,12,FALSE),"")</f>
        <v/>
      </c>
      <c r="AJ284" s="4" t="str">
        <f>IFERROR(VLOOKUP(AG284,Skills!$B$2:$AF$620,31,FALSE),"")</f>
        <v/>
      </c>
      <c r="AK284" s="4" t="str">
        <f t="shared" si="185"/>
        <v/>
      </c>
      <c r="AL284" s="4">
        <v>0.28299999999999997</v>
      </c>
      <c r="AM284" s="62" t="str">
        <f t="shared" si="183"/>
        <v/>
      </c>
      <c r="AN284" t="str">
        <f t="shared" ca="1" si="184"/>
        <v/>
      </c>
      <c r="AO284" s="4" t="str">
        <f ca="1">IFERROR(VLOOKUP(AG284,$AH$2:$AJ$451,3,FALSE)&amp;IF(ISNUMBER(SEARCH(", Written",AN284))," -R"&amp;VLOOKUP(AN284,Skills!$M$2:$S$620,7,FALSE),IF(ISNUMBER(SEARCH(", Spoken",AN284))," -R"&amp;VLOOKUP(AN284,Skills!$M$2:$S$620,7,FALSE),"")),"")</f>
        <v/>
      </c>
    </row>
    <row r="285" spans="33:41" x14ac:dyDescent="0.25">
      <c r="AG285">
        <v>284</v>
      </c>
      <c r="AH285" s="4" t="str">
        <f t="shared" si="182"/>
        <v/>
      </c>
      <c r="AI285" t="str">
        <f>IFERROR(VLOOKUP(AG285,Skills!$B$2:$M$620,12,FALSE),"")</f>
        <v/>
      </c>
      <c r="AJ285" s="4" t="str">
        <f>IFERROR(VLOOKUP(AG285,Skills!$B$2:$AF$620,31,FALSE),"")</f>
        <v/>
      </c>
      <c r="AK285" s="4" t="str">
        <f t="shared" si="185"/>
        <v/>
      </c>
      <c r="AL285" s="4">
        <v>0.28399999999999997</v>
      </c>
      <c r="AM285" s="62" t="str">
        <f t="shared" si="183"/>
        <v/>
      </c>
      <c r="AN285" t="str">
        <f t="shared" ca="1" si="184"/>
        <v/>
      </c>
      <c r="AO285" s="4" t="str">
        <f ca="1">IFERROR(VLOOKUP(AG285,$AH$2:$AJ$451,3,FALSE)&amp;IF(ISNUMBER(SEARCH(", Written",AN285))," -R"&amp;VLOOKUP(AN285,Skills!$M$2:$S$620,7,FALSE),IF(ISNUMBER(SEARCH(", Spoken",AN285))," -R"&amp;VLOOKUP(AN285,Skills!$M$2:$S$620,7,FALSE),"")),"")</f>
        <v/>
      </c>
    </row>
    <row r="286" spans="33:41" x14ac:dyDescent="0.25">
      <c r="AG286">
        <v>285</v>
      </c>
      <c r="AH286" s="4" t="str">
        <f t="shared" si="182"/>
        <v/>
      </c>
      <c r="AI286" t="str">
        <f>IFERROR(VLOOKUP(AG286,Skills!$B$2:$M$620,12,FALSE),"")</f>
        <v/>
      </c>
      <c r="AJ286" s="4" t="str">
        <f>IFERROR(VLOOKUP(AG286,Skills!$B$2:$AF$620,31,FALSE),"")</f>
        <v/>
      </c>
      <c r="AK286" s="4" t="str">
        <f t="shared" si="185"/>
        <v/>
      </c>
      <c r="AL286" s="4">
        <v>0.28499999999999998</v>
      </c>
      <c r="AM286" s="62" t="str">
        <f t="shared" si="183"/>
        <v/>
      </c>
      <c r="AN286" t="str">
        <f t="shared" ca="1" si="184"/>
        <v/>
      </c>
      <c r="AO286" s="4" t="str">
        <f ca="1">IFERROR(VLOOKUP(AG286,$AH$2:$AJ$451,3,FALSE)&amp;IF(ISNUMBER(SEARCH(", Written",AN286))," -R"&amp;VLOOKUP(AN286,Skills!$M$2:$S$620,7,FALSE),IF(ISNUMBER(SEARCH(", Spoken",AN286))," -R"&amp;VLOOKUP(AN286,Skills!$M$2:$S$620,7,FALSE),"")),"")</f>
        <v/>
      </c>
    </row>
    <row r="287" spans="33:41" x14ac:dyDescent="0.25">
      <c r="AG287">
        <v>286</v>
      </c>
      <c r="AH287" s="4" t="str">
        <f t="shared" si="182"/>
        <v/>
      </c>
      <c r="AI287" t="str">
        <f>IFERROR(VLOOKUP(AG287,Skills!$B$2:$M$620,12,FALSE),"")</f>
        <v/>
      </c>
      <c r="AJ287" s="4" t="str">
        <f>IFERROR(VLOOKUP(AG287,Skills!$B$2:$AF$620,31,FALSE),"")</f>
        <v/>
      </c>
      <c r="AK287" s="4" t="str">
        <f t="shared" si="185"/>
        <v/>
      </c>
      <c r="AL287" s="4">
        <v>0.28599999999999998</v>
      </c>
      <c r="AM287" s="62" t="str">
        <f t="shared" si="183"/>
        <v/>
      </c>
      <c r="AN287" t="str">
        <f t="shared" ca="1" si="184"/>
        <v/>
      </c>
      <c r="AO287" s="4" t="str">
        <f ca="1">IFERROR(VLOOKUP(AG287,$AH$2:$AJ$451,3,FALSE)&amp;IF(ISNUMBER(SEARCH(", Written",AN287))," -R"&amp;VLOOKUP(AN287,Skills!$M$2:$S$620,7,FALSE),IF(ISNUMBER(SEARCH(", Spoken",AN287))," -R"&amp;VLOOKUP(AN287,Skills!$M$2:$S$620,7,FALSE),"")),"")</f>
        <v/>
      </c>
    </row>
    <row r="288" spans="33:41" x14ac:dyDescent="0.25">
      <c r="AG288">
        <v>287</v>
      </c>
      <c r="AH288" s="4" t="str">
        <f t="shared" si="182"/>
        <v/>
      </c>
      <c r="AI288" t="str">
        <f>IFERROR(VLOOKUP(AG288,Skills!$B$2:$M$620,12,FALSE),"")</f>
        <v/>
      </c>
      <c r="AJ288" s="4" t="str">
        <f>IFERROR(VLOOKUP(AG288,Skills!$B$2:$AF$620,31,FALSE),"")</f>
        <v/>
      </c>
      <c r="AK288" s="4" t="str">
        <f t="shared" si="185"/>
        <v/>
      </c>
      <c r="AL288" s="4">
        <v>0.28699999999999998</v>
      </c>
      <c r="AM288" s="62" t="str">
        <f t="shared" si="183"/>
        <v/>
      </c>
      <c r="AN288" t="str">
        <f t="shared" ca="1" si="184"/>
        <v/>
      </c>
      <c r="AO288" s="4" t="str">
        <f ca="1">IFERROR(VLOOKUP(AG288,$AH$2:$AJ$451,3,FALSE)&amp;IF(ISNUMBER(SEARCH(", Written",AN288))," -R"&amp;VLOOKUP(AN288,Skills!$M$2:$S$620,7,FALSE),IF(ISNUMBER(SEARCH(", Spoken",AN288))," -R"&amp;VLOOKUP(AN288,Skills!$M$2:$S$620,7,FALSE),"")),"")</f>
        <v/>
      </c>
    </row>
    <row r="289" spans="33:41" x14ac:dyDescent="0.25">
      <c r="AG289">
        <v>288</v>
      </c>
      <c r="AH289" s="4" t="str">
        <f t="shared" si="182"/>
        <v/>
      </c>
      <c r="AI289" t="str">
        <f>IFERROR(VLOOKUP(AG289,Skills!$B$2:$M$620,12,FALSE),"")</f>
        <v/>
      </c>
      <c r="AJ289" s="4" t="str">
        <f>IFERROR(VLOOKUP(AG289,Skills!$B$2:$AF$620,31,FALSE),"")</f>
        <v/>
      </c>
      <c r="AK289" s="4" t="str">
        <f t="shared" si="185"/>
        <v/>
      </c>
      <c r="AL289" s="4">
        <v>0.28799999999999998</v>
      </c>
      <c r="AM289" s="62" t="str">
        <f t="shared" si="183"/>
        <v/>
      </c>
      <c r="AN289" t="str">
        <f t="shared" ca="1" si="184"/>
        <v/>
      </c>
      <c r="AO289" s="4" t="str">
        <f ca="1">IFERROR(VLOOKUP(AG289,$AH$2:$AJ$451,3,FALSE)&amp;IF(ISNUMBER(SEARCH(", Written",AN289))," -R"&amp;VLOOKUP(AN289,Skills!$M$2:$S$620,7,FALSE),IF(ISNUMBER(SEARCH(", Spoken",AN289))," -R"&amp;VLOOKUP(AN289,Skills!$M$2:$S$620,7,FALSE),"")),"")</f>
        <v/>
      </c>
    </row>
    <row r="290" spans="33:41" x14ac:dyDescent="0.25">
      <c r="AG290">
        <v>289</v>
      </c>
      <c r="AH290" s="4" t="str">
        <f t="shared" si="182"/>
        <v/>
      </c>
      <c r="AI290" t="str">
        <f>IFERROR(VLOOKUP(AG290,Skills!$B$2:$M$620,12,FALSE),"")</f>
        <v/>
      </c>
      <c r="AJ290" s="4" t="str">
        <f>IFERROR(VLOOKUP(AG290,Skills!$B$2:$AF$620,31,FALSE),"")</f>
        <v/>
      </c>
      <c r="AK290" s="4" t="str">
        <f t="shared" si="185"/>
        <v/>
      </c>
      <c r="AL290" s="4">
        <v>0.28899999999999998</v>
      </c>
      <c r="AM290" s="62" t="str">
        <f t="shared" si="183"/>
        <v/>
      </c>
      <c r="AN290" t="str">
        <f t="shared" ca="1" si="184"/>
        <v/>
      </c>
      <c r="AO290" s="4" t="str">
        <f ca="1">IFERROR(VLOOKUP(AG290,$AH$2:$AJ$451,3,FALSE)&amp;IF(ISNUMBER(SEARCH(", Written",AN290))," -R"&amp;VLOOKUP(AN290,Skills!$M$2:$S$620,7,FALSE),IF(ISNUMBER(SEARCH(", Spoken",AN290))," -R"&amp;VLOOKUP(AN290,Skills!$M$2:$S$620,7,FALSE),"")),"")</f>
        <v/>
      </c>
    </row>
    <row r="291" spans="33:41" x14ac:dyDescent="0.25">
      <c r="AG291">
        <v>290</v>
      </c>
      <c r="AH291" s="4" t="str">
        <f t="shared" si="182"/>
        <v/>
      </c>
      <c r="AI291" t="str">
        <f>IFERROR(VLOOKUP(AG291,Skills!$B$2:$M$620,12,FALSE),"")</f>
        <v/>
      </c>
      <c r="AJ291" s="4" t="str">
        <f>IFERROR(VLOOKUP(AG291,Skills!$B$2:$AF$620,31,FALSE),"")</f>
        <v/>
      </c>
      <c r="AK291" s="4" t="str">
        <f t="shared" si="185"/>
        <v/>
      </c>
      <c r="AL291" s="4">
        <v>0.28999999999999998</v>
      </c>
      <c r="AM291" s="62" t="str">
        <f t="shared" si="183"/>
        <v/>
      </c>
      <c r="AN291" t="str">
        <f t="shared" ca="1" si="184"/>
        <v/>
      </c>
      <c r="AO291" s="4" t="str">
        <f ca="1">IFERROR(VLOOKUP(AG291,$AH$2:$AJ$451,3,FALSE)&amp;IF(ISNUMBER(SEARCH(", Written",AN291))," -R"&amp;VLOOKUP(AN291,Skills!$M$2:$S$620,7,FALSE),IF(ISNUMBER(SEARCH(", Spoken",AN291))," -R"&amp;VLOOKUP(AN291,Skills!$M$2:$S$620,7,FALSE),"")),"")</f>
        <v/>
      </c>
    </row>
    <row r="292" spans="33:41" x14ac:dyDescent="0.25">
      <c r="AG292">
        <v>291</v>
      </c>
      <c r="AH292" s="4" t="str">
        <f t="shared" si="182"/>
        <v/>
      </c>
      <c r="AI292" t="str">
        <f>IFERROR(VLOOKUP(AG292,Skills!$B$2:$M$620,12,FALSE),"")</f>
        <v/>
      </c>
      <c r="AJ292" s="4" t="str">
        <f>IFERROR(VLOOKUP(AG292,Skills!$B$2:$AF$620,31,FALSE),"")</f>
        <v/>
      </c>
      <c r="AK292" s="4" t="str">
        <f t="shared" si="185"/>
        <v/>
      </c>
      <c r="AL292" s="4">
        <v>0.29099999999999998</v>
      </c>
      <c r="AM292" s="62" t="str">
        <f t="shared" si="183"/>
        <v/>
      </c>
      <c r="AN292" t="str">
        <f t="shared" ca="1" si="184"/>
        <v/>
      </c>
      <c r="AO292" s="4" t="str">
        <f ca="1">IFERROR(VLOOKUP(AG292,$AH$2:$AJ$451,3,FALSE)&amp;IF(ISNUMBER(SEARCH(", Written",AN292))," -R"&amp;VLOOKUP(AN292,Skills!$M$2:$S$620,7,FALSE),IF(ISNUMBER(SEARCH(", Spoken",AN292))," -R"&amp;VLOOKUP(AN292,Skills!$M$2:$S$620,7,FALSE),"")),"")</f>
        <v/>
      </c>
    </row>
    <row r="293" spans="33:41" x14ac:dyDescent="0.25">
      <c r="AG293">
        <v>292</v>
      </c>
      <c r="AH293" s="4" t="str">
        <f t="shared" si="182"/>
        <v/>
      </c>
      <c r="AI293" t="str">
        <f>IFERROR(VLOOKUP(AG293,Skills!$B$2:$M$620,12,FALSE),"")</f>
        <v/>
      </c>
      <c r="AJ293" s="4" t="str">
        <f>IFERROR(VLOOKUP(AG293,Skills!$B$2:$AF$620,31,FALSE),"")</f>
        <v/>
      </c>
      <c r="AK293" s="4" t="str">
        <f t="shared" si="185"/>
        <v/>
      </c>
      <c r="AL293" s="4">
        <v>0.29199999999999998</v>
      </c>
      <c r="AM293" s="62" t="str">
        <f t="shared" si="183"/>
        <v/>
      </c>
      <c r="AN293" t="str">
        <f t="shared" ca="1" si="184"/>
        <v/>
      </c>
      <c r="AO293" s="4" t="str">
        <f ca="1">IFERROR(VLOOKUP(AG293,$AH$2:$AJ$451,3,FALSE)&amp;IF(ISNUMBER(SEARCH(", Written",AN293))," -R"&amp;VLOOKUP(AN293,Skills!$M$2:$S$620,7,FALSE),IF(ISNUMBER(SEARCH(", Spoken",AN293))," -R"&amp;VLOOKUP(AN293,Skills!$M$2:$S$620,7,FALSE),"")),"")</f>
        <v/>
      </c>
    </row>
    <row r="294" spans="33:41" x14ac:dyDescent="0.25">
      <c r="AG294">
        <v>293</v>
      </c>
      <c r="AH294" s="4" t="str">
        <f t="shared" si="182"/>
        <v/>
      </c>
      <c r="AI294" t="str">
        <f>IFERROR(VLOOKUP(AG294,Skills!$B$2:$M$620,12,FALSE),"")</f>
        <v/>
      </c>
      <c r="AJ294" s="4" t="str">
        <f>IFERROR(VLOOKUP(AG294,Skills!$B$2:$AF$620,31,FALSE),"")</f>
        <v/>
      </c>
      <c r="AK294" s="4" t="str">
        <f t="shared" si="185"/>
        <v/>
      </c>
      <c r="AL294" s="4">
        <v>0.29299999999999998</v>
      </c>
      <c r="AM294" s="62" t="str">
        <f t="shared" si="183"/>
        <v/>
      </c>
      <c r="AN294" t="str">
        <f t="shared" ca="1" si="184"/>
        <v/>
      </c>
      <c r="AO294" s="4" t="str">
        <f ca="1">IFERROR(VLOOKUP(AG294,$AH$2:$AJ$451,3,FALSE)&amp;IF(ISNUMBER(SEARCH(", Written",AN294))," -R"&amp;VLOOKUP(AN294,Skills!$M$2:$S$620,7,FALSE),IF(ISNUMBER(SEARCH(", Spoken",AN294))," -R"&amp;VLOOKUP(AN294,Skills!$M$2:$S$620,7,FALSE),"")),"")</f>
        <v/>
      </c>
    </row>
    <row r="295" spans="33:41" x14ac:dyDescent="0.25">
      <c r="AG295">
        <v>294</v>
      </c>
      <c r="AH295" s="4" t="str">
        <f t="shared" si="182"/>
        <v/>
      </c>
      <c r="AI295" t="str">
        <f>IFERROR(VLOOKUP(AG295,Skills!$B$2:$M$620,12,FALSE),"")</f>
        <v/>
      </c>
      <c r="AJ295" s="4" t="str">
        <f>IFERROR(VLOOKUP(AG295,Skills!$B$2:$AF$620,31,FALSE),"")</f>
        <v/>
      </c>
      <c r="AK295" s="4" t="str">
        <f t="shared" si="185"/>
        <v/>
      </c>
      <c r="AL295" s="4">
        <v>0.29399999999999998</v>
      </c>
      <c r="AM295" s="62" t="str">
        <f t="shared" si="183"/>
        <v/>
      </c>
      <c r="AN295" t="str">
        <f t="shared" ca="1" si="184"/>
        <v/>
      </c>
      <c r="AO295" s="4" t="str">
        <f ca="1">IFERROR(VLOOKUP(AG295,$AH$2:$AJ$451,3,FALSE)&amp;IF(ISNUMBER(SEARCH(", Written",AN295))," -R"&amp;VLOOKUP(AN295,Skills!$M$2:$S$620,7,FALSE),IF(ISNUMBER(SEARCH(", Spoken",AN295))," -R"&amp;VLOOKUP(AN295,Skills!$M$2:$S$620,7,FALSE),"")),"")</f>
        <v/>
      </c>
    </row>
    <row r="296" spans="33:41" x14ac:dyDescent="0.25">
      <c r="AG296">
        <v>295</v>
      </c>
      <c r="AH296" s="4" t="str">
        <f t="shared" si="182"/>
        <v/>
      </c>
      <c r="AI296" t="str">
        <f>IFERROR(VLOOKUP(AG296,Skills!$B$2:$M$620,12,FALSE),"")</f>
        <v/>
      </c>
      <c r="AJ296" s="4" t="str">
        <f>IFERROR(VLOOKUP(AG296,Skills!$B$2:$AF$620,31,FALSE),"")</f>
        <v/>
      </c>
      <c r="AK296" s="4" t="str">
        <f t="shared" si="185"/>
        <v/>
      </c>
      <c r="AL296" s="4">
        <v>0.29499999999999998</v>
      </c>
      <c r="AM296" s="62" t="str">
        <f t="shared" si="183"/>
        <v/>
      </c>
      <c r="AN296" t="str">
        <f t="shared" ca="1" si="184"/>
        <v/>
      </c>
      <c r="AO296" s="4" t="str">
        <f ca="1">IFERROR(VLOOKUP(AG296,$AH$2:$AJ$451,3,FALSE)&amp;IF(ISNUMBER(SEARCH(", Written",AN296))," -R"&amp;VLOOKUP(AN296,Skills!$M$2:$S$620,7,FALSE),IF(ISNUMBER(SEARCH(", Spoken",AN296))," -R"&amp;VLOOKUP(AN296,Skills!$M$2:$S$620,7,FALSE),"")),"")</f>
        <v/>
      </c>
    </row>
    <row r="297" spans="33:41" x14ac:dyDescent="0.25">
      <c r="AG297">
        <v>296</v>
      </c>
      <c r="AH297" s="4" t="str">
        <f t="shared" si="182"/>
        <v/>
      </c>
      <c r="AI297" t="str">
        <f>IFERROR(VLOOKUP(AG297,Skills!$B$2:$M$620,12,FALSE),"")</f>
        <v/>
      </c>
      <c r="AJ297" s="4" t="str">
        <f>IFERROR(VLOOKUP(AG297,Skills!$B$2:$AF$620,31,FALSE),"")</f>
        <v/>
      </c>
      <c r="AK297" s="4" t="str">
        <f t="shared" si="185"/>
        <v/>
      </c>
      <c r="AL297" s="4">
        <v>0.29599999999999999</v>
      </c>
      <c r="AM297" s="62" t="str">
        <f t="shared" si="183"/>
        <v/>
      </c>
      <c r="AN297" t="str">
        <f t="shared" ca="1" si="184"/>
        <v/>
      </c>
      <c r="AO297" s="4" t="str">
        <f ca="1">IFERROR(VLOOKUP(AG297,$AH$2:$AJ$451,3,FALSE)&amp;IF(ISNUMBER(SEARCH(", Written",AN297))," -R"&amp;VLOOKUP(AN297,Skills!$M$2:$S$620,7,FALSE),IF(ISNUMBER(SEARCH(", Spoken",AN297))," -R"&amp;VLOOKUP(AN297,Skills!$M$2:$S$620,7,FALSE),"")),"")</f>
        <v/>
      </c>
    </row>
    <row r="298" spans="33:41" x14ac:dyDescent="0.25">
      <c r="AG298">
        <v>297</v>
      </c>
      <c r="AH298" s="4" t="str">
        <f t="shared" si="182"/>
        <v/>
      </c>
      <c r="AI298" t="str">
        <f>IFERROR(VLOOKUP(AG298,Skills!$B$2:$M$620,12,FALSE),"")</f>
        <v/>
      </c>
      <c r="AJ298" s="4" t="str">
        <f>IFERROR(VLOOKUP(AG298,Skills!$B$2:$AF$620,31,FALSE),"")</f>
        <v/>
      </c>
      <c r="AK298" s="4" t="str">
        <f t="shared" si="185"/>
        <v/>
      </c>
      <c r="AL298" s="4">
        <v>0.29699999999999999</v>
      </c>
      <c r="AM298" s="62" t="str">
        <f t="shared" si="183"/>
        <v/>
      </c>
      <c r="AN298" t="str">
        <f t="shared" ca="1" si="184"/>
        <v/>
      </c>
      <c r="AO298" s="4" t="str">
        <f ca="1">IFERROR(VLOOKUP(AG298,$AH$2:$AJ$451,3,FALSE)&amp;IF(ISNUMBER(SEARCH(", Written",AN298))," -R"&amp;VLOOKUP(AN298,Skills!$M$2:$S$620,7,FALSE),IF(ISNUMBER(SEARCH(", Spoken",AN298))," -R"&amp;VLOOKUP(AN298,Skills!$M$2:$S$620,7,FALSE),"")),"")</f>
        <v/>
      </c>
    </row>
    <row r="299" spans="33:41" x14ac:dyDescent="0.25">
      <c r="AG299">
        <v>298</v>
      </c>
      <c r="AH299" s="4" t="str">
        <f t="shared" si="182"/>
        <v/>
      </c>
      <c r="AI299" t="str">
        <f>IFERROR(VLOOKUP(AG299,Skills!$B$2:$M$620,12,FALSE),"")</f>
        <v/>
      </c>
      <c r="AJ299" s="4" t="str">
        <f>IFERROR(VLOOKUP(AG299,Skills!$B$2:$AF$620,31,FALSE),"")</f>
        <v/>
      </c>
      <c r="AK299" s="4" t="str">
        <f t="shared" si="185"/>
        <v/>
      </c>
      <c r="AL299" s="4">
        <v>0.29799999999999999</v>
      </c>
      <c r="AM299" s="62" t="str">
        <f t="shared" si="183"/>
        <v/>
      </c>
      <c r="AN299" t="str">
        <f t="shared" ca="1" si="184"/>
        <v/>
      </c>
      <c r="AO299" s="4" t="str">
        <f ca="1">IFERROR(VLOOKUP(AG299,$AH$2:$AJ$451,3,FALSE)&amp;IF(ISNUMBER(SEARCH(", Written",AN299))," -R"&amp;VLOOKUP(AN299,Skills!$M$2:$S$620,7,FALSE),IF(ISNUMBER(SEARCH(", Spoken",AN299))," -R"&amp;VLOOKUP(AN299,Skills!$M$2:$S$620,7,FALSE),"")),"")</f>
        <v/>
      </c>
    </row>
    <row r="300" spans="33:41" x14ac:dyDescent="0.25">
      <c r="AG300">
        <v>299</v>
      </c>
      <c r="AH300" s="4" t="str">
        <f t="shared" si="182"/>
        <v/>
      </c>
      <c r="AI300" t="str">
        <f>IFERROR(VLOOKUP(AG300,Skills!$B$2:$M$620,12,FALSE),"")</f>
        <v/>
      </c>
      <c r="AJ300" s="4" t="str">
        <f>IFERROR(VLOOKUP(AG300,Skills!$B$2:$AF$620,31,FALSE),"")</f>
        <v/>
      </c>
      <c r="AK300" s="4" t="str">
        <f t="shared" si="185"/>
        <v/>
      </c>
      <c r="AL300" s="4">
        <v>0.29899999999999999</v>
      </c>
      <c r="AM300" s="62" t="str">
        <f t="shared" si="183"/>
        <v/>
      </c>
      <c r="AN300" t="str">
        <f t="shared" ca="1" si="184"/>
        <v/>
      </c>
      <c r="AO300" s="4" t="str">
        <f ca="1">IFERROR(VLOOKUP(AG300,$AH$2:$AJ$451,3,FALSE)&amp;IF(ISNUMBER(SEARCH(", Written",AN300))," -R"&amp;VLOOKUP(AN300,Skills!$M$2:$S$620,7,FALSE),IF(ISNUMBER(SEARCH(", Spoken",AN300))," -R"&amp;VLOOKUP(AN300,Skills!$M$2:$S$620,7,FALSE),"")),"")</f>
        <v/>
      </c>
    </row>
    <row r="301" spans="33:41" x14ac:dyDescent="0.25">
      <c r="AG301">
        <v>300</v>
      </c>
      <c r="AH301" s="4" t="str">
        <f t="shared" si="182"/>
        <v/>
      </c>
      <c r="AI301" t="str">
        <f>IFERROR(VLOOKUP(AG301,Skills!$B$2:$M$620,12,FALSE),"")</f>
        <v/>
      </c>
      <c r="AJ301" s="4" t="str">
        <f>IFERROR(VLOOKUP(AG301,Skills!$B$2:$AF$620,31,FALSE),"")</f>
        <v/>
      </c>
      <c r="AK301" s="4" t="str">
        <f t="shared" si="185"/>
        <v/>
      </c>
      <c r="AL301" s="4">
        <v>0.3</v>
      </c>
      <c r="AM301" s="62" t="str">
        <f t="shared" si="183"/>
        <v/>
      </c>
      <c r="AN301" t="str">
        <f t="shared" ca="1" si="184"/>
        <v/>
      </c>
      <c r="AO301" s="4" t="str">
        <f ca="1">IFERROR(VLOOKUP(AG301,$AH$2:$AJ$451,3,FALSE)&amp;IF(ISNUMBER(SEARCH(", Written",AN301))," -R"&amp;VLOOKUP(AN301,Skills!$M$2:$S$620,7,FALSE),IF(ISNUMBER(SEARCH(", Spoken",AN301))," -R"&amp;VLOOKUP(AN301,Skills!$M$2:$S$620,7,FALSE),"")),"")</f>
        <v/>
      </c>
    </row>
    <row r="302" spans="33:41" x14ac:dyDescent="0.25">
      <c r="AG302">
        <v>301</v>
      </c>
      <c r="AH302" s="4" t="str">
        <f t="shared" si="182"/>
        <v/>
      </c>
      <c r="AI302" t="str">
        <f>IFERROR(VLOOKUP(AG302,Skills!$B$2:$M$620,12,FALSE),"")</f>
        <v/>
      </c>
      <c r="AJ302" s="4" t="str">
        <f>IFERROR(VLOOKUP(AG302,Skills!$B$2:$AF$620,31,FALSE),"")</f>
        <v/>
      </c>
      <c r="AK302" s="4" t="str">
        <f t="shared" si="185"/>
        <v/>
      </c>
      <c r="AL302" s="4">
        <v>0.30099999999999999</v>
      </c>
      <c r="AM302" s="62" t="str">
        <f t="shared" si="183"/>
        <v/>
      </c>
      <c r="AN302" t="str">
        <f t="shared" ca="1" si="184"/>
        <v/>
      </c>
      <c r="AO302" s="4" t="str">
        <f ca="1">IFERROR(VLOOKUP(AG302,$AH$2:$AJ$451,3,FALSE)&amp;IF(ISNUMBER(SEARCH(", Written",AN302))," -R"&amp;VLOOKUP(AN302,Skills!$M$2:$S$620,7,FALSE),IF(ISNUMBER(SEARCH(", Spoken",AN302))," -R"&amp;VLOOKUP(AN302,Skills!$M$2:$S$620,7,FALSE),"")),"")</f>
        <v/>
      </c>
    </row>
    <row r="303" spans="33:41" x14ac:dyDescent="0.25">
      <c r="AG303">
        <v>302</v>
      </c>
      <c r="AH303" s="4" t="str">
        <f t="shared" si="182"/>
        <v/>
      </c>
      <c r="AI303" t="str">
        <f>IFERROR(VLOOKUP(AG303,Skills!$B$2:$M$620,12,FALSE),"")</f>
        <v/>
      </c>
      <c r="AJ303" s="4" t="str">
        <f>IFERROR(VLOOKUP(AG303,Skills!$B$2:$AF$620,31,FALSE),"")</f>
        <v/>
      </c>
      <c r="AK303" s="4" t="str">
        <f t="shared" si="185"/>
        <v/>
      </c>
      <c r="AL303" s="4">
        <v>0.30199999999999999</v>
      </c>
      <c r="AM303" s="62" t="str">
        <f t="shared" si="183"/>
        <v/>
      </c>
      <c r="AN303" t="str">
        <f t="shared" ca="1" si="184"/>
        <v/>
      </c>
      <c r="AO303" s="4" t="str">
        <f ca="1">IFERROR(VLOOKUP(AG303,$AH$2:$AJ$451,3,FALSE)&amp;IF(ISNUMBER(SEARCH(", Written",AN303))," -R"&amp;VLOOKUP(AN303,Skills!$M$2:$S$620,7,FALSE),IF(ISNUMBER(SEARCH(", Spoken",AN303))," -R"&amp;VLOOKUP(AN303,Skills!$M$2:$S$620,7,FALSE),"")),"")</f>
        <v/>
      </c>
    </row>
    <row r="304" spans="33:41" x14ac:dyDescent="0.25">
      <c r="AG304">
        <v>303</v>
      </c>
      <c r="AH304" s="4" t="str">
        <f t="shared" si="182"/>
        <v/>
      </c>
      <c r="AI304" t="str">
        <f>IFERROR(VLOOKUP(AG304,Skills!$B$2:$M$620,12,FALSE),"")</f>
        <v/>
      </c>
      <c r="AJ304" s="4" t="str">
        <f>IFERROR(VLOOKUP(AG304,Skills!$B$2:$AF$620,31,FALSE),"")</f>
        <v/>
      </c>
      <c r="AK304" s="4" t="str">
        <f t="shared" si="185"/>
        <v/>
      </c>
      <c r="AL304" s="4">
        <v>0.30299999999999999</v>
      </c>
      <c r="AM304" s="62" t="str">
        <f t="shared" si="183"/>
        <v/>
      </c>
      <c r="AN304" t="str">
        <f t="shared" ca="1" si="184"/>
        <v/>
      </c>
      <c r="AO304" s="4" t="str">
        <f ca="1">IFERROR(VLOOKUP(AG304,$AH$2:$AJ$451,3,FALSE)&amp;IF(ISNUMBER(SEARCH(", Written",AN304))," -R"&amp;VLOOKUP(AN304,Skills!$M$2:$S$620,7,FALSE),IF(ISNUMBER(SEARCH(", Spoken",AN304))," -R"&amp;VLOOKUP(AN304,Skills!$M$2:$S$620,7,FALSE),"")),"")</f>
        <v/>
      </c>
    </row>
    <row r="305" spans="33:41" x14ac:dyDescent="0.25">
      <c r="AG305">
        <v>304</v>
      </c>
      <c r="AH305" s="4" t="str">
        <f t="shared" si="182"/>
        <v/>
      </c>
      <c r="AI305" t="str">
        <f>IFERROR(VLOOKUP(AG305,Skills!$B$2:$M$620,12,FALSE),"")</f>
        <v/>
      </c>
      <c r="AJ305" s="4" t="str">
        <f>IFERROR(VLOOKUP(AG305,Skills!$B$2:$AF$620,31,FALSE),"")</f>
        <v/>
      </c>
      <c r="AK305" s="4" t="str">
        <f t="shared" si="185"/>
        <v/>
      </c>
      <c r="AL305" s="4">
        <v>0.30399999999999999</v>
      </c>
      <c r="AM305" s="62" t="str">
        <f t="shared" si="183"/>
        <v/>
      </c>
      <c r="AN305" t="str">
        <f t="shared" ca="1" si="184"/>
        <v/>
      </c>
      <c r="AO305" s="4" t="str">
        <f ca="1">IFERROR(VLOOKUP(AG305,$AH$2:$AJ$451,3,FALSE)&amp;IF(ISNUMBER(SEARCH(", Written",AN305))," -R"&amp;VLOOKUP(AN305,Skills!$M$2:$S$620,7,FALSE),IF(ISNUMBER(SEARCH(", Spoken",AN305))," -R"&amp;VLOOKUP(AN305,Skills!$M$2:$S$620,7,FALSE),"")),"")</f>
        <v/>
      </c>
    </row>
    <row r="306" spans="33:41" x14ac:dyDescent="0.25">
      <c r="AG306">
        <v>305</v>
      </c>
      <c r="AH306" s="4" t="str">
        <f t="shared" si="182"/>
        <v/>
      </c>
      <c r="AI306" t="str">
        <f>IFERROR(VLOOKUP(AG306,Skills!$B$2:$M$620,12,FALSE),"")</f>
        <v/>
      </c>
      <c r="AJ306" s="4" t="str">
        <f>IFERROR(VLOOKUP(AG306,Skills!$B$2:$AF$620,31,FALSE),"")</f>
        <v/>
      </c>
      <c r="AK306" s="4" t="str">
        <f t="shared" si="185"/>
        <v/>
      </c>
      <c r="AL306" s="4">
        <v>0.30499999999999999</v>
      </c>
      <c r="AM306" s="62" t="str">
        <f t="shared" si="183"/>
        <v/>
      </c>
      <c r="AN306" t="str">
        <f t="shared" ca="1" si="184"/>
        <v/>
      </c>
      <c r="AO306" s="4" t="str">
        <f ca="1">IFERROR(VLOOKUP(AG306,$AH$2:$AJ$451,3,FALSE)&amp;IF(ISNUMBER(SEARCH(", Written",AN306))," -R"&amp;VLOOKUP(AN306,Skills!$M$2:$S$620,7,FALSE),IF(ISNUMBER(SEARCH(", Spoken",AN306))," -R"&amp;VLOOKUP(AN306,Skills!$M$2:$S$620,7,FALSE),"")),"")</f>
        <v/>
      </c>
    </row>
    <row r="307" spans="33:41" x14ac:dyDescent="0.25">
      <c r="AG307">
        <v>306</v>
      </c>
      <c r="AH307" s="4" t="str">
        <f t="shared" si="182"/>
        <v/>
      </c>
      <c r="AI307" t="str">
        <f>IFERROR(VLOOKUP(AG307,Skills!$B$2:$M$620,12,FALSE),"")</f>
        <v/>
      </c>
      <c r="AJ307" s="4" t="str">
        <f>IFERROR(VLOOKUP(AG307,Skills!$B$2:$AF$620,31,FALSE),"")</f>
        <v/>
      </c>
      <c r="AK307" s="4" t="str">
        <f t="shared" si="185"/>
        <v/>
      </c>
      <c r="AL307" s="4">
        <v>0.30599999999999999</v>
      </c>
      <c r="AM307" s="62" t="str">
        <f t="shared" si="183"/>
        <v/>
      </c>
      <c r="AN307" t="str">
        <f t="shared" ca="1" si="184"/>
        <v/>
      </c>
      <c r="AO307" s="4" t="str">
        <f ca="1">IFERROR(VLOOKUP(AG307,$AH$2:$AJ$451,3,FALSE)&amp;IF(ISNUMBER(SEARCH(", Written",AN307))," -R"&amp;VLOOKUP(AN307,Skills!$M$2:$S$620,7,FALSE),IF(ISNUMBER(SEARCH(", Spoken",AN307))," -R"&amp;VLOOKUP(AN307,Skills!$M$2:$S$620,7,FALSE),"")),"")</f>
        <v/>
      </c>
    </row>
    <row r="308" spans="33:41" x14ac:dyDescent="0.25">
      <c r="AG308">
        <v>307</v>
      </c>
      <c r="AH308" s="4" t="str">
        <f t="shared" si="182"/>
        <v/>
      </c>
      <c r="AI308" t="str">
        <f>IFERROR(VLOOKUP(AG308,Skills!$B$2:$M$620,12,FALSE),"")</f>
        <v/>
      </c>
      <c r="AJ308" s="4" t="str">
        <f>IFERROR(VLOOKUP(AG308,Skills!$B$2:$AF$620,31,FALSE),"")</f>
        <v/>
      </c>
      <c r="AK308" s="4" t="str">
        <f t="shared" si="185"/>
        <v/>
      </c>
      <c r="AL308" s="4">
        <v>0.307</v>
      </c>
      <c r="AM308" s="62" t="str">
        <f t="shared" si="183"/>
        <v/>
      </c>
      <c r="AN308" t="str">
        <f t="shared" ca="1" si="184"/>
        <v/>
      </c>
      <c r="AO308" s="4" t="str">
        <f ca="1">IFERROR(VLOOKUP(AG308,$AH$2:$AJ$451,3,FALSE)&amp;IF(ISNUMBER(SEARCH(", Written",AN308))," -R"&amp;VLOOKUP(AN308,Skills!$M$2:$S$620,7,FALSE),IF(ISNUMBER(SEARCH(", Spoken",AN308))," -R"&amp;VLOOKUP(AN308,Skills!$M$2:$S$620,7,FALSE),"")),"")</f>
        <v/>
      </c>
    </row>
    <row r="309" spans="33:41" x14ac:dyDescent="0.25">
      <c r="AG309">
        <v>308</v>
      </c>
      <c r="AH309" s="4" t="str">
        <f t="shared" si="182"/>
        <v/>
      </c>
      <c r="AI309" t="str">
        <f>IFERROR(VLOOKUP(AG309,Skills!$B$2:$M$620,12,FALSE),"")</f>
        <v/>
      </c>
      <c r="AJ309" s="4" t="str">
        <f>IFERROR(VLOOKUP(AG309,Skills!$B$2:$AF$620,31,FALSE),"")</f>
        <v/>
      </c>
      <c r="AK309" s="4" t="str">
        <f t="shared" si="185"/>
        <v/>
      </c>
      <c r="AL309" s="4">
        <v>0.308</v>
      </c>
      <c r="AM309" s="62" t="str">
        <f t="shared" si="183"/>
        <v/>
      </c>
      <c r="AN309" t="str">
        <f t="shared" ca="1" si="184"/>
        <v/>
      </c>
      <c r="AO309" s="4" t="str">
        <f ca="1">IFERROR(VLOOKUP(AG309,$AH$2:$AJ$451,3,FALSE)&amp;IF(ISNUMBER(SEARCH(", Written",AN309))," -R"&amp;VLOOKUP(AN309,Skills!$M$2:$S$620,7,FALSE),IF(ISNUMBER(SEARCH(", Spoken",AN309))," -R"&amp;VLOOKUP(AN309,Skills!$M$2:$S$620,7,FALSE),"")),"")</f>
        <v/>
      </c>
    </row>
    <row r="310" spans="33:41" x14ac:dyDescent="0.25">
      <c r="AG310">
        <v>309</v>
      </c>
      <c r="AH310" s="4" t="str">
        <f t="shared" si="182"/>
        <v/>
      </c>
      <c r="AI310" t="str">
        <f>IFERROR(VLOOKUP(AG310,Skills!$B$2:$M$620,12,FALSE),"")</f>
        <v/>
      </c>
      <c r="AJ310" s="4" t="str">
        <f>IFERROR(VLOOKUP(AG310,Skills!$B$2:$AF$620,31,FALSE),"")</f>
        <v/>
      </c>
      <c r="AK310" s="4" t="str">
        <f t="shared" si="185"/>
        <v/>
      </c>
      <c r="AL310" s="4">
        <v>0.309</v>
      </c>
      <c r="AM310" s="62" t="str">
        <f t="shared" si="183"/>
        <v/>
      </c>
      <c r="AN310" t="str">
        <f t="shared" ca="1" si="184"/>
        <v/>
      </c>
      <c r="AO310" s="4" t="str">
        <f ca="1">IFERROR(VLOOKUP(AG310,$AH$2:$AJ$451,3,FALSE)&amp;IF(ISNUMBER(SEARCH(", Written",AN310))," -R"&amp;VLOOKUP(AN310,Skills!$M$2:$S$620,7,FALSE),IF(ISNUMBER(SEARCH(", Spoken",AN310))," -R"&amp;VLOOKUP(AN310,Skills!$M$2:$S$620,7,FALSE),"")),"")</f>
        <v/>
      </c>
    </row>
    <row r="311" spans="33:41" x14ac:dyDescent="0.25">
      <c r="AG311">
        <v>310</v>
      </c>
      <c r="AH311" s="4" t="str">
        <f t="shared" si="182"/>
        <v/>
      </c>
      <c r="AI311" t="str">
        <f>IFERROR(VLOOKUP(AG311,Skills!$B$2:$M$620,12,FALSE),"")</f>
        <v/>
      </c>
      <c r="AJ311" s="4" t="str">
        <f>IFERROR(VLOOKUP(AG311,Skills!$B$2:$AF$620,31,FALSE),"")</f>
        <v/>
      </c>
      <c r="AK311" s="4" t="str">
        <f t="shared" si="185"/>
        <v/>
      </c>
      <c r="AL311" s="4">
        <v>0.31</v>
      </c>
      <c r="AM311" s="62" t="str">
        <f t="shared" si="183"/>
        <v/>
      </c>
      <c r="AN311" t="str">
        <f t="shared" ca="1" si="184"/>
        <v/>
      </c>
      <c r="AO311" s="4" t="str">
        <f ca="1">IFERROR(VLOOKUP(AG311,$AH$2:$AJ$451,3,FALSE)&amp;IF(ISNUMBER(SEARCH(", Written",AN311))," -R"&amp;VLOOKUP(AN311,Skills!$M$2:$S$620,7,FALSE),IF(ISNUMBER(SEARCH(", Spoken",AN311))," -R"&amp;VLOOKUP(AN311,Skills!$M$2:$S$620,7,FALSE),"")),"")</f>
        <v/>
      </c>
    </row>
    <row r="312" spans="33:41" x14ac:dyDescent="0.25">
      <c r="AG312">
        <v>311</v>
      </c>
      <c r="AH312" s="4" t="str">
        <f t="shared" si="182"/>
        <v/>
      </c>
      <c r="AI312" t="str">
        <f>IFERROR(VLOOKUP(AG312,Skills!$B$2:$M$620,12,FALSE),"")</f>
        <v/>
      </c>
      <c r="AJ312" s="4" t="str">
        <f>IFERROR(VLOOKUP(AG312,Skills!$B$2:$AF$620,31,FALSE),"")</f>
        <v/>
      </c>
      <c r="AK312" s="4" t="str">
        <f t="shared" si="185"/>
        <v/>
      </c>
      <c r="AL312" s="4">
        <v>0.311</v>
      </c>
      <c r="AM312" s="62" t="str">
        <f t="shared" si="183"/>
        <v/>
      </c>
      <c r="AN312" t="str">
        <f t="shared" ca="1" si="184"/>
        <v/>
      </c>
      <c r="AO312" s="4" t="str">
        <f ca="1">IFERROR(VLOOKUP(AG312,$AH$2:$AJ$451,3,FALSE)&amp;IF(ISNUMBER(SEARCH(", Written",AN312))," -R"&amp;VLOOKUP(AN312,Skills!$M$2:$S$620,7,FALSE),IF(ISNUMBER(SEARCH(", Spoken",AN312))," -R"&amp;VLOOKUP(AN312,Skills!$M$2:$S$620,7,FALSE),"")),"")</f>
        <v/>
      </c>
    </row>
    <row r="313" spans="33:41" x14ac:dyDescent="0.25">
      <c r="AG313">
        <v>312</v>
      </c>
      <c r="AH313" s="4" t="str">
        <f t="shared" si="182"/>
        <v/>
      </c>
      <c r="AI313" t="str">
        <f>IFERROR(VLOOKUP(AG313,Skills!$B$2:$M$620,12,FALSE),"")</f>
        <v/>
      </c>
      <c r="AJ313" s="4" t="str">
        <f>IFERROR(VLOOKUP(AG313,Skills!$B$2:$AF$620,31,FALSE),"")</f>
        <v/>
      </c>
      <c r="AK313" s="4" t="str">
        <f t="shared" si="185"/>
        <v/>
      </c>
      <c r="AL313" s="4">
        <v>0.312</v>
      </c>
      <c r="AM313" s="62" t="str">
        <f t="shared" si="183"/>
        <v/>
      </c>
      <c r="AN313" t="str">
        <f t="shared" ca="1" si="184"/>
        <v/>
      </c>
      <c r="AO313" s="4" t="str">
        <f ca="1">IFERROR(VLOOKUP(AG313,$AH$2:$AJ$451,3,FALSE)&amp;IF(ISNUMBER(SEARCH(", Written",AN313))," -R"&amp;VLOOKUP(AN313,Skills!$M$2:$S$620,7,FALSE),IF(ISNUMBER(SEARCH(", Spoken",AN313))," -R"&amp;VLOOKUP(AN313,Skills!$M$2:$S$620,7,FALSE),"")),"")</f>
        <v/>
      </c>
    </row>
    <row r="314" spans="33:41" x14ac:dyDescent="0.25">
      <c r="AG314">
        <v>313</v>
      </c>
      <c r="AH314" s="4" t="str">
        <f t="shared" si="182"/>
        <v/>
      </c>
      <c r="AI314" t="str">
        <f>IFERROR(VLOOKUP(AG314,Skills!$B$2:$M$620,12,FALSE),"")</f>
        <v/>
      </c>
      <c r="AJ314" s="4" t="str">
        <f>IFERROR(VLOOKUP(AG314,Skills!$B$2:$AF$620,31,FALSE),"")</f>
        <v/>
      </c>
      <c r="AK314" s="4" t="str">
        <f t="shared" si="185"/>
        <v/>
      </c>
      <c r="AL314" s="4">
        <v>0.313</v>
      </c>
      <c r="AM314" s="62" t="str">
        <f t="shared" si="183"/>
        <v/>
      </c>
      <c r="AN314" t="str">
        <f t="shared" ca="1" si="184"/>
        <v/>
      </c>
      <c r="AO314" s="4" t="str">
        <f ca="1">IFERROR(VLOOKUP(AG314,$AH$2:$AJ$451,3,FALSE)&amp;IF(ISNUMBER(SEARCH(", Written",AN314))," -R"&amp;VLOOKUP(AN314,Skills!$M$2:$S$620,7,FALSE),IF(ISNUMBER(SEARCH(", Spoken",AN314))," -R"&amp;VLOOKUP(AN314,Skills!$M$2:$S$620,7,FALSE),"")),"")</f>
        <v/>
      </c>
    </row>
    <row r="315" spans="33:41" x14ac:dyDescent="0.25">
      <c r="AG315">
        <v>314</v>
      </c>
      <c r="AH315" s="4" t="str">
        <f t="shared" si="182"/>
        <v/>
      </c>
      <c r="AI315" t="str">
        <f>IFERROR(VLOOKUP(AG315,Skills!$B$2:$M$620,12,FALSE),"")</f>
        <v/>
      </c>
      <c r="AJ315" s="4" t="str">
        <f>IFERROR(VLOOKUP(AG315,Skills!$B$2:$AF$620,31,FALSE),"")</f>
        <v/>
      </c>
      <c r="AK315" s="4" t="str">
        <f t="shared" si="185"/>
        <v/>
      </c>
      <c r="AL315" s="4">
        <v>0.314</v>
      </c>
      <c r="AM315" s="62" t="str">
        <f t="shared" si="183"/>
        <v/>
      </c>
      <c r="AN315" t="str">
        <f t="shared" ca="1" si="184"/>
        <v/>
      </c>
      <c r="AO315" s="4" t="str">
        <f ca="1">IFERROR(VLOOKUP(AG315,$AH$2:$AJ$451,3,FALSE)&amp;IF(ISNUMBER(SEARCH(", Written",AN315))," -R"&amp;VLOOKUP(AN315,Skills!$M$2:$S$620,7,FALSE),IF(ISNUMBER(SEARCH(", Spoken",AN315))," -R"&amp;VLOOKUP(AN315,Skills!$M$2:$S$620,7,FALSE),"")),"")</f>
        <v/>
      </c>
    </row>
    <row r="316" spans="33:41" x14ac:dyDescent="0.25">
      <c r="AG316">
        <v>315</v>
      </c>
      <c r="AH316" s="4" t="str">
        <f t="shared" si="182"/>
        <v/>
      </c>
      <c r="AI316" t="str">
        <f>IFERROR(VLOOKUP(AG316,Skills!$B$2:$M$620,12,FALSE),"")</f>
        <v/>
      </c>
      <c r="AJ316" s="4" t="str">
        <f>IFERROR(VLOOKUP(AG316,Skills!$B$2:$AF$620,31,FALSE),"")</f>
        <v/>
      </c>
      <c r="AK316" s="4" t="str">
        <f t="shared" si="185"/>
        <v/>
      </c>
      <c r="AL316" s="4">
        <v>0.315</v>
      </c>
      <c r="AM316" s="62" t="str">
        <f t="shared" si="183"/>
        <v/>
      </c>
      <c r="AN316" t="str">
        <f t="shared" ca="1" si="184"/>
        <v/>
      </c>
      <c r="AO316" s="4" t="str">
        <f ca="1">IFERROR(VLOOKUP(AG316,$AH$2:$AJ$451,3,FALSE)&amp;IF(ISNUMBER(SEARCH(", Written",AN316))," -R"&amp;VLOOKUP(AN316,Skills!$M$2:$S$620,7,FALSE),IF(ISNUMBER(SEARCH(", Spoken",AN316))," -R"&amp;VLOOKUP(AN316,Skills!$M$2:$S$620,7,FALSE),"")),"")</f>
        <v/>
      </c>
    </row>
    <row r="317" spans="33:41" x14ac:dyDescent="0.25">
      <c r="AG317">
        <v>316</v>
      </c>
      <c r="AH317" s="4" t="str">
        <f t="shared" si="182"/>
        <v/>
      </c>
      <c r="AI317" t="str">
        <f>IFERROR(VLOOKUP(AG317,Skills!$B$2:$M$620,12,FALSE),"")</f>
        <v/>
      </c>
      <c r="AJ317" s="4" t="str">
        <f>IFERROR(VLOOKUP(AG317,Skills!$B$2:$AF$620,31,FALSE),"")</f>
        <v/>
      </c>
      <c r="AK317" s="4" t="str">
        <f t="shared" si="185"/>
        <v/>
      </c>
      <c r="AL317" s="4">
        <v>0.316</v>
      </c>
      <c r="AM317" s="62" t="str">
        <f t="shared" si="183"/>
        <v/>
      </c>
      <c r="AN317" t="str">
        <f t="shared" ca="1" si="184"/>
        <v/>
      </c>
      <c r="AO317" s="4" t="str">
        <f ca="1">IFERROR(VLOOKUP(AG317,$AH$2:$AJ$451,3,FALSE)&amp;IF(ISNUMBER(SEARCH(", Written",AN317))," -R"&amp;VLOOKUP(AN317,Skills!$M$2:$S$620,7,FALSE),IF(ISNUMBER(SEARCH(", Spoken",AN317))," -R"&amp;VLOOKUP(AN317,Skills!$M$2:$S$620,7,FALSE),"")),"")</f>
        <v/>
      </c>
    </row>
    <row r="318" spans="33:41" x14ac:dyDescent="0.25">
      <c r="AG318">
        <v>317</v>
      </c>
      <c r="AH318" s="4" t="str">
        <f t="shared" si="182"/>
        <v/>
      </c>
      <c r="AI318" t="str">
        <f>IFERROR(VLOOKUP(AG318,Skills!$B$2:$M$620,12,FALSE),"")</f>
        <v/>
      </c>
      <c r="AJ318" s="4" t="str">
        <f>IFERROR(VLOOKUP(AG318,Skills!$B$2:$AF$620,31,FALSE),"")</f>
        <v/>
      </c>
      <c r="AK318" s="4" t="str">
        <f t="shared" si="185"/>
        <v/>
      </c>
      <c r="AL318" s="4">
        <v>0.317</v>
      </c>
      <c r="AM318" s="62" t="str">
        <f t="shared" si="183"/>
        <v/>
      </c>
      <c r="AN318" t="str">
        <f t="shared" ca="1" si="184"/>
        <v/>
      </c>
      <c r="AO318" s="4" t="str">
        <f ca="1">IFERROR(VLOOKUP(AG318,$AH$2:$AJ$451,3,FALSE)&amp;IF(ISNUMBER(SEARCH(", Written",AN318))," -R"&amp;VLOOKUP(AN318,Skills!$M$2:$S$620,7,FALSE),IF(ISNUMBER(SEARCH(", Spoken",AN318))," -R"&amp;VLOOKUP(AN318,Skills!$M$2:$S$620,7,FALSE),"")),"")</f>
        <v/>
      </c>
    </row>
    <row r="319" spans="33:41" x14ac:dyDescent="0.25">
      <c r="AG319">
        <v>318</v>
      </c>
      <c r="AH319" s="4" t="str">
        <f t="shared" si="182"/>
        <v/>
      </c>
      <c r="AI319" t="str">
        <f>IFERROR(VLOOKUP(AG319,Skills!$B$2:$M$620,12,FALSE),"")</f>
        <v/>
      </c>
      <c r="AJ319" s="4" t="str">
        <f>IFERROR(VLOOKUP(AG319,Skills!$B$2:$AF$620,31,FALSE),"")</f>
        <v/>
      </c>
      <c r="AK319" s="4" t="str">
        <f t="shared" si="185"/>
        <v/>
      </c>
      <c r="AL319" s="4">
        <v>0.318</v>
      </c>
      <c r="AM319" s="62" t="str">
        <f t="shared" si="183"/>
        <v/>
      </c>
      <c r="AN319" t="str">
        <f t="shared" ca="1" si="184"/>
        <v/>
      </c>
      <c r="AO319" s="4" t="str">
        <f ca="1">IFERROR(VLOOKUP(AG319,$AH$2:$AJ$451,3,FALSE)&amp;IF(ISNUMBER(SEARCH(", Written",AN319))," -R"&amp;VLOOKUP(AN319,Skills!$M$2:$S$620,7,FALSE),IF(ISNUMBER(SEARCH(", Spoken",AN319))," -R"&amp;VLOOKUP(AN319,Skills!$M$2:$S$620,7,FALSE),"")),"")</f>
        <v/>
      </c>
    </row>
    <row r="320" spans="33:41" x14ac:dyDescent="0.25">
      <c r="AG320">
        <v>319</v>
      </c>
      <c r="AH320" s="4" t="str">
        <f t="shared" si="182"/>
        <v/>
      </c>
      <c r="AI320" t="str">
        <f>IFERROR(VLOOKUP(AG320,Skills!$B$2:$M$620,12,FALSE),"")</f>
        <v/>
      </c>
      <c r="AJ320" s="4" t="str">
        <f>IFERROR(VLOOKUP(AG320,Skills!$B$2:$AF$620,31,FALSE),"")</f>
        <v/>
      </c>
      <c r="AK320" s="4" t="str">
        <f t="shared" si="185"/>
        <v/>
      </c>
      <c r="AL320" s="4">
        <v>0.31900000000000001</v>
      </c>
      <c r="AM320" s="62" t="str">
        <f t="shared" si="183"/>
        <v/>
      </c>
      <c r="AN320" t="str">
        <f t="shared" ca="1" si="184"/>
        <v/>
      </c>
      <c r="AO320" s="4" t="str">
        <f ca="1">IFERROR(VLOOKUP(AG320,$AH$2:$AJ$451,3,FALSE)&amp;IF(ISNUMBER(SEARCH(", Written",AN320))," -R"&amp;VLOOKUP(AN320,Skills!$M$2:$S$620,7,FALSE),IF(ISNUMBER(SEARCH(", Spoken",AN320))," -R"&amp;VLOOKUP(AN320,Skills!$M$2:$S$620,7,FALSE),"")),"")</f>
        <v/>
      </c>
    </row>
    <row r="321" spans="33:41" x14ac:dyDescent="0.25">
      <c r="AG321">
        <v>320</v>
      </c>
      <c r="AH321" s="4" t="str">
        <f t="shared" si="182"/>
        <v/>
      </c>
      <c r="AI321" t="str">
        <f>IFERROR(VLOOKUP(AG321,Skills!$B$2:$M$620,12,FALSE),"")</f>
        <v/>
      </c>
      <c r="AJ321" s="4" t="str">
        <f>IFERROR(VLOOKUP(AG321,Skills!$B$2:$AF$620,31,FALSE),"")</f>
        <v/>
      </c>
      <c r="AK321" s="4" t="str">
        <f t="shared" si="185"/>
        <v/>
      </c>
      <c r="AL321" s="4">
        <v>0.32</v>
      </c>
      <c r="AM321" s="62" t="str">
        <f t="shared" si="183"/>
        <v/>
      </c>
      <c r="AN321" t="str">
        <f t="shared" ca="1" si="184"/>
        <v/>
      </c>
      <c r="AO321" s="4" t="str">
        <f ca="1">IFERROR(VLOOKUP(AG321,$AH$2:$AJ$451,3,FALSE)&amp;IF(ISNUMBER(SEARCH(", Written",AN321))," -R"&amp;VLOOKUP(AN321,Skills!$M$2:$S$620,7,FALSE),IF(ISNUMBER(SEARCH(", Spoken",AN321))," -R"&amp;VLOOKUP(AN321,Skills!$M$2:$S$620,7,FALSE),"")),"")</f>
        <v/>
      </c>
    </row>
    <row r="322" spans="33:41" x14ac:dyDescent="0.25">
      <c r="AG322">
        <v>321</v>
      </c>
      <c r="AH322" s="4" t="str">
        <f t="shared" si="182"/>
        <v/>
      </c>
      <c r="AI322" t="str">
        <f>IFERROR(VLOOKUP(AG322,Skills!$B$2:$M$620,12,FALSE),"")</f>
        <v/>
      </c>
      <c r="AJ322" s="4" t="str">
        <f>IFERROR(VLOOKUP(AG322,Skills!$B$2:$AF$620,31,FALSE),"")</f>
        <v/>
      </c>
      <c r="AK322" s="4" t="str">
        <f t="shared" si="185"/>
        <v/>
      </c>
      <c r="AL322" s="4">
        <v>0.32100000000000001</v>
      </c>
      <c r="AM322" s="62" t="str">
        <f t="shared" si="183"/>
        <v/>
      </c>
      <c r="AN322" t="str">
        <f t="shared" ca="1" si="184"/>
        <v/>
      </c>
      <c r="AO322" s="4" t="str">
        <f ca="1">IFERROR(VLOOKUP(AG322,$AH$2:$AJ$451,3,FALSE)&amp;IF(ISNUMBER(SEARCH(", Written",AN322))," -R"&amp;VLOOKUP(AN322,Skills!$M$2:$S$620,7,FALSE),IF(ISNUMBER(SEARCH(", Spoken",AN322))," -R"&amp;VLOOKUP(AN322,Skills!$M$2:$S$620,7,FALSE),"")),"")</f>
        <v/>
      </c>
    </row>
    <row r="323" spans="33:41" x14ac:dyDescent="0.25">
      <c r="AG323">
        <v>322</v>
      </c>
      <c r="AH323" s="4" t="str">
        <f t="shared" ref="AH323:AH386" si="186">IFERROR(_xlfn.RANK.EQ(AM323,$AM$2:$AM$451),"")</f>
        <v/>
      </c>
      <c r="AI323" t="str">
        <f>IFERROR(VLOOKUP(AG323,Skills!$B$2:$M$620,12,FALSE),"")</f>
        <v/>
      </c>
      <c r="AJ323" s="4" t="str">
        <f>IFERROR(VLOOKUP(AG323,Skills!$B$2:$AF$620,31,FALSE),"")</f>
        <v/>
      </c>
      <c r="AK323" s="4" t="str">
        <f t="shared" si="185"/>
        <v/>
      </c>
      <c r="AL323" s="4">
        <v>0.32200000000000001</v>
      </c>
      <c r="AM323" s="62" t="str">
        <f t="shared" ref="AM323:AM386" si="187">IFERROR(AK323+AL323,"")</f>
        <v/>
      </c>
      <c r="AN323" t="str">
        <f t="shared" ref="AN323:AN386" ca="1" si="188">IFERROR(VLOOKUP(AG323,$AH$2:$AJ$451,2,FALSE),"")</f>
        <v/>
      </c>
      <c r="AO323" s="4" t="str">
        <f ca="1">IFERROR(VLOOKUP(AG323,$AH$2:$AJ$451,3,FALSE)&amp;IF(ISNUMBER(SEARCH(", Written",AN323))," -R"&amp;VLOOKUP(AN323,Skills!$M$2:$S$620,7,FALSE),IF(ISNUMBER(SEARCH(", Spoken",AN323))," -R"&amp;VLOOKUP(AN323,Skills!$M$2:$S$620,7,FALSE),"")),"")</f>
        <v/>
      </c>
    </row>
    <row r="324" spans="33:41" x14ac:dyDescent="0.25">
      <c r="AG324">
        <v>323</v>
      </c>
      <c r="AH324" s="4" t="str">
        <f t="shared" ca="1" si="186"/>
        <v/>
      </c>
      <c r="AI324" t="str">
        <f>IFERROR(VLOOKUP(AG324,Skills!$B$2:$M$620,12,FALSE),"")</f>
        <v/>
      </c>
      <c r="AJ324" s="4" t="str">
        <f ca="1">IFERROR(VLOOKUP(AG324,Skills!$B$2:$AF$620,31,FALSE),"")</f>
        <v/>
      </c>
      <c r="AK324" s="4" t="str">
        <f t="shared" ca="1" si="185"/>
        <v/>
      </c>
      <c r="AL324" s="4">
        <v>0.32300000000000001</v>
      </c>
      <c r="AM324" s="62" t="str">
        <f t="shared" ca="1" si="187"/>
        <v/>
      </c>
      <c r="AN324" t="str">
        <f t="shared" ca="1" si="188"/>
        <v/>
      </c>
      <c r="AO324" s="4" t="str">
        <f ca="1">IFERROR(VLOOKUP(AG324,$AH$2:$AJ$451,3,FALSE)&amp;IF(ISNUMBER(SEARCH(", Written",AN324))," -R"&amp;VLOOKUP(AN324,Skills!$M$2:$S$620,7,FALSE),IF(ISNUMBER(SEARCH(", Spoken",AN324))," -R"&amp;VLOOKUP(AN324,Skills!$M$2:$S$620,7,FALSE),"")),"")</f>
        <v/>
      </c>
    </row>
    <row r="325" spans="33:41" x14ac:dyDescent="0.25">
      <c r="AG325">
        <v>324</v>
      </c>
      <c r="AH325" s="4" t="str">
        <f t="shared" si="186"/>
        <v/>
      </c>
      <c r="AI325" t="str">
        <f>IFERROR(VLOOKUP(AG325,Skills!$B$2:$M$620,12,FALSE),"")</f>
        <v/>
      </c>
      <c r="AJ325" s="4" t="str">
        <f>IFERROR(VLOOKUP(AG325,Skills!$B$2:$AF$620,31,FALSE),"")</f>
        <v/>
      </c>
      <c r="AK325" s="4" t="str">
        <f t="shared" si="185"/>
        <v/>
      </c>
      <c r="AL325" s="4">
        <v>0.32400000000000001</v>
      </c>
      <c r="AM325" s="62" t="str">
        <f t="shared" si="187"/>
        <v/>
      </c>
      <c r="AN325" t="str">
        <f t="shared" ca="1" si="188"/>
        <v/>
      </c>
      <c r="AO325" s="4" t="str">
        <f ca="1">IFERROR(VLOOKUP(AG325,$AH$2:$AJ$451,3,FALSE)&amp;IF(ISNUMBER(SEARCH(", Written",AN325))," -R"&amp;VLOOKUP(AN325,Skills!$M$2:$S$620,7,FALSE),IF(ISNUMBER(SEARCH(", Spoken",AN325))," -R"&amp;VLOOKUP(AN325,Skills!$M$2:$S$620,7,FALSE),"")),"")</f>
        <v/>
      </c>
    </row>
    <row r="326" spans="33:41" x14ac:dyDescent="0.25">
      <c r="AG326">
        <v>325</v>
      </c>
      <c r="AH326" s="4" t="str">
        <f t="shared" si="186"/>
        <v/>
      </c>
      <c r="AI326" t="str">
        <f>IFERROR(VLOOKUP(AG326,Skills!$B$2:$M$620,12,FALSE),"")</f>
        <v/>
      </c>
      <c r="AJ326" s="4" t="str">
        <f>IFERROR(VLOOKUP(AG326,Skills!$B$2:$AF$620,31,FALSE),"")</f>
        <v/>
      </c>
      <c r="AK326" s="4" t="str">
        <f t="shared" si="185"/>
        <v/>
      </c>
      <c r="AL326" s="4">
        <v>0.32500000000000001</v>
      </c>
      <c r="AM326" s="62" t="str">
        <f t="shared" si="187"/>
        <v/>
      </c>
      <c r="AN326" t="str">
        <f t="shared" ca="1" si="188"/>
        <v/>
      </c>
      <c r="AO326" s="4" t="str">
        <f ca="1">IFERROR(VLOOKUP(AG326,$AH$2:$AJ$451,3,FALSE)&amp;IF(ISNUMBER(SEARCH(", Written",AN326))," -R"&amp;VLOOKUP(AN326,Skills!$M$2:$S$620,7,FALSE),IF(ISNUMBER(SEARCH(", Spoken",AN326))," -R"&amp;VLOOKUP(AN326,Skills!$M$2:$S$620,7,FALSE),"")),"")</f>
        <v/>
      </c>
    </row>
    <row r="327" spans="33:41" x14ac:dyDescent="0.25">
      <c r="AG327">
        <v>326</v>
      </c>
      <c r="AH327" s="4" t="str">
        <f t="shared" si="186"/>
        <v/>
      </c>
      <c r="AI327" t="str">
        <f>IFERROR(VLOOKUP(AG327,Skills!$B$2:$M$620,12,FALSE),"")</f>
        <v/>
      </c>
      <c r="AJ327" s="4" t="str">
        <f>IFERROR(VLOOKUP(AG327,Skills!$B$2:$AF$620,31,FALSE),"")</f>
        <v/>
      </c>
      <c r="AK327" s="4" t="str">
        <f t="shared" si="185"/>
        <v/>
      </c>
      <c r="AL327" s="4">
        <v>0.32600000000000001</v>
      </c>
      <c r="AM327" s="62" t="str">
        <f t="shared" si="187"/>
        <v/>
      </c>
      <c r="AN327" t="str">
        <f t="shared" ca="1" si="188"/>
        <v/>
      </c>
      <c r="AO327" s="4" t="str">
        <f ca="1">IFERROR(VLOOKUP(AG327,$AH$2:$AJ$451,3,FALSE)&amp;IF(ISNUMBER(SEARCH(", Written",AN327))," -R"&amp;VLOOKUP(AN327,Skills!$M$2:$S$620,7,FALSE),IF(ISNUMBER(SEARCH(", Spoken",AN327))," -R"&amp;VLOOKUP(AN327,Skills!$M$2:$S$620,7,FALSE),"")),"")</f>
        <v/>
      </c>
    </row>
    <row r="328" spans="33:41" x14ac:dyDescent="0.25">
      <c r="AG328">
        <v>327</v>
      </c>
      <c r="AH328" s="4" t="str">
        <f t="shared" si="186"/>
        <v/>
      </c>
      <c r="AI328" t="str">
        <f>IFERROR(VLOOKUP(AG328,Skills!$B$2:$M$620,12,FALSE),"")</f>
        <v/>
      </c>
      <c r="AJ328" s="4" t="str">
        <f>IFERROR(VLOOKUP(AG328,Skills!$B$2:$AF$620,31,FALSE),"")</f>
        <v/>
      </c>
      <c r="AK328" s="4" t="str">
        <f t="shared" si="185"/>
        <v/>
      </c>
      <c r="AL328" s="4">
        <v>0.32700000000000001</v>
      </c>
      <c r="AM328" s="62" t="str">
        <f t="shared" si="187"/>
        <v/>
      </c>
      <c r="AN328" t="str">
        <f t="shared" ca="1" si="188"/>
        <v/>
      </c>
      <c r="AO328" s="4" t="str">
        <f ca="1">IFERROR(VLOOKUP(AG328,$AH$2:$AJ$451,3,FALSE)&amp;IF(ISNUMBER(SEARCH(", Written",AN328))," -R"&amp;VLOOKUP(AN328,Skills!$M$2:$S$620,7,FALSE),IF(ISNUMBER(SEARCH(", Spoken",AN328))," -R"&amp;VLOOKUP(AN328,Skills!$M$2:$S$620,7,FALSE),"")),"")</f>
        <v/>
      </c>
    </row>
    <row r="329" spans="33:41" x14ac:dyDescent="0.25">
      <c r="AG329">
        <v>328</v>
      </c>
      <c r="AH329" s="4" t="str">
        <f t="shared" si="186"/>
        <v/>
      </c>
      <c r="AI329" t="str">
        <f>IFERROR(VLOOKUP(AG329,Skills!$B$2:$M$620,12,FALSE),"")</f>
        <v/>
      </c>
      <c r="AJ329" s="4" t="str">
        <f>IFERROR(VLOOKUP(AG329,Skills!$B$2:$AF$620,31,FALSE),"")</f>
        <v/>
      </c>
      <c r="AK329" s="4" t="str">
        <f t="shared" si="185"/>
        <v/>
      </c>
      <c r="AL329" s="4">
        <v>0.32800000000000001</v>
      </c>
      <c r="AM329" s="62" t="str">
        <f t="shared" si="187"/>
        <v/>
      </c>
      <c r="AN329" t="str">
        <f t="shared" ca="1" si="188"/>
        <v/>
      </c>
      <c r="AO329" s="4" t="str">
        <f ca="1">IFERROR(VLOOKUP(AG329,$AH$2:$AJ$451,3,FALSE)&amp;IF(ISNUMBER(SEARCH(", Written",AN329))," -R"&amp;VLOOKUP(AN329,Skills!$M$2:$S$620,7,FALSE),IF(ISNUMBER(SEARCH(", Spoken",AN329))," -R"&amp;VLOOKUP(AN329,Skills!$M$2:$S$620,7,FALSE),"")),"")</f>
        <v/>
      </c>
    </row>
    <row r="330" spans="33:41" x14ac:dyDescent="0.25">
      <c r="AG330">
        <v>329</v>
      </c>
      <c r="AH330" s="4" t="str">
        <f t="shared" si="186"/>
        <v/>
      </c>
      <c r="AI330" t="str">
        <f>IFERROR(VLOOKUP(AG330,Skills!$B$2:$M$620,12,FALSE),"")</f>
        <v/>
      </c>
      <c r="AJ330" s="4" t="str">
        <f>IFERROR(VLOOKUP(AG330,Skills!$B$2:$AF$620,31,FALSE),"")</f>
        <v/>
      </c>
      <c r="AK330" s="4" t="str">
        <f t="shared" si="185"/>
        <v/>
      </c>
      <c r="AL330" s="4">
        <v>0.32900000000000001</v>
      </c>
      <c r="AM330" s="62" t="str">
        <f t="shared" si="187"/>
        <v/>
      </c>
      <c r="AN330" t="str">
        <f t="shared" ca="1" si="188"/>
        <v/>
      </c>
      <c r="AO330" s="4" t="str">
        <f ca="1">IFERROR(VLOOKUP(AG330,$AH$2:$AJ$451,3,FALSE)&amp;IF(ISNUMBER(SEARCH(", Written",AN330))," -R"&amp;VLOOKUP(AN330,Skills!$M$2:$S$620,7,FALSE),IF(ISNUMBER(SEARCH(", Spoken",AN330))," -R"&amp;VLOOKUP(AN330,Skills!$M$2:$S$620,7,FALSE),"")),"")</f>
        <v/>
      </c>
    </row>
    <row r="331" spans="33:41" x14ac:dyDescent="0.25">
      <c r="AG331">
        <v>330</v>
      </c>
      <c r="AH331" s="4" t="str">
        <f t="shared" si="186"/>
        <v/>
      </c>
      <c r="AI331" t="str">
        <f>IFERROR(VLOOKUP(AG331,Skills!$B$2:$M$620,12,FALSE),"")</f>
        <v/>
      </c>
      <c r="AJ331" s="4" t="str">
        <f>IFERROR(VLOOKUP(AG331,Skills!$B$2:$AF$620,31,FALSE),"")</f>
        <v/>
      </c>
      <c r="AK331" s="4" t="str">
        <f t="shared" si="185"/>
        <v/>
      </c>
      <c r="AL331" s="4">
        <v>0.33</v>
      </c>
      <c r="AM331" s="62" t="str">
        <f t="shared" si="187"/>
        <v/>
      </c>
      <c r="AN331" t="str">
        <f t="shared" ca="1" si="188"/>
        <v/>
      </c>
      <c r="AO331" s="4" t="str">
        <f ca="1">IFERROR(VLOOKUP(AG331,$AH$2:$AJ$451,3,FALSE)&amp;IF(ISNUMBER(SEARCH(", Written",AN331))," -R"&amp;VLOOKUP(AN331,Skills!$M$2:$S$620,7,FALSE),IF(ISNUMBER(SEARCH(", Spoken",AN331))," -R"&amp;VLOOKUP(AN331,Skills!$M$2:$S$620,7,FALSE),"")),"")</f>
        <v/>
      </c>
    </row>
    <row r="332" spans="33:41" x14ac:dyDescent="0.25">
      <c r="AG332">
        <v>331</v>
      </c>
      <c r="AH332" s="4" t="str">
        <f t="shared" si="186"/>
        <v/>
      </c>
      <c r="AI332" t="str">
        <f>IFERROR(VLOOKUP(AG332,Skills!$B$2:$M$620,12,FALSE),"")</f>
        <v/>
      </c>
      <c r="AJ332" s="4" t="str">
        <f>IFERROR(VLOOKUP(AG332,Skills!$B$2:$AF$620,31,FALSE),"")</f>
        <v/>
      </c>
      <c r="AK332" s="4" t="str">
        <f t="shared" si="185"/>
        <v/>
      </c>
      <c r="AL332" s="4">
        <v>0.33100000000000002</v>
      </c>
      <c r="AM332" s="62" t="str">
        <f t="shared" si="187"/>
        <v/>
      </c>
      <c r="AN332" t="str">
        <f t="shared" ca="1" si="188"/>
        <v/>
      </c>
      <c r="AO332" s="4" t="str">
        <f ca="1">IFERROR(VLOOKUP(AG332,$AH$2:$AJ$451,3,FALSE)&amp;IF(ISNUMBER(SEARCH(", Written",AN332))," -R"&amp;VLOOKUP(AN332,Skills!$M$2:$S$620,7,FALSE),IF(ISNUMBER(SEARCH(", Spoken",AN332))," -R"&amp;VLOOKUP(AN332,Skills!$M$2:$S$620,7,FALSE),"")),"")</f>
        <v/>
      </c>
    </row>
    <row r="333" spans="33:41" x14ac:dyDescent="0.25">
      <c r="AG333">
        <v>332</v>
      </c>
      <c r="AH333" s="4" t="str">
        <f t="shared" si="186"/>
        <v/>
      </c>
      <c r="AI333" t="str">
        <f>IFERROR(VLOOKUP(AG333,Skills!$B$2:$M$620,12,FALSE),"")</f>
        <v/>
      </c>
      <c r="AJ333" s="4" t="str">
        <f>IFERROR(VLOOKUP(AG333,Skills!$B$2:$AF$620,31,FALSE),"")</f>
        <v/>
      </c>
      <c r="AK333" s="4" t="str">
        <f t="shared" si="185"/>
        <v/>
      </c>
      <c r="AL333" s="4">
        <v>0.33200000000000002</v>
      </c>
      <c r="AM333" s="62" t="str">
        <f t="shared" si="187"/>
        <v/>
      </c>
      <c r="AN333" t="str">
        <f t="shared" ca="1" si="188"/>
        <v/>
      </c>
      <c r="AO333" s="4" t="str">
        <f ca="1">IFERROR(VLOOKUP(AG333,$AH$2:$AJ$451,3,FALSE)&amp;IF(ISNUMBER(SEARCH(", Written",AN333))," -R"&amp;VLOOKUP(AN333,Skills!$M$2:$S$620,7,FALSE),IF(ISNUMBER(SEARCH(", Spoken",AN333))," -R"&amp;VLOOKUP(AN333,Skills!$M$2:$S$620,7,FALSE),"")),"")</f>
        <v/>
      </c>
    </row>
    <row r="334" spans="33:41" x14ac:dyDescent="0.25">
      <c r="AG334">
        <v>333</v>
      </c>
      <c r="AH334" s="4" t="str">
        <f t="shared" si="186"/>
        <v/>
      </c>
      <c r="AI334" t="str">
        <f>IFERROR(VLOOKUP(AG334,Skills!$B$2:$M$620,12,FALSE),"")</f>
        <v/>
      </c>
      <c r="AJ334" s="4" t="str">
        <f>IFERROR(VLOOKUP(AG334,Skills!$B$2:$AF$620,31,FALSE),"")</f>
        <v/>
      </c>
      <c r="AK334" s="4" t="str">
        <f t="shared" si="185"/>
        <v/>
      </c>
      <c r="AL334" s="4">
        <v>0.33300000000000002</v>
      </c>
      <c r="AM334" s="62" t="str">
        <f t="shared" si="187"/>
        <v/>
      </c>
      <c r="AN334" t="str">
        <f t="shared" ca="1" si="188"/>
        <v/>
      </c>
      <c r="AO334" s="4" t="str">
        <f ca="1">IFERROR(VLOOKUP(AG334,$AH$2:$AJ$451,3,FALSE)&amp;IF(ISNUMBER(SEARCH(", Written",AN334))," -R"&amp;VLOOKUP(AN334,Skills!$M$2:$S$620,7,FALSE),IF(ISNUMBER(SEARCH(", Spoken",AN334))," -R"&amp;VLOOKUP(AN334,Skills!$M$2:$S$620,7,FALSE),"")),"")</f>
        <v/>
      </c>
    </row>
    <row r="335" spans="33:41" x14ac:dyDescent="0.25">
      <c r="AG335">
        <v>334</v>
      </c>
      <c r="AH335" s="4" t="str">
        <f t="shared" si="186"/>
        <v/>
      </c>
      <c r="AI335" t="str">
        <f>IFERROR(VLOOKUP(AG335,Skills!$B$2:$M$620,12,FALSE),"")</f>
        <v/>
      </c>
      <c r="AJ335" s="4" t="str">
        <f>IFERROR(VLOOKUP(AG335,Skills!$B$2:$AF$620,31,FALSE),"")</f>
        <v/>
      </c>
      <c r="AK335" s="4" t="str">
        <f t="shared" si="185"/>
        <v/>
      </c>
      <c r="AL335" s="4">
        <v>0.33400000000000002</v>
      </c>
      <c r="AM335" s="62" t="str">
        <f t="shared" si="187"/>
        <v/>
      </c>
      <c r="AN335" t="str">
        <f t="shared" ca="1" si="188"/>
        <v/>
      </c>
      <c r="AO335" s="4" t="str">
        <f ca="1">IFERROR(VLOOKUP(AG335,$AH$2:$AJ$451,3,FALSE)&amp;IF(ISNUMBER(SEARCH(", Written",AN335))," -R"&amp;VLOOKUP(AN335,Skills!$M$2:$S$620,7,FALSE),IF(ISNUMBER(SEARCH(", Spoken",AN335))," -R"&amp;VLOOKUP(AN335,Skills!$M$2:$S$620,7,FALSE),"")),"")</f>
        <v/>
      </c>
    </row>
    <row r="336" spans="33:41" x14ac:dyDescent="0.25">
      <c r="AG336">
        <v>335</v>
      </c>
      <c r="AH336" s="4" t="str">
        <f t="shared" si="186"/>
        <v/>
      </c>
      <c r="AI336" t="str">
        <f>IFERROR(VLOOKUP(AG336,Skills!$B$2:$M$620,12,FALSE),"")</f>
        <v/>
      </c>
      <c r="AJ336" s="4" t="str">
        <f>IFERROR(VLOOKUP(AG336,Skills!$B$2:$AF$620,31,FALSE),"")</f>
        <v/>
      </c>
      <c r="AK336" s="4" t="str">
        <f t="shared" si="185"/>
        <v/>
      </c>
      <c r="AL336" s="4">
        <v>0.33500000000000002</v>
      </c>
      <c r="AM336" s="62" t="str">
        <f t="shared" si="187"/>
        <v/>
      </c>
      <c r="AN336" t="str">
        <f t="shared" ca="1" si="188"/>
        <v/>
      </c>
      <c r="AO336" s="4" t="str">
        <f ca="1">IFERROR(VLOOKUP(AG336,$AH$2:$AJ$451,3,FALSE)&amp;IF(ISNUMBER(SEARCH(", Written",AN336))," -R"&amp;VLOOKUP(AN336,Skills!$M$2:$S$620,7,FALSE),IF(ISNUMBER(SEARCH(", Spoken",AN336))," -R"&amp;VLOOKUP(AN336,Skills!$M$2:$S$620,7,FALSE),"")),"")</f>
        <v/>
      </c>
    </row>
    <row r="337" spans="33:41" x14ac:dyDescent="0.25">
      <c r="AG337">
        <v>336</v>
      </c>
      <c r="AH337" s="4" t="str">
        <f t="shared" si="186"/>
        <v/>
      </c>
      <c r="AI337" t="str">
        <f>IFERROR(VLOOKUP(AG337,Skills!$B$2:$M$620,12,FALSE),"")</f>
        <v/>
      </c>
      <c r="AJ337" s="4" t="str">
        <f>IFERROR(VLOOKUP(AG337,Skills!$B$2:$AF$620,31,FALSE),"")</f>
        <v/>
      </c>
      <c r="AK337" s="4" t="str">
        <f t="shared" si="185"/>
        <v/>
      </c>
      <c r="AL337" s="4">
        <v>0.33600000000000002</v>
      </c>
      <c r="AM337" s="62" t="str">
        <f t="shared" si="187"/>
        <v/>
      </c>
      <c r="AN337" t="str">
        <f t="shared" ca="1" si="188"/>
        <v/>
      </c>
      <c r="AO337" s="4" t="str">
        <f ca="1">IFERROR(VLOOKUP(AG337,$AH$2:$AJ$451,3,FALSE)&amp;IF(ISNUMBER(SEARCH(", Written",AN337))," -R"&amp;VLOOKUP(AN337,Skills!$M$2:$S$620,7,FALSE),IF(ISNUMBER(SEARCH(", Spoken",AN337))," -R"&amp;VLOOKUP(AN337,Skills!$M$2:$S$620,7,FALSE),"")),"")</f>
        <v/>
      </c>
    </row>
    <row r="338" spans="33:41" x14ac:dyDescent="0.25">
      <c r="AG338">
        <v>337</v>
      </c>
      <c r="AH338" s="4" t="str">
        <f t="shared" si="186"/>
        <v/>
      </c>
      <c r="AI338" t="str">
        <f>IFERROR(VLOOKUP(AG338,Skills!$B$2:$M$620,12,FALSE),"")</f>
        <v/>
      </c>
      <c r="AJ338" s="4" t="str">
        <f>IFERROR(VLOOKUP(AG338,Skills!$B$2:$AF$620,31,FALSE),"")</f>
        <v/>
      </c>
      <c r="AK338" s="4" t="str">
        <f t="shared" si="185"/>
        <v/>
      </c>
      <c r="AL338" s="4">
        <v>0.33700000000000002</v>
      </c>
      <c r="AM338" s="62" t="str">
        <f t="shared" si="187"/>
        <v/>
      </c>
      <c r="AN338" t="str">
        <f t="shared" ca="1" si="188"/>
        <v/>
      </c>
      <c r="AO338" s="4" t="str">
        <f ca="1">IFERROR(VLOOKUP(AG338,$AH$2:$AJ$451,3,FALSE)&amp;IF(ISNUMBER(SEARCH(", Written",AN338))," -R"&amp;VLOOKUP(AN338,Skills!$M$2:$S$620,7,FALSE),IF(ISNUMBER(SEARCH(", Spoken",AN338))," -R"&amp;VLOOKUP(AN338,Skills!$M$2:$S$620,7,FALSE),"")),"")</f>
        <v/>
      </c>
    </row>
    <row r="339" spans="33:41" x14ac:dyDescent="0.25">
      <c r="AG339">
        <v>338</v>
      </c>
      <c r="AH339" s="4" t="str">
        <f t="shared" si="186"/>
        <v/>
      </c>
      <c r="AI339" t="str">
        <f>IFERROR(VLOOKUP(AG339,Skills!$B$2:$M$620,12,FALSE),"")</f>
        <v/>
      </c>
      <c r="AJ339" s="4" t="str">
        <f>IFERROR(VLOOKUP(AG339,Skills!$B$2:$AF$620,31,FALSE),"")</f>
        <v/>
      </c>
      <c r="AK339" s="4" t="str">
        <f t="shared" si="185"/>
        <v/>
      </c>
      <c r="AL339" s="4">
        <v>0.33800000000000002</v>
      </c>
      <c r="AM339" s="62" t="str">
        <f t="shared" si="187"/>
        <v/>
      </c>
      <c r="AN339" t="str">
        <f t="shared" ca="1" si="188"/>
        <v/>
      </c>
      <c r="AO339" s="4" t="str">
        <f ca="1">IFERROR(VLOOKUP(AG339,$AH$2:$AJ$451,3,FALSE)&amp;IF(ISNUMBER(SEARCH(", Written",AN339))," -R"&amp;VLOOKUP(AN339,Skills!$M$2:$S$620,7,FALSE),IF(ISNUMBER(SEARCH(", Spoken",AN339))," -R"&amp;VLOOKUP(AN339,Skills!$M$2:$S$620,7,FALSE),"")),"")</f>
        <v/>
      </c>
    </row>
    <row r="340" spans="33:41" x14ac:dyDescent="0.25">
      <c r="AG340">
        <v>339</v>
      </c>
      <c r="AH340" s="4" t="str">
        <f t="shared" si="186"/>
        <v/>
      </c>
      <c r="AI340" t="str">
        <f>IFERROR(VLOOKUP(AG340,Skills!$B$2:$M$620,12,FALSE),"")</f>
        <v/>
      </c>
      <c r="AJ340" s="4" t="str">
        <f>IFERROR(VLOOKUP(AG340,Skills!$B$2:$AF$620,31,FALSE),"")</f>
        <v/>
      </c>
      <c r="AK340" s="4" t="str">
        <f t="shared" si="185"/>
        <v/>
      </c>
      <c r="AL340" s="4">
        <v>0.33900000000000002</v>
      </c>
      <c r="AM340" s="62" t="str">
        <f t="shared" si="187"/>
        <v/>
      </c>
      <c r="AN340" t="str">
        <f t="shared" ca="1" si="188"/>
        <v/>
      </c>
      <c r="AO340" s="4" t="str">
        <f ca="1">IFERROR(VLOOKUP(AG340,$AH$2:$AJ$451,3,FALSE)&amp;IF(ISNUMBER(SEARCH(", Written",AN340))," -R"&amp;VLOOKUP(AN340,Skills!$M$2:$S$620,7,FALSE),IF(ISNUMBER(SEARCH(", Spoken",AN340))," -R"&amp;VLOOKUP(AN340,Skills!$M$2:$S$620,7,FALSE),"")),"")</f>
        <v/>
      </c>
    </row>
    <row r="341" spans="33:41" x14ac:dyDescent="0.25">
      <c r="AG341">
        <v>340</v>
      </c>
      <c r="AH341" s="4" t="str">
        <f t="shared" si="186"/>
        <v/>
      </c>
      <c r="AI341" t="str">
        <f>IFERROR(VLOOKUP(AG341,Skills!$B$2:$M$620,12,FALSE),"")</f>
        <v/>
      </c>
      <c r="AJ341" s="4" t="str">
        <f>IFERROR(VLOOKUP(AG341,Skills!$B$2:$AF$620,31,FALSE),"")</f>
        <v/>
      </c>
      <c r="AK341" s="4" t="str">
        <f t="shared" si="185"/>
        <v/>
      </c>
      <c r="AL341" s="4">
        <v>0.34</v>
      </c>
      <c r="AM341" s="62" t="str">
        <f t="shared" si="187"/>
        <v/>
      </c>
      <c r="AN341" t="str">
        <f t="shared" ca="1" si="188"/>
        <v/>
      </c>
      <c r="AO341" s="4" t="str">
        <f ca="1">IFERROR(VLOOKUP(AG341,$AH$2:$AJ$451,3,FALSE)&amp;IF(ISNUMBER(SEARCH(", Written",AN341))," -R"&amp;VLOOKUP(AN341,Skills!$M$2:$S$620,7,FALSE),IF(ISNUMBER(SEARCH(", Spoken",AN341))," -R"&amp;VLOOKUP(AN341,Skills!$M$2:$S$620,7,FALSE),"")),"")</f>
        <v/>
      </c>
    </row>
    <row r="342" spans="33:41" x14ac:dyDescent="0.25">
      <c r="AG342">
        <v>341</v>
      </c>
      <c r="AH342" s="4" t="str">
        <f t="shared" si="186"/>
        <v/>
      </c>
      <c r="AI342" t="str">
        <f>IFERROR(VLOOKUP(AG342,Skills!$B$2:$M$620,12,FALSE),"")</f>
        <v/>
      </c>
      <c r="AJ342" s="4" t="str">
        <f>IFERROR(VLOOKUP(AG342,Skills!$B$2:$AF$620,31,FALSE),"")</f>
        <v/>
      </c>
      <c r="AK342" s="4" t="str">
        <f t="shared" si="185"/>
        <v/>
      </c>
      <c r="AL342" s="4">
        <v>0.34100000000000003</v>
      </c>
      <c r="AM342" s="62" t="str">
        <f t="shared" si="187"/>
        <v/>
      </c>
      <c r="AN342" t="str">
        <f t="shared" ca="1" si="188"/>
        <v/>
      </c>
      <c r="AO342" s="4" t="str">
        <f ca="1">IFERROR(VLOOKUP(AG342,$AH$2:$AJ$451,3,FALSE)&amp;IF(ISNUMBER(SEARCH(", Written",AN342))," -R"&amp;VLOOKUP(AN342,Skills!$M$2:$S$620,7,FALSE),IF(ISNUMBER(SEARCH(", Spoken",AN342))," -R"&amp;VLOOKUP(AN342,Skills!$M$2:$S$620,7,FALSE),"")),"")</f>
        <v/>
      </c>
    </row>
    <row r="343" spans="33:41" x14ac:dyDescent="0.25">
      <c r="AG343">
        <v>342</v>
      </c>
      <c r="AH343" s="4" t="str">
        <f t="shared" si="186"/>
        <v/>
      </c>
      <c r="AI343" t="str">
        <f>IFERROR(VLOOKUP(AG343,Skills!$B$2:$M$620,12,FALSE),"")</f>
        <v/>
      </c>
      <c r="AJ343" s="4" t="str">
        <f>IFERROR(VLOOKUP(AG343,Skills!$B$2:$AF$620,31,FALSE),"")</f>
        <v/>
      </c>
      <c r="AK343" s="4" t="str">
        <f t="shared" si="185"/>
        <v/>
      </c>
      <c r="AL343" s="4">
        <v>0.34200000000000003</v>
      </c>
      <c r="AM343" s="62" t="str">
        <f t="shared" si="187"/>
        <v/>
      </c>
      <c r="AN343" t="str">
        <f t="shared" ca="1" si="188"/>
        <v/>
      </c>
      <c r="AO343" s="4" t="str">
        <f ca="1">IFERROR(VLOOKUP(AG343,$AH$2:$AJ$451,3,FALSE)&amp;IF(ISNUMBER(SEARCH(", Written",AN343))," -R"&amp;VLOOKUP(AN343,Skills!$M$2:$S$620,7,FALSE),IF(ISNUMBER(SEARCH(", Spoken",AN343))," -R"&amp;VLOOKUP(AN343,Skills!$M$2:$S$620,7,FALSE),"")),"")</f>
        <v/>
      </c>
    </row>
    <row r="344" spans="33:41" x14ac:dyDescent="0.25">
      <c r="AG344">
        <v>343</v>
      </c>
      <c r="AH344" s="4" t="str">
        <f t="shared" si="186"/>
        <v/>
      </c>
      <c r="AI344" t="str">
        <f>IFERROR(VLOOKUP(AG344,Skills!$B$2:$M$620,12,FALSE),"")</f>
        <v/>
      </c>
      <c r="AJ344" s="4" t="str">
        <f>IFERROR(VLOOKUP(AG344,Skills!$B$2:$AF$620,31,FALSE),"")</f>
        <v/>
      </c>
      <c r="AK344" s="4" t="str">
        <f t="shared" si="185"/>
        <v/>
      </c>
      <c r="AL344" s="4">
        <v>0.34300000000000003</v>
      </c>
      <c r="AM344" s="62" t="str">
        <f t="shared" si="187"/>
        <v/>
      </c>
      <c r="AN344" t="str">
        <f t="shared" ca="1" si="188"/>
        <v/>
      </c>
      <c r="AO344" s="4" t="str">
        <f ca="1">IFERROR(VLOOKUP(AG344,$AH$2:$AJ$451,3,FALSE)&amp;IF(ISNUMBER(SEARCH(", Written",AN344))," -R"&amp;VLOOKUP(AN344,Skills!$M$2:$S$620,7,FALSE),IF(ISNUMBER(SEARCH(", Spoken",AN344))," -R"&amp;VLOOKUP(AN344,Skills!$M$2:$S$620,7,FALSE),"")),"")</f>
        <v/>
      </c>
    </row>
    <row r="345" spans="33:41" x14ac:dyDescent="0.25">
      <c r="AG345">
        <v>344</v>
      </c>
      <c r="AH345" s="4" t="str">
        <f t="shared" si="186"/>
        <v/>
      </c>
      <c r="AI345" t="str">
        <f>IFERROR(VLOOKUP(AG345,Skills!$B$2:$M$620,12,FALSE),"")</f>
        <v/>
      </c>
      <c r="AJ345" s="4" t="str">
        <f>IFERROR(VLOOKUP(AG345,Skills!$B$2:$AF$620,31,FALSE),"")</f>
        <v/>
      </c>
      <c r="AK345" s="4" t="str">
        <f t="shared" si="185"/>
        <v/>
      </c>
      <c r="AL345" s="4">
        <v>0.34399999999999997</v>
      </c>
      <c r="AM345" s="62" t="str">
        <f t="shared" si="187"/>
        <v/>
      </c>
      <c r="AN345" t="str">
        <f t="shared" ca="1" si="188"/>
        <v/>
      </c>
      <c r="AO345" s="4" t="str">
        <f ca="1">IFERROR(VLOOKUP(AG345,$AH$2:$AJ$451,3,FALSE)&amp;IF(ISNUMBER(SEARCH(", Written",AN345))," -R"&amp;VLOOKUP(AN345,Skills!$M$2:$S$620,7,FALSE),IF(ISNUMBER(SEARCH(", Spoken",AN345))," -R"&amp;VLOOKUP(AN345,Skills!$M$2:$S$620,7,FALSE),"")),"")</f>
        <v/>
      </c>
    </row>
    <row r="346" spans="33:41" x14ac:dyDescent="0.25">
      <c r="AG346">
        <v>345</v>
      </c>
      <c r="AH346" s="4" t="str">
        <f t="shared" si="186"/>
        <v/>
      </c>
      <c r="AI346" t="str">
        <f>IFERROR(VLOOKUP(AG346,Skills!$B$2:$M$620,12,FALSE),"")</f>
        <v/>
      </c>
      <c r="AJ346" s="4" t="str">
        <f>IFERROR(VLOOKUP(AG346,Skills!$B$2:$AF$620,31,FALSE),"")</f>
        <v/>
      </c>
      <c r="AK346" s="4" t="str">
        <f t="shared" si="185"/>
        <v/>
      </c>
      <c r="AL346" s="4">
        <v>0.34499999999999997</v>
      </c>
      <c r="AM346" s="62" t="str">
        <f t="shared" si="187"/>
        <v/>
      </c>
      <c r="AN346" t="str">
        <f t="shared" ca="1" si="188"/>
        <v/>
      </c>
      <c r="AO346" s="4" t="str">
        <f ca="1">IFERROR(VLOOKUP(AG346,$AH$2:$AJ$451,3,FALSE)&amp;IF(ISNUMBER(SEARCH(", Written",AN346))," -R"&amp;VLOOKUP(AN346,Skills!$M$2:$S$620,7,FALSE),IF(ISNUMBER(SEARCH(", Spoken",AN346))," -R"&amp;VLOOKUP(AN346,Skills!$M$2:$S$620,7,FALSE),"")),"")</f>
        <v/>
      </c>
    </row>
    <row r="347" spans="33:41" x14ac:dyDescent="0.25">
      <c r="AG347">
        <v>346</v>
      </c>
      <c r="AH347" s="4" t="str">
        <f t="shared" si="186"/>
        <v/>
      </c>
      <c r="AI347" t="str">
        <f>IFERROR(VLOOKUP(AG347,Skills!$B$2:$M$620,12,FALSE),"")</f>
        <v/>
      </c>
      <c r="AJ347" s="4" t="str">
        <f>IFERROR(VLOOKUP(AG347,Skills!$B$2:$AF$620,31,FALSE),"")</f>
        <v/>
      </c>
      <c r="AK347" s="4" t="str">
        <f t="shared" ref="AK347:AK410" si="189">IFERROR(LEFT(AJ347,FIND("/",AJ347)-1),AJ347)</f>
        <v/>
      </c>
      <c r="AL347" s="4">
        <v>0.34599999999999997</v>
      </c>
      <c r="AM347" s="62" t="str">
        <f t="shared" si="187"/>
        <v/>
      </c>
      <c r="AN347" t="str">
        <f t="shared" ca="1" si="188"/>
        <v/>
      </c>
      <c r="AO347" s="4" t="str">
        <f ca="1">IFERROR(VLOOKUP(AG347,$AH$2:$AJ$451,3,FALSE)&amp;IF(ISNUMBER(SEARCH(", Written",AN347))," -R"&amp;VLOOKUP(AN347,Skills!$M$2:$S$620,7,FALSE),IF(ISNUMBER(SEARCH(", Spoken",AN347))," -R"&amp;VLOOKUP(AN347,Skills!$M$2:$S$620,7,FALSE),"")),"")</f>
        <v/>
      </c>
    </row>
    <row r="348" spans="33:41" x14ac:dyDescent="0.25">
      <c r="AG348">
        <v>347</v>
      </c>
      <c r="AH348" s="4" t="str">
        <f t="shared" si="186"/>
        <v/>
      </c>
      <c r="AI348" t="str">
        <f>IFERROR(VLOOKUP(AG348,Skills!$B$2:$M$620,12,FALSE),"")</f>
        <v/>
      </c>
      <c r="AJ348" s="4" t="str">
        <f>IFERROR(VLOOKUP(AG348,Skills!$B$2:$AF$620,31,FALSE),"")</f>
        <v/>
      </c>
      <c r="AK348" s="4" t="str">
        <f t="shared" si="189"/>
        <v/>
      </c>
      <c r="AL348" s="4">
        <v>0.34699999999999998</v>
      </c>
      <c r="AM348" s="62" t="str">
        <f t="shared" si="187"/>
        <v/>
      </c>
      <c r="AN348" t="str">
        <f t="shared" ca="1" si="188"/>
        <v/>
      </c>
      <c r="AO348" s="4" t="str">
        <f ca="1">IFERROR(VLOOKUP(AG348,$AH$2:$AJ$451,3,FALSE)&amp;IF(ISNUMBER(SEARCH(", Written",AN348))," -R"&amp;VLOOKUP(AN348,Skills!$M$2:$S$620,7,FALSE),IF(ISNUMBER(SEARCH(", Spoken",AN348))," -R"&amp;VLOOKUP(AN348,Skills!$M$2:$S$620,7,FALSE),"")),"")</f>
        <v/>
      </c>
    </row>
    <row r="349" spans="33:41" x14ac:dyDescent="0.25">
      <c r="AG349">
        <v>348</v>
      </c>
      <c r="AH349" s="4" t="str">
        <f t="shared" si="186"/>
        <v/>
      </c>
      <c r="AI349" t="str">
        <f>IFERROR(VLOOKUP(AG349,Skills!$B$2:$M$620,12,FALSE),"")</f>
        <v/>
      </c>
      <c r="AJ349" s="4" t="str">
        <f>IFERROR(VLOOKUP(AG349,Skills!$B$2:$AF$620,31,FALSE),"")</f>
        <v/>
      </c>
      <c r="AK349" s="4" t="str">
        <f t="shared" si="189"/>
        <v/>
      </c>
      <c r="AL349" s="4">
        <v>0.34799999999999998</v>
      </c>
      <c r="AM349" s="62" t="str">
        <f t="shared" si="187"/>
        <v/>
      </c>
      <c r="AN349" t="str">
        <f t="shared" ca="1" si="188"/>
        <v/>
      </c>
      <c r="AO349" s="4" t="str">
        <f ca="1">IFERROR(VLOOKUP(AG349,$AH$2:$AJ$451,3,FALSE)&amp;IF(ISNUMBER(SEARCH(", Written",AN349))," -R"&amp;VLOOKUP(AN349,Skills!$M$2:$S$620,7,FALSE),IF(ISNUMBER(SEARCH(", Spoken",AN349))," -R"&amp;VLOOKUP(AN349,Skills!$M$2:$S$620,7,FALSE),"")),"")</f>
        <v/>
      </c>
    </row>
    <row r="350" spans="33:41" x14ac:dyDescent="0.25">
      <c r="AG350">
        <v>349</v>
      </c>
      <c r="AH350" s="4" t="str">
        <f t="shared" si="186"/>
        <v/>
      </c>
      <c r="AI350" t="str">
        <f>IFERROR(VLOOKUP(AG350,Skills!$B$2:$M$620,12,FALSE),"")</f>
        <v/>
      </c>
      <c r="AJ350" s="4" t="str">
        <f>IFERROR(VLOOKUP(AG350,Skills!$B$2:$AF$620,31,FALSE),"")</f>
        <v/>
      </c>
      <c r="AK350" s="4" t="str">
        <f t="shared" si="189"/>
        <v/>
      </c>
      <c r="AL350" s="4">
        <v>0.34899999999999998</v>
      </c>
      <c r="AM350" s="62" t="str">
        <f t="shared" si="187"/>
        <v/>
      </c>
      <c r="AN350" t="str">
        <f t="shared" ca="1" si="188"/>
        <v/>
      </c>
      <c r="AO350" s="4" t="str">
        <f ca="1">IFERROR(VLOOKUP(AG350,$AH$2:$AJ$451,3,FALSE)&amp;IF(ISNUMBER(SEARCH(", Written",AN350))," -R"&amp;VLOOKUP(AN350,Skills!$M$2:$S$620,7,FALSE),IF(ISNUMBER(SEARCH(", Spoken",AN350))," -R"&amp;VLOOKUP(AN350,Skills!$M$2:$S$620,7,FALSE),"")),"")</f>
        <v/>
      </c>
    </row>
    <row r="351" spans="33:41" x14ac:dyDescent="0.25">
      <c r="AG351">
        <v>350</v>
      </c>
      <c r="AH351" s="4" t="str">
        <f t="shared" si="186"/>
        <v/>
      </c>
      <c r="AI351" t="str">
        <f>IFERROR(VLOOKUP(AG351,Skills!$B$2:$M$620,12,FALSE),"")</f>
        <v/>
      </c>
      <c r="AJ351" s="4" t="str">
        <f>IFERROR(VLOOKUP(AG351,Skills!$B$2:$AF$620,31,FALSE),"")</f>
        <v/>
      </c>
      <c r="AK351" s="4" t="str">
        <f t="shared" si="189"/>
        <v/>
      </c>
      <c r="AL351" s="4">
        <v>0.35</v>
      </c>
      <c r="AM351" s="62" t="str">
        <f t="shared" si="187"/>
        <v/>
      </c>
      <c r="AN351" t="str">
        <f t="shared" ca="1" si="188"/>
        <v/>
      </c>
      <c r="AO351" s="4" t="str">
        <f ca="1">IFERROR(VLOOKUP(AG351,$AH$2:$AJ$451,3,FALSE)&amp;IF(ISNUMBER(SEARCH(", Written",AN351))," -R"&amp;VLOOKUP(AN351,Skills!$M$2:$S$620,7,FALSE),IF(ISNUMBER(SEARCH(", Spoken",AN351))," -R"&amp;VLOOKUP(AN351,Skills!$M$2:$S$620,7,FALSE),"")),"")</f>
        <v/>
      </c>
    </row>
    <row r="352" spans="33:41" x14ac:dyDescent="0.25">
      <c r="AG352">
        <v>351</v>
      </c>
      <c r="AH352" s="4" t="str">
        <f t="shared" si="186"/>
        <v/>
      </c>
      <c r="AI352" t="str">
        <f>IFERROR(VLOOKUP(AG352,Skills!$B$2:$M$620,12,FALSE),"")</f>
        <v/>
      </c>
      <c r="AJ352" s="4" t="str">
        <f>IFERROR(VLOOKUP(AG352,Skills!$B$2:$AF$620,31,FALSE),"")</f>
        <v/>
      </c>
      <c r="AK352" s="4" t="str">
        <f t="shared" si="189"/>
        <v/>
      </c>
      <c r="AL352" s="4">
        <v>0.35099999999999998</v>
      </c>
      <c r="AM352" s="62" t="str">
        <f t="shared" si="187"/>
        <v/>
      </c>
      <c r="AN352" t="str">
        <f t="shared" ca="1" si="188"/>
        <v/>
      </c>
      <c r="AO352" s="4" t="str">
        <f ca="1">IFERROR(VLOOKUP(AG352,$AH$2:$AJ$451,3,FALSE)&amp;IF(ISNUMBER(SEARCH(", Written",AN352))," -R"&amp;VLOOKUP(AN352,Skills!$M$2:$S$620,7,FALSE),IF(ISNUMBER(SEARCH(", Spoken",AN352))," -R"&amp;VLOOKUP(AN352,Skills!$M$2:$S$620,7,FALSE),"")),"")</f>
        <v/>
      </c>
    </row>
    <row r="353" spans="33:41" x14ac:dyDescent="0.25">
      <c r="AG353">
        <v>352</v>
      </c>
      <c r="AH353" s="4" t="str">
        <f t="shared" si="186"/>
        <v/>
      </c>
      <c r="AI353" t="str">
        <f>IFERROR(VLOOKUP(AG353,Skills!$B$2:$M$620,12,FALSE),"")</f>
        <v/>
      </c>
      <c r="AJ353" s="4" t="str">
        <f>IFERROR(VLOOKUP(AG353,Skills!$B$2:$AF$620,31,FALSE),"")</f>
        <v/>
      </c>
      <c r="AK353" s="4" t="str">
        <f t="shared" si="189"/>
        <v/>
      </c>
      <c r="AL353" s="4">
        <v>0.35199999999999998</v>
      </c>
      <c r="AM353" s="62" t="str">
        <f t="shared" si="187"/>
        <v/>
      </c>
      <c r="AN353" t="str">
        <f t="shared" ca="1" si="188"/>
        <v/>
      </c>
      <c r="AO353" s="4" t="str">
        <f ca="1">IFERROR(VLOOKUP(AG353,$AH$2:$AJ$451,3,FALSE)&amp;IF(ISNUMBER(SEARCH(", Written",AN353))," -R"&amp;VLOOKUP(AN353,Skills!$M$2:$S$620,7,FALSE),IF(ISNUMBER(SEARCH(", Spoken",AN353))," -R"&amp;VLOOKUP(AN353,Skills!$M$2:$S$620,7,FALSE),"")),"")</f>
        <v/>
      </c>
    </row>
    <row r="354" spans="33:41" x14ac:dyDescent="0.25">
      <c r="AG354">
        <v>353</v>
      </c>
      <c r="AH354" s="4" t="str">
        <f t="shared" si="186"/>
        <v/>
      </c>
      <c r="AI354" t="str">
        <f>IFERROR(VLOOKUP(AG354,Skills!$B$2:$M$620,12,FALSE),"")</f>
        <v/>
      </c>
      <c r="AJ354" s="4" t="str">
        <f>IFERROR(VLOOKUP(AG354,Skills!$B$2:$AF$620,31,FALSE),"")</f>
        <v/>
      </c>
      <c r="AK354" s="4" t="str">
        <f t="shared" si="189"/>
        <v/>
      </c>
      <c r="AL354" s="4">
        <v>0.35299999999999998</v>
      </c>
      <c r="AM354" s="62" t="str">
        <f t="shared" si="187"/>
        <v/>
      </c>
      <c r="AN354" t="str">
        <f t="shared" ca="1" si="188"/>
        <v/>
      </c>
      <c r="AO354" s="4" t="str">
        <f ca="1">IFERROR(VLOOKUP(AG354,$AH$2:$AJ$451,3,FALSE)&amp;IF(ISNUMBER(SEARCH(", Written",AN354))," -R"&amp;VLOOKUP(AN354,Skills!$M$2:$S$620,7,FALSE),IF(ISNUMBER(SEARCH(", Spoken",AN354))," -R"&amp;VLOOKUP(AN354,Skills!$M$2:$S$620,7,FALSE),"")),"")</f>
        <v/>
      </c>
    </row>
    <row r="355" spans="33:41" x14ac:dyDescent="0.25">
      <c r="AG355">
        <v>354</v>
      </c>
      <c r="AH355" s="4" t="str">
        <f t="shared" si="186"/>
        <v/>
      </c>
      <c r="AI355" t="str">
        <f>IFERROR(VLOOKUP(AG355,Skills!$B$2:$M$620,12,FALSE),"")</f>
        <v/>
      </c>
      <c r="AJ355" s="4" t="str">
        <f>IFERROR(VLOOKUP(AG355,Skills!$B$2:$AF$620,31,FALSE),"")</f>
        <v/>
      </c>
      <c r="AK355" s="4" t="str">
        <f t="shared" si="189"/>
        <v/>
      </c>
      <c r="AL355" s="4">
        <v>0.35399999999999998</v>
      </c>
      <c r="AM355" s="62" t="str">
        <f t="shared" si="187"/>
        <v/>
      </c>
      <c r="AN355" t="str">
        <f t="shared" ca="1" si="188"/>
        <v/>
      </c>
      <c r="AO355" s="4" t="str">
        <f ca="1">IFERROR(VLOOKUP(AG355,$AH$2:$AJ$451,3,FALSE)&amp;IF(ISNUMBER(SEARCH(", Written",AN355))," -R"&amp;VLOOKUP(AN355,Skills!$M$2:$S$620,7,FALSE),IF(ISNUMBER(SEARCH(", Spoken",AN355))," -R"&amp;VLOOKUP(AN355,Skills!$M$2:$S$620,7,FALSE),"")),"")</f>
        <v/>
      </c>
    </row>
    <row r="356" spans="33:41" x14ac:dyDescent="0.25">
      <c r="AG356">
        <v>355</v>
      </c>
      <c r="AH356" s="4" t="str">
        <f t="shared" si="186"/>
        <v/>
      </c>
      <c r="AI356" t="str">
        <f>IFERROR(VLOOKUP(AG356,Skills!$B$2:$M$620,12,FALSE),"")</f>
        <v/>
      </c>
      <c r="AJ356" s="4" t="str">
        <f>IFERROR(VLOOKUP(AG356,Skills!$B$2:$AF$620,31,FALSE),"")</f>
        <v/>
      </c>
      <c r="AK356" s="4" t="str">
        <f t="shared" si="189"/>
        <v/>
      </c>
      <c r="AL356" s="4">
        <v>0.35499999999999998</v>
      </c>
      <c r="AM356" s="62" t="str">
        <f t="shared" si="187"/>
        <v/>
      </c>
      <c r="AN356" t="str">
        <f t="shared" ca="1" si="188"/>
        <v/>
      </c>
      <c r="AO356" s="4" t="str">
        <f ca="1">IFERROR(VLOOKUP(AG356,$AH$2:$AJ$451,3,FALSE)&amp;IF(ISNUMBER(SEARCH(", Written",AN356))," -R"&amp;VLOOKUP(AN356,Skills!$M$2:$S$620,7,FALSE),IF(ISNUMBER(SEARCH(", Spoken",AN356))," -R"&amp;VLOOKUP(AN356,Skills!$M$2:$S$620,7,FALSE),"")),"")</f>
        <v/>
      </c>
    </row>
    <row r="357" spans="33:41" x14ac:dyDescent="0.25">
      <c r="AG357">
        <v>356</v>
      </c>
      <c r="AH357" s="4" t="str">
        <f t="shared" si="186"/>
        <v/>
      </c>
      <c r="AI357" t="str">
        <f>IFERROR(VLOOKUP(AG357,Skills!$B$2:$M$620,12,FALSE),"")</f>
        <v/>
      </c>
      <c r="AJ357" s="4" t="str">
        <f>IFERROR(VLOOKUP(AG357,Skills!$B$2:$AF$620,31,FALSE),"")</f>
        <v/>
      </c>
      <c r="AK357" s="4" t="str">
        <f t="shared" si="189"/>
        <v/>
      </c>
      <c r="AL357" s="4">
        <v>0.35599999999999998</v>
      </c>
      <c r="AM357" s="62" t="str">
        <f t="shared" si="187"/>
        <v/>
      </c>
      <c r="AN357" t="str">
        <f t="shared" ca="1" si="188"/>
        <v/>
      </c>
      <c r="AO357" s="4" t="str">
        <f ca="1">IFERROR(VLOOKUP(AG357,$AH$2:$AJ$451,3,FALSE)&amp;IF(ISNUMBER(SEARCH(", Written",AN357))," -R"&amp;VLOOKUP(AN357,Skills!$M$2:$S$620,7,FALSE),IF(ISNUMBER(SEARCH(", Spoken",AN357))," -R"&amp;VLOOKUP(AN357,Skills!$M$2:$S$620,7,FALSE),"")),"")</f>
        <v/>
      </c>
    </row>
    <row r="358" spans="33:41" x14ac:dyDescent="0.25">
      <c r="AG358">
        <v>357</v>
      </c>
      <c r="AH358" s="4" t="str">
        <f t="shared" si="186"/>
        <v/>
      </c>
      <c r="AI358" t="str">
        <f>IFERROR(VLOOKUP(AG358,Skills!$B$2:$M$620,12,FALSE),"")</f>
        <v/>
      </c>
      <c r="AJ358" s="4" t="str">
        <f>IFERROR(VLOOKUP(AG358,Skills!$B$2:$AF$620,31,FALSE),"")</f>
        <v/>
      </c>
      <c r="AK358" s="4" t="str">
        <f t="shared" si="189"/>
        <v/>
      </c>
      <c r="AL358" s="4">
        <v>0.35699999999999998</v>
      </c>
      <c r="AM358" s="62" t="str">
        <f t="shared" si="187"/>
        <v/>
      </c>
      <c r="AN358" t="str">
        <f t="shared" ca="1" si="188"/>
        <v/>
      </c>
      <c r="AO358" s="4" t="str">
        <f ca="1">IFERROR(VLOOKUP(AG358,$AH$2:$AJ$451,3,FALSE)&amp;IF(ISNUMBER(SEARCH(", Written",AN358))," -R"&amp;VLOOKUP(AN358,Skills!$M$2:$S$620,7,FALSE),IF(ISNUMBER(SEARCH(", Spoken",AN358))," -R"&amp;VLOOKUP(AN358,Skills!$M$2:$S$620,7,FALSE),"")),"")</f>
        <v/>
      </c>
    </row>
    <row r="359" spans="33:41" x14ac:dyDescent="0.25">
      <c r="AG359">
        <v>358</v>
      </c>
      <c r="AH359" s="4" t="str">
        <f t="shared" si="186"/>
        <v/>
      </c>
      <c r="AI359" t="str">
        <f>IFERROR(VLOOKUP(AG359,Skills!$B$2:$M$620,12,FALSE),"")</f>
        <v/>
      </c>
      <c r="AJ359" s="4" t="str">
        <f>IFERROR(VLOOKUP(AG359,Skills!$B$2:$AF$620,31,FALSE),"")</f>
        <v/>
      </c>
      <c r="AK359" s="4" t="str">
        <f t="shared" si="189"/>
        <v/>
      </c>
      <c r="AL359" s="4">
        <v>0.35799999999999998</v>
      </c>
      <c r="AM359" s="62" t="str">
        <f t="shared" si="187"/>
        <v/>
      </c>
      <c r="AN359" t="str">
        <f t="shared" ca="1" si="188"/>
        <v/>
      </c>
      <c r="AO359" s="4" t="str">
        <f ca="1">IFERROR(VLOOKUP(AG359,$AH$2:$AJ$451,3,FALSE)&amp;IF(ISNUMBER(SEARCH(", Written",AN359))," -R"&amp;VLOOKUP(AN359,Skills!$M$2:$S$620,7,FALSE),IF(ISNUMBER(SEARCH(", Spoken",AN359))," -R"&amp;VLOOKUP(AN359,Skills!$M$2:$S$620,7,FALSE),"")),"")</f>
        <v/>
      </c>
    </row>
    <row r="360" spans="33:41" x14ac:dyDescent="0.25">
      <c r="AG360">
        <v>359</v>
      </c>
      <c r="AH360" s="4" t="str">
        <f t="shared" si="186"/>
        <v/>
      </c>
      <c r="AI360" t="str">
        <f>IFERROR(VLOOKUP(AG360,Skills!$B$2:$M$620,12,FALSE),"")</f>
        <v/>
      </c>
      <c r="AJ360" s="4" t="str">
        <f>IFERROR(VLOOKUP(AG360,Skills!$B$2:$AF$620,31,FALSE),"")</f>
        <v/>
      </c>
      <c r="AK360" s="4" t="str">
        <f t="shared" si="189"/>
        <v/>
      </c>
      <c r="AL360" s="4">
        <v>0.35899999999999999</v>
      </c>
      <c r="AM360" s="62" t="str">
        <f t="shared" si="187"/>
        <v/>
      </c>
      <c r="AN360" t="str">
        <f t="shared" ca="1" si="188"/>
        <v/>
      </c>
      <c r="AO360" s="4" t="str">
        <f ca="1">IFERROR(VLOOKUP(AG360,$AH$2:$AJ$451,3,FALSE)&amp;IF(ISNUMBER(SEARCH(", Written",AN360))," -R"&amp;VLOOKUP(AN360,Skills!$M$2:$S$620,7,FALSE),IF(ISNUMBER(SEARCH(", Spoken",AN360))," -R"&amp;VLOOKUP(AN360,Skills!$M$2:$S$620,7,FALSE),"")),"")</f>
        <v/>
      </c>
    </row>
    <row r="361" spans="33:41" x14ac:dyDescent="0.25">
      <c r="AG361">
        <v>360</v>
      </c>
      <c r="AH361" s="4" t="str">
        <f t="shared" si="186"/>
        <v/>
      </c>
      <c r="AI361" t="str">
        <f>IFERROR(VLOOKUP(AG361,Skills!$B$2:$M$620,12,FALSE),"")</f>
        <v/>
      </c>
      <c r="AJ361" s="4" t="str">
        <f>IFERROR(VLOOKUP(AG361,Skills!$B$2:$AF$620,31,FALSE),"")</f>
        <v/>
      </c>
      <c r="AK361" s="4" t="str">
        <f t="shared" si="189"/>
        <v/>
      </c>
      <c r="AL361" s="4">
        <v>0.36</v>
      </c>
      <c r="AM361" s="62" t="str">
        <f t="shared" si="187"/>
        <v/>
      </c>
      <c r="AN361" t="str">
        <f t="shared" ca="1" si="188"/>
        <v/>
      </c>
      <c r="AO361" s="4" t="str">
        <f ca="1">IFERROR(VLOOKUP(AG361,$AH$2:$AJ$451,3,FALSE)&amp;IF(ISNUMBER(SEARCH(", Written",AN361))," -R"&amp;VLOOKUP(AN361,Skills!$M$2:$S$620,7,FALSE),IF(ISNUMBER(SEARCH(", Spoken",AN361))," -R"&amp;VLOOKUP(AN361,Skills!$M$2:$S$620,7,FALSE),"")),"")</f>
        <v/>
      </c>
    </row>
    <row r="362" spans="33:41" x14ac:dyDescent="0.25">
      <c r="AG362">
        <v>361</v>
      </c>
      <c r="AH362" s="4" t="str">
        <f t="shared" si="186"/>
        <v/>
      </c>
      <c r="AI362" t="str">
        <f>IFERROR(VLOOKUP(AG362,Skills!$B$2:$M$620,12,FALSE),"")</f>
        <v/>
      </c>
      <c r="AJ362" s="4" t="str">
        <f>IFERROR(VLOOKUP(AG362,Skills!$B$2:$AF$620,31,FALSE),"")</f>
        <v/>
      </c>
      <c r="AK362" s="4" t="str">
        <f t="shared" si="189"/>
        <v/>
      </c>
      <c r="AL362" s="4">
        <v>0.36099999999999999</v>
      </c>
      <c r="AM362" s="62" t="str">
        <f t="shared" si="187"/>
        <v/>
      </c>
      <c r="AN362" t="str">
        <f t="shared" ca="1" si="188"/>
        <v/>
      </c>
      <c r="AO362" s="4" t="str">
        <f ca="1">IFERROR(VLOOKUP(AG362,$AH$2:$AJ$451,3,FALSE)&amp;IF(ISNUMBER(SEARCH(", Written",AN362))," -R"&amp;VLOOKUP(AN362,Skills!$M$2:$S$620,7,FALSE),IF(ISNUMBER(SEARCH(", Spoken",AN362))," -R"&amp;VLOOKUP(AN362,Skills!$M$2:$S$620,7,FALSE),"")),"")</f>
        <v/>
      </c>
    </row>
    <row r="363" spans="33:41" x14ac:dyDescent="0.25">
      <c r="AG363">
        <v>362</v>
      </c>
      <c r="AH363" s="4" t="str">
        <f t="shared" si="186"/>
        <v/>
      </c>
      <c r="AI363" t="str">
        <f>IFERROR(VLOOKUP(AG363,Skills!$B$2:$M$620,12,FALSE),"")</f>
        <v/>
      </c>
      <c r="AJ363" s="4" t="str">
        <f>IFERROR(VLOOKUP(AG363,Skills!$B$2:$AF$620,31,FALSE),"")</f>
        <v/>
      </c>
      <c r="AK363" s="4" t="str">
        <f t="shared" si="189"/>
        <v/>
      </c>
      <c r="AL363" s="4">
        <v>0.36199999999999999</v>
      </c>
      <c r="AM363" s="62" t="str">
        <f t="shared" si="187"/>
        <v/>
      </c>
      <c r="AN363" t="str">
        <f t="shared" ca="1" si="188"/>
        <v/>
      </c>
      <c r="AO363" s="4" t="str">
        <f ca="1">IFERROR(VLOOKUP(AG363,$AH$2:$AJ$451,3,FALSE)&amp;IF(ISNUMBER(SEARCH(", Written",AN363))," -R"&amp;VLOOKUP(AN363,Skills!$M$2:$S$620,7,FALSE),IF(ISNUMBER(SEARCH(", Spoken",AN363))," -R"&amp;VLOOKUP(AN363,Skills!$M$2:$S$620,7,FALSE),"")),"")</f>
        <v/>
      </c>
    </row>
    <row r="364" spans="33:41" x14ac:dyDescent="0.25">
      <c r="AG364">
        <v>363</v>
      </c>
      <c r="AH364" s="4" t="str">
        <f t="shared" si="186"/>
        <v/>
      </c>
      <c r="AI364" t="str">
        <f>IFERROR(VLOOKUP(AG364,Skills!$B$2:$M$620,12,FALSE),"")</f>
        <v/>
      </c>
      <c r="AJ364" s="4" t="str">
        <f>IFERROR(VLOOKUP(AG364,Skills!$B$2:$AF$620,31,FALSE),"")</f>
        <v/>
      </c>
      <c r="AK364" s="4" t="str">
        <f t="shared" si="189"/>
        <v/>
      </c>
      <c r="AL364" s="4">
        <v>0.36299999999999999</v>
      </c>
      <c r="AM364" s="62" t="str">
        <f t="shared" si="187"/>
        <v/>
      </c>
      <c r="AN364" t="str">
        <f t="shared" ca="1" si="188"/>
        <v/>
      </c>
      <c r="AO364" s="4" t="str">
        <f ca="1">IFERROR(VLOOKUP(AG364,$AH$2:$AJ$451,3,FALSE)&amp;IF(ISNUMBER(SEARCH(", Written",AN364))," -R"&amp;VLOOKUP(AN364,Skills!$M$2:$S$620,7,FALSE),IF(ISNUMBER(SEARCH(", Spoken",AN364))," -R"&amp;VLOOKUP(AN364,Skills!$M$2:$S$620,7,FALSE),"")),"")</f>
        <v/>
      </c>
    </row>
    <row r="365" spans="33:41" x14ac:dyDescent="0.25">
      <c r="AG365">
        <v>364</v>
      </c>
      <c r="AH365" s="4" t="str">
        <f t="shared" si="186"/>
        <v/>
      </c>
      <c r="AI365" t="str">
        <f>IFERROR(VLOOKUP(AG365,Skills!$B$2:$M$620,12,FALSE),"")</f>
        <v/>
      </c>
      <c r="AJ365" s="4" t="str">
        <f>IFERROR(VLOOKUP(AG365,Skills!$B$2:$AF$620,31,FALSE),"")</f>
        <v/>
      </c>
      <c r="AK365" s="4" t="str">
        <f t="shared" si="189"/>
        <v/>
      </c>
      <c r="AL365" s="4">
        <v>0.36399999999999999</v>
      </c>
      <c r="AM365" s="62" t="str">
        <f t="shared" si="187"/>
        <v/>
      </c>
      <c r="AN365" t="str">
        <f t="shared" ca="1" si="188"/>
        <v/>
      </c>
      <c r="AO365" s="4" t="str">
        <f ca="1">IFERROR(VLOOKUP(AG365,$AH$2:$AJ$451,3,FALSE)&amp;IF(ISNUMBER(SEARCH(", Written",AN365))," -R"&amp;VLOOKUP(AN365,Skills!$M$2:$S$620,7,FALSE),IF(ISNUMBER(SEARCH(", Spoken",AN365))," -R"&amp;VLOOKUP(AN365,Skills!$M$2:$S$620,7,FALSE),"")),"")</f>
        <v/>
      </c>
    </row>
    <row r="366" spans="33:41" x14ac:dyDescent="0.25">
      <c r="AG366">
        <v>365</v>
      </c>
      <c r="AH366" s="4" t="str">
        <f t="shared" si="186"/>
        <v/>
      </c>
      <c r="AI366" t="str">
        <f>IFERROR(VLOOKUP(AG366,Skills!$B$2:$M$620,12,FALSE),"")</f>
        <v/>
      </c>
      <c r="AJ366" s="4" t="str">
        <f>IFERROR(VLOOKUP(AG366,Skills!$B$2:$AF$620,31,FALSE),"")</f>
        <v/>
      </c>
      <c r="AK366" s="4" t="str">
        <f t="shared" si="189"/>
        <v/>
      </c>
      <c r="AL366" s="4">
        <v>0.36499999999999999</v>
      </c>
      <c r="AM366" s="62" t="str">
        <f t="shared" si="187"/>
        <v/>
      </c>
      <c r="AN366" t="str">
        <f t="shared" ca="1" si="188"/>
        <v/>
      </c>
      <c r="AO366" s="4" t="str">
        <f ca="1">IFERROR(VLOOKUP(AG366,$AH$2:$AJ$451,3,FALSE)&amp;IF(ISNUMBER(SEARCH(", Written",AN366))," -R"&amp;VLOOKUP(AN366,Skills!$M$2:$S$620,7,FALSE),IF(ISNUMBER(SEARCH(", Spoken",AN366))," -R"&amp;VLOOKUP(AN366,Skills!$M$2:$S$620,7,FALSE),"")),"")</f>
        <v/>
      </c>
    </row>
    <row r="367" spans="33:41" x14ac:dyDescent="0.25">
      <c r="AG367">
        <v>366</v>
      </c>
      <c r="AH367" s="4" t="str">
        <f t="shared" si="186"/>
        <v/>
      </c>
      <c r="AI367" t="str">
        <f>IFERROR(VLOOKUP(AG367,Skills!$B$2:$M$620,12,FALSE),"")</f>
        <v/>
      </c>
      <c r="AJ367" s="4" t="str">
        <f>IFERROR(VLOOKUP(AG367,Skills!$B$2:$AF$620,31,FALSE),"")</f>
        <v/>
      </c>
      <c r="AK367" s="4" t="str">
        <f t="shared" si="189"/>
        <v/>
      </c>
      <c r="AL367" s="4">
        <v>0.36599999999999999</v>
      </c>
      <c r="AM367" s="62" t="str">
        <f t="shared" si="187"/>
        <v/>
      </c>
      <c r="AN367" t="str">
        <f t="shared" ca="1" si="188"/>
        <v/>
      </c>
      <c r="AO367" s="4" t="str">
        <f ca="1">IFERROR(VLOOKUP(AG367,$AH$2:$AJ$451,3,FALSE)&amp;IF(ISNUMBER(SEARCH(", Written",AN367))," -R"&amp;VLOOKUP(AN367,Skills!$M$2:$S$620,7,FALSE),IF(ISNUMBER(SEARCH(", Spoken",AN367))," -R"&amp;VLOOKUP(AN367,Skills!$M$2:$S$620,7,FALSE),"")),"")</f>
        <v/>
      </c>
    </row>
    <row r="368" spans="33:41" x14ac:dyDescent="0.25">
      <c r="AG368">
        <v>367</v>
      </c>
      <c r="AH368" s="4" t="str">
        <f t="shared" si="186"/>
        <v/>
      </c>
      <c r="AI368" t="str">
        <f>IFERROR(VLOOKUP(AG368,Skills!$B$2:$M$620,12,FALSE),"")</f>
        <v/>
      </c>
      <c r="AJ368" s="4" t="str">
        <f>IFERROR(VLOOKUP(AG368,Skills!$B$2:$AF$620,31,FALSE),"")</f>
        <v/>
      </c>
      <c r="AK368" s="4" t="str">
        <f t="shared" si="189"/>
        <v/>
      </c>
      <c r="AL368" s="4">
        <v>0.36699999999999999</v>
      </c>
      <c r="AM368" s="62" t="str">
        <f t="shared" si="187"/>
        <v/>
      </c>
      <c r="AN368" t="str">
        <f t="shared" ca="1" si="188"/>
        <v/>
      </c>
      <c r="AO368" s="4" t="str">
        <f ca="1">IFERROR(VLOOKUP(AG368,$AH$2:$AJ$451,3,FALSE)&amp;IF(ISNUMBER(SEARCH(", Written",AN368))," -R"&amp;VLOOKUP(AN368,Skills!$M$2:$S$620,7,FALSE),IF(ISNUMBER(SEARCH(", Spoken",AN368))," -R"&amp;VLOOKUP(AN368,Skills!$M$2:$S$620,7,FALSE),"")),"")</f>
        <v/>
      </c>
    </row>
    <row r="369" spans="33:41" x14ac:dyDescent="0.25">
      <c r="AG369">
        <v>368</v>
      </c>
      <c r="AH369" s="4" t="str">
        <f t="shared" si="186"/>
        <v/>
      </c>
      <c r="AI369" t="str">
        <f>IFERROR(VLOOKUP(AG369,Skills!$B$2:$M$620,12,FALSE),"")</f>
        <v/>
      </c>
      <c r="AJ369" s="4" t="str">
        <f>IFERROR(VLOOKUP(AG369,Skills!$B$2:$AF$620,31,FALSE),"")</f>
        <v/>
      </c>
      <c r="AK369" s="4" t="str">
        <f t="shared" si="189"/>
        <v/>
      </c>
      <c r="AL369" s="4">
        <v>0.36799999999999999</v>
      </c>
      <c r="AM369" s="62" t="str">
        <f t="shared" si="187"/>
        <v/>
      </c>
      <c r="AN369" t="str">
        <f t="shared" ca="1" si="188"/>
        <v/>
      </c>
      <c r="AO369" s="4" t="str">
        <f ca="1">IFERROR(VLOOKUP(AG369,$AH$2:$AJ$451,3,FALSE)&amp;IF(ISNUMBER(SEARCH(", Written",AN369))," -R"&amp;VLOOKUP(AN369,Skills!$M$2:$S$620,7,FALSE),IF(ISNUMBER(SEARCH(", Spoken",AN369))," -R"&amp;VLOOKUP(AN369,Skills!$M$2:$S$620,7,FALSE),"")),"")</f>
        <v/>
      </c>
    </row>
    <row r="370" spans="33:41" x14ac:dyDescent="0.25">
      <c r="AG370">
        <v>369</v>
      </c>
      <c r="AH370" s="4" t="str">
        <f t="shared" si="186"/>
        <v/>
      </c>
      <c r="AI370" t="str">
        <f>IFERROR(VLOOKUP(AG370,Skills!$B$2:$M$620,12,FALSE),"")</f>
        <v/>
      </c>
      <c r="AJ370" s="4" t="str">
        <f>IFERROR(VLOOKUP(AG370,Skills!$B$2:$AF$620,31,FALSE),"")</f>
        <v/>
      </c>
      <c r="AK370" s="4" t="str">
        <f t="shared" si="189"/>
        <v/>
      </c>
      <c r="AL370" s="4">
        <v>0.36899999999999999</v>
      </c>
      <c r="AM370" s="62" t="str">
        <f t="shared" si="187"/>
        <v/>
      </c>
      <c r="AN370" t="str">
        <f t="shared" ca="1" si="188"/>
        <v/>
      </c>
      <c r="AO370" s="4" t="str">
        <f ca="1">IFERROR(VLOOKUP(AG370,$AH$2:$AJ$451,3,FALSE)&amp;IF(ISNUMBER(SEARCH(", Written",AN370))," -R"&amp;VLOOKUP(AN370,Skills!$M$2:$S$620,7,FALSE),IF(ISNUMBER(SEARCH(", Spoken",AN370))," -R"&amp;VLOOKUP(AN370,Skills!$M$2:$S$620,7,FALSE),"")),"")</f>
        <v/>
      </c>
    </row>
    <row r="371" spans="33:41" x14ac:dyDescent="0.25">
      <c r="AG371">
        <v>370</v>
      </c>
      <c r="AH371" s="4" t="str">
        <f t="shared" si="186"/>
        <v/>
      </c>
      <c r="AI371" t="str">
        <f>IFERROR(VLOOKUP(AG371,Skills!$B$2:$M$620,12,FALSE),"")</f>
        <v/>
      </c>
      <c r="AJ371" s="4" t="str">
        <f>IFERROR(VLOOKUP(AG371,Skills!$B$2:$AF$620,31,FALSE),"")</f>
        <v/>
      </c>
      <c r="AK371" s="4" t="str">
        <f t="shared" si="189"/>
        <v/>
      </c>
      <c r="AL371" s="4">
        <v>0.37</v>
      </c>
      <c r="AM371" s="62" t="str">
        <f t="shared" si="187"/>
        <v/>
      </c>
      <c r="AN371" t="str">
        <f t="shared" ca="1" si="188"/>
        <v/>
      </c>
      <c r="AO371" s="4" t="str">
        <f ca="1">IFERROR(VLOOKUP(AG371,$AH$2:$AJ$451,3,FALSE)&amp;IF(ISNUMBER(SEARCH(", Written",AN371))," -R"&amp;VLOOKUP(AN371,Skills!$M$2:$S$620,7,FALSE),IF(ISNUMBER(SEARCH(", Spoken",AN371))," -R"&amp;VLOOKUP(AN371,Skills!$M$2:$S$620,7,FALSE),"")),"")</f>
        <v/>
      </c>
    </row>
    <row r="372" spans="33:41" x14ac:dyDescent="0.25">
      <c r="AG372">
        <v>371</v>
      </c>
      <c r="AH372" s="4" t="str">
        <f t="shared" si="186"/>
        <v/>
      </c>
      <c r="AI372" t="str">
        <f>IFERROR(VLOOKUP(AG372,Skills!$B$2:$M$620,12,FALSE),"")</f>
        <v/>
      </c>
      <c r="AJ372" s="4" t="str">
        <f>IFERROR(VLOOKUP(AG372,Skills!$B$2:$AF$620,31,FALSE),"")</f>
        <v/>
      </c>
      <c r="AK372" s="4" t="str">
        <f t="shared" si="189"/>
        <v/>
      </c>
      <c r="AL372" s="4">
        <v>0.371</v>
      </c>
      <c r="AM372" s="62" t="str">
        <f t="shared" si="187"/>
        <v/>
      </c>
      <c r="AN372" t="str">
        <f t="shared" ca="1" si="188"/>
        <v/>
      </c>
      <c r="AO372" s="4" t="str">
        <f ca="1">IFERROR(VLOOKUP(AG372,$AH$2:$AJ$451,3,FALSE)&amp;IF(ISNUMBER(SEARCH(", Written",AN372))," -R"&amp;VLOOKUP(AN372,Skills!$M$2:$S$620,7,FALSE),IF(ISNUMBER(SEARCH(", Spoken",AN372))," -R"&amp;VLOOKUP(AN372,Skills!$M$2:$S$620,7,FALSE),"")),"")</f>
        <v/>
      </c>
    </row>
    <row r="373" spans="33:41" x14ac:dyDescent="0.25">
      <c r="AG373">
        <v>372</v>
      </c>
      <c r="AH373" s="4" t="str">
        <f t="shared" si="186"/>
        <v/>
      </c>
      <c r="AI373" t="str">
        <f>IFERROR(VLOOKUP(AG373,Skills!$B$2:$M$620,12,FALSE),"")</f>
        <v/>
      </c>
      <c r="AJ373" s="4" t="str">
        <f>IFERROR(VLOOKUP(AG373,Skills!$B$2:$AF$620,31,FALSE),"")</f>
        <v/>
      </c>
      <c r="AK373" s="4" t="str">
        <f t="shared" si="189"/>
        <v/>
      </c>
      <c r="AL373" s="4">
        <v>0.372</v>
      </c>
      <c r="AM373" s="62" t="str">
        <f t="shared" si="187"/>
        <v/>
      </c>
      <c r="AN373" t="str">
        <f t="shared" ca="1" si="188"/>
        <v/>
      </c>
      <c r="AO373" s="4" t="str">
        <f ca="1">IFERROR(VLOOKUP(AG373,$AH$2:$AJ$451,3,FALSE)&amp;IF(ISNUMBER(SEARCH(", Written",AN373))," -R"&amp;VLOOKUP(AN373,Skills!$M$2:$S$620,7,FALSE),IF(ISNUMBER(SEARCH(", Spoken",AN373))," -R"&amp;VLOOKUP(AN373,Skills!$M$2:$S$620,7,FALSE),"")),"")</f>
        <v/>
      </c>
    </row>
    <row r="374" spans="33:41" x14ac:dyDescent="0.25">
      <c r="AG374">
        <v>373</v>
      </c>
      <c r="AH374" s="4" t="str">
        <f t="shared" si="186"/>
        <v/>
      </c>
      <c r="AI374" t="str">
        <f>IFERROR(VLOOKUP(AG374,Skills!$B$2:$M$620,12,FALSE),"")</f>
        <v/>
      </c>
      <c r="AJ374" s="4" t="str">
        <f>IFERROR(VLOOKUP(AG374,Skills!$B$2:$AF$620,31,FALSE),"")</f>
        <v/>
      </c>
      <c r="AK374" s="4" t="str">
        <f t="shared" si="189"/>
        <v/>
      </c>
      <c r="AL374" s="4">
        <v>0.373</v>
      </c>
      <c r="AM374" s="62" t="str">
        <f t="shared" si="187"/>
        <v/>
      </c>
      <c r="AN374" t="str">
        <f t="shared" ca="1" si="188"/>
        <v/>
      </c>
      <c r="AO374" s="4" t="str">
        <f ca="1">IFERROR(VLOOKUP(AG374,$AH$2:$AJ$451,3,FALSE)&amp;IF(ISNUMBER(SEARCH(", Written",AN374))," -R"&amp;VLOOKUP(AN374,Skills!$M$2:$S$620,7,FALSE),IF(ISNUMBER(SEARCH(", Spoken",AN374))," -R"&amp;VLOOKUP(AN374,Skills!$M$2:$S$620,7,FALSE),"")),"")</f>
        <v/>
      </c>
    </row>
    <row r="375" spans="33:41" x14ac:dyDescent="0.25">
      <c r="AG375">
        <v>374</v>
      </c>
      <c r="AH375" s="4" t="str">
        <f t="shared" si="186"/>
        <v/>
      </c>
      <c r="AI375" t="str">
        <f>IFERROR(VLOOKUP(AG375,Skills!$B$2:$M$620,12,FALSE),"")</f>
        <v/>
      </c>
      <c r="AJ375" s="4" t="str">
        <f>IFERROR(VLOOKUP(AG375,Skills!$B$2:$AF$620,31,FALSE),"")</f>
        <v/>
      </c>
      <c r="AK375" s="4" t="str">
        <f t="shared" si="189"/>
        <v/>
      </c>
      <c r="AL375" s="4">
        <v>0.374</v>
      </c>
      <c r="AM375" s="62" t="str">
        <f t="shared" si="187"/>
        <v/>
      </c>
      <c r="AN375" t="str">
        <f t="shared" ca="1" si="188"/>
        <v/>
      </c>
      <c r="AO375" s="4" t="str">
        <f ca="1">IFERROR(VLOOKUP(AG375,$AH$2:$AJ$451,3,FALSE)&amp;IF(ISNUMBER(SEARCH(", Written",AN375))," -R"&amp;VLOOKUP(AN375,Skills!$M$2:$S$620,7,FALSE),IF(ISNUMBER(SEARCH(", Spoken",AN375))," -R"&amp;VLOOKUP(AN375,Skills!$M$2:$S$620,7,FALSE),"")),"")</f>
        <v/>
      </c>
    </row>
    <row r="376" spans="33:41" x14ac:dyDescent="0.25">
      <c r="AG376">
        <v>375</v>
      </c>
      <c r="AH376" s="4" t="str">
        <f t="shared" si="186"/>
        <v/>
      </c>
      <c r="AI376" t="str">
        <f>IFERROR(VLOOKUP(AG376,Skills!$B$2:$M$620,12,FALSE),"")</f>
        <v/>
      </c>
      <c r="AJ376" s="4" t="str">
        <f>IFERROR(VLOOKUP(AG376,Skills!$B$2:$AF$620,31,FALSE),"")</f>
        <v/>
      </c>
      <c r="AK376" s="4" t="str">
        <f t="shared" si="189"/>
        <v/>
      </c>
      <c r="AL376" s="4">
        <v>0.375</v>
      </c>
      <c r="AM376" s="62" t="str">
        <f t="shared" si="187"/>
        <v/>
      </c>
      <c r="AN376" t="str">
        <f t="shared" ca="1" si="188"/>
        <v/>
      </c>
      <c r="AO376" s="4" t="str">
        <f ca="1">IFERROR(VLOOKUP(AG376,$AH$2:$AJ$451,3,FALSE)&amp;IF(ISNUMBER(SEARCH(", Written",AN376))," -R"&amp;VLOOKUP(AN376,Skills!$M$2:$S$620,7,FALSE),IF(ISNUMBER(SEARCH(", Spoken",AN376))," -R"&amp;VLOOKUP(AN376,Skills!$M$2:$S$620,7,FALSE),"")),"")</f>
        <v/>
      </c>
    </row>
    <row r="377" spans="33:41" x14ac:dyDescent="0.25">
      <c r="AG377">
        <v>376</v>
      </c>
      <c r="AH377" s="4" t="str">
        <f t="shared" si="186"/>
        <v/>
      </c>
      <c r="AI377" t="str">
        <f>IFERROR(VLOOKUP(AG377,Skills!$B$2:$M$620,12,FALSE),"")</f>
        <v/>
      </c>
      <c r="AJ377" s="4" t="str">
        <f>IFERROR(VLOOKUP(AG377,Skills!$B$2:$AF$620,31,FALSE),"")</f>
        <v/>
      </c>
      <c r="AK377" s="4" t="str">
        <f t="shared" si="189"/>
        <v/>
      </c>
      <c r="AL377" s="4">
        <v>0.376</v>
      </c>
      <c r="AM377" s="62" t="str">
        <f t="shared" si="187"/>
        <v/>
      </c>
      <c r="AN377" t="str">
        <f t="shared" ca="1" si="188"/>
        <v/>
      </c>
      <c r="AO377" s="4" t="str">
        <f ca="1">IFERROR(VLOOKUP(AG377,$AH$2:$AJ$451,3,FALSE)&amp;IF(ISNUMBER(SEARCH(", Written",AN377))," -R"&amp;VLOOKUP(AN377,Skills!$M$2:$S$620,7,FALSE),IF(ISNUMBER(SEARCH(", Spoken",AN377))," -R"&amp;VLOOKUP(AN377,Skills!$M$2:$S$620,7,FALSE),"")),"")</f>
        <v/>
      </c>
    </row>
    <row r="378" spans="33:41" x14ac:dyDescent="0.25">
      <c r="AG378">
        <v>377</v>
      </c>
      <c r="AH378" s="4" t="str">
        <f t="shared" si="186"/>
        <v/>
      </c>
      <c r="AI378" t="str">
        <f>IFERROR(VLOOKUP(AG378,Skills!$B$2:$M$620,12,FALSE),"")</f>
        <v/>
      </c>
      <c r="AJ378" s="4" t="str">
        <f>IFERROR(VLOOKUP(AG378,Skills!$B$2:$AF$620,31,FALSE),"")</f>
        <v/>
      </c>
      <c r="AK378" s="4" t="str">
        <f t="shared" si="189"/>
        <v/>
      </c>
      <c r="AL378" s="4">
        <v>0.377</v>
      </c>
      <c r="AM378" s="62" t="str">
        <f t="shared" si="187"/>
        <v/>
      </c>
      <c r="AN378" t="str">
        <f t="shared" ca="1" si="188"/>
        <v/>
      </c>
      <c r="AO378" s="4" t="str">
        <f ca="1">IFERROR(VLOOKUP(AG378,$AH$2:$AJ$451,3,FALSE)&amp;IF(ISNUMBER(SEARCH(", Written",AN378))," -R"&amp;VLOOKUP(AN378,Skills!$M$2:$S$620,7,FALSE),IF(ISNUMBER(SEARCH(", Spoken",AN378))," -R"&amp;VLOOKUP(AN378,Skills!$M$2:$S$620,7,FALSE),"")),"")</f>
        <v/>
      </c>
    </row>
    <row r="379" spans="33:41" x14ac:dyDescent="0.25">
      <c r="AG379">
        <v>378</v>
      </c>
      <c r="AH379" s="4" t="str">
        <f t="shared" si="186"/>
        <v/>
      </c>
      <c r="AI379" t="str">
        <f>IFERROR(VLOOKUP(AG379,Skills!$B$2:$M$620,12,FALSE),"")</f>
        <v/>
      </c>
      <c r="AJ379" s="4" t="str">
        <f>IFERROR(VLOOKUP(AG379,Skills!$B$2:$AF$620,31,FALSE),"")</f>
        <v/>
      </c>
      <c r="AK379" s="4" t="str">
        <f t="shared" si="189"/>
        <v/>
      </c>
      <c r="AL379" s="4">
        <v>0.378</v>
      </c>
      <c r="AM379" s="62" t="str">
        <f t="shared" si="187"/>
        <v/>
      </c>
      <c r="AN379" t="str">
        <f t="shared" ca="1" si="188"/>
        <v/>
      </c>
      <c r="AO379" s="4" t="str">
        <f ca="1">IFERROR(VLOOKUP(AG379,$AH$2:$AJ$451,3,FALSE)&amp;IF(ISNUMBER(SEARCH(", Written",AN379))," -R"&amp;VLOOKUP(AN379,Skills!$M$2:$S$620,7,FALSE),IF(ISNUMBER(SEARCH(", Spoken",AN379))," -R"&amp;VLOOKUP(AN379,Skills!$M$2:$S$620,7,FALSE),"")),"")</f>
        <v/>
      </c>
    </row>
    <row r="380" spans="33:41" x14ac:dyDescent="0.25">
      <c r="AG380">
        <v>379</v>
      </c>
      <c r="AH380" s="4" t="str">
        <f t="shared" si="186"/>
        <v/>
      </c>
      <c r="AI380" t="str">
        <f>IFERROR(VLOOKUP(AG380,Skills!$B$2:$M$620,12,FALSE),"")</f>
        <v/>
      </c>
      <c r="AJ380" s="4" t="str">
        <f>IFERROR(VLOOKUP(AG380,Skills!$B$2:$AF$620,31,FALSE),"")</f>
        <v/>
      </c>
      <c r="AK380" s="4" t="str">
        <f t="shared" si="189"/>
        <v/>
      </c>
      <c r="AL380" s="4">
        <v>0.379</v>
      </c>
      <c r="AM380" s="62" t="str">
        <f t="shared" si="187"/>
        <v/>
      </c>
      <c r="AN380" t="str">
        <f t="shared" ca="1" si="188"/>
        <v/>
      </c>
      <c r="AO380" s="4" t="str">
        <f ca="1">IFERROR(VLOOKUP(AG380,$AH$2:$AJ$451,3,FALSE)&amp;IF(ISNUMBER(SEARCH(", Written",AN380))," -R"&amp;VLOOKUP(AN380,Skills!$M$2:$S$620,7,FALSE),IF(ISNUMBER(SEARCH(", Spoken",AN380))," -R"&amp;VLOOKUP(AN380,Skills!$M$2:$S$620,7,FALSE),"")),"")</f>
        <v/>
      </c>
    </row>
    <row r="381" spans="33:41" x14ac:dyDescent="0.25">
      <c r="AG381">
        <v>380</v>
      </c>
      <c r="AH381" s="4" t="str">
        <f t="shared" si="186"/>
        <v/>
      </c>
      <c r="AI381" t="str">
        <f>IFERROR(VLOOKUP(AG381,Skills!$B$2:$M$620,12,FALSE),"")</f>
        <v/>
      </c>
      <c r="AJ381" s="4" t="str">
        <f>IFERROR(VLOOKUP(AG381,Skills!$B$2:$AF$620,31,FALSE),"")</f>
        <v/>
      </c>
      <c r="AK381" s="4" t="str">
        <f t="shared" si="189"/>
        <v/>
      </c>
      <c r="AL381" s="4">
        <v>0.38</v>
      </c>
      <c r="AM381" s="62" t="str">
        <f t="shared" si="187"/>
        <v/>
      </c>
      <c r="AN381" t="str">
        <f t="shared" ca="1" si="188"/>
        <v/>
      </c>
      <c r="AO381" s="4" t="str">
        <f ca="1">IFERROR(VLOOKUP(AG381,$AH$2:$AJ$451,3,FALSE)&amp;IF(ISNUMBER(SEARCH(", Written",AN381))," -R"&amp;VLOOKUP(AN381,Skills!$M$2:$S$620,7,FALSE),IF(ISNUMBER(SEARCH(", Spoken",AN381))," -R"&amp;VLOOKUP(AN381,Skills!$M$2:$S$620,7,FALSE),"")),"")</f>
        <v/>
      </c>
    </row>
    <row r="382" spans="33:41" x14ac:dyDescent="0.25">
      <c r="AG382">
        <v>381</v>
      </c>
      <c r="AH382" s="4" t="str">
        <f t="shared" si="186"/>
        <v/>
      </c>
      <c r="AI382" t="str">
        <f>IFERROR(VLOOKUP(AG382,Skills!$B$2:$M$620,12,FALSE),"")</f>
        <v/>
      </c>
      <c r="AJ382" s="4" t="str">
        <f>IFERROR(VLOOKUP(AG382,Skills!$B$2:$AF$620,31,FALSE),"")</f>
        <v/>
      </c>
      <c r="AK382" s="4" t="str">
        <f t="shared" si="189"/>
        <v/>
      </c>
      <c r="AL382" s="4">
        <v>0.38100000000000001</v>
      </c>
      <c r="AM382" s="62" t="str">
        <f t="shared" si="187"/>
        <v/>
      </c>
      <c r="AN382" t="str">
        <f t="shared" ca="1" si="188"/>
        <v/>
      </c>
      <c r="AO382" s="4" t="str">
        <f ca="1">IFERROR(VLOOKUP(AG382,$AH$2:$AJ$451,3,FALSE)&amp;IF(ISNUMBER(SEARCH(", Written",AN382))," -R"&amp;VLOOKUP(AN382,Skills!$M$2:$S$620,7,FALSE),IF(ISNUMBER(SEARCH(", Spoken",AN382))," -R"&amp;VLOOKUP(AN382,Skills!$M$2:$S$620,7,FALSE),"")),"")</f>
        <v/>
      </c>
    </row>
    <row r="383" spans="33:41" x14ac:dyDescent="0.25">
      <c r="AG383">
        <v>382</v>
      </c>
      <c r="AH383" s="4" t="str">
        <f t="shared" si="186"/>
        <v/>
      </c>
      <c r="AI383" t="str">
        <f>IFERROR(VLOOKUP(AG383,Skills!$B$2:$M$620,12,FALSE),"")</f>
        <v/>
      </c>
      <c r="AJ383" s="4" t="str">
        <f>IFERROR(VLOOKUP(AG383,Skills!$B$2:$AF$620,31,FALSE),"")</f>
        <v/>
      </c>
      <c r="AK383" s="4" t="str">
        <f t="shared" si="189"/>
        <v/>
      </c>
      <c r="AL383" s="4">
        <v>0.38200000000000001</v>
      </c>
      <c r="AM383" s="62" t="str">
        <f t="shared" si="187"/>
        <v/>
      </c>
      <c r="AN383" t="str">
        <f t="shared" ca="1" si="188"/>
        <v/>
      </c>
      <c r="AO383" s="4" t="str">
        <f ca="1">IFERROR(VLOOKUP(AG383,$AH$2:$AJ$451,3,FALSE)&amp;IF(ISNUMBER(SEARCH(", Written",AN383))," -R"&amp;VLOOKUP(AN383,Skills!$M$2:$S$620,7,FALSE),IF(ISNUMBER(SEARCH(", Spoken",AN383))," -R"&amp;VLOOKUP(AN383,Skills!$M$2:$S$620,7,FALSE),"")),"")</f>
        <v/>
      </c>
    </row>
    <row r="384" spans="33:41" x14ac:dyDescent="0.25">
      <c r="AG384">
        <v>383</v>
      </c>
      <c r="AH384" s="4" t="str">
        <f t="shared" si="186"/>
        <v/>
      </c>
      <c r="AI384" t="str">
        <f>IFERROR(VLOOKUP(AG384,Skills!$B$2:$M$620,12,FALSE),"")</f>
        <v/>
      </c>
      <c r="AJ384" s="4" t="str">
        <f>IFERROR(VLOOKUP(AG384,Skills!$B$2:$AF$620,31,FALSE),"")</f>
        <v/>
      </c>
      <c r="AK384" s="4" t="str">
        <f t="shared" si="189"/>
        <v/>
      </c>
      <c r="AL384" s="4">
        <v>0.38300000000000001</v>
      </c>
      <c r="AM384" s="62" t="str">
        <f t="shared" si="187"/>
        <v/>
      </c>
      <c r="AN384" t="str">
        <f t="shared" ca="1" si="188"/>
        <v/>
      </c>
      <c r="AO384" s="4" t="str">
        <f ca="1">IFERROR(VLOOKUP(AG384,$AH$2:$AJ$451,3,FALSE)&amp;IF(ISNUMBER(SEARCH(", Written",AN384))," -R"&amp;VLOOKUP(AN384,Skills!$M$2:$S$620,7,FALSE),IF(ISNUMBER(SEARCH(", Spoken",AN384))," -R"&amp;VLOOKUP(AN384,Skills!$M$2:$S$620,7,FALSE),"")),"")</f>
        <v/>
      </c>
    </row>
    <row r="385" spans="33:41" x14ac:dyDescent="0.25">
      <c r="AG385">
        <v>384</v>
      </c>
      <c r="AH385" s="4" t="str">
        <f t="shared" si="186"/>
        <v/>
      </c>
      <c r="AI385" t="str">
        <f>IFERROR(VLOOKUP(AG385,Skills!$B$2:$M$620,12,FALSE),"")</f>
        <v/>
      </c>
      <c r="AJ385" s="4" t="str">
        <f>IFERROR(VLOOKUP(AG385,Skills!$B$2:$AF$620,31,FALSE),"")</f>
        <v/>
      </c>
      <c r="AK385" s="4" t="str">
        <f t="shared" si="189"/>
        <v/>
      </c>
      <c r="AL385" s="4">
        <v>0.38400000000000001</v>
      </c>
      <c r="AM385" s="62" t="str">
        <f t="shared" si="187"/>
        <v/>
      </c>
      <c r="AN385" t="str">
        <f t="shared" ca="1" si="188"/>
        <v/>
      </c>
      <c r="AO385" s="4" t="str">
        <f ca="1">IFERROR(VLOOKUP(AG385,$AH$2:$AJ$451,3,FALSE)&amp;IF(ISNUMBER(SEARCH(", Written",AN385))," -R"&amp;VLOOKUP(AN385,Skills!$M$2:$S$620,7,FALSE),IF(ISNUMBER(SEARCH(", Spoken",AN385))," -R"&amp;VLOOKUP(AN385,Skills!$M$2:$S$620,7,FALSE),"")),"")</f>
        <v/>
      </c>
    </row>
    <row r="386" spans="33:41" x14ac:dyDescent="0.25">
      <c r="AG386">
        <v>385</v>
      </c>
      <c r="AH386" s="4" t="str">
        <f t="shared" si="186"/>
        <v/>
      </c>
      <c r="AI386" t="str">
        <f>IFERROR(VLOOKUP(AG386,Skills!$B$2:$M$620,12,FALSE),"")</f>
        <v/>
      </c>
      <c r="AJ386" s="4" t="str">
        <f>IFERROR(VLOOKUP(AG386,Skills!$B$2:$AF$620,31,FALSE),"")</f>
        <v/>
      </c>
      <c r="AK386" s="4" t="str">
        <f t="shared" si="189"/>
        <v/>
      </c>
      <c r="AL386" s="4">
        <v>0.38500000000000001</v>
      </c>
      <c r="AM386" s="62" t="str">
        <f t="shared" si="187"/>
        <v/>
      </c>
      <c r="AN386" t="str">
        <f t="shared" ca="1" si="188"/>
        <v/>
      </c>
      <c r="AO386" s="4" t="str">
        <f ca="1">IFERROR(VLOOKUP(AG386,$AH$2:$AJ$451,3,FALSE)&amp;IF(ISNUMBER(SEARCH(", Written",AN386))," -R"&amp;VLOOKUP(AN386,Skills!$M$2:$S$620,7,FALSE),IF(ISNUMBER(SEARCH(", Spoken",AN386))," -R"&amp;VLOOKUP(AN386,Skills!$M$2:$S$620,7,FALSE),"")),"")</f>
        <v/>
      </c>
    </row>
    <row r="387" spans="33:41" x14ac:dyDescent="0.25">
      <c r="AG387">
        <v>386</v>
      </c>
      <c r="AH387" s="4" t="str">
        <f t="shared" ref="AH387:AH450" si="190">IFERROR(_xlfn.RANK.EQ(AM387,$AM$2:$AM$451),"")</f>
        <v/>
      </c>
      <c r="AI387" t="str">
        <f>IFERROR(VLOOKUP(AG387,Skills!$B$2:$M$620,12,FALSE),"")</f>
        <v/>
      </c>
      <c r="AJ387" s="4" t="str">
        <f>IFERROR(VLOOKUP(AG387,Skills!$B$2:$AF$620,31,FALSE),"")</f>
        <v/>
      </c>
      <c r="AK387" s="4" t="str">
        <f t="shared" si="189"/>
        <v/>
      </c>
      <c r="AL387" s="4">
        <v>0.38600000000000001</v>
      </c>
      <c r="AM387" s="62" t="str">
        <f t="shared" ref="AM387:AM450" si="191">IFERROR(AK387+AL387,"")</f>
        <v/>
      </c>
      <c r="AN387" t="str">
        <f t="shared" ref="AN387:AN450" ca="1" si="192">IFERROR(VLOOKUP(AG387,$AH$2:$AJ$451,2,FALSE),"")</f>
        <v/>
      </c>
      <c r="AO387" s="4" t="str">
        <f ca="1">IFERROR(VLOOKUP(AG387,$AH$2:$AJ$451,3,FALSE)&amp;IF(ISNUMBER(SEARCH(", Written",AN387))," -R"&amp;VLOOKUP(AN387,Skills!$M$2:$S$620,7,FALSE),IF(ISNUMBER(SEARCH(", Spoken",AN387))," -R"&amp;VLOOKUP(AN387,Skills!$M$2:$S$620,7,FALSE),"")),"")</f>
        <v/>
      </c>
    </row>
    <row r="388" spans="33:41" x14ac:dyDescent="0.25">
      <c r="AG388">
        <v>387</v>
      </c>
      <c r="AH388" s="4" t="str">
        <f t="shared" si="190"/>
        <v/>
      </c>
      <c r="AI388" t="str">
        <f>IFERROR(VLOOKUP(AG388,Skills!$B$2:$M$620,12,FALSE),"")</f>
        <v/>
      </c>
      <c r="AJ388" s="4" t="str">
        <f>IFERROR(VLOOKUP(AG388,Skills!$B$2:$AF$620,31,FALSE),"")</f>
        <v/>
      </c>
      <c r="AK388" s="4" t="str">
        <f t="shared" si="189"/>
        <v/>
      </c>
      <c r="AL388" s="4">
        <v>0.38700000000000001</v>
      </c>
      <c r="AM388" s="62" t="str">
        <f t="shared" si="191"/>
        <v/>
      </c>
      <c r="AN388" t="str">
        <f t="shared" ca="1" si="192"/>
        <v/>
      </c>
      <c r="AO388" s="4" t="str">
        <f ca="1">IFERROR(VLOOKUP(AG388,$AH$2:$AJ$451,3,FALSE)&amp;IF(ISNUMBER(SEARCH(", Written",AN388))," -R"&amp;VLOOKUP(AN388,Skills!$M$2:$S$620,7,FALSE),IF(ISNUMBER(SEARCH(", Spoken",AN388))," -R"&amp;VLOOKUP(AN388,Skills!$M$2:$S$620,7,FALSE),"")),"")</f>
        <v/>
      </c>
    </row>
    <row r="389" spans="33:41" x14ac:dyDescent="0.25">
      <c r="AG389">
        <v>388</v>
      </c>
      <c r="AH389" s="4" t="str">
        <f t="shared" si="190"/>
        <v/>
      </c>
      <c r="AI389" t="str">
        <f>IFERROR(VLOOKUP(AG389,Skills!$B$2:$M$620,12,FALSE),"")</f>
        <v/>
      </c>
      <c r="AJ389" s="4" t="str">
        <f>IFERROR(VLOOKUP(AG389,Skills!$B$2:$AF$620,31,FALSE),"")</f>
        <v/>
      </c>
      <c r="AK389" s="4" t="str">
        <f t="shared" si="189"/>
        <v/>
      </c>
      <c r="AL389" s="4">
        <v>0.38800000000000001</v>
      </c>
      <c r="AM389" s="62" t="str">
        <f t="shared" si="191"/>
        <v/>
      </c>
      <c r="AN389" t="str">
        <f t="shared" ca="1" si="192"/>
        <v/>
      </c>
      <c r="AO389" s="4" t="str">
        <f ca="1">IFERROR(VLOOKUP(AG389,$AH$2:$AJ$451,3,FALSE)&amp;IF(ISNUMBER(SEARCH(", Written",AN389))," -R"&amp;VLOOKUP(AN389,Skills!$M$2:$S$620,7,FALSE),IF(ISNUMBER(SEARCH(", Spoken",AN389))," -R"&amp;VLOOKUP(AN389,Skills!$M$2:$S$620,7,FALSE),"")),"")</f>
        <v/>
      </c>
    </row>
    <row r="390" spans="33:41" x14ac:dyDescent="0.25">
      <c r="AG390">
        <v>389</v>
      </c>
      <c r="AH390" s="4" t="str">
        <f t="shared" si="190"/>
        <v/>
      </c>
      <c r="AI390" t="str">
        <f>IFERROR(VLOOKUP(AG390,Skills!$B$2:$M$620,12,FALSE),"")</f>
        <v/>
      </c>
      <c r="AJ390" s="4" t="str">
        <f>IFERROR(VLOOKUP(AG390,Skills!$B$2:$AF$620,31,FALSE),"")</f>
        <v/>
      </c>
      <c r="AK390" s="4" t="str">
        <f t="shared" si="189"/>
        <v/>
      </c>
      <c r="AL390" s="4">
        <v>0.38900000000000001</v>
      </c>
      <c r="AM390" s="62" t="str">
        <f t="shared" si="191"/>
        <v/>
      </c>
      <c r="AN390" t="str">
        <f t="shared" ca="1" si="192"/>
        <v/>
      </c>
      <c r="AO390" s="4" t="str">
        <f ca="1">IFERROR(VLOOKUP(AG390,$AH$2:$AJ$451,3,FALSE)&amp;IF(ISNUMBER(SEARCH(", Written",AN390))," -R"&amp;VLOOKUP(AN390,Skills!$M$2:$S$620,7,FALSE),IF(ISNUMBER(SEARCH(", Spoken",AN390))," -R"&amp;VLOOKUP(AN390,Skills!$M$2:$S$620,7,FALSE),"")),"")</f>
        <v/>
      </c>
    </row>
    <row r="391" spans="33:41" x14ac:dyDescent="0.25">
      <c r="AG391">
        <v>390</v>
      </c>
      <c r="AH391" s="4" t="str">
        <f t="shared" si="190"/>
        <v/>
      </c>
      <c r="AI391" t="str">
        <f>IFERROR(VLOOKUP(AG391,Skills!$B$2:$M$620,12,FALSE),"")</f>
        <v/>
      </c>
      <c r="AJ391" s="4" t="str">
        <f>IFERROR(VLOOKUP(AG391,Skills!$B$2:$AF$620,31,FALSE),"")</f>
        <v/>
      </c>
      <c r="AK391" s="4" t="str">
        <f t="shared" si="189"/>
        <v/>
      </c>
      <c r="AL391" s="4">
        <v>0.39</v>
      </c>
      <c r="AM391" s="62" t="str">
        <f t="shared" si="191"/>
        <v/>
      </c>
      <c r="AN391" t="str">
        <f t="shared" ca="1" si="192"/>
        <v/>
      </c>
      <c r="AO391" s="4" t="str">
        <f ca="1">IFERROR(VLOOKUP(AG391,$AH$2:$AJ$451,3,FALSE)&amp;IF(ISNUMBER(SEARCH(", Written",AN391))," -R"&amp;VLOOKUP(AN391,Skills!$M$2:$S$620,7,FALSE),IF(ISNUMBER(SEARCH(", Spoken",AN391))," -R"&amp;VLOOKUP(AN391,Skills!$M$2:$S$620,7,FALSE),"")),"")</f>
        <v/>
      </c>
    </row>
    <row r="392" spans="33:41" x14ac:dyDescent="0.25">
      <c r="AG392">
        <v>391</v>
      </c>
      <c r="AH392" s="4" t="str">
        <f t="shared" si="190"/>
        <v/>
      </c>
      <c r="AI392" t="str">
        <f>IFERROR(VLOOKUP(AG392,Skills!$B$2:$M$620,12,FALSE),"")</f>
        <v/>
      </c>
      <c r="AJ392" s="4" t="str">
        <f>IFERROR(VLOOKUP(AG392,Skills!$B$2:$AF$620,31,FALSE),"")</f>
        <v/>
      </c>
      <c r="AK392" s="4" t="str">
        <f t="shared" si="189"/>
        <v/>
      </c>
      <c r="AL392" s="4">
        <v>0.39100000000000001</v>
      </c>
      <c r="AM392" s="62" t="str">
        <f t="shared" si="191"/>
        <v/>
      </c>
      <c r="AN392" t="str">
        <f t="shared" ca="1" si="192"/>
        <v/>
      </c>
      <c r="AO392" s="4" t="str">
        <f ca="1">IFERROR(VLOOKUP(AG392,$AH$2:$AJ$451,3,FALSE)&amp;IF(ISNUMBER(SEARCH(", Written",AN392))," -R"&amp;VLOOKUP(AN392,Skills!$M$2:$S$620,7,FALSE),IF(ISNUMBER(SEARCH(", Spoken",AN392))," -R"&amp;VLOOKUP(AN392,Skills!$M$2:$S$620,7,FALSE),"")),"")</f>
        <v/>
      </c>
    </row>
    <row r="393" spans="33:41" x14ac:dyDescent="0.25">
      <c r="AG393">
        <v>392</v>
      </c>
      <c r="AH393" s="4" t="str">
        <f t="shared" si="190"/>
        <v/>
      </c>
      <c r="AI393" t="str">
        <f ca="1">IFERROR(VLOOKUP(AG393,Skills!$B$2:$M$620,12,FALSE),"")</f>
        <v/>
      </c>
      <c r="AJ393" s="4" t="str">
        <f>IFERROR(VLOOKUP(AG393,Skills!$B$2:$AF$620,31,FALSE),"")</f>
        <v/>
      </c>
      <c r="AK393" s="4" t="str">
        <f t="shared" si="189"/>
        <v/>
      </c>
      <c r="AL393" s="4">
        <v>0.39200000000000002</v>
      </c>
      <c r="AM393" s="62" t="str">
        <f t="shared" si="191"/>
        <v/>
      </c>
      <c r="AN393" t="str">
        <f t="shared" ca="1" si="192"/>
        <v/>
      </c>
      <c r="AO393" s="4" t="str">
        <f ca="1">IFERROR(VLOOKUP(AG393,$AH$2:$AJ$451,3,FALSE)&amp;IF(ISNUMBER(SEARCH(", Written",AN393))," -R"&amp;VLOOKUP(AN393,Skills!$M$2:$S$620,7,FALSE),IF(ISNUMBER(SEARCH(", Spoken",AN393))," -R"&amp;VLOOKUP(AN393,Skills!$M$2:$S$620,7,FALSE),"")),"")</f>
        <v/>
      </c>
    </row>
    <row r="394" spans="33:41" x14ac:dyDescent="0.25">
      <c r="AG394">
        <v>393</v>
      </c>
      <c r="AH394" s="4" t="str">
        <f t="shared" si="190"/>
        <v/>
      </c>
      <c r="AI394" t="str">
        <f>IFERROR(VLOOKUP(AG394,Skills!$B$2:$M$620,12,FALSE),"")</f>
        <v/>
      </c>
      <c r="AJ394" s="4" t="str">
        <f>IFERROR(VLOOKUP(AG394,Skills!$B$2:$AF$620,31,FALSE),"")</f>
        <v/>
      </c>
      <c r="AK394" s="4" t="str">
        <f t="shared" si="189"/>
        <v/>
      </c>
      <c r="AL394" s="4">
        <v>0.39300000000000002</v>
      </c>
      <c r="AM394" s="62" t="str">
        <f t="shared" si="191"/>
        <v/>
      </c>
      <c r="AN394" t="str">
        <f t="shared" ca="1" si="192"/>
        <v/>
      </c>
      <c r="AO394" s="4" t="str">
        <f ca="1">IFERROR(VLOOKUP(AG394,$AH$2:$AJ$451,3,FALSE)&amp;IF(ISNUMBER(SEARCH(", Written",AN394))," -R"&amp;VLOOKUP(AN394,Skills!$M$2:$S$620,7,FALSE),IF(ISNUMBER(SEARCH(", Spoken",AN394))," -R"&amp;VLOOKUP(AN394,Skills!$M$2:$S$620,7,FALSE),"")),"")</f>
        <v/>
      </c>
    </row>
    <row r="395" spans="33:41" x14ac:dyDescent="0.25">
      <c r="AG395">
        <v>394</v>
      </c>
      <c r="AH395" s="4" t="str">
        <f t="shared" si="190"/>
        <v/>
      </c>
      <c r="AI395" t="str">
        <f>IFERROR(VLOOKUP(AG395,Skills!$B$2:$M$620,12,FALSE),"")</f>
        <v/>
      </c>
      <c r="AJ395" s="4" t="str">
        <f>IFERROR(VLOOKUP(AG395,Skills!$B$2:$AF$620,31,FALSE),"")</f>
        <v/>
      </c>
      <c r="AK395" s="4" t="str">
        <f t="shared" si="189"/>
        <v/>
      </c>
      <c r="AL395" s="4">
        <v>0.39400000000000002</v>
      </c>
      <c r="AM395" s="62" t="str">
        <f t="shared" si="191"/>
        <v/>
      </c>
      <c r="AN395" t="str">
        <f t="shared" ca="1" si="192"/>
        <v/>
      </c>
      <c r="AO395" s="4" t="str">
        <f ca="1">IFERROR(VLOOKUP(AG395,$AH$2:$AJ$451,3,FALSE)&amp;IF(ISNUMBER(SEARCH(", Written",AN395))," -R"&amp;VLOOKUP(AN395,Skills!$M$2:$S$620,7,FALSE),IF(ISNUMBER(SEARCH(", Spoken",AN395))," -R"&amp;VLOOKUP(AN395,Skills!$M$2:$S$620,7,FALSE),"")),"")</f>
        <v/>
      </c>
    </row>
    <row r="396" spans="33:41" x14ac:dyDescent="0.25">
      <c r="AG396">
        <v>395</v>
      </c>
      <c r="AH396" s="4" t="str">
        <f t="shared" si="190"/>
        <v/>
      </c>
      <c r="AI396" t="str">
        <f>IFERROR(VLOOKUP(AG396,Skills!$B$2:$M$620,12,FALSE),"")</f>
        <v/>
      </c>
      <c r="AJ396" s="4" t="str">
        <f>IFERROR(VLOOKUP(AG396,Skills!$B$2:$AF$620,31,FALSE),"")</f>
        <v/>
      </c>
      <c r="AK396" s="4" t="str">
        <f t="shared" si="189"/>
        <v/>
      </c>
      <c r="AL396" s="4">
        <v>0.39500000000000002</v>
      </c>
      <c r="AM396" s="62" t="str">
        <f t="shared" si="191"/>
        <v/>
      </c>
      <c r="AN396" t="str">
        <f t="shared" ca="1" si="192"/>
        <v/>
      </c>
      <c r="AO396" s="4" t="str">
        <f ca="1">IFERROR(VLOOKUP(AG396,$AH$2:$AJ$451,3,FALSE)&amp;IF(ISNUMBER(SEARCH(", Written",AN396))," -R"&amp;VLOOKUP(AN396,Skills!$M$2:$S$620,7,FALSE),IF(ISNUMBER(SEARCH(", Spoken",AN396))," -R"&amp;VLOOKUP(AN396,Skills!$M$2:$S$620,7,FALSE),"")),"")</f>
        <v/>
      </c>
    </row>
    <row r="397" spans="33:41" x14ac:dyDescent="0.25">
      <c r="AG397">
        <v>396</v>
      </c>
      <c r="AH397" s="4" t="str">
        <f t="shared" si="190"/>
        <v/>
      </c>
      <c r="AI397" t="str">
        <f>IFERROR(VLOOKUP(AG397,Skills!$B$2:$M$620,12,FALSE),"")</f>
        <v/>
      </c>
      <c r="AJ397" s="4" t="str">
        <f>IFERROR(VLOOKUP(AG397,Skills!$B$2:$AF$620,31,FALSE),"")</f>
        <v/>
      </c>
      <c r="AK397" s="4" t="str">
        <f t="shared" si="189"/>
        <v/>
      </c>
      <c r="AL397" s="4">
        <v>0.39600000000000002</v>
      </c>
      <c r="AM397" s="62" t="str">
        <f t="shared" si="191"/>
        <v/>
      </c>
      <c r="AN397" t="str">
        <f t="shared" ca="1" si="192"/>
        <v/>
      </c>
      <c r="AO397" s="4" t="str">
        <f ca="1">IFERROR(VLOOKUP(AG397,$AH$2:$AJ$451,3,FALSE)&amp;IF(ISNUMBER(SEARCH(", Written",AN397))," -R"&amp;VLOOKUP(AN397,Skills!$M$2:$S$620,7,FALSE),IF(ISNUMBER(SEARCH(", Spoken",AN397))," -R"&amp;VLOOKUP(AN397,Skills!$M$2:$S$620,7,FALSE),"")),"")</f>
        <v/>
      </c>
    </row>
    <row r="398" spans="33:41" x14ac:dyDescent="0.25">
      <c r="AG398">
        <v>397</v>
      </c>
      <c r="AH398" s="4" t="str">
        <f t="shared" si="190"/>
        <v/>
      </c>
      <c r="AI398" t="str">
        <f>IFERROR(VLOOKUP(AG398,Skills!$B$2:$M$620,12,FALSE),"")</f>
        <v/>
      </c>
      <c r="AJ398" s="4" t="str">
        <f>IFERROR(VLOOKUP(AG398,Skills!$B$2:$AF$620,31,FALSE),"")</f>
        <v/>
      </c>
      <c r="AK398" s="4" t="str">
        <f t="shared" si="189"/>
        <v/>
      </c>
      <c r="AL398" s="4">
        <v>0.39700000000000002</v>
      </c>
      <c r="AM398" s="62" t="str">
        <f t="shared" si="191"/>
        <v/>
      </c>
      <c r="AN398" t="str">
        <f t="shared" ca="1" si="192"/>
        <v/>
      </c>
      <c r="AO398" s="4" t="str">
        <f ca="1">IFERROR(VLOOKUP(AG398,$AH$2:$AJ$451,3,FALSE)&amp;IF(ISNUMBER(SEARCH(", Written",AN398))," -R"&amp;VLOOKUP(AN398,Skills!$M$2:$S$620,7,FALSE),IF(ISNUMBER(SEARCH(", Spoken",AN398))," -R"&amp;VLOOKUP(AN398,Skills!$M$2:$S$620,7,FALSE),"")),"")</f>
        <v/>
      </c>
    </row>
    <row r="399" spans="33:41" x14ac:dyDescent="0.25">
      <c r="AG399">
        <v>398</v>
      </c>
      <c r="AH399" s="4" t="str">
        <f t="shared" si="190"/>
        <v/>
      </c>
      <c r="AI399" t="str">
        <f>IFERROR(VLOOKUP(AG399,Skills!$B$2:$M$620,12,FALSE),"")</f>
        <v/>
      </c>
      <c r="AJ399" s="4" t="str">
        <f>IFERROR(VLOOKUP(AG399,Skills!$B$2:$AF$620,31,FALSE),"")</f>
        <v/>
      </c>
      <c r="AK399" s="4" t="str">
        <f t="shared" si="189"/>
        <v/>
      </c>
      <c r="AL399" s="4">
        <v>0.39800000000000002</v>
      </c>
      <c r="AM399" s="62" t="str">
        <f t="shared" si="191"/>
        <v/>
      </c>
      <c r="AN399" t="str">
        <f t="shared" ca="1" si="192"/>
        <v/>
      </c>
      <c r="AO399" s="4" t="str">
        <f ca="1">IFERROR(VLOOKUP(AG399,$AH$2:$AJ$451,3,FALSE)&amp;IF(ISNUMBER(SEARCH(", Written",AN399))," -R"&amp;VLOOKUP(AN399,Skills!$M$2:$S$620,7,FALSE),IF(ISNUMBER(SEARCH(", Spoken",AN399))," -R"&amp;VLOOKUP(AN399,Skills!$M$2:$S$620,7,FALSE),"")),"")</f>
        <v/>
      </c>
    </row>
    <row r="400" spans="33:41" x14ac:dyDescent="0.25">
      <c r="AG400">
        <v>399</v>
      </c>
      <c r="AH400" s="4" t="str">
        <f t="shared" si="190"/>
        <v/>
      </c>
      <c r="AI400" t="str">
        <f>IFERROR(VLOOKUP(AG400,Skills!$B$2:$M$620,12,FALSE),"")</f>
        <v/>
      </c>
      <c r="AJ400" s="4" t="str">
        <f>IFERROR(VLOOKUP(AG400,Skills!$B$2:$AF$620,31,FALSE),"")</f>
        <v/>
      </c>
      <c r="AK400" s="4" t="str">
        <f t="shared" si="189"/>
        <v/>
      </c>
      <c r="AL400" s="4">
        <v>0.39900000000000002</v>
      </c>
      <c r="AM400" s="62" t="str">
        <f t="shared" si="191"/>
        <v/>
      </c>
      <c r="AN400" t="str">
        <f t="shared" ca="1" si="192"/>
        <v/>
      </c>
      <c r="AO400" s="4" t="str">
        <f ca="1">IFERROR(VLOOKUP(AG400,$AH$2:$AJ$451,3,FALSE)&amp;IF(ISNUMBER(SEARCH(", Written",AN400))," -R"&amp;VLOOKUP(AN400,Skills!$M$2:$S$620,7,FALSE),IF(ISNUMBER(SEARCH(", Spoken",AN400))," -R"&amp;VLOOKUP(AN400,Skills!$M$2:$S$620,7,FALSE),"")),"")</f>
        <v/>
      </c>
    </row>
    <row r="401" spans="33:41" x14ac:dyDescent="0.25">
      <c r="AG401">
        <v>400</v>
      </c>
      <c r="AH401" s="4" t="str">
        <f t="shared" si="190"/>
        <v/>
      </c>
      <c r="AI401" t="str">
        <f>IFERROR(VLOOKUP(AG401,Skills!$B$2:$M$620,12,FALSE),"")</f>
        <v/>
      </c>
      <c r="AJ401" s="4" t="str">
        <f>IFERROR(VLOOKUP(AG401,Skills!$B$2:$AF$620,31,FALSE),"")</f>
        <v/>
      </c>
      <c r="AK401" s="4" t="str">
        <f t="shared" si="189"/>
        <v/>
      </c>
      <c r="AL401" s="4">
        <v>0.4</v>
      </c>
      <c r="AM401" s="62" t="str">
        <f t="shared" si="191"/>
        <v/>
      </c>
      <c r="AN401" t="str">
        <f t="shared" ca="1" si="192"/>
        <v/>
      </c>
      <c r="AO401" s="4" t="str">
        <f ca="1">IFERROR(VLOOKUP(AG401,$AH$2:$AJ$451,3,FALSE)&amp;IF(ISNUMBER(SEARCH(", Written",AN401))," -R"&amp;VLOOKUP(AN401,Skills!$M$2:$S$620,7,FALSE),IF(ISNUMBER(SEARCH(", Spoken",AN401))," -R"&amp;VLOOKUP(AN401,Skills!$M$2:$S$620,7,FALSE),"")),"")</f>
        <v/>
      </c>
    </row>
    <row r="402" spans="33:41" x14ac:dyDescent="0.25">
      <c r="AG402">
        <v>401</v>
      </c>
      <c r="AH402" s="4" t="str">
        <f t="shared" si="190"/>
        <v/>
      </c>
      <c r="AI402" t="str">
        <f>IFERROR(VLOOKUP(AG402,Skills!$B$2:$M$620,12,FALSE),"")</f>
        <v/>
      </c>
      <c r="AJ402" s="4" t="str">
        <f>IFERROR(VLOOKUP(AG402,Skills!$B$2:$AF$620,31,FALSE),"")</f>
        <v/>
      </c>
      <c r="AK402" s="4" t="str">
        <f t="shared" si="189"/>
        <v/>
      </c>
      <c r="AL402" s="4">
        <v>0.40100000000000002</v>
      </c>
      <c r="AM402" s="62" t="str">
        <f t="shared" si="191"/>
        <v/>
      </c>
      <c r="AN402" t="str">
        <f t="shared" ca="1" si="192"/>
        <v/>
      </c>
      <c r="AO402" s="4" t="str">
        <f ca="1">IFERROR(VLOOKUP(AG402,$AH$2:$AJ$451,3,FALSE)&amp;IF(ISNUMBER(SEARCH(", Written",AN402))," -R"&amp;VLOOKUP(AN402,Skills!$M$2:$S$620,7,FALSE),IF(ISNUMBER(SEARCH(", Spoken",AN402))," -R"&amp;VLOOKUP(AN402,Skills!$M$2:$S$620,7,FALSE),"")),"")</f>
        <v/>
      </c>
    </row>
    <row r="403" spans="33:41" x14ac:dyDescent="0.25">
      <c r="AG403">
        <v>402</v>
      </c>
      <c r="AH403" s="4" t="str">
        <f t="shared" si="190"/>
        <v/>
      </c>
      <c r="AI403" t="str">
        <f>IFERROR(VLOOKUP(AG403,Skills!$B$2:$M$620,12,FALSE),"")</f>
        <v/>
      </c>
      <c r="AJ403" s="4" t="str">
        <f>IFERROR(VLOOKUP(AG403,Skills!$B$2:$AF$620,31,FALSE),"")</f>
        <v/>
      </c>
      <c r="AK403" s="4" t="str">
        <f t="shared" si="189"/>
        <v/>
      </c>
      <c r="AL403" s="4">
        <v>0.40200000000000002</v>
      </c>
      <c r="AM403" s="62" t="str">
        <f t="shared" si="191"/>
        <v/>
      </c>
      <c r="AN403" t="str">
        <f t="shared" ca="1" si="192"/>
        <v/>
      </c>
      <c r="AO403" s="4" t="str">
        <f ca="1">IFERROR(VLOOKUP(AG403,$AH$2:$AJ$451,3,FALSE)&amp;IF(ISNUMBER(SEARCH(", Written",AN403))," -R"&amp;VLOOKUP(AN403,Skills!$M$2:$S$620,7,FALSE),IF(ISNUMBER(SEARCH(", Spoken",AN403))," -R"&amp;VLOOKUP(AN403,Skills!$M$2:$S$620,7,FALSE),"")),"")</f>
        <v/>
      </c>
    </row>
    <row r="404" spans="33:41" x14ac:dyDescent="0.25">
      <c r="AG404">
        <v>403</v>
      </c>
      <c r="AH404" s="4" t="str">
        <f t="shared" si="190"/>
        <v/>
      </c>
      <c r="AI404" t="str">
        <f>IFERROR(VLOOKUP(AG404,Skills!$B$2:$M$620,12,FALSE),"")</f>
        <v/>
      </c>
      <c r="AJ404" s="4" t="str">
        <f>IFERROR(VLOOKUP(AG404,Skills!$B$2:$AF$620,31,FALSE),"")</f>
        <v/>
      </c>
      <c r="AK404" s="4" t="str">
        <f t="shared" si="189"/>
        <v/>
      </c>
      <c r="AL404" s="4">
        <v>0.40300000000000002</v>
      </c>
      <c r="AM404" s="62" t="str">
        <f t="shared" si="191"/>
        <v/>
      </c>
      <c r="AN404" t="str">
        <f t="shared" ca="1" si="192"/>
        <v/>
      </c>
      <c r="AO404" s="4" t="str">
        <f ca="1">IFERROR(VLOOKUP(AG404,$AH$2:$AJ$451,3,FALSE)&amp;IF(ISNUMBER(SEARCH(", Written",AN404))," -R"&amp;VLOOKUP(AN404,Skills!$M$2:$S$620,7,FALSE),IF(ISNUMBER(SEARCH(", Spoken",AN404))," -R"&amp;VLOOKUP(AN404,Skills!$M$2:$S$620,7,FALSE),"")),"")</f>
        <v/>
      </c>
    </row>
    <row r="405" spans="33:41" x14ac:dyDescent="0.25">
      <c r="AG405">
        <v>404</v>
      </c>
      <c r="AH405" s="4" t="str">
        <f t="shared" si="190"/>
        <v/>
      </c>
      <c r="AI405" t="str">
        <f>IFERROR(VLOOKUP(AG405,Skills!$B$2:$M$620,12,FALSE),"")</f>
        <v/>
      </c>
      <c r="AJ405" s="4" t="str">
        <f>IFERROR(VLOOKUP(AG405,Skills!$B$2:$AF$620,31,FALSE),"")</f>
        <v/>
      </c>
      <c r="AK405" s="4" t="str">
        <f t="shared" si="189"/>
        <v/>
      </c>
      <c r="AL405" s="4">
        <v>0.40400000000000003</v>
      </c>
      <c r="AM405" s="62" t="str">
        <f t="shared" si="191"/>
        <v/>
      </c>
      <c r="AN405" t="str">
        <f t="shared" ca="1" si="192"/>
        <v/>
      </c>
      <c r="AO405" s="4" t="str">
        <f ca="1">IFERROR(VLOOKUP(AG405,$AH$2:$AJ$451,3,FALSE)&amp;IF(ISNUMBER(SEARCH(", Written",AN405))," -R"&amp;VLOOKUP(AN405,Skills!$M$2:$S$620,7,FALSE),IF(ISNUMBER(SEARCH(", Spoken",AN405))," -R"&amp;VLOOKUP(AN405,Skills!$M$2:$S$620,7,FALSE),"")),"")</f>
        <v/>
      </c>
    </row>
    <row r="406" spans="33:41" x14ac:dyDescent="0.25">
      <c r="AG406">
        <v>405</v>
      </c>
      <c r="AH406" s="4" t="str">
        <f t="shared" si="190"/>
        <v/>
      </c>
      <c r="AI406" t="str">
        <f>IFERROR(VLOOKUP(AG406,Skills!$B$2:$M$620,12,FALSE),"")</f>
        <v/>
      </c>
      <c r="AJ406" s="4" t="str">
        <f>IFERROR(VLOOKUP(AG406,Skills!$B$2:$AF$620,31,FALSE),"")</f>
        <v/>
      </c>
      <c r="AK406" s="4" t="str">
        <f t="shared" si="189"/>
        <v/>
      </c>
      <c r="AL406" s="4">
        <v>0.40500000000000003</v>
      </c>
      <c r="AM406" s="62" t="str">
        <f t="shared" si="191"/>
        <v/>
      </c>
      <c r="AN406" t="str">
        <f t="shared" ca="1" si="192"/>
        <v/>
      </c>
      <c r="AO406" s="4" t="str">
        <f ca="1">IFERROR(VLOOKUP(AG406,$AH$2:$AJ$451,3,FALSE)&amp;IF(ISNUMBER(SEARCH(", Written",AN406))," -R"&amp;VLOOKUP(AN406,Skills!$M$2:$S$620,7,FALSE),IF(ISNUMBER(SEARCH(", Spoken",AN406))," -R"&amp;VLOOKUP(AN406,Skills!$M$2:$S$620,7,FALSE),"")),"")</f>
        <v/>
      </c>
    </row>
    <row r="407" spans="33:41" x14ac:dyDescent="0.25">
      <c r="AG407">
        <v>406</v>
      </c>
      <c r="AH407" s="4" t="str">
        <f t="shared" si="190"/>
        <v/>
      </c>
      <c r="AI407" t="str">
        <f>IFERROR(VLOOKUP(AG407,Skills!$B$2:$M$620,12,FALSE),"")</f>
        <v/>
      </c>
      <c r="AJ407" s="4" t="str">
        <f>IFERROR(VLOOKUP(AG407,Skills!$B$2:$AF$620,31,FALSE),"")</f>
        <v/>
      </c>
      <c r="AK407" s="4" t="str">
        <f t="shared" si="189"/>
        <v/>
      </c>
      <c r="AL407" s="4">
        <v>0.40600000000000003</v>
      </c>
      <c r="AM407" s="62" t="str">
        <f t="shared" si="191"/>
        <v/>
      </c>
      <c r="AN407" t="str">
        <f t="shared" ca="1" si="192"/>
        <v/>
      </c>
      <c r="AO407" s="4" t="str">
        <f ca="1">IFERROR(VLOOKUP(AG407,$AH$2:$AJ$451,3,FALSE)&amp;IF(ISNUMBER(SEARCH(", Written",AN407))," -R"&amp;VLOOKUP(AN407,Skills!$M$2:$S$620,7,FALSE),IF(ISNUMBER(SEARCH(", Spoken",AN407))," -R"&amp;VLOOKUP(AN407,Skills!$M$2:$S$620,7,FALSE),"")),"")</f>
        <v/>
      </c>
    </row>
    <row r="408" spans="33:41" x14ac:dyDescent="0.25">
      <c r="AG408">
        <v>407</v>
      </c>
      <c r="AH408" s="4" t="str">
        <f t="shared" si="190"/>
        <v/>
      </c>
      <c r="AI408" t="str">
        <f>IFERROR(VLOOKUP(AG408,Skills!$B$2:$M$620,12,FALSE),"")</f>
        <v/>
      </c>
      <c r="AJ408" s="4" t="str">
        <f>IFERROR(VLOOKUP(AG408,Skills!$B$2:$AF$620,31,FALSE),"")</f>
        <v/>
      </c>
      <c r="AK408" s="4" t="str">
        <f t="shared" si="189"/>
        <v/>
      </c>
      <c r="AL408" s="4">
        <v>0.40699999999999997</v>
      </c>
      <c r="AM408" s="62" t="str">
        <f t="shared" si="191"/>
        <v/>
      </c>
      <c r="AN408" t="str">
        <f t="shared" ca="1" si="192"/>
        <v/>
      </c>
      <c r="AO408" s="4" t="str">
        <f ca="1">IFERROR(VLOOKUP(AG408,$AH$2:$AJ$451,3,FALSE)&amp;IF(ISNUMBER(SEARCH(", Written",AN408))," -R"&amp;VLOOKUP(AN408,Skills!$M$2:$S$620,7,FALSE),IF(ISNUMBER(SEARCH(", Spoken",AN408))," -R"&amp;VLOOKUP(AN408,Skills!$M$2:$S$620,7,FALSE),"")),"")</f>
        <v/>
      </c>
    </row>
    <row r="409" spans="33:41" x14ac:dyDescent="0.25">
      <c r="AG409">
        <v>408</v>
      </c>
      <c r="AH409" s="4" t="str">
        <f t="shared" si="190"/>
        <v/>
      </c>
      <c r="AI409" t="str">
        <f>IFERROR(VLOOKUP(AG409,Skills!$B$2:$M$620,12,FALSE),"")</f>
        <v/>
      </c>
      <c r="AJ409" s="4" t="str">
        <f>IFERROR(VLOOKUP(AG409,Skills!$B$2:$AF$620,31,FALSE),"")</f>
        <v/>
      </c>
      <c r="AK409" s="4" t="str">
        <f t="shared" si="189"/>
        <v/>
      </c>
      <c r="AL409" s="4">
        <v>0.40799999999999997</v>
      </c>
      <c r="AM409" s="62" t="str">
        <f t="shared" si="191"/>
        <v/>
      </c>
      <c r="AN409" t="str">
        <f t="shared" ca="1" si="192"/>
        <v/>
      </c>
      <c r="AO409" s="4" t="str">
        <f ca="1">IFERROR(VLOOKUP(AG409,$AH$2:$AJ$451,3,FALSE)&amp;IF(ISNUMBER(SEARCH(", Written",AN409))," -R"&amp;VLOOKUP(AN409,Skills!$M$2:$S$620,7,FALSE),IF(ISNUMBER(SEARCH(", Spoken",AN409))," -R"&amp;VLOOKUP(AN409,Skills!$M$2:$S$620,7,FALSE),"")),"")</f>
        <v/>
      </c>
    </row>
    <row r="410" spans="33:41" x14ac:dyDescent="0.25">
      <c r="AG410">
        <v>409</v>
      </c>
      <c r="AH410" s="4" t="str">
        <f t="shared" si="190"/>
        <v/>
      </c>
      <c r="AI410" t="str">
        <f>IFERROR(VLOOKUP(AG410,Skills!$B$2:$M$620,12,FALSE),"")</f>
        <v/>
      </c>
      <c r="AJ410" s="4" t="str">
        <f>IFERROR(VLOOKUP(AG410,Skills!$B$2:$AF$620,31,FALSE),"")</f>
        <v/>
      </c>
      <c r="AK410" s="4" t="str">
        <f t="shared" si="189"/>
        <v/>
      </c>
      <c r="AL410" s="4">
        <v>0.40899999999999997</v>
      </c>
      <c r="AM410" s="62" t="str">
        <f t="shared" si="191"/>
        <v/>
      </c>
      <c r="AN410" t="str">
        <f t="shared" ca="1" si="192"/>
        <v/>
      </c>
      <c r="AO410" s="4" t="str">
        <f ca="1">IFERROR(VLOOKUP(AG410,$AH$2:$AJ$451,3,FALSE)&amp;IF(ISNUMBER(SEARCH(", Written",AN410))," -R"&amp;VLOOKUP(AN410,Skills!$M$2:$S$620,7,FALSE),IF(ISNUMBER(SEARCH(", Spoken",AN410))," -R"&amp;VLOOKUP(AN410,Skills!$M$2:$S$620,7,FALSE),"")),"")</f>
        <v/>
      </c>
    </row>
    <row r="411" spans="33:41" x14ac:dyDescent="0.25">
      <c r="AG411">
        <v>410</v>
      </c>
      <c r="AH411" s="4" t="str">
        <f t="shared" si="190"/>
        <v/>
      </c>
      <c r="AI411" t="str">
        <f>IFERROR(VLOOKUP(AG411,Skills!$B$2:$M$620,12,FALSE),"")</f>
        <v/>
      </c>
      <c r="AJ411" s="4" t="str">
        <f>IFERROR(VLOOKUP(AG411,Skills!$B$2:$AF$620,31,FALSE),"")</f>
        <v/>
      </c>
      <c r="AK411" s="4" t="str">
        <f t="shared" ref="AK411:AK451" si="193">IFERROR(LEFT(AJ411,FIND("/",AJ411)-1),AJ411)</f>
        <v/>
      </c>
      <c r="AL411" s="4">
        <v>0.41</v>
      </c>
      <c r="AM411" s="62" t="str">
        <f t="shared" si="191"/>
        <v/>
      </c>
      <c r="AN411" t="str">
        <f t="shared" ca="1" si="192"/>
        <v/>
      </c>
      <c r="AO411" s="4" t="str">
        <f ca="1">IFERROR(VLOOKUP(AG411,$AH$2:$AJ$451,3,FALSE)&amp;IF(ISNUMBER(SEARCH(", Written",AN411))," -R"&amp;VLOOKUP(AN411,Skills!$M$2:$S$620,7,FALSE),IF(ISNUMBER(SEARCH(", Spoken",AN411))," -R"&amp;VLOOKUP(AN411,Skills!$M$2:$S$620,7,FALSE),"")),"")</f>
        <v/>
      </c>
    </row>
    <row r="412" spans="33:41" x14ac:dyDescent="0.25">
      <c r="AG412">
        <v>411</v>
      </c>
      <c r="AH412" s="4" t="str">
        <f t="shared" si="190"/>
        <v/>
      </c>
      <c r="AI412" t="str">
        <f>IFERROR(VLOOKUP(AG412,Skills!$B$2:$M$620,12,FALSE),"")</f>
        <v/>
      </c>
      <c r="AJ412" s="4" t="str">
        <f>IFERROR(VLOOKUP(AG412,Skills!$B$2:$AF$620,31,FALSE),"")</f>
        <v/>
      </c>
      <c r="AK412" s="4" t="str">
        <f t="shared" si="193"/>
        <v/>
      </c>
      <c r="AL412" s="4">
        <v>0.41099999999999998</v>
      </c>
      <c r="AM412" s="62" t="str">
        <f t="shared" si="191"/>
        <v/>
      </c>
      <c r="AN412" t="str">
        <f t="shared" ca="1" si="192"/>
        <v/>
      </c>
      <c r="AO412" s="4" t="str">
        <f ca="1">IFERROR(VLOOKUP(AG412,$AH$2:$AJ$451,3,FALSE)&amp;IF(ISNUMBER(SEARCH(", Written",AN412))," -R"&amp;VLOOKUP(AN412,Skills!$M$2:$S$620,7,FALSE),IF(ISNUMBER(SEARCH(", Spoken",AN412))," -R"&amp;VLOOKUP(AN412,Skills!$M$2:$S$620,7,FALSE),"")),"")</f>
        <v/>
      </c>
    </row>
    <row r="413" spans="33:41" x14ac:dyDescent="0.25">
      <c r="AG413">
        <v>412</v>
      </c>
      <c r="AH413" s="4" t="str">
        <f t="shared" si="190"/>
        <v/>
      </c>
      <c r="AI413" t="str">
        <f>IFERROR(VLOOKUP(AG413,Skills!$B$2:$M$620,12,FALSE),"")</f>
        <v/>
      </c>
      <c r="AJ413" s="4" t="str">
        <f>IFERROR(VLOOKUP(AG413,Skills!$B$2:$AF$620,31,FALSE),"")</f>
        <v/>
      </c>
      <c r="AK413" s="4" t="str">
        <f t="shared" si="193"/>
        <v/>
      </c>
      <c r="AL413" s="4">
        <v>0.41199999999999998</v>
      </c>
      <c r="AM413" s="62" t="str">
        <f t="shared" si="191"/>
        <v/>
      </c>
      <c r="AN413" t="str">
        <f t="shared" ca="1" si="192"/>
        <v/>
      </c>
      <c r="AO413" s="4" t="str">
        <f ca="1">IFERROR(VLOOKUP(AG413,$AH$2:$AJ$451,3,FALSE)&amp;IF(ISNUMBER(SEARCH(", Written",AN413))," -R"&amp;VLOOKUP(AN413,Skills!$M$2:$S$620,7,FALSE),IF(ISNUMBER(SEARCH(", Spoken",AN413))," -R"&amp;VLOOKUP(AN413,Skills!$M$2:$S$620,7,FALSE),"")),"")</f>
        <v/>
      </c>
    </row>
    <row r="414" spans="33:41" x14ac:dyDescent="0.25">
      <c r="AG414">
        <v>413</v>
      </c>
      <c r="AH414" s="4" t="str">
        <f t="shared" si="190"/>
        <v/>
      </c>
      <c r="AI414" t="str">
        <f>IFERROR(VLOOKUP(AG414,Skills!$B$2:$M$620,12,FALSE),"")</f>
        <v/>
      </c>
      <c r="AJ414" s="4" t="str">
        <f>IFERROR(VLOOKUP(AG414,Skills!$B$2:$AF$620,31,FALSE),"")</f>
        <v/>
      </c>
      <c r="AK414" s="4" t="str">
        <f t="shared" si="193"/>
        <v/>
      </c>
      <c r="AL414" s="4">
        <v>0.41299999999999998</v>
      </c>
      <c r="AM414" s="62" t="str">
        <f t="shared" si="191"/>
        <v/>
      </c>
      <c r="AN414" t="str">
        <f t="shared" ca="1" si="192"/>
        <v/>
      </c>
      <c r="AO414" s="4" t="str">
        <f ca="1">IFERROR(VLOOKUP(AG414,$AH$2:$AJ$451,3,FALSE)&amp;IF(ISNUMBER(SEARCH(", Written",AN414))," -R"&amp;VLOOKUP(AN414,Skills!$M$2:$S$620,7,FALSE),IF(ISNUMBER(SEARCH(", Spoken",AN414))," -R"&amp;VLOOKUP(AN414,Skills!$M$2:$S$620,7,FALSE),"")),"")</f>
        <v/>
      </c>
    </row>
    <row r="415" spans="33:41" x14ac:dyDescent="0.25">
      <c r="AG415">
        <v>414</v>
      </c>
      <c r="AH415" s="4" t="str">
        <f t="shared" si="190"/>
        <v/>
      </c>
      <c r="AI415" t="str">
        <f>IFERROR(VLOOKUP(AG415,Skills!$B$2:$M$620,12,FALSE),"")</f>
        <v/>
      </c>
      <c r="AJ415" s="4" t="str">
        <f>IFERROR(VLOOKUP(AG415,Skills!$B$2:$AF$620,31,FALSE),"")</f>
        <v/>
      </c>
      <c r="AK415" s="4" t="str">
        <f t="shared" si="193"/>
        <v/>
      </c>
      <c r="AL415" s="4">
        <v>0.41399999999999998</v>
      </c>
      <c r="AM415" s="62" t="str">
        <f t="shared" si="191"/>
        <v/>
      </c>
      <c r="AN415" t="str">
        <f t="shared" ca="1" si="192"/>
        <v/>
      </c>
      <c r="AO415" s="4" t="str">
        <f ca="1">IFERROR(VLOOKUP(AG415,$AH$2:$AJ$451,3,FALSE)&amp;IF(ISNUMBER(SEARCH(", Written",AN415))," -R"&amp;VLOOKUP(AN415,Skills!$M$2:$S$620,7,FALSE),IF(ISNUMBER(SEARCH(", Spoken",AN415))," -R"&amp;VLOOKUP(AN415,Skills!$M$2:$S$620,7,FALSE),"")),"")</f>
        <v/>
      </c>
    </row>
    <row r="416" spans="33:41" x14ac:dyDescent="0.25">
      <c r="AG416">
        <v>415</v>
      </c>
      <c r="AH416" s="4" t="str">
        <f t="shared" si="190"/>
        <v/>
      </c>
      <c r="AI416" t="str">
        <f>IFERROR(VLOOKUP(AG416,Skills!$B$2:$M$620,12,FALSE),"")</f>
        <v/>
      </c>
      <c r="AJ416" s="4" t="str">
        <f>IFERROR(VLOOKUP(AG416,Skills!$B$2:$AF$620,31,FALSE),"")</f>
        <v/>
      </c>
      <c r="AK416" s="4" t="str">
        <f t="shared" si="193"/>
        <v/>
      </c>
      <c r="AL416" s="4">
        <v>0.41499999999999998</v>
      </c>
      <c r="AM416" s="62" t="str">
        <f t="shared" si="191"/>
        <v/>
      </c>
      <c r="AN416" t="str">
        <f t="shared" ca="1" si="192"/>
        <v/>
      </c>
      <c r="AO416" s="4" t="str">
        <f ca="1">IFERROR(VLOOKUP(AG416,$AH$2:$AJ$451,3,FALSE)&amp;IF(ISNUMBER(SEARCH(", Written",AN416))," -R"&amp;VLOOKUP(AN416,Skills!$M$2:$S$620,7,FALSE),IF(ISNUMBER(SEARCH(", Spoken",AN416))," -R"&amp;VLOOKUP(AN416,Skills!$M$2:$S$620,7,FALSE),"")),"")</f>
        <v/>
      </c>
    </row>
    <row r="417" spans="33:41" x14ac:dyDescent="0.25">
      <c r="AG417">
        <v>416</v>
      </c>
      <c r="AH417" s="4" t="str">
        <f t="shared" si="190"/>
        <v/>
      </c>
      <c r="AI417" t="str">
        <f>IFERROR(VLOOKUP(AG417,Skills!$B$2:$M$620,12,FALSE),"")</f>
        <v/>
      </c>
      <c r="AJ417" s="4" t="str">
        <f>IFERROR(VLOOKUP(AG417,Skills!$B$2:$AF$620,31,FALSE),"")</f>
        <v/>
      </c>
      <c r="AK417" s="4" t="str">
        <f t="shared" si="193"/>
        <v/>
      </c>
      <c r="AL417" s="4">
        <v>0.41599999999999998</v>
      </c>
      <c r="AM417" s="62" t="str">
        <f t="shared" si="191"/>
        <v/>
      </c>
      <c r="AN417" t="str">
        <f t="shared" ca="1" si="192"/>
        <v/>
      </c>
      <c r="AO417" s="4" t="str">
        <f ca="1">IFERROR(VLOOKUP(AG417,$AH$2:$AJ$451,3,FALSE)&amp;IF(ISNUMBER(SEARCH(", Written",AN417))," -R"&amp;VLOOKUP(AN417,Skills!$M$2:$S$620,7,FALSE),IF(ISNUMBER(SEARCH(", Spoken",AN417))," -R"&amp;VLOOKUP(AN417,Skills!$M$2:$S$620,7,FALSE),"")),"")</f>
        <v/>
      </c>
    </row>
    <row r="418" spans="33:41" x14ac:dyDescent="0.25">
      <c r="AG418">
        <v>417</v>
      </c>
      <c r="AH418" s="4" t="str">
        <f t="shared" si="190"/>
        <v/>
      </c>
      <c r="AI418" t="str">
        <f>IFERROR(VLOOKUP(AG418,Skills!$B$2:$M$620,12,FALSE),"")</f>
        <v/>
      </c>
      <c r="AJ418" s="4" t="str">
        <f>IFERROR(VLOOKUP(AG418,Skills!$B$2:$AF$620,31,FALSE),"")</f>
        <v/>
      </c>
      <c r="AK418" s="4" t="str">
        <f t="shared" si="193"/>
        <v/>
      </c>
      <c r="AL418" s="4">
        <v>0.41699999999999998</v>
      </c>
      <c r="AM418" s="62" t="str">
        <f t="shared" si="191"/>
        <v/>
      </c>
      <c r="AN418" t="str">
        <f t="shared" ca="1" si="192"/>
        <v/>
      </c>
      <c r="AO418" s="4" t="str">
        <f ca="1">IFERROR(VLOOKUP(AG418,$AH$2:$AJ$451,3,FALSE)&amp;IF(ISNUMBER(SEARCH(", Written",AN418))," -R"&amp;VLOOKUP(AN418,Skills!$M$2:$S$620,7,FALSE),IF(ISNUMBER(SEARCH(", Spoken",AN418))," -R"&amp;VLOOKUP(AN418,Skills!$M$2:$S$620,7,FALSE),"")),"")</f>
        <v/>
      </c>
    </row>
    <row r="419" spans="33:41" x14ac:dyDescent="0.25">
      <c r="AG419">
        <v>418</v>
      </c>
      <c r="AH419" s="4" t="str">
        <f t="shared" si="190"/>
        <v/>
      </c>
      <c r="AI419" t="str">
        <f>IFERROR(VLOOKUP(AG419,Skills!$B$2:$M$620,12,FALSE),"")</f>
        <v/>
      </c>
      <c r="AJ419" s="4" t="str">
        <f>IFERROR(VLOOKUP(AG419,Skills!$B$2:$AF$620,31,FALSE),"")</f>
        <v/>
      </c>
      <c r="AK419" s="4" t="str">
        <f t="shared" si="193"/>
        <v/>
      </c>
      <c r="AL419" s="4">
        <v>0.41799999999999998</v>
      </c>
      <c r="AM419" s="62" t="str">
        <f t="shared" si="191"/>
        <v/>
      </c>
      <c r="AN419" t="str">
        <f t="shared" ca="1" si="192"/>
        <v/>
      </c>
      <c r="AO419" s="4" t="str">
        <f ca="1">IFERROR(VLOOKUP(AG419,$AH$2:$AJ$451,3,FALSE)&amp;IF(ISNUMBER(SEARCH(", Written",AN419))," -R"&amp;VLOOKUP(AN419,Skills!$M$2:$S$620,7,FALSE),IF(ISNUMBER(SEARCH(", Spoken",AN419))," -R"&amp;VLOOKUP(AN419,Skills!$M$2:$S$620,7,FALSE),"")),"")</f>
        <v/>
      </c>
    </row>
    <row r="420" spans="33:41" x14ac:dyDescent="0.25">
      <c r="AG420">
        <v>419</v>
      </c>
      <c r="AH420" s="4" t="str">
        <f t="shared" si="190"/>
        <v/>
      </c>
      <c r="AI420" t="str">
        <f>IFERROR(VLOOKUP(AG420,Skills!$B$2:$M$620,12,FALSE),"")</f>
        <v/>
      </c>
      <c r="AJ420" s="4" t="str">
        <f>IFERROR(VLOOKUP(AG420,Skills!$B$2:$AF$620,31,FALSE),"")</f>
        <v/>
      </c>
      <c r="AK420" s="4" t="str">
        <f t="shared" si="193"/>
        <v/>
      </c>
      <c r="AL420" s="4">
        <v>0.41899999999999998</v>
      </c>
      <c r="AM420" s="62" t="str">
        <f t="shared" si="191"/>
        <v/>
      </c>
      <c r="AN420" t="str">
        <f t="shared" ca="1" si="192"/>
        <v/>
      </c>
      <c r="AO420" s="4" t="str">
        <f ca="1">IFERROR(VLOOKUP(AG420,$AH$2:$AJ$451,3,FALSE)&amp;IF(ISNUMBER(SEARCH(", Written",AN420))," -R"&amp;VLOOKUP(AN420,Skills!$M$2:$S$620,7,FALSE),IF(ISNUMBER(SEARCH(", Spoken",AN420))," -R"&amp;VLOOKUP(AN420,Skills!$M$2:$S$620,7,FALSE),"")),"")</f>
        <v/>
      </c>
    </row>
    <row r="421" spans="33:41" x14ac:dyDescent="0.25">
      <c r="AG421">
        <v>420</v>
      </c>
      <c r="AH421" s="4" t="str">
        <f t="shared" si="190"/>
        <v/>
      </c>
      <c r="AI421" t="str">
        <f>IFERROR(VLOOKUP(AG421,Skills!$B$2:$M$620,12,FALSE),"")</f>
        <v/>
      </c>
      <c r="AJ421" s="4" t="str">
        <f>IFERROR(VLOOKUP(AG421,Skills!$B$2:$AF$620,31,FALSE),"")</f>
        <v/>
      </c>
      <c r="AK421" s="4" t="str">
        <f t="shared" si="193"/>
        <v/>
      </c>
      <c r="AL421" s="4">
        <v>0.42</v>
      </c>
      <c r="AM421" s="62" t="str">
        <f t="shared" si="191"/>
        <v/>
      </c>
      <c r="AN421" t="str">
        <f t="shared" ca="1" si="192"/>
        <v/>
      </c>
      <c r="AO421" s="4" t="str">
        <f ca="1">IFERROR(VLOOKUP(AG421,$AH$2:$AJ$451,3,FALSE)&amp;IF(ISNUMBER(SEARCH(", Written",AN421))," -R"&amp;VLOOKUP(AN421,Skills!$M$2:$S$620,7,FALSE),IF(ISNUMBER(SEARCH(", Spoken",AN421))," -R"&amp;VLOOKUP(AN421,Skills!$M$2:$S$620,7,FALSE),"")),"")</f>
        <v/>
      </c>
    </row>
    <row r="422" spans="33:41" x14ac:dyDescent="0.25">
      <c r="AG422">
        <v>421</v>
      </c>
      <c r="AH422" s="4" t="str">
        <f t="shared" si="190"/>
        <v/>
      </c>
      <c r="AI422" t="str">
        <f>IFERROR(VLOOKUP(AG422,Skills!$B$2:$M$620,12,FALSE),"")</f>
        <v/>
      </c>
      <c r="AJ422" s="4" t="str">
        <f>IFERROR(VLOOKUP(AG422,Skills!$B$2:$AF$620,31,FALSE),"")</f>
        <v/>
      </c>
      <c r="AK422" s="4" t="str">
        <f t="shared" si="193"/>
        <v/>
      </c>
      <c r="AL422" s="4">
        <v>0.42099999999999999</v>
      </c>
      <c r="AM422" s="62" t="str">
        <f t="shared" si="191"/>
        <v/>
      </c>
      <c r="AN422" t="str">
        <f t="shared" ca="1" si="192"/>
        <v/>
      </c>
      <c r="AO422" s="4" t="str">
        <f ca="1">IFERROR(VLOOKUP(AG422,$AH$2:$AJ$451,3,FALSE)&amp;IF(ISNUMBER(SEARCH(", Written",AN422))," -R"&amp;VLOOKUP(AN422,Skills!$M$2:$S$620,7,FALSE),IF(ISNUMBER(SEARCH(", Spoken",AN422))," -R"&amp;VLOOKUP(AN422,Skills!$M$2:$S$620,7,FALSE),"")),"")</f>
        <v/>
      </c>
    </row>
    <row r="423" spans="33:41" x14ac:dyDescent="0.25">
      <c r="AG423">
        <v>422</v>
      </c>
      <c r="AH423" s="4" t="str">
        <f t="shared" si="190"/>
        <v/>
      </c>
      <c r="AI423" t="str">
        <f>IFERROR(VLOOKUP(AG423,Skills!$B$2:$M$620,12,FALSE),"")</f>
        <v/>
      </c>
      <c r="AJ423" s="4" t="str">
        <f>IFERROR(VLOOKUP(AG423,Skills!$B$2:$AF$620,31,FALSE),"")</f>
        <v/>
      </c>
      <c r="AK423" s="4" t="str">
        <f t="shared" si="193"/>
        <v/>
      </c>
      <c r="AL423" s="4">
        <v>0.42199999999999999</v>
      </c>
      <c r="AM423" s="62" t="str">
        <f t="shared" si="191"/>
        <v/>
      </c>
      <c r="AN423" t="str">
        <f t="shared" ca="1" si="192"/>
        <v/>
      </c>
      <c r="AO423" s="4" t="str">
        <f ca="1">IFERROR(VLOOKUP(AG423,$AH$2:$AJ$451,3,FALSE)&amp;IF(ISNUMBER(SEARCH(", Written",AN423))," -R"&amp;VLOOKUP(AN423,Skills!$M$2:$S$620,7,FALSE),IF(ISNUMBER(SEARCH(", Spoken",AN423))," -R"&amp;VLOOKUP(AN423,Skills!$M$2:$S$620,7,FALSE),"")),"")</f>
        <v/>
      </c>
    </row>
    <row r="424" spans="33:41" x14ac:dyDescent="0.25">
      <c r="AG424">
        <v>423</v>
      </c>
      <c r="AH424" s="4" t="str">
        <f t="shared" si="190"/>
        <v/>
      </c>
      <c r="AI424" t="str">
        <f>IFERROR(VLOOKUP(AG424,Skills!$B$2:$M$620,12,FALSE),"")</f>
        <v/>
      </c>
      <c r="AJ424" s="4" t="str">
        <f>IFERROR(VLOOKUP(AG424,Skills!$B$2:$AF$620,31,FALSE),"")</f>
        <v/>
      </c>
      <c r="AK424" s="4" t="str">
        <f t="shared" si="193"/>
        <v/>
      </c>
      <c r="AL424" s="4">
        <v>0.42299999999999999</v>
      </c>
      <c r="AM424" s="62" t="str">
        <f t="shared" si="191"/>
        <v/>
      </c>
      <c r="AN424" t="str">
        <f t="shared" ca="1" si="192"/>
        <v/>
      </c>
      <c r="AO424" s="4" t="str">
        <f ca="1">IFERROR(VLOOKUP(AG424,$AH$2:$AJ$451,3,FALSE)&amp;IF(ISNUMBER(SEARCH(", Written",AN424))," -R"&amp;VLOOKUP(AN424,Skills!$M$2:$S$620,7,FALSE),IF(ISNUMBER(SEARCH(", Spoken",AN424))," -R"&amp;VLOOKUP(AN424,Skills!$M$2:$S$620,7,FALSE),"")),"")</f>
        <v/>
      </c>
    </row>
    <row r="425" spans="33:41" x14ac:dyDescent="0.25">
      <c r="AG425">
        <v>424</v>
      </c>
      <c r="AH425" s="4" t="str">
        <f t="shared" si="190"/>
        <v/>
      </c>
      <c r="AI425" t="str">
        <f>IFERROR(VLOOKUP(AG425,Skills!$B$2:$M$620,12,FALSE),"")</f>
        <v/>
      </c>
      <c r="AJ425" s="4" t="str">
        <f>IFERROR(VLOOKUP(AG425,Skills!$B$2:$AF$620,31,FALSE),"")</f>
        <v/>
      </c>
      <c r="AK425" s="4" t="str">
        <f t="shared" si="193"/>
        <v/>
      </c>
      <c r="AL425" s="4">
        <v>0.42399999999999999</v>
      </c>
      <c r="AM425" s="62" t="str">
        <f t="shared" si="191"/>
        <v/>
      </c>
      <c r="AN425" t="str">
        <f t="shared" ca="1" si="192"/>
        <v/>
      </c>
      <c r="AO425" s="4" t="str">
        <f ca="1">IFERROR(VLOOKUP(AG425,$AH$2:$AJ$451,3,FALSE)&amp;IF(ISNUMBER(SEARCH(", Written",AN425))," -R"&amp;VLOOKUP(AN425,Skills!$M$2:$S$620,7,FALSE),IF(ISNUMBER(SEARCH(", Spoken",AN425))," -R"&amp;VLOOKUP(AN425,Skills!$M$2:$S$620,7,FALSE),"")),"")</f>
        <v/>
      </c>
    </row>
    <row r="426" spans="33:41" x14ac:dyDescent="0.25">
      <c r="AG426">
        <v>425</v>
      </c>
      <c r="AH426" s="4" t="str">
        <f t="shared" si="190"/>
        <v/>
      </c>
      <c r="AI426" t="str">
        <f>IFERROR(VLOOKUP(AG426,Skills!$B$2:$M$620,12,FALSE),"")</f>
        <v/>
      </c>
      <c r="AJ426" s="4" t="str">
        <f>IFERROR(VLOOKUP(AG426,Skills!$B$2:$AF$620,31,FALSE),"")</f>
        <v/>
      </c>
      <c r="AK426" s="4" t="str">
        <f t="shared" si="193"/>
        <v/>
      </c>
      <c r="AL426" s="4">
        <v>0.42499999999999999</v>
      </c>
      <c r="AM426" s="62" t="str">
        <f t="shared" si="191"/>
        <v/>
      </c>
      <c r="AN426" t="str">
        <f t="shared" ca="1" si="192"/>
        <v/>
      </c>
      <c r="AO426" s="4" t="str">
        <f ca="1">IFERROR(VLOOKUP(AG426,$AH$2:$AJ$451,3,FALSE)&amp;IF(ISNUMBER(SEARCH(", Written",AN426))," -R"&amp;VLOOKUP(AN426,Skills!$M$2:$S$620,7,FALSE),IF(ISNUMBER(SEARCH(", Spoken",AN426))," -R"&amp;VLOOKUP(AN426,Skills!$M$2:$S$620,7,FALSE),"")),"")</f>
        <v/>
      </c>
    </row>
    <row r="427" spans="33:41" x14ac:dyDescent="0.25">
      <c r="AG427">
        <v>426</v>
      </c>
      <c r="AH427" s="4" t="str">
        <f t="shared" si="190"/>
        <v/>
      </c>
      <c r="AI427" t="str">
        <f>IFERROR(VLOOKUP(AG427,Skills!$B$2:$M$620,12,FALSE),"")</f>
        <v/>
      </c>
      <c r="AJ427" s="4" t="str">
        <f>IFERROR(VLOOKUP(AG427,Skills!$B$2:$AF$620,31,FALSE),"")</f>
        <v/>
      </c>
      <c r="AK427" s="4" t="str">
        <f t="shared" si="193"/>
        <v/>
      </c>
      <c r="AL427" s="4">
        <v>0.42599999999999999</v>
      </c>
      <c r="AM427" s="62" t="str">
        <f t="shared" si="191"/>
        <v/>
      </c>
      <c r="AN427" t="str">
        <f t="shared" ca="1" si="192"/>
        <v/>
      </c>
      <c r="AO427" s="4" t="str">
        <f ca="1">IFERROR(VLOOKUP(AG427,$AH$2:$AJ$451,3,FALSE)&amp;IF(ISNUMBER(SEARCH(", Written",AN427))," -R"&amp;VLOOKUP(AN427,Skills!$M$2:$S$620,7,FALSE),IF(ISNUMBER(SEARCH(", Spoken",AN427))," -R"&amp;VLOOKUP(AN427,Skills!$M$2:$S$620,7,FALSE),"")),"")</f>
        <v/>
      </c>
    </row>
    <row r="428" spans="33:41" x14ac:dyDescent="0.25">
      <c r="AG428">
        <v>427</v>
      </c>
      <c r="AH428" s="4" t="str">
        <f t="shared" si="190"/>
        <v/>
      </c>
      <c r="AI428" t="str">
        <f>IFERROR(VLOOKUP(AG428,Skills!$B$2:$M$620,12,FALSE),"")</f>
        <v/>
      </c>
      <c r="AJ428" s="4" t="str">
        <f>IFERROR(VLOOKUP(AG428,Skills!$B$2:$AF$620,31,FALSE),"")</f>
        <v/>
      </c>
      <c r="AK428" s="4" t="str">
        <f t="shared" si="193"/>
        <v/>
      </c>
      <c r="AL428" s="4">
        <v>0.42699999999999999</v>
      </c>
      <c r="AM428" s="62" t="str">
        <f t="shared" si="191"/>
        <v/>
      </c>
      <c r="AN428" t="str">
        <f t="shared" ca="1" si="192"/>
        <v/>
      </c>
      <c r="AO428" s="4" t="str">
        <f ca="1">IFERROR(VLOOKUP(AG428,$AH$2:$AJ$451,3,FALSE)&amp;IF(ISNUMBER(SEARCH(", Written",AN428))," -R"&amp;VLOOKUP(AN428,Skills!$M$2:$S$620,7,FALSE),IF(ISNUMBER(SEARCH(", Spoken",AN428))," -R"&amp;VLOOKUP(AN428,Skills!$M$2:$S$620,7,FALSE),"")),"")</f>
        <v/>
      </c>
    </row>
    <row r="429" spans="33:41" x14ac:dyDescent="0.25">
      <c r="AG429">
        <v>428</v>
      </c>
      <c r="AH429" s="4" t="str">
        <f t="shared" si="190"/>
        <v/>
      </c>
      <c r="AI429" t="str">
        <f ca="1">IFERROR(VLOOKUP(AG429,Skills!$B$2:$M$620,12,FALSE),"")</f>
        <v/>
      </c>
      <c r="AJ429" s="4" t="str">
        <f>IFERROR(VLOOKUP(AG429,Skills!$B$2:$AF$620,31,FALSE),"")</f>
        <v/>
      </c>
      <c r="AK429" s="4" t="str">
        <f t="shared" si="193"/>
        <v/>
      </c>
      <c r="AL429" s="4">
        <v>0.42799999999999999</v>
      </c>
      <c r="AM429" s="62" t="str">
        <f t="shared" si="191"/>
        <v/>
      </c>
      <c r="AN429" t="str">
        <f t="shared" ca="1" si="192"/>
        <v/>
      </c>
      <c r="AO429" s="4" t="str">
        <f ca="1">IFERROR(VLOOKUP(AG429,$AH$2:$AJ$451,3,FALSE)&amp;IF(ISNUMBER(SEARCH(", Written",AN429))," -R"&amp;VLOOKUP(AN429,Skills!$M$2:$S$620,7,FALSE),IF(ISNUMBER(SEARCH(", Spoken",AN429))," -R"&amp;VLOOKUP(AN429,Skills!$M$2:$S$620,7,FALSE),"")),"")</f>
        <v/>
      </c>
    </row>
    <row r="430" spans="33:41" x14ac:dyDescent="0.25">
      <c r="AG430">
        <v>429</v>
      </c>
      <c r="AH430" s="4" t="str">
        <f t="shared" si="190"/>
        <v/>
      </c>
      <c r="AI430" t="str">
        <f>IFERROR(VLOOKUP(AG430,Skills!$B$2:$M$620,12,FALSE),"")</f>
        <v/>
      </c>
      <c r="AJ430" s="4" t="str">
        <f>IFERROR(VLOOKUP(AG430,Skills!$B$2:$AF$620,31,FALSE),"")</f>
        <v/>
      </c>
      <c r="AK430" s="4" t="str">
        <f t="shared" si="193"/>
        <v/>
      </c>
      <c r="AL430" s="4">
        <v>0.42899999999999999</v>
      </c>
      <c r="AM430" s="62" t="str">
        <f t="shared" si="191"/>
        <v/>
      </c>
      <c r="AN430" t="str">
        <f t="shared" ca="1" si="192"/>
        <v/>
      </c>
      <c r="AO430" s="4" t="str">
        <f ca="1">IFERROR(VLOOKUP(AG430,$AH$2:$AJ$451,3,FALSE)&amp;IF(ISNUMBER(SEARCH(", Written",AN430))," -R"&amp;VLOOKUP(AN430,Skills!$M$2:$S$620,7,FALSE),IF(ISNUMBER(SEARCH(", Spoken",AN430))," -R"&amp;VLOOKUP(AN430,Skills!$M$2:$S$620,7,FALSE),"")),"")</f>
        <v/>
      </c>
    </row>
    <row r="431" spans="33:41" x14ac:dyDescent="0.25">
      <c r="AG431">
        <v>430</v>
      </c>
      <c r="AH431" s="4" t="str">
        <f t="shared" ca="1" si="190"/>
        <v/>
      </c>
      <c r="AI431" t="str">
        <f>IFERROR(VLOOKUP(AG431,Skills!$B$2:$M$620,12,FALSE),"")</f>
        <v/>
      </c>
      <c r="AJ431" s="4" t="str">
        <f ca="1">IFERROR(VLOOKUP(AG431,Skills!$B$2:$AF$620,31,FALSE),"")</f>
        <v/>
      </c>
      <c r="AK431" s="4" t="str">
        <f t="shared" ca="1" si="193"/>
        <v/>
      </c>
      <c r="AL431" s="4">
        <v>0.43</v>
      </c>
      <c r="AM431" s="62" t="str">
        <f t="shared" ca="1" si="191"/>
        <v/>
      </c>
      <c r="AN431" t="str">
        <f t="shared" ca="1" si="192"/>
        <v/>
      </c>
      <c r="AO431" s="4" t="str">
        <f ca="1">IFERROR(VLOOKUP(AG431,$AH$2:$AJ$451,3,FALSE)&amp;IF(ISNUMBER(SEARCH(", Written",AN431))," -R"&amp;VLOOKUP(AN431,Skills!$M$2:$S$620,7,FALSE),IF(ISNUMBER(SEARCH(", Spoken",AN431))," -R"&amp;VLOOKUP(AN431,Skills!$M$2:$S$620,7,FALSE),"")),"")</f>
        <v/>
      </c>
    </row>
    <row r="432" spans="33:41" x14ac:dyDescent="0.25">
      <c r="AG432">
        <v>431</v>
      </c>
      <c r="AH432" s="4" t="str">
        <f t="shared" si="190"/>
        <v/>
      </c>
      <c r="AI432" t="str">
        <f>IFERROR(VLOOKUP(AG432,Skills!$B$2:$M$620,12,FALSE),"")</f>
        <v/>
      </c>
      <c r="AJ432" s="4" t="str">
        <f>IFERROR(VLOOKUP(AG432,Skills!$B$2:$AF$620,31,FALSE),"")</f>
        <v/>
      </c>
      <c r="AK432" s="4" t="str">
        <f t="shared" si="193"/>
        <v/>
      </c>
      <c r="AL432" s="4">
        <v>0.43099999999999999</v>
      </c>
      <c r="AM432" s="62" t="str">
        <f t="shared" si="191"/>
        <v/>
      </c>
      <c r="AN432" t="str">
        <f t="shared" ca="1" si="192"/>
        <v/>
      </c>
      <c r="AO432" s="4" t="str">
        <f ca="1">IFERROR(VLOOKUP(AG432,$AH$2:$AJ$451,3,FALSE)&amp;IF(ISNUMBER(SEARCH(", Written",AN432))," -R"&amp;VLOOKUP(AN432,Skills!$M$2:$S$620,7,FALSE),IF(ISNUMBER(SEARCH(", Spoken",AN432))," -R"&amp;VLOOKUP(AN432,Skills!$M$2:$S$620,7,FALSE),"")),"")</f>
        <v/>
      </c>
    </row>
    <row r="433" spans="33:41" x14ac:dyDescent="0.25">
      <c r="AG433">
        <v>432</v>
      </c>
      <c r="AH433" s="4" t="str">
        <f t="shared" si="190"/>
        <v/>
      </c>
      <c r="AI433" t="str">
        <f>IFERROR(VLOOKUP(AG433,Skills!$B$2:$M$620,12,FALSE),"")</f>
        <v/>
      </c>
      <c r="AJ433" s="4" t="str">
        <f>IFERROR(VLOOKUP(AG433,Skills!$B$2:$AF$620,31,FALSE),"")</f>
        <v/>
      </c>
      <c r="AK433" s="4" t="str">
        <f t="shared" si="193"/>
        <v/>
      </c>
      <c r="AL433" s="4">
        <v>0.432</v>
      </c>
      <c r="AM433" s="62" t="str">
        <f t="shared" si="191"/>
        <v/>
      </c>
      <c r="AN433" t="str">
        <f t="shared" ca="1" si="192"/>
        <v/>
      </c>
      <c r="AO433" s="4" t="str">
        <f ca="1">IFERROR(VLOOKUP(AG433,$AH$2:$AJ$451,3,FALSE)&amp;IF(ISNUMBER(SEARCH(", Written",AN433))," -R"&amp;VLOOKUP(AN433,Skills!$M$2:$S$620,7,FALSE),IF(ISNUMBER(SEARCH(", Spoken",AN433))," -R"&amp;VLOOKUP(AN433,Skills!$M$2:$S$620,7,FALSE),"")),"")</f>
        <v/>
      </c>
    </row>
    <row r="434" spans="33:41" x14ac:dyDescent="0.25">
      <c r="AG434">
        <v>433</v>
      </c>
      <c r="AH434" s="4" t="str">
        <f t="shared" si="190"/>
        <v/>
      </c>
      <c r="AI434" t="str">
        <f>IFERROR(VLOOKUP(AG434,Skills!$B$2:$M$620,12,FALSE),"")</f>
        <v/>
      </c>
      <c r="AJ434" s="4" t="str">
        <f>IFERROR(VLOOKUP(AG434,Skills!$B$2:$AF$620,31,FALSE),"")</f>
        <v/>
      </c>
      <c r="AK434" s="4" t="str">
        <f t="shared" si="193"/>
        <v/>
      </c>
      <c r="AL434" s="4">
        <v>0.433</v>
      </c>
      <c r="AM434" s="62" t="str">
        <f t="shared" si="191"/>
        <v/>
      </c>
      <c r="AN434" t="str">
        <f t="shared" ca="1" si="192"/>
        <v/>
      </c>
      <c r="AO434" s="4" t="str">
        <f ca="1">IFERROR(VLOOKUP(AG434,$AH$2:$AJ$451,3,FALSE)&amp;IF(ISNUMBER(SEARCH(", Written",AN434))," -R"&amp;VLOOKUP(AN434,Skills!$M$2:$S$620,7,FALSE),IF(ISNUMBER(SEARCH(", Spoken",AN434))," -R"&amp;VLOOKUP(AN434,Skills!$M$2:$S$620,7,FALSE),"")),"")</f>
        <v/>
      </c>
    </row>
    <row r="435" spans="33:41" x14ac:dyDescent="0.25">
      <c r="AG435">
        <v>434</v>
      </c>
      <c r="AH435" s="4" t="str">
        <f t="shared" si="190"/>
        <v/>
      </c>
      <c r="AI435" t="str">
        <f>IFERROR(VLOOKUP(AG435,Skills!$B$2:$M$620,12,FALSE),"")</f>
        <v/>
      </c>
      <c r="AJ435" s="4" t="str">
        <f>IFERROR(VLOOKUP(AG435,Skills!$B$2:$AF$620,31,FALSE),"")</f>
        <v/>
      </c>
      <c r="AK435" s="4" t="str">
        <f t="shared" si="193"/>
        <v/>
      </c>
      <c r="AL435" s="4">
        <v>0.434</v>
      </c>
      <c r="AM435" s="62" t="str">
        <f t="shared" si="191"/>
        <v/>
      </c>
      <c r="AN435" t="str">
        <f t="shared" ca="1" si="192"/>
        <v/>
      </c>
      <c r="AO435" s="4" t="str">
        <f ca="1">IFERROR(VLOOKUP(AG435,$AH$2:$AJ$451,3,FALSE)&amp;IF(ISNUMBER(SEARCH(", Written",AN435))," -R"&amp;VLOOKUP(AN435,Skills!$M$2:$S$620,7,FALSE),IF(ISNUMBER(SEARCH(", Spoken",AN435))," -R"&amp;VLOOKUP(AN435,Skills!$M$2:$S$620,7,FALSE),"")),"")</f>
        <v/>
      </c>
    </row>
    <row r="436" spans="33:41" x14ac:dyDescent="0.25">
      <c r="AG436">
        <v>435</v>
      </c>
      <c r="AH436" s="4" t="str">
        <f t="shared" si="190"/>
        <v/>
      </c>
      <c r="AI436" t="str">
        <f>IFERROR(VLOOKUP(AG436,Skills!$B$2:$M$620,12,FALSE),"")</f>
        <v/>
      </c>
      <c r="AJ436" s="4" t="str">
        <f>IFERROR(VLOOKUP(AG436,Skills!$B$2:$AF$620,31,FALSE),"")</f>
        <v/>
      </c>
      <c r="AK436" s="4" t="str">
        <f t="shared" si="193"/>
        <v/>
      </c>
      <c r="AL436" s="4">
        <v>0.435</v>
      </c>
      <c r="AM436" s="62" t="str">
        <f t="shared" si="191"/>
        <v/>
      </c>
      <c r="AN436" t="str">
        <f t="shared" ca="1" si="192"/>
        <v/>
      </c>
      <c r="AO436" s="4" t="str">
        <f ca="1">IFERROR(VLOOKUP(AG436,$AH$2:$AJ$451,3,FALSE)&amp;IF(ISNUMBER(SEARCH(", Written",AN436))," -R"&amp;VLOOKUP(AN436,Skills!$M$2:$S$620,7,FALSE),IF(ISNUMBER(SEARCH(", Spoken",AN436))," -R"&amp;VLOOKUP(AN436,Skills!$M$2:$S$620,7,FALSE),"")),"")</f>
        <v/>
      </c>
    </row>
    <row r="437" spans="33:41" x14ac:dyDescent="0.25">
      <c r="AG437">
        <v>436</v>
      </c>
      <c r="AH437" s="4" t="str">
        <f t="shared" si="190"/>
        <v/>
      </c>
      <c r="AI437" t="str">
        <f>IFERROR(VLOOKUP(AG437,Skills!$B$2:$M$620,12,FALSE),"")</f>
        <v/>
      </c>
      <c r="AJ437" s="4" t="str">
        <f>IFERROR(VLOOKUP(AG437,Skills!$B$2:$AF$620,31,FALSE),"")</f>
        <v/>
      </c>
      <c r="AK437" s="4" t="str">
        <f t="shared" si="193"/>
        <v/>
      </c>
      <c r="AL437" s="4">
        <v>0.436</v>
      </c>
      <c r="AM437" s="62" t="str">
        <f t="shared" si="191"/>
        <v/>
      </c>
      <c r="AN437" t="str">
        <f t="shared" ca="1" si="192"/>
        <v/>
      </c>
      <c r="AO437" s="4" t="str">
        <f ca="1">IFERROR(VLOOKUP(AG437,$AH$2:$AJ$451,3,FALSE)&amp;IF(ISNUMBER(SEARCH(", Written",AN437))," -R"&amp;VLOOKUP(AN437,Skills!$M$2:$S$620,7,FALSE),IF(ISNUMBER(SEARCH(", Spoken",AN437))," -R"&amp;VLOOKUP(AN437,Skills!$M$2:$S$620,7,FALSE),"")),"")</f>
        <v/>
      </c>
    </row>
    <row r="438" spans="33:41" x14ac:dyDescent="0.25">
      <c r="AG438">
        <v>437</v>
      </c>
      <c r="AH438" s="4" t="str">
        <f t="shared" si="190"/>
        <v/>
      </c>
      <c r="AI438" t="str">
        <f>IFERROR(VLOOKUP(AG438,Skills!$B$2:$M$620,12,FALSE),"")</f>
        <v/>
      </c>
      <c r="AJ438" s="4" t="str">
        <f>IFERROR(VLOOKUP(AG438,Skills!$B$2:$AF$620,31,FALSE),"")</f>
        <v/>
      </c>
      <c r="AK438" s="4" t="str">
        <f t="shared" si="193"/>
        <v/>
      </c>
      <c r="AL438" s="4">
        <v>0.437</v>
      </c>
      <c r="AM438" s="62" t="str">
        <f t="shared" si="191"/>
        <v/>
      </c>
      <c r="AN438" t="str">
        <f t="shared" ca="1" si="192"/>
        <v/>
      </c>
      <c r="AO438" s="4" t="str">
        <f ca="1">IFERROR(VLOOKUP(AG438,$AH$2:$AJ$451,3,FALSE)&amp;IF(ISNUMBER(SEARCH(", Written",AN438))," -R"&amp;VLOOKUP(AN438,Skills!$M$2:$S$620,7,FALSE),IF(ISNUMBER(SEARCH(", Spoken",AN438))," -R"&amp;VLOOKUP(AN438,Skills!$M$2:$S$620,7,FALSE),"")),"")</f>
        <v/>
      </c>
    </row>
    <row r="439" spans="33:41" x14ac:dyDescent="0.25">
      <c r="AG439">
        <v>438</v>
      </c>
      <c r="AH439" s="4" t="str">
        <f t="shared" si="190"/>
        <v/>
      </c>
      <c r="AI439" t="str">
        <f>IFERROR(VLOOKUP(AG439,Skills!$B$2:$M$620,12,FALSE),"")</f>
        <v/>
      </c>
      <c r="AJ439" s="4" t="str">
        <f>IFERROR(VLOOKUP(AG439,Skills!$B$2:$AF$620,31,FALSE),"")</f>
        <v/>
      </c>
      <c r="AK439" s="4" t="str">
        <f t="shared" si="193"/>
        <v/>
      </c>
      <c r="AL439" s="4">
        <v>0.438</v>
      </c>
      <c r="AM439" s="62" t="str">
        <f t="shared" si="191"/>
        <v/>
      </c>
      <c r="AN439" t="str">
        <f t="shared" ca="1" si="192"/>
        <v/>
      </c>
      <c r="AO439" s="4" t="str">
        <f ca="1">IFERROR(VLOOKUP(AG439,$AH$2:$AJ$451,3,FALSE)&amp;IF(ISNUMBER(SEARCH(", Written",AN439))," -R"&amp;VLOOKUP(AN439,Skills!$M$2:$S$620,7,FALSE),IF(ISNUMBER(SEARCH(", Spoken",AN439))," -R"&amp;VLOOKUP(AN439,Skills!$M$2:$S$620,7,FALSE),"")),"")</f>
        <v/>
      </c>
    </row>
    <row r="440" spans="33:41" x14ac:dyDescent="0.25">
      <c r="AG440">
        <v>439</v>
      </c>
      <c r="AH440" s="4" t="str">
        <f t="shared" si="190"/>
        <v/>
      </c>
      <c r="AI440" t="str">
        <f>IFERROR(VLOOKUP(AG440,Skills!$B$2:$M$620,12,FALSE),"")</f>
        <v/>
      </c>
      <c r="AJ440" s="4" t="str">
        <f>IFERROR(VLOOKUP(AG440,Skills!$B$2:$AF$620,31,FALSE),"")</f>
        <v/>
      </c>
      <c r="AK440" s="4" t="str">
        <f t="shared" si="193"/>
        <v/>
      </c>
      <c r="AL440" s="4">
        <v>0.439</v>
      </c>
      <c r="AM440" s="62" t="str">
        <f t="shared" si="191"/>
        <v/>
      </c>
      <c r="AN440" t="str">
        <f t="shared" ca="1" si="192"/>
        <v/>
      </c>
      <c r="AO440" s="4" t="str">
        <f ca="1">IFERROR(VLOOKUP(AG440,$AH$2:$AJ$451,3,FALSE)&amp;IF(ISNUMBER(SEARCH(", Written",AN440))," -R"&amp;VLOOKUP(AN440,Skills!$M$2:$S$620,7,FALSE),IF(ISNUMBER(SEARCH(", Spoken",AN440))," -R"&amp;VLOOKUP(AN440,Skills!$M$2:$S$620,7,FALSE),"")),"")</f>
        <v/>
      </c>
    </row>
    <row r="441" spans="33:41" x14ac:dyDescent="0.25">
      <c r="AG441">
        <v>440</v>
      </c>
      <c r="AH441" s="4" t="str">
        <f t="shared" si="190"/>
        <v/>
      </c>
      <c r="AI441" t="str">
        <f>IFERROR(VLOOKUP(AG441,Skills!$B$2:$M$620,12,FALSE),"")</f>
        <v/>
      </c>
      <c r="AJ441" s="4" t="str">
        <f>IFERROR(VLOOKUP(AG441,Skills!$B$2:$AF$620,31,FALSE),"")</f>
        <v/>
      </c>
      <c r="AK441" s="4" t="str">
        <f t="shared" si="193"/>
        <v/>
      </c>
      <c r="AL441" s="4">
        <v>0.44</v>
      </c>
      <c r="AM441" s="62" t="str">
        <f t="shared" si="191"/>
        <v/>
      </c>
      <c r="AN441" t="str">
        <f t="shared" ca="1" si="192"/>
        <v/>
      </c>
      <c r="AO441" s="4" t="str">
        <f ca="1">IFERROR(VLOOKUP(AG441,$AH$2:$AJ$451,3,FALSE)&amp;IF(ISNUMBER(SEARCH(", Written",AN441))," -R"&amp;VLOOKUP(AN441,Skills!$M$2:$S$620,7,FALSE),IF(ISNUMBER(SEARCH(", Spoken",AN441))," -R"&amp;VLOOKUP(AN441,Skills!$M$2:$S$620,7,FALSE),"")),"")</f>
        <v/>
      </c>
    </row>
    <row r="442" spans="33:41" x14ac:dyDescent="0.25">
      <c r="AG442">
        <v>441</v>
      </c>
      <c r="AH442" s="4" t="str">
        <f t="shared" si="190"/>
        <v/>
      </c>
      <c r="AI442" t="str">
        <f>IFERROR(VLOOKUP(AG442,Skills!$B$2:$M$620,12,FALSE),"")</f>
        <v/>
      </c>
      <c r="AJ442" s="4" t="str">
        <f>IFERROR(VLOOKUP(AG442,Skills!$B$2:$AF$620,31,FALSE),"")</f>
        <v/>
      </c>
      <c r="AK442" s="4" t="str">
        <f t="shared" si="193"/>
        <v/>
      </c>
      <c r="AL442" s="4">
        <v>0.441</v>
      </c>
      <c r="AM442" s="62" t="str">
        <f t="shared" si="191"/>
        <v/>
      </c>
      <c r="AN442" t="str">
        <f t="shared" ca="1" si="192"/>
        <v/>
      </c>
      <c r="AO442" s="4" t="str">
        <f ca="1">IFERROR(VLOOKUP(AG442,$AH$2:$AJ$451,3,FALSE)&amp;IF(ISNUMBER(SEARCH(", Written",AN442))," -R"&amp;VLOOKUP(AN442,Skills!$M$2:$S$620,7,FALSE),IF(ISNUMBER(SEARCH(", Spoken",AN442))," -R"&amp;VLOOKUP(AN442,Skills!$M$2:$S$620,7,FALSE),"")),"")</f>
        <v/>
      </c>
    </row>
    <row r="443" spans="33:41" x14ac:dyDescent="0.25">
      <c r="AG443">
        <v>442</v>
      </c>
      <c r="AH443" s="4" t="str">
        <f t="shared" si="190"/>
        <v/>
      </c>
      <c r="AI443" t="str">
        <f>IFERROR(VLOOKUP(AG443,Skills!$B$2:$M$620,12,FALSE),"")</f>
        <v/>
      </c>
      <c r="AJ443" s="4" t="str">
        <f>IFERROR(VLOOKUP(AG443,Skills!$B$2:$AF$620,31,FALSE),"")</f>
        <v/>
      </c>
      <c r="AK443" s="4" t="str">
        <f t="shared" si="193"/>
        <v/>
      </c>
      <c r="AL443" s="4">
        <v>0.442</v>
      </c>
      <c r="AM443" s="62" t="str">
        <f t="shared" si="191"/>
        <v/>
      </c>
      <c r="AN443" t="str">
        <f t="shared" ca="1" si="192"/>
        <v/>
      </c>
      <c r="AO443" s="4" t="str">
        <f ca="1">IFERROR(VLOOKUP(AG443,$AH$2:$AJ$451,3,FALSE)&amp;IF(ISNUMBER(SEARCH(", Written",AN443))," -R"&amp;VLOOKUP(AN443,Skills!$M$2:$S$620,7,FALSE),IF(ISNUMBER(SEARCH(", Spoken",AN443))," -R"&amp;VLOOKUP(AN443,Skills!$M$2:$S$620,7,FALSE),"")),"")</f>
        <v/>
      </c>
    </row>
    <row r="444" spans="33:41" x14ac:dyDescent="0.25">
      <c r="AG444">
        <v>443</v>
      </c>
      <c r="AH444" s="4" t="str">
        <f t="shared" si="190"/>
        <v/>
      </c>
      <c r="AI444" t="str">
        <f>IFERROR(VLOOKUP(AG444,Skills!$B$2:$M$620,12,FALSE),"")</f>
        <v/>
      </c>
      <c r="AJ444" s="4" t="str">
        <f>IFERROR(VLOOKUP(AG444,Skills!$B$2:$AF$620,31,FALSE),"")</f>
        <v/>
      </c>
      <c r="AK444" s="4" t="str">
        <f t="shared" si="193"/>
        <v/>
      </c>
      <c r="AL444" s="4">
        <v>0.443</v>
      </c>
      <c r="AM444" s="62" t="str">
        <f t="shared" si="191"/>
        <v/>
      </c>
      <c r="AN444" t="str">
        <f t="shared" ca="1" si="192"/>
        <v/>
      </c>
      <c r="AO444" s="4" t="str">
        <f ca="1">IFERROR(VLOOKUP(AG444,$AH$2:$AJ$451,3,FALSE)&amp;IF(ISNUMBER(SEARCH(", Written",AN444))," -R"&amp;VLOOKUP(AN444,Skills!$M$2:$S$620,7,FALSE),IF(ISNUMBER(SEARCH(", Spoken",AN444))," -R"&amp;VLOOKUP(AN444,Skills!$M$2:$S$620,7,FALSE),"")),"")</f>
        <v/>
      </c>
    </row>
    <row r="445" spans="33:41" x14ac:dyDescent="0.25">
      <c r="AG445">
        <v>444</v>
      </c>
      <c r="AH445" s="4" t="str">
        <f t="shared" si="190"/>
        <v/>
      </c>
      <c r="AI445" t="str">
        <f>IFERROR(VLOOKUP(AG445,Skills!$B$2:$M$620,12,FALSE),"")</f>
        <v/>
      </c>
      <c r="AJ445" s="4" t="str">
        <f>IFERROR(VLOOKUP(AG445,Skills!$B$2:$AF$620,31,FALSE),"")</f>
        <v/>
      </c>
      <c r="AK445" s="4" t="str">
        <f t="shared" si="193"/>
        <v/>
      </c>
      <c r="AL445" s="4">
        <v>0.44400000000000001</v>
      </c>
      <c r="AM445" s="62" t="str">
        <f t="shared" si="191"/>
        <v/>
      </c>
      <c r="AN445" t="str">
        <f t="shared" ca="1" si="192"/>
        <v/>
      </c>
      <c r="AO445" s="4" t="str">
        <f ca="1">IFERROR(VLOOKUP(AG445,$AH$2:$AJ$451,3,FALSE)&amp;IF(ISNUMBER(SEARCH(", Written",AN445))," -R"&amp;VLOOKUP(AN445,Skills!$M$2:$S$620,7,FALSE),IF(ISNUMBER(SEARCH(", Spoken",AN445))," -R"&amp;VLOOKUP(AN445,Skills!$M$2:$S$620,7,FALSE),"")),"")</f>
        <v/>
      </c>
    </row>
    <row r="446" spans="33:41" x14ac:dyDescent="0.25">
      <c r="AG446">
        <v>445</v>
      </c>
      <c r="AH446" s="4" t="str">
        <f t="shared" si="190"/>
        <v/>
      </c>
      <c r="AI446" t="str">
        <f>IFERROR(VLOOKUP(AG446,Skills!$B$2:$M$620,12,FALSE),"")</f>
        <v/>
      </c>
      <c r="AJ446" s="4" t="str">
        <f>IFERROR(VLOOKUP(AG446,Skills!$B$2:$AF$620,31,FALSE),"")</f>
        <v/>
      </c>
      <c r="AK446" s="4" t="str">
        <f t="shared" si="193"/>
        <v/>
      </c>
      <c r="AL446" s="4">
        <v>0.44500000000000001</v>
      </c>
      <c r="AM446" s="62" t="str">
        <f t="shared" si="191"/>
        <v/>
      </c>
      <c r="AN446" t="str">
        <f t="shared" ca="1" si="192"/>
        <v/>
      </c>
      <c r="AO446" s="4" t="str">
        <f ca="1">IFERROR(VLOOKUP(AG446,$AH$2:$AJ$451,3,FALSE)&amp;IF(ISNUMBER(SEARCH(", Written",AN446))," -R"&amp;VLOOKUP(AN446,Skills!$M$2:$S$620,7,FALSE),IF(ISNUMBER(SEARCH(", Spoken",AN446))," -R"&amp;VLOOKUP(AN446,Skills!$M$2:$S$620,7,FALSE),"")),"")</f>
        <v/>
      </c>
    </row>
    <row r="447" spans="33:41" x14ac:dyDescent="0.25">
      <c r="AG447">
        <v>446</v>
      </c>
      <c r="AH447" s="4" t="str">
        <f t="shared" si="190"/>
        <v/>
      </c>
      <c r="AI447" t="str">
        <f>IFERROR(VLOOKUP(AG447,Skills!$B$2:$M$620,12,FALSE),"")</f>
        <v/>
      </c>
      <c r="AJ447" s="4" t="str">
        <f>IFERROR(VLOOKUP(AG447,Skills!$B$2:$AF$620,31,FALSE),"")</f>
        <v/>
      </c>
      <c r="AK447" s="4" t="str">
        <f t="shared" si="193"/>
        <v/>
      </c>
      <c r="AL447" s="4">
        <v>0.44600000000000001</v>
      </c>
      <c r="AM447" s="62" t="str">
        <f t="shared" si="191"/>
        <v/>
      </c>
      <c r="AN447" t="str">
        <f t="shared" ca="1" si="192"/>
        <v/>
      </c>
      <c r="AO447" s="4" t="str">
        <f ca="1">IFERROR(VLOOKUP(AG447,$AH$2:$AJ$451,3,FALSE)&amp;IF(ISNUMBER(SEARCH(", Written",AN447))," -R"&amp;VLOOKUP(AN447,Skills!$M$2:$S$620,7,FALSE),IF(ISNUMBER(SEARCH(", Spoken",AN447))," -R"&amp;VLOOKUP(AN447,Skills!$M$2:$S$620,7,FALSE),"")),"")</f>
        <v/>
      </c>
    </row>
    <row r="448" spans="33:41" x14ac:dyDescent="0.25">
      <c r="AG448">
        <v>447</v>
      </c>
      <c r="AH448" s="4" t="str">
        <f t="shared" si="190"/>
        <v/>
      </c>
      <c r="AI448" t="str">
        <f>IFERROR(VLOOKUP(AG448,Skills!$B$2:$M$620,12,FALSE),"")</f>
        <v/>
      </c>
      <c r="AJ448" s="4" t="str">
        <f>IFERROR(VLOOKUP(AG448,Skills!$B$2:$AF$620,31,FALSE),"")</f>
        <v/>
      </c>
      <c r="AK448" s="4" t="str">
        <f t="shared" si="193"/>
        <v/>
      </c>
      <c r="AL448" s="4">
        <v>0.44700000000000001</v>
      </c>
      <c r="AM448" s="62" t="str">
        <f t="shared" si="191"/>
        <v/>
      </c>
      <c r="AN448" t="str">
        <f t="shared" ca="1" si="192"/>
        <v/>
      </c>
      <c r="AO448" s="4" t="str">
        <f ca="1">IFERROR(VLOOKUP(AG448,$AH$2:$AJ$451,3,FALSE)&amp;IF(ISNUMBER(SEARCH(", Written",AN448))," -R"&amp;VLOOKUP(AN448,Skills!$M$2:$S$620,7,FALSE),IF(ISNUMBER(SEARCH(", Spoken",AN448))," -R"&amp;VLOOKUP(AN448,Skills!$M$2:$S$620,7,FALSE),"")),"")</f>
        <v/>
      </c>
    </row>
    <row r="449" spans="33:41" x14ac:dyDescent="0.25">
      <c r="AG449">
        <v>448</v>
      </c>
      <c r="AH449" s="4" t="str">
        <f t="shared" si="190"/>
        <v/>
      </c>
      <c r="AI449" t="str">
        <f>IFERROR(VLOOKUP(AG449,Skills!$B$2:$M$620,12,FALSE),"")</f>
        <v/>
      </c>
      <c r="AJ449" s="4" t="str">
        <f>IFERROR(VLOOKUP(AG449,Skills!$B$2:$AF$620,31,FALSE),"")</f>
        <v/>
      </c>
      <c r="AK449" s="4" t="str">
        <f t="shared" si="193"/>
        <v/>
      </c>
      <c r="AL449" s="4">
        <v>0.44800000000000001</v>
      </c>
      <c r="AM449" s="62" t="str">
        <f t="shared" si="191"/>
        <v/>
      </c>
      <c r="AN449" t="str">
        <f t="shared" ca="1" si="192"/>
        <v/>
      </c>
      <c r="AO449" s="4" t="str">
        <f ca="1">IFERROR(VLOOKUP(AG449,$AH$2:$AJ$451,3,FALSE)&amp;IF(ISNUMBER(SEARCH(", Written",AN449))," -R"&amp;VLOOKUP(AN449,Skills!$M$2:$S$620,7,FALSE),IF(ISNUMBER(SEARCH(", Spoken",AN449))," -R"&amp;VLOOKUP(AN449,Skills!$M$2:$S$620,7,FALSE),"")),"")</f>
        <v/>
      </c>
    </row>
    <row r="450" spans="33:41" x14ac:dyDescent="0.25">
      <c r="AG450">
        <v>449</v>
      </c>
      <c r="AH450" s="4" t="str">
        <f t="shared" si="190"/>
        <v/>
      </c>
      <c r="AI450" t="str">
        <f>IFERROR(VLOOKUP(AG450,Skills!$B$2:$M$620,12,FALSE),"")</f>
        <v/>
      </c>
      <c r="AJ450" s="4" t="str">
        <f>IFERROR(VLOOKUP(AG450,Skills!$B$2:$AF$620,31,FALSE),"")</f>
        <v/>
      </c>
      <c r="AK450" s="4" t="str">
        <f t="shared" si="193"/>
        <v/>
      </c>
      <c r="AL450" s="4">
        <v>0.44900000000000001</v>
      </c>
      <c r="AM450" s="62" t="str">
        <f t="shared" si="191"/>
        <v/>
      </c>
      <c r="AN450" t="str">
        <f t="shared" ca="1" si="192"/>
        <v/>
      </c>
      <c r="AO450" s="4" t="str">
        <f ca="1">IFERROR(VLOOKUP(AG450,$AH$2:$AJ$451,3,FALSE)&amp;IF(ISNUMBER(SEARCH(", Written",AN450))," -R"&amp;VLOOKUP(AN450,Skills!$M$2:$S$620,7,FALSE),IF(ISNUMBER(SEARCH(", Spoken",AN450))," -R"&amp;VLOOKUP(AN450,Skills!$M$2:$S$620,7,FALSE),"")),"")</f>
        <v/>
      </c>
    </row>
    <row r="451" spans="33:41" x14ac:dyDescent="0.25">
      <c r="AG451">
        <v>450</v>
      </c>
      <c r="AH451" s="4" t="str">
        <f>IFERROR(_xlfn.RANK.EQ(AM451,$AM$2:$AM$451),"")</f>
        <v/>
      </c>
      <c r="AI451" t="str">
        <f>IFERROR(VLOOKUP(AG451,Skills!$B$2:$M$620,12,FALSE),"")</f>
        <v/>
      </c>
      <c r="AJ451" s="4" t="str">
        <f>IFERROR(VLOOKUP(AG451,Skills!$B$2:$AF$620,31,FALSE),"")</f>
        <v/>
      </c>
      <c r="AK451" s="4" t="str">
        <f t="shared" si="193"/>
        <v/>
      </c>
      <c r="AL451" s="4">
        <v>0.45</v>
      </c>
      <c r="AM451" s="62" t="str">
        <f>IFERROR(AK451+AL451,"")</f>
        <v/>
      </c>
      <c r="AN451" t="str">
        <f ca="1">IFERROR(VLOOKUP(AG451,$AH$2:$AJ$451,2,FALSE),"")</f>
        <v/>
      </c>
      <c r="AO451" s="4" t="str">
        <f ca="1">IFERROR(VLOOKUP(AG451,$AH$2:$AJ$451,3,FALSE)&amp;IF(ISNUMBER(SEARCH(", Written",AN451))," -R"&amp;VLOOKUP(AN451,Skills!$M$2:$S$620,7,FALSE),IF(ISNUMBER(SEARCH(", Spoken",AN451))," -R"&amp;VLOOKUP(AN451,Skills!$M$2:$S$620,7,FALSE),"")),"")</f>
        <v/>
      </c>
    </row>
  </sheetData>
  <mergeCells count="20">
    <mergeCell ref="CX1:DA1"/>
    <mergeCell ref="DH1:EJ1"/>
    <mergeCell ref="DQ2:DR2"/>
    <mergeCell ref="DU2:DW2"/>
    <mergeCell ref="EB2:EC2"/>
    <mergeCell ref="DC1:DF1"/>
    <mergeCell ref="BC3:BD3"/>
    <mergeCell ref="BJ3:BK3"/>
    <mergeCell ref="AS2:AZ2"/>
    <mergeCell ref="BP2:BW2"/>
    <mergeCell ref="BY2:CV2"/>
    <mergeCell ref="AG1:AO1"/>
    <mergeCell ref="BA2:BO2"/>
    <mergeCell ref="AQ1:CV1"/>
    <mergeCell ref="Z1:AA1"/>
    <mergeCell ref="B1:E1"/>
    <mergeCell ref="G1:J1"/>
    <mergeCell ref="L1:N1"/>
    <mergeCell ref="P1:Q1"/>
    <mergeCell ref="V1:X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63</vt:i4>
      </vt:variant>
    </vt:vector>
  </HeadingPairs>
  <TitlesOfParts>
    <vt:vector size="74" baseType="lpstr">
      <vt:lpstr>Character Sheet</vt:lpstr>
      <vt:lpstr>Items</vt:lpstr>
      <vt:lpstr>Armour</vt:lpstr>
      <vt:lpstr>Character Creation</vt:lpstr>
      <vt:lpstr>Races</vt:lpstr>
      <vt:lpstr>Charts</vt:lpstr>
      <vt:lpstr>Skills</vt:lpstr>
      <vt:lpstr>Profession</vt:lpstr>
      <vt:lpstr>Level-up</vt:lpstr>
      <vt:lpstr>Sheet1</vt:lpstr>
      <vt:lpstr>Calculations</vt:lpstr>
      <vt:lpstr>Ag</vt:lpstr>
      <vt:lpstr>ATChart</vt:lpstr>
      <vt:lpstr>BaseBard</vt:lpstr>
      <vt:lpstr>BaseCleric</vt:lpstr>
      <vt:lpstr>BaseDabbler</vt:lpstr>
      <vt:lpstr>BaseDruid</vt:lpstr>
      <vt:lpstr>BaseFatale</vt:lpstr>
      <vt:lpstr>BaseHealer</vt:lpstr>
      <vt:lpstr>BaseIllusionist</vt:lpstr>
      <vt:lpstr>BaseLayHealer</vt:lpstr>
      <vt:lpstr>BaseMagent</vt:lpstr>
      <vt:lpstr>BaseMagician</vt:lpstr>
      <vt:lpstr>BaseMentalist</vt:lpstr>
      <vt:lpstr>BaseMonk</vt:lpstr>
      <vt:lpstr>BaseMystic</vt:lpstr>
      <vt:lpstr>BasePaladin</vt:lpstr>
      <vt:lpstr>BaseRanger</vt:lpstr>
      <vt:lpstr>BaseSorcerer</vt:lpstr>
      <vt:lpstr>BonusChart</vt:lpstr>
      <vt:lpstr>Channeling</vt:lpstr>
      <vt:lpstr>ChannelingEssence</vt:lpstr>
      <vt:lpstr>ChannelingEssenceMentalism</vt:lpstr>
      <vt:lpstr>ChannelingMentalism</vt:lpstr>
      <vt:lpstr>Choice</vt:lpstr>
      <vt:lpstr>ClosedChanneling</vt:lpstr>
      <vt:lpstr>ClosedEssence</vt:lpstr>
      <vt:lpstr>ClosedMentalism</vt:lpstr>
      <vt:lpstr>ClothesList</vt:lpstr>
      <vt:lpstr>Co</vt:lpstr>
      <vt:lpstr>Em</vt:lpstr>
      <vt:lpstr>Essence</vt:lpstr>
      <vt:lpstr>EssenceMentalism</vt:lpstr>
      <vt:lpstr>EvilChanneling</vt:lpstr>
      <vt:lpstr>EvilEssence</vt:lpstr>
      <vt:lpstr>EvilMentalism</vt:lpstr>
      <vt:lpstr>FlawsList</vt:lpstr>
      <vt:lpstr>HorseBreed</vt:lpstr>
      <vt:lpstr>HorseEquipment</vt:lpstr>
      <vt:lpstr>In</vt:lpstr>
      <vt:lpstr>ItemChart</vt:lpstr>
      <vt:lpstr>ItemList</vt:lpstr>
      <vt:lpstr>MaterialChart</vt:lpstr>
      <vt:lpstr>Me</vt:lpstr>
      <vt:lpstr>Mentalism</vt:lpstr>
      <vt:lpstr>OpenChanneling</vt:lpstr>
      <vt:lpstr>OpenEssence</vt:lpstr>
      <vt:lpstr>OpenMentalism</vt:lpstr>
      <vt:lpstr>PowerLevel</vt:lpstr>
      <vt:lpstr>Pr</vt:lpstr>
      <vt:lpstr>Qu</vt:lpstr>
      <vt:lpstr>RaceChart</vt:lpstr>
      <vt:lpstr>Re</vt:lpstr>
      <vt:lpstr>RealmStat</vt:lpstr>
      <vt:lpstr>RecoveryChart</vt:lpstr>
      <vt:lpstr>RecoveryGrades</vt:lpstr>
      <vt:lpstr>SD</vt:lpstr>
      <vt:lpstr>Sex</vt:lpstr>
      <vt:lpstr>St</vt:lpstr>
      <vt:lpstr>Stride</vt:lpstr>
      <vt:lpstr>TalentFlaw</vt:lpstr>
      <vt:lpstr>TalentsFlawsList</vt:lpstr>
      <vt:lpstr>TalentsList</vt:lpstr>
      <vt:lpstr>WeaponsAmmunition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Ewers</dc:creator>
  <cp:lastModifiedBy>Jessica Ewers</cp:lastModifiedBy>
  <dcterms:created xsi:type="dcterms:W3CDTF">2018-11-03T20:48:27Z</dcterms:created>
  <dcterms:modified xsi:type="dcterms:W3CDTF">2019-04-04T19:08:49Z</dcterms:modified>
</cp:coreProperties>
</file>